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490" windowHeight="7785" tabRatio="788" firstSheet="4" activeTab="18"/>
  </bookViews>
  <sheets>
    <sheet name="Sheet1" sheetId="85" r:id="rId1"/>
    <sheet name="参数表" sheetId="4" r:id="rId2"/>
    <sheet name="月度审定利润表" sheetId="65" state="hidden" r:id="rId3"/>
    <sheet name="月度审定现流表" sheetId="64" state="hidden" r:id="rId4"/>
    <sheet name="未审资负表" sheetId="2" r:id="rId5"/>
    <sheet name="未审利润表" sheetId="5" r:id="rId6"/>
    <sheet name="未审现流表" sheetId="6" r:id="rId7"/>
    <sheet name="未审权益表" sheetId="7" r:id="rId8"/>
    <sheet name="本月审定利润表" sheetId="66" state="hidden" r:id="rId9"/>
    <sheet name="本月审定现流表" sheetId="67" state="hidden" r:id="rId10"/>
    <sheet name="未审附注之流动资产" sheetId="18" state="hidden" r:id="rId11"/>
    <sheet name="未审附注之非流动资产" sheetId="17" state="hidden" r:id="rId12"/>
    <sheet name="未审附注之负债及权益" sheetId="16" state="hidden" r:id="rId13"/>
    <sheet name="未审附注之利润及利润分配" sheetId="15" state="hidden" r:id="rId14"/>
    <sheet name="未审附注及报表核对" sheetId="14" state="hidden" r:id="rId15"/>
    <sheet name="资负表及利润表调整分录" sheetId="3" r:id="rId16"/>
    <sheet name="现流表调整分录" sheetId="13" r:id="rId17"/>
    <sheet name="审定资负表" sheetId="12" r:id="rId18"/>
    <sheet name="审定利润表" sheetId="11" r:id="rId19"/>
    <sheet name="审定现流表" sheetId="10" r:id="rId20"/>
    <sheet name="审定权益表" sheetId="9" r:id="rId21"/>
    <sheet name="审定附注之流动资产" sheetId="23" state="hidden" r:id="rId22"/>
    <sheet name="审定附注之非流动资产" sheetId="22" state="hidden" r:id="rId23"/>
    <sheet name="审定附注之负债及权益" sheetId="21" state="hidden" r:id="rId24"/>
    <sheet name="审定附注之利润及利润分配" sheetId="20" state="hidden" r:id="rId25"/>
    <sheet name="审定报表及附注核对" sheetId="19" state="hidden" r:id="rId26"/>
    <sheet name="试算平衡表" sheetId="8" r:id="rId27"/>
    <sheet name="报表附注合并用" sheetId="25" r:id="rId28"/>
    <sheet name="审定打印版1" sheetId="76" state="hidden" r:id="rId29"/>
    <sheet name="审定打印版2" sheetId="79" state="hidden" r:id="rId30"/>
    <sheet name="审定打印版3" sheetId="81" state="hidden" r:id="rId31"/>
    <sheet name="审定打印版4" sheetId="82" state="hidden" r:id="rId32"/>
    <sheet name="附注、报表核对" sheetId="43" r:id="rId33"/>
    <sheet name="现流表勾稽" sheetId="31" r:id="rId34"/>
    <sheet name="附注其他核对" sheetId="39" r:id="rId35"/>
    <sheet name="报表分析（合理性复核）" sheetId="41" state="hidden" r:id="rId36"/>
    <sheet name="报表附注" sheetId="62" r:id="rId37"/>
    <sheet name="报表附注合并期初用" sheetId="63" r:id="rId38"/>
    <sheet name="1.管理费用" sheetId="61" r:id="rId39"/>
    <sheet name="2.销售费用" sheetId="55" r:id="rId40"/>
    <sheet name="3.借款" sheetId="51" r:id="rId41"/>
    <sheet name="4、非经常性损益" sheetId="83" r:id="rId42"/>
    <sheet name="5、所得税调整" sheetId="84" state="hidden" r:id="rId43"/>
    <sheet name="5在建工程" sheetId="68" r:id="rId44"/>
    <sheet name="6长摊" sheetId="69" r:id="rId45"/>
    <sheet name="7固定资产" sheetId="73" r:id="rId46"/>
    <sheet name="8无形资产" sheetId="75" r:id="rId47"/>
    <sheet name="固定资产清理" sheetId="60" state="hidden" r:id="rId48"/>
    <sheet name="内部往来账龄" sheetId="56" state="hidden" r:id="rId49"/>
    <sheet name="透视表" sheetId="72" state="hidden" r:id="rId50"/>
  </sheets>
  <definedNames>
    <definedName name="_xlnm._FilterDatabase" localSheetId="2" hidden="1">月度审定利润表!$A$5:$P$76</definedName>
    <definedName name="_xlnm._FilterDatabase" localSheetId="3" hidden="1">月度审定现流表!$A$5:$P$183</definedName>
    <definedName name="_xlnm._FilterDatabase" localSheetId="8" hidden="1">本月审定利润表!$A$5:$F$38</definedName>
    <definedName name="_xlnm._FilterDatabase" localSheetId="9" hidden="1">本月审定现流表!$A$5:$F$85</definedName>
    <definedName name="_xlnm._FilterDatabase" localSheetId="27" hidden="1">报表附注合并用!$A$1:$F$3760</definedName>
    <definedName name="_xlnm._FilterDatabase" localSheetId="32" hidden="1">附注、报表核对!$H$4:$I$189</definedName>
    <definedName name="_xlnm._FilterDatabase" localSheetId="33" hidden="1">现流表勾稽!$B$4:$G$301</definedName>
    <definedName name="_xlnm._FilterDatabase" localSheetId="37" hidden="1">报表附注合并期初用!$A$1:$IW$2537</definedName>
    <definedName name="_xlnm._FilterDatabase" localSheetId="38" hidden="1">'1.管理费用'!$A$3:$P$81</definedName>
    <definedName name="_xlnm._FilterDatabase" localSheetId="39" hidden="1">'2.销售费用'!$A$3:$P$39</definedName>
    <definedName name="_xlnm._FilterDatabase" localSheetId="15" hidden="1">资负表及利润表调整分录!$A$175:$I$208</definedName>
    <definedName name="_xlnm.Print_Area" localSheetId="35">'报表分析（合理性复核）'!$A$1:$G$147</definedName>
    <definedName name="_xlnm.Print_Area" localSheetId="8">本月审定利润表!$A$1:$I$32</definedName>
    <definedName name="_xlnm.Print_Area" localSheetId="32">附注、报表核对!$A$1:$J$189</definedName>
    <definedName name="_xlnm.Print_Area" localSheetId="28">审定打印版1!$A$1:$H$48</definedName>
    <definedName name="_xlnm.Print_Area" localSheetId="30">审定打印版3!$A$1:$D$49</definedName>
    <definedName name="_xlnm.Print_Area" localSheetId="18">审定利润表!$A$1:$D$33</definedName>
    <definedName name="_xlnm.Print_Area" localSheetId="19">审定现流表!$A$1:$D$49</definedName>
    <definedName name="_xlnm.Print_Area" localSheetId="5">未审利润表!$A$1:$D$33</definedName>
    <definedName name="_xlnm.Print_Area" localSheetId="6">未审现流表!$A$1:$D$49</definedName>
    <definedName name="_xlnm.Print_Area" localSheetId="16">现流表调整分录!$A$103:$I$154</definedName>
    <definedName name="_xlnm.Print_Area" localSheetId="15">资负表及利润表调整分录!$A$168:$I$207</definedName>
    <definedName name="_xlnm.Print_Titles" localSheetId="35">'报表分析（合理性复核）'!$6:$8</definedName>
    <definedName name="_xlnm.Print_Titles" localSheetId="32">附注、报表核对!$1:$3</definedName>
    <definedName name="_xlnm.Print_Titles" localSheetId="16">现流表调整分录!$103:$109</definedName>
    <definedName name="_xlnm.Print_Titles" localSheetId="15">资负表及利润表调整分录!$168:$174</definedName>
  </definedNames>
  <calcPr calcId="144525"/>
  <pivotCaches>
    <pivotCache cacheId="0" r:id="rId51"/>
  </pivotCaches>
</workbook>
</file>

<file path=xl/comments1.xml><?xml version="1.0" encoding="utf-8"?>
<comments xmlns="http://schemas.openxmlformats.org/spreadsheetml/2006/main">
  <authors>
    <author>作者</author>
  </authors>
  <commentList>
    <comment ref="C4" authorId="0">
      <text>
        <r>
          <rPr>
            <sz val="9"/>
            <rFont val="Tahoma"/>
            <charset val="134"/>
          </rPr>
          <t>=</t>
        </r>
        <r>
          <rPr>
            <sz val="9"/>
            <rFont val="宋体"/>
            <charset val="134"/>
          </rPr>
          <t>审定利润表</t>
        </r>
        <r>
          <rPr>
            <sz val="9"/>
            <rFont val="Tahoma"/>
            <charset val="134"/>
          </rPr>
          <t>!C</t>
        </r>
        <r>
          <rPr>
            <sz val="9"/>
            <rFont val="宋体"/>
            <charset val="134"/>
          </rPr>
          <t>列</t>
        </r>
      </text>
    </comment>
  </commentList>
</comments>
</file>

<file path=xl/comments2.xml><?xml version="1.0" encoding="utf-8"?>
<comments xmlns="http://schemas.openxmlformats.org/spreadsheetml/2006/main">
  <authors>
    <author>作者</author>
  </authors>
  <commentList>
    <comment ref="A18" authorId="0">
      <text>
        <r>
          <rPr>
            <b/>
            <sz val="9"/>
            <color indexed="12"/>
            <rFont val="宋体"/>
            <charset val="134"/>
          </rPr>
          <t>Pop:</t>
        </r>
        <r>
          <rPr>
            <sz val="9"/>
            <color indexed="12"/>
            <rFont val="宋体"/>
            <charset val="134"/>
          </rPr>
          <t xml:space="preserve">
请按照需要自行添加新增科目，新增科目默认为流动资产、加项。</t>
        </r>
      </text>
    </comment>
    <comment ref="E19" authorId="0">
      <text>
        <r>
          <rPr>
            <b/>
            <sz val="9"/>
            <color indexed="12"/>
            <rFont val="宋体"/>
            <charset val="134"/>
          </rPr>
          <t>Pop:</t>
        </r>
        <r>
          <rPr>
            <sz val="9"/>
            <color indexed="12"/>
            <rFont val="宋体"/>
            <charset val="134"/>
          </rPr>
          <t xml:space="preserve">
请按照需要自行添加新增科目，新增科目默认为流动负债、加项。</t>
        </r>
      </text>
    </comment>
    <comment ref="E30" authorId="0">
      <text>
        <r>
          <rPr>
            <b/>
            <sz val="9"/>
            <color indexed="12"/>
            <rFont val="宋体"/>
            <charset val="134"/>
          </rPr>
          <t>Pop:</t>
        </r>
        <r>
          <rPr>
            <sz val="9"/>
            <color indexed="12"/>
            <rFont val="宋体"/>
            <charset val="134"/>
          </rPr>
          <t xml:space="preserve">
请按照需要自行添加新增科目，新增科目默认为非流动负债、加项。</t>
        </r>
      </text>
    </comment>
    <comment ref="A39" authorId="0">
      <text>
        <r>
          <rPr>
            <b/>
            <sz val="9"/>
            <color indexed="12"/>
            <rFont val="宋体"/>
            <charset val="134"/>
          </rPr>
          <t>Pop:</t>
        </r>
        <r>
          <rPr>
            <sz val="9"/>
            <color indexed="12"/>
            <rFont val="宋体"/>
            <charset val="134"/>
          </rPr>
          <t xml:space="preserve">
请按照需要自行添加新增科目，新增科目默认为非流动资产、加项。</t>
        </r>
      </text>
    </comment>
    <comment ref="E42" authorId="0">
      <text>
        <r>
          <rPr>
            <b/>
            <sz val="9"/>
            <color indexed="12"/>
            <rFont val="宋体"/>
            <charset val="134"/>
          </rPr>
          <t>Pop:</t>
        </r>
        <r>
          <rPr>
            <sz val="9"/>
            <color indexed="12"/>
            <rFont val="宋体"/>
            <charset val="134"/>
          </rPr>
          <t xml:space="preserve">
请按照需要自行添加新增科目，新增科目默认为所有者权益、加项。</t>
        </r>
      </text>
    </comment>
  </commentList>
</comments>
</file>

<file path=xl/comments3.xml><?xml version="1.0" encoding="utf-8"?>
<comments xmlns="http://schemas.openxmlformats.org/spreadsheetml/2006/main">
  <authors>
    <author>作者</author>
  </authors>
  <commentList>
    <comment ref="A18" authorId="0">
      <text>
        <r>
          <rPr>
            <b/>
            <sz val="9"/>
            <color indexed="12"/>
            <rFont val="宋体"/>
            <charset val="134"/>
          </rPr>
          <t>Pop:</t>
        </r>
        <r>
          <rPr>
            <sz val="9"/>
            <color indexed="12"/>
            <rFont val="宋体"/>
            <charset val="134"/>
          </rPr>
          <t xml:space="preserve">
请按照需要自行添加新增科目，新增科目默认为加项。</t>
        </r>
      </text>
    </comment>
    <comment ref="A28" authorId="0">
      <text>
        <r>
          <rPr>
            <b/>
            <sz val="9"/>
            <color indexed="12"/>
            <rFont val="宋体"/>
            <charset val="134"/>
          </rPr>
          <t>Pop:</t>
        </r>
        <r>
          <rPr>
            <sz val="9"/>
            <color indexed="12"/>
            <rFont val="宋体"/>
            <charset val="134"/>
          </rPr>
          <t xml:space="preserve">
请按照需要自行添加新增科目，新增科目默认为减项。</t>
        </r>
      </text>
    </comment>
  </commentList>
</comments>
</file>

<file path=xl/comments4.xml><?xml version="1.0" encoding="utf-8"?>
<comments xmlns="http://schemas.openxmlformats.org/spreadsheetml/2006/main">
  <authors>
    <author>作者</author>
  </authors>
  <commentList>
    <comment ref="B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C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D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E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F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G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F41"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List>
</comments>
</file>

<file path=xl/comments5.xml><?xml version="1.0" encoding="utf-8"?>
<comments xmlns="http://schemas.openxmlformats.org/spreadsheetml/2006/main">
  <authors>
    <author>作者</author>
  </authors>
  <commentList>
    <comment ref="C4" authorId="0">
      <text>
        <r>
          <rPr>
            <sz val="9"/>
            <rFont val="Tahoma"/>
            <charset val="134"/>
          </rPr>
          <t>=</t>
        </r>
        <r>
          <rPr>
            <sz val="9"/>
            <rFont val="宋体"/>
            <charset val="134"/>
          </rPr>
          <t>审定利润表</t>
        </r>
        <r>
          <rPr>
            <sz val="9"/>
            <rFont val="Tahoma"/>
            <charset val="134"/>
          </rPr>
          <t>!C</t>
        </r>
        <r>
          <rPr>
            <sz val="9"/>
            <rFont val="宋体"/>
            <charset val="134"/>
          </rPr>
          <t>列</t>
        </r>
      </text>
    </comment>
  </commentList>
</comments>
</file>

<file path=xl/comments6.xml><?xml version="1.0" encoding="utf-8"?>
<comments xmlns="http://schemas.openxmlformats.org/spreadsheetml/2006/main">
  <authors>
    <author>作者</author>
  </authors>
  <commentList>
    <comment ref="G48" authorId="0">
      <text>
        <r>
          <rPr>
            <b/>
            <sz val="9"/>
            <rFont val="宋体"/>
            <charset val="134"/>
          </rPr>
          <t>作者:</t>
        </r>
        <r>
          <rPr>
            <sz val="9"/>
            <rFont val="宋体"/>
            <charset val="134"/>
          </rPr>
          <t xml:space="preserve">
可手工填写数据</t>
        </r>
      </text>
    </comment>
    <comment ref="G81" authorId="0">
      <text>
        <r>
          <rPr>
            <b/>
            <sz val="9"/>
            <rFont val="宋体"/>
            <charset val="134"/>
          </rPr>
          <t>作者:</t>
        </r>
        <r>
          <rPr>
            <sz val="9"/>
            <rFont val="宋体"/>
            <charset val="134"/>
          </rPr>
          <t xml:space="preserve">
可手工填写数据</t>
        </r>
      </text>
    </comment>
    <comment ref="G83" authorId="0">
      <text>
        <r>
          <rPr>
            <b/>
            <sz val="9"/>
            <rFont val="宋体"/>
            <charset val="134"/>
          </rPr>
          <t>作者:</t>
        </r>
        <r>
          <rPr>
            <sz val="9"/>
            <rFont val="宋体"/>
            <charset val="134"/>
          </rPr>
          <t xml:space="preserve">
可手工填写数据</t>
        </r>
      </text>
    </comment>
  </commentList>
</comments>
</file>

<file path=xl/comments7.xml><?xml version="1.0" encoding="utf-8"?>
<comments xmlns="http://schemas.openxmlformats.org/spreadsheetml/2006/main">
  <authors>
    <author>作者</author>
  </authors>
  <commentList>
    <comment ref="C15" authorId="0">
      <text>
        <r>
          <rPr>
            <b/>
            <sz val="9"/>
            <color indexed="12"/>
            <rFont val="宋体"/>
            <charset val="134"/>
          </rPr>
          <t>Pop:</t>
        </r>
        <r>
          <rPr>
            <sz val="9"/>
            <color indexed="12"/>
            <rFont val="宋体"/>
            <charset val="134"/>
          </rPr>
          <t xml:space="preserve">
默认从未审报表取数，可以根据实际调整情况手工修改填列。</t>
        </r>
      </text>
    </comment>
    <comment ref="D15" authorId="0">
      <text>
        <r>
          <rPr>
            <b/>
            <sz val="9"/>
            <color indexed="12"/>
            <rFont val="宋体"/>
            <charset val="134"/>
          </rPr>
          <t>Pop:</t>
        </r>
        <r>
          <rPr>
            <sz val="9"/>
            <color indexed="12"/>
            <rFont val="宋体"/>
            <charset val="134"/>
          </rPr>
          <t xml:space="preserve">
默认从未审报表取数，可以根据实际调整情况手工修改填列。</t>
        </r>
      </text>
    </comment>
    <comment ref="C32" authorId="0">
      <text>
        <r>
          <rPr>
            <b/>
            <sz val="9"/>
            <color indexed="12"/>
            <rFont val="宋体"/>
            <charset val="134"/>
          </rPr>
          <t>Pop:</t>
        </r>
        <r>
          <rPr>
            <sz val="9"/>
            <color indexed="12"/>
            <rFont val="宋体"/>
            <charset val="134"/>
          </rPr>
          <t xml:space="preserve">
手工填列。</t>
        </r>
      </text>
    </comment>
    <comment ref="D32" authorId="0">
      <text>
        <r>
          <rPr>
            <b/>
            <sz val="9"/>
            <color indexed="12"/>
            <rFont val="宋体"/>
            <charset val="134"/>
          </rPr>
          <t>Pop:</t>
        </r>
        <r>
          <rPr>
            <sz val="9"/>
            <color indexed="12"/>
            <rFont val="宋体"/>
            <charset val="134"/>
          </rPr>
          <t xml:space="preserve">
手工填列。</t>
        </r>
      </text>
    </comment>
    <comment ref="C33" authorId="0">
      <text>
        <r>
          <rPr>
            <b/>
            <sz val="9"/>
            <color indexed="12"/>
            <rFont val="宋体"/>
            <charset val="134"/>
          </rPr>
          <t>Pop:</t>
        </r>
        <r>
          <rPr>
            <sz val="9"/>
            <color indexed="12"/>
            <rFont val="宋体"/>
            <charset val="134"/>
          </rPr>
          <t xml:space="preserve">
手工填列。</t>
        </r>
      </text>
    </comment>
    <comment ref="D33" authorId="0">
      <text>
        <r>
          <rPr>
            <b/>
            <sz val="9"/>
            <color indexed="12"/>
            <rFont val="宋体"/>
            <charset val="134"/>
          </rPr>
          <t>Pop:</t>
        </r>
        <r>
          <rPr>
            <sz val="9"/>
            <color indexed="12"/>
            <rFont val="宋体"/>
            <charset val="134"/>
          </rPr>
          <t xml:space="preserve">
手工填列。</t>
        </r>
      </text>
    </comment>
  </commentList>
</comments>
</file>

<file path=xl/comments8.xml><?xml version="1.0" encoding="utf-8"?>
<comments xmlns="http://schemas.openxmlformats.org/spreadsheetml/2006/main">
  <authors>
    <author>作者</author>
  </authors>
  <commentList>
    <comment ref="D48" authorId="0">
      <text>
        <r>
          <rPr>
            <b/>
            <sz val="9"/>
            <color indexed="12"/>
            <rFont val="宋体"/>
            <charset val="134"/>
          </rPr>
          <t>Pop:</t>
        </r>
        <r>
          <rPr>
            <sz val="9"/>
            <color indexed="12"/>
            <rFont val="宋体"/>
            <charset val="134"/>
          </rPr>
          <t xml:space="preserve">
默认从未审报表取数，可以根据实际调整情况手工修改填列。</t>
        </r>
      </text>
    </comment>
    <comment ref="C75" authorId="0">
      <text>
        <r>
          <rPr>
            <b/>
            <sz val="9"/>
            <color indexed="12"/>
            <rFont val="宋体"/>
            <charset val="134"/>
          </rPr>
          <t>Pop:</t>
        </r>
        <r>
          <rPr>
            <sz val="9"/>
            <color indexed="12"/>
            <rFont val="宋体"/>
            <charset val="134"/>
          </rPr>
          <t xml:space="preserve">
默认从未审报表取数，可以根据实际调整情况手工修改填列。</t>
        </r>
      </text>
    </comment>
    <comment ref="D75" authorId="0">
      <text>
        <r>
          <rPr>
            <b/>
            <sz val="9"/>
            <color indexed="12"/>
            <rFont val="宋体"/>
            <charset val="134"/>
          </rPr>
          <t>Pop:</t>
        </r>
        <r>
          <rPr>
            <sz val="9"/>
            <color indexed="12"/>
            <rFont val="宋体"/>
            <charset val="134"/>
          </rPr>
          <t xml:space="preserve">
默认从未审报表取数，可以根据实际调整情况手工修改填列。</t>
        </r>
      </text>
    </comment>
    <comment ref="C76" authorId="0">
      <text>
        <r>
          <rPr>
            <b/>
            <sz val="9"/>
            <color indexed="12"/>
            <rFont val="宋体"/>
            <charset val="134"/>
          </rPr>
          <t>Pop:</t>
        </r>
        <r>
          <rPr>
            <sz val="9"/>
            <color indexed="12"/>
            <rFont val="宋体"/>
            <charset val="134"/>
          </rPr>
          <t xml:space="preserve">
默认从未审报表取数，可以根据实际调整情况手工修改填列。</t>
        </r>
      </text>
    </comment>
    <comment ref="D76" authorId="0">
      <text>
        <r>
          <rPr>
            <b/>
            <sz val="9"/>
            <color indexed="12"/>
            <rFont val="宋体"/>
            <charset val="134"/>
          </rPr>
          <t>Pop:</t>
        </r>
        <r>
          <rPr>
            <sz val="9"/>
            <color indexed="12"/>
            <rFont val="宋体"/>
            <charset val="134"/>
          </rPr>
          <t xml:space="preserve">
默认从未审报表取数，可以根据实际调整情况手工修改填列。</t>
        </r>
      </text>
    </comment>
    <comment ref="C77" authorId="0">
      <text>
        <r>
          <rPr>
            <b/>
            <sz val="9"/>
            <color indexed="12"/>
            <rFont val="宋体"/>
            <charset val="134"/>
          </rPr>
          <t>Pop:</t>
        </r>
        <r>
          <rPr>
            <sz val="9"/>
            <color indexed="12"/>
            <rFont val="宋体"/>
            <charset val="134"/>
          </rPr>
          <t xml:space="preserve">
默认从未审报表取数，可以根据实际调整情况手工修改填列。</t>
        </r>
      </text>
    </comment>
    <comment ref="D77" authorId="0">
      <text>
        <r>
          <rPr>
            <b/>
            <sz val="9"/>
            <color indexed="12"/>
            <rFont val="宋体"/>
            <charset val="134"/>
          </rPr>
          <t>Pop:</t>
        </r>
        <r>
          <rPr>
            <sz val="9"/>
            <color indexed="12"/>
            <rFont val="宋体"/>
            <charset val="134"/>
          </rPr>
          <t xml:space="preserve">
默认从未审报表取数，可以根据实际调整情况手工修改填列。</t>
        </r>
      </text>
    </comment>
    <comment ref="C82" authorId="0">
      <text>
        <r>
          <rPr>
            <b/>
            <sz val="9"/>
            <color indexed="12"/>
            <rFont val="宋体"/>
            <charset val="134"/>
          </rPr>
          <t>Pop:</t>
        </r>
        <r>
          <rPr>
            <sz val="9"/>
            <color indexed="12"/>
            <rFont val="宋体"/>
            <charset val="134"/>
          </rPr>
          <t xml:space="preserve">
默认从未审报表取数，可以根据实际调整情况手工修改填列。</t>
        </r>
      </text>
    </comment>
    <comment ref="D82" authorId="0">
      <text>
        <r>
          <rPr>
            <b/>
            <sz val="9"/>
            <color indexed="12"/>
            <rFont val="宋体"/>
            <charset val="134"/>
          </rPr>
          <t>Pop:</t>
        </r>
        <r>
          <rPr>
            <sz val="9"/>
            <color indexed="12"/>
            <rFont val="宋体"/>
            <charset val="134"/>
          </rPr>
          <t xml:space="preserve">
默认从未审报表取数，可以根据实际调整情况手工修改填列。</t>
        </r>
      </text>
    </comment>
    <comment ref="C83" authorId="0">
      <text>
        <r>
          <rPr>
            <b/>
            <sz val="9"/>
            <color indexed="12"/>
            <rFont val="宋体"/>
            <charset val="134"/>
          </rPr>
          <t>Pop:</t>
        </r>
        <r>
          <rPr>
            <sz val="9"/>
            <color indexed="12"/>
            <rFont val="宋体"/>
            <charset val="134"/>
          </rPr>
          <t xml:space="preserve">
默认从未审报表取数，可以根据实际调整情况手工修改填列。</t>
        </r>
      </text>
    </comment>
    <comment ref="D83" authorId="0">
      <text>
        <r>
          <rPr>
            <b/>
            <sz val="9"/>
            <color indexed="12"/>
            <rFont val="宋体"/>
            <charset val="134"/>
          </rPr>
          <t>Pop:</t>
        </r>
        <r>
          <rPr>
            <sz val="9"/>
            <color indexed="12"/>
            <rFont val="宋体"/>
            <charset val="134"/>
          </rPr>
          <t xml:space="preserve">
默认从未审报表取数，可以根据实际调整情况手工修改填列。</t>
        </r>
      </text>
    </comment>
  </commentList>
</comments>
</file>

<file path=xl/comments9.xml><?xml version="1.0" encoding="utf-8"?>
<comments xmlns="http://schemas.openxmlformats.org/spreadsheetml/2006/main">
  <authors>
    <author>作者</author>
  </authors>
  <commentList>
    <comment ref="B7" authorId="0">
      <text>
        <r>
          <rPr>
            <b/>
            <sz val="9"/>
            <color indexed="12"/>
            <rFont val="宋体"/>
            <charset val="134"/>
          </rPr>
          <t>Pop:</t>
        </r>
        <r>
          <rPr>
            <sz val="9"/>
            <color indexed="12"/>
            <rFont val="宋体"/>
            <charset val="134"/>
          </rPr>
          <t xml:space="preserve">
本表空白数据均默认从未审表中取数，可以根据调整情况手工修改</t>
        </r>
        <r>
          <rPr>
            <sz val="9"/>
            <rFont val="宋体"/>
            <charset val="134"/>
          </rPr>
          <t>。</t>
        </r>
      </text>
    </comment>
    <comment ref="B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C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D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E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F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G9"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 ref="F41" authorId="0">
      <text>
        <r>
          <rPr>
            <b/>
            <sz val="9"/>
            <color indexed="12"/>
            <rFont val="宋体"/>
            <charset val="134"/>
          </rPr>
          <t>Pop:</t>
        </r>
        <r>
          <rPr>
            <sz val="9"/>
            <color indexed="12"/>
            <rFont val="宋体"/>
            <charset val="134"/>
          </rPr>
          <t xml:space="preserve">
本栏数据系“本年年初余额”减“上年年末余额”和“会计政策变更”自动生成，如果不为零，请仔细核对，确认该数据无误。</t>
        </r>
      </text>
    </comment>
  </commentList>
</comments>
</file>

<file path=xl/comments10.xml><?xml version="1.0" encoding="utf-8"?>
<comments xmlns="http://schemas.openxmlformats.org/spreadsheetml/2006/main">
  <authors>
    <author>作者</author>
  </authors>
  <commentList>
    <comment ref="B1" authorId="0">
      <text>
        <r>
          <rPr>
            <b/>
            <sz val="9"/>
            <rFont val="宋体"/>
            <charset val="134"/>
          </rPr>
          <t>作者:</t>
        </r>
        <r>
          <rPr>
            <sz val="9"/>
            <rFont val="宋体"/>
            <charset val="134"/>
          </rPr>
          <t xml:space="preserve">
请不要插行。
</t>
        </r>
      </text>
    </comment>
    <comment ref="D1" authorId="0">
      <text>
        <r>
          <rPr>
            <b/>
            <sz val="9"/>
            <rFont val="Tahoma"/>
            <charset val="134"/>
          </rPr>
          <t xml:space="preserve">作者:
</t>
        </r>
      </text>
    </comment>
  </commentList>
</comments>
</file>

<file path=xl/comments11.xml><?xml version="1.0" encoding="utf-8"?>
<comments xmlns="http://schemas.openxmlformats.org/spreadsheetml/2006/main">
  <authors>
    <author>作者</author>
  </authors>
  <commentList>
    <comment ref="G2" authorId="0">
      <text>
        <r>
          <rPr>
            <b/>
            <sz val="9"/>
            <rFont val="宋体"/>
            <charset val="134"/>
          </rPr>
          <t>数据如复杂，可以后附附件。</t>
        </r>
        <r>
          <rPr>
            <sz val="9"/>
            <rFont val="Tahoma"/>
            <charset val="134"/>
          </rPr>
          <t xml:space="preserve">
</t>
        </r>
      </text>
    </comment>
  </commentList>
</comments>
</file>

<file path=xl/comments12.xml><?xml version="1.0" encoding="utf-8"?>
<comments xmlns="http://schemas.openxmlformats.org/spreadsheetml/2006/main">
  <authors>
    <author>作者</author>
  </authors>
  <commentList>
    <comment ref="D3" authorId="0">
      <text>
        <r>
          <rPr>
            <sz val="9"/>
            <rFont val="宋体"/>
            <charset val="134"/>
          </rPr>
          <t>1、此表不能删行、添行
2、填写差异原因时，为便于汇总，各金额只能写在D列，且金额和差异金额方向相反，及解释的金额和差异金额汇总等于0.</t>
        </r>
        <r>
          <rPr>
            <sz val="9"/>
            <rFont val="Tahoma"/>
            <charset val="134"/>
          </rPr>
          <t xml:space="preserve">
</t>
        </r>
      </text>
    </comment>
  </commentList>
</comments>
</file>

<file path=xl/comments13.xml><?xml version="1.0" encoding="utf-8"?>
<comments xmlns="http://schemas.openxmlformats.org/spreadsheetml/2006/main">
  <authors>
    <author>作者</author>
  </authors>
  <commentList>
    <comment ref="G7" authorId="0">
      <text>
        <r>
          <rPr>
            <b/>
            <sz val="9"/>
            <rFont val="宋体"/>
            <charset val="134"/>
          </rPr>
          <t xml:space="preserve">1.数据如复杂，可以后附表格。
</t>
        </r>
        <r>
          <rPr>
            <sz val="9"/>
            <rFont val="Tahoma"/>
            <charset val="134"/>
          </rPr>
          <t xml:space="preserve">
</t>
        </r>
        <r>
          <rPr>
            <sz val="9"/>
            <rFont val="宋体"/>
            <charset val="134"/>
          </rPr>
          <t>2.报告期主要会计报表项目、财务指标发生变动的情况及原因
变动幅度达30%（含30%）以上</t>
        </r>
      </text>
    </comment>
  </commentList>
</comments>
</file>

<file path=xl/comments14.xml><?xml version="1.0" encoding="utf-8"?>
<comments xmlns="http://schemas.openxmlformats.org/spreadsheetml/2006/main">
  <authors>
    <author>作者</author>
  </authors>
  <commentList>
    <comment ref="G1" authorId="0">
      <text>
        <r>
          <rPr>
            <b/>
            <sz val="9"/>
            <rFont val="宋体"/>
            <charset val="134"/>
          </rPr>
          <t>作者:</t>
        </r>
        <r>
          <rPr>
            <sz val="9"/>
            <rFont val="宋体"/>
            <charset val="134"/>
          </rPr>
          <t xml:space="preserve">
请填列该公司的公司名称简称</t>
        </r>
      </text>
    </comment>
    <comment ref="E40" authorId="0">
      <text>
        <r>
          <rPr>
            <b/>
            <sz val="9"/>
            <rFont val="宋体"/>
            <charset val="134"/>
          </rPr>
          <t>作者:</t>
        </r>
        <r>
          <rPr>
            <sz val="9"/>
            <rFont val="宋体"/>
            <charset val="134"/>
          </rPr>
          <t xml:space="preserve">
可以选择修改</t>
        </r>
      </text>
    </comment>
    <comment ref="E72" authorId="0">
      <text>
        <r>
          <rPr>
            <b/>
            <sz val="9"/>
            <rFont val="宋体"/>
            <charset val="134"/>
          </rPr>
          <t>作者:</t>
        </r>
        <r>
          <rPr>
            <sz val="9"/>
            <rFont val="宋体"/>
            <charset val="134"/>
          </rPr>
          <t xml:space="preserve">
另列明细，在《应收应付票据明细表》填写</t>
        </r>
      </text>
    </comment>
    <comment ref="E80" authorId="0">
      <text>
        <r>
          <rPr>
            <b/>
            <sz val="9"/>
            <rFont val="宋体"/>
            <charset val="134"/>
          </rPr>
          <t>作者:</t>
        </r>
        <r>
          <rPr>
            <sz val="9"/>
            <rFont val="宋体"/>
            <charset val="134"/>
          </rPr>
          <t xml:space="preserve">
另列明细在《应收应付票据明细表》填写，此表不填</t>
        </r>
      </text>
    </comment>
    <comment ref="E100" authorId="0">
      <text>
        <r>
          <rPr>
            <b/>
            <sz val="9"/>
            <rFont val="宋体"/>
            <charset val="134"/>
          </rPr>
          <t>作者:</t>
        </r>
        <r>
          <rPr>
            <sz val="9"/>
            <rFont val="宋体"/>
            <charset val="134"/>
          </rPr>
          <t xml:space="preserve">
另列明细</t>
        </r>
      </text>
    </comment>
    <comment ref="E614" authorId="0">
      <text>
        <r>
          <rPr>
            <sz val="9"/>
            <rFont val="Tahoma"/>
            <charset val="134"/>
          </rPr>
          <t xml:space="preserve">
</t>
        </r>
        <r>
          <rPr>
            <sz val="9"/>
            <rFont val="宋体"/>
            <charset val="134"/>
          </rPr>
          <t>可分类合并填列：如员工个人往来合并填列即可</t>
        </r>
      </text>
    </comment>
    <comment ref="E848" authorId="0">
      <text>
        <r>
          <rPr>
            <b/>
            <sz val="9"/>
            <rFont val="宋体"/>
            <charset val="134"/>
          </rPr>
          <t>作者:</t>
        </r>
        <r>
          <rPr>
            <sz val="9"/>
            <rFont val="宋体"/>
            <charset val="134"/>
          </rPr>
          <t xml:space="preserve">
按照13年的审计报告中披露的存货项目进行归类列示</t>
        </r>
      </text>
    </comment>
    <comment ref="E948" authorId="0">
      <text>
        <r>
          <rPr>
            <sz val="9"/>
            <rFont val="宋体"/>
            <charset val="134"/>
          </rPr>
          <t>预交的房产税</t>
        </r>
        <r>
          <rPr>
            <sz val="9"/>
            <rFont val="Tahoma"/>
            <charset val="134"/>
          </rPr>
          <t xml:space="preserve"> </t>
        </r>
        <r>
          <rPr>
            <sz val="9"/>
            <rFont val="宋体"/>
            <charset val="134"/>
          </rPr>
          <t>、土地使用税</t>
        </r>
        <r>
          <rPr>
            <sz val="9"/>
            <rFont val="Tahoma"/>
            <charset val="134"/>
          </rPr>
          <t xml:space="preserve"> </t>
        </r>
        <r>
          <rPr>
            <sz val="9"/>
            <rFont val="宋体"/>
            <charset val="134"/>
          </rPr>
          <t>等</t>
        </r>
        <r>
          <rPr>
            <sz val="9"/>
            <rFont val="Tahoma"/>
            <charset val="134"/>
          </rPr>
          <t xml:space="preserve"> 
</t>
        </r>
      </text>
    </comment>
    <comment ref="M1143" authorId="0">
      <text>
        <r>
          <rPr>
            <b/>
            <sz val="9"/>
            <rFont val="宋体"/>
            <charset val="134"/>
          </rPr>
          <t>作者:</t>
        </r>
        <r>
          <rPr>
            <sz val="9"/>
            <rFont val="宋体"/>
            <charset val="134"/>
          </rPr>
          <t xml:space="preserve">
增加子公司填列用正数，减少子公司填列用负数</t>
        </r>
      </text>
    </comment>
    <comment ref="T1280" authorId="0">
      <text>
        <r>
          <rPr>
            <b/>
            <sz val="9"/>
            <rFont val="宋体"/>
            <charset val="134"/>
          </rPr>
          <t>作者:</t>
        </r>
        <r>
          <rPr>
            <sz val="9"/>
            <rFont val="宋体"/>
            <charset val="134"/>
          </rPr>
          <t xml:space="preserve">
增加子公司填列用正数，减少子公司填列用负数</t>
        </r>
      </text>
    </comment>
    <comment ref="L1420" authorId="0">
      <text>
        <r>
          <rPr>
            <b/>
            <sz val="9"/>
            <rFont val="宋体"/>
            <charset val="134"/>
          </rPr>
          <t>作者:</t>
        </r>
        <r>
          <rPr>
            <sz val="9"/>
            <rFont val="宋体"/>
            <charset val="134"/>
          </rPr>
          <t xml:space="preserve">
增加子公司填列用正数，减少子公司填列用负数</t>
        </r>
      </text>
    </comment>
    <comment ref="N1728" authorId="0">
      <text>
        <r>
          <rPr>
            <b/>
            <sz val="9"/>
            <rFont val="宋体"/>
            <charset val="134"/>
          </rPr>
          <t>作者:</t>
        </r>
        <r>
          <rPr>
            <sz val="9"/>
            <rFont val="宋体"/>
            <charset val="134"/>
          </rPr>
          <t xml:space="preserve">
增加子公司数据用正数，减少子公司数据用负数</t>
        </r>
      </text>
    </comment>
    <comment ref="E2575" authorId="0">
      <text>
        <r>
          <rPr>
            <b/>
            <sz val="9"/>
            <rFont val="宋体"/>
            <charset val="134"/>
          </rPr>
          <t>作者:</t>
        </r>
        <r>
          <rPr>
            <sz val="9"/>
            <rFont val="宋体"/>
            <charset val="134"/>
          </rPr>
          <t xml:space="preserve">
改了</t>
        </r>
      </text>
    </comment>
    <comment ref="J2734" authorId="0">
      <text>
        <r>
          <rPr>
            <sz val="9"/>
            <rFont val="宋体"/>
            <charset val="134"/>
          </rPr>
          <t>“票据贴现利息“请填写“其他-票据贴现”单元格Ｊ2745</t>
        </r>
      </text>
    </comment>
    <comment ref="H2735" authorId="0">
      <text>
        <r>
          <rPr>
            <sz val="9"/>
            <rFont val="宋体"/>
            <charset val="134"/>
          </rPr>
          <t>收入以负号（-）填写</t>
        </r>
      </text>
    </comment>
    <comment ref="F2754" authorId="0">
      <text>
        <r>
          <rPr>
            <b/>
            <sz val="9"/>
            <rFont val="宋体"/>
            <charset val="134"/>
          </rPr>
          <t>作者:</t>
        </r>
        <r>
          <rPr>
            <sz val="9"/>
            <rFont val="宋体"/>
            <charset val="134"/>
          </rPr>
          <t xml:space="preserve">
已含研发费</t>
        </r>
        <r>
          <rPr>
            <sz val="9"/>
            <rFont val="Tahoma"/>
            <charset val="134"/>
          </rPr>
          <t>-</t>
        </r>
        <r>
          <rPr>
            <sz val="9"/>
            <rFont val="宋体"/>
            <charset val="134"/>
          </rPr>
          <t>应付职工薪酬</t>
        </r>
      </text>
    </comment>
    <comment ref="F2765" authorId="0">
      <text>
        <r>
          <rPr>
            <b/>
            <sz val="9"/>
            <rFont val="宋体"/>
            <charset val="134"/>
          </rPr>
          <t>作者:</t>
        </r>
        <r>
          <rPr>
            <sz val="9"/>
            <rFont val="宋体"/>
            <charset val="134"/>
          </rPr>
          <t xml:space="preserve">
已含研发费</t>
        </r>
        <r>
          <rPr>
            <sz val="9"/>
            <rFont val="Tahoma"/>
            <charset val="134"/>
          </rPr>
          <t>-</t>
        </r>
        <r>
          <rPr>
            <sz val="9"/>
            <rFont val="宋体"/>
            <charset val="134"/>
          </rPr>
          <t>折旧</t>
        </r>
      </text>
    </comment>
    <comment ref="F2766" authorId="0">
      <text>
        <r>
          <rPr>
            <b/>
            <sz val="9"/>
            <rFont val="宋体"/>
            <charset val="134"/>
          </rPr>
          <t>作者:</t>
        </r>
        <r>
          <rPr>
            <sz val="9"/>
            <rFont val="宋体"/>
            <charset val="134"/>
          </rPr>
          <t xml:space="preserve">
已含研发费</t>
        </r>
        <r>
          <rPr>
            <sz val="9"/>
            <rFont val="Tahoma"/>
            <charset val="134"/>
          </rPr>
          <t>-</t>
        </r>
        <r>
          <rPr>
            <sz val="9"/>
            <rFont val="宋体"/>
            <charset val="134"/>
          </rPr>
          <t>摊销</t>
        </r>
      </text>
    </comment>
    <comment ref="F2767" authorId="0">
      <text>
        <r>
          <rPr>
            <b/>
            <sz val="9"/>
            <rFont val="宋体"/>
            <charset val="134"/>
          </rPr>
          <t>作者:</t>
        </r>
        <r>
          <rPr>
            <sz val="9"/>
            <rFont val="宋体"/>
            <charset val="134"/>
          </rPr>
          <t xml:space="preserve">
含研发费</t>
        </r>
        <r>
          <rPr>
            <sz val="9"/>
            <rFont val="Tahoma"/>
            <charset val="134"/>
          </rPr>
          <t>-</t>
        </r>
        <r>
          <rPr>
            <sz val="9"/>
            <rFont val="宋体"/>
            <charset val="134"/>
          </rPr>
          <t>税金</t>
        </r>
      </text>
    </comment>
    <comment ref="E2788" authorId="0">
      <text>
        <r>
          <rPr>
            <b/>
            <sz val="9"/>
            <rFont val="宋体"/>
            <charset val="134"/>
          </rPr>
          <t>作者:</t>
        </r>
        <r>
          <rPr>
            <sz val="9"/>
            <rFont val="宋体"/>
            <charset val="134"/>
          </rPr>
          <t xml:space="preserve">
不含
应付职工薪酬
固定资产折旧
无形资产摊销
税金</t>
        </r>
      </text>
    </comment>
    <comment ref="F2830" authorId="0">
      <text>
        <r>
          <rPr>
            <b/>
            <sz val="9"/>
            <rFont val="宋体"/>
            <charset val="134"/>
          </rPr>
          <t>作者:</t>
        </r>
        <r>
          <rPr>
            <sz val="9"/>
            <rFont val="宋体"/>
            <charset val="134"/>
          </rPr>
          <t xml:space="preserve">
工会经费公式变动
原</t>
        </r>
        <r>
          <rPr>
            <sz val="9"/>
            <rFont val="Tahoma"/>
            <charset val="134"/>
          </rPr>
          <t>='2.</t>
        </r>
        <r>
          <rPr>
            <sz val="9"/>
            <rFont val="宋体"/>
            <charset val="134"/>
          </rPr>
          <t>销售费用</t>
        </r>
        <r>
          <rPr>
            <sz val="9"/>
            <rFont val="Tahoma"/>
            <charset val="134"/>
          </rPr>
          <t>'!H14</t>
        </r>
        <r>
          <rPr>
            <sz val="9"/>
            <rFont val="宋体"/>
            <charset val="134"/>
          </rPr>
          <t xml:space="preserve">
改后</t>
        </r>
        <r>
          <rPr>
            <sz val="9"/>
            <rFont val="Tahoma"/>
            <charset val="134"/>
          </rPr>
          <t>='2.</t>
        </r>
        <r>
          <rPr>
            <sz val="9"/>
            <rFont val="宋体"/>
            <charset val="134"/>
          </rPr>
          <t>销售费用</t>
        </r>
        <r>
          <rPr>
            <sz val="9"/>
            <rFont val="Tahoma"/>
            <charset val="134"/>
          </rPr>
          <t>'!H13</t>
        </r>
      </text>
    </comment>
    <comment ref="F2831" authorId="0">
      <text>
        <r>
          <rPr>
            <b/>
            <sz val="9"/>
            <rFont val="宋体"/>
            <charset val="134"/>
          </rPr>
          <t>作者:</t>
        </r>
        <r>
          <rPr>
            <sz val="9"/>
            <rFont val="宋体"/>
            <charset val="134"/>
          </rPr>
          <t xml:space="preserve">
公式变动</t>
        </r>
      </text>
    </comment>
    <comment ref="F2914" authorId="0">
      <text>
        <r>
          <rPr>
            <b/>
            <sz val="9"/>
            <rFont val="Tahoma"/>
            <charset val="134"/>
          </rPr>
          <t>作者:</t>
        </r>
        <r>
          <rPr>
            <sz val="9"/>
            <rFont val="Tahoma"/>
            <charset val="134"/>
          </rPr>
          <t xml:space="preserve">
“</t>
        </r>
        <r>
          <rPr>
            <sz val="9"/>
            <rFont val="宋体"/>
            <charset val="134"/>
          </rPr>
          <t>其他</t>
        </r>
        <r>
          <rPr>
            <sz val="9"/>
            <rFont val="Tahoma"/>
            <charset val="134"/>
          </rPr>
          <t>”</t>
        </r>
        <r>
          <rPr>
            <sz val="9"/>
            <rFont val="宋体"/>
            <charset val="134"/>
          </rPr>
          <t>项目大于</t>
        </r>
        <r>
          <rPr>
            <sz val="9"/>
            <rFont val="Tahoma"/>
            <charset val="134"/>
          </rPr>
          <t>20</t>
        </r>
        <r>
          <rPr>
            <sz val="9"/>
            <rFont val="宋体"/>
            <charset val="134"/>
          </rPr>
          <t>万元，在右边表说明</t>
        </r>
      </text>
    </comment>
    <comment ref="E3035" authorId="0">
      <text>
        <r>
          <rPr>
            <b/>
            <sz val="9"/>
            <rFont val="宋体"/>
            <charset val="134"/>
          </rPr>
          <t>作者:</t>
        </r>
        <r>
          <rPr>
            <sz val="9"/>
            <rFont val="宋体"/>
            <charset val="134"/>
          </rPr>
          <t xml:space="preserve">
前期确认存货跌价转销
递延所得税资产减少</t>
        </r>
      </text>
    </comment>
    <comment ref="E3051" authorId="0">
      <text>
        <r>
          <rPr>
            <sz val="9"/>
            <rFont val="宋体"/>
            <charset val="134"/>
          </rPr>
          <t>前期确认存货跌价转销
递延所得税资产减少，按“+”</t>
        </r>
      </text>
    </comment>
    <comment ref="E3059" authorId="0">
      <text>
        <r>
          <rPr>
            <b/>
            <sz val="9"/>
            <rFont val="宋体"/>
            <charset val="134"/>
          </rPr>
          <t>作者:</t>
        </r>
        <r>
          <rPr>
            <sz val="9"/>
            <rFont val="宋体"/>
            <charset val="134"/>
          </rPr>
          <t xml:space="preserve">
（正数填列）</t>
        </r>
      </text>
    </comment>
    <comment ref="E3757" authorId="0">
      <text>
        <r>
          <rPr>
            <sz val="9"/>
            <rFont val="宋体"/>
            <charset val="134"/>
          </rPr>
          <t>其中：本期收购子公司增加</t>
        </r>
      </text>
    </comment>
    <comment ref="E3761" authorId="0">
      <text>
        <r>
          <rPr>
            <b/>
            <sz val="9"/>
            <rFont val="宋体"/>
            <charset val="134"/>
          </rPr>
          <t>作者:</t>
        </r>
        <r>
          <rPr>
            <sz val="9"/>
            <rFont val="宋体"/>
            <charset val="134"/>
          </rPr>
          <t xml:space="preserve">
投资性房地产转出</t>
        </r>
      </text>
    </comment>
    <comment ref="E3762" authorId="0">
      <text>
        <r>
          <rPr>
            <sz val="9"/>
            <rFont val="宋体"/>
            <charset val="134"/>
          </rPr>
          <t>其中：本期出售子公司减少</t>
        </r>
      </text>
    </comment>
    <comment ref="E3768" authorId="0">
      <text>
        <r>
          <rPr>
            <b/>
            <sz val="9"/>
            <rFont val="宋体"/>
            <charset val="134"/>
          </rPr>
          <t>作者:</t>
        </r>
        <r>
          <rPr>
            <sz val="9"/>
            <rFont val="宋体"/>
            <charset val="134"/>
          </rPr>
          <t xml:space="preserve">
固定资产\无形资产转入</t>
        </r>
      </text>
    </comment>
    <comment ref="E3769" authorId="0">
      <text>
        <r>
          <rPr>
            <b/>
            <sz val="9"/>
            <rFont val="宋体"/>
            <charset val="134"/>
          </rPr>
          <t>作者:</t>
        </r>
        <r>
          <rPr>
            <sz val="9"/>
            <rFont val="宋体"/>
            <charset val="134"/>
          </rPr>
          <t xml:space="preserve">
其中：本期收购子公司增加</t>
        </r>
      </text>
    </comment>
    <comment ref="E3773" authorId="0">
      <text>
        <r>
          <rPr>
            <b/>
            <sz val="9"/>
            <rFont val="宋体"/>
            <charset val="134"/>
          </rPr>
          <t>作者:</t>
        </r>
        <r>
          <rPr>
            <sz val="9"/>
            <rFont val="宋体"/>
            <charset val="134"/>
          </rPr>
          <t xml:space="preserve">
其中：本期出售子公司减少</t>
        </r>
      </text>
    </comment>
    <comment ref="E3796" authorId="0">
      <text>
        <r>
          <rPr>
            <b/>
            <sz val="9"/>
            <rFont val="宋体"/>
            <charset val="134"/>
          </rPr>
          <t>作者:</t>
        </r>
        <r>
          <rPr>
            <sz val="9"/>
            <rFont val="宋体"/>
            <charset val="134"/>
          </rPr>
          <t xml:space="preserve">
注：蓝色字体是深交所固定项目</t>
        </r>
      </text>
    </comment>
    <comment ref="E3802" authorId="0">
      <text>
        <r>
          <rPr>
            <sz val="9"/>
            <rFont val="宋体"/>
            <charset val="134"/>
          </rPr>
          <t>本期新加公司</t>
        </r>
      </text>
    </comment>
    <comment ref="E3804" authorId="0">
      <text>
        <r>
          <rPr>
            <b/>
            <sz val="9"/>
            <rFont val="宋体"/>
            <charset val="134"/>
          </rPr>
          <t>作者:</t>
        </r>
        <r>
          <rPr>
            <sz val="9"/>
            <rFont val="宋体"/>
            <charset val="134"/>
          </rPr>
          <t xml:space="preserve">
法国业务并购</t>
        </r>
      </text>
    </comment>
    <comment ref="E3805" authorId="0">
      <text>
        <r>
          <rPr>
            <sz val="9"/>
            <rFont val="宋体"/>
            <charset val="134"/>
          </rPr>
          <t>外币报表折算</t>
        </r>
      </text>
    </comment>
    <comment ref="E3809" authorId="0">
      <text>
        <r>
          <rPr>
            <b/>
            <sz val="9"/>
            <rFont val="宋体"/>
            <charset val="134"/>
          </rPr>
          <t>作者:</t>
        </r>
        <r>
          <rPr>
            <sz val="9"/>
            <rFont val="宋体"/>
            <charset val="134"/>
          </rPr>
          <t xml:space="preserve">
子公司处置</t>
        </r>
      </text>
    </comment>
    <comment ref="E3817" authorId="0">
      <text>
        <r>
          <rPr>
            <b/>
            <sz val="9"/>
            <rFont val="宋体"/>
            <charset val="134"/>
          </rPr>
          <t>作者:</t>
        </r>
        <r>
          <rPr>
            <sz val="9"/>
            <rFont val="宋体"/>
            <charset val="134"/>
          </rPr>
          <t xml:space="preserve">
江粉房投转回
</t>
        </r>
      </text>
    </comment>
    <comment ref="E3822" authorId="0">
      <text>
        <r>
          <rPr>
            <b/>
            <sz val="9"/>
            <rFont val="宋体"/>
            <charset val="134"/>
          </rPr>
          <t>作者:</t>
        </r>
        <r>
          <rPr>
            <sz val="9"/>
            <rFont val="宋体"/>
            <charset val="134"/>
          </rPr>
          <t xml:space="preserve">
子公司处置减少</t>
        </r>
      </text>
    </comment>
    <comment ref="E3851" authorId="0">
      <text>
        <r>
          <rPr>
            <b/>
            <sz val="9"/>
            <rFont val="宋体"/>
            <charset val="134"/>
          </rPr>
          <t>作者:</t>
        </r>
        <r>
          <rPr>
            <sz val="9"/>
            <rFont val="宋体"/>
            <charset val="134"/>
          </rPr>
          <t xml:space="preserve">
注：：
蓝色字体-深交所系统要求项目；
</t>
        </r>
      </text>
    </comment>
    <comment ref="E3859" authorId="0">
      <text>
        <r>
          <rPr>
            <sz val="9"/>
            <rFont val="宋体"/>
            <charset val="134"/>
          </rPr>
          <t>外币报表折算</t>
        </r>
      </text>
    </comment>
    <comment ref="E3863" authorId="0">
      <text>
        <r>
          <rPr>
            <b/>
            <sz val="9"/>
            <rFont val="宋体"/>
            <charset val="134"/>
          </rPr>
          <t>作者:</t>
        </r>
        <r>
          <rPr>
            <sz val="9"/>
            <rFont val="宋体"/>
            <charset val="134"/>
          </rPr>
          <t xml:space="preserve">
子公司处置</t>
        </r>
      </text>
    </comment>
    <comment ref="E3876" authorId="0">
      <text>
        <r>
          <rPr>
            <b/>
            <sz val="9"/>
            <rFont val="宋体"/>
            <charset val="134"/>
          </rPr>
          <t>作者:</t>
        </r>
        <r>
          <rPr>
            <sz val="9"/>
            <rFont val="宋体"/>
            <charset val="134"/>
          </rPr>
          <t xml:space="preserve">
子公司处置减少</t>
        </r>
      </text>
    </comment>
    <comment ref="E3932" authorId="0">
      <text>
        <r>
          <rPr>
            <b/>
            <sz val="9"/>
            <rFont val="宋体"/>
            <charset val="134"/>
          </rPr>
          <t>作者:</t>
        </r>
        <r>
          <rPr>
            <sz val="9"/>
            <rFont val="宋体"/>
            <charset val="134"/>
          </rPr>
          <t xml:space="preserve">
按深交所系统披露格式2015.9.5</t>
        </r>
      </text>
    </comment>
    <comment ref="E3991" authorId="0">
      <text>
        <r>
          <rPr>
            <b/>
            <sz val="9"/>
            <rFont val="宋体"/>
            <charset val="134"/>
          </rPr>
          <t>作者:</t>
        </r>
        <r>
          <rPr>
            <sz val="9"/>
            <rFont val="宋体"/>
            <charset val="134"/>
          </rPr>
          <t xml:space="preserve">
例如分红</t>
        </r>
      </text>
    </comment>
    <comment ref="E4031" authorId="0">
      <text>
        <r>
          <rPr>
            <b/>
            <sz val="9"/>
            <rFont val="宋体"/>
            <charset val="134"/>
          </rPr>
          <t>作者:</t>
        </r>
        <r>
          <rPr>
            <sz val="9"/>
            <rFont val="宋体"/>
            <charset val="134"/>
          </rPr>
          <t xml:space="preserve">
例如分红</t>
        </r>
      </text>
    </comment>
  </commentList>
</comments>
</file>

<file path=xl/comments15.xml><?xml version="1.0" encoding="utf-8"?>
<comments xmlns="http://schemas.openxmlformats.org/spreadsheetml/2006/main">
  <authors>
    <author>作者</author>
  </authors>
  <commentList>
    <comment ref="B1" authorId="0">
      <text>
        <r>
          <rPr>
            <b/>
            <sz val="9"/>
            <rFont val="宋体"/>
            <charset val="134"/>
          </rPr>
          <t>作者:</t>
        </r>
        <r>
          <rPr>
            <sz val="9"/>
            <rFont val="宋体"/>
            <charset val="134"/>
          </rPr>
          <t xml:space="preserve">
请不要插行。
</t>
        </r>
      </text>
    </comment>
    <comment ref="E708" authorId="0">
      <text>
        <r>
          <rPr>
            <b/>
            <sz val="9"/>
            <rFont val="宋体"/>
            <charset val="134"/>
          </rPr>
          <t>作者:</t>
        </r>
        <r>
          <rPr>
            <sz val="9"/>
            <rFont val="宋体"/>
            <charset val="134"/>
          </rPr>
          <t xml:space="preserve">
6.29</t>
        </r>
      </text>
    </comment>
  </commentList>
</comments>
</file>

<file path=xl/comments16.xml><?xml version="1.0" encoding="utf-8"?>
<comments xmlns="http://schemas.openxmlformats.org/spreadsheetml/2006/main">
  <authors>
    <author>作者</author>
  </authors>
  <commentList>
    <comment ref="I3" authorId="0">
      <text>
        <r>
          <rPr>
            <sz val="9"/>
            <rFont val="宋体"/>
            <charset val="134"/>
          </rPr>
          <t>半年度报告填：</t>
        </r>
        <r>
          <rPr>
            <sz val="9"/>
            <rFont val="Tahoma"/>
            <charset val="134"/>
          </rPr>
          <t>1-6</t>
        </r>
        <r>
          <rPr>
            <sz val="9"/>
            <rFont val="宋体"/>
            <charset val="134"/>
          </rPr>
          <t>月</t>
        </r>
        <r>
          <rPr>
            <sz val="9"/>
            <rFont val="Tahoma"/>
            <charset val="134"/>
          </rPr>
          <t xml:space="preserve">;
</t>
        </r>
        <r>
          <rPr>
            <sz val="9"/>
            <rFont val="宋体"/>
            <charset val="134"/>
          </rPr>
          <t>年度报告：</t>
        </r>
        <r>
          <rPr>
            <sz val="9"/>
            <rFont val="Tahoma"/>
            <charset val="134"/>
          </rPr>
          <t>1-12</t>
        </r>
        <r>
          <rPr>
            <sz val="9"/>
            <rFont val="宋体"/>
            <charset val="134"/>
          </rPr>
          <t>月</t>
        </r>
        <r>
          <rPr>
            <sz val="9"/>
            <rFont val="Tahoma"/>
            <charset val="134"/>
          </rPr>
          <t xml:space="preserve">
</t>
        </r>
      </text>
    </comment>
    <comment ref="M3" authorId="0">
      <text>
        <r>
          <rPr>
            <sz val="9"/>
            <rFont val="宋体"/>
            <charset val="134"/>
          </rPr>
          <t>半年度报告填：</t>
        </r>
        <r>
          <rPr>
            <sz val="9"/>
            <rFont val="Tahoma"/>
            <charset val="134"/>
          </rPr>
          <t>1-6</t>
        </r>
        <r>
          <rPr>
            <sz val="9"/>
            <rFont val="宋体"/>
            <charset val="134"/>
          </rPr>
          <t>月</t>
        </r>
        <r>
          <rPr>
            <sz val="9"/>
            <rFont val="Tahoma"/>
            <charset val="134"/>
          </rPr>
          <t xml:space="preserve">;
</t>
        </r>
        <r>
          <rPr>
            <sz val="9"/>
            <rFont val="宋体"/>
            <charset val="134"/>
          </rPr>
          <t>年度报告：</t>
        </r>
        <r>
          <rPr>
            <sz val="9"/>
            <rFont val="Tahoma"/>
            <charset val="134"/>
          </rPr>
          <t>1-12</t>
        </r>
        <r>
          <rPr>
            <sz val="9"/>
            <rFont val="宋体"/>
            <charset val="134"/>
          </rPr>
          <t>月</t>
        </r>
        <r>
          <rPr>
            <sz val="9"/>
            <rFont val="Tahoma"/>
            <charset val="134"/>
          </rPr>
          <t xml:space="preserve">
</t>
        </r>
      </text>
    </comment>
    <comment ref="N23" authorId="0">
      <text>
        <r>
          <rPr>
            <b/>
            <sz val="9"/>
            <rFont val="宋体"/>
            <charset val="134"/>
          </rPr>
          <t>作者:</t>
        </r>
        <r>
          <rPr>
            <sz val="9"/>
            <rFont val="宋体"/>
            <charset val="134"/>
          </rPr>
          <t xml:space="preserve">
财产险</t>
        </r>
      </text>
    </comment>
    <comment ref="F75" authorId="0">
      <text>
        <r>
          <rPr>
            <sz val="9"/>
            <rFont val="宋体"/>
            <charset val="134"/>
          </rPr>
          <t>请列明细表</t>
        </r>
      </text>
    </comment>
  </commentList>
</comments>
</file>

<file path=xl/comments17.xml><?xml version="1.0" encoding="utf-8"?>
<comments xmlns="http://schemas.openxmlformats.org/spreadsheetml/2006/main">
  <authors>
    <author>作者</author>
  </authors>
  <commentList>
    <comment ref="I3" authorId="0">
      <text>
        <r>
          <rPr>
            <sz val="9"/>
            <rFont val="宋体"/>
            <charset val="134"/>
          </rPr>
          <t>半年度报告填：</t>
        </r>
        <r>
          <rPr>
            <sz val="9"/>
            <rFont val="Tahoma"/>
            <charset val="134"/>
          </rPr>
          <t>1-6</t>
        </r>
        <r>
          <rPr>
            <sz val="9"/>
            <rFont val="宋体"/>
            <charset val="134"/>
          </rPr>
          <t>月</t>
        </r>
        <r>
          <rPr>
            <sz val="9"/>
            <rFont val="Tahoma"/>
            <charset val="134"/>
          </rPr>
          <t xml:space="preserve">;
</t>
        </r>
        <r>
          <rPr>
            <sz val="9"/>
            <rFont val="宋体"/>
            <charset val="134"/>
          </rPr>
          <t>年度报告：</t>
        </r>
        <r>
          <rPr>
            <sz val="9"/>
            <rFont val="Tahoma"/>
            <charset val="134"/>
          </rPr>
          <t>1-12</t>
        </r>
        <r>
          <rPr>
            <sz val="9"/>
            <rFont val="宋体"/>
            <charset val="134"/>
          </rPr>
          <t>月</t>
        </r>
        <r>
          <rPr>
            <sz val="9"/>
            <rFont val="Tahoma"/>
            <charset val="134"/>
          </rPr>
          <t xml:space="preserve">
</t>
        </r>
      </text>
    </comment>
    <comment ref="M3" authorId="0">
      <text>
        <r>
          <rPr>
            <sz val="9"/>
            <rFont val="宋体"/>
            <charset val="134"/>
          </rPr>
          <t>半年度报告填：</t>
        </r>
        <r>
          <rPr>
            <sz val="9"/>
            <rFont val="Tahoma"/>
            <charset val="134"/>
          </rPr>
          <t>1-6</t>
        </r>
        <r>
          <rPr>
            <sz val="9"/>
            <rFont val="宋体"/>
            <charset val="134"/>
          </rPr>
          <t>月</t>
        </r>
        <r>
          <rPr>
            <sz val="9"/>
            <rFont val="Tahoma"/>
            <charset val="134"/>
          </rPr>
          <t xml:space="preserve">;
</t>
        </r>
        <r>
          <rPr>
            <sz val="9"/>
            <rFont val="宋体"/>
            <charset val="134"/>
          </rPr>
          <t>年度报告：</t>
        </r>
        <r>
          <rPr>
            <sz val="9"/>
            <rFont val="Tahoma"/>
            <charset val="134"/>
          </rPr>
          <t>1-12</t>
        </r>
        <r>
          <rPr>
            <sz val="9"/>
            <rFont val="宋体"/>
            <charset val="134"/>
          </rPr>
          <t>月</t>
        </r>
        <r>
          <rPr>
            <sz val="9"/>
            <rFont val="Tahoma"/>
            <charset val="134"/>
          </rPr>
          <t xml:space="preserve">
</t>
        </r>
      </text>
    </comment>
  </commentList>
</comments>
</file>

<file path=xl/comments18.xml><?xml version="1.0" encoding="utf-8"?>
<comments xmlns="http://schemas.openxmlformats.org/spreadsheetml/2006/main">
  <authors>
    <author>作者</author>
  </authors>
  <commentList>
    <comment ref="C12" authorId="0">
      <text>
        <r>
          <rPr>
            <b/>
            <sz val="9"/>
            <rFont val="宋体"/>
            <charset val="134"/>
          </rPr>
          <t>作者:</t>
        </r>
        <r>
          <rPr>
            <sz val="9"/>
            <rFont val="宋体"/>
            <charset val="134"/>
          </rPr>
          <t xml:space="preserve">
（信用、保证、抵押、质押；抵押加保证、抵押加质押单列）</t>
        </r>
      </text>
    </comment>
    <comment ref="M12" authorId="0">
      <text>
        <r>
          <rPr>
            <b/>
            <sz val="9"/>
            <rFont val="宋体"/>
            <charset val="134"/>
          </rPr>
          <t>作者:</t>
        </r>
        <r>
          <rPr>
            <sz val="9"/>
            <rFont val="宋体"/>
            <charset val="134"/>
          </rPr>
          <t xml:space="preserve">
如遇跨月，算头不算尾，从上月21日至当月21日为一个结算日，上月第21日计算，当月第21日不计算。</t>
        </r>
      </text>
    </comment>
    <comment ref="N12" authorId="0">
      <text>
        <r>
          <rPr>
            <b/>
            <sz val="9"/>
            <rFont val="宋体"/>
            <charset val="134"/>
          </rPr>
          <t>作者:</t>
        </r>
        <r>
          <rPr>
            <sz val="9"/>
            <rFont val="宋体"/>
            <charset val="134"/>
          </rPr>
          <t xml:space="preserve">
按一年360天测算</t>
        </r>
      </text>
    </comment>
    <comment ref="C33" authorId="0">
      <text>
        <r>
          <rPr>
            <b/>
            <sz val="9"/>
            <rFont val="宋体"/>
            <charset val="134"/>
          </rPr>
          <t>作者:</t>
        </r>
        <r>
          <rPr>
            <sz val="9"/>
            <rFont val="宋体"/>
            <charset val="134"/>
          </rPr>
          <t xml:space="preserve">
（信用、保证、抵押、质押；抵押加保证、抵押加质押单列）</t>
        </r>
      </text>
    </comment>
  </commentList>
</comments>
</file>

<file path=xl/comments19.xml><?xml version="1.0" encoding="utf-8"?>
<comments xmlns="http://schemas.openxmlformats.org/spreadsheetml/2006/main">
  <authors>
    <author>作者</author>
  </authors>
  <commentList>
    <comment ref="B1" authorId="0">
      <text>
        <r>
          <rPr>
            <b/>
            <sz val="9"/>
            <rFont val="宋体"/>
            <charset val="134"/>
          </rPr>
          <t xml:space="preserve">4在建工程
</t>
        </r>
        <r>
          <rPr>
            <sz val="9"/>
            <rFont val="宋体"/>
            <charset val="134"/>
          </rPr>
          <t xml:space="preserve">此表不用填，在附注里取数据
</t>
        </r>
      </text>
    </comment>
  </commentList>
</comments>
</file>

<file path=xl/comments20.xml><?xml version="1.0" encoding="utf-8"?>
<comments xmlns="http://schemas.openxmlformats.org/spreadsheetml/2006/main">
  <authors>
    <author>作者</author>
  </authors>
  <commentList>
    <comment ref="B1" authorId="0">
      <text>
        <r>
          <rPr>
            <b/>
            <sz val="9"/>
            <rFont val="宋体"/>
            <charset val="134"/>
          </rPr>
          <t>5长摊</t>
        </r>
        <r>
          <rPr>
            <sz val="9"/>
            <rFont val="宋体"/>
            <charset val="134"/>
          </rPr>
          <t xml:space="preserve">
此表不用填，在附注里取数据
</t>
        </r>
      </text>
    </comment>
  </commentList>
</comments>
</file>

<file path=xl/comments21.xml><?xml version="1.0" encoding="utf-8"?>
<comments xmlns="http://schemas.openxmlformats.org/spreadsheetml/2006/main">
  <authors>
    <author>作者</author>
  </authors>
  <commentList>
    <comment ref="B1" authorId="0">
      <text>
        <r>
          <rPr>
            <b/>
            <sz val="9"/>
            <rFont val="宋体"/>
            <charset val="134"/>
          </rPr>
          <t>6固定资产</t>
        </r>
        <r>
          <rPr>
            <sz val="9"/>
            <rFont val="宋体"/>
            <charset val="134"/>
          </rPr>
          <t xml:space="preserve">
此表不用填，在附注里取数据
</t>
        </r>
      </text>
    </comment>
    <comment ref="B2" authorId="0">
      <text>
        <r>
          <rPr>
            <b/>
            <sz val="9"/>
            <rFont val="宋体"/>
            <charset val="134"/>
          </rPr>
          <t>作者:</t>
        </r>
        <r>
          <rPr>
            <sz val="9"/>
            <rFont val="宋体"/>
            <charset val="134"/>
          </rPr>
          <t xml:space="preserve">
注：蓝色字体是深交所固定项目</t>
        </r>
      </text>
    </comment>
    <comment ref="B8" authorId="0">
      <text>
        <r>
          <rPr>
            <sz val="9"/>
            <rFont val="宋体"/>
            <charset val="134"/>
          </rPr>
          <t>本期新加公司</t>
        </r>
      </text>
    </comment>
    <comment ref="B10" authorId="0">
      <text>
        <r>
          <rPr>
            <b/>
            <sz val="9"/>
            <rFont val="宋体"/>
            <charset val="134"/>
          </rPr>
          <t>作者:</t>
        </r>
        <r>
          <rPr>
            <sz val="9"/>
            <rFont val="宋体"/>
            <charset val="134"/>
          </rPr>
          <t xml:space="preserve">
法国业务并购</t>
        </r>
      </text>
    </comment>
    <comment ref="B11" authorId="0">
      <text>
        <r>
          <rPr>
            <sz val="9"/>
            <rFont val="宋体"/>
            <charset val="134"/>
          </rPr>
          <t>外币报表折算</t>
        </r>
      </text>
    </comment>
    <comment ref="B15" authorId="0">
      <text>
        <r>
          <rPr>
            <b/>
            <sz val="9"/>
            <rFont val="宋体"/>
            <charset val="134"/>
          </rPr>
          <t>作者:</t>
        </r>
        <r>
          <rPr>
            <sz val="9"/>
            <rFont val="宋体"/>
            <charset val="134"/>
          </rPr>
          <t xml:space="preserve">
子公司处置</t>
        </r>
      </text>
    </comment>
    <comment ref="B23" authorId="0">
      <text>
        <r>
          <rPr>
            <b/>
            <sz val="9"/>
            <rFont val="宋体"/>
            <charset val="134"/>
          </rPr>
          <t>作者:</t>
        </r>
        <r>
          <rPr>
            <sz val="9"/>
            <rFont val="宋体"/>
            <charset val="134"/>
          </rPr>
          <t xml:space="preserve">
江粉房投转回
</t>
        </r>
      </text>
    </comment>
    <comment ref="B28" authorId="0">
      <text>
        <r>
          <rPr>
            <b/>
            <sz val="9"/>
            <rFont val="宋体"/>
            <charset val="134"/>
          </rPr>
          <t>作者:</t>
        </r>
        <r>
          <rPr>
            <sz val="9"/>
            <rFont val="宋体"/>
            <charset val="134"/>
          </rPr>
          <t xml:space="preserve">
子公司处置减少</t>
        </r>
      </text>
    </comment>
  </commentList>
</comments>
</file>

<file path=xl/comments22.xml><?xml version="1.0" encoding="utf-8"?>
<comments xmlns="http://schemas.openxmlformats.org/spreadsheetml/2006/main">
  <authors>
    <author>作者</author>
  </authors>
  <commentList>
    <comment ref="B1" authorId="0">
      <text>
        <r>
          <rPr>
            <b/>
            <sz val="9"/>
            <rFont val="宋体"/>
            <charset val="134"/>
          </rPr>
          <t xml:space="preserve">7无形资产
</t>
        </r>
        <r>
          <rPr>
            <sz val="9"/>
            <rFont val="宋体"/>
            <charset val="134"/>
          </rPr>
          <t xml:space="preserve">此表不用填，在附注里取数据
</t>
        </r>
      </text>
    </comment>
    <comment ref="B2" authorId="0">
      <text>
        <r>
          <rPr>
            <b/>
            <sz val="9"/>
            <rFont val="宋体"/>
            <charset val="134"/>
          </rPr>
          <t>作者:</t>
        </r>
        <r>
          <rPr>
            <sz val="9"/>
            <rFont val="宋体"/>
            <charset val="134"/>
          </rPr>
          <t xml:space="preserve">
注：：
蓝色字体-深交所系统要求项目；
</t>
        </r>
      </text>
    </comment>
    <comment ref="B10" authorId="0">
      <text>
        <r>
          <rPr>
            <sz val="9"/>
            <rFont val="宋体"/>
            <charset val="134"/>
          </rPr>
          <t>外币报表折算</t>
        </r>
      </text>
    </comment>
    <comment ref="B14" authorId="0">
      <text>
        <r>
          <rPr>
            <b/>
            <sz val="9"/>
            <rFont val="宋体"/>
            <charset val="134"/>
          </rPr>
          <t>作者:</t>
        </r>
        <r>
          <rPr>
            <sz val="9"/>
            <rFont val="宋体"/>
            <charset val="134"/>
          </rPr>
          <t xml:space="preserve">
子公司处置</t>
        </r>
      </text>
    </comment>
    <comment ref="B27" authorId="0">
      <text>
        <r>
          <rPr>
            <b/>
            <sz val="9"/>
            <rFont val="宋体"/>
            <charset val="134"/>
          </rPr>
          <t>作者:</t>
        </r>
        <r>
          <rPr>
            <sz val="9"/>
            <rFont val="宋体"/>
            <charset val="134"/>
          </rPr>
          <t xml:space="preserve">
子公司处置减少</t>
        </r>
      </text>
    </comment>
  </commentList>
</comments>
</file>

<file path=xl/comments23.xml><?xml version="1.0" encoding="utf-8"?>
<comments xmlns="http://schemas.openxmlformats.org/spreadsheetml/2006/main">
  <authors>
    <author>作者</author>
  </authors>
  <commentList>
    <comment ref="D4" authorId="0">
      <text>
        <r>
          <rPr>
            <b/>
            <sz val="10"/>
            <rFont val="宋体"/>
            <charset val="134"/>
          </rPr>
          <t>作者:</t>
        </r>
        <r>
          <rPr>
            <sz val="10"/>
            <rFont val="宋体"/>
            <charset val="134"/>
          </rPr>
          <t xml:space="preserve">
应收账款＼其他应收款＼预付账款\应收票据等</t>
        </r>
      </text>
    </comment>
    <comment ref="D20" authorId="0">
      <text>
        <r>
          <rPr>
            <b/>
            <sz val="10"/>
            <rFont val="宋体"/>
            <charset val="134"/>
          </rPr>
          <t>作者:</t>
        </r>
        <r>
          <rPr>
            <sz val="10"/>
            <rFont val="宋体"/>
            <charset val="134"/>
          </rPr>
          <t xml:space="preserve">
应付账款＼其他应付款＼预收账款</t>
        </r>
      </text>
    </comment>
  </commentList>
</comments>
</file>

<file path=xl/sharedStrings.xml><?xml version="1.0" encoding="utf-8"?>
<sst xmlns="http://schemas.openxmlformats.org/spreadsheetml/2006/main" count="29483" uniqueCount="4968">
  <si>
    <t>会计报表及附注审计调整单体系统</t>
  </si>
  <si>
    <r>
      <rPr>
        <sz val="10"/>
        <rFont val="宋体"/>
        <charset val="134"/>
      </rPr>
      <t>版本编号</t>
    </r>
    <r>
      <rPr>
        <sz val="10"/>
        <rFont val="Times New Roman"/>
        <charset val="134"/>
      </rPr>
      <t>M20151217</t>
    </r>
  </si>
  <si>
    <t>本期间为特定年</t>
  </si>
  <si>
    <t>被审计单位名称</t>
  </si>
  <si>
    <t>石嘴山市深阳蓝光市政工程有限公司</t>
  </si>
  <si>
    <t>报表名称</t>
  </si>
  <si>
    <t>进入</t>
  </si>
  <si>
    <t>本期间不为特定年</t>
  </si>
  <si>
    <t>单位负责人</t>
  </si>
  <si>
    <t>张吉敏</t>
  </si>
  <si>
    <t>系统适用企业</t>
  </si>
  <si>
    <t>执行新会计准则的一般企业</t>
  </si>
  <si>
    <t>未审资负表</t>
  </si>
  <si>
    <t>@</t>
  </si>
  <si>
    <t>会计机构负责人</t>
  </si>
  <si>
    <t>谢敏勤</t>
  </si>
  <si>
    <t>制表人</t>
  </si>
  <si>
    <t>夏卫</t>
  </si>
  <si>
    <t>未审利润表</t>
  </si>
  <si>
    <t>会计期间</t>
  </si>
  <si>
    <t>上期</t>
  </si>
  <si>
    <t>会计截止</t>
  </si>
  <si>
    <t>未审现流表</t>
  </si>
  <si>
    <t>本期</t>
  </si>
  <si>
    <t>2016年度</t>
  </si>
  <si>
    <t>未审权益表</t>
  </si>
  <si>
    <t>财务报表分析（风险评估）</t>
  </si>
  <si>
    <t>审计单位名称</t>
  </si>
  <si>
    <t>资负表及利润表调整分录</t>
  </si>
  <si>
    <t>项目负责经理</t>
  </si>
  <si>
    <t>报表底稿编制人</t>
  </si>
  <si>
    <t>现流表调整分录</t>
  </si>
  <si>
    <t>报表底稿复核人</t>
  </si>
  <si>
    <t>报表金额单位</t>
  </si>
  <si>
    <t>人民币元</t>
  </si>
  <si>
    <t>审定资负表</t>
  </si>
  <si>
    <t>会计期间分类</t>
  </si>
  <si>
    <t>审定利润表</t>
  </si>
  <si>
    <t>审定现流表</t>
  </si>
  <si>
    <r>
      <rPr>
        <b/>
        <sz val="10"/>
        <color indexed="32"/>
        <rFont val="宋体"/>
        <charset val="134"/>
      </rPr>
      <t>版本：</t>
    </r>
    <r>
      <rPr>
        <b/>
        <sz val="10"/>
        <color indexed="32"/>
        <rFont val="Times New Roman"/>
        <charset val="134"/>
      </rPr>
      <t>V5.50</t>
    </r>
  </si>
  <si>
    <t>制作人：Jay</t>
  </si>
  <si>
    <r>
      <rPr>
        <b/>
        <sz val="10"/>
        <color indexed="32"/>
        <rFont val="宋体"/>
        <charset val="134"/>
      </rPr>
      <t>制作日期：</t>
    </r>
    <r>
      <rPr>
        <b/>
        <sz val="10"/>
        <color indexed="32"/>
        <rFont val="Times New Roman"/>
        <charset val="134"/>
      </rPr>
      <t>2012</t>
    </r>
    <r>
      <rPr>
        <b/>
        <sz val="10"/>
        <color indexed="32"/>
        <rFont val="宋体"/>
        <charset val="134"/>
      </rPr>
      <t>年</t>
    </r>
    <r>
      <rPr>
        <b/>
        <sz val="10"/>
        <color indexed="32"/>
        <rFont val="Times New Roman"/>
        <charset val="134"/>
      </rPr>
      <t>1</t>
    </r>
    <r>
      <rPr>
        <b/>
        <sz val="10"/>
        <color indexed="32"/>
        <rFont val="宋体"/>
        <charset val="134"/>
      </rPr>
      <t>月</t>
    </r>
    <r>
      <rPr>
        <b/>
        <sz val="10"/>
        <color indexed="32"/>
        <rFont val="Times New Roman"/>
        <charset val="134"/>
      </rPr>
      <t>10</t>
    </r>
    <r>
      <rPr>
        <b/>
        <sz val="10"/>
        <color indexed="32"/>
        <rFont val="宋体"/>
        <charset val="134"/>
      </rPr>
      <t>日</t>
    </r>
  </si>
  <si>
    <t>审定权益表</t>
  </si>
  <si>
    <t>财务报表分析（总体复核）</t>
  </si>
  <si>
    <t>说明：</t>
  </si>
  <si>
    <t>试算平衡表</t>
  </si>
  <si>
    <r>
      <rPr>
        <b/>
        <sz val="10"/>
        <color indexed="10"/>
        <rFont val="Times New Roman"/>
        <charset val="134"/>
      </rPr>
      <t>1</t>
    </r>
    <r>
      <rPr>
        <b/>
        <sz val="10"/>
        <color indexed="10"/>
        <rFont val="宋体"/>
        <charset val="134"/>
      </rPr>
      <t>、按新会计准则重新调整所有报表科目，删除减值表；</t>
    </r>
  </si>
  <si>
    <t>税项及变更</t>
  </si>
  <si>
    <r>
      <rPr>
        <b/>
        <sz val="10"/>
        <color indexed="10"/>
        <rFont val="Times New Roman"/>
        <charset val="134"/>
      </rPr>
      <t>2</t>
    </r>
    <r>
      <rPr>
        <b/>
        <sz val="10"/>
        <color indexed="10"/>
        <rFont val="宋体"/>
        <charset val="134"/>
      </rPr>
      <t>、除调整分录表等少数个表外，其他表均已加密，以便合并之时格式统一；</t>
    </r>
  </si>
  <si>
    <t>报表附注</t>
  </si>
  <si>
    <r>
      <rPr>
        <b/>
        <sz val="10"/>
        <color indexed="10"/>
        <rFont val="Times New Roman"/>
        <charset val="134"/>
      </rPr>
      <t>3</t>
    </r>
    <r>
      <rPr>
        <b/>
        <sz val="10"/>
        <color indexed="10"/>
        <rFont val="宋体"/>
        <charset val="134"/>
      </rPr>
      <t>、已有的科目，系统设定不能更改，但可直接在未审表添加少量科目；</t>
    </r>
  </si>
  <si>
    <t>报表附注合并用</t>
  </si>
  <si>
    <r>
      <rPr>
        <b/>
        <sz val="10"/>
        <color indexed="59"/>
        <rFont val="Times New Roman"/>
        <charset val="134"/>
      </rPr>
      <t>4</t>
    </r>
    <r>
      <rPr>
        <b/>
        <sz val="10"/>
        <color indexed="59"/>
        <rFont val="宋体"/>
        <charset val="134"/>
      </rPr>
      <t>、会计期间分类将会决定报表金额以</t>
    </r>
    <r>
      <rPr>
        <b/>
        <sz val="10"/>
        <color indexed="59"/>
        <rFont val="Times New Roman"/>
        <charset val="134"/>
      </rPr>
      <t>“</t>
    </r>
    <r>
      <rPr>
        <b/>
        <sz val="10"/>
        <color indexed="59"/>
        <rFont val="宋体"/>
        <charset val="134"/>
      </rPr>
      <t>年</t>
    </r>
    <r>
      <rPr>
        <b/>
        <sz val="10"/>
        <color indexed="59"/>
        <rFont val="Times New Roman"/>
        <charset val="134"/>
      </rPr>
      <t>”</t>
    </r>
    <r>
      <rPr>
        <b/>
        <sz val="10"/>
        <color indexed="59"/>
        <rFont val="宋体"/>
        <charset val="134"/>
      </rPr>
      <t>或</t>
    </r>
    <r>
      <rPr>
        <b/>
        <sz val="10"/>
        <color indexed="59"/>
        <rFont val="Times New Roman"/>
        <charset val="134"/>
      </rPr>
      <t>“</t>
    </r>
    <r>
      <rPr>
        <b/>
        <sz val="10"/>
        <color indexed="59"/>
        <rFont val="宋体"/>
        <charset val="134"/>
      </rPr>
      <t>期</t>
    </r>
    <r>
      <rPr>
        <b/>
        <sz val="10"/>
        <color indexed="59"/>
        <rFont val="Times New Roman"/>
        <charset val="134"/>
      </rPr>
      <t>”</t>
    </r>
    <r>
      <rPr>
        <b/>
        <sz val="10"/>
        <color indexed="59"/>
        <rFont val="宋体"/>
        <charset val="134"/>
      </rPr>
      <t>为单位显示。</t>
    </r>
  </si>
  <si>
    <t>报表附注其他核对</t>
  </si>
  <si>
    <r>
      <rPr>
        <b/>
        <sz val="10"/>
        <color indexed="59"/>
        <rFont val="Times New Roman"/>
        <charset val="134"/>
      </rPr>
      <t>5</t>
    </r>
    <r>
      <rPr>
        <b/>
        <sz val="10"/>
        <color indexed="59"/>
        <rFont val="宋体"/>
        <charset val="134"/>
      </rPr>
      <t>、未审报表和审定报表均为期末余额或本期金额在前。</t>
    </r>
  </si>
  <si>
    <t>现金流量表勾稽核对</t>
  </si>
  <si>
    <t>内部数据</t>
  </si>
  <si>
    <t>非经常损益情况表</t>
  </si>
  <si>
    <t>.</t>
  </si>
  <si>
    <t>利润表</t>
  </si>
  <si>
    <t>项目</t>
  </si>
  <si>
    <t>附注</t>
  </si>
  <si>
    <t>本期金额</t>
  </si>
  <si>
    <t>累计数</t>
  </si>
  <si>
    <t>1月</t>
  </si>
  <si>
    <t>2月</t>
  </si>
  <si>
    <t>3月</t>
  </si>
  <si>
    <t>4月</t>
  </si>
  <si>
    <t>5月</t>
  </si>
  <si>
    <t>6月</t>
  </si>
  <si>
    <t>7月</t>
  </si>
  <si>
    <t>8月</t>
  </si>
  <si>
    <t>9月</t>
  </si>
  <si>
    <t>10月</t>
  </si>
  <si>
    <t>11月</t>
  </si>
  <si>
    <t>12月</t>
  </si>
  <si>
    <t>一、营业收入</t>
  </si>
  <si>
    <t>（五十四）</t>
  </si>
  <si>
    <t>减：营业成本</t>
  </si>
  <si>
    <t xml:space="preserve">    营业税金及附加</t>
  </si>
  <si>
    <t>（五十六）</t>
  </si>
  <si>
    <t xml:space="preserve">    销售费用</t>
  </si>
  <si>
    <t>（六十）</t>
  </si>
  <si>
    <t xml:space="preserve">    管理费用</t>
  </si>
  <si>
    <t xml:space="preserve">    财务费用</t>
  </si>
  <si>
    <t xml:space="preserve">    资产减值损失</t>
  </si>
  <si>
    <t>（五十九）</t>
  </si>
  <si>
    <t>加：公允价值变动收益</t>
  </si>
  <si>
    <t>（五十七）</t>
  </si>
  <si>
    <t xml:space="preserve">    投资收益</t>
  </si>
  <si>
    <t>（五十八）</t>
  </si>
  <si>
    <t xml:space="preserve">    其中：对联营企业和合营企业的投资收益</t>
  </si>
  <si>
    <t xml:space="preserve">    汇兑收益</t>
  </si>
  <si>
    <t>二、营业利润</t>
  </si>
  <si>
    <t>加：营业外收入</t>
  </si>
  <si>
    <t>（六十一）</t>
  </si>
  <si>
    <t>减：营业外支出</t>
  </si>
  <si>
    <t>（六十二）</t>
  </si>
  <si>
    <t xml:space="preserve">    其中：非流动资产处置损失</t>
  </si>
  <si>
    <t>三、利润总额</t>
  </si>
  <si>
    <t>减：所得税费用</t>
  </si>
  <si>
    <t>（六十三）</t>
  </si>
  <si>
    <t>四、净利润</t>
  </si>
  <si>
    <t xml:space="preserve">    归属于母公司所有者的净利润</t>
  </si>
  <si>
    <t xml:space="preserve">    少数股东损益</t>
  </si>
  <si>
    <t>五、每股收益：</t>
  </si>
  <si>
    <t>（一）基本每股收益</t>
  </si>
  <si>
    <t>（二）稀释每股收益</t>
  </si>
  <si>
    <t>注：为便于利润表和资产负债表衔接，系统生成下述表格（本行及下表不打印）</t>
  </si>
  <si>
    <t>净利润</t>
  </si>
  <si>
    <t>加：年初未分配利润</t>
  </si>
  <si>
    <t>减：利润分配</t>
  </si>
  <si>
    <t>等于：未分配利润</t>
  </si>
  <si>
    <t>同期累计数</t>
  </si>
  <si>
    <t>现金流量表</t>
  </si>
  <si>
    <t>一、经营活动产生的现金流量：</t>
  </si>
  <si>
    <t>销售商品、提供劳务收到的现金</t>
  </si>
  <si>
    <t>收到的税费返还</t>
  </si>
  <si>
    <t>收到其他与经营活动有关的现金</t>
  </si>
  <si>
    <t>六十六</t>
  </si>
  <si>
    <t>经营活动现金流入小计</t>
  </si>
  <si>
    <t>购买商品、接受劳务支付的现金</t>
  </si>
  <si>
    <t>支付给职工以及为职工支付的现金</t>
  </si>
  <si>
    <t>支付的各项税费</t>
  </si>
  <si>
    <t>支付其他与经营活动有关的现金</t>
  </si>
  <si>
    <t>经营活动现金流出小计</t>
  </si>
  <si>
    <t>经营活动产生的现金流量净额</t>
  </si>
  <si>
    <t>二、投资活动产生的现金流量：</t>
  </si>
  <si>
    <t>收回投资收到的现金</t>
  </si>
  <si>
    <t>取得投资收益收到的现金</t>
  </si>
  <si>
    <t>处置固定资产、无形资产和其他长期资产收回的现金净额</t>
  </si>
  <si>
    <t>处置子公司及其他营业单位收到的现金净额</t>
  </si>
  <si>
    <t>收到其他与投资活动有关的现金</t>
  </si>
  <si>
    <t>六十七</t>
  </si>
  <si>
    <t>投资活动现金流入小计</t>
  </si>
  <si>
    <t>购建固定资产、无形资产和其他长期资产支付的现金</t>
  </si>
  <si>
    <t>投资支付的现金</t>
  </si>
  <si>
    <t>取得子公司及其他营业单位支付的现金净额</t>
  </si>
  <si>
    <t>支付其他与投资活动有关的现金</t>
  </si>
  <si>
    <t>投资活动现金流出小计</t>
  </si>
  <si>
    <t>投资活动产生的现金流量净额</t>
  </si>
  <si>
    <t>三、筹资活动产生的现金流量：</t>
  </si>
  <si>
    <t>吸收投资收到的现金</t>
  </si>
  <si>
    <t>其中：子公司吸收少数股东投资收到的现金</t>
  </si>
  <si>
    <t>取得借款收到的现金</t>
  </si>
  <si>
    <t>发行债券收到的现金</t>
  </si>
  <si>
    <t>收到其他与筹资活动有关的现金</t>
  </si>
  <si>
    <t>六十八</t>
  </si>
  <si>
    <t>筹资活动现金流入小计</t>
  </si>
  <si>
    <t>偿还债务支付的现金</t>
  </si>
  <si>
    <t>分配股利、利润或偿付利息支付的现金</t>
  </si>
  <si>
    <t>其中：子公司支付给少数股东的股利、利润</t>
  </si>
  <si>
    <t>支付其他与筹资活动有关的现金</t>
  </si>
  <si>
    <t>筹资活动现金流出小计</t>
  </si>
  <si>
    <t>筹资活动产生的现金流量净额</t>
  </si>
  <si>
    <t>四、汇率变动对现金及现金等价物的影响</t>
  </si>
  <si>
    <t>五、现金及现金等价物净增加额</t>
  </si>
  <si>
    <t>加：期初现金及现金等价物余额</t>
  </si>
  <si>
    <t>六、期末现金及现金等价物余额</t>
  </si>
  <si>
    <t>现金流量表附注资料</t>
  </si>
  <si>
    <t>补    充    资    料</t>
  </si>
  <si>
    <t>序号</t>
  </si>
  <si>
    <t>汇总数</t>
  </si>
  <si>
    <t>一、将净利润调节为经营活动现金流量：</t>
  </si>
  <si>
    <t>加：计提的资产减值准备</t>
  </si>
  <si>
    <t xml:space="preserve">    固定资产折旧</t>
  </si>
  <si>
    <t xml:space="preserve">    无形资产摊销</t>
  </si>
  <si>
    <t xml:space="preserve">    长期待摊费用摊销</t>
  </si>
  <si>
    <t xml:space="preserve">    处置固定资产、无形资产和其他长期资产的损失</t>
  </si>
  <si>
    <t xml:space="preserve">    固定资产报废损失</t>
  </si>
  <si>
    <t xml:space="preserve">    公允价值变动损失</t>
  </si>
  <si>
    <t xml:space="preserve">    投资损失</t>
  </si>
  <si>
    <t xml:space="preserve">    递延所得税资产减少</t>
  </si>
  <si>
    <t xml:space="preserve">    递延所得税负债增加</t>
  </si>
  <si>
    <t xml:space="preserve">    存货的减少</t>
  </si>
  <si>
    <t xml:space="preserve">    经营性应收项目的减少</t>
  </si>
  <si>
    <t xml:space="preserve">    经营性应付项目的增加</t>
  </si>
  <si>
    <t xml:space="preserve">    其他</t>
  </si>
  <si>
    <t xml:space="preserve">    经营活动产生的现金流量净额</t>
  </si>
  <si>
    <t>二、不涉及现金收支的重大投资和筹资活动：</t>
  </si>
  <si>
    <t>债务转为资本</t>
  </si>
  <si>
    <t>一年内到期的可转换公司债券</t>
  </si>
  <si>
    <t>融资租入固定资产</t>
  </si>
  <si>
    <t>三、现金及现金等价物净变动情况：</t>
  </si>
  <si>
    <t>现金的期末余额</t>
  </si>
  <si>
    <t>减：现金的期初余额</t>
  </si>
  <si>
    <t>加：现金等价物的期末余额</t>
  </si>
  <si>
    <t>减：现金等价物的期初余额</t>
  </si>
  <si>
    <t>现金及现金等价物净增加额</t>
  </si>
  <si>
    <t>资产负债表</t>
  </si>
  <si>
    <r>
      <rPr>
        <sz val="10"/>
        <rFont val="宋体"/>
        <charset val="134"/>
      </rPr>
      <t>会企</t>
    </r>
    <r>
      <rPr>
        <sz val="10"/>
        <rFont val="Times New Roman"/>
        <charset val="134"/>
      </rPr>
      <t>01</t>
    </r>
    <r>
      <rPr>
        <sz val="10"/>
        <rFont val="宋体"/>
        <charset val="134"/>
      </rPr>
      <t>表</t>
    </r>
  </si>
  <si>
    <r>
      <rPr>
        <sz val="10"/>
        <rFont val="宋体"/>
        <charset val="134"/>
      </rPr>
      <t>资</t>
    </r>
    <r>
      <rPr>
        <sz val="10"/>
        <rFont val="Times New Roman"/>
        <charset val="134"/>
      </rPr>
      <t xml:space="preserve"> </t>
    </r>
    <r>
      <rPr>
        <sz val="10"/>
        <rFont val="宋体"/>
        <charset val="134"/>
      </rPr>
      <t>产</t>
    </r>
  </si>
  <si>
    <t>负债和所有者权益</t>
  </si>
  <si>
    <t>流动资产：</t>
  </si>
  <si>
    <t>流动负债：</t>
  </si>
  <si>
    <t>货币资金</t>
  </si>
  <si>
    <t>短期借款</t>
  </si>
  <si>
    <t>以公允价值计量且其变动计入当期损益的金融资产</t>
  </si>
  <si>
    <t>以公允价值计量且其变动计入当期损益的金融负债</t>
  </si>
  <si>
    <t>应收票据</t>
  </si>
  <si>
    <t>应付票据</t>
  </si>
  <si>
    <t>应收账款</t>
  </si>
  <si>
    <t>应付账款</t>
  </si>
  <si>
    <t>预付款项</t>
  </si>
  <si>
    <t>预收款项</t>
  </si>
  <si>
    <t>应收利息</t>
  </si>
  <si>
    <t>应付职工薪酬</t>
  </si>
  <si>
    <t>应收股利</t>
  </si>
  <si>
    <t>应交税费</t>
  </si>
  <si>
    <t>其他应收款</t>
  </si>
  <si>
    <t>应付利息</t>
  </si>
  <si>
    <t>存货</t>
  </si>
  <si>
    <t>应付股利</t>
  </si>
  <si>
    <t>一年内到期的非流动资产</t>
  </si>
  <si>
    <t>其他应付款</t>
  </si>
  <si>
    <t>其他流动资产</t>
  </si>
  <si>
    <t>一年内到期的非流动负债</t>
  </si>
  <si>
    <t>持有待售资产</t>
  </si>
  <si>
    <t>其他流动负债</t>
  </si>
  <si>
    <t>流动资产合计</t>
  </si>
  <si>
    <t>持有待售负债</t>
  </si>
  <si>
    <t>流动负债合计</t>
  </si>
  <si>
    <t>非流动资产：</t>
  </si>
  <si>
    <t>可供出售金融资产</t>
  </si>
  <si>
    <t>非流动负债：</t>
  </si>
  <si>
    <t>持有至到期投资</t>
  </si>
  <si>
    <t>长期借款</t>
  </si>
  <si>
    <t>长期应收款</t>
  </si>
  <si>
    <t>应付债券</t>
  </si>
  <si>
    <t>长期股权投资</t>
  </si>
  <si>
    <t>长期应付款</t>
  </si>
  <si>
    <t>投资性房地产</t>
  </si>
  <si>
    <t>专项应付款</t>
  </si>
  <si>
    <t>固定资产</t>
  </si>
  <si>
    <t>预计负债</t>
  </si>
  <si>
    <t>在建工程</t>
  </si>
  <si>
    <t>递延所得税负债</t>
  </si>
  <si>
    <t>工程物资</t>
  </si>
  <si>
    <t>其他非流动负债</t>
  </si>
  <si>
    <t>固定资产清理</t>
  </si>
  <si>
    <t>递延收益</t>
  </si>
  <si>
    <t>生产性生物资产</t>
  </si>
  <si>
    <t>非流动负债合计</t>
  </si>
  <si>
    <t>油气资产</t>
  </si>
  <si>
    <t>无形资产</t>
  </si>
  <si>
    <t>负债合计</t>
  </si>
  <si>
    <t>开发支出</t>
  </si>
  <si>
    <t>商誉</t>
  </si>
  <si>
    <t>所有者权益：</t>
  </si>
  <si>
    <t>长期待摊费用</t>
  </si>
  <si>
    <t>实收资本（或股本）</t>
  </si>
  <si>
    <t>递延所得税资产</t>
  </si>
  <si>
    <t>资本公积</t>
  </si>
  <si>
    <t>其他非流动资产</t>
  </si>
  <si>
    <t>减：库存股</t>
  </si>
  <si>
    <t>盈余公积</t>
  </si>
  <si>
    <t>非流动资产合计</t>
  </si>
  <si>
    <t>未分配利润</t>
  </si>
  <si>
    <t>外币报表折算差额</t>
  </si>
  <si>
    <t>其他综合收益</t>
  </si>
  <si>
    <t>归属于母公司所有者权益合计</t>
  </si>
  <si>
    <t>少数股东权益</t>
  </si>
  <si>
    <t>所有者权益合计</t>
  </si>
  <si>
    <t>资产总计</t>
  </si>
  <si>
    <t>负债和所有者权益总计</t>
  </si>
  <si>
    <r>
      <rPr>
        <sz val="12"/>
        <rFont val="宋体"/>
        <charset val="134"/>
      </rPr>
      <t xml:space="preserve"> </t>
    </r>
    <r>
      <rPr>
        <sz val="12"/>
        <rFont val="宋体"/>
        <charset val="134"/>
      </rPr>
      <t xml:space="preserve">   </t>
    </r>
    <r>
      <rPr>
        <sz val="12"/>
        <rFont val="宋体"/>
        <charset val="134"/>
      </rPr>
      <t>营业税金及附加</t>
    </r>
  </si>
  <si>
    <t xml:space="preserve">    资产处置收益（亏损以“-”号填列）</t>
  </si>
  <si>
    <t xml:space="preserve">    其他收益</t>
  </si>
  <si>
    <t xml:space="preserve">   （一）持续经营净利润（净亏损以“－”号填列）</t>
  </si>
  <si>
    <t xml:space="preserve">   （二）终止经营净利润（净亏损以“－”号填列）</t>
  </si>
  <si>
    <t>五、其他综合收益的税后净额</t>
  </si>
  <si>
    <t>六、综合收益总额</t>
  </si>
  <si>
    <t>七、每股收益：</t>
  </si>
  <si>
    <t>注：为便于利润表和资产负债表衔接，请填写下述数据（本行及下表不打印）</t>
  </si>
  <si>
    <t>利润分配的详细情况请填列于后附“权益表”。</t>
  </si>
  <si>
    <t>注：为核对经营活动产生的现金流量净额是否正确，请填写以下表格（下表不打印）</t>
  </si>
  <si>
    <t>所有者权益变动表</t>
  </si>
  <si>
    <r>
      <rPr>
        <sz val="10"/>
        <rFont val="宋体"/>
        <charset val="134"/>
      </rPr>
      <t>会企</t>
    </r>
    <r>
      <rPr>
        <sz val="10"/>
        <rFont val="Times New Roman"/>
        <charset val="134"/>
      </rPr>
      <t>04</t>
    </r>
    <r>
      <rPr>
        <sz val="10"/>
        <rFont val="宋体"/>
        <charset val="134"/>
      </rPr>
      <t>表</t>
    </r>
    <r>
      <rPr>
        <sz val="10"/>
        <rFont val="Times New Roman"/>
        <charset val="134"/>
      </rPr>
      <t>-1</t>
    </r>
  </si>
  <si>
    <r>
      <rPr>
        <sz val="10"/>
        <rFont val="宋体"/>
        <charset val="134"/>
      </rPr>
      <t>实收资本</t>
    </r>
    <r>
      <rPr>
        <sz val="10"/>
        <rFont val="Times New Roman"/>
        <charset val="134"/>
      </rPr>
      <t>(</t>
    </r>
    <r>
      <rPr>
        <sz val="10"/>
        <rFont val="宋体"/>
        <charset val="134"/>
      </rPr>
      <t>或股本</t>
    </r>
    <r>
      <rPr>
        <sz val="10"/>
        <rFont val="Times New Roman"/>
        <charset val="134"/>
      </rPr>
      <t>)</t>
    </r>
  </si>
  <si>
    <t>其他</t>
  </si>
  <si>
    <t>一、上年年末余额</t>
  </si>
  <si>
    <t>加：会计政策变更</t>
  </si>
  <si>
    <t xml:space="preserve">    前期差错更正</t>
  </si>
  <si>
    <t>二、本年年初余额</t>
  </si>
  <si>
    <t>三、本年增减变动金额</t>
  </si>
  <si>
    <t>（一）净利润</t>
  </si>
  <si>
    <t>（二）直接计入所有者权益的利得和损失</t>
  </si>
  <si>
    <r>
      <rPr>
        <sz val="10"/>
        <rFont val="Times New Roman"/>
        <charset val="134"/>
      </rPr>
      <t>1</t>
    </r>
    <r>
      <rPr>
        <sz val="10"/>
        <rFont val="宋体"/>
        <charset val="134"/>
      </rPr>
      <t>．可供出售金融资产公允价值变动净额</t>
    </r>
  </si>
  <si>
    <r>
      <rPr>
        <sz val="10"/>
        <rFont val="Times New Roman"/>
        <charset val="134"/>
      </rPr>
      <t>2</t>
    </r>
    <r>
      <rPr>
        <sz val="10"/>
        <rFont val="宋体"/>
        <charset val="134"/>
      </rPr>
      <t>．权益法下被投资单位其他所有者权益变动的影响</t>
    </r>
  </si>
  <si>
    <r>
      <rPr>
        <sz val="10"/>
        <rFont val="Times New Roman"/>
        <charset val="134"/>
      </rPr>
      <t>3</t>
    </r>
    <r>
      <rPr>
        <sz val="10"/>
        <rFont val="宋体"/>
        <charset val="134"/>
      </rPr>
      <t>．与计入所有者权益项目相关的所得税影响</t>
    </r>
  </si>
  <si>
    <r>
      <rPr>
        <sz val="10"/>
        <rFont val="Times New Roman"/>
        <charset val="134"/>
      </rPr>
      <t>4</t>
    </r>
    <r>
      <rPr>
        <sz val="10"/>
        <rFont val="宋体"/>
        <charset val="134"/>
      </rPr>
      <t>．其他</t>
    </r>
  </si>
  <si>
    <t>上述（一）和（二）小计</t>
  </si>
  <si>
    <t>（三）所有者投入和减少资本</t>
  </si>
  <si>
    <r>
      <rPr>
        <sz val="10"/>
        <rFont val="Times New Roman"/>
        <charset val="134"/>
      </rPr>
      <t>1</t>
    </r>
    <r>
      <rPr>
        <sz val="10"/>
        <rFont val="宋体"/>
        <charset val="134"/>
      </rPr>
      <t>．</t>
    </r>
    <r>
      <rPr>
        <sz val="10"/>
        <rFont val="宋体"/>
        <charset val="134"/>
      </rPr>
      <t>所有者投入资本</t>
    </r>
  </si>
  <si>
    <r>
      <rPr>
        <sz val="10"/>
        <rFont val="Times New Roman"/>
        <charset val="134"/>
      </rPr>
      <t>2</t>
    </r>
    <r>
      <rPr>
        <sz val="10"/>
        <rFont val="宋体"/>
        <charset val="134"/>
      </rPr>
      <t>．股份支付计入所有者权益的金额</t>
    </r>
  </si>
  <si>
    <r>
      <rPr>
        <sz val="10"/>
        <rFont val="Times New Roman"/>
        <charset val="134"/>
      </rPr>
      <t>3</t>
    </r>
    <r>
      <rPr>
        <sz val="10"/>
        <rFont val="宋体"/>
        <charset val="134"/>
      </rPr>
      <t>．其他</t>
    </r>
  </si>
  <si>
    <t>（四）利润分配</t>
  </si>
  <si>
    <r>
      <rPr>
        <sz val="10"/>
        <rFont val="Times New Roman"/>
        <charset val="134"/>
      </rPr>
      <t>1</t>
    </r>
    <r>
      <rPr>
        <sz val="10"/>
        <rFont val="宋体"/>
        <charset val="134"/>
      </rPr>
      <t>．提取盈余公积</t>
    </r>
  </si>
  <si>
    <r>
      <rPr>
        <sz val="10"/>
        <rFont val="Times New Roman"/>
        <charset val="134"/>
      </rPr>
      <t>2</t>
    </r>
    <r>
      <rPr>
        <sz val="10"/>
        <rFont val="宋体"/>
        <charset val="134"/>
      </rPr>
      <t>．对所有者（或股东）的分配</t>
    </r>
  </si>
  <si>
    <t>（五）所有者权益内部结转</t>
  </si>
  <si>
    <r>
      <rPr>
        <sz val="10"/>
        <rFont val="Times New Roman"/>
        <charset val="134"/>
      </rPr>
      <t>1</t>
    </r>
    <r>
      <rPr>
        <sz val="10"/>
        <rFont val="宋体"/>
        <charset val="134"/>
      </rPr>
      <t>．资本公积转增资本（或股本）</t>
    </r>
  </si>
  <si>
    <r>
      <rPr>
        <sz val="10"/>
        <rFont val="Times New Roman"/>
        <charset val="134"/>
      </rPr>
      <t>2</t>
    </r>
    <r>
      <rPr>
        <sz val="10"/>
        <rFont val="宋体"/>
        <charset val="134"/>
      </rPr>
      <t>．盈余公积转增资本（或股本）</t>
    </r>
  </si>
  <si>
    <r>
      <rPr>
        <sz val="10"/>
        <rFont val="Times New Roman"/>
        <charset val="134"/>
      </rPr>
      <t>3</t>
    </r>
    <r>
      <rPr>
        <sz val="10"/>
        <rFont val="宋体"/>
        <charset val="134"/>
      </rPr>
      <t>．盈余公积弥补亏损</t>
    </r>
  </si>
  <si>
    <t>四、本年年末余额</t>
  </si>
  <si>
    <r>
      <rPr>
        <sz val="10"/>
        <rFont val="宋体"/>
        <charset val="134"/>
      </rPr>
      <t>会企</t>
    </r>
    <r>
      <rPr>
        <sz val="10"/>
        <rFont val="Times New Roman"/>
        <charset val="134"/>
      </rPr>
      <t>04</t>
    </r>
    <r>
      <rPr>
        <sz val="10"/>
        <rFont val="宋体"/>
        <charset val="134"/>
      </rPr>
      <t>表</t>
    </r>
    <r>
      <rPr>
        <sz val="10"/>
        <rFont val="Times New Roman"/>
        <charset val="134"/>
      </rPr>
      <t>-2</t>
    </r>
  </si>
  <si>
    <t>【返回】报表附注</t>
  </si>
  <si>
    <t>上年同期金额</t>
  </si>
  <si>
    <t>本期累计数</t>
  </si>
  <si>
    <t>上月止累计金额</t>
  </si>
  <si>
    <t>本月金额</t>
  </si>
  <si>
    <t>上期累计数</t>
  </si>
  <si>
    <t xml:space="preserve">     未审附注之非流动资产</t>
  </si>
  <si>
    <r>
      <rPr>
        <b/>
        <sz val="10"/>
        <color indexed="8"/>
        <rFont val="Times New Roman"/>
        <charset val="134"/>
      </rPr>
      <t>1</t>
    </r>
    <r>
      <rPr>
        <b/>
        <sz val="10"/>
        <color indexed="8"/>
        <rFont val="宋体"/>
        <charset val="134"/>
      </rPr>
      <t>．货币资产</t>
    </r>
  </si>
  <si>
    <r>
      <rPr>
        <b/>
        <sz val="10"/>
        <color indexed="8"/>
        <rFont val="宋体"/>
        <charset val="134"/>
      </rPr>
      <t>（</t>
    </r>
    <r>
      <rPr>
        <b/>
        <sz val="10"/>
        <color indexed="8"/>
        <rFont val="Times New Roman"/>
        <charset val="134"/>
      </rPr>
      <t>1</t>
    </r>
    <r>
      <rPr>
        <b/>
        <sz val="10"/>
        <color indexed="8"/>
        <rFont val="宋体"/>
        <charset val="134"/>
      </rPr>
      <t>）分类列示</t>
    </r>
  </si>
  <si>
    <t>项 目</t>
  </si>
  <si>
    <t>期末账面余额</t>
  </si>
  <si>
    <t>年初账面余额</t>
  </si>
  <si>
    <t>原币金额</t>
  </si>
  <si>
    <t>折算汇率</t>
  </si>
  <si>
    <t>折合人民币</t>
  </si>
  <si>
    <t>现金</t>
  </si>
  <si>
    <t>货币资金—现金—小计</t>
  </si>
  <si>
    <t>其中：人民币</t>
  </si>
  <si>
    <t>货币资金—现金—人民币</t>
  </si>
  <si>
    <r>
      <rPr>
        <sz val="10"/>
        <rFont val="Times New Roman"/>
        <charset val="134"/>
      </rPr>
      <t xml:space="preserve">             </t>
    </r>
    <r>
      <rPr>
        <sz val="10"/>
        <rFont val="宋体"/>
        <charset val="134"/>
      </rPr>
      <t>美元</t>
    </r>
  </si>
  <si>
    <t>货币资金—现金—美元</t>
  </si>
  <si>
    <r>
      <rPr>
        <sz val="10"/>
        <rFont val="Times New Roman"/>
        <charset val="134"/>
      </rPr>
      <t xml:space="preserve">             </t>
    </r>
    <r>
      <rPr>
        <sz val="10"/>
        <rFont val="宋体"/>
        <charset val="134"/>
      </rPr>
      <t>港币</t>
    </r>
  </si>
  <si>
    <t>货币资金—现金—港币</t>
  </si>
  <si>
    <r>
      <rPr>
        <sz val="10"/>
        <rFont val="Times New Roman"/>
        <charset val="134"/>
      </rPr>
      <t xml:space="preserve">             </t>
    </r>
    <r>
      <rPr>
        <sz val="10"/>
        <rFont val="宋体"/>
        <charset val="134"/>
      </rPr>
      <t>欧元</t>
    </r>
  </si>
  <si>
    <t>货币资金—现金—欧元</t>
  </si>
  <si>
    <r>
      <rPr>
        <sz val="10"/>
        <rFont val="Times New Roman"/>
        <charset val="134"/>
      </rPr>
      <t xml:space="preserve">             </t>
    </r>
    <r>
      <rPr>
        <sz val="10"/>
        <rFont val="宋体"/>
        <charset val="134"/>
      </rPr>
      <t>日元</t>
    </r>
  </si>
  <si>
    <t>货币资金—现金—日元</t>
  </si>
  <si>
    <t>银行存款</t>
  </si>
  <si>
    <t>货币资金—银行存款—小计</t>
  </si>
  <si>
    <t>货币资金—银行存款—人民币</t>
  </si>
  <si>
    <t>货币资金—银行存款—美元</t>
  </si>
  <si>
    <t>货币资金—银行存款—港币</t>
  </si>
  <si>
    <t>货币资金—银行存款—欧元</t>
  </si>
  <si>
    <t>货币资金—银行存款—日元</t>
  </si>
  <si>
    <t>其他货币资金</t>
  </si>
  <si>
    <t>货币资金—其他货币资金—小计</t>
  </si>
  <si>
    <t>货币资金—其他货币资金—人民币</t>
  </si>
  <si>
    <t>货币资金—其他货币资金—美元</t>
  </si>
  <si>
    <t>货币资金—其他货币资金—港币</t>
  </si>
  <si>
    <t>货币资金—其他货币资金—欧元</t>
  </si>
  <si>
    <t>货币资金—其他货币资金—日元</t>
  </si>
  <si>
    <t>合 计</t>
  </si>
  <si>
    <t>货币资金—合计</t>
  </si>
  <si>
    <r>
      <rPr>
        <b/>
        <sz val="10"/>
        <rFont val="宋体"/>
        <charset val="134"/>
      </rPr>
      <t>（</t>
    </r>
    <r>
      <rPr>
        <b/>
        <sz val="10"/>
        <rFont val="Times New Roman"/>
        <charset val="134"/>
      </rPr>
      <t>2</t>
    </r>
    <r>
      <rPr>
        <b/>
        <sz val="10"/>
        <rFont val="宋体"/>
        <charset val="134"/>
      </rPr>
      <t>）因抵押或冻结等对使用有限制的款项</t>
    </r>
  </si>
  <si>
    <t>受限制原因</t>
  </si>
  <si>
    <t>受限制金额</t>
  </si>
  <si>
    <t>合同文号</t>
  </si>
  <si>
    <t>法院判决书</t>
  </si>
  <si>
    <t>备注</t>
  </si>
  <si>
    <t>货币资金—使用有限制的款项</t>
  </si>
  <si>
    <t>货币资金—使用有限制的款项合计</t>
  </si>
  <si>
    <t>（3）存放在境外的款项</t>
  </si>
  <si>
    <t>存放境外机构</t>
  </si>
  <si>
    <t>存放境外国家</t>
  </si>
  <si>
    <t>存放金额</t>
  </si>
  <si>
    <t>存放原因</t>
  </si>
  <si>
    <t>货币资金—存放境外的款项</t>
  </si>
  <si>
    <t>货币资金—存放境外的款项合计</t>
  </si>
  <si>
    <t>（4）有潜在回收风险的款项</t>
  </si>
  <si>
    <t>潜在风险原因</t>
  </si>
  <si>
    <t>金额</t>
  </si>
  <si>
    <t>预计损失</t>
  </si>
  <si>
    <t>相关文书号</t>
  </si>
  <si>
    <t>回收措施</t>
  </si>
  <si>
    <t>货币资金—有潜在回收风险的款项</t>
  </si>
  <si>
    <t>货币资金—有潜在回收风险的款项合计</t>
  </si>
  <si>
    <r>
      <rPr>
        <b/>
        <sz val="10"/>
        <color indexed="8"/>
        <rFont val="Times New Roman"/>
        <charset val="134"/>
      </rPr>
      <t>2</t>
    </r>
    <r>
      <rPr>
        <b/>
        <sz val="10"/>
        <color indexed="8"/>
        <rFont val="宋体"/>
        <charset val="134"/>
      </rPr>
      <t>．交易性金融资产</t>
    </r>
  </si>
  <si>
    <r>
      <rPr>
        <sz val="10"/>
        <color indexed="8"/>
        <rFont val="宋体"/>
        <charset val="134"/>
      </rPr>
      <t>项</t>
    </r>
    <r>
      <rPr>
        <sz val="10"/>
        <color indexed="8"/>
        <rFont val="Times New Roman"/>
        <charset val="134"/>
      </rPr>
      <t xml:space="preserve"> </t>
    </r>
    <r>
      <rPr>
        <sz val="10"/>
        <color indexed="8"/>
        <rFont val="宋体"/>
        <charset val="134"/>
      </rPr>
      <t>目</t>
    </r>
  </si>
  <si>
    <t>期末公允价值</t>
  </si>
  <si>
    <t>年初公允价值</t>
  </si>
  <si>
    <t>交易性债券投资</t>
  </si>
  <si>
    <r>
      <rPr>
        <sz val="8"/>
        <rFont val="宋体"/>
        <charset val="134"/>
      </rPr>
      <t>交易性金融资产</t>
    </r>
    <r>
      <rPr>
        <sz val="8"/>
        <rFont val="Times New Roman"/>
        <charset val="134"/>
      </rPr>
      <t>—</t>
    </r>
    <r>
      <rPr>
        <sz val="8"/>
        <rFont val="宋体"/>
        <charset val="134"/>
      </rPr>
      <t>债券投资</t>
    </r>
  </si>
  <si>
    <t>交易性权益工具投资</t>
  </si>
  <si>
    <r>
      <rPr>
        <sz val="8"/>
        <rFont val="宋体"/>
        <charset val="134"/>
      </rPr>
      <t>交易性金融资产</t>
    </r>
    <r>
      <rPr>
        <sz val="8"/>
        <rFont val="Times New Roman"/>
        <charset val="134"/>
      </rPr>
      <t>—</t>
    </r>
    <r>
      <rPr>
        <sz val="8"/>
        <rFont val="宋体"/>
        <charset val="134"/>
      </rPr>
      <t>权益工具投资</t>
    </r>
  </si>
  <si>
    <t>指定为以公允价值计量且其变动计入当期损益的金融资产</t>
  </si>
  <si>
    <r>
      <rPr>
        <sz val="8"/>
        <rFont val="宋体"/>
        <charset val="134"/>
      </rPr>
      <t>交易性金融资产</t>
    </r>
    <r>
      <rPr>
        <sz val="8"/>
        <rFont val="Times New Roman"/>
        <charset val="134"/>
      </rPr>
      <t>—</t>
    </r>
    <r>
      <rPr>
        <sz val="8"/>
        <rFont val="宋体"/>
        <charset val="134"/>
      </rPr>
      <t>公允价值计量</t>
    </r>
  </si>
  <si>
    <t>衍生金融资产</t>
  </si>
  <si>
    <r>
      <rPr>
        <sz val="8"/>
        <rFont val="宋体"/>
        <charset val="134"/>
      </rPr>
      <t>交易性金融资产</t>
    </r>
    <r>
      <rPr>
        <sz val="8"/>
        <rFont val="Times New Roman"/>
        <charset val="134"/>
      </rPr>
      <t>—</t>
    </r>
    <r>
      <rPr>
        <sz val="8"/>
        <rFont val="宋体"/>
        <charset val="134"/>
      </rPr>
      <t>衍生金融资产</t>
    </r>
  </si>
  <si>
    <r>
      <rPr>
        <sz val="8"/>
        <rFont val="宋体"/>
        <charset val="134"/>
      </rPr>
      <t>交易性金融资产</t>
    </r>
    <r>
      <rPr>
        <sz val="8"/>
        <rFont val="Times New Roman"/>
        <charset val="134"/>
      </rPr>
      <t>—</t>
    </r>
    <r>
      <rPr>
        <sz val="8"/>
        <rFont val="宋体"/>
        <charset val="134"/>
      </rPr>
      <t>其他</t>
    </r>
  </si>
  <si>
    <r>
      <rPr>
        <sz val="10"/>
        <color indexed="8"/>
        <rFont val="宋体"/>
        <charset val="134"/>
      </rPr>
      <t>合</t>
    </r>
    <r>
      <rPr>
        <sz val="10"/>
        <color indexed="8"/>
        <rFont val="Times New Roman"/>
        <charset val="134"/>
      </rPr>
      <t xml:space="preserve"> </t>
    </r>
    <r>
      <rPr>
        <sz val="10"/>
        <color indexed="8"/>
        <rFont val="宋体"/>
        <charset val="134"/>
      </rPr>
      <t>计</t>
    </r>
  </si>
  <si>
    <r>
      <rPr>
        <sz val="8"/>
        <rFont val="宋体"/>
        <charset val="134"/>
      </rPr>
      <t>交易性金融资产</t>
    </r>
    <r>
      <rPr>
        <sz val="8"/>
        <rFont val="Times New Roman"/>
        <charset val="134"/>
      </rPr>
      <t>—</t>
    </r>
    <r>
      <rPr>
        <sz val="8"/>
        <rFont val="宋体"/>
        <charset val="134"/>
      </rPr>
      <t>合</t>
    </r>
    <r>
      <rPr>
        <sz val="8"/>
        <rFont val="Times New Roman"/>
        <charset val="134"/>
      </rPr>
      <t xml:space="preserve"> </t>
    </r>
    <r>
      <rPr>
        <sz val="8"/>
        <rFont val="宋体"/>
        <charset val="134"/>
      </rPr>
      <t>计</t>
    </r>
  </si>
  <si>
    <r>
      <rPr>
        <b/>
        <sz val="10"/>
        <rFont val="宋体"/>
        <charset val="134"/>
      </rPr>
      <t>（</t>
    </r>
    <r>
      <rPr>
        <b/>
        <sz val="10"/>
        <rFont val="Times New Roman"/>
        <charset val="134"/>
      </rPr>
      <t>2</t>
    </r>
    <r>
      <rPr>
        <b/>
        <sz val="10"/>
        <rFont val="宋体"/>
        <charset val="134"/>
      </rPr>
      <t>）变现存在重大限制款项</t>
    </r>
  </si>
  <si>
    <r>
      <rPr>
        <sz val="8"/>
        <rFont val="宋体"/>
        <charset val="134"/>
      </rPr>
      <t>交易性金融资产</t>
    </r>
    <r>
      <rPr>
        <sz val="8"/>
        <rFont val="Times New Roman"/>
        <charset val="134"/>
      </rPr>
      <t>—</t>
    </r>
    <r>
      <rPr>
        <sz val="8"/>
        <rFont val="宋体"/>
        <charset val="134"/>
      </rPr>
      <t>变现存在重大限制</t>
    </r>
  </si>
  <si>
    <r>
      <rPr>
        <sz val="8"/>
        <rFont val="宋体"/>
        <charset val="134"/>
      </rPr>
      <t>交易性金融资产</t>
    </r>
    <r>
      <rPr>
        <sz val="8"/>
        <rFont val="Times New Roman"/>
        <charset val="134"/>
      </rPr>
      <t>—</t>
    </r>
    <r>
      <rPr>
        <sz val="8"/>
        <rFont val="宋体"/>
        <charset val="134"/>
      </rPr>
      <t>变现存在重大限制合计</t>
    </r>
  </si>
  <si>
    <r>
      <rPr>
        <b/>
        <sz val="10"/>
        <color indexed="8"/>
        <rFont val="Times New Roman"/>
        <charset val="134"/>
      </rPr>
      <t>3</t>
    </r>
    <r>
      <rPr>
        <b/>
        <sz val="10"/>
        <color indexed="8"/>
        <rFont val="宋体"/>
        <charset val="134"/>
      </rPr>
      <t>．应收票据</t>
    </r>
  </si>
  <si>
    <t>票据种类</t>
  </si>
  <si>
    <t>银行承兑汇票</t>
  </si>
  <si>
    <t>应收票据—银行承兑汇票</t>
  </si>
  <si>
    <t>商业承兑汇票</t>
  </si>
  <si>
    <t>应收票据—商业承兑汇票</t>
  </si>
  <si>
    <r>
      <rPr>
        <sz val="8"/>
        <rFont val="宋体"/>
        <charset val="134"/>
      </rPr>
      <t>应收票据</t>
    </r>
    <r>
      <rPr>
        <sz val="8"/>
        <rFont val="Times New Roman"/>
        <charset val="134"/>
      </rPr>
      <t>—</t>
    </r>
    <r>
      <rPr>
        <sz val="8"/>
        <rFont val="宋体"/>
        <charset val="134"/>
      </rPr>
      <t>合计</t>
    </r>
  </si>
  <si>
    <r>
      <rPr>
        <b/>
        <sz val="10"/>
        <color indexed="8"/>
        <rFont val="宋体"/>
        <charset val="134"/>
      </rPr>
      <t>（</t>
    </r>
    <r>
      <rPr>
        <b/>
        <sz val="10"/>
        <color indexed="8"/>
        <rFont val="Times New Roman"/>
        <charset val="134"/>
      </rPr>
      <t>2</t>
    </r>
    <r>
      <rPr>
        <b/>
        <sz val="10"/>
        <color indexed="8"/>
        <rFont val="宋体"/>
        <charset val="134"/>
      </rPr>
      <t>）已质押、贴现的应收票据</t>
    </r>
  </si>
  <si>
    <t xml:space="preserve">出票单位 </t>
  </si>
  <si>
    <t>出票日期</t>
  </si>
  <si>
    <t xml:space="preserve"> 到期日 </t>
  </si>
  <si>
    <t xml:space="preserve"> 已质押或贴现 </t>
  </si>
  <si>
    <t>应收票据—已质押、贴现</t>
  </si>
  <si>
    <t>应收票据—已质押、贴现合计</t>
  </si>
  <si>
    <r>
      <rPr>
        <b/>
        <sz val="10"/>
        <color indexed="8"/>
        <rFont val="宋体"/>
        <charset val="134"/>
      </rPr>
      <t>（</t>
    </r>
    <r>
      <rPr>
        <b/>
        <sz val="10"/>
        <color indexed="8"/>
        <rFont val="Times New Roman"/>
        <charset val="134"/>
      </rPr>
      <t>3</t>
    </r>
    <r>
      <rPr>
        <b/>
        <sz val="10"/>
        <color indexed="8"/>
        <rFont val="宋体"/>
        <charset val="134"/>
      </rPr>
      <t>）有追索权的票据背书</t>
    </r>
  </si>
  <si>
    <t>背书日</t>
  </si>
  <si>
    <t>背书金额</t>
  </si>
  <si>
    <t>应收票据—有追索权的票据背书</t>
  </si>
  <si>
    <t>应收票据—有追索权的票据背书合计</t>
  </si>
  <si>
    <t>（4）以票据为标的资产的资产证券化安排</t>
  </si>
  <si>
    <t>证券化方式</t>
  </si>
  <si>
    <t>应收票据—资产证券化安排</t>
  </si>
  <si>
    <t>应收票据—资产证券化安排合计</t>
  </si>
  <si>
    <t>（5）转为应收账款的票据</t>
  </si>
  <si>
    <t>应收票据—转为应收账款</t>
  </si>
  <si>
    <t>应收票据—转为应收账款合计</t>
  </si>
  <si>
    <t>（6）期末公司已经背书给他方但尚未到期的票据</t>
  </si>
  <si>
    <t>应收票据—已背书尚未到期</t>
  </si>
  <si>
    <t>应收票据—已背书尚未到期合计</t>
  </si>
  <si>
    <t>4．应收股利</t>
  </si>
  <si>
    <t>被投资单位</t>
  </si>
  <si>
    <t>未收回原因</t>
  </si>
  <si>
    <t>是否减值</t>
  </si>
  <si>
    <t>减值金额</t>
  </si>
  <si>
    <t>一、1年以内应收股利</t>
  </si>
  <si>
    <r>
      <rPr>
        <sz val="8"/>
        <rFont val="宋体"/>
        <charset val="134"/>
      </rPr>
      <t>应收股利—</t>
    </r>
    <r>
      <rPr>
        <sz val="8"/>
        <rFont val="Times New Roman"/>
        <charset val="134"/>
      </rPr>
      <t>1</t>
    </r>
    <r>
      <rPr>
        <sz val="8"/>
        <rFont val="宋体"/>
        <charset val="134"/>
      </rPr>
      <t>年以内</t>
    </r>
  </si>
  <si>
    <t>小 计</t>
  </si>
  <si>
    <r>
      <rPr>
        <sz val="8"/>
        <rFont val="宋体"/>
        <charset val="134"/>
      </rPr>
      <t>应收股利—</t>
    </r>
    <r>
      <rPr>
        <sz val="8"/>
        <rFont val="Times New Roman"/>
        <charset val="134"/>
      </rPr>
      <t>1</t>
    </r>
    <r>
      <rPr>
        <sz val="8"/>
        <rFont val="宋体"/>
        <charset val="134"/>
      </rPr>
      <t>年以内小计</t>
    </r>
  </si>
  <si>
    <t>二、1年以上应收股利</t>
  </si>
  <si>
    <t>应收股利—1年以上</t>
  </si>
  <si>
    <t>应收股利—1年以上小计</t>
  </si>
  <si>
    <t>应收股利—合计</t>
  </si>
  <si>
    <t>5．应收利息</t>
  </si>
  <si>
    <t>对方单位</t>
  </si>
  <si>
    <t>一、1年以内应收利息</t>
  </si>
  <si>
    <t>应收利息—1年以内</t>
  </si>
  <si>
    <t>应收利息—1年以内小计</t>
  </si>
  <si>
    <t>二、1年以上应收利息</t>
  </si>
  <si>
    <t>应收利息—1年以上</t>
  </si>
  <si>
    <t>应收利息—1年以上小计</t>
  </si>
  <si>
    <t>应收利息—合计</t>
  </si>
  <si>
    <r>
      <rPr>
        <b/>
        <sz val="10"/>
        <color indexed="8"/>
        <rFont val="Times New Roman"/>
        <charset val="134"/>
      </rPr>
      <t>6</t>
    </r>
    <r>
      <rPr>
        <b/>
        <sz val="10"/>
        <color indexed="8"/>
        <rFont val="宋体"/>
        <charset val="134"/>
      </rPr>
      <t>．应收账款</t>
    </r>
  </si>
  <si>
    <r>
      <rPr>
        <b/>
        <sz val="10"/>
        <color indexed="8"/>
        <rFont val="宋体"/>
        <charset val="134"/>
      </rPr>
      <t>（</t>
    </r>
    <r>
      <rPr>
        <b/>
        <sz val="10"/>
        <color indexed="8"/>
        <rFont val="Times New Roman"/>
        <charset val="134"/>
      </rPr>
      <t>1</t>
    </r>
    <r>
      <rPr>
        <b/>
        <sz val="10"/>
        <color indexed="8"/>
        <rFont val="宋体"/>
        <charset val="134"/>
      </rPr>
      <t>）应收账款账龄结构</t>
    </r>
  </si>
  <si>
    <t>账龄结构</t>
  </si>
  <si>
    <t>账面余额</t>
  </si>
  <si>
    <t>比例</t>
  </si>
  <si>
    <t>坏账准备金额</t>
  </si>
  <si>
    <t>坏账准备计提比例</t>
  </si>
  <si>
    <r>
      <rPr>
        <sz val="10"/>
        <color indexed="8"/>
        <rFont val="Times New Roman"/>
        <charset val="134"/>
      </rPr>
      <t>1</t>
    </r>
    <r>
      <rPr>
        <sz val="10"/>
        <color indexed="8"/>
        <rFont val="宋体"/>
        <charset val="134"/>
      </rPr>
      <t>年以内（含</t>
    </r>
    <r>
      <rPr>
        <sz val="10"/>
        <color indexed="8"/>
        <rFont val="Times New Roman"/>
        <charset val="134"/>
      </rPr>
      <t>1</t>
    </r>
    <r>
      <rPr>
        <sz val="10"/>
        <color indexed="8"/>
        <rFont val="宋体"/>
        <charset val="134"/>
      </rPr>
      <t>年）</t>
    </r>
  </si>
  <si>
    <t>应收账款—账龄—1年以内（含1年）</t>
  </si>
  <si>
    <r>
      <rPr>
        <sz val="10"/>
        <color indexed="8"/>
        <rFont val="Times New Roman"/>
        <charset val="134"/>
      </rPr>
      <t>1</t>
    </r>
    <r>
      <rPr>
        <sz val="10"/>
        <color indexed="8"/>
        <rFont val="宋体"/>
        <charset val="134"/>
      </rPr>
      <t>年至</t>
    </r>
    <r>
      <rPr>
        <sz val="10"/>
        <color indexed="8"/>
        <rFont val="Times New Roman"/>
        <charset val="134"/>
      </rPr>
      <t>2</t>
    </r>
    <r>
      <rPr>
        <sz val="10"/>
        <color indexed="8"/>
        <rFont val="宋体"/>
        <charset val="134"/>
      </rPr>
      <t>年（含</t>
    </r>
    <r>
      <rPr>
        <sz val="10"/>
        <color indexed="8"/>
        <rFont val="Times New Roman"/>
        <charset val="134"/>
      </rPr>
      <t>2</t>
    </r>
    <r>
      <rPr>
        <sz val="10"/>
        <color indexed="8"/>
        <rFont val="宋体"/>
        <charset val="134"/>
      </rPr>
      <t>年）</t>
    </r>
  </si>
  <si>
    <t>应收账款—账龄—1年至2年（含2年）</t>
  </si>
  <si>
    <r>
      <rPr>
        <sz val="10"/>
        <color indexed="8"/>
        <rFont val="Times New Roman"/>
        <charset val="134"/>
      </rPr>
      <t>2</t>
    </r>
    <r>
      <rPr>
        <sz val="10"/>
        <color indexed="8"/>
        <rFont val="宋体"/>
        <charset val="134"/>
      </rPr>
      <t>年至</t>
    </r>
    <r>
      <rPr>
        <sz val="10"/>
        <color indexed="8"/>
        <rFont val="Times New Roman"/>
        <charset val="134"/>
      </rPr>
      <t>3</t>
    </r>
    <r>
      <rPr>
        <sz val="10"/>
        <color indexed="8"/>
        <rFont val="宋体"/>
        <charset val="134"/>
      </rPr>
      <t>年（含</t>
    </r>
    <r>
      <rPr>
        <sz val="10"/>
        <color indexed="8"/>
        <rFont val="Times New Roman"/>
        <charset val="134"/>
      </rPr>
      <t>3</t>
    </r>
    <r>
      <rPr>
        <sz val="10"/>
        <color indexed="8"/>
        <rFont val="宋体"/>
        <charset val="134"/>
      </rPr>
      <t>年）</t>
    </r>
  </si>
  <si>
    <t>应收账款—账龄—2年至3年（含3年）</t>
  </si>
  <si>
    <r>
      <rPr>
        <sz val="10"/>
        <color indexed="8"/>
        <rFont val="Times New Roman"/>
        <charset val="134"/>
      </rPr>
      <t>3</t>
    </r>
    <r>
      <rPr>
        <sz val="10"/>
        <color indexed="8"/>
        <rFont val="宋体"/>
        <charset val="134"/>
      </rPr>
      <t>年至</t>
    </r>
    <r>
      <rPr>
        <sz val="10"/>
        <color indexed="8"/>
        <rFont val="Times New Roman"/>
        <charset val="134"/>
      </rPr>
      <t>4</t>
    </r>
    <r>
      <rPr>
        <sz val="10"/>
        <color indexed="8"/>
        <rFont val="宋体"/>
        <charset val="134"/>
      </rPr>
      <t>年（或</t>
    </r>
    <r>
      <rPr>
        <sz val="10"/>
        <color indexed="8"/>
        <rFont val="Times New Roman"/>
        <charset val="134"/>
      </rPr>
      <t>3</t>
    </r>
    <r>
      <rPr>
        <sz val="10"/>
        <color indexed="8"/>
        <rFont val="宋体"/>
        <charset val="134"/>
      </rPr>
      <t>年以上）</t>
    </r>
  </si>
  <si>
    <t>应收账款—账龄—3年至4年（或3年以上）</t>
  </si>
  <si>
    <r>
      <rPr>
        <sz val="10"/>
        <color indexed="8"/>
        <rFont val="Times New Roman"/>
        <charset val="134"/>
      </rPr>
      <t>4</t>
    </r>
    <r>
      <rPr>
        <sz val="10"/>
        <color indexed="8"/>
        <rFont val="宋体"/>
        <charset val="134"/>
      </rPr>
      <t>年至</t>
    </r>
    <r>
      <rPr>
        <sz val="10"/>
        <color indexed="8"/>
        <rFont val="Times New Roman"/>
        <charset val="134"/>
      </rPr>
      <t>5</t>
    </r>
    <r>
      <rPr>
        <sz val="10"/>
        <color indexed="8"/>
        <rFont val="宋体"/>
        <charset val="134"/>
      </rPr>
      <t>年（含</t>
    </r>
    <r>
      <rPr>
        <sz val="10"/>
        <color indexed="8"/>
        <rFont val="Times New Roman"/>
        <charset val="134"/>
      </rPr>
      <t>5</t>
    </r>
    <r>
      <rPr>
        <sz val="10"/>
        <color indexed="8"/>
        <rFont val="宋体"/>
        <charset val="134"/>
      </rPr>
      <t>年）</t>
    </r>
  </si>
  <si>
    <t>应收账款—账龄—4年至5年（含5年）</t>
  </si>
  <si>
    <r>
      <rPr>
        <sz val="10"/>
        <color indexed="8"/>
        <rFont val="Times New Roman"/>
        <charset val="134"/>
      </rPr>
      <t>5</t>
    </r>
    <r>
      <rPr>
        <sz val="10"/>
        <color indexed="8"/>
        <rFont val="宋体"/>
        <charset val="134"/>
      </rPr>
      <t>年以上</t>
    </r>
  </si>
  <si>
    <t>应收账款—账龄—5年以上</t>
  </si>
  <si>
    <t>应收账款—账龄—合 计</t>
  </si>
  <si>
    <r>
      <rPr>
        <b/>
        <sz val="10"/>
        <color indexed="8"/>
        <rFont val="宋体"/>
        <charset val="134"/>
      </rPr>
      <t>（</t>
    </r>
    <r>
      <rPr>
        <b/>
        <sz val="10"/>
        <color indexed="8"/>
        <rFont val="Times New Roman"/>
        <charset val="134"/>
      </rPr>
      <t>2</t>
    </r>
    <r>
      <rPr>
        <b/>
        <sz val="10"/>
        <color indexed="8"/>
        <rFont val="宋体"/>
        <charset val="134"/>
      </rPr>
      <t>）分类列示</t>
    </r>
  </si>
  <si>
    <t>单项金额重大的应收款项</t>
  </si>
  <si>
    <t>应收账款—分类—单项金额重大</t>
  </si>
  <si>
    <t>单项金额不重大但按信用风险特征组合后该组合的风险较大的应收款项</t>
  </si>
  <si>
    <t>应收账款—分类—组合的风险较大</t>
  </si>
  <si>
    <t>其他不重大应收款项</t>
  </si>
  <si>
    <t>应收账款—分类—其他不重大</t>
  </si>
  <si>
    <t>应收账款—分类—合 计</t>
  </si>
  <si>
    <t>（3）单项金额重大的应收款项</t>
  </si>
  <si>
    <t>客户名称</t>
  </si>
  <si>
    <t>坏账准备</t>
  </si>
  <si>
    <t>计提理由</t>
  </si>
  <si>
    <t>应收账款—单项金额重大明细</t>
  </si>
  <si>
    <t>应收账款—单项金额重大明细合计</t>
  </si>
  <si>
    <t>（4）单项金额不重大但按信用风险特征组合后该组合的风险较大的应收款项</t>
  </si>
  <si>
    <t>确定该组合的依据</t>
  </si>
  <si>
    <t>应收账款—组合的风险较大明细</t>
  </si>
  <si>
    <t>应收账款—组合的风险较大明细合计</t>
  </si>
  <si>
    <t>（5）已全额计提坏账准备或计提坏账准备的比例较大的应收款项收回</t>
  </si>
  <si>
    <t>收回前余额</t>
  </si>
  <si>
    <t>收回金额</t>
  </si>
  <si>
    <t>收回原因</t>
  </si>
  <si>
    <t>原计提理由</t>
  </si>
  <si>
    <t>原计提依据</t>
  </si>
  <si>
    <t>应收账款—已提准备款项收回</t>
  </si>
  <si>
    <t>应收账款—已提准备款项收回合计</t>
  </si>
  <si>
    <t>（6）本年度实际核销的应收款项</t>
  </si>
  <si>
    <t>核销前余额</t>
  </si>
  <si>
    <t>性质</t>
  </si>
  <si>
    <t>核销原因</t>
  </si>
  <si>
    <t>是否关联交易产生</t>
  </si>
  <si>
    <t>应收账款—实际核销</t>
  </si>
  <si>
    <t>应收账款—实际核销合计</t>
  </si>
  <si>
    <t>（7）持公司5%（含5%）以上表决权股份的股东单位欠款</t>
  </si>
  <si>
    <t>股东名称</t>
  </si>
  <si>
    <t>款项性质</t>
  </si>
  <si>
    <t>应收账款—5%股东款项</t>
  </si>
  <si>
    <t>应收账款—5%股东款项合计</t>
  </si>
  <si>
    <t>（8）应收账款前5名</t>
  </si>
  <si>
    <t>欠款性质</t>
  </si>
  <si>
    <t>欠款年限</t>
  </si>
  <si>
    <t>占应收账款比例</t>
  </si>
  <si>
    <t>应收账款—前5名</t>
  </si>
  <si>
    <t>应收账款—前5名合计</t>
  </si>
  <si>
    <t>（9）应收关联方款项</t>
  </si>
  <si>
    <t>关联方</t>
  </si>
  <si>
    <t>应收账款—关联方款项</t>
  </si>
  <si>
    <t>应收账款—关联方款项合计</t>
  </si>
  <si>
    <t>（10）不符合终止确认条件的应收款项的转移</t>
  </si>
  <si>
    <t>转移前余额</t>
  </si>
  <si>
    <t>转移金额</t>
  </si>
  <si>
    <t>转移原因</t>
  </si>
  <si>
    <t>应收账款—不符合终止确认款项</t>
  </si>
  <si>
    <t>应收账款—不符合终止确认款项合计</t>
  </si>
  <si>
    <t>（11）以应收款项为标的资产进行资产证券化</t>
  </si>
  <si>
    <t>期末余额</t>
  </si>
  <si>
    <t>相关交易安排</t>
  </si>
  <si>
    <t>应收账款—资产证券化</t>
  </si>
  <si>
    <t>应收账款—资产证券化合计</t>
  </si>
  <si>
    <r>
      <rPr>
        <b/>
        <sz val="10"/>
        <color indexed="8"/>
        <rFont val="Times New Roman"/>
        <charset val="134"/>
      </rPr>
      <t>7</t>
    </r>
    <r>
      <rPr>
        <b/>
        <sz val="10"/>
        <color indexed="8"/>
        <rFont val="宋体"/>
        <charset val="134"/>
      </rPr>
      <t>．其他应收款</t>
    </r>
  </si>
  <si>
    <r>
      <rPr>
        <b/>
        <sz val="10"/>
        <color indexed="8"/>
        <rFont val="宋体"/>
        <charset val="134"/>
      </rPr>
      <t>（</t>
    </r>
    <r>
      <rPr>
        <b/>
        <sz val="10"/>
        <color indexed="8"/>
        <rFont val="Times New Roman"/>
        <charset val="134"/>
      </rPr>
      <t>1</t>
    </r>
    <r>
      <rPr>
        <b/>
        <sz val="10"/>
        <color indexed="8"/>
        <rFont val="宋体"/>
        <charset val="134"/>
      </rPr>
      <t>）其他应收款账龄结构</t>
    </r>
  </si>
  <si>
    <t>其他应收款—账龄—1年以内（含1年）</t>
  </si>
  <si>
    <t>其他应收款—账龄—1年至2年（含2年）</t>
  </si>
  <si>
    <t>其他应收款—账龄—2年至3年（含3年）</t>
  </si>
  <si>
    <t>其他应收款—账龄—3年至4年（或3年以上）</t>
  </si>
  <si>
    <t>其他应收款—账龄—4年至5年（含5年）</t>
  </si>
  <si>
    <t>其他应收款—账龄—5年以上</t>
  </si>
  <si>
    <t>其他应收款—账龄—合 计</t>
  </si>
  <si>
    <t>其他应收款—分类—单项金额重大</t>
  </si>
  <si>
    <t>其他应收款—分类—组合的风险较大</t>
  </si>
  <si>
    <t>其他应收款—分类—其他不重大</t>
  </si>
  <si>
    <t>其他应收款—分类—合 计</t>
  </si>
  <si>
    <t>其他应收款—单项金额重大明细</t>
  </si>
  <si>
    <t>其他应收款—单项金额重大明细合计</t>
  </si>
  <si>
    <t>其他应收款—组合的风险较大明细</t>
  </si>
  <si>
    <t>其他应收款—组合的风险较大明细合计</t>
  </si>
  <si>
    <t>其他应收款—已提准备款项收回</t>
  </si>
  <si>
    <t>其他应收款—已提准备款项收回合计</t>
  </si>
  <si>
    <t>其他应收款—实际核销</t>
  </si>
  <si>
    <t>其他应收款—实际核销合计</t>
  </si>
  <si>
    <t>其他应收款—5%股东款项</t>
  </si>
  <si>
    <t>其他应收款—5%股东款项合计</t>
  </si>
  <si>
    <t>（8）其他应收款前5名</t>
  </si>
  <si>
    <t>其他应收款—前5名</t>
  </si>
  <si>
    <t>其他应收款—前5名合计</t>
  </si>
  <si>
    <t>其他应收款—关联方款项</t>
  </si>
  <si>
    <t>其他应收款—关联方款项合计</t>
  </si>
  <si>
    <t>其他应收款—不符合终止确认款项</t>
  </si>
  <si>
    <t>其他应收款—不符合终止确认款项合计</t>
  </si>
  <si>
    <t>其他应收款—资产证券化</t>
  </si>
  <si>
    <t>其他应收款—资产证券化合计</t>
  </si>
  <si>
    <r>
      <rPr>
        <b/>
        <sz val="10"/>
        <color indexed="8"/>
        <rFont val="Times New Roman"/>
        <charset val="134"/>
      </rPr>
      <t>8</t>
    </r>
    <r>
      <rPr>
        <b/>
        <sz val="10"/>
        <color indexed="8"/>
        <rFont val="宋体"/>
        <charset val="134"/>
      </rPr>
      <t>．预付账款</t>
    </r>
  </si>
  <si>
    <r>
      <rPr>
        <b/>
        <sz val="10"/>
        <color indexed="8"/>
        <rFont val="宋体"/>
        <charset val="134"/>
      </rPr>
      <t>（</t>
    </r>
    <r>
      <rPr>
        <b/>
        <sz val="10"/>
        <color indexed="8"/>
        <rFont val="Times New Roman"/>
        <charset val="134"/>
      </rPr>
      <t>1</t>
    </r>
    <r>
      <rPr>
        <b/>
        <sz val="10"/>
        <color indexed="8"/>
        <rFont val="宋体"/>
        <charset val="134"/>
      </rPr>
      <t>）预付账款账龄结构</t>
    </r>
  </si>
  <si>
    <t>预付账款—账龄—1年以内（含1年）</t>
  </si>
  <si>
    <t>预付账款—账龄—1年至2年（含2年）</t>
  </si>
  <si>
    <t>预付账款—账龄—2年至3年（含3年）</t>
  </si>
  <si>
    <r>
      <rPr>
        <sz val="10"/>
        <color indexed="8"/>
        <rFont val="Times New Roman"/>
        <charset val="134"/>
      </rPr>
      <t>3</t>
    </r>
    <r>
      <rPr>
        <sz val="10"/>
        <color indexed="8"/>
        <rFont val="宋体"/>
        <charset val="134"/>
      </rPr>
      <t>年以上</t>
    </r>
  </si>
  <si>
    <t>预付账款—账龄—3年以上</t>
  </si>
  <si>
    <t>预付账款—账龄—合 计</t>
  </si>
  <si>
    <t>（2）账龄超过1年的重要预付账款</t>
  </si>
  <si>
    <t>预付款性质</t>
  </si>
  <si>
    <t>未及时结算原因</t>
  </si>
  <si>
    <t>预付账款—账龄超过1年重要预付款</t>
  </si>
  <si>
    <t>预付账款—账龄超过1年重要预付款合计</t>
  </si>
  <si>
    <t>（3）持公司5%（含5%）以上表决权股份的股东单位款项</t>
  </si>
  <si>
    <t>预付账款—5%股东款项</t>
  </si>
  <si>
    <t>预付账款—5%股东款项合计</t>
  </si>
  <si>
    <t>（4）关联方款项</t>
  </si>
  <si>
    <t>关联方名称</t>
  </si>
  <si>
    <t>预付账款—关联方款项</t>
  </si>
  <si>
    <t>预付账款—关联方款项合计</t>
  </si>
  <si>
    <t>（5）金额较大的预付账款（占期末预付账款总额的30%及以上）</t>
  </si>
  <si>
    <t>内容</t>
  </si>
  <si>
    <t>预付账款—金额较大</t>
  </si>
  <si>
    <t>预付账款—金额较大合计</t>
  </si>
  <si>
    <t>（6）若期末预付账款余额比上期期末预付账款余额增加或减少超过30%或预付账款期末余额超过资产总额的10%的，应说明其原因</t>
  </si>
  <si>
    <t>原因说明</t>
  </si>
  <si>
    <t>预付账款—增减原因</t>
  </si>
  <si>
    <r>
      <rPr>
        <b/>
        <sz val="10"/>
        <color indexed="8"/>
        <rFont val="Times New Roman"/>
        <charset val="134"/>
      </rPr>
      <t>9</t>
    </r>
    <r>
      <rPr>
        <b/>
        <sz val="10"/>
        <color indexed="8"/>
        <rFont val="宋体"/>
        <charset val="134"/>
      </rPr>
      <t>．存货</t>
    </r>
  </si>
  <si>
    <r>
      <rPr>
        <b/>
        <sz val="10"/>
        <color indexed="8"/>
        <rFont val="宋体"/>
        <charset val="134"/>
      </rPr>
      <t>（</t>
    </r>
    <r>
      <rPr>
        <b/>
        <sz val="10"/>
        <color indexed="8"/>
        <rFont val="Times New Roman"/>
        <charset val="134"/>
      </rPr>
      <t>1</t>
    </r>
    <r>
      <rPr>
        <b/>
        <sz val="10"/>
        <color indexed="8"/>
        <rFont val="宋体"/>
        <charset val="134"/>
      </rPr>
      <t>）存货种类</t>
    </r>
  </si>
  <si>
    <t>存货种类</t>
  </si>
  <si>
    <t>本期增加额</t>
  </si>
  <si>
    <t>本期减少额</t>
  </si>
  <si>
    <t>其中：资本化</t>
  </si>
  <si>
    <t>材料采购</t>
  </si>
  <si>
    <r>
      <rPr>
        <sz val="8"/>
        <rFont val="宋体"/>
        <charset val="134"/>
      </rPr>
      <t>存货</t>
    </r>
    <r>
      <rPr>
        <sz val="8"/>
        <rFont val="Times New Roman"/>
        <charset val="134"/>
      </rPr>
      <t>—</t>
    </r>
    <r>
      <rPr>
        <sz val="8"/>
        <rFont val="宋体"/>
        <charset val="134"/>
      </rPr>
      <t>材料采购</t>
    </r>
  </si>
  <si>
    <t>在途物资</t>
  </si>
  <si>
    <r>
      <rPr>
        <sz val="8"/>
        <rFont val="宋体"/>
        <charset val="134"/>
      </rPr>
      <t>存货</t>
    </r>
    <r>
      <rPr>
        <sz val="8"/>
        <rFont val="Times New Roman"/>
        <charset val="134"/>
      </rPr>
      <t>—</t>
    </r>
    <r>
      <rPr>
        <sz val="8"/>
        <rFont val="宋体"/>
        <charset val="134"/>
      </rPr>
      <t>在途物资</t>
    </r>
  </si>
  <si>
    <t>原材料</t>
  </si>
  <si>
    <t>存货—原材料</t>
  </si>
  <si>
    <t>在产品</t>
  </si>
  <si>
    <t>存货—在产品</t>
  </si>
  <si>
    <t>库存商品</t>
  </si>
  <si>
    <t>存货—库存商品</t>
  </si>
  <si>
    <t>发出商品</t>
  </si>
  <si>
    <t>存货—发出商品</t>
  </si>
  <si>
    <t>委托加工物资</t>
  </si>
  <si>
    <t>存货—委托加工物资</t>
  </si>
  <si>
    <t>周转材料</t>
  </si>
  <si>
    <t>存货—周转材料</t>
  </si>
  <si>
    <t>消耗性生物资产</t>
  </si>
  <si>
    <t>存货—消耗性生物资产</t>
  </si>
  <si>
    <t>建造合同形成的资产</t>
  </si>
  <si>
    <t>存货—建造合同形成的资产</t>
  </si>
  <si>
    <t>存货—其他</t>
  </si>
  <si>
    <t>存货—合 计</t>
  </si>
  <si>
    <t>（2）存货跌价准备</t>
  </si>
  <si>
    <t>本期计提额</t>
  </si>
  <si>
    <t>本期计提依据</t>
  </si>
  <si>
    <t>本期转回原因</t>
  </si>
  <si>
    <t>转回金额占存货比</t>
  </si>
  <si>
    <t>转回</t>
  </si>
  <si>
    <t>转销</t>
  </si>
  <si>
    <t>存货跌价准备—材料采购</t>
  </si>
  <si>
    <t>存货跌价准备—在途物资</t>
  </si>
  <si>
    <t>存货跌价准备—原材料</t>
  </si>
  <si>
    <t>存货跌价准备—在产品</t>
  </si>
  <si>
    <t>存货跌价准备—库存商品</t>
  </si>
  <si>
    <t>存货跌价准备—发出商品</t>
  </si>
  <si>
    <t>存货跌价准备—委托加工物资</t>
  </si>
  <si>
    <t>存货跌价准备—周转材料</t>
  </si>
  <si>
    <t>存货跌价准备—消耗性生物资产</t>
  </si>
  <si>
    <t>存货跌价准备—建造合同形成的资产</t>
  </si>
  <si>
    <t>存货跌价准备—其他</t>
  </si>
  <si>
    <t>存货跌价准备—合 计</t>
  </si>
  <si>
    <r>
      <rPr>
        <b/>
        <sz val="10"/>
        <color indexed="8"/>
        <rFont val="Times New Roman"/>
        <charset val="134"/>
      </rPr>
      <t>10</t>
    </r>
    <r>
      <rPr>
        <b/>
        <sz val="10"/>
        <color indexed="8"/>
        <rFont val="宋体"/>
        <charset val="134"/>
      </rPr>
      <t>．其他流动资产</t>
    </r>
  </si>
  <si>
    <t>期末账面价值</t>
  </si>
  <si>
    <t>年初账面价值</t>
  </si>
  <si>
    <t>其他流动资产合计</t>
  </si>
  <si>
    <t>终行</t>
  </si>
  <si>
    <r>
      <rPr>
        <b/>
        <sz val="10"/>
        <color indexed="8"/>
        <rFont val="Times New Roman"/>
        <charset val="134"/>
      </rPr>
      <t>11</t>
    </r>
    <r>
      <rPr>
        <b/>
        <sz val="10"/>
        <color indexed="8"/>
        <rFont val="宋体"/>
        <charset val="134"/>
      </rPr>
      <t>．可供出售金融资产</t>
    </r>
  </si>
  <si>
    <t>其中：持有至到期投资转入</t>
  </si>
  <si>
    <t>转入比例</t>
  </si>
  <si>
    <t>可供出售债券</t>
  </si>
  <si>
    <t>可供出售金融资产—分类—可供出售债券</t>
  </si>
  <si>
    <t>可供出售权益工具</t>
  </si>
  <si>
    <t>可供出售金融资产—分类—可供出售权益工具</t>
  </si>
  <si>
    <t>可供出售金融资产—分类—其他</t>
  </si>
  <si>
    <t>可供出售金融资产—分类—合 计</t>
  </si>
  <si>
    <r>
      <rPr>
        <b/>
        <sz val="10"/>
        <color indexed="8"/>
        <rFont val="宋体"/>
        <charset val="134"/>
      </rPr>
      <t>（</t>
    </r>
    <r>
      <rPr>
        <b/>
        <sz val="10"/>
        <color indexed="8"/>
        <rFont val="Times New Roman"/>
        <charset val="134"/>
      </rPr>
      <t>2</t>
    </r>
    <r>
      <rPr>
        <b/>
        <sz val="10"/>
        <color indexed="8"/>
        <rFont val="宋体"/>
        <charset val="134"/>
      </rPr>
      <t>）可供出售金融资产的长期债权投资</t>
    </r>
  </si>
  <si>
    <t>面值</t>
  </si>
  <si>
    <t>年利率</t>
  </si>
  <si>
    <t>初始投资成本</t>
  </si>
  <si>
    <t>到期日</t>
  </si>
  <si>
    <t>本期利息</t>
  </si>
  <si>
    <t>累计应收利息</t>
  </si>
  <si>
    <t>可供出售金融资产—长期债权投资</t>
  </si>
  <si>
    <t>可供出售金融资产—长期债权投资合计</t>
  </si>
  <si>
    <r>
      <rPr>
        <b/>
        <sz val="10"/>
        <color indexed="8"/>
        <rFont val="Times New Roman"/>
        <charset val="134"/>
      </rPr>
      <t>12</t>
    </r>
    <r>
      <rPr>
        <b/>
        <sz val="10"/>
        <color indexed="8"/>
        <rFont val="宋体"/>
        <charset val="134"/>
      </rPr>
      <t>．持有至到期投资</t>
    </r>
  </si>
  <si>
    <r>
      <rPr>
        <b/>
        <sz val="10"/>
        <color indexed="8"/>
        <rFont val="宋体"/>
        <charset val="134"/>
      </rPr>
      <t>（</t>
    </r>
    <r>
      <rPr>
        <b/>
        <sz val="10"/>
        <color indexed="8"/>
        <rFont val="Times New Roman"/>
        <charset val="134"/>
      </rPr>
      <t>1</t>
    </r>
    <r>
      <rPr>
        <b/>
        <sz val="10"/>
        <color indexed="8"/>
        <rFont val="宋体"/>
        <charset val="134"/>
      </rPr>
      <t>）明细项目</t>
    </r>
  </si>
  <si>
    <t>持有至到期投资—明细</t>
  </si>
  <si>
    <t>持有至到期投资—明细合计</t>
  </si>
  <si>
    <t>（2）本期内出售但尚未到期的持有至到期投资</t>
  </si>
  <si>
    <t>出售金额</t>
  </si>
  <si>
    <t>出售前投资金额</t>
  </si>
  <si>
    <t>持有至到期投资—未到期已出售</t>
  </si>
  <si>
    <t>持有至到期投资—未到期已出售合计</t>
  </si>
  <si>
    <r>
      <rPr>
        <b/>
        <sz val="10"/>
        <color indexed="8"/>
        <rFont val="Times New Roman"/>
        <charset val="134"/>
      </rPr>
      <t>13</t>
    </r>
    <r>
      <rPr>
        <b/>
        <sz val="10"/>
        <color indexed="8"/>
        <rFont val="宋体"/>
        <charset val="134"/>
      </rPr>
      <t>．长期应收款</t>
    </r>
  </si>
  <si>
    <t>融资租赁</t>
  </si>
  <si>
    <t>长期应收款—融资租赁</t>
  </si>
  <si>
    <t>分期收款销售商品</t>
  </si>
  <si>
    <t>长期应收款—分期收款销售商品</t>
  </si>
  <si>
    <t>分期收款提供劳务</t>
  </si>
  <si>
    <t>长期应收款—分期收款提供劳务</t>
  </si>
  <si>
    <t>长期应收款—其他</t>
  </si>
  <si>
    <t>长期应收款—合 计</t>
  </si>
  <si>
    <r>
      <rPr>
        <b/>
        <sz val="10"/>
        <color indexed="8"/>
        <rFont val="Times New Roman"/>
        <charset val="134"/>
      </rPr>
      <t>14</t>
    </r>
    <r>
      <rPr>
        <b/>
        <sz val="10"/>
        <color indexed="8"/>
        <rFont val="宋体"/>
        <charset val="134"/>
      </rPr>
      <t>．长期股权投资</t>
    </r>
  </si>
  <si>
    <r>
      <rPr>
        <b/>
        <sz val="10"/>
        <color indexed="8"/>
        <rFont val="宋体"/>
        <charset val="134"/>
      </rPr>
      <t>（</t>
    </r>
    <r>
      <rPr>
        <b/>
        <sz val="10"/>
        <color indexed="8"/>
        <rFont val="Times New Roman"/>
        <charset val="134"/>
      </rPr>
      <t>1</t>
    </r>
    <r>
      <rPr>
        <b/>
        <sz val="10"/>
        <color indexed="8"/>
        <rFont val="宋体"/>
        <charset val="134"/>
      </rPr>
      <t>）长期股权投资明细</t>
    </r>
  </si>
  <si>
    <t>被投资单位名称</t>
  </si>
  <si>
    <t>初始金额</t>
  </si>
  <si>
    <t>期初余额</t>
  </si>
  <si>
    <t>本期增加</t>
  </si>
  <si>
    <t>本期减少</t>
  </si>
  <si>
    <t>分得现金红利</t>
  </si>
  <si>
    <t>一、成本法核算</t>
  </si>
  <si>
    <t>长期股权投资—明细—成本法</t>
  </si>
  <si>
    <r>
      <rPr>
        <sz val="10"/>
        <color indexed="8"/>
        <rFont val="宋体"/>
        <charset val="134"/>
      </rPr>
      <t>小</t>
    </r>
    <r>
      <rPr>
        <sz val="10"/>
        <color indexed="8"/>
        <rFont val="Times New Roman"/>
        <charset val="134"/>
      </rPr>
      <t xml:space="preserve"> </t>
    </r>
    <r>
      <rPr>
        <sz val="10"/>
        <color indexed="8"/>
        <rFont val="宋体"/>
        <charset val="134"/>
      </rPr>
      <t>计</t>
    </r>
  </si>
  <si>
    <t>长期股权投资—明细—成本法小计</t>
  </si>
  <si>
    <t>二、权益法核算</t>
  </si>
  <si>
    <t>长期股权投资—明细—权益法</t>
  </si>
  <si>
    <t>长期股权投资—明细—权益法小计</t>
  </si>
  <si>
    <t>长期股权投资—明细—成本法权益法合计</t>
  </si>
  <si>
    <t>（2）长期股权投资减值准备</t>
  </si>
  <si>
    <t>减值原因</t>
  </si>
  <si>
    <t>长期股权投资减值准备—明细—成本法</t>
  </si>
  <si>
    <t>长期股权投资减值准备—明细—成本法小计</t>
  </si>
  <si>
    <t>长期股权投资减值准备—明细—权益法</t>
  </si>
  <si>
    <t>长期股权投资减值准备—明细—权益法小计</t>
  </si>
  <si>
    <t>长期股权投资减值准备—明细—合计</t>
  </si>
  <si>
    <t>（3）被投资单位向投资企业转移资金的能力受到限制的情况</t>
  </si>
  <si>
    <t>所在国家或地区</t>
  </si>
  <si>
    <t>长期股权投资—资金受限</t>
  </si>
  <si>
    <t>（4）当期及累计未确认的投资损失金额</t>
  </si>
  <si>
    <t>当期未确认</t>
  </si>
  <si>
    <t>累计未确认</t>
  </si>
  <si>
    <t>长期股权投资—未确认投资损失</t>
  </si>
  <si>
    <t>长期股权投资—未确认投资损失合计</t>
  </si>
  <si>
    <t>（5）对合营企业投资和对联营企业投资</t>
  </si>
  <si>
    <t>注册地</t>
  </si>
  <si>
    <t>业务性质</t>
  </si>
  <si>
    <t>持股比例</t>
  </si>
  <si>
    <t>表决权比例</t>
  </si>
  <si>
    <t>期末净资产</t>
  </si>
  <si>
    <t>本期营业收入</t>
  </si>
  <si>
    <t>本期净利润</t>
  </si>
  <si>
    <t>一、合营企业</t>
  </si>
  <si>
    <t>长期股权投资—明细—合营企业</t>
  </si>
  <si>
    <t>长期股权投资—明细—合营企业小计</t>
  </si>
  <si>
    <t>二、联营企业</t>
  </si>
  <si>
    <t>长期股权投资—明细—联营企业</t>
  </si>
  <si>
    <t>长期股权投资—明细—联营企业小计</t>
  </si>
  <si>
    <t>长期股权投资—明细—合营联营企业合计</t>
  </si>
  <si>
    <r>
      <rPr>
        <b/>
        <sz val="10"/>
        <color indexed="8"/>
        <rFont val="Times New Roman"/>
        <charset val="134"/>
      </rPr>
      <t>15</t>
    </r>
    <r>
      <rPr>
        <b/>
        <sz val="10"/>
        <color indexed="8"/>
        <rFont val="宋体"/>
        <charset val="134"/>
      </rPr>
      <t>．投资性房地产</t>
    </r>
  </si>
  <si>
    <r>
      <rPr>
        <b/>
        <sz val="10"/>
        <color indexed="8"/>
        <rFont val="宋体"/>
        <charset val="134"/>
      </rPr>
      <t>（</t>
    </r>
    <r>
      <rPr>
        <b/>
        <sz val="10"/>
        <color indexed="8"/>
        <rFont val="Times New Roman"/>
        <charset val="134"/>
      </rPr>
      <t>1</t>
    </r>
    <r>
      <rPr>
        <b/>
        <sz val="10"/>
        <color indexed="8"/>
        <rFont val="宋体"/>
        <charset val="134"/>
      </rPr>
      <t>）采用成本模式进行后续计量</t>
    </r>
  </si>
  <si>
    <t>一、原价合计</t>
  </si>
  <si>
    <t>投资性房地产成本模式—原价—合计</t>
  </si>
  <si>
    <r>
      <rPr>
        <sz val="10"/>
        <color indexed="8"/>
        <rFont val="Times New Roman"/>
        <charset val="134"/>
      </rPr>
      <t>1</t>
    </r>
    <r>
      <rPr>
        <sz val="10"/>
        <color indexed="8"/>
        <rFont val="宋体"/>
        <charset val="134"/>
      </rPr>
      <t>．房屋、建筑物</t>
    </r>
  </si>
  <si>
    <t>投资性房地产成本模式—原价—房屋建筑物</t>
  </si>
  <si>
    <r>
      <rPr>
        <sz val="10"/>
        <color indexed="8"/>
        <rFont val="Times New Roman"/>
        <charset val="134"/>
      </rPr>
      <t>2</t>
    </r>
    <r>
      <rPr>
        <sz val="10"/>
        <color indexed="8"/>
        <rFont val="宋体"/>
        <charset val="134"/>
      </rPr>
      <t>．土地使用权</t>
    </r>
  </si>
  <si>
    <t>投资性房地产成本模式—原价—土地使用权</t>
  </si>
  <si>
    <t>二、累计折旧和累计摊销合计</t>
  </si>
  <si>
    <t>投资性房地产成本模式—累计折旧—合计</t>
  </si>
  <si>
    <t>投资性房地产成本模式—累计折旧—房屋建筑物</t>
  </si>
  <si>
    <t>投资性房地产成本模式—累计折旧—土地使用权</t>
  </si>
  <si>
    <t>三、投资性房地产减值准备累计金额合计</t>
  </si>
  <si>
    <t>投资性房地产成本模式—减值准备—合计</t>
  </si>
  <si>
    <t>投资性房地产成本模式—减值准备—房屋建筑物</t>
  </si>
  <si>
    <t>投资性房地产成本模式—减值准备—土地使用权</t>
  </si>
  <si>
    <t>四、投资性房地产账面价值合计</t>
  </si>
  <si>
    <r>
      <rPr>
        <b/>
        <sz val="10"/>
        <color indexed="8"/>
        <rFont val="宋体"/>
        <charset val="134"/>
      </rPr>
      <t>（</t>
    </r>
    <r>
      <rPr>
        <b/>
        <sz val="10"/>
        <color indexed="8"/>
        <rFont val="Times New Roman"/>
        <charset val="134"/>
      </rPr>
      <t>2</t>
    </r>
    <r>
      <rPr>
        <b/>
        <sz val="10"/>
        <color indexed="8"/>
        <rFont val="宋体"/>
        <charset val="134"/>
      </rPr>
      <t>）采用公允价值模式进行后续计量</t>
    </r>
  </si>
  <si>
    <t>价值确定依据</t>
  </si>
  <si>
    <t>投资性房地产公允模式—原价—合计</t>
  </si>
  <si>
    <t>投资性房地产公允模式—原价—房屋建筑物</t>
  </si>
  <si>
    <t>投资性房地产公允模式—原价—土地使用权</t>
  </si>
  <si>
    <t>投资性房地产公允模式—累计折旧—合计</t>
  </si>
  <si>
    <t>投资性房地产公允模式—累计折旧—房屋建筑物</t>
  </si>
  <si>
    <t>投资性房地产公允模式—累计折旧—土地使用权</t>
  </si>
  <si>
    <t>投资性房地产公允模式—减值准备—合计</t>
  </si>
  <si>
    <t>投资性房地产公允模式—减值准备—房屋建筑物</t>
  </si>
  <si>
    <t>投资性房地产公允模式—减值准备—土地使用权</t>
  </si>
  <si>
    <r>
      <rPr>
        <b/>
        <sz val="10"/>
        <color indexed="8"/>
        <rFont val="宋体"/>
        <charset val="134"/>
      </rPr>
      <t>（</t>
    </r>
    <r>
      <rPr>
        <b/>
        <sz val="10"/>
        <color indexed="8"/>
        <rFont val="Times New Roman"/>
        <charset val="134"/>
      </rPr>
      <t>3</t>
    </r>
    <r>
      <rPr>
        <b/>
        <sz val="10"/>
        <color indexed="8"/>
        <rFont val="宋体"/>
        <charset val="134"/>
      </rPr>
      <t>）房地产转换的情况</t>
    </r>
  </si>
  <si>
    <t>被转换房地产名称及产权证号</t>
  </si>
  <si>
    <t>转入或转出</t>
  </si>
  <si>
    <t>转换日账面价值</t>
  </si>
  <si>
    <t>转换日公允价值</t>
  </si>
  <si>
    <t>计入损益差额</t>
  </si>
  <si>
    <t>转换原因</t>
  </si>
  <si>
    <t>投资性房地产—房地产转换</t>
  </si>
  <si>
    <t>投资性房地产—房地产转换合计</t>
  </si>
  <si>
    <r>
      <rPr>
        <b/>
        <sz val="10"/>
        <color indexed="8"/>
        <rFont val="Times New Roman"/>
        <charset val="134"/>
      </rPr>
      <t>16</t>
    </r>
    <r>
      <rPr>
        <b/>
        <sz val="10"/>
        <color indexed="8"/>
        <rFont val="宋体"/>
        <charset val="134"/>
      </rPr>
      <t>．固定资产</t>
    </r>
  </si>
  <si>
    <r>
      <rPr>
        <b/>
        <sz val="10"/>
        <color indexed="8"/>
        <rFont val="宋体"/>
        <charset val="134"/>
      </rPr>
      <t>（</t>
    </r>
    <r>
      <rPr>
        <b/>
        <sz val="10"/>
        <color indexed="8"/>
        <rFont val="Times New Roman"/>
        <charset val="134"/>
      </rPr>
      <t>1</t>
    </r>
    <r>
      <rPr>
        <b/>
        <sz val="10"/>
        <color indexed="8"/>
        <rFont val="宋体"/>
        <charset val="134"/>
      </rPr>
      <t>）固定资产分类</t>
    </r>
  </si>
  <si>
    <t>固定资产—原价—合计</t>
  </si>
  <si>
    <t>固定资产—原价—房屋建筑物</t>
  </si>
  <si>
    <r>
      <rPr>
        <sz val="10"/>
        <color indexed="8"/>
        <rFont val="Times New Roman"/>
        <charset val="134"/>
      </rPr>
      <t>2</t>
    </r>
    <r>
      <rPr>
        <sz val="10"/>
        <color indexed="8"/>
        <rFont val="宋体"/>
        <charset val="134"/>
      </rPr>
      <t>．机器设备</t>
    </r>
  </si>
  <si>
    <t>固定资产—原价—机器设备</t>
  </si>
  <si>
    <r>
      <rPr>
        <sz val="10"/>
        <color indexed="8"/>
        <rFont val="Times New Roman"/>
        <charset val="134"/>
      </rPr>
      <t>3</t>
    </r>
    <r>
      <rPr>
        <sz val="10"/>
        <color indexed="8"/>
        <rFont val="宋体"/>
        <charset val="134"/>
      </rPr>
      <t>．运输工具</t>
    </r>
  </si>
  <si>
    <t>固定资产—原价—运输工具</t>
  </si>
  <si>
    <r>
      <rPr>
        <sz val="10"/>
        <color indexed="8"/>
        <rFont val="Times New Roman"/>
        <charset val="134"/>
      </rPr>
      <t>4</t>
    </r>
    <r>
      <rPr>
        <sz val="10"/>
        <color indexed="8"/>
        <rFont val="宋体"/>
        <charset val="134"/>
      </rPr>
      <t>．电子设备及其他</t>
    </r>
  </si>
  <si>
    <t>固定资产—原价—电子设备及其他</t>
  </si>
  <si>
    <t>二、累计折旧合计</t>
  </si>
  <si>
    <t>固定资产—累计折旧—合计</t>
  </si>
  <si>
    <t>固定资产—累计折旧—房屋建筑物</t>
  </si>
  <si>
    <t>固定资产—累计折旧—机器设备</t>
  </si>
  <si>
    <t>固定资产—累计折旧—运输工具</t>
  </si>
  <si>
    <t>固定资产—累计折旧—电子设备及其他</t>
  </si>
  <si>
    <t>三、固定资产减值准备累计金额合计</t>
  </si>
  <si>
    <t>固定资产—减值准备—合计</t>
  </si>
  <si>
    <t>固定资产—减值准备—房屋建筑物</t>
  </si>
  <si>
    <t>固定资产—减值准备—机器设备</t>
  </si>
  <si>
    <t>固定资产—减值准备—运输工具</t>
  </si>
  <si>
    <t>固定资产—减值准备—电子设备及其他</t>
  </si>
  <si>
    <t>四、固定资产账面价值合计</t>
  </si>
  <si>
    <t>（2）特殊事项</t>
  </si>
  <si>
    <t>账面原值</t>
  </si>
  <si>
    <t>已提累计折旧</t>
  </si>
  <si>
    <t>减值准备</t>
  </si>
  <si>
    <t>账面净值</t>
  </si>
  <si>
    <t>一、本期在建工程完工转入固定资产</t>
  </si>
  <si>
    <t>固定资产—在建工程转入—合计</t>
  </si>
  <si>
    <t>固定资产—在建工程转入—房屋建筑物</t>
  </si>
  <si>
    <t>固定资产—在建工程转入—机器设备</t>
  </si>
  <si>
    <t>固定资产—在建工程转入—运输工具</t>
  </si>
  <si>
    <t>固定资产—在建工程转入—电子设备及其他</t>
  </si>
  <si>
    <t>二、暂时闲置固定资产</t>
  </si>
  <si>
    <t>固定资产—暂时闲置—合计</t>
  </si>
  <si>
    <t>固定资产—暂时闲置—房屋建筑物</t>
  </si>
  <si>
    <t>固定资产—暂时闲置—机器设备</t>
  </si>
  <si>
    <t>固定资产—暂时闲置—运输工具</t>
  </si>
  <si>
    <t>固定资产—暂时闲置—电子设备及其他</t>
  </si>
  <si>
    <t>三、融资租赁租入的固定资产</t>
  </si>
  <si>
    <t>固定资产—融资租赁—合计</t>
  </si>
  <si>
    <t>固定资产—融资租赁—房屋建筑物</t>
  </si>
  <si>
    <t>固定资产—融资租赁—机器设备</t>
  </si>
  <si>
    <t>固定资产—融资租赁—运输工具</t>
  </si>
  <si>
    <t>固定资产—融资租赁—电子设备及其他</t>
  </si>
  <si>
    <t>四、经营租赁租出的固定资产</t>
  </si>
  <si>
    <t>固定资产—经营租赁—合计</t>
  </si>
  <si>
    <t>固定资产—经营租赁—房屋建筑物</t>
  </si>
  <si>
    <t>固定资产—经营租赁—机器设备</t>
  </si>
  <si>
    <t>固定资产—经营租赁—运输工具</t>
  </si>
  <si>
    <t>固定资产—经营租赁—电子设备及其他</t>
  </si>
  <si>
    <t>（3）未计提减值准备的暂时闲置固定资产</t>
  </si>
  <si>
    <t>固定资产名称</t>
  </si>
  <si>
    <t>未提准备原因</t>
  </si>
  <si>
    <t>预计投入经营时间</t>
  </si>
  <si>
    <t>固定资产—未提准备闲置资产</t>
  </si>
  <si>
    <t>固定资产—未提准备闲置资产合计</t>
  </si>
  <si>
    <t>（4）未办妥产权证书的固定资产</t>
  </si>
  <si>
    <t>未办妥原因</t>
  </si>
  <si>
    <t>预计办妥时间</t>
  </si>
  <si>
    <t>固定资产—未办妥产权证书</t>
  </si>
  <si>
    <t>固定资产—未办妥产权证书合计</t>
  </si>
  <si>
    <r>
      <rPr>
        <b/>
        <sz val="10"/>
        <color indexed="8"/>
        <rFont val="Times New Roman"/>
        <charset val="134"/>
      </rPr>
      <t>17</t>
    </r>
    <r>
      <rPr>
        <b/>
        <sz val="10"/>
        <color indexed="8"/>
        <rFont val="宋体"/>
        <charset val="134"/>
      </rPr>
      <t>．在建工程</t>
    </r>
  </si>
  <si>
    <t>（1）分项列示</t>
  </si>
  <si>
    <t>在建工程名称</t>
  </si>
  <si>
    <t>预算数</t>
  </si>
  <si>
    <t>本期转入固定资产</t>
  </si>
  <si>
    <t>其他减少额</t>
  </si>
  <si>
    <t>资金来源</t>
  </si>
  <si>
    <t>工程投入占预算的比例</t>
  </si>
  <si>
    <t>在建工程—分项明细</t>
  </si>
  <si>
    <t>在建工程—分项明细合计</t>
  </si>
  <si>
    <t>（2）借款费用资本化金额</t>
  </si>
  <si>
    <t>在建工程—借款费用资本化</t>
  </si>
  <si>
    <t>在建工程—借款费用资本化合计</t>
  </si>
  <si>
    <t>（3）在建工程减值准备</t>
  </si>
  <si>
    <t>计提原因</t>
  </si>
  <si>
    <t>在建工程减值准备—分项明细</t>
  </si>
  <si>
    <t>在建工程减值准备—分项明细合计</t>
  </si>
  <si>
    <r>
      <rPr>
        <b/>
        <sz val="10"/>
        <color indexed="8"/>
        <rFont val="Times New Roman"/>
        <charset val="134"/>
      </rPr>
      <t>18</t>
    </r>
    <r>
      <rPr>
        <b/>
        <sz val="10"/>
        <color indexed="8"/>
        <rFont val="宋体"/>
        <charset val="134"/>
      </rPr>
      <t>．工程物资</t>
    </r>
  </si>
  <si>
    <t>工程物资合计</t>
  </si>
  <si>
    <r>
      <rPr>
        <b/>
        <sz val="10"/>
        <color indexed="8"/>
        <rFont val="Times New Roman"/>
        <charset val="134"/>
      </rPr>
      <t>19</t>
    </r>
    <r>
      <rPr>
        <b/>
        <sz val="10"/>
        <color indexed="8"/>
        <rFont val="宋体"/>
        <charset val="134"/>
      </rPr>
      <t>．固定资产清理</t>
    </r>
  </si>
  <si>
    <t>转入清理的原因</t>
  </si>
  <si>
    <t>固定资产清理合计</t>
  </si>
  <si>
    <r>
      <rPr>
        <b/>
        <sz val="10"/>
        <color indexed="8"/>
        <rFont val="Times New Roman"/>
        <charset val="134"/>
      </rPr>
      <t>20</t>
    </r>
    <r>
      <rPr>
        <b/>
        <sz val="10"/>
        <color indexed="8"/>
        <rFont val="宋体"/>
        <charset val="134"/>
      </rPr>
      <t>．生产性生物资产和公益性生物资产</t>
    </r>
  </si>
  <si>
    <r>
      <rPr>
        <b/>
        <sz val="10"/>
        <color indexed="8"/>
        <rFont val="宋体"/>
        <charset val="134"/>
      </rPr>
      <t>（</t>
    </r>
    <r>
      <rPr>
        <b/>
        <sz val="10"/>
        <color indexed="8"/>
        <rFont val="Times New Roman"/>
        <charset val="134"/>
      </rPr>
      <t>1</t>
    </r>
    <r>
      <rPr>
        <b/>
        <sz val="10"/>
        <color indexed="8"/>
        <rFont val="宋体"/>
        <charset val="134"/>
      </rPr>
      <t>）生物资产分类</t>
    </r>
  </si>
  <si>
    <t>期末实物数量</t>
  </si>
  <si>
    <t>一、种植业</t>
  </si>
  <si>
    <t>生物资产—种植业</t>
  </si>
  <si>
    <t>生物资产—种植业小计</t>
  </si>
  <si>
    <t>二、畜牧养殖业</t>
  </si>
  <si>
    <t>生物资产—畜牧养殖业</t>
  </si>
  <si>
    <t>生物资产—畜牧养殖业小计</t>
  </si>
  <si>
    <t>三、林业</t>
  </si>
  <si>
    <t>生物资产—林业</t>
  </si>
  <si>
    <t>生物资产—林业小计</t>
  </si>
  <si>
    <t>四、水产业</t>
  </si>
  <si>
    <t>生物资产—水产业</t>
  </si>
  <si>
    <t>生物资产—水产业小计</t>
  </si>
  <si>
    <t>天然起源的生物资产</t>
  </si>
  <si>
    <t>名称</t>
  </si>
  <si>
    <t>类别</t>
  </si>
  <si>
    <t>取得方式</t>
  </si>
  <si>
    <t>数量</t>
  </si>
  <si>
    <t>生物资产—天然起源</t>
  </si>
  <si>
    <r>
      <rPr>
        <b/>
        <sz val="10"/>
        <color indexed="8"/>
        <rFont val="宋体"/>
        <charset val="134"/>
      </rPr>
      <t>（</t>
    </r>
    <r>
      <rPr>
        <b/>
        <sz val="10"/>
        <color indexed="8"/>
        <rFont val="Times New Roman"/>
        <charset val="134"/>
      </rPr>
      <t>2</t>
    </r>
    <r>
      <rPr>
        <b/>
        <sz val="10"/>
        <color indexed="8"/>
        <rFont val="宋体"/>
        <charset val="134"/>
      </rPr>
      <t>）各类生产性生物资产的预计使用寿命、预计净残值、折旧方法、累计折旧和减值准备累计金额</t>
    </r>
  </si>
  <si>
    <t>预计使用寿命</t>
  </si>
  <si>
    <t>预计净残值</t>
  </si>
  <si>
    <t>折旧方法</t>
  </si>
  <si>
    <t>累计折旧</t>
  </si>
  <si>
    <t>种植业</t>
  </si>
  <si>
    <t>生物资产—累计折旧—种植业</t>
  </si>
  <si>
    <t>畜牧养殖业</t>
  </si>
  <si>
    <t>生物资产—累计折旧—畜牧养殖业</t>
  </si>
  <si>
    <t>林业</t>
  </si>
  <si>
    <t>生物资产—累计折旧—林业</t>
  </si>
  <si>
    <t>水产业</t>
  </si>
  <si>
    <t>生物资产—累计折旧—水产业</t>
  </si>
  <si>
    <r>
      <rPr>
        <b/>
        <sz val="10"/>
        <color indexed="8"/>
        <rFont val="宋体"/>
        <charset val="134"/>
      </rPr>
      <t>（</t>
    </r>
    <r>
      <rPr>
        <b/>
        <sz val="10"/>
        <color indexed="8"/>
        <rFont val="Times New Roman"/>
        <charset val="134"/>
      </rPr>
      <t>3</t>
    </r>
    <r>
      <rPr>
        <b/>
        <sz val="10"/>
        <color indexed="8"/>
        <rFont val="宋体"/>
        <charset val="134"/>
      </rPr>
      <t>）与生物资产相关的风险情况与管理措施</t>
    </r>
  </si>
  <si>
    <t>涉及金额</t>
  </si>
  <si>
    <t>风险情况</t>
  </si>
  <si>
    <t>管理措施</t>
  </si>
  <si>
    <t>生物资产—风险管理</t>
  </si>
  <si>
    <r>
      <rPr>
        <b/>
        <sz val="10"/>
        <color indexed="8"/>
        <rFont val="Times New Roman"/>
        <charset val="134"/>
      </rPr>
      <t>21</t>
    </r>
    <r>
      <rPr>
        <b/>
        <sz val="10"/>
        <color indexed="8"/>
        <rFont val="宋体"/>
        <charset val="134"/>
      </rPr>
      <t>．油气资产</t>
    </r>
  </si>
  <si>
    <r>
      <rPr>
        <b/>
        <sz val="10"/>
        <color indexed="8"/>
        <rFont val="宋体"/>
        <charset val="134"/>
      </rPr>
      <t>（</t>
    </r>
    <r>
      <rPr>
        <b/>
        <sz val="10"/>
        <color indexed="8"/>
        <rFont val="Times New Roman"/>
        <charset val="134"/>
      </rPr>
      <t>1</t>
    </r>
    <r>
      <rPr>
        <b/>
        <sz val="10"/>
        <color indexed="8"/>
        <rFont val="宋体"/>
        <charset val="134"/>
      </rPr>
      <t>）当期取得矿区权益</t>
    </r>
  </si>
  <si>
    <t>地理位置及矿区名称</t>
  </si>
  <si>
    <t>取得时间</t>
  </si>
  <si>
    <t>取得矿区权益</t>
  </si>
  <si>
    <t>油气勘探支出</t>
  </si>
  <si>
    <t>油气开发支出</t>
  </si>
  <si>
    <t>油气资产—当期取得</t>
  </si>
  <si>
    <r>
      <rPr>
        <b/>
        <sz val="10"/>
        <color indexed="8"/>
        <rFont val="宋体"/>
        <charset val="134"/>
      </rPr>
      <t>（</t>
    </r>
    <r>
      <rPr>
        <b/>
        <sz val="10"/>
        <color indexed="8"/>
        <rFont val="Times New Roman"/>
        <charset val="134"/>
      </rPr>
      <t>2</t>
    </r>
    <r>
      <rPr>
        <b/>
        <sz val="10"/>
        <color indexed="8"/>
        <rFont val="宋体"/>
        <charset val="134"/>
      </rPr>
      <t>）油气资产</t>
    </r>
  </si>
  <si>
    <t>油气资产—原价—合计</t>
  </si>
  <si>
    <r>
      <rPr>
        <sz val="10"/>
        <color indexed="8"/>
        <rFont val="Times New Roman"/>
        <charset val="134"/>
      </rPr>
      <t>1</t>
    </r>
    <r>
      <rPr>
        <sz val="10"/>
        <color indexed="8"/>
        <rFont val="宋体"/>
        <charset val="134"/>
      </rPr>
      <t>．探明矿区权益</t>
    </r>
  </si>
  <si>
    <t>油气资产—原价—探明矿区</t>
  </si>
  <si>
    <r>
      <rPr>
        <sz val="10"/>
        <color indexed="8"/>
        <rFont val="Times New Roman"/>
        <charset val="134"/>
      </rPr>
      <t>2</t>
    </r>
    <r>
      <rPr>
        <sz val="10"/>
        <color indexed="8"/>
        <rFont val="宋体"/>
        <charset val="134"/>
      </rPr>
      <t>．未探明矿区权益</t>
    </r>
  </si>
  <si>
    <t>油气资产—原价—未探明矿区</t>
  </si>
  <si>
    <r>
      <rPr>
        <sz val="10"/>
        <color indexed="8"/>
        <rFont val="Times New Roman"/>
        <charset val="134"/>
      </rPr>
      <t>3</t>
    </r>
    <r>
      <rPr>
        <sz val="10"/>
        <color indexed="8"/>
        <rFont val="宋体"/>
        <charset val="134"/>
      </rPr>
      <t>．井及相关设施</t>
    </r>
  </si>
  <si>
    <t>油气资产—原价—井及相关设施</t>
  </si>
  <si>
    <t>二、累计折耗合计</t>
  </si>
  <si>
    <t>油气资产—累计折耗—合计</t>
  </si>
  <si>
    <t>油气资产—累计折耗—探明矿区</t>
  </si>
  <si>
    <t>油气资产—累计折耗—未探明矿区</t>
  </si>
  <si>
    <t>油气资产—累计折耗—井及相关设施</t>
  </si>
  <si>
    <t>三、油气资产减值准备累计金额合计</t>
  </si>
  <si>
    <t>油气资产—减值准备—合计</t>
  </si>
  <si>
    <t>油气资产—减值准备—探明矿区</t>
  </si>
  <si>
    <t>油气资产—减值准备—未探明矿区</t>
  </si>
  <si>
    <t>油气资产—减值准备—井及相关设施</t>
  </si>
  <si>
    <t>四、油气资产账面价值合计</t>
  </si>
  <si>
    <r>
      <rPr>
        <b/>
        <sz val="10"/>
        <color indexed="8"/>
        <rFont val="Times New Roman"/>
        <charset val="134"/>
      </rPr>
      <t>22</t>
    </r>
    <r>
      <rPr>
        <b/>
        <sz val="10"/>
        <color indexed="8"/>
        <rFont val="宋体"/>
        <charset val="134"/>
      </rPr>
      <t>．无形资产</t>
    </r>
  </si>
  <si>
    <r>
      <rPr>
        <b/>
        <sz val="10"/>
        <color indexed="8"/>
        <rFont val="宋体"/>
        <charset val="134"/>
      </rPr>
      <t>（</t>
    </r>
    <r>
      <rPr>
        <b/>
        <sz val="10"/>
        <color indexed="8"/>
        <rFont val="Times New Roman"/>
        <charset val="134"/>
      </rPr>
      <t>1</t>
    </r>
    <r>
      <rPr>
        <b/>
        <sz val="10"/>
        <color indexed="8"/>
        <rFont val="宋体"/>
        <charset val="134"/>
      </rPr>
      <t>）各类无形资产的披露格式如下：</t>
    </r>
  </si>
  <si>
    <t>无形资产—原价合计</t>
  </si>
  <si>
    <t>无形资产—原价</t>
  </si>
  <si>
    <t>二、累计摊销额合计</t>
  </si>
  <si>
    <t>无形资产—累计摊销额合计</t>
  </si>
  <si>
    <t>无形资产—累计摊销额</t>
  </si>
  <si>
    <t>三、无形资产减值准备累计金额合计</t>
  </si>
  <si>
    <t>无形资产—减值准备合计</t>
  </si>
  <si>
    <t>无形资产—减值准备</t>
  </si>
  <si>
    <t>四、无形资产账面价值合计</t>
  </si>
  <si>
    <r>
      <rPr>
        <b/>
        <sz val="10"/>
        <color indexed="8"/>
        <rFont val="宋体"/>
        <charset val="134"/>
      </rPr>
      <t>（</t>
    </r>
    <r>
      <rPr>
        <b/>
        <sz val="10"/>
        <color indexed="8"/>
        <rFont val="Times New Roman"/>
        <charset val="134"/>
      </rPr>
      <t>2</t>
    </r>
    <r>
      <rPr>
        <b/>
        <sz val="10"/>
        <color indexed="8"/>
        <rFont val="宋体"/>
        <charset val="134"/>
      </rPr>
      <t>）研究开发支出金额</t>
    </r>
  </si>
  <si>
    <t>计入研究阶段支出</t>
  </si>
  <si>
    <t>计入开发阶段支出</t>
  </si>
  <si>
    <t>总额</t>
  </si>
  <si>
    <t>无形资产—研究开发支出</t>
  </si>
  <si>
    <t>无形资产—研究开发支出合计</t>
  </si>
  <si>
    <t>（3）报告期内发生的单项价值在100万元以上的无形资产</t>
  </si>
  <si>
    <t>原始价值</t>
  </si>
  <si>
    <t>评估值</t>
  </si>
  <si>
    <t>评估机构</t>
  </si>
  <si>
    <t>评估方法</t>
  </si>
  <si>
    <t>无形资产—单项价值100万以上</t>
  </si>
  <si>
    <t>无形资产—单项价值100万以上合计</t>
  </si>
  <si>
    <r>
      <rPr>
        <b/>
        <sz val="10"/>
        <color indexed="8"/>
        <rFont val="Times New Roman"/>
        <charset val="134"/>
      </rPr>
      <t>23</t>
    </r>
    <r>
      <rPr>
        <b/>
        <sz val="10"/>
        <color indexed="8"/>
        <rFont val="宋体"/>
        <charset val="134"/>
      </rPr>
      <t>．商誉</t>
    </r>
  </si>
  <si>
    <t>形成来源</t>
  </si>
  <si>
    <t>商誉合计</t>
  </si>
  <si>
    <r>
      <rPr>
        <b/>
        <sz val="10"/>
        <color indexed="8"/>
        <rFont val="Times New Roman"/>
        <charset val="134"/>
      </rPr>
      <t>24</t>
    </r>
    <r>
      <rPr>
        <b/>
        <sz val="10"/>
        <color indexed="8"/>
        <rFont val="宋体"/>
        <charset val="134"/>
      </rPr>
      <t>．长期待摊费用</t>
    </r>
  </si>
  <si>
    <t>原始发生额</t>
  </si>
  <si>
    <t>剩余摊销年限</t>
  </si>
  <si>
    <t>长期待摊费用合计</t>
  </si>
  <si>
    <r>
      <rPr>
        <b/>
        <sz val="10"/>
        <color indexed="8"/>
        <rFont val="Times New Roman"/>
        <charset val="134"/>
      </rPr>
      <t>25</t>
    </r>
    <r>
      <rPr>
        <b/>
        <sz val="10"/>
        <color indexed="8"/>
        <rFont val="宋体"/>
        <charset val="134"/>
      </rPr>
      <t>．其他非流动资产</t>
    </r>
  </si>
  <si>
    <t>其他非流动资产合计</t>
  </si>
  <si>
    <r>
      <rPr>
        <b/>
        <sz val="10"/>
        <color indexed="8"/>
        <rFont val="Times New Roman"/>
        <charset val="134"/>
      </rPr>
      <t>26</t>
    </r>
    <r>
      <rPr>
        <b/>
        <sz val="10"/>
        <color indexed="8"/>
        <rFont val="宋体"/>
        <charset val="134"/>
      </rPr>
      <t>．递延所得税资产和递延所得税负债</t>
    </r>
  </si>
  <si>
    <t>一、递延所得税资产</t>
  </si>
  <si>
    <t>递延所得税资产合计</t>
  </si>
  <si>
    <t>二、递延所得税负债</t>
  </si>
  <si>
    <t>递延所得税负债合计</t>
  </si>
  <si>
    <r>
      <rPr>
        <b/>
        <sz val="10"/>
        <color indexed="8"/>
        <rFont val="Times New Roman"/>
        <charset val="134"/>
      </rPr>
      <t>27</t>
    </r>
    <r>
      <rPr>
        <b/>
        <sz val="10"/>
        <color indexed="8"/>
        <rFont val="宋体"/>
        <charset val="134"/>
      </rPr>
      <t>．资产减值准备的披露格式如下：</t>
    </r>
  </si>
  <si>
    <t>一、坏账准备</t>
  </si>
  <si>
    <t>资产减值准备—坏账准备</t>
  </si>
  <si>
    <t>二、存货跌价准备</t>
  </si>
  <si>
    <t>资产减值准备—存货跌价准备</t>
  </si>
  <si>
    <t>三、可供出售金融资产减值准备</t>
  </si>
  <si>
    <t>资产减值准备—可供出售金融资产减值准备</t>
  </si>
  <si>
    <t>四、持有至到期投资减值准备</t>
  </si>
  <si>
    <t>资产减值准备—持有至到期投资减值准备</t>
  </si>
  <si>
    <t>五、长期股权投资减值准备</t>
  </si>
  <si>
    <t>资产减值准备—长期股权投资减值准备</t>
  </si>
  <si>
    <t>六、投资性房地产减值准备</t>
  </si>
  <si>
    <t>资产减值准备—投资性房地产减值准备</t>
  </si>
  <si>
    <t>七、固定资产减值准备</t>
  </si>
  <si>
    <t>资产减值准备—固定资产减值准备</t>
  </si>
  <si>
    <t>八、工程物资减值准备</t>
  </si>
  <si>
    <t>资产减值准备—工程物资减值准备</t>
  </si>
  <si>
    <t>九、在建工程减值准备</t>
  </si>
  <si>
    <t>资产减值准备—在建工程减值准备</t>
  </si>
  <si>
    <t>十、生产性生物资产减值准备</t>
  </si>
  <si>
    <t>资产减值准备—生产性生物资产减值准备</t>
  </si>
  <si>
    <t>其中：成熟生产性生物资产减值准备</t>
  </si>
  <si>
    <t>资产减值准备—生产性生物资产—成熟生产性生物资产减值准备</t>
  </si>
  <si>
    <t>十一、油气资产减值准备</t>
  </si>
  <si>
    <t>资产减值准备—油气资产减值准备</t>
  </si>
  <si>
    <t>十二、无形资产减值准备</t>
  </si>
  <si>
    <t>资产减值准备—无形资产减值准备</t>
  </si>
  <si>
    <t>十三、商誉减值准备</t>
  </si>
  <si>
    <t>资产减值准备—商誉减值准备</t>
  </si>
  <si>
    <t>十四、其他</t>
  </si>
  <si>
    <t>资产减值准备—其他</t>
  </si>
  <si>
    <r>
      <rPr>
        <sz val="8"/>
        <rFont val="宋体"/>
        <charset val="134"/>
      </rPr>
      <t>资产减值准备—合</t>
    </r>
    <r>
      <rPr>
        <sz val="8"/>
        <rFont val="Times New Roman"/>
        <charset val="134"/>
      </rPr>
      <t xml:space="preserve"> </t>
    </r>
    <r>
      <rPr>
        <sz val="8"/>
        <rFont val="宋体"/>
        <charset val="134"/>
      </rPr>
      <t>计</t>
    </r>
  </si>
  <si>
    <r>
      <rPr>
        <b/>
        <sz val="10"/>
        <color indexed="8"/>
        <rFont val="Times New Roman"/>
        <charset val="134"/>
      </rPr>
      <t>28</t>
    </r>
    <r>
      <rPr>
        <b/>
        <sz val="10"/>
        <color indexed="8"/>
        <rFont val="宋体"/>
        <charset val="134"/>
      </rPr>
      <t>．所有权受到限制的资产</t>
    </r>
  </si>
  <si>
    <t>所有权受到限制的资产类别</t>
  </si>
  <si>
    <t>受限原因</t>
  </si>
  <si>
    <t>一、用于担保的资产</t>
  </si>
  <si>
    <t>所有权受到限制的资产—用于担保</t>
  </si>
  <si>
    <t>所有权受到限制的资产—用于担保小计</t>
  </si>
  <si>
    <t>二、其他原因造成所有权受到限制的资产</t>
  </si>
  <si>
    <t>所有权受到限制的资产—其他原因</t>
  </si>
  <si>
    <t>所有权受到限制的资产—其他原因小计</t>
  </si>
  <si>
    <t>所有权受到限制的资产—合计</t>
  </si>
  <si>
    <t xml:space="preserve">     未审附注之负债及权益</t>
  </si>
  <si>
    <r>
      <rPr>
        <b/>
        <sz val="10"/>
        <color indexed="8"/>
        <rFont val="Times New Roman"/>
        <charset val="134"/>
      </rPr>
      <t>29</t>
    </r>
    <r>
      <rPr>
        <b/>
        <sz val="10"/>
        <color indexed="8"/>
        <rFont val="宋体"/>
        <charset val="134"/>
      </rPr>
      <t>．短期借款</t>
    </r>
  </si>
  <si>
    <t>信用借款</t>
  </si>
  <si>
    <t>短期借款—分类—信用借款</t>
  </si>
  <si>
    <t>抵押借款</t>
  </si>
  <si>
    <t>短期借款—分类—抵押借款</t>
  </si>
  <si>
    <t>保证借款</t>
  </si>
  <si>
    <t>短期借款—分类—保证借款</t>
  </si>
  <si>
    <t>质押借款</t>
  </si>
  <si>
    <t>短期借款—分类—质押借款</t>
  </si>
  <si>
    <r>
      <rPr>
        <sz val="8"/>
        <rFont val="宋体"/>
        <charset val="134"/>
      </rPr>
      <t>短期借款—分类—合</t>
    </r>
    <r>
      <rPr>
        <sz val="8"/>
        <rFont val="Times New Roman"/>
        <charset val="134"/>
      </rPr>
      <t xml:space="preserve"> </t>
    </r>
    <r>
      <rPr>
        <sz val="8"/>
        <rFont val="宋体"/>
        <charset val="134"/>
      </rPr>
      <t>计</t>
    </r>
  </si>
  <si>
    <r>
      <rPr>
        <b/>
        <sz val="10"/>
        <rFont val="宋体"/>
        <charset val="134"/>
      </rPr>
      <t>（</t>
    </r>
    <r>
      <rPr>
        <b/>
        <sz val="10"/>
        <rFont val="Times New Roman"/>
        <charset val="134"/>
      </rPr>
      <t>2</t>
    </r>
    <r>
      <rPr>
        <b/>
        <sz val="10"/>
        <rFont val="宋体"/>
        <charset val="134"/>
      </rPr>
      <t>）已到期未偿还的短期借款</t>
    </r>
  </si>
  <si>
    <t>贷款单位</t>
  </si>
  <si>
    <t>贷款金额</t>
  </si>
  <si>
    <t>贷款利率</t>
  </si>
  <si>
    <t>贷款资金用途</t>
  </si>
  <si>
    <t>未按期偿还的原因</t>
  </si>
  <si>
    <t>预计还款期</t>
  </si>
  <si>
    <t>短期借款—到期未偿还</t>
  </si>
  <si>
    <t>短期借款—到期未偿还合计</t>
  </si>
  <si>
    <r>
      <rPr>
        <b/>
        <sz val="10"/>
        <rFont val="宋体"/>
        <charset val="134"/>
      </rPr>
      <t>（</t>
    </r>
    <r>
      <rPr>
        <b/>
        <sz val="10"/>
        <rFont val="Times New Roman"/>
        <charset val="134"/>
      </rPr>
      <t>3</t>
    </r>
    <r>
      <rPr>
        <b/>
        <sz val="10"/>
        <rFont val="宋体"/>
        <charset val="134"/>
      </rPr>
      <t>）获得展期短期借款</t>
    </r>
  </si>
  <si>
    <t>展期条件</t>
  </si>
  <si>
    <t>新到期日</t>
  </si>
  <si>
    <t>短期借款—获得展期</t>
  </si>
  <si>
    <t>短期借款—获得展期合计</t>
  </si>
  <si>
    <r>
      <rPr>
        <b/>
        <sz val="10"/>
        <color indexed="8"/>
        <rFont val="Times New Roman"/>
        <charset val="134"/>
      </rPr>
      <t>30</t>
    </r>
    <r>
      <rPr>
        <b/>
        <sz val="10"/>
        <color indexed="8"/>
        <rFont val="宋体"/>
        <charset val="134"/>
      </rPr>
      <t>．交易性金融负债</t>
    </r>
  </si>
  <si>
    <t>发行的交易性债券</t>
  </si>
  <si>
    <t>交易性金融负债—发行的交易性债券</t>
  </si>
  <si>
    <t>指定为以公允价值计量且其变动计入当期损益的金融负债</t>
  </si>
  <si>
    <t>交易性金融负债—指定为以公允价值计量且其变动计入当期损益的金融负债</t>
  </si>
  <si>
    <t>衍生金融负债</t>
  </si>
  <si>
    <t>交易性金融负债—衍生金融负债</t>
  </si>
  <si>
    <t>交易性金融负债—其他</t>
  </si>
  <si>
    <r>
      <rPr>
        <sz val="8"/>
        <rFont val="宋体"/>
        <charset val="134"/>
      </rPr>
      <t>交易性金融负债—合</t>
    </r>
    <r>
      <rPr>
        <sz val="8"/>
        <rFont val="Times New Roman"/>
        <charset val="134"/>
      </rPr>
      <t xml:space="preserve"> </t>
    </r>
    <r>
      <rPr>
        <sz val="8"/>
        <rFont val="宋体"/>
        <charset val="134"/>
      </rPr>
      <t>计</t>
    </r>
  </si>
  <si>
    <r>
      <rPr>
        <b/>
        <sz val="10"/>
        <color indexed="8"/>
        <rFont val="Times New Roman"/>
        <charset val="134"/>
      </rPr>
      <t>31</t>
    </r>
    <r>
      <rPr>
        <b/>
        <sz val="10"/>
        <color indexed="8"/>
        <rFont val="宋体"/>
        <charset val="134"/>
      </rPr>
      <t>．应付票据</t>
    </r>
  </si>
  <si>
    <t>下一会计期间将到期金额</t>
  </si>
  <si>
    <t>应付票据—分类—银行承兑汇票</t>
  </si>
  <si>
    <t>应付票据—分类—商业承兑汇票</t>
  </si>
  <si>
    <r>
      <rPr>
        <sz val="8"/>
        <rFont val="宋体"/>
        <charset val="134"/>
      </rPr>
      <t>应付票据—分类—合</t>
    </r>
    <r>
      <rPr>
        <sz val="8"/>
        <rFont val="Times New Roman"/>
        <charset val="134"/>
      </rPr>
      <t xml:space="preserve"> </t>
    </r>
    <r>
      <rPr>
        <sz val="8"/>
        <rFont val="宋体"/>
        <charset val="134"/>
      </rPr>
      <t>计</t>
    </r>
  </si>
  <si>
    <r>
      <rPr>
        <b/>
        <sz val="10"/>
        <color indexed="8"/>
        <rFont val="Times New Roman"/>
        <charset val="134"/>
      </rPr>
      <t>32</t>
    </r>
    <r>
      <rPr>
        <b/>
        <sz val="10"/>
        <color indexed="8"/>
        <rFont val="宋体"/>
        <charset val="134"/>
      </rPr>
      <t>．应付账款</t>
    </r>
  </si>
  <si>
    <r>
      <rPr>
        <b/>
        <sz val="10"/>
        <color indexed="8"/>
        <rFont val="宋体"/>
        <charset val="134"/>
      </rPr>
      <t>（</t>
    </r>
    <r>
      <rPr>
        <b/>
        <sz val="10"/>
        <color indexed="8"/>
        <rFont val="Times New Roman"/>
        <charset val="134"/>
      </rPr>
      <t>1</t>
    </r>
    <r>
      <rPr>
        <b/>
        <sz val="10"/>
        <color indexed="8"/>
        <rFont val="宋体"/>
        <charset val="134"/>
      </rPr>
      <t>）应付账款账龄结构</t>
    </r>
  </si>
  <si>
    <t>应付账款—账龄—1年以内（含1年）</t>
  </si>
  <si>
    <t>应付账款—账龄—1年至2年（含2年）</t>
  </si>
  <si>
    <t>应付账款—账龄—2年至3年（含3年）</t>
  </si>
  <si>
    <t>应付账款—账龄—3年以上</t>
  </si>
  <si>
    <t>应付账款—账龄—合 计</t>
  </si>
  <si>
    <r>
      <rPr>
        <b/>
        <sz val="10"/>
        <color indexed="8"/>
        <rFont val="宋体"/>
        <charset val="134"/>
      </rPr>
      <t>（</t>
    </r>
    <r>
      <rPr>
        <b/>
        <sz val="10"/>
        <color indexed="8"/>
        <rFont val="Times New Roman"/>
        <charset val="134"/>
      </rPr>
      <t>2</t>
    </r>
    <r>
      <rPr>
        <b/>
        <sz val="10"/>
        <color indexed="8"/>
        <rFont val="宋体"/>
        <charset val="134"/>
      </rPr>
      <t>）账龄超过</t>
    </r>
    <r>
      <rPr>
        <b/>
        <sz val="10"/>
        <color indexed="8"/>
        <rFont val="Times New Roman"/>
        <charset val="134"/>
      </rPr>
      <t>1</t>
    </r>
    <r>
      <rPr>
        <b/>
        <sz val="10"/>
        <color indexed="8"/>
        <rFont val="宋体"/>
        <charset val="134"/>
      </rPr>
      <t>年的大额应付账款</t>
    </r>
  </si>
  <si>
    <t>未偿还原因</t>
  </si>
  <si>
    <t>应付账款—账龄超过1年大额应付款</t>
  </si>
  <si>
    <t>应付账款—账龄超过1年大额应付款合计</t>
  </si>
  <si>
    <r>
      <rPr>
        <b/>
        <sz val="10"/>
        <color indexed="8"/>
        <rFont val="宋体"/>
        <charset val="134"/>
      </rPr>
      <t>（</t>
    </r>
    <r>
      <rPr>
        <b/>
        <sz val="10"/>
        <color indexed="8"/>
        <rFont val="Times New Roman"/>
        <charset val="134"/>
      </rPr>
      <t>3</t>
    </r>
    <r>
      <rPr>
        <b/>
        <sz val="10"/>
        <color indexed="8"/>
        <rFont val="宋体"/>
        <charset val="134"/>
      </rPr>
      <t>）持公司</t>
    </r>
    <r>
      <rPr>
        <b/>
        <sz val="10"/>
        <color indexed="8"/>
        <rFont val="Times New Roman"/>
        <charset val="134"/>
      </rPr>
      <t>5%</t>
    </r>
    <r>
      <rPr>
        <b/>
        <sz val="10"/>
        <color indexed="8"/>
        <rFont val="宋体"/>
        <charset val="134"/>
      </rPr>
      <t>（含</t>
    </r>
    <r>
      <rPr>
        <b/>
        <sz val="10"/>
        <color indexed="8"/>
        <rFont val="Times New Roman"/>
        <charset val="134"/>
      </rPr>
      <t>5%</t>
    </r>
    <r>
      <rPr>
        <b/>
        <sz val="10"/>
        <color indexed="8"/>
        <rFont val="宋体"/>
        <charset val="134"/>
      </rPr>
      <t>）以上表决权股份的股东单位款项</t>
    </r>
  </si>
  <si>
    <t>应付账款—5%股东款项</t>
  </si>
  <si>
    <t>应付账款—5%股东款项合计</t>
  </si>
  <si>
    <r>
      <rPr>
        <b/>
        <sz val="10"/>
        <color indexed="8"/>
        <rFont val="宋体"/>
        <charset val="134"/>
      </rPr>
      <t>（</t>
    </r>
    <r>
      <rPr>
        <b/>
        <sz val="10"/>
        <color indexed="8"/>
        <rFont val="Times New Roman"/>
        <charset val="134"/>
      </rPr>
      <t>4</t>
    </r>
    <r>
      <rPr>
        <b/>
        <sz val="10"/>
        <color indexed="8"/>
        <rFont val="宋体"/>
        <charset val="134"/>
      </rPr>
      <t>）关联方款项</t>
    </r>
  </si>
  <si>
    <t>应付账款—关联方款项</t>
  </si>
  <si>
    <t>应付账款—关联方款项合计</t>
  </si>
  <si>
    <r>
      <rPr>
        <b/>
        <sz val="10"/>
        <color indexed="8"/>
        <rFont val="Times New Roman"/>
        <charset val="134"/>
      </rPr>
      <t>33</t>
    </r>
    <r>
      <rPr>
        <b/>
        <sz val="10"/>
        <color indexed="8"/>
        <rFont val="宋体"/>
        <charset val="134"/>
      </rPr>
      <t>．预收账款</t>
    </r>
  </si>
  <si>
    <r>
      <rPr>
        <b/>
        <sz val="10"/>
        <color indexed="8"/>
        <rFont val="宋体"/>
        <charset val="134"/>
      </rPr>
      <t>（</t>
    </r>
    <r>
      <rPr>
        <b/>
        <sz val="10"/>
        <color indexed="8"/>
        <rFont val="Times New Roman"/>
        <charset val="134"/>
      </rPr>
      <t>1</t>
    </r>
    <r>
      <rPr>
        <b/>
        <sz val="10"/>
        <color indexed="8"/>
        <rFont val="宋体"/>
        <charset val="134"/>
      </rPr>
      <t>）预收账款账龄结构</t>
    </r>
  </si>
  <si>
    <t>预收账款—账龄—1年以内（含1年）</t>
  </si>
  <si>
    <t>预收账款—账龄—1年至2年（含2年）</t>
  </si>
  <si>
    <t>预收账款—账龄—2年至3年（含3年）</t>
  </si>
  <si>
    <t>预收账款—账龄—3年以上</t>
  </si>
  <si>
    <t>预收账款—账龄—合 计</t>
  </si>
  <si>
    <r>
      <rPr>
        <b/>
        <sz val="10"/>
        <color indexed="8"/>
        <rFont val="宋体"/>
        <charset val="134"/>
      </rPr>
      <t>（</t>
    </r>
    <r>
      <rPr>
        <b/>
        <sz val="10"/>
        <color indexed="8"/>
        <rFont val="Times New Roman"/>
        <charset val="134"/>
      </rPr>
      <t>2</t>
    </r>
    <r>
      <rPr>
        <b/>
        <sz val="10"/>
        <color indexed="8"/>
        <rFont val="宋体"/>
        <charset val="134"/>
      </rPr>
      <t>）账龄超过</t>
    </r>
    <r>
      <rPr>
        <b/>
        <sz val="10"/>
        <color indexed="8"/>
        <rFont val="Times New Roman"/>
        <charset val="134"/>
      </rPr>
      <t>1</t>
    </r>
    <r>
      <rPr>
        <b/>
        <sz val="10"/>
        <color indexed="8"/>
        <rFont val="宋体"/>
        <charset val="134"/>
      </rPr>
      <t>年的大额预收账款</t>
    </r>
  </si>
  <si>
    <t>预收账款—账龄超过1年大额预收款</t>
  </si>
  <si>
    <t>预收账款—账龄超过1年大额预收款合计</t>
  </si>
  <si>
    <t>预收账款—5%股东款项</t>
  </si>
  <si>
    <t>预收账款—5%股东款项合计</t>
  </si>
  <si>
    <t>预收账款—关联方款项</t>
  </si>
  <si>
    <t>预收账款—关联方款项合计</t>
  </si>
  <si>
    <r>
      <rPr>
        <b/>
        <sz val="10"/>
        <color indexed="8"/>
        <rFont val="Times New Roman"/>
        <charset val="134"/>
      </rPr>
      <t>34</t>
    </r>
    <r>
      <rPr>
        <b/>
        <sz val="10"/>
        <color indexed="8"/>
        <rFont val="宋体"/>
        <charset val="134"/>
      </rPr>
      <t>．职工薪酬</t>
    </r>
  </si>
  <si>
    <t>本期支付额</t>
  </si>
  <si>
    <t>一、工资、奖金、津贴和补贴</t>
  </si>
  <si>
    <r>
      <rPr>
        <sz val="8"/>
        <rFont val="宋体"/>
        <charset val="134"/>
      </rPr>
      <t>职工薪酬</t>
    </r>
    <r>
      <rPr>
        <sz val="8"/>
        <rFont val="Times New Roman"/>
        <charset val="134"/>
      </rPr>
      <t>—</t>
    </r>
    <r>
      <rPr>
        <sz val="8"/>
        <rFont val="宋体"/>
        <charset val="134"/>
      </rPr>
      <t>一、工资、奖金、津贴和补贴</t>
    </r>
  </si>
  <si>
    <t>二、职工福利费</t>
  </si>
  <si>
    <t>职工薪酬—二、职工福利费</t>
  </si>
  <si>
    <t>三、社会保险费</t>
  </si>
  <si>
    <t>职工薪酬—三、社会保险费</t>
  </si>
  <si>
    <r>
      <rPr>
        <sz val="10"/>
        <color indexed="8"/>
        <rFont val="宋体"/>
        <charset val="134"/>
      </rPr>
      <t>其中：</t>
    </r>
    <r>
      <rPr>
        <sz val="10"/>
        <color indexed="8"/>
        <rFont val="Times New Roman"/>
        <charset val="134"/>
      </rPr>
      <t>1</t>
    </r>
    <r>
      <rPr>
        <sz val="10"/>
        <color indexed="8"/>
        <rFont val="宋体"/>
        <charset val="134"/>
      </rPr>
      <t>．医疗保险费</t>
    </r>
  </si>
  <si>
    <t>职工薪酬—三、社会保险费—1．医疗保险费</t>
  </si>
  <si>
    <r>
      <rPr>
        <sz val="10"/>
        <color indexed="8"/>
        <rFont val="Times New Roman"/>
        <charset val="134"/>
      </rPr>
      <t xml:space="preserve">           2</t>
    </r>
    <r>
      <rPr>
        <sz val="10"/>
        <color indexed="8"/>
        <rFont val="宋体"/>
        <charset val="134"/>
      </rPr>
      <t>．基本养老保险费</t>
    </r>
  </si>
  <si>
    <t>职工薪酬—三、社会保险费—2．基本养老保险费</t>
  </si>
  <si>
    <r>
      <rPr>
        <sz val="10"/>
        <color indexed="8"/>
        <rFont val="Times New Roman"/>
        <charset val="134"/>
      </rPr>
      <t xml:space="preserve">           3</t>
    </r>
    <r>
      <rPr>
        <sz val="10"/>
        <color indexed="8"/>
        <rFont val="宋体"/>
        <charset val="134"/>
      </rPr>
      <t>．年金缴费</t>
    </r>
  </si>
  <si>
    <t>职工薪酬—三、社会保险费—3．年金缴费</t>
  </si>
  <si>
    <r>
      <rPr>
        <sz val="10"/>
        <color indexed="8"/>
        <rFont val="Times New Roman"/>
        <charset val="134"/>
      </rPr>
      <t xml:space="preserve">           4</t>
    </r>
    <r>
      <rPr>
        <sz val="10"/>
        <color indexed="8"/>
        <rFont val="宋体"/>
        <charset val="134"/>
      </rPr>
      <t>．失业保险费</t>
    </r>
  </si>
  <si>
    <t>职工薪酬—三、社会保险费—4．失业保险费</t>
  </si>
  <si>
    <r>
      <rPr>
        <sz val="10"/>
        <color indexed="8"/>
        <rFont val="Times New Roman"/>
        <charset val="134"/>
      </rPr>
      <t xml:space="preserve">           5</t>
    </r>
    <r>
      <rPr>
        <sz val="10"/>
        <color indexed="8"/>
        <rFont val="宋体"/>
        <charset val="134"/>
      </rPr>
      <t>．工伤保险费</t>
    </r>
  </si>
  <si>
    <t>职工薪酬—三、社会保险费—5．工伤保险费</t>
  </si>
  <si>
    <r>
      <rPr>
        <sz val="10"/>
        <color indexed="8"/>
        <rFont val="Times New Roman"/>
        <charset val="134"/>
      </rPr>
      <t xml:space="preserve">           6</t>
    </r>
    <r>
      <rPr>
        <sz val="10"/>
        <color indexed="8"/>
        <rFont val="宋体"/>
        <charset val="134"/>
      </rPr>
      <t>．生育保险费</t>
    </r>
  </si>
  <si>
    <t>职工薪酬—三、社会保险费—6．生育保险费</t>
  </si>
  <si>
    <t>四、住房公积金</t>
  </si>
  <si>
    <t>职工薪酬—四、住房公积金</t>
  </si>
  <si>
    <t>五、工会经费和职工教育经费</t>
  </si>
  <si>
    <t>职工薪酬—五、工会经费和职工教育经费</t>
  </si>
  <si>
    <t>六、非货币性福利</t>
  </si>
  <si>
    <t>职工薪酬—六、非货币性福利</t>
  </si>
  <si>
    <t>七、因解除劳动关系给予的补偿</t>
  </si>
  <si>
    <t>职工薪酬—七、因解除劳动关系给予的补偿</t>
  </si>
  <si>
    <t>八、其他</t>
  </si>
  <si>
    <t>职工薪酬—八、其他</t>
  </si>
  <si>
    <t>其中：以现金结算的股份支付</t>
  </si>
  <si>
    <t>职工薪酬—八、其他—以现金结算的股份支付</t>
  </si>
  <si>
    <t>职工薪酬—合 计</t>
  </si>
  <si>
    <r>
      <rPr>
        <b/>
        <sz val="10"/>
        <color indexed="8"/>
        <rFont val="Times New Roman"/>
        <charset val="134"/>
      </rPr>
      <t>35</t>
    </r>
    <r>
      <rPr>
        <b/>
        <sz val="10"/>
        <color indexed="8"/>
        <rFont val="宋体"/>
        <charset val="134"/>
      </rPr>
      <t>．应交税费</t>
    </r>
  </si>
  <si>
    <t>税费项目</t>
  </si>
  <si>
    <t>增值税</t>
  </si>
  <si>
    <t>应交税费—增值税</t>
  </si>
  <si>
    <t>营业税</t>
  </si>
  <si>
    <t>应交税费—营业税</t>
  </si>
  <si>
    <t>消费税</t>
  </si>
  <si>
    <t>应交税费—消费税</t>
  </si>
  <si>
    <t>城市建设维护税</t>
  </si>
  <si>
    <t>应交税费—城市建设维护税</t>
  </si>
  <si>
    <t>企业所得税</t>
  </si>
  <si>
    <t>应交税费—企业所得税</t>
  </si>
  <si>
    <t>房产税</t>
  </si>
  <si>
    <t>应交税费—房产税</t>
  </si>
  <si>
    <t>土地使用税</t>
  </si>
  <si>
    <t>应交税费—土地使用税</t>
  </si>
  <si>
    <t>车船使用税</t>
  </si>
  <si>
    <t>应交税费—车船使用税</t>
  </si>
  <si>
    <t>印花税</t>
  </si>
  <si>
    <t>应交税费—印花税</t>
  </si>
  <si>
    <t>资源税</t>
  </si>
  <si>
    <t>应交税费—资源税</t>
  </si>
  <si>
    <t>关税</t>
  </si>
  <si>
    <t>应交税费—关税</t>
  </si>
  <si>
    <t>应交税费—其他</t>
  </si>
  <si>
    <t>应交税费—合 计</t>
  </si>
  <si>
    <r>
      <rPr>
        <b/>
        <sz val="10"/>
        <color indexed="8"/>
        <rFont val="Times New Roman"/>
        <charset val="134"/>
      </rPr>
      <t>36</t>
    </r>
    <r>
      <rPr>
        <b/>
        <sz val="10"/>
        <color indexed="8"/>
        <rFont val="宋体"/>
        <charset val="134"/>
      </rPr>
      <t>．应付利息</t>
    </r>
  </si>
  <si>
    <t>欠付原因</t>
  </si>
  <si>
    <t>应付利息合计</t>
  </si>
  <si>
    <r>
      <rPr>
        <b/>
        <sz val="10"/>
        <color indexed="8"/>
        <rFont val="Times New Roman"/>
        <charset val="134"/>
      </rPr>
      <t>37</t>
    </r>
    <r>
      <rPr>
        <b/>
        <sz val="10"/>
        <color indexed="8"/>
        <rFont val="宋体"/>
        <charset val="134"/>
      </rPr>
      <t>．应付股利</t>
    </r>
  </si>
  <si>
    <t>投资者名称</t>
  </si>
  <si>
    <t>应付股利合计</t>
  </si>
  <si>
    <r>
      <rPr>
        <b/>
        <sz val="10"/>
        <color indexed="8"/>
        <rFont val="Times New Roman"/>
        <charset val="134"/>
      </rPr>
      <t>38</t>
    </r>
    <r>
      <rPr>
        <b/>
        <sz val="10"/>
        <color indexed="8"/>
        <rFont val="宋体"/>
        <charset val="134"/>
      </rPr>
      <t>．其他应付款</t>
    </r>
  </si>
  <si>
    <r>
      <rPr>
        <b/>
        <sz val="10"/>
        <color indexed="8"/>
        <rFont val="宋体"/>
        <charset val="134"/>
      </rPr>
      <t>（</t>
    </r>
    <r>
      <rPr>
        <b/>
        <sz val="10"/>
        <color indexed="8"/>
        <rFont val="Times New Roman"/>
        <charset val="134"/>
      </rPr>
      <t>1</t>
    </r>
    <r>
      <rPr>
        <b/>
        <sz val="10"/>
        <color indexed="8"/>
        <rFont val="宋体"/>
        <charset val="134"/>
      </rPr>
      <t>）其他应付款账龄结构</t>
    </r>
  </si>
  <si>
    <t>其他应付款—账龄—1年以内（含1年）</t>
  </si>
  <si>
    <t>其他应付款—账龄—1年至2年（含2年）</t>
  </si>
  <si>
    <t>其他应付款—账龄—2年至3年（含3年）</t>
  </si>
  <si>
    <t>其他应付款—账龄—3年以上</t>
  </si>
  <si>
    <t>其他应付款—账龄—合 计</t>
  </si>
  <si>
    <r>
      <rPr>
        <b/>
        <sz val="10"/>
        <color indexed="8"/>
        <rFont val="宋体"/>
        <charset val="134"/>
      </rPr>
      <t>（</t>
    </r>
    <r>
      <rPr>
        <b/>
        <sz val="10"/>
        <color indexed="8"/>
        <rFont val="Times New Roman"/>
        <charset val="134"/>
      </rPr>
      <t>2</t>
    </r>
    <r>
      <rPr>
        <b/>
        <sz val="10"/>
        <color indexed="8"/>
        <rFont val="宋体"/>
        <charset val="134"/>
      </rPr>
      <t>）账龄超过</t>
    </r>
    <r>
      <rPr>
        <b/>
        <sz val="10"/>
        <color indexed="8"/>
        <rFont val="Times New Roman"/>
        <charset val="134"/>
      </rPr>
      <t>1</t>
    </r>
    <r>
      <rPr>
        <b/>
        <sz val="10"/>
        <color indexed="8"/>
        <rFont val="宋体"/>
        <charset val="134"/>
      </rPr>
      <t>年的大额其他应付款</t>
    </r>
  </si>
  <si>
    <t>其他应付款—账龄超过1年大额应付款</t>
  </si>
  <si>
    <t>其他应付款—账龄超过1年大额应付款合计</t>
  </si>
  <si>
    <t>其他应付款—5%股东款项</t>
  </si>
  <si>
    <t>其他应付款—5%股东款项合计</t>
  </si>
  <si>
    <t>其他应付款—关联方款项</t>
  </si>
  <si>
    <t>其他应付款—关联方款项合计</t>
  </si>
  <si>
    <r>
      <rPr>
        <b/>
        <sz val="10"/>
        <color indexed="8"/>
        <rFont val="Times New Roman"/>
        <charset val="134"/>
      </rPr>
      <t>39</t>
    </r>
    <r>
      <rPr>
        <b/>
        <sz val="10"/>
        <color indexed="8"/>
        <rFont val="宋体"/>
        <charset val="134"/>
      </rPr>
      <t>．一年内到期的非流动负债</t>
    </r>
  </si>
  <si>
    <r>
      <rPr>
        <b/>
        <sz val="10"/>
        <color indexed="8"/>
        <rFont val="宋体"/>
        <charset val="134"/>
      </rPr>
      <t>（</t>
    </r>
    <r>
      <rPr>
        <b/>
        <sz val="10"/>
        <color indexed="8"/>
        <rFont val="Times New Roman"/>
        <charset val="134"/>
      </rPr>
      <t>1</t>
    </r>
    <r>
      <rPr>
        <b/>
        <sz val="10"/>
        <color indexed="8"/>
        <rFont val="宋体"/>
        <charset val="134"/>
      </rPr>
      <t>）分项列示</t>
    </r>
  </si>
  <si>
    <t>一年内到期的非流动负债—分类—长期借款</t>
  </si>
  <si>
    <t>一年内到期的非流动负债—分类—应付债券</t>
  </si>
  <si>
    <t>一年内到期的非流动负债—分类—长期应付款</t>
  </si>
  <si>
    <r>
      <rPr>
        <sz val="8"/>
        <rFont val="宋体"/>
        <charset val="134"/>
      </rPr>
      <t>一年内到期的非流动负债—分类—合</t>
    </r>
    <r>
      <rPr>
        <sz val="8"/>
        <rFont val="Times New Roman"/>
        <charset val="134"/>
      </rPr>
      <t xml:space="preserve"> </t>
    </r>
    <r>
      <rPr>
        <sz val="8"/>
        <rFont val="宋体"/>
        <charset val="134"/>
      </rPr>
      <t>计</t>
    </r>
  </si>
  <si>
    <r>
      <rPr>
        <b/>
        <sz val="10"/>
        <color indexed="8"/>
        <rFont val="宋体"/>
        <charset val="134"/>
      </rPr>
      <t>（</t>
    </r>
    <r>
      <rPr>
        <b/>
        <sz val="10"/>
        <color indexed="8"/>
        <rFont val="Times New Roman"/>
        <charset val="134"/>
      </rPr>
      <t>2</t>
    </r>
    <r>
      <rPr>
        <b/>
        <sz val="10"/>
        <color indexed="8"/>
        <rFont val="宋体"/>
        <charset val="134"/>
      </rPr>
      <t>）一年内到期的长期借款</t>
    </r>
  </si>
  <si>
    <t>一年内到期的非流动负债—长期借款—信用借款</t>
  </si>
  <si>
    <t>一年内到期的非流动负债—长期借款—抵押借款</t>
  </si>
  <si>
    <t>一年内到期的非流动负债—长期借款—保证借款</t>
  </si>
  <si>
    <t>一年内到期的非流动负债—长期借款—质押借款</t>
  </si>
  <si>
    <t>一年内到期的非流动负债—长期借款—合计</t>
  </si>
  <si>
    <r>
      <rPr>
        <b/>
        <sz val="10"/>
        <rFont val="宋体"/>
        <charset val="134"/>
      </rPr>
      <t>（</t>
    </r>
    <r>
      <rPr>
        <b/>
        <sz val="10"/>
        <rFont val="Times New Roman"/>
        <charset val="134"/>
      </rPr>
      <t>3</t>
    </r>
    <r>
      <rPr>
        <b/>
        <sz val="10"/>
        <rFont val="宋体"/>
        <charset val="134"/>
      </rPr>
      <t>）逾期长期借款</t>
    </r>
  </si>
  <si>
    <t>逾期时间</t>
  </si>
  <si>
    <t>预期还款期</t>
  </si>
  <si>
    <t>新的到期日</t>
  </si>
  <si>
    <t>一年内到期的非流动负债—逾期借款</t>
  </si>
  <si>
    <t>一年内到期的非流动负债—逾期借款合计</t>
  </si>
  <si>
    <r>
      <rPr>
        <b/>
        <sz val="10"/>
        <color indexed="8"/>
        <rFont val="宋体"/>
        <charset val="134"/>
      </rPr>
      <t>（</t>
    </r>
    <r>
      <rPr>
        <b/>
        <sz val="10"/>
        <color indexed="8"/>
        <rFont val="Times New Roman"/>
        <charset val="134"/>
      </rPr>
      <t>4</t>
    </r>
    <r>
      <rPr>
        <b/>
        <sz val="10"/>
        <color indexed="8"/>
        <rFont val="宋体"/>
        <charset val="134"/>
      </rPr>
      <t>）一年内到期的应付债券</t>
    </r>
  </si>
  <si>
    <t>种类</t>
  </si>
  <si>
    <t>期限</t>
  </si>
  <si>
    <t>发行日期</t>
  </si>
  <si>
    <t>面值总额</t>
  </si>
  <si>
    <t>溢价（折价）额</t>
  </si>
  <si>
    <t>应计利息总额</t>
  </si>
  <si>
    <t>一年内到期的非流动负债—应付债券</t>
  </si>
  <si>
    <t>一年内到期的非流动负债—应付债券合计</t>
  </si>
  <si>
    <r>
      <rPr>
        <b/>
        <sz val="10"/>
        <color indexed="8"/>
        <rFont val="宋体"/>
        <charset val="134"/>
      </rPr>
      <t>（</t>
    </r>
    <r>
      <rPr>
        <b/>
        <sz val="10"/>
        <color indexed="8"/>
        <rFont val="Times New Roman"/>
        <charset val="134"/>
      </rPr>
      <t>5</t>
    </r>
    <r>
      <rPr>
        <b/>
        <sz val="10"/>
        <color indexed="8"/>
        <rFont val="宋体"/>
        <charset val="134"/>
      </rPr>
      <t>）一年内到期的长期应付款</t>
    </r>
  </si>
  <si>
    <t>一年内到期的非流动负债—长期应付款</t>
  </si>
  <si>
    <t>一年内到期的非流动负债—长期应付款合计</t>
  </si>
  <si>
    <r>
      <rPr>
        <b/>
        <sz val="10"/>
        <color indexed="8"/>
        <rFont val="Times New Roman"/>
        <charset val="134"/>
      </rPr>
      <t>40</t>
    </r>
    <r>
      <rPr>
        <b/>
        <sz val="10"/>
        <color indexed="8"/>
        <rFont val="宋体"/>
        <charset val="134"/>
      </rPr>
      <t>．其他流动负债</t>
    </r>
  </si>
  <si>
    <t>其他流动负债合计</t>
  </si>
  <si>
    <r>
      <rPr>
        <b/>
        <sz val="10"/>
        <color indexed="8"/>
        <rFont val="Times New Roman"/>
        <charset val="134"/>
      </rPr>
      <t>41</t>
    </r>
    <r>
      <rPr>
        <b/>
        <sz val="10"/>
        <color indexed="8"/>
        <rFont val="宋体"/>
        <charset val="134"/>
      </rPr>
      <t>．长期借款</t>
    </r>
  </si>
  <si>
    <t>长期借款—分类—信用借款</t>
  </si>
  <si>
    <r>
      <rPr>
        <sz val="8"/>
        <rFont val="宋体"/>
        <charset val="134"/>
      </rPr>
      <t>长期借款</t>
    </r>
    <r>
      <rPr>
        <sz val="8"/>
        <rFont val="Times New Roman"/>
        <charset val="134"/>
      </rPr>
      <t>—</t>
    </r>
    <r>
      <rPr>
        <sz val="8"/>
        <rFont val="宋体"/>
        <charset val="134"/>
      </rPr>
      <t>分类</t>
    </r>
    <r>
      <rPr>
        <sz val="8"/>
        <rFont val="Times New Roman"/>
        <charset val="134"/>
      </rPr>
      <t>—</t>
    </r>
    <r>
      <rPr>
        <sz val="8"/>
        <rFont val="宋体"/>
        <charset val="134"/>
      </rPr>
      <t>抵押借款</t>
    </r>
  </si>
  <si>
    <r>
      <rPr>
        <sz val="8"/>
        <rFont val="宋体"/>
        <charset val="134"/>
      </rPr>
      <t>长期借款</t>
    </r>
    <r>
      <rPr>
        <sz val="8"/>
        <rFont val="Times New Roman"/>
        <charset val="134"/>
      </rPr>
      <t>—</t>
    </r>
    <r>
      <rPr>
        <sz val="8"/>
        <rFont val="宋体"/>
        <charset val="134"/>
      </rPr>
      <t>分类</t>
    </r>
    <r>
      <rPr>
        <sz val="8"/>
        <rFont val="Times New Roman"/>
        <charset val="134"/>
      </rPr>
      <t>—</t>
    </r>
    <r>
      <rPr>
        <sz val="8"/>
        <rFont val="宋体"/>
        <charset val="134"/>
      </rPr>
      <t>保证借款</t>
    </r>
  </si>
  <si>
    <r>
      <rPr>
        <sz val="8"/>
        <rFont val="宋体"/>
        <charset val="134"/>
      </rPr>
      <t>长期借款</t>
    </r>
    <r>
      <rPr>
        <sz val="8"/>
        <rFont val="Times New Roman"/>
        <charset val="134"/>
      </rPr>
      <t>—</t>
    </r>
    <r>
      <rPr>
        <sz val="8"/>
        <rFont val="宋体"/>
        <charset val="134"/>
      </rPr>
      <t>分类</t>
    </r>
    <r>
      <rPr>
        <sz val="8"/>
        <rFont val="Times New Roman"/>
        <charset val="134"/>
      </rPr>
      <t>—</t>
    </r>
    <r>
      <rPr>
        <sz val="8"/>
        <rFont val="宋体"/>
        <charset val="134"/>
      </rPr>
      <t>质押借款</t>
    </r>
  </si>
  <si>
    <r>
      <rPr>
        <sz val="8"/>
        <rFont val="宋体"/>
        <charset val="134"/>
      </rPr>
      <t>长期借款</t>
    </r>
    <r>
      <rPr>
        <sz val="8"/>
        <rFont val="Times New Roman"/>
        <charset val="134"/>
      </rPr>
      <t>—</t>
    </r>
    <r>
      <rPr>
        <sz val="8"/>
        <rFont val="宋体"/>
        <charset val="134"/>
      </rPr>
      <t>分类</t>
    </r>
    <r>
      <rPr>
        <sz val="8"/>
        <rFont val="Times New Roman"/>
        <charset val="134"/>
      </rPr>
      <t>—</t>
    </r>
    <r>
      <rPr>
        <sz val="8"/>
        <rFont val="宋体"/>
        <charset val="134"/>
      </rPr>
      <t>合计</t>
    </r>
  </si>
  <si>
    <r>
      <rPr>
        <b/>
        <sz val="10"/>
        <rFont val="宋体"/>
        <charset val="134"/>
      </rPr>
      <t>（</t>
    </r>
    <r>
      <rPr>
        <b/>
        <sz val="10"/>
        <rFont val="Times New Roman"/>
        <charset val="134"/>
      </rPr>
      <t>2</t>
    </r>
    <r>
      <rPr>
        <b/>
        <sz val="10"/>
        <rFont val="宋体"/>
        <charset val="134"/>
      </rPr>
      <t>）分项列示</t>
    </r>
  </si>
  <si>
    <t>贷款起始日</t>
  </si>
  <si>
    <t>贷款偿还日</t>
  </si>
  <si>
    <t>长期借款—分项明细</t>
  </si>
  <si>
    <t>长期借款—分项明细合计</t>
  </si>
  <si>
    <r>
      <rPr>
        <b/>
        <sz val="10"/>
        <color indexed="8"/>
        <rFont val="Times New Roman"/>
        <charset val="134"/>
      </rPr>
      <t>42</t>
    </r>
    <r>
      <rPr>
        <b/>
        <sz val="10"/>
        <color indexed="8"/>
        <rFont val="宋体"/>
        <charset val="134"/>
      </rPr>
      <t>．应付债券</t>
    </r>
  </si>
  <si>
    <t>应付债券合计</t>
  </si>
  <si>
    <r>
      <rPr>
        <b/>
        <sz val="10"/>
        <color indexed="8"/>
        <rFont val="Times New Roman"/>
        <charset val="134"/>
      </rPr>
      <t>43</t>
    </r>
    <r>
      <rPr>
        <b/>
        <sz val="10"/>
        <color indexed="8"/>
        <rFont val="宋体"/>
        <charset val="134"/>
      </rPr>
      <t>．长期应付款</t>
    </r>
  </si>
  <si>
    <t>长期应付款合计</t>
  </si>
  <si>
    <r>
      <rPr>
        <b/>
        <sz val="10"/>
        <color indexed="8"/>
        <rFont val="Times New Roman"/>
        <charset val="134"/>
      </rPr>
      <t>44</t>
    </r>
    <r>
      <rPr>
        <b/>
        <sz val="10"/>
        <color indexed="8"/>
        <rFont val="宋体"/>
        <charset val="134"/>
      </rPr>
      <t>．专项应付款</t>
    </r>
  </si>
  <si>
    <t>专项应付款合计</t>
  </si>
  <si>
    <r>
      <rPr>
        <b/>
        <sz val="10"/>
        <color indexed="8"/>
        <rFont val="Times New Roman"/>
        <charset val="134"/>
      </rPr>
      <t>45</t>
    </r>
    <r>
      <rPr>
        <b/>
        <sz val="10"/>
        <color indexed="8"/>
        <rFont val="宋体"/>
        <charset val="134"/>
      </rPr>
      <t>．预计负债</t>
    </r>
  </si>
  <si>
    <t>形成原因</t>
  </si>
  <si>
    <t>预计负债合计</t>
  </si>
  <si>
    <r>
      <rPr>
        <b/>
        <sz val="10"/>
        <color indexed="8"/>
        <rFont val="Times New Roman"/>
        <charset val="134"/>
      </rPr>
      <t>46</t>
    </r>
    <r>
      <rPr>
        <b/>
        <sz val="10"/>
        <color indexed="8"/>
        <rFont val="宋体"/>
        <charset val="134"/>
      </rPr>
      <t>．其他非流动负债</t>
    </r>
  </si>
  <si>
    <t>其他非流动负债合计</t>
  </si>
  <si>
    <r>
      <rPr>
        <b/>
        <sz val="10"/>
        <color indexed="8"/>
        <rFont val="Times New Roman"/>
        <charset val="134"/>
      </rPr>
      <t>47</t>
    </r>
    <r>
      <rPr>
        <b/>
        <sz val="10"/>
        <color indexed="8"/>
        <rFont val="宋体"/>
        <charset val="134"/>
      </rPr>
      <t>．股本</t>
    </r>
  </si>
  <si>
    <t>股本</t>
  </si>
  <si>
    <t>股本合计</t>
  </si>
  <si>
    <r>
      <rPr>
        <b/>
        <sz val="10"/>
        <color indexed="8"/>
        <rFont val="Times New Roman"/>
        <charset val="134"/>
      </rPr>
      <t>48</t>
    </r>
    <r>
      <rPr>
        <b/>
        <sz val="10"/>
        <color indexed="8"/>
        <rFont val="宋体"/>
        <charset val="134"/>
      </rPr>
      <t>．资本公积</t>
    </r>
  </si>
  <si>
    <t>资本公积合计</t>
  </si>
  <si>
    <r>
      <rPr>
        <b/>
        <sz val="10"/>
        <rFont val="Times New Roman"/>
        <charset val="134"/>
      </rPr>
      <t>49</t>
    </r>
    <r>
      <rPr>
        <b/>
        <sz val="10"/>
        <rFont val="宋体"/>
        <charset val="134"/>
      </rPr>
      <t>．公司应披露与库存股相关的如下信息：</t>
    </r>
  </si>
  <si>
    <r>
      <rPr>
        <b/>
        <sz val="10"/>
        <rFont val="宋体"/>
        <charset val="134"/>
      </rPr>
      <t>（</t>
    </r>
    <r>
      <rPr>
        <b/>
        <sz val="10"/>
        <rFont val="Times New Roman"/>
        <charset val="134"/>
      </rPr>
      <t>1</t>
    </r>
    <r>
      <rPr>
        <b/>
        <sz val="10"/>
        <rFont val="宋体"/>
        <charset val="134"/>
      </rPr>
      <t>）</t>
    </r>
    <r>
      <rPr>
        <b/>
        <sz val="10"/>
        <rFont val="宋体"/>
        <charset val="134"/>
      </rPr>
      <t>回购本公司股份的原因及对应的库存股成本确定方法；</t>
    </r>
  </si>
  <si>
    <r>
      <rPr>
        <b/>
        <sz val="10"/>
        <rFont val="宋体"/>
        <charset val="134"/>
      </rPr>
      <t>（</t>
    </r>
    <r>
      <rPr>
        <b/>
        <sz val="10"/>
        <rFont val="Times New Roman"/>
        <charset val="134"/>
      </rPr>
      <t>2</t>
    </r>
    <r>
      <rPr>
        <b/>
        <sz val="10"/>
        <rFont val="宋体"/>
        <charset val="134"/>
      </rPr>
      <t>）因库存股注销而减少的股本；</t>
    </r>
  </si>
  <si>
    <r>
      <rPr>
        <b/>
        <sz val="10"/>
        <rFont val="宋体"/>
        <charset val="134"/>
      </rPr>
      <t>（</t>
    </r>
    <r>
      <rPr>
        <b/>
        <sz val="10"/>
        <rFont val="Times New Roman"/>
        <charset val="134"/>
      </rPr>
      <t>3</t>
    </r>
    <r>
      <rPr>
        <b/>
        <sz val="10"/>
        <rFont val="宋体"/>
        <charset val="134"/>
      </rPr>
      <t>）注销的库存股成本高于对应股本成本的，披露依次冲减的</t>
    </r>
    <r>
      <rPr>
        <b/>
        <sz val="10"/>
        <rFont val="宋体"/>
        <charset val="134"/>
      </rPr>
      <t>资本公积、盈余公积、未分配利润的金额；注销的库存股成本低于对应股本成本的，披露增加的资本公积金额；</t>
    </r>
  </si>
  <si>
    <r>
      <rPr>
        <b/>
        <sz val="10"/>
        <rFont val="宋体"/>
        <charset val="134"/>
      </rPr>
      <t>（</t>
    </r>
    <r>
      <rPr>
        <b/>
        <sz val="10"/>
        <rFont val="Times New Roman"/>
        <charset val="134"/>
      </rPr>
      <t>4</t>
    </r>
    <r>
      <rPr>
        <b/>
        <sz val="10"/>
        <rFont val="宋体"/>
        <charset val="134"/>
      </rPr>
      <t>）库存股转让时，转让收入高于库存股成本的，披露增加的资本公积金额；转让收入低于库存股成本的，披露依次冲减的资本公积、盈余公积、未分配利润的金额；</t>
    </r>
  </si>
  <si>
    <r>
      <rPr>
        <b/>
        <sz val="10"/>
        <rFont val="宋体"/>
        <charset val="134"/>
      </rPr>
      <t>（</t>
    </r>
    <r>
      <rPr>
        <b/>
        <sz val="10"/>
        <rFont val="Times New Roman"/>
        <charset val="134"/>
      </rPr>
      <t>5</t>
    </r>
    <r>
      <rPr>
        <b/>
        <sz val="10"/>
        <rFont val="宋体"/>
        <charset val="134"/>
      </rPr>
      <t>）因实行股权激励回购本公司股份的，应披露本期回购股份占本公司已发行股份的总比例和累计库存股占已发行股份的总比例。</t>
    </r>
  </si>
  <si>
    <r>
      <rPr>
        <b/>
        <sz val="10"/>
        <rFont val="Times New Roman"/>
        <charset val="134"/>
      </rPr>
      <t>50</t>
    </r>
    <r>
      <rPr>
        <b/>
        <sz val="10"/>
        <rFont val="宋体"/>
        <charset val="134"/>
      </rPr>
      <t>．盈余公积</t>
    </r>
  </si>
  <si>
    <t>项  目</t>
  </si>
  <si>
    <t>变动原因、依据</t>
  </si>
  <si>
    <t>法定盈余公积金</t>
  </si>
  <si>
    <t>盈余公积—法定盈余公积金</t>
  </si>
  <si>
    <t>任意盈余公积金</t>
  </si>
  <si>
    <t>盈余公积—任意盈余公积金</t>
  </si>
  <si>
    <t>储备基金</t>
  </si>
  <si>
    <t>盈余公积—储备基金</t>
  </si>
  <si>
    <t>企业发展基金</t>
  </si>
  <si>
    <t>盈余公积—企业发展基金</t>
  </si>
  <si>
    <t>盈余公积—其他</t>
  </si>
  <si>
    <t>合  计</t>
  </si>
  <si>
    <t>盈余公积—合  计</t>
  </si>
  <si>
    <r>
      <rPr>
        <b/>
        <sz val="10"/>
        <rFont val="Times New Roman"/>
        <charset val="134"/>
      </rPr>
      <t>51</t>
    </r>
    <r>
      <rPr>
        <b/>
        <sz val="10"/>
        <rFont val="宋体"/>
        <charset val="134"/>
      </rPr>
      <t>．未分配利润</t>
    </r>
  </si>
  <si>
    <t>上年年末余额</t>
  </si>
  <si>
    <t>未分配利润—上年年末余额</t>
  </si>
  <si>
    <t>加：年初未分配利润调整数</t>
  </si>
  <si>
    <t>未分配利润—加：年初未分配利润调整数</t>
  </si>
  <si>
    <t>其中：重大会计差错</t>
  </si>
  <si>
    <t>未分配利润—其中：重大会计差错</t>
  </si>
  <si>
    <r>
      <rPr>
        <sz val="10"/>
        <rFont val="Times New Roman"/>
        <charset val="134"/>
      </rPr>
      <t xml:space="preserve">            </t>
    </r>
    <r>
      <rPr>
        <sz val="10"/>
        <rFont val="宋体"/>
        <charset val="134"/>
      </rPr>
      <t>其他调整因素</t>
    </r>
  </si>
  <si>
    <t>未分配利润—其他调整因素</t>
  </si>
  <si>
    <t>本年年初余额</t>
  </si>
  <si>
    <t>未分配利润—本年年初余额</t>
  </si>
  <si>
    <t>本年增加数</t>
  </si>
  <si>
    <t>未分配利润—本年增加数</t>
  </si>
  <si>
    <t>其中：本年净利润转入</t>
  </si>
  <si>
    <t>未分配利润—其中：本年净利润转入</t>
  </si>
  <si>
    <r>
      <rPr>
        <sz val="10"/>
        <rFont val="Times New Roman"/>
        <charset val="134"/>
      </rPr>
      <t xml:space="preserve">            </t>
    </r>
    <r>
      <rPr>
        <sz val="10"/>
        <rFont val="宋体"/>
        <charset val="134"/>
      </rPr>
      <t>其他增加</t>
    </r>
  </si>
  <si>
    <t>未分配利润—其他增加</t>
  </si>
  <si>
    <t>本年减少数</t>
  </si>
  <si>
    <t>未分配利润—本年减少数</t>
  </si>
  <si>
    <t>其中：本年提取盈余公积数</t>
  </si>
  <si>
    <t>未分配利润—其中：本年提取盈余公积数</t>
  </si>
  <si>
    <r>
      <rPr>
        <sz val="10"/>
        <rFont val="Times New Roman"/>
        <charset val="134"/>
      </rPr>
      <t xml:space="preserve">            </t>
    </r>
    <r>
      <rPr>
        <sz val="10"/>
        <rFont val="宋体"/>
        <charset val="134"/>
      </rPr>
      <t>本年分配现金股利数</t>
    </r>
  </si>
  <si>
    <t>未分配利润—本年分配现金股利数</t>
  </si>
  <si>
    <r>
      <rPr>
        <sz val="10"/>
        <rFont val="Times New Roman"/>
        <charset val="134"/>
      </rPr>
      <t xml:space="preserve">            </t>
    </r>
    <r>
      <rPr>
        <sz val="10"/>
        <rFont val="宋体"/>
        <charset val="134"/>
      </rPr>
      <t>本年分配股票股利数</t>
    </r>
  </si>
  <si>
    <t>未分配利润—本年分配股票股利数</t>
  </si>
  <si>
    <r>
      <rPr>
        <sz val="10"/>
        <rFont val="Times New Roman"/>
        <charset val="134"/>
      </rPr>
      <t xml:space="preserve">            </t>
    </r>
    <r>
      <rPr>
        <sz val="10"/>
        <rFont val="宋体"/>
        <charset val="134"/>
      </rPr>
      <t>其他减少</t>
    </r>
  </si>
  <si>
    <t>未分配利润—其他减少</t>
  </si>
  <si>
    <t>本年年末余额</t>
  </si>
  <si>
    <t>未分配利润—本年年末余额</t>
  </si>
  <si>
    <t>其中：董事会已批准的现金股利数</t>
  </si>
  <si>
    <t>未分配利润—其中：董事会已批准的现金股利数</t>
  </si>
  <si>
    <r>
      <rPr>
        <b/>
        <sz val="10"/>
        <color indexed="8"/>
        <rFont val="Times New Roman"/>
        <charset val="134"/>
      </rPr>
      <t>52</t>
    </r>
    <r>
      <rPr>
        <b/>
        <sz val="10"/>
        <color indexed="8"/>
        <rFont val="宋体"/>
        <charset val="134"/>
      </rPr>
      <t>．营业收入和成本</t>
    </r>
  </si>
  <si>
    <r>
      <rPr>
        <b/>
        <sz val="10"/>
        <color indexed="8"/>
        <rFont val="宋体"/>
        <charset val="134"/>
      </rPr>
      <t>（</t>
    </r>
    <r>
      <rPr>
        <b/>
        <sz val="10"/>
        <color indexed="8"/>
        <rFont val="Times New Roman"/>
        <charset val="134"/>
      </rPr>
      <t>1</t>
    </r>
    <r>
      <rPr>
        <b/>
        <sz val="10"/>
        <color indexed="8"/>
        <rFont val="宋体"/>
        <charset val="134"/>
      </rPr>
      <t>）营业收入和成本</t>
    </r>
  </si>
  <si>
    <t>本期发生额</t>
  </si>
  <si>
    <t>上期发生额</t>
  </si>
  <si>
    <t>收入</t>
  </si>
  <si>
    <t>成本</t>
  </si>
  <si>
    <t>利润</t>
  </si>
  <si>
    <t>主营业务</t>
  </si>
  <si>
    <t>营业收入和成本—分类—主营业务</t>
  </si>
  <si>
    <t>其他业务</t>
  </si>
  <si>
    <t>营业收入和成本—分类—其他业务</t>
  </si>
  <si>
    <t>营业收入和成本—分类—合计</t>
  </si>
  <si>
    <r>
      <rPr>
        <b/>
        <sz val="10"/>
        <rFont val="宋体"/>
        <charset val="134"/>
      </rPr>
      <t>（</t>
    </r>
    <r>
      <rPr>
        <b/>
        <sz val="10"/>
        <rFont val="Times New Roman"/>
        <charset val="134"/>
      </rPr>
      <t>2</t>
    </r>
    <r>
      <rPr>
        <b/>
        <sz val="10"/>
        <rFont val="宋体"/>
        <charset val="134"/>
      </rPr>
      <t>）主营业务收入和成本</t>
    </r>
  </si>
  <si>
    <t>一、按产品分布</t>
  </si>
  <si>
    <t>营业收入和成本—主营业务按产品分布</t>
  </si>
  <si>
    <t>营业收入和成本—主营业务按产品分布合计</t>
  </si>
  <si>
    <t>二、按地区分布</t>
  </si>
  <si>
    <t>营业收入和成本—主营业务按地区分布</t>
  </si>
  <si>
    <t>营业收入和成本—主营业务按地区分布合计</t>
  </si>
  <si>
    <r>
      <rPr>
        <b/>
        <sz val="10"/>
        <rFont val="宋体"/>
        <charset val="134"/>
      </rPr>
      <t>（</t>
    </r>
    <r>
      <rPr>
        <b/>
        <sz val="10"/>
        <rFont val="Times New Roman"/>
        <charset val="134"/>
      </rPr>
      <t>3</t>
    </r>
    <r>
      <rPr>
        <b/>
        <sz val="10"/>
        <rFont val="宋体"/>
        <charset val="134"/>
      </rPr>
      <t>）前五名客户的销售收入</t>
    </r>
  </si>
  <si>
    <r>
      <rPr>
        <sz val="10"/>
        <color indexed="8"/>
        <rFont val="宋体"/>
        <charset val="134"/>
      </rPr>
      <t>客</t>
    </r>
    <r>
      <rPr>
        <sz val="10"/>
        <color indexed="8"/>
        <rFont val="Times New Roman"/>
        <charset val="134"/>
      </rPr>
      <t xml:space="preserve"> </t>
    </r>
    <r>
      <rPr>
        <sz val="10"/>
        <color indexed="8"/>
        <rFont val="宋体"/>
        <charset val="134"/>
      </rPr>
      <t>户</t>
    </r>
  </si>
  <si>
    <t>销售收入</t>
  </si>
  <si>
    <t>占销售总收入比例</t>
  </si>
  <si>
    <t>营业收入和成本—前5名</t>
  </si>
  <si>
    <t>营业收入和成本—前5名合计</t>
  </si>
  <si>
    <r>
      <rPr>
        <b/>
        <sz val="10"/>
        <color indexed="8"/>
        <rFont val="宋体"/>
        <charset val="134"/>
      </rPr>
      <t>（</t>
    </r>
    <r>
      <rPr>
        <b/>
        <sz val="10"/>
        <color indexed="8"/>
        <rFont val="Times New Roman"/>
        <charset val="134"/>
      </rPr>
      <t>4</t>
    </r>
    <r>
      <rPr>
        <b/>
        <sz val="10"/>
        <color indexed="8"/>
        <rFont val="宋体"/>
        <charset val="134"/>
      </rPr>
      <t>）建造合同当期预计损失的原因和金额</t>
    </r>
  </si>
  <si>
    <t>合同项目</t>
  </si>
  <si>
    <t>总金额</t>
  </si>
  <si>
    <t>累计已发生成本</t>
  </si>
  <si>
    <t>累计已确认毛利</t>
  </si>
  <si>
    <t>已办理结算的价款金额</t>
  </si>
  <si>
    <t>一、固定造价合同</t>
  </si>
  <si>
    <t>营业收入和成本—建造合同—固定造价合同</t>
  </si>
  <si>
    <t>营业收入和成本—建造合同—固定造价合同小计</t>
  </si>
  <si>
    <t>二、成本加成合同</t>
  </si>
  <si>
    <t>营业收入和成本—建造合同—成本加成合同</t>
  </si>
  <si>
    <t>营业收入和成本—建造合同—成本加成合同小计</t>
  </si>
  <si>
    <t>营业收入和成本—建造合同—合计</t>
  </si>
  <si>
    <t xml:space="preserve">    </t>
  </si>
  <si>
    <r>
      <rPr>
        <b/>
        <sz val="10"/>
        <rFont val="Times New Roman"/>
        <charset val="134"/>
      </rPr>
      <t>53</t>
    </r>
    <r>
      <rPr>
        <b/>
        <sz val="10"/>
        <rFont val="宋体"/>
        <charset val="134"/>
      </rPr>
      <t>．营业税金及附加</t>
    </r>
  </si>
  <si>
    <t>计缴标准</t>
  </si>
  <si>
    <t>营业税金及附加</t>
  </si>
  <si>
    <t>营业税金及附加合计</t>
  </si>
  <si>
    <r>
      <rPr>
        <b/>
        <sz val="10"/>
        <color indexed="8"/>
        <rFont val="Times New Roman"/>
        <charset val="134"/>
      </rPr>
      <t>54</t>
    </r>
    <r>
      <rPr>
        <b/>
        <sz val="10"/>
        <color indexed="8"/>
        <rFont val="宋体"/>
        <charset val="134"/>
      </rPr>
      <t>．财务费用</t>
    </r>
  </si>
  <si>
    <t>利息支出</t>
  </si>
  <si>
    <t>财务费用—利息支出</t>
  </si>
  <si>
    <t>利息收入(以负数表示)</t>
  </si>
  <si>
    <r>
      <rPr>
        <sz val="8"/>
        <rFont val="宋体"/>
        <charset val="134"/>
      </rPr>
      <t>财务费用—利息收入</t>
    </r>
    <r>
      <rPr>
        <sz val="8"/>
        <rFont val="Times New Roman"/>
        <charset val="134"/>
      </rPr>
      <t>(</t>
    </r>
    <r>
      <rPr>
        <sz val="8"/>
        <rFont val="宋体"/>
        <charset val="134"/>
      </rPr>
      <t>以负数表示</t>
    </r>
    <r>
      <rPr>
        <sz val="8"/>
        <rFont val="Times New Roman"/>
        <charset val="134"/>
      </rPr>
      <t>)</t>
    </r>
  </si>
  <si>
    <t>汇兑损益(收益以负数表示)</t>
  </si>
  <si>
    <r>
      <rPr>
        <sz val="8"/>
        <rFont val="宋体"/>
        <charset val="134"/>
      </rPr>
      <t>财务费用—汇兑损益</t>
    </r>
    <r>
      <rPr>
        <sz val="8"/>
        <rFont val="Times New Roman"/>
        <charset val="134"/>
      </rPr>
      <t>(</t>
    </r>
    <r>
      <rPr>
        <sz val="8"/>
        <rFont val="宋体"/>
        <charset val="134"/>
      </rPr>
      <t>收益以负数表示</t>
    </r>
    <r>
      <rPr>
        <sz val="8"/>
        <rFont val="Times New Roman"/>
        <charset val="134"/>
      </rPr>
      <t>)</t>
    </r>
  </si>
  <si>
    <t>财务费用—其他</t>
  </si>
  <si>
    <r>
      <rPr>
        <sz val="8"/>
        <rFont val="宋体"/>
        <charset val="134"/>
      </rPr>
      <t>财务费用—合</t>
    </r>
    <r>
      <rPr>
        <sz val="8"/>
        <rFont val="Times New Roman"/>
        <charset val="134"/>
      </rPr>
      <t xml:space="preserve"> </t>
    </r>
    <r>
      <rPr>
        <sz val="8"/>
        <rFont val="宋体"/>
        <charset val="134"/>
      </rPr>
      <t>计</t>
    </r>
  </si>
  <si>
    <r>
      <rPr>
        <b/>
        <sz val="10"/>
        <color indexed="8"/>
        <rFont val="Times New Roman"/>
        <charset val="134"/>
      </rPr>
      <t>55</t>
    </r>
    <r>
      <rPr>
        <b/>
        <sz val="10"/>
        <color indexed="8"/>
        <rFont val="宋体"/>
        <charset val="134"/>
      </rPr>
      <t>．资产减值损失</t>
    </r>
  </si>
  <si>
    <t>一、坏账损失</t>
  </si>
  <si>
    <t>资产减值损失—一、坏账损失</t>
  </si>
  <si>
    <t>二、存货跌价损失</t>
  </si>
  <si>
    <t>资产减值损失—二、存货跌价损失</t>
  </si>
  <si>
    <t>三、可供出售金融资产减值损失</t>
  </si>
  <si>
    <t>资产减值损失—三、可供出售金融资产减值损失</t>
  </si>
  <si>
    <t>四、持有至到期投资减值损失</t>
  </si>
  <si>
    <t>资产减值损失—四、持有至到期投资减值损失</t>
  </si>
  <si>
    <t>五、长期股权投资减值损失</t>
  </si>
  <si>
    <t>资产减值损失—五、长期股权投资减值损失</t>
  </si>
  <si>
    <t>六、投资性房地产减值损失</t>
  </si>
  <si>
    <t>资产减值损失—六、投资性房地产减值损失</t>
  </si>
  <si>
    <t>七、固定资产减值损失</t>
  </si>
  <si>
    <t>资产减值损失—七、固定资产减值损失</t>
  </si>
  <si>
    <t>八、工程物资减值损失</t>
  </si>
  <si>
    <t>资产减值损失—八、工程物资减值损失</t>
  </si>
  <si>
    <t>九、在建工程减值损失</t>
  </si>
  <si>
    <t>资产减值损失—九、在建工程减值损失</t>
  </si>
  <si>
    <t>十、生产性生物资产减值损失</t>
  </si>
  <si>
    <t>资产减值损失—十、生产性生物资产减值损失</t>
  </si>
  <si>
    <t>十一、油气资产减值损失</t>
  </si>
  <si>
    <t>资产减值损失—十一、油气资产减值损失</t>
  </si>
  <si>
    <t>十二、无形资产减值损失</t>
  </si>
  <si>
    <t>资产减值损失—十二、无形资产减值损失</t>
  </si>
  <si>
    <t>十三、商誉减值损失</t>
  </si>
  <si>
    <t>资产减值损失—十三、商誉减值损失</t>
  </si>
  <si>
    <t>资产减值损失—十四、其他</t>
  </si>
  <si>
    <t>资产减值损失—合 计</t>
  </si>
  <si>
    <r>
      <rPr>
        <b/>
        <sz val="10"/>
        <color indexed="8"/>
        <rFont val="Times New Roman"/>
        <charset val="134"/>
      </rPr>
      <t>56</t>
    </r>
    <r>
      <rPr>
        <b/>
        <sz val="10"/>
        <color indexed="8"/>
        <rFont val="宋体"/>
        <charset val="134"/>
      </rPr>
      <t>．公允价值变动收益</t>
    </r>
  </si>
  <si>
    <t>产生公允价值变动收益的来源</t>
  </si>
  <si>
    <t>公允价值变动收益</t>
  </si>
  <si>
    <t>公允价值变动收益合计</t>
  </si>
  <si>
    <r>
      <rPr>
        <b/>
        <sz val="10"/>
        <color indexed="8"/>
        <rFont val="Times New Roman"/>
        <charset val="134"/>
      </rPr>
      <t>57</t>
    </r>
    <r>
      <rPr>
        <b/>
        <sz val="10"/>
        <color indexed="8"/>
        <rFont val="宋体"/>
        <charset val="134"/>
      </rPr>
      <t>．投资收益</t>
    </r>
  </si>
  <si>
    <r>
      <rPr>
        <b/>
        <sz val="10"/>
        <color indexed="8"/>
        <rFont val="宋体"/>
        <charset val="134"/>
      </rPr>
      <t>（</t>
    </r>
    <r>
      <rPr>
        <b/>
        <sz val="10"/>
        <color indexed="8"/>
        <rFont val="Times New Roman"/>
        <charset val="134"/>
      </rPr>
      <t>1</t>
    </r>
    <r>
      <rPr>
        <b/>
        <sz val="10"/>
        <color indexed="8"/>
        <rFont val="宋体"/>
        <charset val="134"/>
      </rPr>
      <t>）投资收益</t>
    </r>
  </si>
  <si>
    <t>产生投资收益的来源</t>
  </si>
  <si>
    <t>投资收益—明细</t>
  </si>
  <si>
    <t>投资收益—明细合计</t>
  </si>
  <si>
    <r>
      <rPr>
        <b/>
        <sz val="10"/>
        <rFont val="宋体"/>
        <charset val="134"/>
      </rPr>
      <t>（</t>
    </r>
    <r>
      <rPr>
        <b/>
        <sz val="10"/>
        <rFont val="Times New Roman"/>
        <charset val="134"/>
      </rPr>
      <t>2</t>
    </r>
    <r>
      <rPr>
        <b/>
        <sz val="10"/>
        <rFont val="宋体"/>
        <charset val="134"/>
      </rPr>
      <t>）投资收益汇回的重大限制</t>
    </r>
  </si>
  <si>
    <t>限制的原因</t>
  </si>
  <si>
    <t>投资收益—汇回的重大限制</t>
  </si>
  <si>
    <r>
      <rPr>
        <b/>
        <sz val="10"/>
        <color indexed="8"/>
        <rFont val="Times New Roman"/>
        <charset val="134"/>
      </rPr>
      <t>58</t>
    </r>
    <r>
      <rPr>
        <b/>
        <sz val="10"/>
        <color indexed="8"/>
        <rFont val="宋体"/>
        <charset val="134"/>
      </rPr>
      <t>．营业外收入</t>
    </r>
  </si>
  <si>
    <t>营业外收入</t>
  </si>
  <si>
    <t>营业外收入合计</t>
  </si>
  <si>
    <r>
      <rPr>
        <b/>
        <sz val="10"/>
        <color indexed="8"/>
        <rFont val="Times New Roman"/>
        <charset val="134"/>
      </rPr>
      <t>59</t>
    </r>
    <r>
      <rPr>
        <sz val="10"/>
        <color indexed="8"/>
        <rFont val="宋体"/>
        <charset val="134"/>
      </rPr>
      <t>．营业外支出</t>
    </r>
  </si>
  <si>
    <t>营业外支出</t>
  </si>
  <si>
    <t>营业外支出合计</t>
  </si>
  <si>
    <r>
      <rPr>
        <b/>
        <sz val="10"/>
        <color indexed="8"/>
        <rFont val="Times New Roman"/>
        <charset val="134"/>
      </rPr>
      <t>60</t>
    </r>
    <r>
      <rPr>
        <b/>
        <sz val="10"/>
        <color indexed="8"/>
        <rFont val="宋体"/>
        <charset val="134"/>
      </rPr>
      <t>．所得税费用</t>
    </r>
  </si>
  <si>
    <t>当期所得税</t>
  </si>
  <si>
    <t>所得税费用—当期所得税</t>
  </si>
  <si>
    <t>递延所得税</t>
  </si>
  <si>
    <t>所得税费用—递延所得税</t>
  </si>
  <si>
    <r>
      <rPr>
        <sz val="8"/>
        <rFont val="宋体"/>
        <charset val="134"/>
      </rPr>
      <t>所得税费用—合</t>
    </r>
    <r>
      <rPr>
        <sz val="8"/>
        <rFont val="Times New Roman"/>
        <charset val="134"/>
      </rPr>
      <t xml:space="preserve"> </t>
    </r>
    <r>
      <rPr>
        <sz val="8"/>
        <rFont val="宋体"/>
        <charset val="134"/>
      </rPr>
      <t>计</t>
    </r>
  </si>
  <si>
    <r>
      <rPr>
        <b/>
        <sz val="10"/>
        <color indexed="8"/>
        <rFont val="Times New Roman"/>
        <charset val="134"/>
      </rPr>
      <t>61</t>
    </r>
    <r>
      <rPr>
        <b/>
        <sz val="10"/>
        <color indexed="8"/>
        <rFont val="宋体"/>
        <charset val="134"/>
      </rPr>
      <t>．政府补助情况</t>
    </r>
  </si>
  <si>
    <t>政府补助情况</t>
  </si>
  <si>
    <t>政府补助情况合计</t>
  </si>
  <si>
    <r>
      <rPr>
        <b/>
        <sz val="10"/>
        <rFont val="Times New Roman"/>
        <charset val="134"/>
      </rPr>
      <t>62</t>
    </r>
    <r>
      <rPr>
        <b/>
        <sz val="10"/>
        <rFont val="宋体"/>
        <charset val="134"/>
      </rPr>
      <t>．现金流量表附注资料</t>
    </r>
  </si>
  <si>
    <t>现金流量表附表—净利润调节—净利润</t>
  </si>
  <si>
    <t>现金流量表附表—净利润调节—计提的资产减值准备</t>
  </si>
  <si>
    <t>现金流量表附表—净利润调节—固定资产折旧</t>
  </si>
  <si>
    <t>现金流量表附表—净利润调节—无形资产摊销</t>
  </si>
  <si>
    <t>现金流量表附表—净利润调节—长期待摊费用摊销</t>
  </si>
  <si>
    <t>现金流量表附表—净利润调节—处置长期资产的损失</t>
  </si>
  <si>
    <t>现金流量表附表—净利润调节—固定资产报废损失</t>
  </si>
  <si>
    <t>现金流量表附表—净利润调节—公允价值变动损失</t>
  </si>
  <si>
    <t>现金流量表附表—净利润调节—财务费用</t>
  </si>
  <si>
    <t>现金流量表附表—净利润调节—投资损失</t>
  </si>
  <si>
    <t>现金流量表附表—净利润调节—递延所得税资产减少</t>
  </si>
  <si>
    <t>现金流量表附表—净利润调节—递延所得税负债增加</t>
  </si>
  <si>
    <t>现金流量表附表—净利润调节—存货的减少</t>
  </si>
  <si>
    <t>现金流量表附表—净利润调节—经营性应收项目的减少</t>
  </si>
  <si>
    <t>现金流量表附表—净利润调节—经营性应付项目的增加</t>
  </si>
  <si>
    <t>现金流量表附表—净利润调节—其他</t>
  </si>
  <si>
    <t>现金流量表附表—净利润调节—经营活动产生的现金流量净额</t>
  </si>
  <si>
    <t>现金流量表附表—不涉及现金收支重大投资筹资活动—债务转为资本</t>
  </si>
  <si>
    <t>现金流量表附表—不涉及现金收支重大投资筹资活动—一年内到期的可转换公司债券</t>
  </si>
  <si>
    <t>现金流量表附表—不涉及现金收支重大投资筹资活动—融资租入固定资产</t>
  </si>
  <si>
    <t>现金流量表附表—现金净变动—现金的期末余额</t>
  </si>
  <si>
    <t>现金流量表附表—现金净变动—现金的期初余额</t>
  </si>
  <si>
    <t>现金流量表附表—现金净变动—现金等价物的期末余额</t>
  </si>
  <si>
    <t>现金流量表附表—现金净变动—现金等价物的期初余额</t>
  </si>
  <si>
    <t>现金流量表附表—现金净变动节—现金及现金等价物净增加额</t>
  </si>
  <si>
    <r>
      <rPr>
        <b/>
        <sz val="10"/>
        <rFont val="Times New Roman"/>
        <charset val="134"/>
      </rPr>
      <t>63</t>
    </r>
    <r>
      <rPr>
        <b/>
        <sz val="10"/>
        <rFont val="宋体"/>
        <charset val="134"/>
      </rPr>
      <t>．关联方交易</t>
    </r>
  </si>
  <si>
    <r>
      <rPr>
        <b/>
        <sz val="10"/>
        <rFont val="宋体"/>
        <charset val="134"/>
      </rPr>
      <t>（</t>
    </r>
    <r>
      <rPr>
        <b/>
        <sz val="10"/>
        <rFont val="Times New Roman"/>
        <charset val="134"/>
      </rPr>
      <t>1</t>
    </r>
    <r>
      <rPr>
        <b/>
        <sz val="10"/>
        <rFont val="宋体"/>
        <charset val="134"/>
      </rPr>
      <t>）本公司销售给关联方的货物</t>
    </r>
  </si>
  <si>
    <t>企业名称</t>
  </si>
  <si>
    <t>本期交易金额</t>
  </si>
  <si>
    <t>交易金额相应比例</t>
  </si>
  <si>
    <t>上期交易金额</t>
  </si>
  <si>
    <t>关联方交易—本公司销售</t>
  </si>
  <si>
    <t>关联方交易—本公司销售合计</t>
  </si>
  <si>
    <r>
      <rPr>
        <b/>
        <sz val="10"/>
        <rFont val="宋体"/>
        <charset val="134"/>
      </rPr>
      <t>（</t>
    </r>
    <r>
      <rPr>
        <b/>
        <sz val="10"/>
        <rFont val="Times New Roman"/>
        <charset val="134"/>
      </rPr>
      <t>2</t>
    </r>
    <r>
      <rPr>
        <b/>
        <sz val="10"/>
        <rFont val="宋体"/>
        <charset val="134"/>
      </rPr>
      <t>）关联方销售给本公司的货物和劳务、收取的费用</t>
    </r>
  </si>
  <si>
    <t>关联方交易—关联方销售给本公司</t>
  </si>
  <si>
    <t>关联方交易—关联方销售给本公司合计</t>
  </si>
  <si>
    <r>
      <rPr>
        <b/>
        <sz val="10"/>
        <rFont val="宋体"/>
        <charset val="134"/>
      </rPr>
      <t>（</t>
    </r>
    <r>
      <rPr>
        <b/>
        <sz val="10"/>
        <rFont val="Times New Roman"/>
        <charset val="134"/>
      </rPr>
      <t>3</t>
    </r>
    <r>
      <rPr>
        <b/>
        <sz val="10"/>
        <rFont val="宋体"/>
        <charset val="134"/>
      </rPr>
      <t>）关联方应收应付款项余额</t>
    </r>
  </si>
  <si>
    <t>科目名称</t>
  </si>
  <si>
    <t>款项余额性质</t>
  </si>
  <si>
    <t>占全部余额比重</t>
  </si>
  <si>
    <t>关联方交易—关联方应收应付款项</t>
  </si>
  <si>
    <t>关联方交易—关联方应收应付款项合计</t>
  </si>
  <si>
    <t>未审附注及报表核对—资产类</t>
  </si>
  <si>
    <t>单位：元</t>
  </si>
  <si>
    <t>未审报表数</t>
  </si>
  <si>
    <t>未审附注数</t>
  </si>
  <si>
    <t>差异</t>
  </si>
  <si>
    <t>交易性金融资产</t>
  </si>
  <si>
    <t>未审附注及报表核对—负债及权益类</t>
  </si>
  <si>
    <t>交易性金融负债</t>
  </si>
  <si>
    <t>未审附注及报表核对—利润类</t>
  </si>
  <si>
    <r>
      <rPr>
        <sz val="10"/>
        <rFont val="Times New Roman"/>
        <charset val="134"/>
      </rPr>
      <t xml:space="preserve">   </t>
    </r>
    <r>
      <rPr>
        <sz val="10"/>
        <rFont val="宋体"/>
        <charset val="134"/>
      </rPr>
      <t>单位：元</t>
    </r>
  </si>
  <si>
    <t>Y</t>
  </si>
  <si>
    <t>N</t>
  </si>
  <si>
    <t>库存股</t>
  </si>
  <si>
    <t>营业收入</t>
  </si>
  <si>
    <t>营业成本</t>
  </si>
  <si>
    <t>销售费用</t>
  </si>
  <si>
    <t>管理费用</t>
  </si>
  <si>
    <t>财务费用</t>
  </si>
  <si>
    <t>资产减值损失</t>
  </si>
  <si>
    <t>投资收益</t>
  </si>
  <si>
    <t>汇兑收益</t>
  </si>
  <si>
    <t>所得税费用</t>
  </si>
  <si>
    <t>年初未分配利润</t>
  </si>
  <si>
    <t>利润分配</t>
  </si>
  <si>
    <t>其他收益</t>
  </si>
  <si>
    <t>资产处置收益</t>
  </si>
  <si>
    <t>上年资产处置收益</t>
  </si>
  <si>
    <t>上年年初未分配利润</t>
  </si>
  <si>
    <t>上年利润分配</t>
  </si>
  <si>
    <t>事项</t>
  </si>
  <si>
    <t>说明</t>
  </si>
  <si>
    <t>借方</t>
  </si>
  <si>
    <t>贷方</t>
  </si>
  <si>
    <t>借贷不平</t>
  </si>
  <si>
    <t>调整分录不平</t>
  </si>
  <si>
    <t>有数无科目</t>
  </si>
  <si>
    <t>调整上年科目</t>
  </si>
  <si>
    <t>上期净利润增减</t>
  </si>
  <si>
    <t>本期净利润增减</t>
  </si>
  <si>
    <t>被审计单位：</t>
  </si>
  <si>
    <r>
      <rPr>
        <sz val="10"/>
        <rFont val="宋体"/>
        <charset val="134"/>
      </rPr>
      <t>签</t>
    </r>
    <r>
      <rPr>
        <sz val="10"/>
        <rFont val="Times New Roman"/>
        <charset val="134"/>
      </rPr>
      <t xml:space="preserve">  </t>
    </r>
    <r>
      <rPr>
        <sz val="10"/>
        <rFont val="宋体"/>
        <charset val="134"/>
      </rPr>
      <t>名</t>
    </r>
  </si>
  <si>
    <r>
      <rPr>
        <sz val="10"/>
        <rFont val="宋体"/>
        <charset val="134"/>
      </rPr>
      <t>日</t>
    </r>
    <r>
      <rPr>
        <sz val="10"/>
        <rFont val="Times New Roman"/>
        <charset val="134"/>
      </rPr>
      <t xml:space="preserve">  </t>
    </r>
    <r>
      <rPr>
        <sz val="10"/>
        <rFont val="宋体"/>
        <charset val="134"/>
      </rPr>
      <t>期</t>
    </r>
  </si>
  <si>
    <r>
      <rPr>
        <sz val="10"/>
        <rFont val="宋体"/>
        <charset val="134"/>
      </rPr>
      <t>项</t>
    </r>
    <r>
      <rPr>
        <sz val="10"/>
        <rFont val="Times New Roman"/>
        <charset val="134"/>
      </rPr>
      <t xml:space="preserve">    </t>
    </r>
    <r>
      <rPr>
        <sz val="10"/>
        <rFont val="宋体"/>
        <charset val="134"/>
      </rPr>
      <t>目：</t>
    </r>
  </si>
  <si>
    <t>资产负债表及利润表调整分录汇总表</t>
  </si>
  <si>
    <r>
      <rPr>
        <sz val="10"/>
        <rFont val="宋体"/>
        <charset val="134"/>
      </rPr>
      <t>编</t>
    </r>
    <r>
      <rPr>
        <sz val="10"/>
        <rFont val="Times New Roman"/>
        <charset val="134"/>
      </rPr>
      <t xml:space="preserve"> </t>
    </r>
    <r>
      <rPr>
        <sz val="10"/>
        <rFont val="宋体"/>
        <charset val="134"/>
      </rPr>
      <t>制</t>
    </r>
    <r>
      <rPr>
        <sz val="10"/>
        <rFont val="Times New Roman"/>
        <charset val="134"/>
      </rPr>
      <t>:</t>
    </r>
  </si>
  <si>
    <t>会计期间：</t>
  </si>
  <si>
    <r>
      <rPr>
        <sz val="10"/>
        <rFont val="宋体"/>
        <charset val="134"/>
      </rPr>
      <t>复</t>
    </r>
    <r>
      <rPr>
        <sz val="10"/>
        <rFont val="Times New Roman"/>
        <charset val="134"/>
      </rPr>
      <t xml:space="preserve"> </t>
    </r>
    <r>
      <rPr>
        <sz val="10"/>
        <rFont val="宋体"/>
        <charset val="134"/>
      </rPr>
      <t>核</t>
    </r>
    <r>
      <rPr>
        <sz val="10"/>
        <rFont val="Times New Roman"/>
        <charset val="134"/>
      </rPr>
      <t>:</t>
    </r>
  </si>
  <si>
    <t>库存商品 - 玉米灯</t>
  </si>
  <si>
    <t>人民币</t>
  </si>
  <si>
    <t>审计调整事项及其会计分录</t>
  </si>
  <si>
    <t>索引号</t>
  </si>
  <si>
    <t>调整金额</t>
  </si>
  <si>
    <t>同意调整</t>
  </si>
  <si>
    <t>未确认融资费用 - 宁夏大武口项目 - 一年以上</t>
  </si>
  <si>
    <t>报表项目</t>
  </si>
  <si>
    <t>科目或子目</t>
  </si>
  <si>
    <r>
      <rPr>
        <sz val="10"/>
        <rFont val="宋体"/>
        <charset val="134"/>
      </rPr>
      <t>贷方</t>
    </r>
    <r>
      <rPr>
        <sz val="10"/>
        <rFont val="Times New Roman"/>
        <charset val="134"/>
      </rPr>
      <t xml:space="preserve"> </t>
    </r>
  </si>
  <si>
    <t>长期应付款 - 深圳新阳蓝光能源科技股份有限公司</t>
  </si>
  <si>
    <t>调整金额合计</t>
  </si>
  <si>
    <t>(Y\N)</t>
  </si>
  <si>
    <t>一年内到期非流动负债 - 宁夏大武口项目</t>
  </si>
  <si>
    <t>折现率变动，调整大武口长期应付</t>
  </si>
  <si>
    <t>未确认融资费用-1年以上</t>
  </si>
  <si>
    <t>企业改原本账上的数字</t>
  </si>
  <si>
    <t>2016-12-1#</t>
  </si>
  <si>
    <t>注：以上为编辑区。如果不够用，请在本行之前插入行。请不要在本行及之后输入数据，否则系统将不能汇总。</t>
  </si>
  <si>
    <t>计提的资产减值准备</t>
  </si>
  <si>
    <t>固定资产折旧</t>
  </si>
  <si>
    <t>无形资产摊销</t>
  </si>
  <si>
    <t>长期待摊费用摊销</t>
  </si>
  <si>
    <t>处置固定资产、无形资产和其他长期资产的损失</t>
  </si>
  <si>
    <t>固定资产报废损失</t>
  </si>
  <si>
    <t>公允价值变动损失</t>
  </si>
  <si>
    <t>投资损失</t>
  </si>
  <si>
    <t>递延所得税资产减少</t>
  </si>
  <si>
    <t>递延所得税负债增加</t>
  </si>
  <si>
    <t>存货的减少</t>
  </si>
  <si>
    <t>经营性应收项目的减少</t>
  </si>
  <si>
    <t>经营性应付项目的增加</t>
  </si>
  <si>
    <t>现金流量表调整分录汇总表</t>
  </si>
  <si>
    <t>收现增加/付现减少/附表发生额增加</t>
  </si>
  <si>
    <t>付现增加/收现减少/附表发生额减少</t>
  </si>
  <si>
    <t>年末余额</t>
  </si>
  <si>
    <t>年初余额</t>
  </si>
  <si>
    <t>（一）</t>
  </si>
  <si>
    <t>（三十）</t>
  </si>
  <si>
    <t>（二）</t>
  </si>
  <si>
    <t>（三十一）</t>
  </si>
  <si>
    <t>(三)</t>
  </si>
  <si>
    <t>（三十二）</t>
  </si>
  <si>
    <t>(六)</t>
  </si>
  <si>
    <t>（三十三）</t>
  </si>
  <si>
    <t>（七）</t>
  </si>
  <si>
    <t>（三十四）</t>
  </si>
  <si>
    <t>（五）</t>
  </si>
  <si>
    <t>(三十五)</t>
  </si>
  <si>
    <t>(四)</t>
  </si>
  <si>
    <t>（三十六）</t>
  </si>
  <si>
    <t>（八）</t>
  </si>
  <si>
    <t>（三十七）</t>
  </si>
  <si>
    <t>（九）</t>
  </si>
  <si>
    <t>（三十八）</t>
  </si>
  <si>
    <t>（六十七）</t>
  </si>
  <si>
    <t>（三十九）</t>
  </si>
  <si>
    <t>（十）</t>
  </si>
  <si>
    <t>（四十一）</t>
  </si>
  <si>
    <t>（六十五）</t>
  </si>
  <si>
    <t>（四十二）</t>
  </si>
  <si>
    <t>（六十六）</t>
  </si>
  <si>
    <t>（十一）</t>
  </si>
  <si>
    <t>（十二）</t>
  </si>
  <si>
    <t>（四十三）</t>
  </si>
  <si>
    <t>（十三）</t>
  </si>
  <si>
    <t>（四十四）</t>
  </si>
  <si>
    <t>（十五）</t>
  </si>
  <si>
    <t>（四十五）</t>
  </si>
  <si>
    <t>（十六）</t>
  </si>
  <si>
    <t>（四十六）</t>
  </si>
  <si>
    <t>（十七）</t>
  </si>
  <si>
    <t>（四十）</t>
  </si>
  <si>
    <t>（十八）</t>
  </si>
  <si>
    <t>（二十七）</t>
  </si>
  <si>
    <t>（十九）</t>
  </si>
  <si>
    <t>（四十七）</t>
  </si>
  <si>
    <t>（二十）</t>
  </si>
  <si>
    <t>（二十一）</t>
  </si>
  <si>
    <t>（二十二）</t>
  </si>
  <si>
    <t>（二十三）</t>
  </si>
  <si>
    <t>（二十五）</t>
  </si>
  <si>
    <t>（二十四）</t>
  </si>
  <si>
    <t>（四十八）</t>
  </si>
  <si>
    <t>（五十一）</t>
  </si>
  <si>
    <t>（二十六）</t>
  </si>
  <si>
    <t>（四十九）</t>
  </si>
  <si>
    <t>（五十二）</t>
  </si>
  <si>
    <t>（五十三）</t>
  </si>
  <si>
    <t>（六十四）</t>
  </si>
  <si>
    <r>
      <rPr>
        <sz val="10"/>
        <rFont val="宋体"/>
        <charset val="134"/>
      </rPr>
      <t>会企</t>
    </r>
    <r>
      <rPr>
        <sz val="10"/>
        <rFont val="Times New Roman"/>
        <charset val="134"/>
      </rPr>
      <t>02</t>
    </r>
    <r>
      <rPr>
        <sz val="10"/>
        <rFont val="宋体"/>
        <charset val="134"/>
      </rPr>
      <t>表</t>
    </r>
  </si>
  <si>
    <t xml:space="preserve">    资产处置收益</t>
  </si>
  <si>
    <t>（六十八）</t>
  </si>
  <si>
    <t>（六十九）</t>
  </si>
  <si>
    <t>注：为核对经营活动产生的现金流量净额是否正确，系统生成以下表格，空白部分手工填列（下表不打印）</t>
  </si>
  <si>
    <t xml:space="preserve">     审定附注之非流动资产</t>
  </si>
  <si>
    <t xml:space="preserve">     审定附注之负债及权益</t>
  </si>
  <si>
    <t>审定附注及报表核对—资产类</t>
  </si>
  <si>
    <t>审定报表数</t>
  </si>
  <si>
    <t>审定附注数</t>
  </si>
  <si>
    <t>审定附注及报表核对—负债及权益类</t>
  </si>
  <si>
    <t>审定附注及报表核对—利润类</t>
  </si>
  <si>
    <t>资产表：</t>
  </si>
  <si>
    <t>编制人：</t>
  </si>
  <si>
    <t xml:space="preserve">   索引号：</t>
  </si>
  <si>
    <t>复核人：</t>
  </si>
  <si>
    <t>期末未审数</t>
  </si>
  <si>
    <t>审计调整或重分类金额</t>
  </si>
  <si>
    <t>期末审定数</t>
  </si>
  <si>
    <t>客户报出
会计报表数</t>
  </si>
  <si>
    <t>客户未调整数</t>
  </si>
  <si>
    <t>未调整数占审定数比率</t>
  </si>
  <si>
    <t>借  方</t>
  </si>
  <si>
    <t>贷  方</t>
  </si>
  <si>
    <t>负债和所有者权益表：</t>
  </si>
  <si>
    <t>利润表：</t>
  </si>
  <si>
    <t>本期未审数</t>
  </si>
  <si>
    <t>本期审定数</t>
  </si>
  <si>
    <t>（此表不能改动公式，如有问题，请电3506021）</t>
  </si>
  <si>
    <t>核对</t>
  </si>
  <si>
    <t>（一）货币资金-批露表</t>
  </si>
  <si>
    <t>期末账面余额（原币）</t>
  </si>
  <si>
    <t>美元</t>
  </si>
  <si>
    <t>港币</t>
  </si>
  <si>
    <t>欧元</t>
  </si>
  <si>
    <t>日元</t>
  </si>
  <si>
    <t xml:space="preserve">     港币</t>
  </si>
  <si>
    <t>英镑</t>
  </si>
  <si>
    <t>俄罗斯卢布</t>
  </si>
  <si>
    <t>期末账面余额（折合人民币）</t>
  </si>
  <si>
    <t>期初账面余额（原币）</t>
  </si>
  <si>
    <t>期初账面余额（折合人民币）</t>
  </si>
  <si>
    <t>（二）交易性金融资产-披露表</t>
  </si>
  <si>
    <t>期初公允价值</t>
  </si>
  <si>
    <t>1.交易性债券投资</t>
  </si>
  <si>
    <t>2.交易性权益工具投资</t>
  </si>
  <si>
    <t>3.指定为以公允价值计量且其变动计入当期损益的金融资产</t>
  </si>
  <si>
    <t>4.衍生金融资产</t>
  </si>
  <si>
    <t>5.套期工具</t>
  </si>
  <si>
    <t>6.其他</t>
  </si>
  <si>
    <t>合    计</t>
  </si>
  <si>
    <t>（三）应收票据-披露表</t>
  </si>
  <si>
    <t>期初账面余额</t>
  </si>
  <si>
    <t>合计</t>
  </si>
  <si>
    <t>（四）应收股利-披露表（单独合并）</t>
  </si>
  <si>
    <r>
      <rPr>
        <b/>
        <sz val="9"/>
        <color rgb="FFFF0000"/>
        <rFont val="宋体"/>
        <charset val="134"/>
      </rPr>
      <t>（四）应收股利</t>
    </r>
    <r>
      <rPr>
        <b/>
        <sz val="9"/>
        <color rgb="FFFF0000"/>
        <rFont val="Arial Narrow"/>
        <charset val="134"/>
      </rPr>
      <t>-</t>
    </r>
    <r>
      <rPr>
        <b/>
        <sz val="9"/>
        <color rgb="FFFF0000"/>
        <rFont val="宋体"/>
        <charset val="134"/>
      </rPr>
      <t>披露表（单独合并）</t>
    </r>
  </si>
  <si>
    <t>（五）应收利息-披露表（单独合并）</t>
  </si>
  <si>
    <t>（六）应收账款-披露表</t>
  </si>
  <si>
    <t>1年以内（含1年）</t>
  </si>
  <si>
    <t>1-2年（含2年）</t>
  </si>
  <si>
    <t>2-3年（含3年）</t>
  </si>
  <si>
    <t>3-4年（含4年）</t>
  </si>
  <si>
    <t>4-5年（含5年）</t>
  </si>
  <si>
    <t>5年以上</t>
  </si>
  <si>
    <t>期初坏账准备</t>
  </si>
  <si>
    <t>期初账面净额</t>
  </si>
  <si>
    <t>期末坏账准备</t>
  </si>
  <si>
    <t>期末账面净额</t>
  </si>
  <si>
    <t>单项金额重大并单项计提坏账准备的的应收账款</t>
  </si>
  <si>
    <t>按组合（账龄分析法）计提坏账准备的应收账款</t>
  </si>
  <si>
    <t>单项金额虽不重大但单项计提坏账准备的应收账款</t>
  </si>
  <si>
    <t>（2）-3按组合（账龄分析法）计提坏账准备的应收账款</t>
  </si>
  <si>
    <t>（七）预付款项-披露表</t>
  </si>
  <si>
    <t>1年以内(含1年)</t>
  </si>
  <si>
    <t>1-2年(含2年)</t>
  </si>
  <si>
    <t>2-3年(含3年)</t>
  </si>
  <si>
    <t xml:space="preserve">3年以上 </t>
  </si>
  <si>
    <t>（八）其他应收款-披露表</t>
  </si>
  <si>
    <t>（九）存货-披露表</t>
  </si>
  <si>
    <t>自制半成品</t>
  </si>
  <si>
    <t>低值易耗品</t>
  </si>
  <si>
    <t>委托代销商品</t>
  </si>
  <si>
    <t>增加项目1-</t>
  </si>
  <si>
    <t>增加项目2-</t>
  </si>
  <si>
    <t>增加项目3-</t>
  </si>
  <si>
    <t>增加项目4-</t>
  </si>
  <si>
    <t>增加项目5-</t>
  </si>
  <si>
    <t>增加项目6-</t>
  </si>
  <si>
    <t>增加项目7-</t>
  </si>
  <si>
    <t>增加项目8-</t>
  </si>
  <si>
    <t>期初存货跌价准备</t>
  </si>
  <si>
    <t>期未账面余额</t>
  </si>
  <si>
    <t>期未存货跌价准备</t>
  </si>
  <si>
    <t>补充表-期初账面余额</t>
  </si>
  <si>
    <t>补充表-本期增加</t>
  </si>
  <si>
    <t>补充表-本期减少</t>
  </si>
  <si>
    <t>存货跌价准备-期初账面余额</t>
  </si>
  <si>
    <r>
      <rPr>
        <b/>
        <sz val="9"/>
        <rFont val="宋体"/>
        <charset val="134"/>
      </rPr>
      <t>存货跌价准备</t>
    </r>
    <r>
      <rPr>
        <b/>
        <sz val="9"/>
        <rFont val="Arial Narrow"/>
        <charset val="134"/>
      </rPr>
      <t>-</t>
    </r>
    <r>
      <rPr>
        <b/>
        <sz val="9"/>
        <rFont val="宋体"/>
        <charset val="134"/>
      </rPr>
      <t>期初账面余额</t>
    </r>
  </si>
  <si>
    <t>存货跌价准备--本期计提</t>
  </si>
  <si>
    <r>
      <rPr>
        <b/>
        <sz val="9"/>
        <rFont val="宋体"/>
        <charset val="134"/>
      </rPr>
      <t>存货跌价准备</t>
    </r>
    <r>
      <rPr>
        <b/>
        <sz val="9"/>
        <rFont val="Arial Narrow"/>
        <charset val="134"/>
      </rPr>
      <t>--</t>
    </r>
    <r>
      <rPr>
        <b/>
        <sz val="9"/>
        <rFont val="宋体"/>
        <charset val="134"/>
      </rPr>
      <t>本期计提</t>
    </r>
  </si>
  <si>
    <t>存货跌价准备--本期减少--转回</t>
  </si>
  <si>
    <r>
      <rPr>
        <b/>
        <sz val="9"/>
        <rFont val="宋体"/>
        <charset val="134"/>
      </rPr>
      <t>存货跌价准备</t>
    </r>
    <r>
      <rPr>
        <b/>
        <sz val="9"/>
        <rFont val="Arial Narrow"/>
        <charset val="134"/>
      </rPr>
      <t>--</t>
    </r>
    <r>
      <rPr>
        <b/>
        <sz val="9"/>
        <rFont val="宋体"/>
        <charset val="134"/>
      </rPr>
      <t>本期减少</t>
    </r>
    <r>
      <rPr>
        <b/>
        <sz val="9"/>
        <rFont val="Arial Narrow"/>
        <charset val="134"/>
      </rPr>
      <t>--</t>
    </r>
    <r>
      <rPr>
        <b/>
        <sz val="9"/>
        <rFont val="宋体"/>
        <charset val="134"/>
      </rPr>
      <t>转回</t>
    </r>
  </si>
  <si>
    <t>存货跌价准备--本期减少--转销</t>
  </si>
  <si>
    <r>
      <rPr>
        <b/>
        <sz val="9"/>
        <rFont val="宋体"/>
        <charset val="134"/>
      </rPr>
      <t>存货跌价准备</t>
    </r>
    <r>
      <rPr>
        <b/>
        <sz val="9"/>
        <rFont val="Arial Narrow"/>
        <charset val="134"/>
      </rPr>
      <t>--</t>
    </r>
    <r>
      <rPr>
        <b/>
        <sz val="9"/>
        <rFont val="宋体"/>
        <charset val="134"/>
      </rPr>
      <t>本期减少</t>
    </r>
    <r>
      <rPr>
        <b/>
        <sz val="9"/>
        <rFont val="Arial Narrow"/>
        <charset val="134"/>
      </rPr>
      <t>--</t>
    </r>
    <r>
      <rPr>
        <b/>
        <sz val="9"/>
        <rFont val="宋体"/>
        <charset val="134"/>
      </rPr>
      <t>转销</t>
    </r>
  </si>
  <si>
    <t>（十）其他流动资产-披露表（单独合并）</t>
  </si>
  <si>
    <t>（十一）可供出售金融资产-披露表</t>
  </si>
  <si>
    <t>可供出售债权投资</t>
  </si>
  <si>
    <t>(十二)持有至到期投资-披露表（单独合并）</t>
  </si>
  <si>
    <t>（十三）长期应收款-披露表</t>
  </si>
  <si>
    <t>（十四）对合营企业及联营企业投资-披露表（单独合并）</t>
  </si>
  <si>
    <t>（十五）长期股权投资-披露表（单独合并）</t>
  </si>
  <si>
    <t>(十六)投资性房地产-披露表</t>
  </si>
  <si>
    <t>（1）成本法计量的投资性房地产</t>
  </si>
  <si>
    <t>1．房屋、建筑物</t>
  </si>
  <si>
    <t>2．土地使用权</t>
  </si>
  <si>
    <t>二、累计折旧或累计摊销合计</t>
  </si>
  <si>
    <t>三、投资性房地产减值准备合计</t>
  </si>
  <si>
    <t>（2）公允价值计量的投资性房地产</t>
  </si>
  <si>
    <t>期初公充价值</t>
  </si>
  <si>
    <t>1.成本合计</t>
  </si>
  <si>
    <t>（1）房屋、建筑物</t>
  </si>
  <si>
    <t>（2）土地使用权</t>
  </si>
  <si>
    <t>（3）其他</t>
  </si>
  <si>
    <t>2.公允价值变动合计</t>
  </si>
  <si>
    <t>3.投资性房地产账面价值合计</t>
  </si>
  <si>
    <t>本期增加-购置</t>
  </si>
  <si>
    <t>本期增加-自用房地产或存货转入</t>
  </si>
  <si>
    <t>本期增加-公允价值变动损益</t>
  </si>
  <si>
    <t>本期减少-处置</t>
  </si>
  <si>
    <t>本期减少-转为自用房地产</t>
  </si>
  <si>
    <t>(十七)固定资产-披露表</t>
  </si>
  <si>
    <t xml:space="preserve">    其中：房屋、建筑物</t>
  </si>
  <si>
    <t>机器设备</t>
  </si>
  <si>
    <t>运输工具</t>
  </si>
  <si>
    <t>电子设备</t>
  </si>
  <si>
    <t>三、固定资产减值准备合计</t>
  </si>
  <si>
    <t>二、累计折旧合计-本期计提</t>
  </si>
  <si>
    <t>期未余额</t>
  </si>
  <si>
    <t>（2）闲置固定资产情况</t>
  </si>
  <si>
    <t>固定资产原价</t>
  </si>
  <si>
    <t>（3）融资租赁租入的固定资产情况</t>
  </si>
  <si>
    <t>（4）经营租赁租出的固定资产情况</t>
  </si>
  <si>
    <t>（5）期末持有待售的固定资产情况</t>
  </si>
  <si>
    <t>账面价值</t>
  </si>
  <si>
    <t>公充价值</t>
  </si>
  <si>
    <t>预计处置费用</t>
  </si>
  <si>
    <t>（十八）在建工程-披露表（单独合并）</t>
  </si>
  <si>
    <t>（十九）工程物资-披露表（单独合并）</t>
  </si>
  <si>
    <t>(二十)固定资产清理-批露（单独合并）</t>
  </si>
  <si>
    <t>（二十一）生产性生物资产及公益性生物资产-批露表</t>
  </si>
  <si>
    <t xml:space="preserve">一、原价合计 </t>
  </si>
  <si>
    <t>其中：种植业</t>
  </si>
  <si>
    <t>……  水产业</t>
  </si>
  <si>
    <t>三、减值准备累计金额合计</t>
  </si>
  <si>
    <t>(二十二)油气资产-批露表</t>
  </si>
  <si>
    <t>1．探明矿区权益</t>
  </si>
  <si>
    <t>2．未探明矿区权益</t>
  </si>
  <si>
    <t>3．井及相关设施</t>
  </si>
  <si>
    <t>2．井及相关设施</t>
  </si>
  <si>
    <t>(二十三)无形资产-披露表</t>
  </si>
  <si>
    <t>1．软件</t>
  </si>
  <si>
    <t>2．专利权</t>
  </si>
  <si>
    <t>3．商标权</t>
  </si>
  <si>
    <t>4．东芝专利使用许可权</t>
  </si>
  <si>
    <t>项目5--</t>
  </si>
  <si>
    <t>项目6--</t>
  </si>
  <si>
    <t>项目7--</t>
  </si>
  <si>
    <t>项目8--</t>
  </si>
  <si>
    <t>项目9--</t>
  </si>
  <si>
    <t>项目10--</t>
  </si>
  <si>
    <t>项目11--</t>
  </si>
  <si>
    <t>项目12--</t>
  </si>
  <si>
    <t>项目13--</t>
  </si>
  <si>
    <t>项目14--</t>
  </si>
  <si>
    <t>（2）公司内部研究开发项目支出</t>
  </si>
  <si>
    <t>研究支出</t>
  </si>
  <si>
    <t>本期减少-计入当期损益</t>
  </si>
  <si>
    <t>本期减少-确认为无形资产</t>
  </si>
  <si>
    <t>(二十四)长期待摊费用-披露表（单独合并）</t>
  </si>
  <si>
    <t>（二十五）商誉-披露表（单独合并）</t>
  </si>
  <si>
    <t>(二十六)其他期资产-批露表（单独合并）</t>
  </si>
  <si>
    <t>(二十七)递延所得税资产-披露表</t>
  </si>
  <si>
    <t>资产减值准备：</t>
  </si>
  <si>
    <t xml:space="preserve">      其中：坏账准备</t>
  </si>
  <si>
    <t xml:space="preserve">           存货减值</t>
  </si>
  <si>
    <t xml:space="preserve">           在建工程减值</t>
  </si>
  <si>
    <t xml:space="preserve">           长期股权投资减值</t>
  </si>
  <si>
    <t xml:space="preserve">           固定资产减值</t>
  </si>
  <si>
    <t xml:space="preserve">            无形资产减值</t>
  </si>
  <si>
    <t xml:space="preserve">            商誉减值</t>
  </si>
  <si>
    <t xml:space="preserve">            减值-新增项目1……</t>
  </si>
  <si>
    <t xml:space="preserve">            减值-新增项目2……</t>
  </si>
  <si>
    <t>开办费</t>
  </si>
  <si>
    <t>可抵扣亏损</t>
  </si>
  <si>
    <t>新增项目1……</t>
  </si>
  <si>
    <t>新增项目2……</t>
  </si>
  <si>
    <t>交易性金融工具、衍生金融工具的估值</t>
  </si>
  <si>
    <t>计入资本公积的可供出售金融资产公允价值变动</t>
  </si>
  <si>
    <t>新增项目3……</t>
  </si>
  <si>
    <t>新增项目4……</t>
  </si>
  <si>
    <t>新增项目5……</t>
  </si>
  <si>
    <t>新增项目6……</t>
  </si>
  <si>
    <t>新增项目7……</t>
  </si>
  <si>
    <t>新增项目8……</t>
  </si>
  <si>
    <t>新增项目9……</t>
  </si>
  <si>
    <t>新增项目10……</t>
  </si>
  <si>
    <t>对应的暂时性差异金额-期末</t>
  </si>
  <si>
    <t>对应的暂时性差异金额-期初</t>
  </si>
  <si>
    <t>（2）未确认递延所得税资产明细</t>
  </si>
  <si>
    <t>可抵扣暂时性差异</t>
  </si>
  <si>
    <t>（3）未确认递延所得税资产的可抵扣亏损将于以下年度到期</t>
  </si>
  <si>
    <t>（二）递延所得税资产和递延所得税负债以抵销后的净额列示</t>
  </si>
  <si>
    <t>（1）互抵后的递延所得税资产及负债的组成项目</t>
  </si>
  <si>
    <t>报告期末互抵后的递延所得税资产或负债</t>
  </si>
  <si>
    <t>报告期末互抵后的可抵扣或应纳税暂时性差异</t>
  </si>
  <si>
    <t>报告期初互抵后的递延所得税资产或负债</t>
  </si>
  <si>
    <t>报告期初互抵后的可抵扣或应纳税暂时性差异</t>
  </si>
  <si>
    <t>（二十八）资产减值准备-批露表</t>
  </si>
  <si>
    <t>存货跌价准备</t>
  </si>
  <si>
    <t>可供出售金融资产减值准备</t>
  </si>
  <si>
    <t>持有至到期投资减值准备</t>
  </si>
  <si>
    <t>长期股权投资减值准备</t>
  </si>
  <si>
    <t>投资性房地产减值准备</t>
  </si>
  <si>
    <t>固定资产减值准备</t>
  </si>
  <si>
    <t>工程物资减值准备</t>
  </si>
  <si>
    <t>在建工程减值准备</t>
  </si>
  <si>
    <t>生产性生物资产减值准备</t>
  </si>
  <si>
    <t>油气资产减值准备</t>
  </si>
  <si>
    <t>无形资产减值准备</t>
  </si>
  <si>
    <t>商誉减值准备</t>
  </si>
  <si>
    <t>本期计提</t>
  </si>
  <si>
    <t>本期减少-转回</t>
  </si>
  <si>
    <t>本期减少-转销</t>
  </si>
  <si>
    <t>（二十九）所有权受到限制的资产-批露表（单独合并）</t>
  </si>
  <si>
    <t>（三十）短期借款-披露表</t>
  </si>
  <si>
    <t>合   计</t>
  </si>
  <si>
    <t>（三十一）交易性金融负债-披露表</t>
  </si>
  <si>
    <t>（三十二）应付票据-披露表</t>
  </si>
  <si>
    <t>信用证</t>
  </si>
  <si>
    <t>远期支票</t>
  </si>
  <si>
    <t>（三十三）应付账款-披露表</t>
  </si>
  <si>
    <t>（三十四）预收款项-披露表</t>
  </si>
  <si>
    <t>（三十五）应付职工薪酬-披露表</t>
  </si>
  <si>
    <t xml:space="preserve"> 其中：1．医疗保险费</t>
  </si>
  <si>
    <t>2．基本养老保险费</t>
  </si>
  <si>
    <t>3．年金缴费</t>
  </si>
  <si>
    <t>4．失业保险费</t>
  </si>
  <si>
    <t>5．工伤保险费</t>
  </si>
  <si>
    <t>6．生育保险费</t>
  </si>
  <si>
    <t>五、工会经费</t>
  </si>
  <si>
    <t>六、职工教育经费</t>
  </si>
  <si>
    <t>七、非货币性福利</t>
  </si>
  <si>
    <t>八、因解除劳动关系给予的补偿（内退支出）</t>
  </si>
  <si>
    <t>九、其他</t>
  </si>
  <si>
    <t xml:space="preserve"> 其中：以现金结算的股份支付</t>
  </si>
  <si>
    <t>本期支付</t>
  </si>
  <si>
    <t>（三十六）应交税费-披露表</t>
  </si>
  <si>
    <t>1.企业所得税</t>
  </si>
  <si>
    <t>2.增值税</t>
  </si>
  <si>
    <t>3.营业税</t>
  </si>
  <si>
    <t>4．消费税</t>
  </si>
  <si>
    <t>5．资源税</t>
  </si>
  <si>
    <t>6．土地增值税</t>
  </si>
  <si>
    <t>7．土地使用税</t>
  </si>
  <si>
    <t>8．房产税</t>
  </si>
  <si>
    <t>9．车船使用税</t>
  </si>
  <si>
    <t>10．城市维护建设税</t>
  </si>
  <si>
    <t>11．教育附加</t>
  </si>
  <si>
    <t>12．矿产资源补偿费</t>
  </si>
  <si>
    <t>13．代扣代缴个人所得税</t>
  </si>
  <si>
    <t>14．印花税</t>
  </si>
  <si>
    <t>15．防洪保安费（堤围费）</t>
  </si>
  <si>
    <t>16．电力监管费</t>
  </si>
  <si>
    <t>17．水资源费</t>
  </si>
  <si>
    <t>18．库区维护费</t>
  </si>
  <si>
    <t>19．其他1-代扣代缴企业所得税</t>
  </si>
  <si>
    <t>20．其他2-</t>
  </si>
  <si>
    <t>21．其他3-</t>
  </si>
  <si>
    <t>22．其他4-</t>
  </si>
  <si>
    <t>23．其他5-</t>
  </si>
  <si>
    <t>24．其他6-</t>
  </si>
  <si>
    <t>本期应交数</t>
  </si>
  <si>
    <t>本期已交数</t>
  </si>
  <si>
    <t>（三十七） 应付利息-批露表</t>
  </si>
  <si>
    <t>分期付息到期还本的长期借款利息</t>
  </si>
  <si>
    <t>企业债券利息</t>
  </si>
  <si>
    <t>短期借款应付利息</t>
  </si>
  <si>
    <t>（三十八）应付股利-披露表（单独合并）</t>
  </si>
  <si>
    <t>（三十九）其他应付款-披露表</t>
  </si>
  <si>
    <t>（四十）预计负债-批露表</t>
  </si>
  <si>
    <t>对外提供担保</t>
  </si>
  <si>
    <t>未决诉讼</t>
  </si>
  <si>
    <t>产品质量保证</t>
  </si>
  <si>
    <t>重组义务</t>
  </si>
  <si>
    <t>辞退福利</t>
  </si>
  <si>
    <t>待执行的亏损合同</t>
  </si>
  <si>
    <t>（四十一）一年内到期的非流动负债-批露表</t>
  </si>
  <si>
    <t>（1）按类别列示如下：</t>
  </si>
  <si>
    <t>一年内到期的长期借款</t>
  </si>
  <si>
    <t>一年内到期的应付债券</t>
  </si>
  <si>
    <t>一年内到期的长期应付款</t>
  </si>
  <si>
    <t>一年内到期内的预计负债</t>
  </si>
  <si>
    <t>（2）一年内到期的长期借款</t>
  </si>
  <si>
    <t>（四十二）其他流动负债-批露表（单独合并）</t>
  </si>
  <si>
    <t>（四十三）长期借款-披露表</t>
  </si>
  <si>
    <t>（四十四）应付债券-披露表（单独合并）</t>
  </si>
  <si>
    <r>
      <rPr>
        <b/>
        <sz val="9"/>
        <color rgb="FFFF0000"/>
        <rFont val="宋体"/>
        <charset val="134"/>
      </rPr>
      <t>（四十四）应付债券</t>
    </r>
    <r>
      <rPr>
        <b/>
        <sz val="9"/>
        <color rgb="FFFF0000"/>
        <rFont val="Arial Narrow"/>
        <charset val="134"/>
      </rPr>
      <t>-</t>
    </r>
    <r>
      <rPr>
        <b/>
        <sz val="9"/>
        <color rgb="FFFF0000"/>
        <rFont val="宋体"/>
        <charset val="134"/>
      </rPr>
      <t>披露表（单独合并）</t>
    </r>
  </si>
  <si>
    <t>（四十五）长期应付款-披露表（单独合并）</t>
  </si>
  <si>
    <r>
      <rPr>
        <b/>
        <sz val="9"/>
        <color rgb="FFFF0000"/>
        <rFont val="宋体"/>
        <charset val="134"/>
      </rPr>
      <t>（四十五）长期应付款</t>
    </r>
    <r>
      <rPr>
        <b/>
        <sz val="9"/>
        <color rgb="FFFF0000"/>
        <rFont val="Arial Narrow"/>
        <charset val="134"/>
      </rPr>
      <t>-</t>
    </r>
    <r>
      <rPr>
        <b/>
        <sz val="9"/>
        <color rgb="FFFF0000"/>
        <rFont val="宋体"/>
        <charset val="134"/>
      </rPr>
      <t>披露表（单独合并）</t>
    </r>
  </si>
  <si>
    <t>（四十六）专项应付款-披露表（单独合并）</t>
  </si>
  <si>
    <r>
      <rPr>
        <b/>
        <sz val="9"/>
        <color rgb="FFFF0000"/>
        <rFont val="宋体"/>
        <charset val="134"/>
      </rPr>
      <t>（四十六）专项应付款</t>
    </r>
    <r>
      <rPr>
        <b/>
        <sz val="9"/>
        <color rgb="FFFF0000"/>
        <rFont val="Arial Narrow"/>
        <charset val="134"/>
      </rPr>
      <t>-</t>
    </r>
    <r>
      <rPr>
        <b/>
        <sz val="9"/>
        <color rgb="FFFF0000"/>
        <rFont val="宋体"/>
        <charset val="134"/>
      </rPr>
      <t>披露表（单独合并）</t>
    </r>
  </si>
  <si>
    <t>（四十七）其他非流动负债-批露表（单独合并）</t>
  </si>
  <si>
    <t>（四十八）实收资本(股本)-披露表（单独合并）</t>
  </si>
  <si>
    <r>
      <rPr>
        <b/>
        <sz val="9"/>
        <color rgb="FFFF0000"/>
        <rFont val="宋体"/>
        <charset val="134"/>
      </rPr>
      <t>（四十八）实收资本</t>
    </r>
    <r>
      <rPr>
        <b/>
        <sz val="9"/>
        <color rgb="FFFF0000"/>
        <rFont val="Arial Narrow"/>
        <charset val="134"/>
      </rPr>
      <t>(</t>
    </r>
    <r>
      <rPr>
        <b/>
        <sz val="9"/>
        <color rgb="FFFF0000"/>
        <rFont val="宋体"/>
        <charset val="134"/>
      </rPr>
      <t>股本</t>
    </r>
    <r>
      <rPr>
        <b/>
        <sz val="9"/>
        <color rgb="FFFF0000"/>
        <rFont val="Arial Narrow"/>
        <charset val="134"/>
      </rPr>
      <t>)-</t>
    </r>
    <r>
      <rPr>
        <b/>
        <sz val="9"/>
        <color rgb="FFFF0000"/>
        <rFont val="宋体"/>
        <charset val="134"/>
      </rPr>
      <t>披露表（单独合并）</t>
    </r>
  </si>
  <si>
    <t>(四十九)库存股相关的如下信息：（单独合并）</t>
  </si>
  <si>
    <t>（五十）专项储备-批露表（单独合并）</t>
  </si>
  <si>
    <t>（五十一）资本公积-披露表</t>
  </si>
  <si>
    <t>1、股本溢价</t>
  </si>
  <si>
    <t>2、其他资本公积</t>
  </si>
  <si>
    <t>(五十二)盈余公积-披露表</t>
  </si>
  <si>
    <t>法定盈余公积</t>
  </si>
  <si>
    <t>任意盈余公积</t>
  </si>
  <si>
    <t>（五十三）未分配利润-披露表（单独合并）</t>
  </si>
  <si>
    <t>（五十四）营业收入-披露表</t>
  </si>
  <si>
    <t>收入-本期实际数</t>
  </si>
  <si>
    <t>主营业务收入</t>
  </si>
  <si>
    <t>其他业务收入</t>
  </si>
  <si>
    <t>收入-上期实际数</t>
  </si>
  <si>
    <t>成本-本期实际数</t>
  </si>
  <si>
    <t>成本-上期实际数</t>
  </si>
  <si>
    <t>（2）主营业务收入情况</t>
  </si>
  <si>
    <t>主营业务收入-本期实际数</t>
  </si>
  <si>
    <t>类别1--打印机耗材</t>
  </si>
  <si>
    <t>类别2--</t>
  </si>
  <si>
    <t>类别3--</t>
  </si>
  <si>
    <t>类别4--</t>
  </si>
  <si>
    <t>类别5--</t>
  </si>
  <si>
    <t>类别6--</t>
  </si>
  <si>
    <t>类别7--</t>
  </si>
  <si>
    <t>类别8--</t>
  </si>
  <si>
    <t>类别9--</t>
  </si>
  <si>
    <t>类别10--</t>
  </si>
  <si>
    <t>类别11--</t>
  </si>
  <si>
    <t>类别12--</t>
  </si>
  <si>
    <t>类别13--</t>
  </si>
  <si>
    <t>类别14--</t>
  </si>
  <si>
    <t>主营业务收入-上期实际数</t>
  </si>
  <si>
    <t>主营业务成本-本期实际数</t>
  </si>
  <si>
    <t>主营业务成本-上期实际数</t>
  </si>
  <si>
    <t>(3)分产品</t>
  </si>
  <si>
    <t>产品名称1--</t>
  </si>
  <si>
    <t>产品名称2--</t>
  </si>
  <si>
    <t>产品名称3--</t>
  </si>
  <si>
    <t>产品名称4--</t>
  </si>
  <si>
    <t>产品名称5--</t>
  </si>
  <si>
    <t>产品名称6--</t>
  </si>
  <si>
    <t>产品名称7--</t>
  </si>
  <si>
    <t>产品名称8--</t>
  </si>
  <si>
    <t>产品名称9--</t>
  </si>
  <si>
    <t>产品名称10--</t>
  </si>
  <si>
    <t>产品名称11--</t>
  </si>
  <si>
    <t>产品名称12--</t>
  </si>
  <si>
    <t>产品名称13--</t>
  </si>
  <si>
    <t>(4)按地区划分</t>
  </si>
  <si>
    <t>地区1--</t>
  </si>
  <si>
    <t>地区2--</t>
  </si>
  <si>
    <t>地区3--</t>
  </si>
  <si>
    <t>地区4--</t>
  </si>
  <si>
    <t>地区5--</t>
  </si>
  <si>
    <t>地区6--</t>
  </si>
  <si>
    <t>地区7--</t>
  </si>
  <si>
    <t>地区8--</t>
  </si>
  <si>
    <t>地区9--</t>
  </si>
  <si>
    <t>地区10--</t>
  </si>
  <si>
    <t>地区11--</t>
  </si>
  <si>
    <t>地区12--</t>
  </si>
  <si>
    <t>地区13--</t>
  </si>
  <si>
    <t>（五十五） 合同项目收入-批露表（单独合并）</t>
  </si>
  <si>
    <t>(五十六)营业税金及附加-披露表</t>
  </si>
  <si>
    <t>本期实际数</t>
  </si>
  <si>
    <t>城市维护建设税</t>
  </si>
  <si>
    <t>教育费附加</t>
  </si>
  <si>
    <t>地方费附加</t>
  </si>
  <si>
    <t>上期实际数</t>
  </si>
  <si>
    <t>（五十七）公允价值变动损益-披露表（单独合并）</t>
  </si>
  <si>
    <t>（五十八）投资收益-披露表</t>
  </si>
  <si>
    <t>成本法核算的长期股权投资收益</t>
  </si>
  <si>
    <t>权益法核算的长期股权投资收益</t>
  </si>
  <si>
    <t>处置长期股权投资产生的投资收益</t>
  </si>
  <si>
    <t>持有交易性金融资产期间取得的投资收益</t>
  </si>
  <si>
    <t>持有至到期投资期间取得的投资收益</t>
  </si>
  <si>
    <t>持有可供出售金融资产等期间取得的投资收益</t>
  </si>
  <si>
    <t>处置交易性金融资产取得的投资收益</t>
  </si>
  <si>
    <t>持有至到期投资取得的投资收益</t>
  </si>
  <si>
    <t>可供出售金融资产等取得的投资收益</t>
  </si>
  <si>
    <t>增加项目1--</t>
  </si>
  <si>
    <t>增加项目2--</t>
  </si>
  <si>
    <t>合       计</t>
  </si>
  <si>
    <t>(五十九)资产减值损失-披露表</t>
  </si>
  <si>
    <t>1．坏账损失</t>
  </si>
  <si>
    <t>2．存货跌价损失</t>
  </si>
  <si>
    <t>3．可供出售金融资产减值损失</t>
  </si>
  <si>
    <t>4．持有至到期投资减值损失</t>
  </si>
  <si>
    <t>5．长期股权投资减值损失</t>
  </si>
  <si>
    <t>6．投资性房地产减值损失</t>
  </si>
  <si>
    <t>7．固定资产减值损失</t>
  </si>
  <si>
    <t>8．工程物资减值损失</t>
  </si>
  <si>
    <t>9．在建工程减值损失</t>
  </si>
  <si>
    <t>10．生产性生物资产减值损失</t>
  </si>
  <si>
    <t>11．油气资产减值损失</t>
  </si>
  <si>
    <t>12．无形资产减值损失</t>
  </si>
  <si>
    <t>13．商誉减值损失</t>
  </si>
  <si>
    <t>14．其他</t>
  </si>
  <si>
    <t>（六十）财务费用-批露表</t>
  </si>
  <si>
    <t>利息收入</t>
  </si>
  <si>
    <t>手续费</t>
  </si>
  <si>
    <t>汇兑损益</t>
  </si>
  <si>
    <t xml:space="preserve">   其 中：货币资金引起汇兑损益</t>
  </si>
  <si>
    <t xml:space="preserve">                      应收账款引起汇兑损益</t>
  </si>
  <si>
    <t xml:space="preserve">                      其他应收账款引起汇兑损益</t>
  </si>
  <si>
    <t xml:space="preserve">                       应付账款引起汇兑损益</t>
  </si>
  <si>
    <t xml:space="preserve">                      其他应付款引起汇兑损益</t>
  </si>
  <si>
    <t xml:space="preserve">                      其他科目1--</t>
  </si>
  <si>
    <t xml:space="preserve">                      其他科目2--</t>
  </si>
  <si>
    <t>（六十一）营业外收入-披露表</t>
  </si>
  <si>
    <t>1．处置非流动资产利得小计</t>
  </si>
  <si>
    <t>其中：处置固定资产利得</t>
  </si>
  <si>
    <t xml:space="preserve">      处置无形资产利得</t>
  </si>
  <si>
    <t>2．非货币性资产交换利得</t>
  </si>
  <si>
    <t>3．债务重组利得</t>
  </si>
  <si>
    <t>4．政府补助</t>
  </si>
  <si>
    <t>5．盘盈利得</t>
  </si>
  <si>
    <t>6．捐赠利得</t>
  </si>
  <si>
    <t>7．罚款收入</t>
  </si>
  <si>
    <t>8．其他</t>
  </si>
  <si>
    <t>本期-计入当期非经常性损益的金额</t>
  </si>
  <si>
    <t>上期-计入当期非经常性损益的金额</t>
  </si>
  <si>
    <t>（六十二）营业外支出-披露表</t>
  </si>
  <si>
    <t>１．处置非流动资损失合计</t>
  </si>
  <si>
    <t xml:space="preserve">  其中：处置固定资产损失</t>
  </si>
  <si>
    <t xml:space="preserve">          处置无形资产损失</t>
  </si>
  <si>
    <t>２．非贷币性资产交换损失</t>
  </si>
  <si>
    <t>３．债务重组损失</t>
  </si>
  <si>
    <t>４．公益性捐赠支出</t>
  </si>
  <si>
    <t>５．非常损失</t>
  </si>
  <si>
    <t>６．盘亏损失</t>
  </si>
  <si>
    <t>７．罚款支出</t>
  </si>
  <si>
    <t>８．其他</t>
  </si>
  <si>
    <t>（六十三）所得税费用-披露表</t>
  </si>
  <si>
    <t>其中：当期所得税</t>
  </si>
  <si>
    <t xml:space="preserve">      递延所得税</t>
  </si>
  <si>
    <t>（六十四）基本每股收益和稀释每股收益的计算过程：（单独合并）</t>
  </si>
  <si>
    <t>（六十五）其他综合收益-批露表</t>
  </si>
  <si>
    <t xml:space="preserve"> 本期金额</t>
  </si>
  <si>
    <t>1．可供出售金融资产产生的利得（损失）金额</t>
  </si>
  <si>
    <t xml:space="preserve">   减：可供出售金融资产产生的所得税影响</t>
  </si>
  <si>
    <t xml:space="preserve">       前期计入其他综合收益当期转入损益的净额</t>
  </si>
  <si>
    <t>小  计</t>
  </si>
  <si>
    <t>2．按照权益法核算的在被投资单位其他综合收益中所享有的份额</t>
  </si>
  <si>
    <t xml:space="preserve">   减：按照权益法核算的在被投资单位其他综合收益中所享有的份额产生的所得税影响</t>
  </si>
  <si>
    <t>3．现金流量套期工具产生的利得（或损失）金额</t>
  </si>
  <si>
    <t xml:space="preserve">   减：现金流量套期工具产生的所得税影响</t>
  </si>
  <si>
    <t>转为被套期项目初始确认金额的调整额</t>
  </si>
  <si>
    <t>4．外币报表折算差额</t>
  </si>
  <si>
    <t xml:space="preserve">   减：处置境外经营当期转入损益的净额</t>
  </si>
  <si>
    <t>5．其他</t>
  </si>
  <si>
    <t xml:space="preserve">   减：与其他计入其他综合收益相关的所得税影响</t>
  </si>
  <si>
    <t xml:space="preserve">       前期其他计入其他综合收益当期转入损益的净额</t>
  </si>
  <si>
    <t xml:space="preserve"> 上期金额</t>
  </si>
  <si>
    <t>（66-87单独合并）</t>
  </si>
  <si>
    <t>补充-管理费用-批露表</t>
  </si>
  <si>
    <t>披露项目</t>
  </si>
  <si>
    <t>补充-营业费用-批露表</t>
  </si>
  <si>
    <t>本期往来款-大额往来款明细：</t>
  </si>
  <si>
    <t>上期数</t>
  </si>
  <si>
    <t>（2）本期政府补助情况</t>
  </si>
  <si>
    <t>房屋、建筑物</t>
  </si>
  <si>
    <t>非经常性损益</t>
  </si>
  <si>
    <t>本期数</t>
  </si>
  <si>
    <t>所得税调整</t>
  </si>
  <si>
    <t/>
  </si>
  <si>
    <t>金额单位：人民币元</t>
  </si>
  <si>
    <r>
      <rPr>
        <sz val="12"/>
        <rFont val="宋体"/>
        <charset val="134"/>
      </rPr>
      <t>会企</t>
    </r>
    <r>
      <rPr>
        <sz val="12"/>
        <rFont val="Times New Roman"/>
        <charset val="134"/>
      </rPr>
      <t>02</t>
    </r>
    <r>
      <rPr>
        <sz val="12"/>
        <rFont val="宋体"/>
        <charset val="134"/>
      </rPr>
      <t>表</t>
    </r>
  </si>
  <si>
    <t>上期金额</t>
  </si>
  <si>
    <t>会企03表</t>
  </si>
  <si>
    <t>会企04表-1</t>
  </si>
  <si>
    <t>实收资本(或股本)</t>
  </si>
  <si>
    <t>会企04表-2</t>
  </si>
  <si>
    <t>上年金额</t>
  </si>
  <si>
    <t>期末金额</t>
  </si>
  <si>
    <t>期初金额</t>
  </si>
  <si>
    <t>期末结构比率%</t>
  </si>
  <si>
    <t>总体合理性分析</t>
  </si>
  <si>
    <t>报表和附注核对汇总表</t>
  </si>
  <si>
    <t>变动金额</t>
  </si>
  <si>
    <t>幅度%</t>
  </si>
  <si>
    <t>合理性分析</t>
  </si>
  <si>
    <t>4=1-2</t>
  </si>
  <si>
    <t>5=4/2</t>
  </si>
  <si>
    <t>期末</t>
  </si>
  <si>
    <t>期初或上期</t>
  </si>
  <si>
    <t>填写（十七）</t>
  </si>
  <si>
    <t>填写（二十三）</t>
  </si>
  <si>
    <t>（七十）</t>
  </si>
  <si>
    <r>
      <rPr>
        <sz val="10"/>
        <rFont val="Arial Narrow"/>
        <charset val="134"/>
      </rPr>
      <t xml:space="preserve"> </t>
    </r>
    <r>
      <rPr>
        <sz val="12"/>
        <rFont val="宋体"/>
        <charset val="134"/>
      </rPr>
      <t xml:space="preserve">   营业税金及附加</t>
    </r>
  </si>
  <si>
    <t>上年同期</t>
  </si>
  <si>
    <t>【返回】现流表勾稽</t>
  </si>
  <si>
    <t>Q1</t>
  </si>
  <si>
    <t>【返回】附注、报表核对</t>
  </si>
  <si>
    <t>单位名称</t>
  </si>
  <si>
    <t>现金流量项目</t>
  </si>
  <si>
    <t>主表核对：</t>
  </si>
  <si>
    <t>解释之间的勾稽</t>
  </si>
  <si>
    <t>解释说明</t>
  </si>
  <si>
    <t>现金流量表主表：</t>
  </si>
  <si>
    <t>附注：</t>
  </si>
  <si>
    <t>（三十一）应付职工薪酬-披露表：本期支付合计-非货币性福利</t>
  </si>
  <si>
    <t>（三十六）应交税费-披露表：代扣代缴个人所得税（期初-期未）</t>
  </si>
  <si>
    <t>差异原因：</t>
  </si>
  <si>
    <t>本期支付在建工程等长期资产专职人员对应的薪酬</t>
  </si>
  <si>
    <t>公司尚未经营，本期支付的职工薪酬均计入了购建固定资产支付的现金里</t>
  </si>
  <si>
    <t>本期新收购公司的期初数影响</t>
  </si>
  <si>
    <t>本期处置公司的期末应交个税余额数影响</t>
  </si>
  <si>
    <t xml:space="preserve">其他应付款中-代缴个人社保、住房公积金（初-末） </t>
  </si>
  <si>
    <t>调整江粉、江益等关联公司代付社保、住房公积金</t>
  </si>
  <si>
    <t>本期支付-非货币性福利</t>
  </si>
  <si>
    <t>其他(汇差问题)</t>
  </si>
  <si>
    <t>（三十六）应交税费-披露表：本期已交数合计-代扣代缴个人所得税</t>
  </si>
  <si>
    <t>本期支付进入固定资产、在建工程的税费</t>
  </si>
  <si>
    <t>差异为由于公司尚未经营，仍处于在建阶段，本期支付的税费计入了购建固定资产支付的现金里</t>
  </si>
  <si>
    <t>处置固定资产增值税</t>
  </si>
  <si>
    <t>其他非流动资产期初期末变化（期末预缴所得税）</t>
  </si>
  <si>
    <t>(十七)固定资产-披露表-原价合计：本期增加</t>
  </si>
  <si>
    <t>减：在建工程转入固定资产</t>
  </si>
  <si>
    <t>（十八）在建工程-披露表：本期增加-其中：本期利息资本化金额</t>
  </si>
  <si>
    <t>（十九）工程物资-披露表：本期增加</t>
  </si>
  <si>
    <t>(二十三)无形资产-披露表-原价合计：本期增加”</t>
  </si>
  <si>
    <t>预付账款中工程往来款期初期末金额变化</t>
  </si>
  <si>
    <t>预付账款中购买固定资产、无形资产往来款期初期末金额变化</t>
  </si>
  <si>
    <t>其他应收款中工程往来款期初期末金额变化</t>
  </si>
  <si>
    <t>其他应收款中购买固定资产、无形资产往来款期初期末金额变化</t>
  </si>
  <si>
    <t>应付账款中工程往来款期初期末金额变化</t>
  </si>
  <si>
    <t>应付账款中购买固定资产、无形资产往来款期初期末金额变化</t>
  </si>
  <si>
    <t>其他应付款中质保金往来款期初期末余额变化</t>
  </si>
  <si>
    <t>其他应付款中购买固定资产、无形资产往来款、工程款期初期末金额变化</t>
  </si>
  <si>
    <t>本期进入固定资产、在建工程增值税进项税</t>
  </si>
  <si>
    <t>购建固定资产领用本期购入存货（该存货本期购入本期支付款项）</t>
  </si>
  <si>
    <t>计入在建工程的折旧</t>
  </si>
  <si>
    <t>计入在建入工程的无形资产摊销</t>
  </si>
  <si>
    <t>计入在建入工程的长期待摊费用摊销</t>
  </si>
  <si>
    <t>委托贷款资本化利息未抵消影响</t>
  </si>
  <si>
    <t>本期在建工程转入无形资产的金额</t>
  </si>
  <si>
    <t>工程物资的变化</t>
  </si>
  <si>
    <t>本期在建工程转入无形资产+长期待摊费用</t>
  </si>
  <si>
    <t>附注+报表</t>
  </si>
  <si>
    <t>一年内到期的长期借款+短期借款+长期借款：期初-期末</t>
  </si>
  <si>
    <t>短融手续费（银行在扣手续费后以净额转入公司账户）</t>
  </si>
  <si>
    <t>本期新增公司短期借款期初余额</t>
  </si>
  <si>
    <t>本期处置公司短期借款期末余额</t>
  </si>
  <si>
    <t>财务费用-汇兑损益</t>
  </si>
  <si>
    <t>融资租赁款-长期应付款原值的减少</t>
  </si>
  <si>
    <t>其他流动资产待摊远期结汇</t>
  </si>
  <si>
    <t>附注+报表：</t>
  </si>
  <si>
    <t>应付利息：期初-期未</t>
  </si>
  <si>
    <t>应付股利：期初-期未</t>
  </si>
  <si>
    <t>当期利息资本化</t>
  </si>
  <si>
    <t>（六十）财务费用-批露表：利息支出</t>
  </si>
  <si>
    <t>（五十三）未分配利润-披露表：5、分配利润</t>
  </si>
  <si>
    <t>本期分配给少数股东的利润</t>
  </si>
  <si>
    <t>计在建工程的利息支出</t>
  </si>
  <si>
    <t>本期处置公司期末应付利息，本期新增公司期初应付利息</t>
  </si>
  <si>
    <t>融资租赁-未确认融资费用</t>
  </si>
  <si>
    <t>财务费用-利息支出中核算的票据贴息</t>
  </si>
  <si>
    <t>（六十）财务费用-批露表：本期实际数-其 中：货币资金引起汇兑损益</t>
  </si>
  <si>
    <t>附表核对：</t>
  </si>
  <si>
    <t>现金流量表附表：</t>
  </si>
  <si>
    <t>（二十五）资产减值准备-批露表-：本期计提合计-本期转回合计</t>
  </si>
  <si>
    <t xml:space="preserve">  固定资产折旧</t>
  </si>
  <si>
    <t>(十七)固定资产-披露表-二、累计折旧合计：本期计提（报表附注!J3815）</t>
  </si>
  <si>
    <t>(十六)投资性房地产-披露表-：二、累计折旧（1）计提或摊销-房屋、建筑物</t>
  </si>
  <si>
    <t xml:space="preserve"> 无形资产摊销</t>
  </si>
  <si>
    <t>(二十三)无形资产-披露表-二、累计摊销额合计：本期计提</t>
  </si>
  <si>
    <t>(十六)投资性房地产-披露表-：二、累计摊销（1）计提或摊销-土地使用权</t>
  </si>
  <si>
    <t>（二十四）长期待摊费用-批露表：本年摊销数</t>
  </si>
  <si>
    <t>期初期末长期待摊费用摊销转回至固定资产折旧差额：</t>
  </si>
  <si>
    <t>（六十一）营业外收入-披露表：1．处置非流动资产利得小计</t>
  </si>
  <si>
    <t>（六十二）营业外支出-披露表：１．处置非流动资损失合计</t>
  </si>
  <si>
    <t>处置长期资产未收到款项</t>
  </si>
  <si>
    <t>（五十七）公允价值变动损益-披露表：-本期实际数</t>
  </si>
  <si>
    <t xml:space="preserve"> 财务费用</t>
  </si>
  <si>
    <t>（五十四）财务费用-批露表-：利息支出+货币资金引起汇兑损益</t>
  </si>
  <si>
    <t>银行手续费-短融银行直接扣款</t>
  </si>
  <si>
    <t>银行手续费-委贷手续费、对公借款财务顾问费、融资费</t>
  </si>
  <si>
    <t>外币短期借款-汇总损益</t>
  </si>
  <si>
    <t>票据贴现-利息支出</t>
  </si>
  <si>
    <t>委托贷款利息收入</t>
  </si>
  <si>
    <t xml:space="preserve"> 投资损失</t>
  </si>
  <si>
    <t>报表：</t>
  </si>
  <si>
    <t>减：投资收益</t>
  </si>
  <si>
    <t>递延所得税资产：期初-期末余额</t>
  </si>
  <si>
    <t>本期处置子公司期末数影响</t>
  </si>
  <si>
    <t xml:space="preserve"> 递延所得税负债增加</t>
  </si>
  <si>
    <t>递延所得税负债：期末-期初余额</t>
  </si>
  <si>
    <t>存货：期初-期末余额</t>
  </si>
  <si>
    <t>在建工程领用存货（如本期购入本期领用不用考虑该因素）</t>
  </si>
  <si>
    <t>本期处置公司存货期末余额</t>
  </si>
  <si>
    <t xml:space="preserve">  经营性应收项目的减少</t>
  </si>
  <si>
    <t>期初-期末余额:应收票据</t>
  </si>
  <si>
    <t xml:space="preserve">             应收账款</t>
  </si>
  <si>
    <t xml:space="preserve">             预付款项</t>
  </si>
  <si>
    <t xml:space="preserve">             其他应收款</t>
  </si>
  <si>
    <t>其他应收款中筹资往来款期初期末金额变化（合并范围内）</t>
  </si>
  <si>
    <t>其他应收款中筹资往来款期初期末金额变化（合并范围外）</t>
  </si>
  <si>
    <t>其他应收款/预付款项中的项目前期费用变化</t>
  </si>
  <si>
    <t>应收账款-本期计提的坏账准备</t>
  </si>
  <si>
    <t>其他应收款-本期计提的坏账准备</t>
  </si>
  <si>
    <t>所得税重分类至其他流动资产</t>
  </si>
  <si>
    <t>待抵扣进项税重分类至其他流动资产</t>
  </si>
  <si>
    <t>货币资金中受限资产的变动</t>
  </si>
  <si>
    <t>预付款项中支付的西南证券费用：支付其他与筹资活动有关的</t>
  </si>
  <si>
    <t>应收利息-经营性</t>
  </si>
  <si>
    <t>其他应收款-股权转让款（扣除）</t>
  </si>
  <si>
    <t xml:space="preserve"> 经营性应付项目的增加</t>
  </si>
  <si>
    <t>期末-期初余额:应付票据</t>
  </si>
  <si>
    <t xml:space="preserve">             应付账款</t>
  </si>
  <si>
    <t xml:space="preserve">             预收款项</t>
  </si>
  <si>
    <t xml:space="preserve">             应付职工薪酬</t>
  </si>
  <si>
    <t xml:space="preserve">             应交税费</t>
  </si>
  <si>
    <t xml:space="preserve">             其他应付款</t>
  </si>
  <si>
    <t>进入长期资产的进项税</t>
  </si>
  <si>
    <t>其他应付款中购买固定资产、无形资产往来款期初期末金额变化</t>
  </si>
  <si>
    <t>其他应付款中-前期费支出</t>
  </si>
  <si>
    <t>其他应付款中筹资往来款期初期末金额变化（合并范围内）</t>
  </si>
  <si>
    <t>其他应付款中筹资往来款期初期末金额变化（合并范围外）</t>
  </si>
  <si>
    <t>处置固定资产支付的销项税</t>
  </si>
  <si>
    <t>本期处置子公司的期末数影响</t>
  </si>
  <si>
    <t>差异原因：（请列明细）</t>
  </si>
  <si>
    <t>核对事项：</t>
  </si>
  <si>
    <t>复核结果</t>
  </si>
  <si>
    <t>差异说明</t>
  </si>
  <si>
    <r>
      <rPr>
        <b/>
        <sz val="9"/>
        <rFont val="宋体"/>
        <charset val="134"/>
      </rPr>
      <t>应收账款：</t>
    </r>
  </si>
  <si>
    <t>1、账龄是否合理</t>
  </si>
  <si>
    <r>
      <rPr>
        <sz val="9"/>
        <rFont val="Arial Narrow"/>
        <charset val="134"/>
      </rPr>
      <t>2</t>
    </r>
    <r>
      <rPr>
        <sz val="9"/>
        <rFont val="宋体"/>
        <charset val="134"/>
      </rPr>
      <t>、按账龄计提坏账是否符合会计政策</t>
    </r>
  </si>
  <si>
    <r>
      <rPr>
        <sz val="9"/>
        <rFont val="Arial Narrow"/>
        <charset val="134"/>
      </rPr>
      <t>3</t>
    </r>
    <r>
      <rPr>
        <sz val="9"/>
        <rFont val="宋体"/>
        <charset val="134"/>
      </rPr>
      <t>、按类别：单项金额重大的应收款项与（</t>
    </r>
    <r>
      <rPr>
        <sz val="9"/>
        <rFont val="Arial Narrow"/>
        <charset val="134"/>
      </rPr>
      <t>3</t>
    </r>
    <r>
      <rPr>
        <sz val="9"/>
        <rFont val="宋体"/>
        <charset val="134"/>
      </rPr>
      <t>）单项金额重大的应收账款</t>
    </r>
  </si>
  <si>
    <t>期未余额核对</t>
  </si>
  <si>
    <t xml:space="preserve">   期未坏账余额核对</t>
  </si>
  <si>
    <r>
      <rPr>
        <sz val="9"/>
        <rFont val="Arial Narrow"/>
        <charset val="134"/>
      </rPr>
      <t>4</t>
    </r>
    <r>
      <rPr>
        <sz val="9"/>
        <rFont val="宋体"/>
        <charset val="134"/>
      </rPr>
      <t>、账龄批露表：期末账面余额比例合计是否为</t>
    </r>
    <r>
      <rPr>
        <sz val="9"/>
        <rFont val="Arial Narrow"/>
        <charset val="134"/>
      </rPr>
      <t>100%</t>
    </r>
  </si>
  <si>
    <r>
      <rPr>
        <sz val="9"/>
        <rFont val="Arial Narrow"/>
        <charset val="134"/>
      </rPr>
      <t>5</t>
    </r>
    <r>
      <rPr>
        <sz val="9"/>
        <rFont val="宋体"/>
        <charset val="134"/>
      </rPr>
      <t>、按类别批露表：期末账面余额比例合计是否为</t>
    </r>
    <r>
      <rPr>
        <sz val="9"/>
        <rFont val="Arial Narrow"/>
        <charset val="134"/>
      </rPr>
      <t>100%</t>
    </r>
  </si>
  <si>
    <r>
      <rPr>
        <sz val="9"/>
        <rFont val="Arial Narrow"/>
        <charset val="134"/>
      </rPr>
      <t>6</t>
    </r>
    <r>
      <rPr>
        <sz val="9"/>
        <rFont val="宋体"/>
        <charset val="134"/>
      </rPr>
      <t>、账龄批露表与按类别批露表核对</t>
    </r>
  </si>
  <si>
    <t>7、期末应收账款金额前五名情况表：“占应收账款总额比例”单项与合计核对</t>
  </si>
  <si>
    <t>8、期末应收关联方款项情况表：“占应收账款总额比例”单项与合计核对</t>
  </si>
  <si>
    <t>预付账款：</t>
  </si>
  <si>
    <r>
      <rPr>
        <sz val="9"/>
        <rFont val="Arial Narrow"/>
        <charset val="134"/>
      </rPr>
      <t>3</t>
    </r>
    <r>
      <rPr>
        <sz val="9"/>
        <rFont val="宋体"/>
        <charset val="134"/>
      </rPr>
      <t>年以上</t>
    </r>
  </si>
  <si>
    <r>
      <rPr>
        <sz val="9"/>
        <rFont val="Arial Narrow"/>
        <charset val="134"/>
      </rPr>
      <t>2</t>
    </r>
    <r>
      <rPr>
        <sz val="9"/>
        <rFont val="宋体"/>
        <charset val="134"/>
      </rPr>
      <t>、账龄批露表：期末账面余额比例合计是否为</t>
    </r>
    <r>
      <rPr>
        <sz val="9"/>
        <rFont val="Arial Narrow"/>
        <charset val="134"/>
      </rPr>
      <t>100%</t>
    </r>
  </si>
  <si>
    <t>3、预付款项金额前五名单位情况表：“占预付账款总额比例”单项与合计核对</t>
  </si>
  <si>
    <t>其他应收款：</t>
  </si>
  <si>
    <t>7、期末其他应收款金额前五名情况表：“占应收账款总额比例”单项与合计核对</t>
  </si>
  <si>
    <t>8、期末其他应收款关联方款项情况表：“占应收账款总额比例”单项与合计核对</t>
  </si>
  <si>
    <t>开发支出：</t>
  </si>
  <si>
    <r>
      <rPr>
        <sz val="9"/>
        <rFont val="Arial Narrow"/>
        <charset val="134"/>
      </rPr>
      <t>1</t>
    </r>
    <r>
      <rPr>
        <sz val="9"/>
        <rFont val="宋体"/>
        <charset val="134"/>
      </rPr>
      <t>、研究支出期未余额是否为</t>
    </r>
    <r>
      <rPr>
        <sz val="9"/>
        <rFont val="Arial Narrow"/>
        <charset val="134"/>
      </rPr>
      <t>0</t>
    </r>
  </si>
  <si>
    <t>递延所得税资产：</t>
  </si>
  <si>
    <r>
      <rPr>
        <sz val="9"/>
        <rFont val="Arial Narrow"/>
        <charset val="134"/>
      </rPr>
      <t>1</t>
    </r>
    <r>
      <rPr>
        <sz val="9"/>
        <rFont val="宋体"/>
        <charset val="134"/>
      </rPr>
      <t>、“（一）</t>
    </r>
    <r>
      <rPr>
        <sz val="9"/>
        <rFont val="Arial Narrow"/>
        <charset val="134"/>
      </rPr>
      <t xml:space="preserve"> </t>
    </r>
    <r>
      <rPr>
        <sz val="9"/>
        <rFont val="宋体"/>
        <charset val="134"/>
      </rPr>
      <t>递延所得税资产和递延所得税负债不以抵销后的净额列示”表“对应的暂时性差异金额”</t>
    </r>
    <r>
      <rPr>
        <sz val="9"/>
        <rFont val="Arial Narrow"/>
        <charset val="134"/>
      </rPr>
      <t>*</t>
    </r>
    <r>
      <rPr>
        <sz val="9"/>
        <rFont val="宋体"/>
        <charset val="134"/>
      </rPr>
      <t>递延所得税率与递延所得税余额核对</t>
    </r>
  </si>
  <si>
    <r>
      <rPr>
        <b/>
        <sz val="9"/>
        <rFont val="宋体"/>
        <charset val="134"/>
      </rPr>
      <t>资产减值准备</t>
    </r>
    <r>
      <rPr>
        <b/>
        <sz val="9"/>
        <rFont val="Arial Narrow"/>
        <charset val="134"/>
      </rPr>
      <t>-</t>
    </r>
    <r>
      <rPr>
        <b/>
        <sz val="9"/>
        <rFont val="宋体"/>
        <charset val="134"/>
      </rPr>
      <t>批露表：</t>
    </r>
  </si>
  <si>
    <t>1、“期未余额”与“各科目减值期未余额核对”核对:</t>
  </si>
  <si>
    <t>2、“期初余额”与“各科目减值期初余额核对”核对:</t>
  </si>
  <si>
    <t>应付账款：</t>
  </si>
  <si>
    <t>预收账款：</t>
  </si>
  <si>
    <t>其他应付款：</t>
  </si>
  <si>
    <t>一年内到期的非流动负债：</t>
  </si>
  <si>
    <r>
      <rPr>
        <sz val="9"/>
        <rFont val="Arial Narrow"/>
        <charset val="134"/>
      </rPr>
      <t>1</t>
    </r>
    <r>
      <rPr>
        <sz val="9"/>
        <rFont val="宋体"/>
        <charset val="134"/>
      </rPr>
      <t>、（</t>
    </r>
    <r>
      <rPr>
        <sz val="9"/>
        <rFont val="Arial Narrow"/>
        <charset val="134"/>
      </rPr>
      <t>1</t>
    </r>
    <r>
      <rPr>
        <sz val="9"/>
        <rFont val="宋体"/>
        <charset val="134"/>
      </rPr>
      <t>）按类别列示：一年内到期的长期借款与（</t>
    </r>
    <r>
      <rPr>
        <sz val="9"/>
        <rFont val="Arial Narrow"/>
        <charset val="134"/>
      </rPr>
      <t>2</t>
    </r>
    <r>
      <rPr>
        <sz val="9"/>
        <rFont val="宋体"/>
        <charset val="134"/>
      </rPr>
      <t>）一年内到期的长期借款期未余额核对</t>
    </r>
  </si>
  <si>
    <r>
      <rPr>
        <sz val="9"/>
        <rFont val="Arial Narrow"/>
        <charset val="134"/>
      </rPr>
      <t>2</t>
    </r>
    <r>
      <rPr>
        <sz val="9"/>
        <rFont val="宋体"/>
        <charset val="134"/>
      </rPr>
      <t>、（</t>
    </r>
    <r>
      <rPr>
        <sz val="9"/>
        <rFont val="Arial Narrow"/>
        <charset val="134"/>
      </rPr>
      <t>1</t>
    </r>
    <r>
      <rPr>
        <sz val="9"/>
        <rFont val="宋体"/>
        <charset val="134"/>
      </rPr>
      <t>）按类别列示：一年内到期的应付债券与（</t>
    </r>
    <r>
      <rPr>
        <sz val="9"/>
        <rFont val="Arial Narrow"/>
        <charset val="134"/>
      </rPr>
      <t>3</t>
    </r>
    <r>
      <rPr>
        <sz val="9"/>
        <rFont val="宋体"/>
        <charset val="134"/>
      </rPr>
      <t>）一年内到期的应付债券期未余额核对</t>
    </r>
  </si>
  <si>
    <t>营业收入：</t>
  </si>
  <si>
    <r>
      <rPr>
        <sz val="9"/>
        <rFont val="Arial Narrow"/>
        <charset val="134"/>
      </rPr>
      <t>1</t>
    </r>
    <r>
      <rPr>
        <sz val="9"/>
        <rFont val="宋体"/>
        <charset val="134"/>
      </rPr>
      <t>、营业收入</t>
    </r>
    <r>
      <rPr>
        <sz val="9"/>
        <rFont val="Arial Narrow"/>
        <charset val="134"/>
      </rPr>
      <t>-</t>
    </r>
    <r>
      <rPr>
        <sz val="9"/>
        <rFont val="宋体"/>
        <charset val="134"/>
      </rPr>
      <t>披露表：主营业务收入与（</t>
    </r>
    <r>
      <rPr>
        <sz val="9"/>
        <rFont val="Arial Narrow"/>
        <charset val="134"/>
      </rPr>
      <t>2</t>
    </r>
    <r>
      <rPr>
        <sz val="9"/>
        <rFont val="宋体"/>
        <charset val="134"/>
      </rPr>
      <t>）主营业务（类别）核对</t>
    </r>
  </si>
  <si>
    <r>
      <rPr>
        <sz val="9"/>
        <rFont val="宋体"/>
        <charset val="134"/>
      </rPr>
      <t>收入</t>
    </r>
    <r>
      <rPr>
        <sz val="9"/>
        <rFont val="Arial Narrow"/>
        <charset val="134"/>
      </rPr>
      <t>-</t>
    </r>
    <r>
      <rPr>
        <sz val="9"/>
        <rFont val="宋体"/>
        <charset val="134"/>
      </rPr>
      <t>本期实际数</t>
    </r>
  </si>
  <si>
    <r>
      <rPr>
        <sz val="9"/>
        <rFont val="宋体"/>
        <charset val="134"/>
      </rPr>
      <t>收入</t>
    </r>
    <r>
      <rPr>
        <sz val="9"/>
        <rFont val="Arial Narrow"/>
        <charset val="134"/>
      </rPr>
      <t>-</t>
    </r>
    <r>
      <rPr>
        <sz val="9"/>
        <rFont val="宋体"/>
        <charset val="134"/>
      </rPr>
      <t>上期实际数</t>
    </r>
  </si>
  <si>
    <r>
      <rPr>
        <sz val="9"/>
        <rFont val="宋体"/>
        <charset val="134"/>
      </rPr>
      <t>成本</t>
    </r>
    <r>
      <rPr>
        <sz val="9"/>
        <rFont val="Arial Narrow"/>
        <charset val="134"/>
      </rPr>
      <t>-</t>
    </r>
    <r>
      <rPr>
        <sz val="9"/>
        <rFont val="宋体"/>
        <charset val="134"/>
      </rPr>
      <t>本期实际数</t>
    </r>
  </si>
  <si>
    <r>
      <rPr>
        <sz val="9"/>
        <rFont val="宋体"/>
        <charset val="134"/>
      </rPr>
      <t>成本</t>
    </r>
    <r>
      <rPr>
        <sz val="9"/>
        <rFont val="Arial Narrow"/>
        <charset val="134"/>
      </rPr>
      <t>-</t>
    </r>
    <r>
      <rPr>
        <sz val="9"/>
        <rFont val="宋体"/>
        <charset val="134"/>
      </rPr>
      <t>上期实际数</t>
    </r>
  </si>
  <si>
    <r>
      <rPr>
        <sz val="9"/>
        <rFont val="Arial Narrow"/>
        <charset val="134"/>
      </rPr>
      <t>2</t>
    </r>
    <r>
      <rPr>
        <sz val="9"/>
        <rFont val="宋体"/>
        <charset val="134"/>
      </rPr>
      <t>、营业收入</t>
    </r>
    <r>
      <rPr>
        <sz val="9"/>
        <rFont val="Arial Narrow"/>
        <charset val="134"/>
      </rPr>
      <t>-</t>
    </r>
    <r>
      <rPr>
        <sz val="9"/>
        <rFont val="宋体"/>
        <charset val="134"/>
      </rPr>
      <t>披露表：主营业务收入与（</t>
    </r>
    <r>
      <rPr>
        <sz val="9"/>
        <rFont val="Arial Narrow"/>
        <charset val="134"/>
      </rPr>
      <t>3</t>
    </r>
    <r>
      <rPr>
        <sz val="9"/>
        <rFont val="宋体"/>
        <charset val="134"/>
      </rPr>
      <t>）主营业务（分产品）核对</t>
    </r>
  </si>
  <si>
    <r>
      <rPr>
        <sz val="9"/>
        <rFont val="Arial Narrow"/>
        <charset val="134"/>
      </rPr>
      <t>3</t>
    </r>
    <r>
      <rPr>
        <sz val="9"/>
        <rFont val="宋体"/>
        <charset val="134"/>
      </rPr>
      <t>、营业收入</t>
    </r>
    <r>
      <rPr>
        <sz val="9"/>
        <rFont val="Arial Narrow"/>
        <charset val="134"/>
      </rPr>
      <t>-</t>
    </r>
    <r>
      <rPr>
        <sz val="9"/>
        <rFont val="宋体"/>
        <charset val="134"/>
      </rPr>
      <t>披露表：主营业务收入与（</t>
    </r>
    <r>
      <rPr>
        <sz val="9"/>
        <rFont val="Arial Narrow"/>
        <charset val="134"/>
      </rPr>
      <t>4</t>
    </r>
    <r>
      <rPr>
        <sz val="9"/>
        <rFont val="宋体"/>
        <charset val="134"/>
      </rPr>
      <t>）主营业务（分地区）核对</t>
    </r>
  </si>
  <si>
    <t>资产减值损失:</t>
  </si>
  <si>
    <r>
      <rPr>
        <sz val="9"/>
        <rFont val="Arial Narrow"/>
        <charset val="134"/>
      </rPr>
      <t>1</t>
    </r>
    <r>
      <rPr>
        <sz val="9"/>
        <rFont val="宋体"/>
        <charset val="134"/>
      </rPr>
      <t>、本期实际与</t>
    </r>
    <r>
      <rPr>
        <sz val="9"/>
        <rFont val="Arial Narrow"/>
        <charset val="134"/>
      </rPr>
      <t>“</t>
    </r>
    <r>
      <rPr>
        <sz val="9"/>
        <rFont val="宋体"/>
        <charset val="134"/>
      </rPr>
      <t>各科目当期计提减值</t>
    </r>
    <r>
      <rPr>
        <sz val="9"/>
        <rFont val="Arial Narrow"/>
        <charset val="134"/>
      </rPr>
      <t>”</t>
    </r>
    <r>
      <rPr>
        <sz val="9"/>
        <rFont val="宋体"/>
        <charset val="134"/>
      </rPr>
      <t>核对</t>
    </r>
    <r>
      <rPr>
        <sz val="9"/>
        <rFont val="Arial Narrow"/>
        <charset val="134"/>
      </rPr>
      <t>:</t>
    </r>
  </si>
  <si>
    <r>
      <rPr>
        <sz val="9"/>
        <rFont val="Arial Narrow"/>
        <charset val="134"/>
      </rPr>
      <t xml:space="preserve">                                      2</t>
    </r>
    <r>
      <rPr>
        <sz val="9"/>
        <rFont val="宋体"/>
        <charset val="134"/>
      </rPr>
      <t>．存货跌价损失</t>
    </r>
  </si>
  <si>
    <r>
      <rPr>
        <sz val="9"/>
        <rFont val="Arial Narrow"/>
        <charset val="134"/>
      </rPr>
      <t xml:space="preserve">                                      5</t>
    </r>
    <r>
      <rPr>
        <sz val="9"/>
        <rFont val="宋体"/>
        <charset val="134"/>
      </rPr>
      <t>．长期股权投资减值损失</t>
    </r>
  </si>
  <si>
    <r>
      <rPr>
        <sz val="9"/>
        <rFont val="Arial Narrow"/>
        <charset val="134"/>
      </rPr>
      <t xml:space="preserve">                                      6</t>
    </r>
    <r>
      <rPr>
        <sz val="9"/>
        <rFont val="宋体"/>
        <charset val="134"/>
      </rPr>
      <t>．投资性房地产减值损失</t>
    </r>
  </si>
  <si>
    <r>
      <rPr>
        <sz val="9"/>
        <rFont val="Arial Narrow"/>
        <charset val="134"/>
      </rPr>
      <t xml:space="preserve">                                      7</t>
    </r>
    <r>
      <rPr>
        <sz val="9"/>
        <rFont val="宋体"/>
        <charset val="134"/>
      </rPr>
      <t>．固定资产减值损失</t>
    </r>
  </si>
  <si>
    <r>
      <rPr>
        <sz val="9"/>
        <rFont val="Arial Narrow"/>
        <charset val="134"/>
      </rPr>
      <t xml:space="preserve">                                      9</t>
    </r>
    <r>
      <rPr>
        <sz val="9"/>
        <rFont val="宋体"/>
        <charset val="134"/>
      </rPr>
      <t>．在建工程减值损失</t>
    </r>
  </si>
  <si>
    <r>
      <rPr>
        <sz val="9"/>
        <rFont val="Arial Narrow"/>
        <charset val="134"/>
      </rPr>
      <t xml:space="preserve">                                      10</t>
    </r>
    <r>
      <rPr>
        <sz val="9"/>
        <rFont val="宋体"/>
        <charset val="134"/>
      </rPr>
      <t>．生产性生物资产减值损失</t>
    </r>
  </si>
  <si>
    <r>
      <rPr>
        <sz val="9"/>
        <rFont val="Arial Narrow"/>
        <charset val="134"/>
      </rPr>
      <t xml:space="preserve">                                      11</t>
    </r>
    <r>
      <rPr>
        <sz val="9"/>
        <rFont val="宋体"/>
        <charset val="134"/>
      </rPr>
      <t>．油气资产减值损失</t>
    </r>
  </si>
  <si>
    <r>
      <rPr>
        <sz val="9"/>
        <rFont val="Arial Narrow"/>
        <charset val="134"/>
      </rPr>
      <t xml:space="preserve">                                      12</t>
    </r>
    <r>
      <rPr>
        <sz val="9"/>
        <rFont val="宋体"/>
        <charset val="134"/>
      </rPr>
      <t>．无形资产减值损失</t>
    </r>
  </si>
  <si>
    <r>
      <rPr>
        <sz val="9"/>
        <rFont val="Arial Narrow"/>
        <charset val="134"/>
      </rPr>
      <t xml:space="preserve">                                      13</t>
    </r>
    <r>
      <rPr>
        <sz val="9"/>
        <rFont val="宋体"/>
        <charset val="134"/>
      </rPr>
      <t>．商誉减值损失</t>
    </r>
  </si>
  <si>
    <r>
      <rPr>
        <sz val="9"/>
        <rFont val="Arial Narrow"/>
        <charset val="134"/>
      </rPr>
      <t>2</t>
    </r>
    <r>
      <rPr>
        <sz val="9"/>
        <rFont val="宋体"/>
        <charset val="134"/>
      </rPr>
      <t>、本期实际与</t>
    </r>
    <r>
      <rPr>
        <sz val="9"/>
        <rFont val="Arial Narrow"/>
        <charset val="134"/>
      </rPr>
      <t>“</t>
    </r>
    <r>
      <rPr>
        <sz val="9"/>
        <rFont val="宋体"/>
        <charset val="134"/>
      </rPr>
      <t>与“（二十八）资产减值准备</t>
    </r>
    <r>
      <rPr>
        <sz val="9"/>
        <rFont val="Arial Narrow"/>
        <charset val="134"/>
      </rPr>
      <t>-</t>
    </r>
    <r>
      <rPr>
        <sz val="9"/>
        <rFont val="宋体"/>
        <charset val="134"/>
      </rPr>
      <t>批露表</t>
    </r>
    <r>
      <rPr>
        <sz val="9"/>
        <rFont val="Arial Narrow"/>
        <charset val="134"/>
      </rPr>
      <t>:</t>
    </r>
    <r>
      <rPr>
        <sz val="9"/>
        <rFont val="宋体"/>
        <charset val="134"/>
      </rPr>
      <t>本期计提”核对</t>
    </r>
    <r>
      <rPr>
        <sz val="9"/>
        <rFont val="Arial Narrow"/>
        <charset val="134"/>
      </rPr>
      <t>:</t>
    </r>
  </si>
  <si>
    <r>
      <rPr>
        <sz val="9"/>
        <rFont val="Arial Narrow"/>
        <charset val="134"/>
      </rPr>
      <t xml:space="preserve">                                      1</t>
    </r>
    <r>
      <rPr>
        <sz val="9"/>
        <rFont val="宋体"/>
        <charset val="134"/>
      </rPr>
      <t>．坏账损失</t>
    </r>
  </si>
  <si>
    <r>
      <rPr>
        <sz val="9"/>
        <rFont val="Arial Narrow"/>
        <charset val="134"/>
      </rPr>
      <t xml:space="preserve">                                      3</t>
    </r>
    <r>
      <rPr>
        <sz val="9"/>
        <rFont val="宋体"/>
        <charset val="134"/>
      </rPr>
      <t>．可供出售金融资产减值损失</t>
    </r>
  </si>
  <si>
    <r>
      <rPr>
        <sz val="9"/>
        <rFont val="Arial Narrow"/>
        <charset val="134"/>
      </rPr>
      <t xml:space="preserve">                                      4</t>
    </r>
    <r>
      <rPr>
        <sz val="9"/>
        <rFont val="宋体"/>
        <charset val="134"/>
      </rPr>
      <t>．持有至到期投资减值损失</t>
    </r>
  </si>
  <si>
    <r>
      <rPr>
        <sz val="9"/>
        <rFont val="Arial Narrow"/>
        <charset val="134"/>
      </rPr>
      <t xml:space="preserve">                                      8</t>
    </r>
    <r>
      <rPr>
        <sz val="9"/>
        <rFont val="宋体"/>
        <charset val="134"/>
      </rPr>
      <t>．工程物资减值损失</t>
    </r>
  </si>
  <si>
    <r>
      <rPr>
        <sz val="9"/>
        <rFont val="Arial Narrow"/>
        <charset val="134"/>
      </rPr>
      <t xml:space="preserve">                                      14</t>
    </r>
    <r>
      <rPr>
        <sz val="9"/>
        <rFont val="宋体"/>
        <charset val="134"/>
      </rPr>
      <t>．其他</t>
    </r>
  </si>
  <si>
    <t>管理费用、销售费用：</t>
  </si>
  <si>
    <r>
      <rPr>
        <sz val="9"/>
        <rFont val="Arial Narrow"/>
        <charset val="134"/>
      </rPr>
      <t>1</t>
    </r>
    <r>
      <rPr>
        <sz val="9"/>
        <rFont val="宋体"/>
        <charset val="134"/>
      </rPr>
      <t>、应付职工薪酬：本期计提与营业费用、管理费用、生产成本：应付职工薪酬核对</t>
    </r>
  </si>
  <si>
    <r>
      <rPr>
        <sz val="9"/>
        <rFont val="Arial Narrow"/>
        <charset val="134"/>
      </rPr>
      <t>2</t>
    </r>
    <r>
      <rPr>
        <sz val="9"/>
        <rFont val="宋体"/>
        <charset val="134"/>
      </rPr>
      <t>、固定资产折旧：本期计提与营业费用、管理费用、生产成本：固定资产折旧核对</t>
    </r>
  </si>
  <si>
    <r>
      <rPr>
        <sz val="9"/>
        <rFont val="Arial Narrow"/>
        <charset val="134"/>
      </rPr>
      <t>3</t>
    </r>
    <r>
      <rPr>
        <sz val="9"/>
        <rFont val="宋体"/>
        <charset val="134"/>
      </rPr>
      <t>、无形资产摊销：本期计提与营业费用、管理费用、生产成本：无形资产摊销核对</t>
    </r>
  </si>
  <si>
    <t>（六十六）收到或支付的其他与经营活动有关的现金：</t>
  </si>
  <si>
    <t>收到其他-利息收入与财务费用利息收入核对</t>
  </si>
  <si>
    <t>支付其他-管理费用与管理费批露表核对</t>
  </si>
  <si>
    <t>支付其他-营业费用与管理费批露表核对</t>
  </si>
  <si>
    <r>
      <rPr>
        <sz val="9"/>
        <rFont val="宋体"/>
        <charset val="134"/>
      </rPr>
      <t>收到其他</t>
    </r>
    <r>
      <rPr>
        <sz val="9"/>
        <rFont val="Arial Narrow"/>
        <charset val="134"/>
      </rPr>
      <t>-</t>
    </r>
    <r>
      <rPr>
        <sz val="9"/>
        <rFont val="宋体"/>
        <charset val="134"/>
      </rPr>
      <t>政府补助与营业外收入</t>
    </r>
    <r>
      <rPr>
        <sz val="9"/>
        <rFont val="宋体"/>
        <charset val="134"/>
      </rPr>
      <t>政府补助收入核对</t>
    </r>
  </si>
  <si>
    <t>财务报表分析（用作总体合理性分析）</t>
  </si>
  <si>
    <t>索引号：BB</t>
  </si>
  <si>
    <t>项            目</t>
  </si>
  <si>
    <r>
      <rPr>
        <sz val="10"/>
        <rFont val="Arial Narrow"/>
        <charset val="134"/>
      </rPr>
      <t xml:space="preserve"> </t>
    </r>
    <r>
      <rPr>
        <sz val="12"/>
        <rFont val="宋体"/>
        <charset val="134"/>
      </rPr>
      <t xml:space="preserve">   </t>
    </r>
    <r>
      <rPr>
        <sz val="12"/>
        <rFont val="宋体"/>
        <charset val="134"/>
      </rPr>
      <t>营业税金及附加</t>
    </r>
  </si>
  <si>
    <t>六、其他综合收益</t>
  </si>
  <si>
    <t>七、综合收益总额</t>
  </si>
  <si>
    <t>归属于母公司所有者的综合收益总额</t>
  </si>
  <si>
    <t>*归属于少数股东的综合收益总额</t>
  </si>
  <si>
    <t>企业基本财务指标分析表</t>
  </si>
  <si>
    <t>指标</t>
  </si>
  <si>
    <t>过程</t>
  </si>
  <si>
    <t>变动率</t>
  </si>
  <si>
    <t>注释号</t>
  </si>
  <si>
    <t>一、短期偿债能力比率</t>
  </si>
  <si>
    <t>流动比率（%）</t>
  </si>
  <si>
    <t>流动资产/流动负债</t>
  </si>
  <si>
    <t>速动比率（%）</t>
  </si>
  <si>
    <t>（流动资产-存货-一年内到期的非流动资产-其他流动资产）/流动负债</t>
  </si>
  <si>
    <t>现金比率（%）</t>
  </si>
  <si>
    <t>（货币资金+交易性金融资产）/流动负债</t>
  </si>
  <si>
    <t>现金流量比率（%）</t>
  </si>
  <si>
    <t>经营现金净流量/流动负债</t>
  </si>
  <si>
    <t>二、长期偿债能力比率</t>
  </si>
  <si>
    <t>资产负债率（%）</t>
  </si>
  <si>
    <t>负债/资产</t>
  </si>
  <si>
    <t>产权比率</t>
  </si>
  <si>
    <t>负债总额/股东权益</t>
  </si>
  <si>
    <t>长期资本负债率（%）</t>
  </si>
  <si>
    <t>非流动负债/（非流动负债+股东权益）</t>
  </si>
  <si>
    <t>利息保障倍数</t>
  </si>
  <si>
    <t>息税前利润/利息费用</t>
  </si>
  <si>
    <t>现金流量利息保障倍数</t>
  </si>
  <si>
    <t>经营现金净流量/利息费用</t>
  </si>
  <si>
    <t>现金流量债务比（%）</t>
  </si>
  <si>
    <t>经营现金净流量/债务总额</t>
  </si>
  <si>
    <t>三、资产管理比率</t>
  </si>
  <si>
    <t>应收账款周转率（次）</t>
  </si>
  <si>
    <t>销售收入/应收账款</t>
  </si>
  <si>
    <t>存货周转率（次）</t>
  </si>
  <si>
    <t>销售收入/存货</t>
  </si>
  <si>
    <t>流动资产周转率（次）</t>
  </si>
  <si>
    <t>销售收入/流动资产</t>
  </si>
  <si>
    <t>非流动资产周转率（次）</t>
  </si>
  <si>
    <t>销售收入/非流动资产</t>
  </si>
  <si>
    <t>总资产周转率（次）</t>
  </si>
  <si>
    <t>销售收入/总资产</t>
  </si>
  <si>
    <t>四、盈利能力比率</t>
  </si>
  <si>
    <t>销售利润率（%）</t>
  </si>
  <si>
    <t>净利润/销售收入</t>
  </si>
  <si>
    <t>资产利润率（%）</t>
  </si>
  <si>
    <t>净利润/总资产</t>
  </si>
  <si>
    <t>权益净利率（%）</t>
  </si>
  <si>
    <t>净利润/股东权益</t>
  </si>
  <si>
    <t>说明：注释号请按照业规301号《审计策略书》及业规302号《审计重要事项概要》的要求对重大异常变动逐项在本表的下方进行说明。</t>
  </si>
  <si>
    <t>（一）货币资金-披露表</t>
  </si>
  <si>
    <t>表格名称</t>
  </si>
  <si>
    <t>单位名称：</t>
  </si>
  <si>
    <t>查找</t>
  </si>
  <si>
    <r>
      <rPr>
        <b/>
        <sz val="9"/>
        <rFont val="宋体"/>
        <charset val="134"/>
      </rPr>
      <t>（一）货币资金</t>
    </r>
    <r>
      <rPr>
        <b/>
        <sz val="9"/>
        <rFont val="Arial Narrow"/>
        <charset val="134"/>
      </rPr>
      <t>-</t>
    </r>
    <r>
      <rPr>
        <b/>
        <sz val="9"/>
        <rFont val="宋体"/>
        <charset val="134"/>
      </rPr>
      <t>披露表</t>
    </r>
  </si>
  <si>
    <t>【返回】审定资负表</t>
  </si>
  <si>
    <t>【返回】本月审定利润表</t>
  </si>
  <si>
    <t>【返回】本月审定现流表</t>
  </si>
  <si>
    <r>
      <rPr>
        <sz val="11"/>
        <rFont val="宋体"/>
        <charset val="134"/>
      </rPr>
      <t>填写说明：</t>
    </r>
    <r>
      <rPr>
        <sz val="11"/>
        <rFont val="Arial Narrow"/>
        <charset val="134"/>
      </rPr>
      <t>1</t>
    </r>
    <r>
      <rPr>
        <sz val="11"/>
        <rFont val="宋体"/>
        <charset val="134"/>
      </rPr>
      <t>、请勿插行或删行及修改公式，如确需修改请通知，电</t>
    </r>
    <r>
      <rPr>
        <sz val="11"/>
        <rFont val="Arial Narrow"/>
        <charset val="134"/>
      </rPr>
      <t>3506021</t>
    </r>
    <r>
      <rPr>
        <sz val="11"/>
        <rFont val="宋体"/>
        <charset val="134"/>
      </rPr>
      <t>）</t>
    </r>
  </si>
  <si>
    <r>
      <rPr>
        <sz val="9"/>
        <color theme="0" tint="-0.249977111117893"/>
        <rFont val="宋体"/>
        <charset val="134"/>
      </rPr>
      <t>货币资金</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</si>
  <si>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（一）货币资金</t>
    </r>
    <r>
      <rPr>
        <sz val="9"/>
        <color theme="7" tint="0.599993896298105"/>
        <rFont val="Arial Narrow"/>
        <charset val="134"/>
      </rPr>
      <t>-</t>
    </r>
    <r>
      <rPr>
        <sz val="9"/>
        <color theme="7" tint="0.599993896298105"/>
        <rFont val="宋体"/>
        <charset val="134"/>
      </rPr>
      <t>披露表</t>
    </r>
  </si>
  <si>
    <r>
      <rPr>
        <sz val="9"/>
        <rFont val="Arial Narrow"/>
        <charset val="134"/>
      </rPr>
      <t>2</t>
    </r>
    <r>
      <rPr>
        <sz val="9"/>
        <rFont val="宋体"/>
        <charset val="134"/>
      </rPr>
      <t>、期初数已做链接，如期初不是用此调整系统可自行修改</t>
    </r>
  </si>
  <si>
    <t>折合人民币尾数调整</t>
  </si>
  <si>
    <t>加拿大元</t>
  </si>
  <si>
    <r>
      <rPr>
        <sz val="9"/>
        <rFont val="Arial Narrow"/>
        <charset val="134"/>
      </rPr>
      <t xml:space="preserve">     </t>
    </r>
    <r>
      <rPr>
        <sz val="9"/>
        <rFont val="宋体"/>
        <charset val="134"/>
      </rPr>
      <t>港币</t>
    </r>
  </si>
  <si>
    <t>（2）存在抵押、冻结等对变现有限制或存放在境外、或有潜在回收风险的款项</t>
  </si>
  <si>
    <r>
      <rPr>
        <sz val="9"/>
        <color theme="7" tint="0.599993896298105"/>
        <rFont val="宋体"/>
        <charset val="134"/>
      </rPr>
      <t>（</t>
    </r>
    <r>
      <rPr>
        <sz val="9"/>
        <color theme="7" tint="0.599993896298105"/>
        <rFont val="Arial Narrow"/>
        <charset val="134"/>
      </rPr>
      <t>2</t>
    </r>
    <r>
      <rPr>
        <sz val="9"/>
        <color theme="7" tint="0.599993896298105"/>
        <rFont val="宋体"/>
        <charset val="134"/>
      </rPr>
      <t>）存在抵押、冻结等对变现有限制或存放在境外、或有潜在回收风险的款项</t>
    </r>
  </si>
  <si>
    <t>开户行</t>
  </si>
  <si>
    <t>帐号</t>
  </si>
  <si>
    <t>使用受限制原因</t>
  </si>
  <si>
    <r>
      <rPr>
        <sz val="9"/>
        <rFont val="宋体"/>
        <charset val="134"/>
      </rPr>
      <t>（</t>
    </r>
    <r>
      <rPr>
        <sz val="9"/>
        <rFont val="Arial Narrow"/>
        <charset val="134"/>
      </rPr>
      <t>3</t>
    </r>
    <r>
      <rPr>
        <sz val="9"/>
        <rFont val="宋体"/>
        <charset val="134"/>
      </rPr>
      <t>）其他货币资金明细</t>
    </r>
  </si>
  <si>
    <r>
      <rPr>
        <sz val="9"/>
        <rFont val="宋体"/>
        <charset val="134"/>
      </rPr>
      <t>本期（外币币别</t>
    </r>
    <r>
      <rPr>
        <sz val="9"/>
        <rFont val="Arial Narrow"/>
        <charset val="134"/>
      </rPr>
      <t>+</t>
    </r>
    <r>
      <rPr>
        <sz val="9"/>
        <rFont val="宋体"/>
        <charset val="134"/>
      </rPr>
      <t>原币金额）</t>
    </r>
  </si>
  <si>
    <r>
      <rPr>
        <sz val="9"/>
        <rFont val="宋体"/>
        <charset val="134"/>
      </rPr>
      <t>本期金额（</t>
    </r>
    <r>
      <rPr>
        <sz val="9"/>
        <rFont val="Arial Narrow"/>
        <charset val="134"/>
      </rPr>
      <t>RMB</t>
    </r>
    <r>
      <rPr>
        <sz val="9"/>
        <rFont val="宋体"/>
        <charset val="134"/>
      </rPr>
      <t>）</t>
    </r>
  </si>
  <si>
    <r>
      <rPr>
        <sz val="9"/>
        <rFont val="宋体"/>
        <charset val="134"/>
      </rPr>
      <t>上期（外币币别</t>
    </r>
    <r>
      <rPr>
        <sz val="9"/>
        <rFont val="Arial Narrow"/>
        <charset val="134"/>
      </rPr>
      <t>+</t>
    </r>
    <r>
      <rPr>
        <sz val="9"/>
        <rFont val="宋体"/>
        <charset val="134"/>
      </rPr>
      <t>原币金额）</t>
    </r>
  </si>
  <si>
    <r>
      <rPr>
        <sz val="9"/>
        <rFont val="宋体"/>
        <charset val="134"/>
      </rPr>
      <t>上期金额（</t>
    </r>
    <r>
      <rPr>
        <sz val="9"/>
        <rFont val="Arial Narrow"/>
        <charset val="134"/>
      </rPr>
      <t>RMB</t>
    </r>
    <r>
      <rPr>
        <sz val="9"/>
        <rFont val="宋体"/>
        <charset val="134"/>
      </rPr>
      <t>）</t>
    </r>
  </si>
  <si>
    <r>
      <rPr>
        <sz val="9"/>
        <rFont val="Arial Narrow"/>
        <charset val="134"/>
      </rPr>
      <t>1</t>
    </r>
    <r>
      <rPr>
        <sz val="9"/>
        <rFont val="宋体"/>
        <charset val="134"/>
      </rPr>
      <t>、代管住房基金</t>
    </r>
  </si>
  <si>
    <r>
      <rPr>
        <sz val="9"/>
        <rFont val="Arial Narrow"/>
        <charset val="134"/>
      </rPr>
      <t>2</t>
    </r>
    <r>
      <rPr>
        <sz val="9"/>
        <rFont val="宋体"/>
        <charset val="134"/>
      </rPr>
      <t>、银行承兑汇票保证金</t>
    </r>
  </si>
  <si>
    <r>
      <rPr>
        <sz val="9"/>
        <rFont val="Arial Narrow"/>
        <charset val="134"/>
      </rPr>
      <t>3</t>
    </r>
    <r>
      <rPr>
        <sz val="9"/>
        <rFont val="宋体"/>
        <charset val="134"/>
      </rPr>
      <t>、信用证保证金</t>
    </r>
  </si>
  <si>
    <t>6、保函保证金</t>
  </si>
  <si>
    <t>文字描述</t>
  </si>
  <si>
    <t>(4)货币资金中包含定期银行存款金额。</t>
  </si>
  <si>
    <r>
      <rPr>
        <sz val="9"/>
        <color theme="7" tint="0.599993896298105"/>
        <rFont val="Arial Narrow"/>
        <charset val="134"/>
      </rPr>
      <t>(4)</t>
    </r>
    <r>
      <rPr>
        <sz val="9"/>
        <color theme="7" tint="0.599993896298105"/>
        <rFont val="宋体"/>
        <charset val="134"/>
      </rPr>
      <t>货币资金中包含定期银行存款金额。</t>
    </r>
  </si>
  <si>
    <t>示例：本项目银行存款包含3个月到期的定期存款8,000,000.00元。</t>
  </si>
  <si>
    <t>（5）其他货币资金包含的内容及金额</t>
  </si>
  <si>
    <r>
      <rPr>
        <sz val="9"/>
        <color theme="7" tint="0.599993896298105"/>
        <rFont val="宋体"/>
        <charset val="134"/>
      </rPr>
      <t>（</t>
    </r>
    <r>
      <rPr>
        <sz val="9"/>
        <color theme="7" tint="0.599993896298105"/>
        <rFont val="Arial Narrow"/>
        <charset val="134"/>
      </rPr>
      <t>5</t>
    </r>
    <r>
      <rPr>
        <sz val="9"/>
        <color theme="7" tint="0.599993896298105"/>
        <rFont val="宋体"/>
        <charset val="134"/>
      </rPr>
      <t>）其他货币资金包含的内容及金额</t>
    </r>
  </si>
  <si>
    <t>示例：其他货币资金为证券账户资金985,597.80元、保函保证金129,810.00元。</t>
  </si>
  <si>
    <r>
      <rPr>
        <sz val="9"/>
        <color theme="0" tint="-0.249977111117893"/>
        <rFont val="宋体"/>
        <charset val="134"/>
      </rPr>
      <t>交易性金融资产</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</si>
  <si>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（二）交易性金融资产</t>
    </r>
    <r>
      <rPr>
        <sz val="9"/>
        <color theme="7" tint="0.599993896298105"/>
        <rFont val="Arial Narrow"/>
        <charset val="134"/>
      </rPr>
      <t>-</t>
    </r>
    <r>
      <rPr>
        <sz val="9"/>
        <color theme="7" tint="0.599993896298105"/>
        <rFont val="宋体"/>
        <charset val="134"/>
      </rPr>
      <t>披露表</t>
    </r>
  </si>
  <si>
    <r>
      <rPr>
        <b/>
        <sz val="9"/>
        <rFont val="宋体"/>
        <charset val="134"/>
      </rPr>
      <t>（二）交易性金融资产</t>
    </r>
    <r>
      <rPr>
        <b/>
        <sz val="9"/>
        <rFont val="Arial Narrow"/>
        <charset val="134"/>
      </rPr>
      <t>-</t>
    </r>
    <r>
      <rPr>
        <b/>
        <sz val="9"/>
        <rFont val="宋体"/>
        <charset val="134"/>
      </rPr>
      <t>披露表</t>
    </r>
  </si>
  <si>
    <t>项    目</t>
  </si>
  <si>
    <r>
      <rPr>
        <sz val="9"/>
        <rFont val="宋体"/>
        <charset val="134"/>
      </rPr>
      <t>项</t>
    </r>
    <r>
      <rPr>
        <sz val="9"/>
        <rFont val="Arial Narrow"/>
        <charset val="134"/>
      </rPr>
      <t xml:space="preserve">    </t>
    </r>
    <r>
      <rPr>
        <sz val="9"/>
        <rFont val="宋体"/>
        <charset val="134"/>
      </rPr>
      <t>目</t>
    </r>
  </si>
  <si>
    <t>其  他</t>
  </si>
  <si>
    <r>
      <rPr>
        <sz val="9"/>
        <rFont val="宋体"/>
        <charset val="134"/>
      </rPr>
      <t>合</t>
    </r>
    <r>
      <rPr>
        <sz val="9"/>
        <rFont val="Arial Narrow"/>
        <charset val="134"/>
      </rPr>
      <t xml:space="preserve">    </t>
    </r>
    <r>
      <rPr>
        <sz val="9"/>
        <rFont val="宋体"/>
        <charset val="134"/>
      </rPr>
      <t>计</t>
    </r>
  </si>
  <si>
    <t>注：套期工具及对相关套期交易的说明</t>
  </si>
  <si>
    <t>（2）变现有限制的交易性金融资产</t>
  </si>
  <si>
    <r>
      <rPr>
        <sz val="9"/>
        <color theme="7" tint="0.599993896298105"/>
        <rFont val="宋体"/>
        <charset val="134"/>
      </rPr>
      <t>（</t>
    </r>
    <r>
      <rPr>
        <sz val="9"/>
        <color theme="7" tint="0.599993896298105"/>
        <rFont val="Arial Narrow"/>
        <charset val="134"/>
      </rPr>
      <t>2</t>
    </r>
    <r>
      <rPr>
        <sz val="9"/>
        <color theme="7" tint="0.599993896298105"/>
        <rFont val="宋体"/>
        <charset val="134"/>
      </rPr>
      <t>）变现有限制的交易性金融资产</t>
    </r>
  </si>
  <si>
    <r>
      <rPr>
        <sz val="9"/>
        <rFont val="宋体"/>
        <charset val="134"/>
      </rPr>
      <t>（</t>
    </r>
    <r>
      <rPr>
        <sz val="9"/>
        <rFont val="Arial Narrow"/>
        <charset val="134"/>
      </rPr>
      <t>2</t>
    </r>
    <r>
      <rPr>
        <sz val="9"/>
        <rFont val="宋体"/>
        <charset val="134"/>
      </rPr>
      <t>）变现有限制的交易性金融资产</t>
    </r>
  </si>
  <si>
    <t>限售条件或变现方面的其他重大限制</t>
  </si>
  <si>
    <r>
      <rPr>
        <sz val="9"/>
        <rFont val="宋体"/>
        <charset val="134"/>
      </rPr>
      <t>文字描述</t>
    </r>
  </si>
  <si>
    <r>
      <rPr>
        <sz val="9"/>
        <color theme="0" tint="-0.249977111117893"/>
        <rFont val="宋体"/>
        <charset val="134"/>
      </rPr>
      <t>应收票据</t>
    </r>
    <r>
      <rPr>
        <sz val="9"/>
        <color theme="0" tint="-0.249977111117893"/>
        <rFont val="Arial Narrow"/>
        <charset val="134"/>
      </rPr>
      <t>-</t>
    </r>
    <r>
      <rPr>
        <sz val="9"/>
        <color theme="0" tint="-0.249977111117893"/>
        <rFont val="宋体"/>
        <charset val="134"/>
      </rPr>
      <t>披露表</t>
    </r>
  </si>
  <si>
    <t>（1）分类列示</t>
  </si>
  <si>
    <r>
      <rPr>
        <b/>
        <sz val="9"/>
        <rFont val="宋体"/>
        <charset val="134"/>
      </rPr>
      <t>（三）应收票据</t>
    </r>
    <r>
      <rPr>
        <b/>
        <sz val="9"/>
        <rFont val="Arial Narrow"/>
        <charset val="134"/>
      </rPr>
      <t>-</t>
    </r>
    <r>
      <rPr>
        <b/>
        <sz val="9"/>
        <rFont val="宋体"/>
        <charset val="134"/>
      </rPr>
      <t>披露表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</si>
  <si>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）分类列示</t>
    </r>
  </si>
  <si>
    <r>
      <rPr>
        <sz val="9"/>
        <rFont val="宋体"/>
        <charset val="134"/>
      </rPr>
      <t>（</t>
    </r>
    <r>
      <rPr>
        <sz val="9"/>
        <rFont val="Arial Narrow"/>
        <charset val="134"/>
      </rPr>
      <t>1</t>
    </r>
    <r>
      <rPr>
        <sz val="9"/>
        <rFont val="宋体"/>
        <charset val="134"/>
      </rPr>
      <t>）分类列示</t>
    </r>
  </si>
  <si>
    <r>
      <rPr>
        <sz val="9"/>
        <color rgb="FF0000FF"/>
        <rFont val="宋体"/>
        <charset val="134"/>
      </rPr>
      <t>（</t>
    </r>
    <r>
      <rPr>
        <sz val="9"/>
        <color rgb="FF0000FF"/>
        <rFont val="Arial Narrow"/>
        <charset val="134"/>
      </rPr>
      <t>2</t>
    </r>
    <r>
      <rPr>
        <sz val="9"/>
        <color rgb="FF0000FF"/>
        <rFont val="宋体"/>
        <charset val="134"/>
      </rPr>
      <t>）期末公司已背书或贴现且在资产负债表日尚未到期的应收票据</t>
    </r>
  </si>
  <si>
    <t>期末终止确认金额</t>
  </si>
  <si>
    <r>
      <rPr>
        <sz val="9"/>
        <color theme="7" tint="0.599993896298105"/>
        <rFont val="宋体"/>
        <charset val="134"/>
      </rPr>
      <t>（</t>
    </r>
    <r>
      <rPr>
        <sz val="9"/>
        <color theme="7" tint="0.599993896298105"/>
        <rFont val="Arial Narrow"/>
        <charset val="134"/>
      </rPr>
      <t>1）分类列示</t>
    </r>
  </si>
  <si>
    <r>
      <rPr>
        <sz val="9"/>
        <rFont val="宋体"/>
        <charset val="134"/>
      </rPr>
      <t>差异</t>
    </r>
  </si>
  <si>
    <t>（2）已质押的应收票据（合并应单独汇总）</t>
  </si>
  <si>
    <r>
      <rPr>
        <sz val="9"/>
        <color theme="7" tint="0.599993896298105"/>
        <rFont val="宋体"/>
        <charset val="134"/>
      </rPr>
      <t>（</t>
    </r>
    <r>
      <rPr>
        <sz val="9"/>
        <color theme="7" tint="0.599993896298105"/>
        <rFont val="Arial Narrow"/>
        <charset val="134"/>
      </rPr>
      <t>2</t>
    </r>
    <r>
      <rPr>
        <sz val="9"/>
        <color theme="7" tint="0.599993896298105"/>
        <rFont val="宋体"/>
        <charset val="134"/>
      </rPr>
      <t>）已质押的应收票据</t>
    </r>
  </si>
  <si>
    <r>
      <rPr>
        <sz val="9"/>
        <rFont val="宋体"/>
        <charset val="134"/>
      </rPr>
      <t>（</t>
    </r>
    <r>
      <rPr>
        <sz val="9"/>
        <rFont val="Arial Narrow"/>
        <charset val="134"/>
      </rPr>
      <t>2</t>
    </r>
    <r>
      <rPr>
        <sz val="9"/>
        <rFont val="宋体"/>
        <charset val="134"/>
      </rPr>
      <t>）已质押的应收票据（</t>
    </r>
    <r>
      <rPr>
        <b/>
        <sz val="9"/>
        <color rgb="FFFF0000"/>
        <rFont val="宋体"/>
        <charset val="134"/>
      </rPr>
      <t>合并应单独汇总</t>
    </r>
    <r>
      <rPr>
        <sz val="9"/>
        <rFont val="宋体"/>
        <charset val="134"/>
      </rPr>
      <t>）</t>
    </r>
  </si>
  <si>
    <t>出票单位</t>
  </si>
  <si>
    <r>
      <rPr>
        <sz val="9"/>
        <color theme="7" tint="0.599993896298105"/>
        <rFont val="宋体"/>
        <charset val="134"/>
      </rPr>
      <t>（</t>
    </r>
    <r>
      <rPr>
        <sz val="9"/>
        <color theme="7" tint="0.599993896298105"/>
        <rFont val="Arial Narrow"/>
        <charset val="134"/>
      </rPr>
      <t>2）已质押的应收票据</t>
    </r>
  </si>
  <si>
    <t>注：披露金额最大的前五项已质押的应收票据(各分子公司填列时应全部列示)</t>
  </si>
  <si>
    <r>
      <rPr>
        <b/>
        <sz val="9"/>
        <color rgb="FF0070C0"/>
        <rFont val="宋体"/>
        <charset val="134"/>
      </rPr>
      <t>注：披露金额最大的前五项已质押的应收票据</t>
    </r>
    <r>
      <rPr>
        <b/>
        <sz val="9"/>
        <color rgb="FF0070C0"/>
        <rFont val="Arial Narrow"/>
        <charset val="134"/>
      </rPr>
      <t>(</t>
    </r>
    <r>
      <rPr>
        <b/>
        <sz val="9"/>
        <color rgb="FF0070C0"/>
        <rFont val="宋体"/>
        <charset val="134"/>
      </rPr>
      <t>各分子公司填列时应全部列示</t>
    </r>
    <r>
      <rPr>
        <b/>
        <sz val="9"/>
        <color rgb="FF0070C0"/>
        <rFont val="Arial Narrow"/>
        <charset val="134"/>
      </rPr>
      <t>)</t>
    </r>
  </si>
  <si>
    <t>（3）因出票人无力履约而将票据转为应收账款的票据以及期末已背书但尚未到期的应收票据情况</t>
  </si>
  <si>
    <r>
      <rPr>
        <sz val="9"/>
        <color theme="7" tint="0.599993896298105"/>
        <rFont val="宋体"/>
        <charset val="134"/>
      </rPr>
      <t>（</t>
    </r>
    <r>
      <rPr>
        <sz val="9"/>
        <color theme="7" tint="0.599993896298105"/>
        <rFont val="Arial Narrow"/>
        <charset val="134"/>
      </rPr>
      <t>3</t>
    </r>
    <r>
      <rPr>
        <sz val="9"/>
        <color theme="7" tint="0.599993896298105"/>
        <rFont val="宋体"/>
        <charset val="134"/>
      </rPr>
      <t>）因出票人无力履约而将票据转为应收账款的票据以及期末已背书但尚未到期的应收票据情况</t>
    </r>
  </si>
  <si>
    <r>
      <rPr>
        <sz val="9"/>
        <rFont val="宋体"/>
        <charset val="134"/>
      </rPr>
      <t>（</t>
    </r>
    <r>
      <rPr>
        <sz val="9"/>
        <rFont val="Arial Narrow"/>
        <charset val="134"/>
      </rPr>
      <t>3</t>
    </r>
    <r>
      <rPr>
        <sz val="9"/>
        <rFont val="宋体"/>
        <charset val="134"/>
      </rPr>
      <t>）因出票人无力履约而将票据转为应收账款的票据以及期末已背书但尚未到期的应收票据情况</t>
    </r>
  </si>
  <si>
    <t>因出票人无力履约而将票据转为应收账款的票据</t>
  </si>
  <si>
    <r>
      <rPr>
        <sz val="9"/>
        <color theme="7" tint="0.599993896298105"/>
        <rFont val="宋体"/>
        <charset val="134"/>
      </rPr>
      <t>（</t>
    </r>
    <r>
      <rPr>
        <sz val="9"/>
        <color theme="7" tint="0.599993896298105"/>
        <rFont val="Arial Narrow"/>
        <charset val="134"/>
      </rPr>
      <t>3）因出票人无力履约而将票据转为应收账款的票据以及期末已背书但尚未到期的应收票据情况</t>
    </r>
  </si>
  <si>
    <t>期末已背书但尚未到期的应收票据</t>
  </si>
  <si>
    <t>注：披露金额最大的前五项(各分子公司填列时应全部列示)</t>
  </si>
  <si>
    <r>
      <rPr>
        <b/>
        <sz val="9"/>
        <color rgb="FFFF0000"/>
        <rFont val="宋体"/>
        <charset val="134"/>
      </rPr>
      <t>注：披露金额最大的前五项</t>
    </r>
    <r>
      <rPr>
        <b/>
        <sz val="9"/>
        <color rgb="FFFF0000"/>
        <rFont val="Arial Narrow"/>
        <charset val="134"/>
      </rPr>
      <t>(</t>
    </r>
    <r>
      <rPr>
        <b/>
        <sz val="9"/>
        <color rgb="FFFF0000"/>
        <rFont val="宋体"/>
        <charset val="134"/>
      </rPr>
      <t>各分子公司填列时应全部列示</t>
    </r>
    <r>
      <rPr>
        <b/>
        <sz val="9"/>
        <color rgb="FFFF0000"/>
        <rFont val="Arial Narrow"/>
        <charset val="134"/>
      </rPr>
      <t>)</t>
    </r>
  </si>
  <si>
    <r>
      <rPr>
        <sz val="9"/>
        <color theme="7" tint="0.599993896298105"/>
        <rFont val="宋体"/>
        <charset val="134"/>
      </rPr>
      <t>（</t>
    </r>
    <r>
      <rPr>
        <sz val="9"/>
        <color theme="7" tint="0.599993896298105"/>
        <rFont val="Arial Narrow"/>
        <charset val="134"/>
      </rPr>
      <t>4</t>
    </r>
    <r>
      <rPr>
        <sz val="9"/>
        <color theme="7" tint="0.599993896298105"/>
        <rFont val="宋体"/>
        <charset val="134"/>
      </rPr>
      <t>）期末金额与期初金额比较，数据变动幅度达</t>
    </r>
    <r>
      <rPr>
        <sz val="9"/>
        <color theme="7" tint="0.599993896298105"/>
        <rFont val="Arial Narrow"/>
        <charset val="134"/>
      </rPr>
      <t>30%</t>
    </r>
    <r>
      <rPr>
        <sz val="9"/>
        <color theme="7" tint="0.599993896298105"/>
        <rFont val="宋体"/>
        <charset val="134"/>
      </rPr>
      <t>（含</t>
    </r>
    <r>
      <rPr>
        <sz val="9"/>
        <color theme="7" tint="0.599993896298105"/>
        <rFont val="Arial Narrow"/>
        <charset val="134"/>
      </rPr>
      <t>30%</t>
    </r>
    <r>
      <rPr>
        <sz val="9"/>
        <color theme="7" tint="0.599993896298105"/>
        <rFont val="宋体"/>
        <charset val="134"/>
      </rPr>
      <t>）以上，或期末金额占公司期末资产总额</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6%）以上的，应当说明具体情况及变动原因。</t>
    </r>
  </si>
  <si>
    <r>
      <rPr>
        <sz val="9"/>
        <color theme="7" tint="0.599993896298105"/>
        <rFont val="宋体"/>
        <charset val="134"/>
      </rPr>
      <t>（</t>
    </r>
    <r>
      <rPr>
        <sz val="9"/>
        <color theme="7" tint="0.599993896298105"/>
        <rFont val="Arial Narrow"/>
        <charset val="134"/>
      </rPr>
      <t>4</t>
    </r>
    <r>
      <rPr>
        <sz val="9"/>
        <color theme="7" tint="0.599993896298105"/>
        <rFont val="宋体"/>
        <charset val="134"/>
      </rPr>
      <t>）期末金额与期初金额比较，数据变动幅度达</t>
    </r>
    <r>
      <rPr>
        <sz val="9"/>
        <color theme="7" tint="0.599993896298105"/>
        <rFont val="Arial Narrow"/>
        <charset val="134"/>
      </rPr>
      <t>30%</t>
    </r>
    <r>
      <rPr>
        <sz val="9"/>
        <color theme="7" tint="0.599993896298105"/>
        <rFont val="宋体"/>
        <charset val="134"/>
      </rPr>
      <t>（含</t>
    </r>
    <r>
      <rPr>
        <sz val="9"/>
        <color theme="7" tint="0.599993896298105"/>
        <rFont val="Arial Narrow"/>
        <charset val="134"/>
      </rPr>
      <t>30%</t>
    </r>
    <r>
      <rPr>
        <sz val="9"/>
        <color theme="7" tint="0.599993896298105"/>
        <rFont val="宋体"/>
        <charset val="134"/>
      </rPr>
      <t>）以上，或期末金额占公司期末资产总额</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7%）以上的，应当说明具体情况及变动原因。</t>
    </r>
  </si>
  <si>
    <t>（四）应收股利-披露表</t>
  </si>
  <si>
    <r>
      <rPr>
        <sz val="9"/>
        <color theme="0" tint="-0.249977111117893"/>
        <rFont val="宋体"/>
        <charset val="134"/>
      </rPr>
      <t>应收股利</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</si>
  <si>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）按账龄列示</t>
    </r>
  </si>
  <si>
    <r>
      <rPr>
        <b/>
        <sz val="9"/>
        <rFont val="宋体"/>
        <charset val="134"/>
      </rPr>
      <t>（四）应收股利</t>
    </r>
    <r>
      <rPr>
        <b/>
        <sz val="9"/>
        <rFont val="Arial Narrow"/>
        <charset val="134"/>
      </rPr>
      <t>-</t>
    </r>
    <r>
      <rPr>
        <b/>
        <sz val="9"/>
        <rFont val="宋体"/>
        <charset val="134"/>
      </rPr>
      <t>披露表</t>
    </r>
  </si>
  <si>
    <t>单独合并</t>
  </si>
  <si>
    <t>（1）按账龄列示</t>
  </si>
  <si>
    <r>
      <rPr>
        <sz val="9"/>
        <rFont val="宋体"/>
        <charset val="134"/>
      </rPr>
      <t>（</t>
    </r>
    <r>
      <rPr>
        <sz val="9"/>
        <rFont val="Arial Narrow"/>
        <charset val="134"/>
      </rPr>
      <t>1</t>
    </r>
    <r>
      <rPr>
        <sz val="9"/>
        <rFont val="宋体"/>
        <charset val="134"/>
      </rPr>
      <t>）按账龄列示</t>
    </r>
  </si>
  <si>
    <r>
      <rPr>
        <sz val="9"/>
        <color theme="7" tint="0.599993896298105"/>
        <rFont val="宋体"/>
        <charset val="134"/>
      </rPr>
      <t>（</t>
    </r>
    <r>
      <rPr>
        <sz val="9"/>
        <color theme="7" tint="0.599993896298105"/>
        <rFont val="Arial Narrow"/>
        <charset val="134"/>
      </rPr>
      <t>1）按账龄列示</t>
    </r>
  </si>
  <si>
    <t>相关款项是否发生减值</t>
  </si>
  <si>
    <t>账龄1年以内的应收股利：</t>
  </si>
  <si>
    <r>
      <rPr>
        <sz val="9"/>
        <rFont val="宋体"/>
        <charset val="134"/>
      </rPr>
      <t>账龄</t>
    </r>
    <r>
      <rPr>
        <sz val="9"/>
        <rFont val="Arial Narrow"/>
        <charset val="134"/>
      </rPr>
      <t>1</t>
    </r>
    <r>
      <rPr>
        <sz val="9"/>
        <rFont val="宋体"/>
        <charset val="134"/>
      </rPr>
      <t>年以内的应收股利：</t>
    </r>
  </si>
  <si>
    <t>账龄1年以上的应收股利:</t>
  </si>
  <si>
    <r>
      <rPr>
        <sz val="9"/>
        <rFont val="宋体"/>
        <charset val="134"/>
      </rPr>
      <t>账龄</t>
    </r>
    <r>
      <rPr>
        <sz val="9"/>
        <rFont val="Arial Narrow"/>
        <charset val="134"/>
      </rPr>
      <t>1</t>
    </r>
    <r>
      <rPr>
        <sz val="9"/>
        <rFont val="宋体"/>
        <charset val="134"/>
      </rPr>
      <t>年以上的应收股利</t>
    </r>
    <r>
      <rPr>
        <sz val="9"/>
        <rFont val="Arial Narrow"/>
        <charset val="134"/>
      </rPr>
      <t>:</t>
    </r>
  </si>
  <si>
    <r>
      <rPr>
        <sz val="9"/>
        <color theme="7" tint="0.599993896298105"/>
        <rFont val="宋体"/>
        <charset val="134"/>
      </rPr>
      <t>（</t>
    </r>
    <r>
      <rPr>
        <sz val="9"/>
        <color theme="7" tint="0.599993896298105"/>
        <rFont val="Arial Narrow"/>
        <charset val="134"/>
      </rPr>
      <t>2</t>
    </r>
    <r>
      <rPr>
        <sz val="9"/>
        <color theme="7" tint="0.599993896298105"/>
        <rFont val="宋体"/>
        <charset val="134"/>
      </rPr>
      <t>）期末金额与期初金额比较，数据变动幅度达</t>
    </r>
    <r>
      <rPr>
        <sz val="9"/>
        <color theme="7" tint="0.599993896298105"/>
        <rFont val="Arial Narrow"/>
        <charset val="134"/>
      </rPr>
      <t>30%</t>
    </r>
    <r>
      <rPr>
        <sz val="9"/>
        <color theme="7" tint="0.599993896298105"/>
        <rFont val="宋体"/>
        <charset val="134"/>
      </rPr>
      <t>（含</t>
    </r>
    <r>
      <rPr>
        <sz val="9"/>
        <color theme="7" tint="0.599993896298105"/>
        <rFont val="Arial Narrow"/>
        <charset val="134"/>
      </rPr>
      <t>30%</t>
    </r>
    <r>
      <rPr>
        <sz val="9"/>
        <color theme="7" tint="0.599993896298105"/>
        <rFont val="宋体"/>
        <charset val="134"/>
      </rPr>
      <t>）以上，或期末金额占公司期末资产总额</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6%）以上的，应当说明具体情况及变动原因。</t>
    </r>
  </si>
  <si>
    <r>
      <rPr>
        <sz val="9"/>
        <color theme="7" tint="0.599993896298105"/>
        <rFont val="宋体"/>
        <charset val="134"/>
      </rPr>
      <t>（</t>
    </r>
    <r>
      <rPr>
        <sz val="9"/>
        <color theme="7" tint="0.599993896298105"/>
        <rFont val="Arial Narrow"/>
        <charset val="134"/>
      </rPr>
      <t>2</t>
    </r>
    <r>
      <rPr>
        <sz val="9"/>
        <color theme="7" tint="0.599993896298105"/>
        <rFont val="宋体"/>
        <charset val="134"/>
      </rPr>
      <t>）期末金额与期初金额比较，数据变动幅度达</t>
    </r>
    <r>
      <rPr>
        <sz val="9"/>
        <color theme="7" tint="0.599993896298105"/>
        <rFont val="Arial Narrow"/>
        <charset val="134"/>
      </rPr>
      <t>30%</t>
    </r>
    <r>
      <rPr>
        <sz val="9"/>
        <color theme="7" tint="0.599993896298105"/>
        <rFont val="宋体"/>
        <charset val="134"/>
      </rPr>
      <t>（含</t>
    </r>
    <r>
      <rPr>
        <sz val="9"/>
        <color theme="7" tint="0.599993896298105"/>
        <rFont val="Arial Narrow"/>
        <charset val="134"/>
      </rPr>
      <t>30%</t>
    </r>
    <r>
      <rPr>
        <sz val="9"/>
        <color theme="7" tint="0.599993896298105"/>
        <rFont val="宋体"/>
        <charset val="134"/>
      </rPr>
      <t>）以上，或期末金额占公司期末资产总额</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7%）以上的，应当说明具体情况及变动原因。</t>
    </r>
  </si>
  <si>
    <t>（五）应收利息-披露表</t>
  </si>
  <si>
    <r>
      <rPr>
        <sz val="9"/>
        <color theme="0" tint="-0.249977111117893"/>
        <rFont val="宋体"/>
        <charset val="134"/>
      </rPr>
      <t>应收利息</t>
    </r>
    <r>
      <rPr>
        <sz val="9"/>
        <color theme="0" tint="-0.249977111117893"/>
        <rFont val="Arial Narrow"/>
        <charset val="134"/>
      </rPr>
      <t>-</t>
    </r>
    <r>
      <rPr>
        <sz val="9"/>
        <color theme="0" tint="-0.249977111117893"/>
        <rFont val="宋体"/>
        <charset val="134"/>
      </rPr>
      <t>披露表</t>
    </r>
  </si>
  <si>
    <r>
      <rPr>
        <b/>
        <sz val="9"/>
        <rFont val="宋体"/>
        <charset val="134"/>
      </rPr>
      <t>（五）应收利息</t>
    </r>
    <r>
      <rPr>
        <b/>
        <sz val="9"/>
        <rFont val="Arial Narrow"/>
        <charset val="134"/>
      </rPr>
      <t>-</t>
    </r>
    <r>
      <rPr>
        <b/>
        <sz val="9"/>
        <rFont val="宋体"/>
        <charset val="134"/>
      </rPr>
      <t>披露表</t>
    </r>
  </si>
  <si>
    <t>账龄1年以内的应收利息：</t>
  </si>
  <si>
    <r>
      <rPr>
        <sz val="9"/>
        <rFont val="宋体"/>
        <charset val="134"/>
      </rPr>
      <t>账龄</t>
    </r>
    <r>
      <rPr>
        <sz val="9"/>
        <rFont val="Arial Narrow"/>
        <charset val="134"/>
      </rPr>
      <t>1</t>
    </r>
    <r>
      <rPr>
        <sz val="9"/>
        <rFont val="宋体"/>
        <charset val="134"/>
      </rPr>
      <t>年以内的应收利息：</t>
    </r>
  </si>
  <si>
    <t>项目1…….</t>
  </si>
  <si>
    <r>
      <rPr>
        <sz val="9"/>
        <rFont val="Arial Narrow"/>
        <charset val="134"/>
      </rPr>
      <t>1</t>
    </r>
    <r>
      <rPr>
        <sz val="9"/>
        <rFont val="宋体"/>
        <charset val="134"/>
      </rPr>
      <t>定期存款利息</t>
    </r>
  </si>
  <si>
    <t>项目2…….</t>
  </si>
  <si>
    <r>
      <rPr>
        <sz val="9"/>
        <rFont val="Arial Narrow"/>
        <charset val="134"/>
      </rPr>
      <t>2</t>
    </r>
    <r>
      <rPr>
        <sz val="9"/>
        <rFont val="宋体"/>
        <charset val="134"/>
      </rPr>
      <t>其他应收利息</t>
    </r>
    <r>
      <rPr>
        <sz val="9"/>
        <rFont val="Arial Narrow"/>
        <charset val="134"/>
      </rPr>
      <t>-</t>
    </r>
    <r>
      <rPr>
        <sz val="9"/>
        <rFont val="宋体"/>
        <charset val="134"/>
      </rPr>
      <t>集团外</t>
    </r>
  </si>
  <si>
    <t>项目3…….</t>
  </si>
  <si>
    <r>
      <rPr>
        <sz val="9"/>
        <rFont val="Arial Narrow"/>
        <charset val="134"/>
      </rPr>
      <t>2</t>
    </r>
    <r>
      <rPr>
        <sz val="9"/>
        <rFont val="宋体"/>
        <charset val="134"/>
      </rPr>
      <t>其他应收利息</t>
    </r>
    <r>
      <rPr>
        <sz val="9"/>
        <rFont val="Arial Narrow"/>
        <charset val="134"/>
      </rPr>
      <t>-</t>
    </r>
    <r>
      <rPr>
        <sz val="9"/>
        <rFont val="宋体"/>
        <charset val="134"/>
      </rPr>
      <t>集团内</t>
    </r>
  </si>
  <si>
    <t>项目4…….</t>
  </si>
  <si>
    <t>3委托贷款应收利息</t>
  </si>
  <si>
    <t>项目5…….</t>
  </si>
  <si>
    <r>
      <rPr>
        <sz val="9"/>
        <rFont val="Arial Narrow"/>
        <charset val="134"/>
      </rPr>
      <t>4</t>
    </r>
    <r>
      <rPr>
        <sz val="9"/>
        <rFont val="宋体"/>
        <charset val="134"/>
      </rPr>
      <t>债券投资应收利息</t>
    </r>
  </si>
  <si>
    <t>项目6…….</t>
  </si>
  <si>
    <r>
      <rPr>
        <sz val="9"/>
        <rFont val="Arial Narrow"/>
        <charset val="134"/>
      </rPr>
      <t>5</t>
    </r>
    <r>
      <rPr>
        <sz val="9"/>
        <rFont val="宋体"/>
        <charset val="134"/>
      </rPr>
      <t>理财产品计提应收利息</t>
    </r>
  </si>
  <si>
    <t>项目7…….</t>
  </si>
  <si>
    <r>
      <rPr>
        <sz val="9"/>
        <rFont val="宋体"/>
        <charset val="134"/>
      </rPr>
      <t>项目</t>
    </r>
    <r>
      <rPr>
        <sz val="9"/>
        <rFont val="Arial Narrow"/>
        <charset val="134"/>
      </rPr>
      <t>7…….</t>
    </r>
  </si>
  <si>
    <t>项目8…….</t>
  </si>
  <si>
    <r>
      <rPr>
        <sz val="9"/>
        <rFont val="宋体"/>
        <charset val="134"/>
      </rPr>
      <t>项目</t>
    </r>
    <r>
      <rPr>
        <sz val="9"/>
        <rFont val="Arial Narrow"/>
        <charset val="134"/>
      </rPr>
      <t>8…….</t>
    </r>
  </si>
  <si>
    <t>项目9…….</t>
  </si>
  <si>
    <r>
      <rPr>
        <sz val="9"/>
        <rFont val="宋体"/>
        <charset val="134"/>
      </rPr>
      <t>项目</t>
    </r>
    <r>
      <rPr>
        <sz val="9"/>
        <rFont val="Arial Narrow"/>
        <charset val="134"/>
      </rPr>
      <t>9…….</t>
    </r>
  </si>
  <si>
    <t>项目10…….</t>
  </si>
  <si>
    <r>
      <rPr>
        <sz val="9"/>
        <rFont val="宋体"/>
        <charset val="134"/>
      </rPr>
      <t>项目</t>
    </r>
    <r>
      <rPr>
        <sz val="9"/>
        <rFont val="Arial Narrow"/>
        <charset val="134"/>
      </rPr>
      <t>10…….</t>
    </r>
  </si>
  <si>
    <t>账龄1年以上的应收利息:</t>
  </si>
  <si>
    <r>
      <rPr>
        <sz val="9"/>
        <rFont val="宋体"/>
        <charset val="134"/>
      </rPr>
      <t>账龄</t>
    </r>
    <r>
      <rPr>
        <sz val="9"/>
        <rFont val="Arial Narrow"/>
        <charset val="134"/>
      </rPr>
      <t>1</t>
    </r>
    <r>
      <rPr>
        <sz val="9"/>
        <rFont val="宋体"/>
        <charset val="134"/>
      </rPr>
      <t>年以上的应收利息</t>
    </r>
    <r>
      <rPr>
        <sz val="9"/>
        <rFont val="Arial Narrow"/>
        <charset val="134"/>
      </rPr>
      <t>:</t>
    </r>
  </si>
  <si>
    <t>1定期存款利息</t>
  </si>
  <si>
    <t>（2）逾期利息</t>
  </si>
  <si>
    <r>
      <rPr>
        <sz val="9"/>
        <color theme="7" tint="0.599993896298105"/>
        <rFont val="宋体"/>
        <charset val="134"/>
      </rPr>
      <t>（</t>
    </r>
    <r>
      <rPr>
        <sz val="9"/>
        <color theme="7" tint="0.599993896298105"/>
        <rFont val="Arial Narrow"/>
        <charset val="134"/>
      </rPr>
      <t>2</t>
    </r>
    <r>
      <rPr>
        <sz val="9"/>
        <color theme="7" tint="0.599993896298105"/>
        <rFont val="宋体"/>
        <charset val="134"/>
      </rPr>
      <t>）逾期利息</t>
    </r>
  </si>
  <si>
    <r>
      <rPr>
        <sz val="9"/>
        <rFont val="宋体"/>
        <charset val="134"/>
      </rPr>
      <t>（</t>
    </r>
    <r>
      <rPr>
        <sz val="9"/>
        <rFont val="Arial Narrow"/>
        <charset val="134"/>
      </rPr>
      <t>2</t>
    </r>
    <r>
      <rPr>
        <sz val="9"/>
        <rFont val="宋体"/>
        <charset val="134"/>
      </rPr>
      <t>）逾期利息</t>
    </r>
  </si>
  <si>
    <t>期末数</t>
  </si>
  <si>
    <r>
      <rPr>
        <sz val="9"/>
        <color theme="7" tint="0.599993896298105"/>
        <rFont val="宋体"/>
        <charset val="134"/>
      </rPr>
      <t>（</t>
    </r>
    <r>
      <rPr>
        <sz val="9"/>
        <color theme="7" tint="0.599993896298105"/>
        <rFont val="Arial Narrow"/>
        <charset val="134"/>
      </rPr>
      <t>2）逾期利息</t>
    </r>
  </si>
  <si>
    <r>
      <rPr>
        <sz val="9"/>
        <color theme="0" tint="-0.249977111117893"/>
        <rFont val="宋体"/>
        <charset val="134"/>
      </rPr>
      <t>应收账款</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</si>
  <si>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（六）应收账款</t>
    </r>
    <r>
      <rPr>
        <sz val="9"/>
        <color theme="7" tint="0.599993896298105"/>
        <rFont val="Arial Narrow"/>
        <charset val="134"/>
      </rPr>
      <t>-</t>
    </r>
    <r>
      <rPr>
        <sz val="9"/>
        <color theme="7" tint="0.599993896298105"/>
        <rFont val="宋体"/>
        <charset val="134"/>
      </rPr>
      <t>披露表</t>
    </r>
  </si>
  <si>
    <r>
      <rPr>
        <b/>
        <sz val="9"/>
        <rFont val="宋体"/>
        <charset val="134"/>
      </rPr>
      <t>（六）应收账款</t>
    </r>
    <r>
      <rPr>
        <b/>
        <sz val="9"/>
        <rFont val="Arial Narrow"/>
        <charset val="134"/>
      </rPr>
      <t>-</t>
    </r>
    <r>
      <rPr>
        <b/>
        <sz val="9"/>
        <rFont val="宋体"/>
        <charset val="134"/>
      </rPr>
      <t>披露表</t>
    </r>
  </si>
  <si>
    <t>账龄</t>
  </si>
  <si>
    <t>按账龄计提坏账政策</t>
  </si>
  <si>
    <t>账龄勾稽关系是否合理</t>
  </si>
  <si>
    <t>不合理说明</t>
  </si>
  <si>
    <t>账龄扣除个别认定数据</t>
  </si>
  <si>
    <t>按政策应计提坏账</t>
  </si>
  <si>
    <t>单项比例合计与合计数不符</t>
  </si>
  <si>
    <t>余额</t>
  </si>
  <si>
    <t>计提比例</t>
  </si>
  <si>
    <r>
      <rPr>
        <sz val="9"/>
        <rFont val="宋体"/>
        <charset val="134"/>
      </rPr>
      <t>比例修正值</t>
    </r>
    <r>
      <rPr>
        <sz val="9"/>
        <rFont val="Arial Narrow"/>
        <charset val="134"/>
      </rPr>
      <t>-</t>
    </r>
    <r>
      <rPr>
        <sz val="9"/>
        <rFont val="宋体"/>
        <charset val="134"/>
      </rPr>
      <t>期未</t>
    </r>
  </si>
  <si>
    <r>
      <rPr>
        <sz val="9"/>
        <rFont val="宋体"/>
        <charset val="134"/>
      </rPr>
      <t>比例修正值</t>
    </r>
    <r>
      <rPr>
        <sz val="9"/>
        <rFont val="Arial Narrow"/>
        <charset val="134"/>
      </rPr>
      <t>-</t>
    </r>
    <r>
      <rPr>
        <sz val="9"/>
        <rFont val="宋体"/>
        <charset val="134"/>
      </rPr>
      <t>期初</t>
    </r>
  </si>
  <si>
    <r>
      <rPr>
        <sz val="9"/>
        <rFont val="Arial Narrow"/>
        <charset val="134"/>
      </rPr>
      <t>1</t>
    </r>
    <r>
      <rPr>
        <sz val="9"/>
        <rFont val="宋体"/>
        <charset val="134"/>
      </rPr>
      <t>年以内（含</t>
    </r>
    <r>
      <rPr>
        <sz val="9"/>
        <rFont val="Arial Narrow"/>
        <charset val="134"/>
      </rPr>
      <t>1</t>
    </r>
    <r>
      <rPr>
        <sz val="9"/>
        <rFont val="宋体"/>
        <charset val="134"/>
      </rPr>
      <t>年）</t>
    </r>
  </si>
  <si>
    <r>
      <rPr>
        <sz val="9"/>
        <rFont val="Arial Narrow"/>
        <charset val="134"/>
      </rPr>
      <t>1-2</t>
    </r>
    <r>
      <rPr>
        <sz val="9"/>
        <rFont val="宋体"/>
        <charset val="134"/>
      </rPr>
      <t>年（含</t>
    </r>
    <r>
      <rPr>
        <sz val="9"/>
        <rFont val="Arial Narrow"/>
        <charset val="134"/>
      </rPr>
      <t>2</t>
    </r>
    <r>
      <rPr>
        <sz val="9"/>
        <rFont val="宋体"/>
        <charset val="134"/>
      </rPr>
      <t>年）</t>
    </r>
  </si>
  <si>
    <r>
      <rPr>
        <sz val="9"/>
        <rFont val="Arial Narrow"/>
        <charset val="134"/>
      </rPr>
      <t>2-3</t>
    </r>
    <r>
      <rPr>
        <sz val="9"/>
        <rFont val="宋体"/>
        <charset val="134"/>
      </rPr>
      <t>年（含</t>
    </r>
    <r>
      <rPr>
        <sz val="9"/>
        <rFont val="Arial Narrow"/>
        <charset val="134"/>
      </rPr>
      <t>3</t>
    </r>
    <r>
      <rPr>
        <sz val="9"/>
        <rFont val="宋体"/>
        <charset val="134"/>
      </rPr>
      <t>年）</t>
    </r>
  </si>
  <si>
    <r>
      <rPr>
        <sz val="9"/>
        <rFont val="Arial Narrow"/>
        <charset val="134"/>
      </rPr>
      <t>3-4</t>
    </r>
    <r>
      <rPr>
        <sz val="9"/>
        <rFont val="宋体"/>
        <charset val="134"/>
      </rPr>
      <t>年（含</t>
    </r>
    <r>
      <rPr>
        <sz val="9"/>
        <rFont val="Arial Narrow"/>
        <charset val="134"/>
      </rPr>
      <t>4</t>
    </r>
    <r>
      <rPr>
        <sz val="9"/>
        <rFont val="宋体"/>
        <charset val="134"/>
      </rPr>
      <t>年）</t>
    </r>
  </si>
  <si>
    <r>
      <rPr>
        <sz val="9"/>
        <rFont val="Arial Narrow"/>
        <charset val="134"/>
      </rPr>
      <t>4-5</t>
    </r>
    <r>
      <rPr>
        <sz val="9"/>
        <rFont val="宋体"/>
        <charset val="134"/>
      </rPr>
      <t>年（含</t>
    </r>
    <r>
      <rPr>
        <sz val="9"/>
        <rFont val="Arial Narrow"/>
        <charset val="134"/>
      </rPr>
      <t>5</t>
    </r>
    <r>
      <rPr>
        <sz val="9"/>
        <rFont val="宋体"/>
        <charset val="134"/>
      </rPr>
      <t>年）</t>
    </r>
  </si>
  <si>
    <r>
      <rPr>
        <sz val="9"/>
        <rFont val="Arial Narrow"/>
        <charset val="134"/>
      </rPr>
      <t>5</t>
    </r>
    <r>
      <rPr>
        <sz val="9"/>
        <rFont val="宋体"/>
        <charset val="134"/>
      </rPr>
      <t>年以上</t>
    </r>
  </si>
  <si>
    <t>按账龄计提坏账是否符合会计政策</t>
  </si>
  <si>
    <t>按类别列示</t>
  </si>
  <si>
    <t>注：单项金额不重大但按信用风险特征组合后该组合的风险较大的应收款项，应说明确定该组合的依据。</t>
  </si>
  <si>
    <t>注：对按组合计提减值准备的应收账款，应披露确定组合的依据、按组合计提减值准备采用的计提方法</t>
  </si>
  <si>
    <t>账龄合计与按类别合计核对：</t>
  </si>
  <si>
    <t>单项金额重大并单项计提坏账准备的的应收账款核对：</t>
  </si>
  <si>
    <t>按组合（账龄分析法）计提坏账准备的应收账款核对：</t>
  </si>
  <si>
    <t>单项金额虽不重大但单项计提坏账准备的应收账款核对：</t>
  </si>
  <si>
    <t>（2）期末按个别认定进行减值测试的应收账款计提坏帐准备的说明</t>
  </si>
  <si>
    <r>
      <rPr>
        <sz val="9"/>
        <color theme="7" tint="0.599993896298105"/>
        <rFont val="宋体"/>
        <charset val="134"/>
      </rPr>
      <t>（</t>
    </r>
    <r>
      <rPr>
        <sz val="9"/>
        <color theme="7" tint="0.599993896298105"/>
        <rFont val="Arial Narrow"/>
        <charset val="134"/>
      </rPr>
      <t>2</t>
    </r>
    <r>
      <rPr>
        <sz val="9"/>
        <color theme="7" tint="0.599993896298105"/>
        <rFont val="宋体"/>
        <charset val="134"/>
      </rPr>
      <t>）期末按个别认定进行减值测试的应收账款计提坏帐准备的说明</t>
    </r>
  </si>
  <si>
    <r>
      <rPr>
        <sz val="9"/>
        <rFont val="宋体"/>
        <charset val="134"/>
      </rPr>
      <t>（</t>
    </r>
    <r>
      <rPr>
        <sz val="9"/>
        <rFont val="Arial Narrow"/>
        <charset val="134"/>
      </rPr>
      <t>2</t>
    </r>
    <r>
      <rPr>
        <sz val="9"/>
        <rFont val="宋体"/>
        <charset val="134"/>
      </rPr>
      <t>）</t>
    </r>
    <r>
      <rPr>
        <sz val="9"/>
        <rFont val="Arial Narrow"/>
        <charset val="134"/>
      </rPr>
      <t>-1</t>
    </r>
    <r>
      <rPr>
        <sz val="9"/>
        <rFont val="宋体"/>
        <charset val="134"/>
      </rPr>
      <t>期末按个别认定进行减值测试的应收账款计提坏帐准备的说明</t>
    </r>
  </si>
  <si>
    <t>业务内容</t>
  </si>
  <si>
    <t>坏账金额</t>
  </si>
  <si>
    <r>
      <rPr>
        <b/>
        <sz val="9"/>
        <rFont val="宋体"/>
        <charset val="134"/>
      </rPr>
      <t>计提比例（</t>
    </r>
    <r>
      <rPr>
        <b/>
        <sz val="9"/>
        <rFont val="Arial Narrow"/>
        <charset val="134"/>
      </rPr>
      <t>%</t>
    </r>
    <r>
      <rPr>
        <b/>
        <sz val="9"/>
        <rFont val="宋体"/>
        <charset val="134"/>
      </rPr>
      <t>）</t>
    </r>
  </si>
  <si>
    <t>理由</t>
  </si>
  <si>
    <t>单项金额重大并单项计提坏账准备的的应收账款小计</t>
  </si>
  <si>
    <t>单项金额虽不重大但单项计提坏账准备的应收账款小计</t>
  </si>
  <si>
    <r>
      <rPr>
        <sz val="9"/>
        <color theme="7" tint="0.599993896298105"/>
        <rFont val="宋体"/>
        <charset val="134"/>
      </rPr>
      <t>（</t>
    </r>
    <r>
      <rPr>
        <sz val="9"/>
        <color theme="7" tint="0.599993896298105"/>
        <rFont val="Arial Narrow"/>
        <charset val="134"/>
      </rPr>
      <t>2）期末按个别认定进行减值测试的应收账款计提坏帐准备的说明</t>
    </r>
  </si>
  <si>
    <t>（2）-2期初按个别认定进行减值测试的应收账款计提坏帐准备的说明</t>
  </si>
  <si>
    <t>（3）单项金额重大的应收账款计提坏账准备的说明：</t>
  </si>
  <si>
    <r>
      <rPr>
        <sz val="9"/>
        <color theme="7" tint="0.599993896298105"/>
        <rFont val="宋体"/>
        <charset val="134"/>
      </rPr>
      <t>（</t>
    </r>
    <r>
      <rPr>
        <sz val="9"/>
        <color theme="7" tint="0.599993896298105"/>
        <rFont val="Arial Narrow"/>
        <charset val="134"/>
      </rPr>
      <t>3</t>
    </r>
    <r>
      <rPr>
        <sz val="9"/>
        <color theme="7" tint="0.599993896298105"/>
        <rFont val="宋体"/>
        <charset val="134"/>
      </rPr>
      <t>）单项金额重大的应收账款计提坏账准备的说明：</t>
    </r>
  </si>
  <si>
    <r>
      <rPr>
        <b/>
        <sz val="9"/>
        <rFont val="宋体"/>
        <charset val="134"/>
      </rPr>
      <t>（</t>
    </r>
    <r>
      <rPr>
        <b/>
        <sz val="9"/>
        <rFont val="Arial Narrow"/>
        <charset val="134"/>
      </rPr>
      <t>3</t>
    </r>
    <r>
      <rPr>
        <b/>
        <sz val="9"/>
        <rFont val="宋体"/>
        <charset val="134"/>
      </rPr>
      <t>）单项金额重大的应收账款计提坏账准备的说明：</t>
    </r>
  </si>
  <si>
    <t>单项金额重大标准：</t>
  </si>
  <si>
    <t>单项金额重大的应收款项（合并应单独汇总）</t>
  </si>
  <si>
    <r>
      <rPr>
        <b/>
        <sz val="9"/>
        <rFont val="宋体"/>
        <charset val="134"/>
      </rPr>
      <t>单项金额重大的应收款项（</t>
    </r>
    <r>
      <rPr>
        <b/>
        <sz val="9"/>
        <color rgb="FFFF0000"/>
        <rFont val="宋体"/>
        <charset val="134"/>
      </rPr>
      <t>合并应单独汇总</t>
    </r>
    <r>
      <rPr>
        <b/>
        <sz val="9"/>
        <rFont val="宋体"/>
        <charset val="134"/>
      </rPr>
      <t>）</t>
    </r>
  </si>
  <si>
    <r>
      <rPr>
        <sz val="9"/>
        <color theme="7" tint="0.599993896298105"/>
        <rFont val="宋体"/>
        <charset val="134"/>
      </rPr>
      <t>（</t>
    </r>
    <r>
      <rPr>
        <sz val="9"/>
        <color theme="7" tint="0.599993896298105"/>
        <rFont val="Arial Narrow"/>
        <charset val="134"/>
      </rPr>
      <t>3）单项金额重大的应收账款计提坏账准备的说明：</t>
    </r>
  </si>
  <si>
    <r>
      <rPr>
        <sz val="9"/>
        <rFont val="宋体"/>
        <charset val="134"/>
      </rPr>
      <t>计提比例（</t>
    </r>
    <r>
      <rPr>
        <sz val="9"/>
        <rFont val="Arial Narrow"/>
        <charset val="134"/>
      </rPr>
      <t>%</t>
    </r>
    <r>
      <rPr>
        <sz val="9"/>
        <rFont val="宋体"/>
        <charset val="134"/>
      </rPr>
      <t>）</t>
    </r>
  </si>
  <si>
    <t>与按类别核对</t>
  </si>
  <si>
    <t>注：单项金额重大的应收款项，应单独说明其计提的比例及其理由；单项金额不重大但按信用风险特征组合后该组合的风险较大的应收款项，应说明确定该组合的依据；</t>
  </si>
  <si>
    <t>注：单项金额重大的应收款项，应单独说明其计提的比例及其理由</t>
  </si>
  <si>
    <t>（4）本期应收账款收回以前年度已全额计提坏账准备的、以前年度计提坏账准备比例较大的、通过债务重组等其他方式收回的情况</t>
  </si>
  <si>
    <r>
      <rPr>
        <sz val="9"/>
        <color theme="7" tint="0.599993896298105"/>
        <rFont val="宋体"/>
        <charset val="134"/>
      </rPr>
      <t>（</t>
    </r>
    <r>
      <rPr>
        <sz val="9"/>
        <color theme="7" tint="0.599993896298105"/>
        <rFont val="Arial Narrow"/>
        <charset val="134"/>
      </rPr>
      <t>4</t>
    </r>
    <r>
      <rPr>
        <sz val="9"/>
        <color theme="7" tint="0.599993896298105"/>
        <rFont val="宋体"/>
        <charset val="134"/>
      </rPr>
      <t>）本期应收账款收回以前年度已全额计提坏账准备的、以前年度计提坏账准备比例较大的、通过债务重组等其他方式收回的情况</t>
    </r>
  </si>
  <si>
    <r>
      <rPr>
        <sz val="9"/>
        <rFont val="宋体"/>
        <charset val="134"/>
      </rPr>
      <t>（</t>
    </r>
    <r>
      <rPr>
        <sz val="9"/>
        <rFont val="Arial Narrow"/>
        <charset val="134"/>
      </rPr>
      <t>4</t>
    </r>
    <r>
      <rPr>
        <sz val="9"/>
        <rFont val="宋体"/>
        <charset val="134"/>
      </rPr>
      <t>）本期应收账款收回以前年度已全额计提坏账准备的、以前年度计提坏账准备比例较大的、通过债务重组等其他方式收回的情况</t>
    </r>
  </si>
  <si>
    <t>（合并应单独汇总）</t>
  </si>
  <si>
    <t>债务人名称</t>
  </si>
  <si>
    <t>转回或收回原因</t>
  </si>
  <si>
    <t>确定原坏账准备的依据</t>
  </si>
  <si>
    <t>转回或收回前累计已计提坏账准备金额</t>
  </si>
  <si>
    <t>转回或收回金额</t>
  </si>
  <si>
    <t>一、以前年度已全额计提坏账准备的</t>
  </si>
  <si>
    <r>
      <rPr>
        <sz val="9"/>
        <color theme="7" tint="0.599993896298105"/>
        <rFont val="宋体"/>
        <charset val="134"/>
      </rPr>
      <t>（</t>
    </r>
    <r>
      <rPr>
        <sz val="9"/>
        <color theme="7" tint="0.599993896298105"/>
        <rFont val="Arial Narrow"/>
        <charset val="134"/>
      </rPr>
      <t>4）本期应收账款收回以前年度已全额计提坏账准备的、以前年度计提坏账准备比例较大的、通过债务重组等其他方式收回的情况</t>
    </r>
  </si>
  <si>
    <t>二、以前年度计提坏账准备比例较大的</t>
  </si>
  <si>
    <t>三、通过债务重组等其他方式收回的</t>
  </si>
  <si>
    <t xml:space="preserve">                      </t>
  </si>
  <si>
    <t>注：本表列报本报告期前已全额计提坏账准备，或计提减值准备的比例较大，但在本期又全额收回或转回，或在本期收回或转回比例较大的应收账款。对本期通过重组等方式收回、金额重大的应收账款，则应逐笔列报，金额不重大的，可汇总列报。</t>
  </si>
  <si>
    <t>（5）本年度实际核销的应收账款性质、原因及其金额。</t>
  </si>
  <si>
    <r>
      <rPr>
        <sz val="9"/>
        <color theme="7" tint="0.599993896298105"/>
        <rFont val="宋体"/>
        <charset val="134"/>
      </rPr>
      <t>（</t>
    </r>
    <r>
      <rPr>
        <sz val="9"/>
        <color theme="7" tint="0.599993896298105"/>
        <rFont val="Arial Narrow"/>
        <charset val="134"/>
      </rPr>
      <t>5</t>
    </r>
    <r>
      <rPr>
        <sz val="9"/>
        <color theme="7" tint="0.599993896298105"/>
        <rFont val="宋体"/>
        <charset val="134"/>
      </rPr>
      <t>）本年度实际核销的应收账款性质、原因及其金额。</t>
    </r>
  </si>
  <si>
    <r>
      <rPr>
        <sz val="9"/>
        <rFont val="宋体"/>
        <charset val="134"/>
      </rPr>
      <t>（</t>
    </r>
    <r>
      <rPr>
        <sz val="9"/>
        <rFont val="Arial Narrow"/>
        <charset val="134"/>
      </rPr>
      <t>5</t>
    </r>
    <r>
      <rPr>
        <sz val="9"/>
        <rFont val="宋体"/>
        <charset val="134"/>
      </rPr>
      <t>）本年度实际核销的应收账款性质、原因及其金额。</t>
    </r>
  </si>
  <si>
    <t>项目名称</t>
  </si>
  <si>
    <r>
      <rPr>
        <sz val="9"/>
        <rFont val="Arial Narrow"/>
        <charset val="134"/>
      </rPr>
      <t xml:space="preserve"> </t>
    </r>
    <r>
      <rPr>
        <sz val="9"/>
        <rFont val="宋体"/>
        <charset val="134"/>
      </rPr>
      <t>款项性质</t>
    </r>
    <r>
      <rPr>
        <sz val="9"/>
        <rFont val="Arial Narrow"/>
        <charset val="134"/>
      </rPr>
      <t xml:space="preserve"> </t>
    </r>
  </si>
  <si>
    <r>
      <rPr>
        <sz val="9"/>
        <rFont val="Arial Narrow"/>
        <charset val="134"/>
      </rPr>
      <t xml:space="preserve"> </t>
    </r>
    <r>
      <rPr>
        <sz val="9"/>
        <rFont val="宋体"/>
        <charset val="134"/>
      </rPr>
      <t>核销原因</t>
    </r>
    <r>
      <rPr>
        <sz val="9"/>
        <rFont val="Arial Narrow"/>
        <charset val="134"/>
      </rPr>
      <t xml:space="preserve"> </t>
    </r>
  </si>
  <si>
    <t>是否因关联交易产生</t>
  </si>
  <si>
    <r>
      <rPr>
        <sz val="9"/>
        <color theme="7" tint="0.599993896298105"/>
        <rFont val="宋体"/>
        <charset val="134"/>
      </rPr>
      <t>（</t>
    </r>
    <r>
      <rPr>
        <sz val="9"/>
        <color theme="7" tint="0.599993896298105"/>
        <rFont val="Arial Narrow"/>
        <charset val="134"/>
      </rPr>
      <t>5）本年度实际核销的应收账款性质、原因及其金额。</t>
    </r>
  </si>
  <si>
    <t xml:space="preserve"> 合　计 </t>
  </si>
  <si>
    <r>
      <rPr>
        <sz val="9"/>
        <rFont val="Arial Narrow"/>
        <charset val="134"/>
      </rPr>
      <t xml:space="preserve"> </t>
    </r>
    <r>
      <rPr>
        <sz val="9"/>
        <rFont val="宋体"/>
        <charset val="134"/>
      </rPr>
      <t>合　计</t>
    </r>
    <r>
      <rPr>
        <sz val="9"/>
        <rFont val="Arial Narrow"/>
        <charset val="134"/>
      </rPr>
      <t xml:space="preserve"> </t>
    </r>
  </si>
  <si>
    <t>（6）期末应收账款金额前五名情况</t>
  </si>
  <si>
    <r>
      <rPr>
        <sz val="9"/>
        <color theme="7" tint="0.599993896298105"/>
        <rFont val="宋体"/>
        <charset val="134"/>
      </rPr>
      <t>（</t>
    </r>
    <r>
      <rPr>
        <sz val="9"/>
        <color theme="7" tint="0.599993896298105"/>
        <rFont val="Arial Narrow"/>
        <charset val="134"/>
      </rPr>
      <t>6</t>
    </r>
    <r>
      <rPr>
        <sz val="9"/>
        <color theme="7" tint="0.599993896298105"/>
        <rFont val="宋体"/>
        <charset val="134"/>
      </rPr>
      <t>）期末应收账款金额前五名情况</t>
    </r>
  </si>
  <si>
    <t>（1）期末应收账款金额前五名情况</t>
  </si>
  <si>
    <r>
      <rPr>
        <sz val="9"/>
        <color theme="7" tint="0.599993896298105"/>
        <rFont val="宋体"/>
        <charset val="134"/>
      </rPr>
      <t>（</t>
    </r>
    <r>
      <rPr>
        <sz val="9"/>
        <color theme="7" tint="0.599993896298105"/>
        <rFont val="Arial Narrow"/>
        <charset val="134"/>
      </rPr>
      <t>6）期末应收账款金额前五名情况</t>
    </r>
  </si>
  <si>
    <t>与本公司关系</t>
  </si>
  <si>
    <t>年限</t>
  </si>
  <si>
    <t>占应收账款总额比例</t>
  </si>
  <si>
    <t>比例修正值</t>
  </si>
  <si>
    <t>核对:</t>
  </si>
  <si>
    <t>（7）期末应收款项中持公司5%（含5%）以上表决权股份的股东单位欠款情况</t>
  </si>
  <si>
    <r>
      <rPr>
        <sz val="9"/>
        <color theme="7" tint="0.599993896298105"/>
        <rFont val="宋体"/>
        <charset val="134"/>
      </rPr>
      <t>（</t>
    </r>
    <r>
      <rPr>
        <sz val="9"/>
        <color theme="7" tint="0.599993896298105"/>
        <rFont val="Arial Narrow"/>
        <charset val="134"/>
      </rPr>
      <t>7</t>
    </r>
    <r>
      <rPr>
        <sz val="9"/>
        <color theme="7" tint="0.599993896298105"/>
        <rFont val="宋体"/>
        <charset val="134"/>
      </rPr>
      <t>）期末应收款项中持公司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t>
    </r>
    <r>
      <rPr>
        <sz val="9"/>
        <color theme="7" tint="0.599993896298105"/>
        <rFont val="宋体"/>
        <charset val="134"/>
      </rPr>
      <t>）以上表决权股份的股东单位欠款情况</t>
    </r>
  </si>
  <si>
    <r>
      <rPr>
        <sz val="9"/>
        <rFont val="宋体"/>
        <charset val="134"/>
      </rPr>
      <t>（</t>
    </r>
    <r>
      <rPr>
        <sz val="9"/>
        <rFont val="Arial Narrow"/>
        <charset val="134"/>
      </rPr>
      <t>7</t>
    </r>
    <r>
      <rPr>
        <sz val="9"/>
        <rFont val="宋体"/>
        <charset val="134"/>
      </rPr>
      <t>）期末应收款项中持公司</t>
    </r>
    <r>
      <rPr>
        <sz val="9"/>
        <rFont val="Arial Narrow"/>
        <charset val="134"/>
      </rPr>
      <t>5%</t>
    </r>
    <r>
      <rPr>
        <sz val="9"/>
        <rFont val="宋体"/>
        <charset val="134"/>
      </rPr>
      <t>（含</t>
    </r>
    <r>
      <rPr>
        <sz val="9"/>
        <rFont val="Arial Narrow"/>
        <charset val="134"/>
      </rPr>
      <t>5%</t>
    </r>
    <r>
      <rPr>
        <sz val="9"/>
        <rFont val="宋体"/>
        <charset val="134"/>
      </rPr>
      <t>）以上表决权股份的股东单位欠款情况</t>
    </r>
  </si>
  <si>
    <t>期末数金额</t>
  </si>
  <si>
    <t>计提坏账金额</t>
  </si>
  <si>
    <t>期初数金额</t>
  </si>
  <si>
    <r>
      <rPr>
        <sz val="9"/>
        <color theme="7" tint="0.599993896298105"/>
        <rFont val="宋体"/>
        <charset val="134"/>
      </rPr>
      <t>（</t>
    </r>
    <r>
      <rPr>
        <sz val="9"/>
        <color theme="7" tint="0.599993896298105"/>
        <rFont val="Arial Narrow"/>
        <charset val="134"/>
      </rPr>
      <t>7</t>
    </r>
    <r>
      <rPr>
        <sz val="9"/>
        <color theme="7" tint="0.599993896298105"/>
        <rFont val="宋体"/>
        <charset val="134"/>
      </rPr>
      <t>）期末应收款项中持公司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5%）以上表决权股份的股东单位欠款情况</t>
    </r>
  </si>
  <si>
    <t>注：如无此类欠款，也应予以说明。</t>
  </si>
  <si>
    <t>（8）期末应收关联方款项情况</t>
  </si>
  <si>
    <r>
      <rPr>
        <sz val="9"/>
        <color theme="7" tint="0.599993896298105"/>
        <rFont val="宋体"/>
        <charset val="134"/>
      </rPr>
      <t>（</t>
    </r>
    <r>
      <rPr>
        <sz val="9"/>
        <color theme="7" tint="0.599993896298105"/>
        <rFont val="Arial Narrow"/>
        <charset val="134"/>
      </rPr>
      <t>8</t>
    </r>
    <r>
      <rPr>
        <sz val="9"/>
        <color theme="7" tint="0.599993896298105"/>
        <rFont val="宋体"/>
        <charset val="134"/>
      </rPr>
      <t>）期末应收关联方款项情况</t>
    </r>
  </si>
  <si>
    <r>
      <rPr>
        <sz val="9"/>
        <rFont val="宋体"/>
        <charset val="134"/>
      </rPr>
      <t>（</t>
    </r>
    <r>
      <rPr>
        <sz val="9"/>
        <rFont val="Arial Narrow"/>
        <charset val="134"/>
      </rPr>
      <t>8</t>
    </r>
    <r>
      <rPr>
        <sz val="9"/>
        <rFont val="宋体"/>
        <charset val="134"/>
      </rPr>
      <t>）期末应收关联方款项情况</t>
    </r>
  </si>
  <si>
    <r>
      <rPr>
        <sz val="9"/>
        <rFont val="宋体"/>
        <charset val="134"/>
      </rPr>
      <t>占应收账款总额的比例（</t>
    </r>
    <r>
      <rPr>
        <sz val="9"/>
        <rFont val="Arial Narrow"/>
        <charset val="134"/>
      </rPr>
      <t>%</t>
    </r>
    <r>
      <rPr>
        <sz val="9"/>
        <rFont val="宋体"/>
        <charset val="134"/>
      </rPr>
      <t>）</t>
    </r>
  </si>
  <si>
    <r>
      <rPr>
        <sz val="9"/>
        <color theme="7" tint="0.599993896298105"/>
        <rFont val="宋体"/>
        <charset val="134"/>
      </rPr>
      <t>（</t>
    </r>
    <r>
      <rPr>
        <sz val="9"/>
        <color theme="7" tint="0.599993896298105"/>
        <rFont val="Arial Narrow"/>
        <charset val="134"/>
      </rPr>
      <t>8）期末应收关联方款项情况</t>
    </r>
  </si>
  <si>
    <t>核对：</t>
  </si>
  <si>
    <t>（9）终止确认的应收款项情况</t>
  </si>
  <si>
    <r>
      <rPr>
        <sz val="9"/>
        <rFont val="宋体"/>
        <charset val="134"/>
      </rPr>
      <t>（</t>
    </r>
    <r>
      <rPr>
        <sz val="9"/>
        <rFont val="Arial Narrow"/>
        <charset val="134"/>
      </rPr>
      <t>9</t>
    </r>
    <r>
      <rPr>
        <sz val="9"/>
        <rFont val="宋体"/>
        <charset val="134"/>
      </rPr>
      <t>）终止确认的应收款项情况</t>
    </r>
  </si>
  <si>
    <t>终止确认金额</t>
  </si>
  <si>
    <t>与终止确认相关的利得或损失</t>
  </si>
  <si>
    <t>（10）以应收款项为标的进行证券化的，列示继续涉入形成的资产、负债的金额</t>
  </si>
  <si>
    <r>
      <rPr>
        <sz val="9"/>
        <rFont val="宋体"/>
        <charset val="134"/>
      </rPr>
      <t>（</t>
    </r>
    <r>
      <rPr>
        <sz val="9"/>
        <rFont val="Arial Narrow"/>
        <charset val="134"/>
      </rPr>
      <t>10</t>
    </r>
    <r>
      <rPr>
        <sz val="9"/>
        <rFont val="宋体"/>
        <charset val="134"/>
      </rPr>
      <t>）以应收款项为标的进行证券化的，列示继续涉入形成的资产、负债的金额</t>
    </r>
  </si>
  <si>
    <r>
      <rPr>
        <sz val="9"/>
        <color theme="7" tint="0.599993896298105"/>
        <rFont val="宋体"/>
        <charset val="134"/>
      </rPr>
      <t>（</t>
    </r>
    <r>
      <rPr>
        <sz val="9"/>
        <color theme="7" tint="0.599993896298105"/>
        <rFont val="Arial Narrow"/>
        <charset val="134"/>
      </rPr>
      <t>10</t>
    </r>
    <r>
      <rPr>
        <sz val="9"/>
        <color theme="7" tint="0.599993896298105"/>
        <rFont val="宋体"/>
        <charset val="134"/>
      </rPr>
      <t>）以应收款项为标的进行证券化的，列示继续涉入形成的资产、负债的金额</t>
    </r>
  </si>
  <si>
    <t>资产：</t>
  </si>
  <si>
    <r>
      <rPr>
        <sz val="9"/>
        <color theme="7" tint="0.599993896298105"/>
        <rFont val="宋体"/>
        <charset val="134"/>
      </rPr>
      <t>（</t>
    </r>
    <r>
      <rPr>
        <sz val="9"/>
        <color theme="7" tint="0.599993896298105"/>
        <rFont val="Arial Narrow"/>
        <charset val="134"/>
      </rPr>
      <t>10）以应收款项为标的进行证券化的，列示继续涉入形成的资产、负债的金额</t>
    </r>
  </si>
  <si>
    <t>资产小计：</t>
  </si>
  <si>
    <t>负债：</t>
  </si>
  <si>
    <t>负债小计：</t>
  </si>
  <si>
    <r>
      <rPr>
        <sz val="9"/>
        <color theme="0" tint="-0.249977111117893"/>
        <rFont val="宋体"/>
        <charset val="134"/>
      </rPr>
      <t>预付款项</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</si>
  <si>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（七）预付款项</t>
    </r>
    <r>
      <rPr>
        <sz val="9"/>
        <color theme="7" tint="0.599993896298105"/>
        <rFont val="Arial Narrow"/>
        <charset val="134"/>
      </rPr>
      <t>-</t>
    </r>
    <r>
      <rPr>
        <sz val="9"/>
        <color theme="7" tint="0.599993896298105"/>
        <rFont val="宋体"/>
        <charset val="134"/>
      </rPr>
      <t>披露表</t>
    </r>
  </si>
  <si>
    <r>
      <rPr>
        <b/>
        <sz val="9"/>
        <rFont val="宋体"/>
        <charset val="134"/>
      </rPr>
      <t>（七）预付款项</t>
    </r>
    <r>
      <rPr>
        <b/>
        <sz val="9"/>
        <rFont val="Arial Narrow"/>
        <charset val="134"/>
      </rPr>
      <t>-</t>
    </r>
    <r>
      <rPr>
        <b/>
        <sz val="9"/>
        <rFont val="宋体"/>
        <charset val="134"/>
      </rPr>
      <t>披露表</t>
    </r>
  </si>
  <si>
    <r>
      <rPr>
        <sz val="9"/>
        <rFont val="Times New Roman"/>
        <charset val="134"/>
      </rPr>
      <t>比例</t>
    </r>
    <r>
      <rPr>
        <sz val="9"/>
        <rFont val="Arial Narrow"/>
        <charset val="134"/>
      </rPr>
      <t>(%)</t>
    </r>
  </si>
  <si>
    <t>账龄是否合理</t>
  </si>
  <si>
    <t>不合理原因</t>
  </si>
  <si>
    <r>
      <rPr>
        <sz val="9"/>
        <rFont val="Arial Narrow"/>
        <charset val="134"/>
      </rPr>
      <t>1</t>
    </r>
    <r>
      <rPr>
        <sz val="9"/>
        <rFont val="Times New Roman"/>
        <charset val="134"/>
      </rPr>
      <t>年以内</t>
    </r>
    <r>
      <rPr>
        <sz val="9"/>
        <rFont val="Arial Narrow"/>
        <charset val="134"/>
      </rPr>
      <t>(</t>
    </r>
    <r>
      <rPr>
        <sz val="9"/>
        <rFont val="Times New Roman"/>
        <charset val="134"/>
      </rPr>
      <t>含</t>
    </r>
    <r>
      <rPr>
        <sz val="9"/>
        <rFont val="Arial Narrow"/>
        <charset val="134"/>
      </rPr>
      <t>1</t>
    </r>
    <r>
      <rPr>
        <sz val="9"/>
        <rFont val="Times New Roman"/>
        <charset val="134"/>
      </rPr>
      <t>年</t>
    </r>
    <r>
      <rPr>
        <sz val="9"/>
        <rFont val="Arial Narrow"/>
        <charset val="134"/>
      </rPr>
      <t>)</t>
    </r>
  </si>
  <si>
    <r>
      <rPr>
        <sz val="9"/>
        <rFont val="Arial Narrow"/>
        <charset val="134"/>
      </rPr>
      <t>1-2</t>
    </r>
    <r>
      <rPr>
        <sz val="9"/>
        <rFont val="Times New Roman"/>
        <charset val="134"/>
      </rPr>
      <t>年</t>
    </r>
    <r>
      <rPr>
        <sz val="9"/>
        <rFont val="Arial Narrow"/>
        <charset val="134"/>
      </rPr>
      <t>(</t>
    </r>
    <r>
      <rPr>
        <sz val="9"/>
        <rFont val="Times New Roman"/>
        <charset val="134"/>
      </rPr>
      <t>含</t>
    </r>
    <r>
      <rPr>
        <sz val="9"/>
        <rFont val="Arial Narrow"/>
        <charset val="134"/>
      </rPr>
      <t>2</t>
    </r>
    <r>
      <rPr>
        <sz val="9"/>
        <rFont val="Times New Roman"/>
        <charset val="134"/>
      </rPr>
      <t>年</t>
    </r>
    <r>
      <rPr>
        <sz val="9"/>
        <rFont val="Arial Narrow"/>
        <charset val="134"/>
      </rPr>
      <t>)</t>
    </r>
  </si>
  <si>
    <r>
      <rPr>
        <sz val="9"/>
        <rFont val="Arial Narrow"/>
        <charset val="134"/>
      </rPr>
      <t>2-3</t>
    </r>
    <r>
      <rPr>
        <sz val="9"/>
        <rFont val="Times New Roman"/>
        <charset val="134"/>
      </rPr>
      <t>年</t>
    </r>
    <r>
      <rPr>
        <sz val="9"/>
        <rFont val="Arial Narrow"/>
        <charset val="134"/>
      </rPr>
      <t>(</t>
    </r>
    <r>
      <rPr>
        <sz val="9"/>
        <rFont val="Times New Roman"/>
        <charset val="134"/>
      </rPr>
      <t>含</t>
    </r>
    <r>
      <rPr>
        <sz val="9"/>
        <rFont val="Arial Narrow"/>
        <charset val="134"/>
      </rPr>
      <t>3</t>
    </r>
    <r>
      <rPr>
        <sz val="9"/>
        <rFont val="Times New Roman"/>
        <charset val="134"/>
      </rPr>
      <t>年</t>
    </r>
    <r>
      <rPr>
        <sz val="9"/>
        <rFont val="Arial Narrow"/>
        <charset val="134"/>
      </rPr>
      <t>)</t>
    </r>
  </si>
  <si>
    <r>
      <rPr>
        <sz val="9"/>
        <rFont val="Arial Narrow"/>
        <charset val="134"/>
      </rPr>
      <t>3</t>
    </r>
    <r>
      <rPr>
        <sz val="9"/>
        <rFont val="Times New Roman"/>
        <charset val="134"/>
      </rPr>
      <t>年以上</t>
    </r>
    <r>
      <rPr>
        <sz val="9"/>
        <rFont val="Arial Narrow"/>
        <charset val="134"/>
      </rPr>
      <t xml:space="preserve"> </t>
    </r>
  </si>
  <si>
    <t>（2）账龄超过1年的重要预付款项，逐项说明未及时结算的原因。</t>
  </si>
  <si>
    <r>
      <rPr>
        <sz val="9"/>
        <color theme="7" tint="0.599993896298105"/>
        <rFont val="宋体"/>
        <charset val="134"/>
      </rPr>
      <t>（</t>
    </r>
    <r>
      <rPr>
        <sz val="9"/>
        <color theme="7" tint="0.599993896298105"/>
        <rFont val="Arial Narrow"/>
        <charset val="134"/>
      </rPr>
      <t>2</t>
    </r>
    <r>
      <rPr>
        <sz val="9"/>
        <color theme="7" tint="0.599993896298105"/>
        <rFont val="宋体"/>
        <charset val="134"/>
      </rPr>
      <t>）账龄超过</t>
    </r>
    <r>
      <rPr>
        <sz val="9"/>
        <color theme="7" tint="0.599993896298105"/>
        <rFont val="Arial Narrow"/>
        <charset val="134"/>
      </rPr>
      <t>1</t>
    </r>
    <r>
      <rPr>
        <sz val="9"/>
        <color theme="7" tint="0.599993896298105"/>
        <rFont val="宋体"/>
        <charset val="134"/>
      </rPr>
      <t>年的重要预付款项，逐项说明未及时结算的原因。</t>
    </r>
  </si>
  <si>
    <r>
      <rPr>
        <sz val="9"/>
        <rFont val="宋体"/>
        <charset val="134"/>
      </rPr>
      <t>（</t>
    </r>
    <r>
      <rPr>
        <sz val="9"/>
        <rFont val="Arial Narrow"/>
        <charset val="134"/>
      </rPr>
      <t>2</t>
    </r>
    <r>
      <rPr>
        <sz val="9"/>
        <rFont val="宋体"/>
        <charset val="134"/>
      </rPr>
      <t>）账龄超过</t>
    </r>
    <r>
      <rPr>
        <sz val="9"/>
        <rFont val="Arial Narrow"/>
        <charset val="134"/>
      </rPr>
      <t>1</t>
    </r>
    <r>
      <rPr>
        <sz val="9"/>
        <rFont val="宋体"/>
        <charset val="134"/>
      </rPr>
      <t>年的重要预付款项，逐项说明未及时结算的原因。（</t>
    </r>
    <r>
      <rPr>
        <sz val="9"/>
        <rFont val="Arial Narrow"/>
        <charset val="134"/>
      </rPr>
      <t>50</t>
    </r>
    <r>
      <rPr>
        <sz val="9"/>
        <rFont val="宋体"/>
        <charset val="134"/>
      </rPr>
      <t>万以上）</t>
    </r>
  </si>
  <si>
    <t>单位</t>
  </si>
  <si>
    <t>未结算原因</t>
  </si>
  <si>
    <r>
      <rPr>
        <sz val="9"/>
        <color theme="7" tint="0.599993896298105"/>
        <rFont val="宋体"/>
        <charset val="134"/>
      </rPr>
      <t>（</t>
    </r>
    <r>
      <rPr>
        <sz val="9"/>
        <color theme="7" tint="0.599993896298105"/>
        <rFont val="Arial Narrow"/>
        <charset val="134"/>
      </rPr>
      <t>2</t>
    </r>
    <r>
      <rPr>
        <sz val="9"/>
        <color theme="7" tint="0.599993896298105"/>
        <rFont val="宋体"/>
        <charset val="134"/>
      </rPr>
      <t>）账龄超过</t>
    </r>
    <r>
      <rPr>
        <sz val="9"/>
        <color theme="7" tint="0.599993896298105"/>
        <rFont val="Arial Narrow"/>
        <charset val="134"/>
      </rPr>
      <t>1年的重要预付款项，逐项说明未及时结算的原因。</t>
    </r>
  </si>
  <si>
    <t>（3）期末预付账款中持公司5%（含5%）以上表决权股份的股东单位情况</t>
  </si>
  <si>
    <r>
      <rPr>
        <sz val="9"/>
        <rFont val="宋体"/>
        <charset val="134"/>
      </rPr>
      <t>（</t>
    </r>
    <r>
      <rPr>
        <sz val="9"/>
        <rFont val="Arial Narrow"/>
        <charset val="134"/>
      </rPr>
      <t>3</t>
    </r>
    <r>
      <rPr>
        <sz val="9"/>
        <rFont val="宋体"/>
        <charset val="134"/>
      </rPr>
      <t>）期末预付账款中持公司</t>
    </r>
    <r>
      <rPr>
        <sz val="9"/>
        <rFont val="Arial Narrow"/>
        <charset val="134"/>
      </rPr>
      <t>5%</t>
    </r>
    <r>
      <rPr>
        <sz val="9"/>
        <rFont val="宋体"/>
        <charset val="134"/>
      </rPr>
      <t>（含</t>
    </r>
    <r>
      <rPr>
        <sz val="9"/>
        <rFont val="Arial Narrow"/>
        <charset val="134"/>
      </rPr>
      <t>5%</t>
    </r>
    <r>
      <rPr>
        <sz val="9"/>
        <rFont val="宋体"/>
        <charset val="134"/>
      </rPr>
      <t>）以上表决权股份的股东单位情况</t>
    </r>
  </si>
  <si>
    <t>注：如无此类欠款，也应予以说明</t>
  </si>
  <si>
    <t>（4）预付款项金额前五名单位情况</t>
  </si>
  <si>
    <r>
      <rPr>
        <sz val="9"/>
        <color theme="7" tint="0.599993896298105"/>
        <rFont val="宋体"/>
        <charset val="134"/>
      </rPr>
      <t>（</t>
    </r>
    <r>
      <rPr>
        <sz val="9"/>
        <color theme="7" tint="0.599993896298105"/>
        <rFont val="Arial Narrow"/>
        <charset val="134"/>
      </rPr>
      <t>4</t>
    </r>
    <r>
      <rPr>
        <sz val="9"/>
        <color theme="7" tint="0.599993896298105"/>
        <rFont val="宋体"/>
        <charset val="134"/>
      </rPr>
      <t>）预付款项金额前五名单位情况</t>
    </r>
  </si>
  <si>
    <r>
      <rPr>
        <sz val="9"/>
        <rFont val="宋体"/>
        <charset val="134"/>
      </rPr>
      <t>（</t>
    </r>
    <r>
      <rPr>
        <sz val="9"/>
        <rFont val="Arial Narrow"/>
        <charset val="134"/>
      </rPr>
      <t>4</t>
    </r>
    <r>
      <rPr>
        <sz val="9"/>
        <rFont val="宋体"/>
        <charset val="134"/>
      </rPr>
      <t>）预付款项金额前五名单位情况</t>
    </r>
  </si>
  <si>
    <r>
      <rPr>
        <sz val="9"/>
        <color theme="7" tint="0.599993896298105"/>
        <rFont val="宋体"/>
        <charset val="134"/>
      </rPr>
      <t>（</t>
    </r>
    <r>
      <rPr>
        <sz val="9"/>
        <color theme="7" tint="0.599993896298105"/>
        <rFont val="Arial Narrow"/>
        <charset val="134"/>
      </rPr>
      <t>4）预付款项金额前五名单位情况</t>
    </r>
  </si>
  <si>
    <t>欠款时间</t>
  </si>
  <si>
    <t>占预付账款总额比例</t>
  </si>
  <si>
    <t>（5）若期末预付账款余额比上期期末预付账款余额增加或减少超过30%，应说明其原因。</t>
  </si>
  <si>
    <r>
      <rPr>
        <sz val="9"/>
        <rFont val="宋体"/>
        <charset val="134"/>
      </rPr>
      <t>（</t>
    </r>
    <r>
      <rPr>
        <sz val="9"/>
        <rFont val="Arial Narrow"/>
        <charset val="134"/>
      </rPr>
      <t>5</t>
    </r>
    <r>
      <rPr>
        <sz val="9"/>
        <rFont val="宋体"/>
        <charset val="134"/>
      </rPr>
      <t>）若期末预付账款余额比上期期末预付账款余额增加或减少超过</t>
    </r>
    <r>
      <rPr>
        <sz val="9"/>
        <rFont val="Arial Narrow"/>
        <charset val="134"/>
      </rPr>
      <t>30%</t>
    </r>
    <r>
      <rPr>
        <sz val="9"/>
        <rFont val="宋体"/>
        <charset val="134"/>
      </rPr>
      <t>，应说明其原因。</t>
    </r>
  </si>
  <si>
    <r>
      <rPr>
        <sz val="9"/>
        <color theme="7" tint="0.599993896298105"/>
        <rFont val="宋体"/>
        <charset val="134"/>
      </rPr>
      <t>（</t>
    </r>
    <r>
      <rPr>
        <sz val="9"/>
        <color theme="7" tint="0.599993896298105"/>
        <rFont val="Arial Narrow"/>
        <charset val="134"/>
      </rPr>
      <t>5</t>
    </r>
    <r>
      <rPr>
        <sz val="9"/>
        <color theme="7" tint="0.599993896298105"/>
        <rFont val="宋体"/>
        <charset val="134"/>
      </rPr>
      <t>）若期末预付账款余额比上期期末预付账款余额增加或减少超过</t>
    </r>
    <r>
      <rPr>
        <sz val="9"/>
        <color theme="7" tint="0.599993896298105"/>
        <rFont val="Arial Narrow"/>
        <charset val="134"/>
      </rPr>
      <t>30%</t>
    </r>
    <r>
      <rPr>
        <sz val="9"/>
        <color theme="7" tint="0.599993896298105"/>
        <rFont val="宋体"/>
        <charset val="134"/>
      </rPr>
      <t>，应说明其原因。</t>
    </r>
  </si>
  <si>
    <t>（6）若期末预付账款账面余额超过资产总额的10%的，应说明其原因。</t>
  </si>
  <si>
    <r>
      <rPr>
        <sz val="9"/>
        <rFont val="宋体"/>
        <charset val="134"/>
      </rPr>
      <t>（</t>
    </r>
    <r>
      <rPr>
        <sz val="9"/>
        <rFont val="Arial Narrow"/>
        <charset val="134"/>
      </rPr>
      <t>6</t>
    </r>
    <r>
      <rPr>
        <sz val="9"/>
        <rFont val="宋体"/>
        <charset val="134"/>
      </rPr>
      <t>）若期末预付账款账面余额超过资产总额的</t>
    </r>
    <r>
      <rPr>
        <sz val="9"/>
        <rFont val="Arial Narrow"/>
        <charset val="134"/>
      </rPr>
      <t>10%</t>
    </r>
    <r>
      <rPr>
        <sz val="9"/>
        <rFont val="宋体"/>
        <charset val="134"/>
      </rPr>
      <t>的，应说明其原因。</t>
    </r>
  </si>
  <si>
    <r>
      <rPr>
        <sz val="9"/>
        <color theme="0" tint="-0.249977111117893"/>
        <rFont val="宋体"/>
        <charset val="134"/>
      </rPr>
      <t>其他应收款</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</si>
  <si>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（八）其他应收款</t>
    </r>
    <r>
      <rPr>
        <sz val="9"/>
        <color theme="7" tint="0.599993896298105"/>
        <rFont val="Arial Narrow"/>
        <charset val="134"/>
      </rPr>
      <t>-</t>
    </r>
    <r>
      <rPr>
        <sz val="9"/>
        <color theme="7" tint="0.599993896298105"/>
        <rFont val="宋体"/>
        <charset val="134"/>
      </rPr>
      <t>披露表</t>
    </r>
  </si>
  <si>
    <r>
      <rPr>
        <b/>
        <sz val="9"/>
        <rFont val="宋体"/>
        <charset val="134"/>
      </rPr>
      <t>（八）其他应收款</t>
    </r>
    <r>
      <rPr>
        <b/>
        <sz val="9"/>
        <rFont val="Arial Narrow"/>
        <charset val="134"/>
      </rPr>
      <t>-</t>
    </r>
    <r>
      <rPr>
        <b/>
        <sz val="9"/>
        <rFont val="宋体"/>
        <charset val="134"/>
      </rPr>
      <t>披露表</t>
    </r>
  </si>
  <si>
    <r>
      <rPr>
        <sz val="9"/>
        <rFont val="宋体"/>
        <charset val="134"/>
      </rPr>
      <t>占总额比例（</t>
    </r>
    <r>
      <rPr>
        <sz val="9"/>
        <rFont val="Arial Narrow"/>
        <charset val="134"/>
      </rPr>
      <t>%</t>
    </r>
    <r>
      <rPr>
        <sz val="9"/>
        <rFont val="宋体"/>
        <charset val="134"/>
      </rPr>
      <t>）</t>
    </r>
  </si>
  <si>
    <t>坏账准备
计提比例</t>
  </si>
  <si>
    <r>
      <rPr>
        <sz val="9"/>
        <rFont val="宋体"/>
        <charset val="134"/>
      </rPr>
      <t>坏账准备
计提比例（</t>
    </r>
    <r>
      <rPr>
        <sz val="9"/>
        <rFont val="Arial Narrow"/>
        <charset val="134"/>
      </rPr>
      <t>%</t>
    </r>
    <r>
      <rPr>
        <sz val="9"/>
        <rFont val="宋体"/>
        <charset val="134"/>
      </rPr>
      <t>）</t>
    </r>
  </si>
  <si>
    <t>单项金额重大并单项计提坏账准备的的其他应收款</t>
  </si>
  <si>
    <t>按组合（账龄分析法）计提坏账准备的其他应收款</t>
  </si>
  <si>
    <t>单项金额虽不重大但单项计提坏账准备的其他应收款</t>
  </si>
  <si>
    <t>账龄与类别合计核对</t>
  </si>
  <si>
    <t>单项金额重大并单项计提坏账准备的的其他应收款核对：</t>
  </si>
  <si>
    <t>按组合（账龄分析法）计提坏账准备的其他应收款核对：</t>
  </si>
  <si>
    <t>单项金额虽不重大但单项计提坏账准备的其他应收款核对：</t>
  </si>
  <si>
    <t>（2）-1期末按个别认定进行减值测试的其他应收款计提坏帐准备的说明</t>
  </si>
  <si>
    <r>
      <rPr>
        <b/>
        <sz val="9"/>
        <color rgb="FF0070C0"/>
        <rFont val="宋体"/>
        <charset val="134"/>
      </rPr>
      <t>单项金额重大（</t>
    </r>
    <r>
      <rPr>
        <b/>
        <sz val="9"/>
        <color rgb="FFFF0000"/>
        <rFont val="宋体"/>
        <charset val="134"/>
      </rPr>
      <t>大于150万元</t>
    </r>
    <r>
      <rPr>
        <b/>
        <sz val="9"/>
        <color rgb="FF0070C0"/>
        <rFont val="宋体"/>
        <charset val="134"/>
      </rPr>
      <t>）并单项计提坏账准备的的其他应收款小计</t>
    </r>
  </si>
  <si>
    <r>
      <rPr>
        <b/>
        <sz val="9"/>
        <color rgb="FF0070C0"/>
        <rFont val="宋体"/>
        <charset val="134"/>
      </rPr>
      <t>单项金额虽不重大（</t>
    </r>
    <r>
      <rPr>
        <b/>
        <sz val="9"/>
        <color rgb="FFFF0000"/>
        <rFont val="宋体"/>
        <charset val="134"/>
      </rPr>
      <t>小于150万元</t>
    </r>
    <r>
      <rPr>
        <b/>
        <sz val="9"/>
        <color rgb="FF0070C0"/>
        <rFont val="宋体"/>
        <charset val="134"/>
      </rPr>
      <t>）但单项计提坏账准备的其他应收款小计</t>
    </r>
  </si>
  <si>
    <t>（2）-2期初按个别认定进行减值测试的其他应收款计提坏帐准备的说明</t>
  </si>
  <si>
    <t>（2）-3按组合（账龄分析法）计提坏账准备的其他应收款</t>
  </si>
  <si>
    <t>（2）期末单项按个别认定进行减值测试的应收账款计提坏帐准备的说明</t>
  </si>
  <si>
    <t>（3）单项金额重大的其他应收账款计提坏账准备的说明：</t>
  </si>
  <si>
    <r>
      <rPr>
        <sz val="9"/>
        <color theme="7" tint="0.599993896298105"/>
        <rFont val="宋体"/>
        <charset val="134"/>
      </rPr>
      <t>（</t>
    </r>
    <r>
      <rPr>
        <sz val="9"/>
        <color theme="7" tint="0.599993896298105"/>
        <rFont val="Arial Narrow"/>
        <charset val="134"/>
      </rPr>
      <t>3</t>
    </r>
    <r>
      <rPr>
        <sz val="9"/>
        <color theme="7" tint="0.599993896298105"/>
        <rFont val="宋体"/>
        <charset val="134"/>
      </rPr>
      <t>）单项金额重大的其他应收账款计提坏账准备的说明：</t>
    </r>
  </si>
  <si>
    <r>
      <rPr>
        <b/>
        <sz val="9"/>
        <rFont val="宋体"/>
        <charset val="134"/>
      </rPr>
      <t>（</t>
    </r>
    <r>
      <rPr>
        <b/>
        <sz val="9"/>
        <rFont val="Arial Narrow"/>
        <charset val="134"/>
      </rPr>
      <t>3</t>
    </r>
    <r>
      <rPr>
        <b/>
        <sz val="9"/>
        <rFont val="宋体"/>
        <charset val="134"/>
      </rPr>
      <t>）单项金额重大的其他应收账款计提坏账准备的说明：</t>
    </r>
  </si>
  <si>
    <t>单项金额重大标准</t>
  </si>
  <si>
    <r>
      <rPr>
        <sz val="9"/>
        <color theme="7" tint="0.599993896298105"/>
        <rFont val="宋体"/>
        <charset val="134"/>
      </rPr>
      <t>（</t>
    </r>
    <r>
      <rPr>
        <sz val="9"/>
        <color theme="7" tint="0.599993896298105"/>
        <rFont val="Arial Narrow"/>
        <charset val="134"/>
      </rPr>
      <t>3）单项金额重大的其他应收账款计提坏账准备的说明：</t>
    </r>
  </si>
  <si>
    <t>合并备注单位名称</t>
  </si>
  <si>
    <t>（4）本期其他应收款收回以前年度已全额计提坏账准备的、以前年度计提坏账准备比例较大的、通过债务重组等其他方式收回的情况</t>
  </si>
  <si>
    <t>（3）本期其他应收款收回以前年度已全额计提坏账准备的、以前年度计提坏账准备比例较大的、通过债务重组等其他方式收回的情况</t>
  </si>
  <si>
    <t>（5）本期实际核销的其他应收款情况</t>
  </si>
  <si>
    <r>
      <rPr>
        <sz val="9"/>
        <color theme="7" tint="0.599993896298105"/>
        <rFont val="宋体"/>
        <charset val="134"/>
      </rPr>
      <t>（</t>
    </r>
    <r>
      <rPr>
        <sz val="9"/>
        <color theme="7" tint="0.599993896298105"/>
        <rFont val="Arial Narrow"/>
        <charset val="134"/>
      </rPr>
      <t>5</t>
    </r>
    <r>
      <rPr>
        <sz val="9"/>
        <color theme="7" tint="0.599993896298105"/>
        <rFont val="宋体"/>
        <charset val="134"/>
      </rPr>
      <t>）本期实际核销的其他应收款情况</t>
    </r>
  </si>
  <si>
    <t>（4）本期实际核销的其他应收款情况</t>
  </si>
  <si>
    <r>
      <rPr>
        <sz val="9"/>
        <rFont val="Arial Narrow"/>
        <charset val="134"/>
      </rPr>
      <t xml:space="preserve"> </t>
    </r>
    <r>
      <rPr>
        <sz val="9"/>
        <rFont val="宋体"/>
        <charset val="134"/>
      </rPr>
      <t>核销理由</t>
    </r>
    <r>
      <rPr>
        <sz val="9"/>
        <rFont val="Arial Narrow"/>
        <charset val="134"/>
      </rPr>
      <t xml:space="preserve"> </t>
    </r>
  </si>
  <si>
    <r>
      <rPr>
        <sz val="9"/>
        <color theme="7" tint="0.599993896298105"/>
        <rFont val="宋体"/>
        <charset val="134"/>
      </rPr>
      <t>（</t>
    </r>
    <r>
      <rPr>
        <sz val="9"/>
        <color theme="7" tint="0.599993896298105"/>
        <rFont val="Arial Narrow"/>
        <charset val="134"/>
      </rPr>
      <t>5）本期实际核销的其他应收款情况</t>
    </r>
  </si>
  <si>
    <t>（6）期末其他应收款金额前五名情况</t>
  </si>
  <si>
    <r>
      <rPr>
        <sz val="9"/>
        <color theme="7" tint="0.599993896298105"/>
        <rFont val="宋体"/>
        <charset val="134"/>
      </rPr>
      <t>（</t>
    </r>
    <r>
      <rPr>
        <sz val="9"/>
        <color theme="7" tint="0.599993896298105"/>
        <rFont val="Arial Narrow"/>
        <charset val="134"/>
      </rPr>
      <t>6</t>
    </r>
    <r>
      <rPr>
        <sz val="9"/>
        <color theme="7" tint="0.599993896298105"/>
        <rFont val="宋体"/>
        <charset val="134"/>
      </rPr>
      <t>）期末其他应收款金额前五名情况</t>
    </r>
  </si>
  <si>
    <t>（5）期末其他应收款金额前五名情况</t>
  </si>
  <si>
    <r>
      <rPr>
        <sz val="9"/>
        <color theme="7" tint="0.599993896298105"/>
        <rFont val="宋体"/>
        <charset val="134"/>
      </rPr>
      <t>（</t>
    </r>
    <r>
      <rPr>
        <sz val="9"/>
        <color theme="7" tint="0.599993896298105"/>
        <rFont val="Arial Narrow"/>
        <charset val="134"/>
      </rPr>
      <t>6）期末其他应收款金额前五名情况</t>
    </r>
  </si>
  <si>
    <t>注：单位名称和本公司关系，公司可根据实际情况填写</t>
  </si>
  <si>
    <t>（7）期末其他应收款中持公司5%（含5%）以上表决权股份的股东单位欠款情况</t>
  </si>
  <si>
    <r>
      <rPr>
        <sz val="9"/>
        <color theme="7" tint="0.599993896298105"/>
        <rFont val="宋体"/>
        <charset val="134"/>
      </rPr>
      <t>（</t>
    </r>
    <r>
      <rPr>
        <sz val="9"/>
        <color theme="7" tint="0.599993896298105"/>
        <rFont val="Arial Narrow"/>
        <charset val="134"/>
      </rPr>
      <t>7</t>
    </r>
    <r>
      <rPr>
        <sz val="9"/>
        <color theme="7" tint="0.599993896298105"/>
        <rFont val="宋体"/>
        <charset val="134"/>
      </rPr>
      <t>）期末其他应收款中持公司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t>
    </r>
    <r>
      <rPr>
        <sz val="9"/>
        <color theme="7" tint="0.599993896298105"/>
        <rFont val="宋体"/>
        <charset val="134"/>
      </rPr>
      <t>）以上表决权股份的股东单位欠款情况</t>
    </r>
  </si>
  <si>
    <r>
      <rPr>
        <sz val="9"/>
        <rFont val="宋体"/>
        <charset val="134"/>
      </rPr>
      <t>（</t>
    </r>
    <r>
      <rPr>
        <sz val="9"/>
        <rFont val="Arial Narrow"/>
        <charset val="134"/>
      </rPr>
      <t>6</t>
    </r>
    <r>
      <rPr>
        <sz val="9"/>
        <rFont val="宋体"/>
        <charset val="134"/>
      </rPr>
      <t>）期末应收关联方款项情况（包括持公司</t>
    </r>
    <r>
      <rPr>
        <sz val="9"/>
        <rFont val="Arial Narrow"/>
        <charset val="134"/>
      </rPr>
      <t>5%</t>
    </r>
    <r>
      <rPr>
        <sz val="9"/>
        <rFont val="宋体"/>
        <charset val="134"/>
      </rPr>
      <t>（含</t>
    </r>
    <r>
      <rPr>
        <sz val="9"/>
        <rFont val="Arial Narrow"/>
        <charset val="134"/>
      </rPr>
      <t>5%</t>
    </r>
    <r>
      <rPr>
        <sz val="9"/>
        <rFont val="宋体"/>
        <charset val="134"/>
      </rPr>
      <t>）以上表决权股份的股东单位欠款情况）</t>
    </r>
  </si>
  <si>
    <t>是否是持公司5%（含5%）以上表决权股份的股东单位</t>
  </si>
  <si>
    <r>
      <rPr>
        <sz val="9"/>
        <color theme="7" tint="0.599993896298105"/>
        <rFont val="宋体"/>
        <charset val="134"/>
      </rPr>
      <t>（</t>
    </r>
    <r>
      <rPr>
        <sz val="9"/>
        <color theme="7" tint="0.599993896298105"/>
        <rFont val="Arial Narrow"/>
        <charset val="134"/>
      </rPr>
      <t>7</t>
    </r>
    <r>
      <rPr>
        <sz val="9"/>
        <color theme="7" tint="0.599993896298105"/>
        <rFont val="宋体"/>
        <charset val="134"/>
      </rPr>
      <t>）期末其他应收款中持公司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5%）以上表决权股份的股东单位欠款情况</t>
    </r>
  </si>
  <si>
    <r>
      <rPr>
        <sz val="9"/>
        <color theme="7" tint="0.599993896298105"/>
        <rFont val="宋体"/>
        <charset val="134"/>
      </rPr>
      <t>（</t>
    </r>
    <r>
      <rPr>
        <sz val="9"/>
        <color theme="7" tint="0.599993896298105"/>
        <rFont val="Arial Narrow"/>
        <charset val="134"/>
      </rPr>
      <t>9</t>
    </r>
    <r>
      <rPr>
        <sz val="9"/>
        <color theme="7" tint="0.599993896298105"/>
        <rFont val="宋体"/>
        <charset val="134"/>
      </rPr>
      <t>）终止确认的应收款项情况</t>
    </r>
  </si>
  <si>
    <r>
      <rPr>
        <sz val="9"/>
        <color theme="7" tint="0.599993896298105"/>
        <rFont val="宋体"/>
        <charset val="134"/>
      </rPr>
      <t>（</t>
    </r>
    <r>
      <rPr>
        <sz val="9"/>
        <color theme="7" tint="0.599993896298105"/>
        <rFont val="Arial Narrow"/>
        <charset val="134"/>
      </rPr>
      <t>9）终止确认的应收款项情况</t>
    </r>
  </si>
  <si>
    <t>（11）期末金额较大的其他应收款情况</t>
  </si>
  <si>
    <r>
      <rPr>
        <sz val="9"/>
        <color theme="7" tint="0.599993896298105"/>
        <rFont val="宋体"/>
        <charset val="134"/>
      </rPr>
      <t>（</t>
    </r>
    <r>
      <rPr>
        <sz val="9"/>
        <color theme="7" tint="0.599993896298105"/>
        <rFont val="Arial Narrow"/>
        <charset val="134"/>
      </rPr>
      <t>11</t>
    </r>
    <r>
      <rPr>
        <sz val="9"/>
        <color theme="7" tint="0.599993896298105"/>
        <rFont val="宋体"/>
        <charset val="134"/>
      </rPr>
      <t>）期末金额较大的其他应收款情况</t>
    </r>
  </si>
  <si>
    <r>
      <rPr>
        <sz val="9"/>
        <rFont val="宋体"/>
        <charset val="134"/>
      </rPr>
      <t>（</t>
    </r>
    <r>
      <rPr>
        <sz val="9"/>
        <rFont val="Arial Narrow"/>
        <charset val="134"/>
      </rPr>
      <t>11</t>
    </r>
    <r>
      <rPr>
        <sz val="9"/>
        <rFont val="宋体"/>
        <charset val="134"/>
      </rPr>
      <t>）期末金额较大的其他应收款情况</t>
    </r>
  </si>
  <si>
    <t>性质或内容</t>
  </si>
  <si>
    <r>
      <rPr>
        <sz val="9"/>
        <color theme="7" tint="0.599993896298105"/>
        <rFont val="宋体"/>
        <charset val="134"/>
      </rPr>
      <t>（</t>
    </r>
    <r>
      <rPr>
        <sz val="9"/>
        <color theme="7" tint="0.599993896298105"/>
        <rFont val="Arial Narrow"/>
        <charset val="134"/>
      </rPr>
      <t>11）期末金额较大的其他应收款情况</t>
    </r>
  </si>
  <si>
    <r>
      <rPr>
        <sz val="9"/>
        <color theme="0" tint="-0.249977111117893"/>
        <rFont val="宋体"/>
        <charset val="134"/>
      </rPr>
      <t>存货</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</si>
  <si>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（九）存货</t>
    </r>
    <r>
      <rPr>
        <sz val="9"/>
        <color theme="7" tint="0.599993896298105"/>
        <rFont val="Arial Narrow"/>
        <charset val="134"/>
      </rPr>
      <t>-</t>
    </r>
    <r>
      <rPr>
        <sz val="9"/>
        <color theme="7" tint="0.599993896298105"/>
        <rFont val="宋体"/>
        <charset val="134"/>
      </rPr>
      <t>披露表</t>
    </r>
  </si>
  <si>
    <r>
      <rPr>
        <b/>
        <sz val="9"/>
        <rFont val="宋体"/>
        <charset val="134"/>
      </rPr>
      <t>（九）存货</t>
    </r>
    <r>
      <rPr>
        <b/>
        <sz val="9"/>
        <rFont val="Arial Narrow"/>
        <charset val="134"/>
      </rPr>
      <t>-</t>
    </r>
    <r>
      <rPr>
        <b/>
        <sz val="9"/>
        <rFont val="宋体"/>
        <charset val="134"/>
      </rPr>
      <t>披露表</t>
    </r>
  </si>
  <si>
    <t>期未账面价值</t>
  </si>
  <si>
    <t>期初账面价值</t>
  </si>
  <si>
    <t>自制半成品及在产品在产品</t>
  </si>
  <si>
    <t>产成品</t>
  </si>
  <si>
    <t>包装物</t>
  </si>
  <si>
    <r>
      <rPr>
        <sz val="9"/>
        <rFont val="宋体"/>
        <charset val="134"/>
      </rPr>
      <t>增加项目</t>
    </r>
    <r>
      <rPr>
        <sz val="9"/>
        <rFont val="Arial Narrow"/>
        <charset val="134"/>
      </rPr>
      <t>1-</t>
    </r>
  </si>
  <si>
    <t>劳务成本</t>
  </si>
  <si>
    <r>
      <rPr>
        <sz val="9"/>
        <rFont val="宋体"/>
        <charset val="134"/>
      </rPr>
      <t>增加项目</t>
    </r>
    <r>
      <rPr>
        <sz val="9"/>
        <rFont val="Arial Narrow"/>
        <charset val="134"/>
      </rPr>
      <t>2-</t>
    </r>
  </si>
  <si>
    <r>
      <rPr>
        <sz val="9"/>
        <rFont val="宋体"/>
        <charset val="134"/>
      </rPr>
      <t>增加项目</t>
    </r>
    <r>
      <rPr>
        <sz val="9"/>
        <rFont val="Arial Narrow"/>
        <charset val="134"/>
      </rPr>
      <t>3-</t>
    </r>
  </si>
  <si>
    <r>
      <rPr>
        <sz val="9"/>
        <rFont val="宋体"/>
        <charset val="134"/>
      </rPr>
      <t>增加项目</t>
    </r>
    <r>
      <rPr>
        <sz val="9"/>
        <rFont val="Arial Narrow"/>
        <charset val="134"/>
      </rPr>
      <t>4-</t>
    </r>
  </si>
  <si>
    <r>
      <rPr>
        <sz val="9"/>
        <rFont val="宋体"/>
        <charset val="134"/>
      </rPr>
      <t>增加项目</t>
    </r>
    <r>
      <rPr>
        <sz val="9"/>
        <rFont val="Arial Narrow"/>
        <charset val="134"/>
      </rPr>
      <t>5-</t>
    </r>
  </si>
  <si>
    <r>
      <rPr>
        <sz val="9"/>
        <rFont val="宋体"/>
        <charset val="134"/>
      </rPr>
      <t>增加项目</t>
    </r>
    <r>
      <rPr>
        <sz val="9"/>
        <rFont val="Arial Narrow"/>
        <charset val="134"/>
      </rPr>
      <t>6-</t>
    </r>
  </si>
  <si>
    <r>
      <rPr>
        <sz val="9"/>
        <rFont val="宋体"/>
        <charset val="134"/>
      </rPr>
      <t>增加项目</t>
    </r>
    <r>
      <rPr>
        <sz val="9"/>
        <rFont val="Arial Narrow"/>
        <charset val="134"/>
      </rPr>
      <t>7-</t>
    </r>
  </si>
  <si>
    <r>
      <rPr>
        <sz val="9"/>
        <rFont val="宋体"/>
        <charset val="134"/>
      </rPr>
      <t>增加项目</t>
    </r>
    <r>
      <rPr>
        <sz val="9"/>
        <rFont val="Arial Narrow"/>
        <charset val="134"/>
      </rPr>
      <t>8-</t>
    </r>
  </si>
  <si>
    <t>补充表：（填列补充表，上表自动从补充表中取数）</t>
  </si>
  <si>
    <t>（2）消耗性生物性资产情况</t>
  </si>
  <si>
    <r>
      <rPr>
        <sz val="9"/>
        <color theme="7" tint="0.599993896298105"/>
        <rFont val="宋体"/>
        <charset val="134"/>
      </rPr>
      <t>（</t>
    </r>
    <r>
      <rPr>
        <sz val="9"/>
        <color theme="7" tint="0.599993896298105"/>
        <rFont val="Arial Narrow"/>
        <charset val="134"/>
      </rPr>
      <t>2</t>
    </r>
    <r>
      <rPr>
        <sz val="9"/>
        <color theme="7" tint="0.599993896298105"/>
        <rFont val="宋体"/>
        <charset val="134"/>
      </rPr>
      <t>）消耗性生物性资产情况</t>
    </r>
  </si>
  <si>
    <r>
      <rPr>
        <sz val="9"/>
        <rFont val="宋体"/>
        <charset val="134"/>
      </rPr>
      <t>（</t>
    </r>
    <r>
      <rPr>
        <sz val="9"/>
        <rFont val="Arial Narrow"/>
        <charset val="134"/>
      </rPr>
      <t>2</t>
    </r>
    <r>
      <rPr>
        <sz val="9"/>
        <rFont val="宋体"/>
        <charset val="134"/>
      </rPr>
      <t>）消耗性生物性资产情况</t>
    </r>
  </si>
  <si>
    <r>
      <rPr>
        <sz val="9"/>
        <color theme="7" tint="0.599993896298105"/>
        <rFont val="宋体"/>
        <charset val="134"/>
      </rPr>
      <t>（</t>
    </r>
    <r>
      <rPr>
        <sz val="9"/>
        <color theme="7" tint="0.599993896298105"/>
        <rFont val="Arial Narrow"/>
        <charset val="134"/>
      </rPr>
      <t>2）消耗性生物性资产情况</t>
    </r>
  </si>
  <si>
    <t>（3）存货跌价准备</t>
  </si>
  <si>
    <r>
      <rPr>
        <sz val="9"/>
        <color theme="7" tint="0.599993896298105"/>
        <rFont val="宋体"/>
        <charset val="134"/>
      </rPr>
      <t>（</t>
    </r>
    <r>
      <rPr>
        <sz val="9"/>
        <color theme="7" tint="0.599993896298105"/>
        <rFont val="Arial Narrow"/>
        <charset val="134"/>
      </rPr>
      <t>3</t>
    </r>
    <r>
      <rPr>
        <sz val="9"/>
        <color theme="7" tint="0.599993896298105"/>
        <rFont val="宋体"/>
        <charset val="134"/>
      </rPr>
      <t>）存货跌价准备</t>
    </r>
  </si>
  <si>
    <r>
      <rPr>
        <sz val="9"/>
        <rFont val="宋体"/>
        <charset val="134"/>
      </rPr>
      <t>（</t>
    </r>
    <r>
      <rPr>
        <sz val="9"/>
        <rFont val="Arial Narrow"/>
        <charset val="134"/>
      </rPr>
      <t>3</t>
    </r>
    <r>
      <rPr>
        <sz val="9"/>
        <rFont val="宋体"/>
        <charset val="134"/>
      </rPr>
      <t>）存货跌价准备</t>
    </r>
  </si>
  <si>
    <r>
      <rPr>
        <sz val="9"/>
        <color theme="7" tint="0.599993896298105"/>
        <rFont val="宋体"/>
        <charset val="134"/>
      </rPr>
      <t>（</t>
    </r>
    <r>
      <rPr>
        <sz val="9"/>
        <color theme="7" tint="0.599993896298105"/>
        <rFont val="Arial Narrow"/>
        <charset val="134"/>
      </rPr>
      <t>3）存货跌价准备</t>
    </r>
  </si>
  <si>
    <t>（4）存货跌价准备情况</t>
  </si>
  <si>
    <r>
      <rPr>
        <sz val="9"/>
        <color theme="7" tint="0.599993896298105"/>
        <rFont val="宋体"/>
        <charset val="134"/>
      </rPr>
      <t>（</t>
    </r>
    <r>
      <rPr>
        <sz val="9"/>
        <color theme="7" tint="0.599993896298105"/>
        <rFont val="Arial Narrow"/>
        <charset val="134"/>
      </rPr>
      <t>4</t>
    </r>
    <r>
      <rPr>
        <sz val="9"/>
        <color theme="7" tint="0.599993896298105"/>
        <rFont val="宋体"/>
        <charset val="134"/>
      </rPr>
      <t>）存货跌价准备情况</t>
    </r>
  </si>
  <si>
    <r>
      <rPr>
        <sz val="9"/>
        <rFont val="宋体"/>
        <charset val="134"/>
      </rPr>
      <t>（</t>
    </r>
    <r>
      <rPr>
        <sz val="9"/>
        <rFont val="Arial Narrow"/>
        <charset val="134"/>
      </rPr>
      <t>4</t>
    </r>
    <r>
      <rPr>
        <sz val="9"/>
        <rFont val="宋体"/>
        <charset val="134"/>
      </rPr>
      <t>）存货跌价准备情况</t>
    </r>
  </si>
  <si>
    <t>计提存货跌价准备的依据</t>
  </si>
  <si>
    <t>本期转回存货跌价准备的原因</t>
  </si>
  <si>
    <r>
      <rPr>
        <sz val="9"/>
        <rFont val="宋体"/>
        <charset val="134"/>
      </rPr>
      <t>本期转回金额占该项存货期末余额的比例（</t>
    </r>
    <r>
      <rPr>
        <sz val="9"/>
        <rFont val="Arial Narrow"/>
        <charset val="134"/>
      </rPr>
      <t>%</t>
    </r>
    <r>
      <rPr>
        <sz val="9"/>
        <rFont val="宋体"/>
        <charset val="134"/>
      </rPr>
      <t>）</t>
    </r>
  </si>
  <si>
    <r>
      <rPr>
        <sz val="9"/>
        <color theme="7" tint="0.599993896298105"/>
        <rFont val="宋体"/>
        <charset val="134"/>
      </rPr>
      <t>（</t>
    </r>
    <r>
      <rPr>
        <sz val="9"/>
        <color theme="7" tint="0.599993896298105"/>
        <rFont val="Arial Narrow"/>
        <charset val="134"/>
      </rPr>
      <t>4）存货跌价准备情况</t>
    </r>
  </si>
  <si>
    <t>（十）其他流动资产-披露表</t>
  </si>
  <si>
    <r>
      <rPr>
        <sz val="9"/>
        <color theme="0" tint="-0.249977111117893"/>
        <rFont val="宋体"/>
        <charset val="134"/>
      </rPr>
      <t>其他流动资产</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</si>
  <si>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）明细金额</t>
    </r>
  </si>
  <si>
    <r>
      <rPr>
        <b/>
        <sz val="9"/>
        <rFont val="宋体"/>
        <charset val="134"/>
      </rPr>
      <t>（十）其他流动资产</t>
    </r>
    <r>
      <rPr>
        <b/>
        <sz val="9"/>
        <rFont val="Arial Narrow"/>
        <charset val="134"/>
      </rPr>
      <t>-</t>
    </r>
    <r>
      <rPr>
        <b/>
        <sz val="9"/>
        <rFont val="宋体"/>
        <charset val="134"/>
      </rPr>
      <t>披露表</t>
    </r>
  </si>
  <si>
    <t>（单独合并）</t>
  </si>
  <si>
    <t>（1）明细金额</t>
  </si>
  <si>
    <r>
      <rPr>
        <sz val="9"/>
        <rFont val="宋体"/>
        <charset val="134"/>
      </rPr>
      <t>（</t>
    </r>
    <r>
      <rPr>
        <sz val="9"/>
        <rFont val="Arial Narrow"/>
        <charset val="134"/>
      </rPr>
      <t>1</t>
    </r>
    <r>
      <rPr>
        <sz val="9"/>
        <rFont val="宋体"/>
        <charset val="134"/>
      </rPr>
      <t>）明细金额</t>
    </r>
  </si>
  <si>
    <r>
      <rPr>
        <sz val="9"/>
        <color theme="7" tint="0.599993896298105"/>
        <rFont val="宋体"/>
        <charset val="134"/>
      </rPr>
      <t>（</t>
    </r>
    <r>
      <rPr>
        <sz val="9"/>
        <color theme="7" tint="0.599993896298105"/>
        <rFont val="Arial Narrow"/>
        <charset val="134"/>
      </rPr>
      <t>1）明细金额</t>
    </r>
  </si>
  <si>
    <t>待抵扣增值税进项税金</t>
  </si>
  <si>
    <t>其他预交税金</t>
  </si>
  <si>
    <t>委托贷款</t>
  </si>
  <si>
    <t>一年以内保本理财产品</t>
  </si>
  <si>
    <t>待摊销短期美金借款远期结汇差额</t>
  </si>
  <si>
    <r>
      <rPr>
        <sz val="9"/>
        <color theme="0" tint="-0.249977111117893"/>
        <rFont val="宋体"/>
        <charset val="134"/>
      </rPr>
      <t>可供出售金融资产</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</si>
  <si>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（十一）可供出售金融资产</t>
    </r>
    <r>
      <rPr>
        <sz val="9"/>
        <color theme="7" tint="0.599993896298105"/>
        <rFont val="Arial Narrow"/>
        <charset val="134"/>
      </rPr>
      <t>-</t>
    </r>
    <r>
      <rPr>
        <sz val="9"/>
        <color theme="7" tint="0.599993896298105"/>
        <rFont val="宋体"/>
        <charset val="134"/>
      </rPr>
      <t>披露表</t>
    </r>
  </si>
  <si>
    <r>
      <rPr>
        <b/>
        <sz val="9"/>
        <rFont val="宋体"/>
        <charset val="134"/>
      </rPr>
      <t>（十一）可供出售金融资产</t>
    </r>
    <r>
      <rPr>
        <b/>
        <sz val="9"/>
        <rFont val="Arial Narrow"/>
        <charset val="134"/>
      </rPr>
      <t>-</t>
    </r>
    <r>
      <rPr>
        <b/>
        <sz val="9"/>
        <rFont val="宋体"/>
        <charset val="134"/>
      </rPr>
      <t>披露表</t>
    </r>
  </si>
  <si>
    <t>注：本期将持有至到期投资重分类为可供出售金融资产的，本期重分类的金额       元，该金额占期末可供出售金融资产总额的比例为          %。</t>
  </si>
  <si>
    <r>
      <rPr>
        <sz val="9"/>
        <rFont val="宋体"/>
        <charset val="134"/>
      </rPr>
      <t>注：本期将持有至到期投资重分类为可供出售金融资产的，本期重分类的金额</t>
    </r>
    <r>
      <rPr>
        <sz val="9"/>
        <rFont val="Arial Narrow"/>
        <charset val="134"/>
      </rPr>
      <t xml:space="preserve">       </t>
    </r>
    <r>
      <rPr>
        <sz val="9"/>
        <rFont val="宋体"/>
        <charset val="134"/>
      </rPr>
      <t>元，该金额占期末可供出售金融资产总额的比例为</t>
    </r>
    <r>
      <rPr>
        <sz val="9"/>
        <rFont val="Arial Narrow"/>
        <charset val="134"/>
      </rPr>
      <t xml:space="preserve">          %</t>
    </r>
    <r>
      <rPr>
        <sz val="9"/>
        <rFont val="宋体"/>
        <charset val="134"/>
      </rPr>
      <t>。</t>
    </r>
  </si>
  <si>
    <t>（2）可供出售金融资产中长期债权投资</t>
  </si>
  <si>
    <r>
      <rPr>
        <sz val="9"/>
        <rFont val="宋体"/>
        <charset val="134"/>
      </rPr>
      <t>（</t>
    </r>
    <r>
      <rPr>
        <sz val="9"/>
        <rFont val="Arial Narrow"/>
        <charset val="134"/>
      </rPr>
      <t>2</t>
    </r>
    <r>
      <rPr>
        <sz val="9"/>
        <rFont val="宋体"/>
        <charset val="134"/>
      </rPr>
      <t>）可供出售金融资产中长期债权投资</t>
    </r>
  </si>
  <si>
    <t>债券项目</t>
  </si>
  <si>
    <r>
      <rPr>
        <sz val="9"/>
        <color theme="7" tint="0.599993896298105"/>
        <rFont val="宋体"/>
        <charset val="134"/>
      </rPr>
      <t>（</t>
    </r>
    <r>
      <rPr>
        <sz val="9"/>
        <color theme="7" tint="0.599993896298105"/>
        <rFont val="Arial Narrow"/>
        <charset val="134"/>
      </rPr>
      <t>2</t>
    </r>
    <r>
      <rPr>
        <sz val="9"/>
        <color theme="7" tint="0.599993896298105"/>
        <rFont val="宋体"/>
        <charset val="134"/>
      </rPr>
      <t>）可供出售金融资产中长期债权投资</t>
    </r>
  </si>
  <si>
    <t>投资种类　</t>
  </si>
  <si>
    <t>面值　</t>
  </si>
  <si>
    <t>年利率　</t>
  </si>
  <si>
    <t>初始投资成本　</t>
  </si>
  <si>
    <t>到期日　</t>
  </si>
  <si>
    <t>累计应收利息　</t>
  </si>
  <si>
    <t>累计已收利息　</t>
  </si>
  <si>
    <t>期末账面余额　</t>
  </si>
  <si>
    <r>
      <rPr>
        <sz val="9"/>
        <color theme="7" tint="0.599993896298105"/>
        <rFont val="宋体"/>
        <charset val="134"/>
      </rPr>
      <t>（</t>
    </r>
    <r>
      <rPr>
        <sz val="9"/>
        <color theme="7" tint="0.599993896298105"/>
        <rFont val="Arial Narrow"/>
        <charset val="134"/>
      </rPr>
      <t>2）可供出售金融资产中长期债权投资</t>
    </r>
  </si>
  <si>
    <t>(十二)持有至到期投资-披露表</t>
  </si>
  <si>
    <r>
      <rPr>
        <sz val="9"/>
        <color theme="0" tint="-0.249977111117893"/>
        <rFont val="宋体"/>
        <charset val="134"/>
      </rPr>
      <t>持有至到期投资</t>
    </r>
    <r>
      <rPr>
        <sz val="9"/>
        <color theme="0" tint="-0.249977111117893"/>
        <rFont val="Arial Narrow"/>
        <charset val="134"/>
      </rPr>
      <t>-</t>
    </r>
    <r>
      <rPr>
        <sz val="9"/>
        <color theme="0" tint="-0.249977111117893"/>
        <rFont val="宋体"/>
        <charset val="134"/>
      </rPr>
      <t>披露表</t>
    </r>
  </si>
  <si>
    <r>
      <rPr>
        <sz val="9"/>
        <color theme="7" tint="0.599993896298105"/>
        <rFont val="Arial Narrow"/>
        <charset val="134"/>
      </rPr>
      <t>(</t>
    </r>
    <r>
      <rPr>
        <sz val="9"/>
        <color theme="7" tint="0.599993896298105"/>
        <rFont val="宋体"/>
        <charset val="134"/>
      </rPr>
      <t>十二</t>
    </r>
    <r>
      <rPr>
        <sz val="9"/>
        <color theme="7" tint="0.599993896298105"/>
        <rFont val="Arial Narrow"/>
        <charset val="134"/>
      </rPr>
      <t>)</t>
    </r>
    <r>
      <rPr>
        <sz val="9"/>
        <color theme="7" tint="0.599993896298105"/>
        <rFont val="宋体"/>
        <charset val="134"/>
      </rPr>
      <t>持有至到期投资</t>
    </r>
    <r>
      <rPr>
        <sz val="9"/>
        <color theme="7" tint="0.599993896298105"/>
        <rFont val="Arial Narrow"/>
        <charset val="134"/>
      </rPr>
      <t>-</t>
    </r>
    <r>
      <rPr>
        <sz val="9"/>
        <color theme="7" tint="0.599993896298105"/>
        <rFont val="宋体"/>
        <charset val="134"/>
      </rPr>
      <t>披露表</t>
    </r>
  </si>
  <si>
    <r>
      <rPr>
        <b/>
        <sz val="9"/>
        <rFont val="Arial Narrow"/>
        <charset val="134"/>
      </rPr>
      <t>(</t>
    </r>
    <r>
      <rPr>
        <b/>
        <sz val="9"/>
        <rFont val="宋体"/>
        <charset val="134"/>
      </rPr>
      <t>十二</t>
    </r>
    <r>
      <rPr>
        <b/>
        <sz val="9"/>
        <rFont val="Arial Narrow"/>
        <charset val="134"/>
      </rPr>
      <t>)</t>
    </r>
    <r>
      <rPr>
        <b/>
        <sz val="9"/>
        <rFont val="宋体"/>
        <charset val="134"/>
      </rPr>
      <t>持有至到期投资</t>
    </r>
    <r>
      <rPr>
        <b/>
        <sz val="9"/>
        <rFont val="Arial Narrow"/>
        <charset val="134"/>
      </rPr>
      <t>-</t>
    </r>
    <r>
      <rPr>
        <b/>
        <sz val="9"/>
        <rFont val="宋体"/>
        <charset val="134"/>
      </rPr>
      <t>披露表</t>
    </r>
  </si>
  <si>
    <t>(1)明细金额</t>
  </si>
  <si>
    <r>
      <rPr>
        <sz val="9"/>
        <rFont val="Arial Narrow"/>
        <charset val="134"/>
      </rPr>
      <t>(1)</t>
    </r>
    <r>
      <rPr>
        <sz val="9"/>
        <rFont val="宋体"/>
        <charset val="134"/>
      </rPr>
      <t>明细金额</t>
    </r>
  </si>
  <si>
    <t>（2）本期内出售但尚未到期的持有至到期投资情况</t>
  </si>
  <si>
    <r>
      <rPr>
        <sz val="9"/>
        <color theme="7" tint="0.599993896298105"/>
        <rFont val="宋体"/>
        <charset val="134"/>
      </rPr>
      <t>（</t>
    </r>
    <r>
      <rPr>
        <sz val="9"/>
        <color theme="7" tint="0.599993896298105"/>
        <rFont val="Arial Narrow"/>
        <charset val="134"/>
      </rPr>
      <t>2</t>
    </r>
    <r>
      <rPr>
        <sz val="9"/>
        <color theme="7" tint="0.599993896298105"/>
        <rFont val="宋体"/>
        <charset val="134"/>
      </rPr>
      <t>）本期内出售但尚未到期的持有至到期投资情况</t>
    </r>
  </si>
  <si>
    <r>
      <rPr>
        <sz val="9"/>
        <rFont val="宋体"/>
        <charset val="134"/>
      </rPr>
      <t>（</t>
    </r>
    <r>
      <rPr>
        <sz val="9"/>
        <rFont val="Arial Narrow"/>
        <charset val="134"/>
      </rPr>
      <t>2</t>
    </r>
    <r>
      <rPr>
        <sz val="9"/>
        <rFont val="宋体"/>
        <charset val="134"/>
      </rPr>
      <t>）本期内出售但尚未到期的持有至到期投资情况</t>
    </r>
  </si>
  <si>
    <r>
      <rPr>
        <sz val="9"/>
        <rFont val="宋体"/>
        <charset val="134"/>
      </rPr>
      <t>占该项投资出售前金额的比例（</t>
    </r>
    <r>
      <rPr>
        <sz val="9"/>
        <rFont val="Arial Narrow"/>
        <charset val="134"/>
      </rPr>
      <t>%</t>
    </r>
    <r>
      <rPr>
        <sz val="9"/>
        <rFont val="宋体"/>
        <charset val="134"/>
      </rPr>
      <t>）</t>
    </r>
  </si>
  <si>
    <t>该项投资出售前金额</t>
  </si>
  <si>
    <r>
      <rPr>
        <sz val="9"/>
        <color theme="7" tint="0.599993896298105"/>
        <rFont val="宋体"/>
        <charset val="134"/>
      </rPr>
      <t>（</t>
    </r>
    <r>
      <rPr>
        <sz val="9"/>
        <color theme="7" tint="0.599993896298105"/>
        <rFont val="Arial Narrow"/>
        <charset val="134"/>
      </rPr>
      <t>2）本期内出售但尚未到期的持有至到期投资情况</t>
    </r>
  </si>
  <si>
    <t>注：本期内出售但尚未到期的持有至到期投资情况说明：</t>
  </si>
  <si>
    <r>
      <rPr>
        <sz val="9"/>
        <color theme="7" tint="0.599993896298105"/>
        <rFont val="宋体"/>
        <charset val="134"/>
      </rPr>
      <t>（十三）长期应收款</t>
    </r>
    <r>
      <rPr>
        <sz val="9"/>
        <color theme="7" tint="0.599993896298105"/>
        <rFont val="Arial Narrow"/>
        <charset val="134"/>
      </rPr>
      <t>-</t>
    </r>
    <r>
      <rPr>
        <sz val="9"/>
        <color theme="7" tint="0.599993896298105"/>
        <rFont val="宋体"/>
        <charset val="134"/>
      </rPr>
      <t>披露表</t>
    </r>
  </si>
  <si>
    <r>
      <rPr>
        <b/>
        <sz val="9"/>
        <rFont val="宋体"/>
        <charset val="134"/>
      </rPr>
      <t>（十三）长期应收款</t>
    </r>
    <r>
      <rPr>
        <b/>
        <sz val="9"/>
        <rFont val="Arial Narrow"/>
        <charset val="134"/>
      </rPr>
      <t>-</t>
    </r>
    <r>
      <rPr>
        <b/>
        <sz val="9"/>
        <rFont val="宋体"/>
        <charset val="134"/>
      </rPr>
      <t>披露表</t>
    </r>
  </si>
  <si>
    <t>（十四）对合营企业及联营企业投资-披露表</t>
  </si>
  <si>
    <r>
      <rPr>
        <b/>
        <sz val="9"/>
        <rFont val="宋体"/>
        <charset val="134"/>
      </rPr>
      <t>（十四）对合营企业及联营企业投资</t>
    </r>
    <r>
      <rPr>
        <b/>
        <sz val="9"/>
        <rFont val="Arial Narrow"/>
        <charset val="134"/>
      </rPr>
      <t>-</t>
    </r>
    <r>
      <rPr>
        <b/>
        <sz val="9"/>
        <rFont val="宋体"/>
        <charset val="134"/>
      </rPr>
      <t>披露表</t>
    </r>
  </si>
  <si>
    <r>
      <rPr>
        <sz val="9"/>
        <rFont val="宋体"/>
        <charset val="134"/>
      </rPr>
      <t>本企业持股比例（</t>
    </r>
    <r>
      <rPr>
        <sz val="9"/>
        <rFont val="Arial Narrow"/>
        <charset val="134"/>
      </rPr>
      <t>%</t>
    </r>
    <r>
      <rPr>
        <sz val="9"/>
        <rFont val="宋体"/>
        <charset val="134"/>
      </rPr>
      <t>）</t>
    </r>
  </si>
  <si>
    <r>
      <rPr>
        <sz val="9"/>
        <rFont val="宋体"/>
        <charset val="134"/>
      </rPr>
      <t>本企业在被投资单位表决权比例（</t>
    </r>
    <r>
      <rPr>
        <sz val="9"/>
        <rFont val="Arial Narrow"/>
        <charset val="134"/>
      </rPr>
      <t>%</t>
    </r>
    <r>
      <rPr>
        <sz val="9"/>
        <rFont val="宋体"/>
        <charset val="134"/>
      </rPr>
      <t>）</t>
    </r>
  </si>
  <si>
    <t>期末资产总额</t>
  </si>
  <si>
    <t>期末负债总额</t>
  </si>
  <si>
    <t>期末净资产总额</t>
  </si>
  <si>
    <t>本期营业收入总额</t>
  </si>
  <si>
    <t>注：合营企业、联营企业的重要会计政策、会计估计与公司的会计政策、会计估计存在重大差异的说明：</t>
  </si>
  <si>
    <t>（十五）长期股权投资-披露表</t>
  </si>
  <si>
    <r>
      <rPr>
        <sz val="9"/>
        <color theme="0" tint="-0.249977111117893"/>
        <rFont val="宋体"/>
        <charset val="134"/>
      </rPr>
      <t>长期股权投资</t>
    </r>
    <r>
      <rPr>
        <sz val="9"/>
        <color theme="0" tint="-0.249977111117893"/>
        <rFont val="Arial Narrow"/>
        <charset val="134"/>
      </rPr>
      <t>-</t>
    </r>
    <r>
      <rPr>
        <sz val="9"/>
        <color theme="0" tint="-0.249977111117893"/>
        <rFont val="宋体"/>
        <charset val="134"/>
      </rPr>
      <t>披露表</t>
    </r>
  </si>
  <si>
    <r>
      <rPr>
        <b/>
        <sz val="9"/>
        <rFont val="宋体"/>
        <charset val="134"/>
      </rPr>
      <t>（十五）长期股权投资</t>
    </r>
    <r>
      <rPr>
        <b/>
        <sz val="9"/>
        <rFont val="Arial Narrow"/>
        <charset val="134"/>
      </rPr>
      <t>-</t>
    </r>
    <r>
      <rPr>
        <b/>
        <sz val="9"/>
        <rFont val="宋体"/>
        <charset val="134"/>
      </rPr>
      <t>披露表</t>
    </r>
  </si>
  <si>
    <t xml:space="preserve">（1）按核算方法列示 </t>
  </si>
  <si>
    <t>核算方法</t>
  </si>
  <si>
    <t>投资成本</t>
  </si>
  <si>
    <t>期初账面金额</t>
  </si>
  <si>
    <t>期末账面金额</t>
  </si>
  <si>
    <t>在被投资单位的持股比例（%）</t>
  </si>
  <si>
    <t>在被投资单位表决权比例（%）</t>
  </si>
  <si>
    <t>在被投资单位的持股比例与表决权比例不一致的说明</t>
  </si>
  <si>
    <t>本期计提资产减值准备</t>
  </si>
  <si>
    <t>现金红利</t>
  </si>
  <si>
    <t>（2）向投资企业转移资金的能力受到限制的有关情况</t>
  </si>
  <si>
    <r>
      <rPr>
        <sz val="9"/>
        <color theme="7" tint="0.599993896298105"/>
        <rFont val="宋体"/>
        <charset val="134"/>
      </rPr>
      <t>（</t>
    </r>
    <r>
      <rPr>
        <sz val="9"/>
        <color theme="7" tint="0.599993896298105"/>
        <rFont val="Arial Narrow"/>
        <charset val="134"/>
      </rPr>
      <t>2</t>
    </r>
    <r>
      <rPr>
        <sz val="9"/>
        <color theme="7" tint="0.599993896298105"/>
        <rFont val="宋体"/>
        <charset val="134"/>
      </rPr>
      <t>）向投资企业转移资金的能力受到限制的有关情况</t>
    </r>
  </si>
  <si>
    <r>
      <rPr>
        <sz val="9"/>
        <rFont val="宋体"/>
        <charset val="134"/>
      </rPr>
      <t>（</t>
    </r>
    <r>
      <rPr>
        <sz val="9"/>
        <rFont val="Arial Narrow"/>
        <charset val="134"/>
      </rPr>
      <t>2</t>
    </r>
    <r>
      <rPr>
        <sz val="9"/>
        <rFont val="宋体"/>
        <charset val="134"/>
      </rPr>
      <t>）向投资企业转移资金的能力受到限制的有关情况</t>
    </r>
  </si>
  <si>
    <t>向投资企业转移资金能力受到限制的长期股权投资项目</t>
  </si>
  <si>
    <t>受限制的原因</t>
  </si>
  <si>
    <t>当期累计未确认的投资损失金额</t>
  </si>
  <si>
    <r>
      <rPr>
        <sz val="9"/>
        <color theme="7" tint="0.599993896298105"/>
        <rFont val="宋体"/>
        <charset val="134"/>
      </rPr>
      <t>（</t>
    </r>
    <r>
      <rPr>
        <sz val="9"/>
        <color theme="7" tint="0.599993896298105"/>
        <rFont val="Arial Narrow"/>
        <charset val="134"/>
      </rPr>
      <t>2）向投资企业转移资金的能力受到限制的有关情况</t>
    </r>
  </si>
  <si>
    <r>
      <rPr>
        <sz val="9"/>
        <color theme="0" tint="-0.249977111117893"/>
        <rFont val="宋体"/>
        <charset val="134"/>
      </rPr>
      <t>投资性房地产</t>
    </r>
    <r>
      <rPr>
        <sz val="9"/>
        <color theme="0" tint="-0.249977111117893"/>
        <rFont val="Arial Narrow"/>
        <charset val="134"/>
      </rPr>
      <t>-</t>
    </r>
    <r>
      <rPr>
        <sz val="9"/>
        <color theme="0" tint="-0.249977111117893"/>
        <rFont val="宋体"/>
        <charset val="134"/>
      </rPr>
      <t>披露表</t>
    </r>
  </si>
  <si>
    <r>
      <rPr>
        <b/>
        <sz val="9"/>
        <rFont val="Arial Narrow"/>
        <charset val="134"/>
      </rPr>
      <t>(</t>
    </r>
    <r>
      <rPr>
        <b/>
        <sz val="9"/>
        <rFont val="宋体"/>
        <charset val="134"/>
      </rPr>
      <t>十六</t>
    </r>
    <r>
      <rPr>
        <b/>
        <sz val="9"/>
        <rFont val="Arial Narrow"/>
        <charset val="134"/>
      </rPr>
      <t>)</t>
    </r>
    <r>
      <rPr>
        <b/>
        <sz val="9"/>
        <rFont val="宋体"/>
        <charset val="134"/>
      </rPr>
      <t>投资性房地产</t>
    </r>
    <r>
      <rPr>
        <b/>
        <sz val="9"/>
        <rFont val="Arial Narrow"/>
        <charset val="134"/>
      </rPr>
      <t>-</t>
    </r>
    <r>
      <rPr>
        <b/>
        <sz val="9"/>
        <rFont val="宋体"/>
        <charset val="134"/>
      </rPr>
      <t>披露表</t>
    </r>
  </si>
  <si>
    <t>《投资性房地产》请点击连接填写</t>
  </si>
  <si>
    <r>
      <rPr>
        <sz val="9"/>
        <rFont val="宋体"/>
        <charset val="134"/>
      </rPr>
      <t>（</t>
    </r>
    <r>
      <rPr>
        <sz val="9"/>
        <rFont val="Arial Narrow"/>
        <charset val="134"/>
      </rPr>
      <t>1</t>
    </r>
    <r>
      <rPr>
        <sz val="9"/>
        <rFont val="宋体"/>
        <charset val="134"/>
      </rPr>
      <t>）成本法计量的投资性房地产</t>
    </r>
    <r>
      <rPr>
        <sz val="9"/>
        <color rgb="FFFF0000"/>
        <rFont val="Arial Narrow"/>
        <charset val="134"/>
      </rPr>
      <t>(</t>
    </r>
    <r>
      <rPr>
        <sz val="9"/>
        <color rgb="FFFF0000"/>
        <rFont val="宋体"/>
        <charset val="134"/>
      </rPr>
      <t>此表已连公式，不用填</t>
    </r>
    <r>
      <rPr>
        <sz val="9"/>
        <color rgb="FFFF0000"/>
        <rFont val="Arial Narrow"/>
        <charset val="134"/>
      </rPr>
      <t>)</t>
    </r>
  </si>
  <si>
    <t>合并用：</t>
  </si>
  <si>
    <t>其中：本期收购子公司增加</t>
  </si>
  <si>
    <t>其中：本期出售子公司减少</t>
  </si>
  <si>
    <r>
      <rPr>
        <sz val="9"/>
        <rFont val="Arial Narrow"/>
        <charset val="134"/>
      </rPr>
      <t>1</t>
    </r>
    <r>
      <rPr>
        <sz val="9"/>
        <rFont val="宋体"/>
        <charset val="134"/>
      </rPr>
      <t>．房屋、建筑物</t>
    </r>
  </si>
  <si>
    <r>
      <rPr>
        <sz val="9"/>
        <rFont val="Arial Narrow"/>
        <charset val="134"/>
      </rPr>
      <t>2</t>
    </r>
    <r>
      <rPr>
        <sz val="9"/>
        <rFont val="宋体"/>
        <charset val="134"/>
      </rPr>
      <t>．土地使用权</t>
    </r>
  </si>
  <si>
    <r>
      <rPr>
        <sz val="9"/>
        <color theme="7" tint="0.599993896298105"/>
        <rFont val="宋体"/>
        <charset val="134"/>
      </rPr>
      <t>（</t>
    </r>
    <r>
      <rPr>
        <sz val="9"/>
        <color theme="7" tint="0.599993896298105"/>
        <rFont val="Arial Narrow"/>
        <charset val="134"/>
      </rPr>
      <t>2</t>
    </r>
    <r>
      <rPr>
        <sz val="9"/>
        <color theme="7" tint="0.599993896298105"/>
        <rFont val="宋体"/>
        <charset val="134"/>
      </rPr>
      <t>）公允价值计量的投资性房地产</t>
    </r>
  </si>
  <si>
    <r>
      <rPr>
        <sz val="9"/>
        <rFont val="宋体"/>
        <charset val="134"/>
      </rPr>
      <t>（</t>
    </r>
    <r>
      <rPr>
        <sz val="9"/>
        <rFont val="Arial Narrow"/>
        <charset val="134"/>
      </rPr>
      <t>2</t>
    </r>
    <r>
      <rPr>
        <sz val="9"/>
        <rFont val="宋体"/>
        <charset val="134"/>
      </rPr>
      <t>）公允价值计量的投资性房地产</t>
    </r>
  </si>
  <si>
    <t>期初公</t>
  </si>
  <si>
    <t>期末公</t>
  </si>
  <si>
    <t>允价值</t>
  </si>
  <si>
    <t>购置</t>
  </si>
  <si>
    <t>自用房地产或存货转入</t>
  </si>
  <si>
    <t>公允价值变动损益</t>
  </si>
  <si>
    <t>处置</t>
  </si>
  <si>
    <t>转为自用房地产</t>
  </si>
  <si>
    <r>
      <rPr>
        <sz val="9"/>
        <color theme="7" tint="0.599993896298105"/>
        <rFont val="宋体"/>
        <charset val="134"/>
      </rPr>
      <t>（</t>
    </r>
    <r>
      <rPr>
        <sz val="9"/>
        <color theme="7" tint="0.599993896298105"/>
        <rFont val="Arial Narrow"/>
        <charset val="134"/>
      </rPr>
      <t>2）公允价值计量的投资性房地产</t>
    </r>
  </si>
  <si>
    <r>
      <rPr>
        <sz val="9"/>
        <rFont val="Arial Narrow"/>
        <charset val="134"/>
      </rPr>
      <t>1.</t>
    </r>
    <r>
      <rPr>
        <sz val="9"/>
        <rFont val="宋体"/>
        <charset val="134"/>
      </rPr>
      <t>成本合计</t>
    </r>
  </si>
  <si>
    <r>
      <rPr>
        <sz val="9"/>
        <rFont val="宋体"/>
        <charset val="134"/>
      </rPr>
      <t>（</t>
    </r>
    <r>
      <rPr>
        <sz val="9"/>
        <rFont val="Arial Narrow"/>
        <charset val="134"/>
      </rPr>
      <t>1</t>
    </r>
    <r>
      <rPr>
        <sz val="9"/>
        <rFont val="宋体"/>
        <charset val="134"/>
      </rPr>
      <t>）房屋、建筑物</t>
    </r>
  </si>
  <si>
    <r>
      <rPr>
        <sz val="9"/>
        <rFont val="宋体"/>
        <charset val="134"/>
      </rPr>
      <t>（</t>
    </r>
    <r>
      <rPr>
        <sz val="9"/>
        <rFont val="Arial Narrow"/>
        <charset val="134"/>
      </rPr>
      <t>2</t>
    </r>
    <r>
      <rPr>
        <sz val="9"/>
        <rFont val="宋体"/>
        <charset val="134"/>
      </rPr>
      <t>）土地使用权</t>
    </r>
  </si>
  <si>
    <r>
      <rPr>
        <sz val="9"/>
        <rFont val="宋体"/>
        <charset val="134"/>
      </rPr>
      <t>（</t>
    </r>
    <r>
      <rPr>
        <sz val="9"/>
        <rFont val="Arial Narrow"/>
        <charset val="134"/>
      </rPr>
      <t>3</t>
    </r>
    <r>
      <rPr>
        <sz val="9"/>
        <rFont val="宋体"/>
        <charset val="134"/>
      </rPr>
      <t>）其他</t>
    </r>
  </si>
  <si>
    <r>
      <rPr>
        <sz val="9"/>
        <rFont val="Arial Narrow"/>
        <charset val="134"/>
      </rPr>
      <t>2.</t>
    </r>
    <r>
      <rPr>
        <sz val="9"/>
        <rFont val="宋体"/>
        <charset val="134"/>
      </rPr>
      <t>公允价值变动合计</t>
    </r>
  </si>
  <si>
    <r>
      <rPr>
        <sz val="9"/>
        <rFont val="Arial Narrow"/>
        <charset val="134"/>
      </rPr>
      <t>3.</t>
    </r>
    <r>
      <rPr>
        <sz val="9"/>
        <rFont val="宋体"/>
        <charset val="134"/>
      </rPr>
      <t>投资性房地产账面价值合计</t>
    </r>
  </si>
  <si>
    <t>（3）本期如有房地产计量模式改变的，应当说明改变的原因及其影响。</t>
  </si>
  <si>
    <r>
      <rPr>
        <sz val="9"/>
        <rFont val="宋体"/>
        <charset val="134"/>
      </rPr>
      <t>（</t>
    </r>
    <r>
      <rPr>
        <sz val="9"/>
        <rFont val="Arial Narrow"/>
        <charset val="134"/>
      </rPr>
      <t>3</t>
    </r>
    <r>
      <rPr>
        <sz val="9"/>
        <rFont val="宋体"/>
        <charset val="134"/>
      </rPr>
      <t>）本期如有房地产计量模式改变的，应当说明改变的原因及其影响。</t>
    </r>
  </si>
  <si>
    <t>（4）未办妥产权证书的投资性房地产有关情况，说明未办妥产权证书的原因和预计办结时间。</t>
  </si>
  <si>
    <r>
      <rPr>
        <sz val="9"/>
        <rFont val="宋体"/>
        <charset val="134"/>
      </rPr>
      <t>（</t>
    </r>
    <r>
      <rPr>
        <sz val="9"/>
        <rFont val="Arial Narrow"/>
        <charset val="134"/>
      </rPr>
      <t>4</t>
    </r>
    <r>
      <rPr>
        <sz val="9"/>
        <rFont val="宋体"/>
        <charset val="134"/>
      </rPr>
      <t>）未办妥产权证书的投资性房地产有关情况，说明未办妥产权证书的原因和预计办结时间。</t>
    </r>
  </si>
  <si>
    <t>固定资产-披露表</t>
  </si>
  <si>
    <r>
      <rPr>
        <sz val="9"/>
        <color theme="7" tint="0.599993896298105"/>
        <rFont val="Arial Narrow"/>
        <charset val="134"/>
      </rPr>
      <t>(</t>
    </r>
    <r>
      <rPr>
        <sz val="9"/>
        <color theme="7" tint="0.599993896298105"/>
        <rFont val="宋体"/>
        <charset val="134"/>
      </rPr>
      <t>十七</t>
    </r>
    <r>
      <rPr>
        <sz val="9"/>
        <color theme="7" tint="0.599993896298105"/>
        <rFont val="Arial Narrow"/>
        <charset val="134"/>
      </rPr>
      <t>)</t>
    </r>
    <r>
      <rPr>
        <sz val="9"/>
        <color theme="7" tint="0.599993896298105"/>
        <rFont val="宋体"/>
        <charset val="134"/>
      </rPr>
      <t>固定资产</t>
    </r>
    <r>
      <rPr>
        <sz val="9"/>
        <color theme="7" tint="0.599993896298105"/>
        <rFont val="Arial Narrow"/>
        <charset val="134"/>
      </rPr>
      <t>-</t>
    </r>
    <r>
      <rPr>
        <sz val="9"/>
        <color theme="7" tint="0.599993896298105"/>
        <rFont val="宋体"/>
        <charset val="134"/>
      </rPr>
      <t>披露表</t>
    </r>
  </si>
  <si>
    <r>
      <rPr>
        <b/>
        <sz val="9"/>
        <rFont val="Arial Narrow"/>
        <charset val="134"/>
      </rPr>
      <t>(</t>
    </r>
    <r>
      <rPr>
        <b/>
        <sz val="9"/>
        <rFont val="宋体"/>
        <charset val="134"/>
      </rPr>
      <t>十七</t>
    </r>
    <r>
      <rPr>
        <b/>
        <sz val="9"/>
        <rFont val="Arial Narrow"/>
        <charset val="134"/>
      </rPr>
      <t>)</t>
    </r>
    <r>
      <rPr>
        <b/>
        <sz val="9"/>
        <rFont val="宋体"/>
        <charset val="134"/>
      </rPr>
      <t>固定资产</t>
    </r>
    <r>
      <rPr>
        <b/>
        <sz val="9"/>
        <rFont val="Arial Narrow"/>
        <charset val="134"/>
      </rPr>
      <t>-</t>
    </r>
    <r>
      <rPr>
        <b/>
        <sz val="9"/>
        <rFont val="宋体"/>
        <charset val="134"/>
      </rPr>
      <t>披露表</t>
    </r>
    <r>
      <rPr>
        <b/>
        <sz val="9"/>
        <rFont val="Arial Narrow"/>
        <charset val="134"/>
      </rPr>
      <t>(</t>
    </r>
    <r>
      <rPr>
        <b/>
        <sz val="9"/>
        <rFont val="宋体"/>
        <charset val="134"/>
      </rPr>
      <t>此表不用填，已连公式）</t>
    </r>
  </si>
  <si>
    <t>《固定资产》请点击连接填写</t>
  </si>
  <si>
    <r>
      <rPr>
        <sz val="9"/>
        <rFont val="宋体"/>
        <charset val="134"/>
      </rPr>
      <t>子公司</t>
    </r>
    <r>
      <rPr>
        <sz val="9"/>
        <rFont val="Arial Narrow"/>
        <charset val="134"/>
      </rPr>
      <t>1--</t>
    </r>
  </si>
  <si>
    <r>
      <rPr>
        <sz val="9"/>
        <rFont val="宋体"/>
        <charset val="134"/>
      </rPr>
      <t>子公司</t>
    </r>
    <r>
      <rPr>
        <sz val="9"/>
        <rFont val="Arial Narrow"/>
        <charset val="134"/>
      </rPr>
      <t>2--</t>
    </r>
  </si>
  <si>
    <r>
      <rPr>
        <sz val="9"/>
        <rFont val="宋体"/>
        <charset val="134"/>
      </rPr>
      <t>子公司</t>
    </r>
    <r>
      <rPr>
        <sz val="9"/>
        <rFont val="Arial Narrow"/>
        <charset val="134"/>
      </rPr>
      <t>3--</t>
    </r>
  </si>
  <si>
    <r>
      <rPr>
        <sz val="9"/>
        <rFont val="宋体"/>
        <charset val="134"/>
      </rPr>
      <t>子公司</t>
    </r>
    <r>
      <rPr>
        <sz val="9"/>
        <rFont val="Arial Narrow"/>
        <charset val="134"/>
      </rPr>
      <t>4--</t>
    </r>
  </si>
  <si>
    <r>
      <rPr>
        <sz val="9"/>
        <rFont val="Arial Narrow"/>
        <charset val="134"/>
      </rPr>
      <t xml:space="preserve">    </t>
    </r>
    <r>
      <rPr>
        <sz val="9"/>
        <rFont val="宋体"/>
        <charset val="134"/>
      </rPr>
      <t>其中：房屋及建筑物</t>
    </r>
  </si>
  <si>
    <t xml:space="preserve">        机器设备</t>
  </si>
  <si>
    <t xml:space="preserve">        运输工具</t>
  </si>
  <si>
    <t xml:space="preserve">        电子设备及其他</t>
  </si>
  <si>
    <t>其他设备</t>
  </si>
  <si>
    <t>本期新增</t>
  </si>
  <si>
    <t>注：本期折旧额            元。本期由在建工程转入固定资产原价为         元。</t>
  </si>
  <si>
    <r>
      <rPr>
        <b/>
        <sz val="9"/>
        <color rgb="FFFF0000"/>
        <rFont val="宋体"/>
        <charset val="134"/>
      </rPr>
      <t>注：本期折旧额</t>
    </r>
    <r>
      <rPr>
        <b/>
        <sz val="9"/>
        <color rgb="FFFF0000"/>
        <rFont val="Arial Narrow"/>
        <charset val="134"/>
      </rPr>
      <t xml:space="preserve">            </t>
    </r>
    <r>
      <rPr>
        <b/>
        <sz val="9"/>
        <color rgb="FFFF0000"/>
        <rFont val="宋体"/>
        <charset val="134"/>
      </rPr>
      <t>元。本期由在建工程转入固定资产原价为</t>
    </r>
    <r>
      <rPr>
        <b/>
        <sz val="9"/>
        <color rgb="FFFF0000"/>
        <rFont val="Arial Narrow"/>
        <charset val="134"/>
      </rPr>
      <t xml:space="preserve">         </t>
    </r>
    <r>
      <rPr>
        <b/>
        <sz val="9"/>
        <color rgb="FFFF0000"/>
        <rFont val="宋体"/>
        <charset val="134"/>
      </rPr>
      <t>元。</t>
    </r>
  </si>
  <si>
    <r>
      <rPr>
        <sz val="9"/>
        <color rgb="FFFF0000"/>
        <rFont val="宋体"/>
        <charset val="134"/>
      </rPr>
      <t>文字描述</t>
    </r>
  </si>
  <si>
    <r>
      <rPr>
        <sz val="9"/>
        <color theme="7" tint="0.599993896298105"/>
        <rFont val="宋体"/>
        <charset val="134"/>
      </rPr>
      <t>（</t>
    </r>
    <r>
      <rPr>
        <sz val="9"/>
        <color theme="7" tint="0.599993896298105"/>
        <rFont val="Arial Narrow"/>
        <charset val="134"/>
      </rPr>
      <t>2</t>
    </r>
    <r>
      <rPr>
        <sz val="9"/>
        <color theme="7" tint="0.599993896298105"/>
        <rFont val="宋体"/>
        <charset val="134"/>
      </rPr>
      <t>）闲置固定资产情况</t>
    </r>
  </si>
  <si>
    <r>
      <rPr>
        <sz val="9"/>
        <rFont val="宋体"/>
        <charset val="134"/>
      </rPr>
      <t>（</t>
    </r>
    <r>
      <rPr>
        <sz val="9"/>
        <rFont val="Arial Narrow"/>
        <charset val="134"/>
      </rPr>
      <t>2</t>
    </r>
    <r>
      <rPr>
        <sz val="9"/>
        <rFont val="宋体"/>
        <charset val="134"/>
      </rPr>
      <t>）闲置固定资产情况</t>
    </r>
  </si>
  <si>
    <t>固定资产类别</t>
  </si>
  <si>
    <t>固定资产净值</t>
  </si>
  <si>
    <r>
      <rPr>
        <sz val="9"/>
        <color theme="7" tint="0.599993896298105"/>
        <rFont val="宋体"/>
        <charset val="134"/>
      </rPr>
      <t>（</t>
    </r>
    <r>
      <rPr>
        <sz val="9"/>
        <color theme="7" tint="0.599993896298105"/>
        <rFont val="Arial Narrow"/>
        <charset val="134"/>
      </rPr>
      <t>2）闲置固定资产情况</t>
    </r>
  </si>
  <si>
    <r>
      <rPr>
        <sz val="9"/>
        <color theme="7" tint="0.599993896298105"/>
        <rFont val="宋体"/>
        <charset val="134"/>
      </rPr>
      <t>（</t>
    </r>
    <r>
      <rPr>
        <sz val="9"/>
        <color theme="7" tint="0.599993896298105"/>
        <rFont val="Arial Narrow"/>
        <charset val="134"/>
      </rPr>
      <t>3</t>
    </r>
    <r>
      <rPr>
        <sz val="9"/>
        <color theme="7" tint="0.599993896298105"/>
        <rFont val="宋体"/>
        <charset val="134"/>
      </rPr>
      <t>）融资租赁租入的固定资产情况</t>
    </r>
  </si>
  <si>
    <r>
      <rPr>
        <sz val="9"/>
        <rFont val="宋体"/>
        <charset val="134"/>
      </rPr>
      <t>（</t>
    </r>
    <r>
      <rPr>
        <sz val="9"/>
        <rFont val="Arial Narrow"/>
        <charset val="134"/>
      </rPr>
      <t>3</t>
    </r>
    <r>
      <rPr>
        <sz val="9"/>
        <rFont val="宋体"/>
        <charset val="134"/>
      </rPr>
      <t>）融资租赁租入的固定资产情况</t>
    </r>
  </si>
  <si>
    <r>
      <rPr>
        <sz val="9"/>
        <color theme="7" tint="0.599993896298105"/>
        <rFont val="宋体"/>
        <charset val="134"/>
      </rPr>
      <t>（</t>
    </r>
    <r>
      <rPr>
        <sz val="9"/>
        <color theme="7" tint="0.599993896298105"/>
        <rFont val="Arial Narrow"/>
        <charset val="134"/>
      </rPr>
      <t>3）融资租赁租入的固定资产情况</t>
    </r>
  </si>
  <si>
    <r>
      <rPr>
        <sz val="9"/>
        <color theme="7" tint="0.599993896298105"/>
        <rFont val="宋体"/>
        <charset val="134"/>
      </rPr>
      <t>（</t>
    </r>
    <r>
      <rPr>
        <sz val="9"/>
        <color theme="7" tint="0.599993896298105"/>
        <rFont val="Arial Narrow"/>
        <charset val="134"/>
      </rPr>
      <t>4</t>
    </r>
    <r>
      <rPr>
        <sz val="9"/>
        <color theme="7" tint="0.599993896298105"/>
        <rFont val="宋体"/>
        <charset val="134"/>
      </rPr>
      <t>）经营租赁租出的固定资产情况</t>
    </r>
  </si>
  <si>
    <r>
      <rPr>
        <sz val="9"/>
        <rFont val="宋体"/>
        <charset val="134"/>
      </rPr>
      <t>（</t>
    </r>
    <r>
      <rPr>
        <sz val="9"/>
        <rFont val="Arial Narrow"/>
        <charset val="134"/>
      </rPr>
      <t>4</t>
    </r>
    <r>
      <rPr>
        <sz val="9"/>
        <rFont val="宋体"/>
        <charset val="134"/>
      </rPr>
      <t>）经营租赁租出的固定资产情况</t>
    </r>
  </si>
  <si>
    <r>
      <rPr>
        <sz val="9"/>
        <color theme="7" tint="0.599993896298105"/>
        <rFont val="宋体"/>
        <charset val="134"/>
      </rPr>
      <t>（</t>
    </r>
    <r>
      <rPr>
        <sz val="9"/>
        <color theme="7" tint="0.599993896298105"/>
        <rFont val="Arial Narrow"/>
        <charset val="134"/>
      </rPr>
      <t>4）经营租赁租出的固定资产情况</t>
    </r>
  </si>
  <si>
    <r>
      <rPr>
        <sz val="9"/>
        <color theme="7" tint="0.599993896298105"/>
        <rFont val="宋体"/>
        <charset val="134"/>
      </rPr>
      <t>（</t>
    </r>
    <r>
      <rPr>
        <sz val="9"/>
        <color theme="7" tint="0.599993896298105"/>
        <rFont val="Arial Narrow"/>
        <charset val="134"/>
      </rPr>
      <t>5</t>
    </r>
    <r>
      <rPr>
        <sz val="9"/>
        <color theme="7" tint="0.599993896298105"/>
        <rFont val="宋体"/>
        <charset val="134"/>
      </rPr>
      <t>）期末持有待售的固定资产情况</t>
    </r>
  </si>
  <si>
    <r>
      <rPr>
        <sz val="9"/>
        <rFont val="宋体"/>
        <charset val="134"/>
      </rPr>
      <t>（</t>
    </r>
    <r>
      <rPr>
        <sz val="9"/>
        <rFont val="Arial Narrow"/>
        <charset val="134"/>
      </rPr>
      <t>5</t>
    </r>
    <r>
      <rPr>
        <sz val="9"/>
        <rFont val="宋体"/>
        <charset val="134"/>
      </rPr>
      <t>）期末持有待售的固定资产情况</t>
    </r>
  </si>
  <si>
    <t>固定资产项目</t>
  </si>
  <si>
    <t>预计处置时间</t>
  </si>
  <si>
    <r>
      <rPr>
        <sz val="9"/>
        <color theme="7" tint="0.599993896298105"/>
        <rFont val="宋体"/>
        <charset val="134"/>
      </rPr>
      <t>（</t>
    </r>
    <r>
      <rPr>
        <sz val="9"/>
        <color theme="7" tint="0.599993896298105"/>
        <rFont val="Arial Narrow"/>
        <charset val="134"/>
      </rPr>
      <t>5）期末持有待售的固定资产情况</t>
    </r>
  </si>
  <si>
    <t>（6）未办妥产权证书的固定资产情况</t>
  </si>
  <si>
    <r>
      <rPr>
        <sz val="9"/>
        <color theme="7" tint="0.599993896298105"/>
        <rFont val="宋体"/>
        <charset val="134"/>
      </rPr>
      <t>（</t>
    </r>
    <r>
      <rPr>
        <sz val="9"/>
        <color theme="7" tint="0.599993896298105"/>
        <rFont val="Arial Narrow"/>
        <charset val="134"/>
      </rPr>
      <t>6</t>
    </r>
    <r>
      <rPr>
        <sz val="9"/>
        <color theme="7" tint="0.599993896298105"/>
        <rFont val="宋体"/>
        <charset val="134"/>
      </rPr>
      <t>）未办妥产权证书的固定资产情况</t>
    </r>
  </si>
  <si>
    <r>
      <rPr>
        <sz val="9"/>
        <rFont val="宋体"/>
        <charset val="134"/>
      </rPr>
      <t>（</t>
    </r>
    <r>
      <rPr>
        <sz val="9"/>
        <rFont val="Arial Narrow"/>
        <charset val="134"/>
      </rPr>
      <t>6</t>
    </r>
    <r>
      <rPr>
        <sz val="9"/>
        <rFont val="宋体"/>
        <charset val="134"/>
      </rPr>
      <t>）未办妥产权证书的固定资产情况（暂不填）</t>
    </r>
  </si>
  <si>
    <t>未办妥产权证书原因</t>
  </si>
  <si>
    <t>预计办结产权证书时间</t>
  </si>
  <si>
    <t>原值</t>
  </si>
  <si>
    <t>净值</t>
  </si>
  <si>
    <r>
      <rPr>
        <sz val="9"/>
        <color theme="7" tint="0.599993896298105"/>
        <rFont val="宋体"/>
        <charset val="134"/>
      </rPr>
      <t>（</t>
    </r>
    <r>
      <rPr>
        <sz val="9"/>
        <color theme="7" tint="0.599993896298105"/>
        <rFont val="Arial Narrow"/>
        <charset val="134"/>
      </rPr>
      <t>6）未办妥产权证书的固定资产情况</t>
    </r>
  </si>
  <si>
    <t>（十八）在建工程-披露表</t>
  </si>
  <si>
    <t>在建工程-披露表</t>
  </si>
  <si>
    <r>
      <rPr>
        <sz val="9"/>
        <color theme="7" tint="0.599993896298105"/>
        <rFont val="宋体"/>
        <charset val="134"/>
      </rPr>
      <t>（</t>
    </r>
    <r>
      <rPr>
        <sz val="9"/>
        <color theme="7" tint="0.599993896298105"/>
        <rFont val="Arial Narrow"/>
        <charset val="134"/>
      </rPr>
      <t>1</t>
    </r>
    <r>
      <rPr>
        <sz val="9"/>
        <color theme="7" tint="0.599993896298105"/>
        <rFont val="宋体"/>
        <charset val="134"/>
      </rPr>
      <t>）在建工程余额</t>
    </r>
  </si>
  <si>
    <r>
      <rPr>
        <b/>
        <sz val="9"/>
        <rFont val="宋体"/>
        <charset val="134"/>
      </rPr>
      <t>（十八）在建工程</t>
    </r>
    <r>
      <rPr>
        <b/>
        <sz val="9"/>
        <rFont val="Arial Narrow"/>
        <charset val="134"/>
      </rPr>
      <t>-</t>
    </r>
    <r>
      <rPr>
        <b/>
        <sz val="9"/>
        <rFont val="宋体"/>
        <charset val="134"/>
      </rPr>
      <t>披露表</t>
    </r>
  </si>
  <si>
    <t>（1）在建工程余额</t>
  </si>
  <si>
    <r>
      <rPr>
        <sz val="9"/>
        <rFont val="宋体"/>
        <charset val="134"/>
      </rPr>
      <t>（</t>
    </r>
    <r>
      <rPr>
        <sz val="9"/>
        <rFont val="Arial Narrow"/>
        <charset val="134"/>
      </rPr>
      <t>1</t>
    </r>
    <r>
      <rPr>
        <sz val="9"/>
        <rFont val="宋体"/>
        <charset val="134"/>
      </rPr>
      <t>）在建工程余额</t>
    </r>
  </si>
  <si>
    <r>
      <rPr>
        <sz val="9"/>
        <color theme="7" tint="0.599993896298105"/>
        <rFont val="宋体"/>
        <charset val="134"/>
      </rPr>
      <t>（</t>
    </r>
    <r>
      <rPr>
        <sz val="9"/>
        <color theme="7" tint="0.599993896298105"/>
        <rFont val="Arial Narrow"/>
        <charset val="134"/>
      </rPr>
      <t>1）在建工程余额</t>
    </r>
  </si>
  <si>
    <t>期初数</t>
  </si>
  <si>
    <t>（2）重大在建工程项目变化情况（将所有项目填列）</t>
  </si>
  <si>
    <r>
      <rPr>
        <sz val="9"/>
        <color theme="7" tint="0.599993896298105"/>
        <rFont val="宋体"/>
        <charset val="134"/>
      </rPr>
      <t>（</t>
    </r>
    <r>
      <rPr>
        <sz val="9"/>
        <color theme="7" tint="0.599993896298105"/>
        <rFont val="Arial Narrow"/>
        <charset val="134"/>
      </rPr>
      <t>2</t>
    </r>
    <r>
      <rPr>
        <sz val="9"/>
        <color theme="7" tint="0.599993896298105"/>
        <rFont val="宋体"/>
        <charset val="134"/>
      </rPr>
      <t>）重大在建工程项目变化情况</t>
    </r>
  </si>
  <si>
    <r>
      <rPr>
        <sz val="9"/>
        <rFont val="宋体"/>
        <charset val="134"/>
      </rPr>
      <t>（</t>
    </r>
    <r>
      <rPr>
        <sz val="9"/>
        <rFont val="Arial Narrow"/>
        <charset val="134"/>
      </rPr>
      <t>2</t>
    </r>
    <r>
      <rPr>
        <sz val="9"/>
        <rFont val="宋体"/>
        <charset val="134"/>
      </rPr>
      <t>）重大在建工程项目变化情况（</t>
    </r>
    <r>
      <rPr>
        <b/>
        <sz val="9"/>
        <color rgb="FFFF0000"/>
        <rFont val="宋体"/>
        <charset val="134"/>
      </rPr>
      <t>将所有项目填列</t>
    </r>
    <r>
      <rPr>
        <sz val="9"/>
        <rFont val="宋体"/>
        <charset val="134"/>
      </rPr>
      <t>）</t>
    </r>
  </si>
  <si>
    <t>本期转入固定资产额</t>
  </si>
  <si>
    <r>
      <rPr>
        <b/>
        <sz val="9"/>
        <rFont val="宋体"/>
        <charset val="134"/>
      </rPr>
      <t>工程投入占预算的比例（</t>
    </r>
    <r>
      <rPr>
        <b/>
        <sz val="9"/>
        <rFont val="Arial Narrow"/>
        <charset val="134"/>
      </rPr>
      <t>%</t>
    </r>
    <r>
      <rPr>
        <b/>
        <sz val="9"/>
        <rFont val="宋体"/>
        <charset val="134"/>
      </rPr>
      <t>）</t>
    </r>
  </si>
  <si>
    <t>工程进度</t>
  </si>
  <si>
    <t>利息资本化金额</t>
  </si>
  <si>
    <t>其中：本期利息资本化金额</t>
  </si>
  <si>
    <r>
      <rPr>
        <b/>
        <sz val="9"/>
        <rFont val="宋体"/>
        <charset val="134"/>
      </rPr>
      <t>本期利息资本化率（</t>
    </r>
    <r>
      <rPr>
        <b/>
        <sz val="9"/>
        <rFont val="Arial Narrow"/>
        <charset val="134"/>
      </rPr>
      <t>%</t>
    </r>
    <r>
      <rPr>
        <b/>
        <sz val="9"/>
        <rFont val="宋体"/>
        <charset val="134"/>
      </rPr>
      <t>）</t>
    </r>
  </si>
  <si>
    <r>
      <rPr>
        <sz val="9"/>
        <color theme="7" tint="0.599993896298105"/>
        <rFont val="宋体"/>
        <charset val="134"/>
      </rPr>
      <t>（</t>
    </r>
    <r>
      <rPr>
        <sz val="9"/>
        <color theme="7" tint="0.599993896298105"/>
        <rFont val="Arial Narrow"/>
        <charset val="134"/>
      </rPr>
      <t>2）重大在建工程项目变化情况</t>
    </r>
  </si>
  <si>
    <r>
      <rPr>
        <sz val="9"/>
        <color theme="7" tint="0.599993896298105"/>
        <rFont val="宋体"/>
        <charset val="134"/>
      </rPr>
      <t>（</t>
    </r>
    <r>
      <rPr>
        <sz val="9"/>
        <color theme="7" tint="0.599993896298105"/>
        <rFont val="Arial Narrow"/>
        <charset val="134"/>
      </rPr>
      <t>3</t>
    </r>
    <r>
      <rPr>
        <sz val="9"/>
        <color theme="7" tint="0.599993896298105"/>
        <rFont val="宋体"/>
        <charset val="134"/>
      </rPr>
      <t>）在建工程减值准备</t>
    </r>
  </si>
  <si>
    <r>
      <rPr>
        <sz val="9"/>
        <rFont val="宋体"/>
        <charset val="134"/>
      </rPr>
      <t>（</t>
    </r>
    <r>
      <rPr>
        <sz val="9"/>
        <rFont val="Arial Narrow"/>
        <charset val="134"/>
      </rPr>
      <t>3</t>
    </r>
    <r>
      <rPr>
        <sz val="9"/>
        <rFont val="宋体"/>
        <charset val="134"/>
      </rPr>
      <t>）在建工程减值准备</t>
    </r>
  </si>
  <si>
    <r>
      <rPr>
        <sz val="9"/>
        <color theme="7" tint="0.599993896298105"/>
        <rFont val="宋体"/>
        <charset val="134"/>
      </rPr>
      <t>（</t>
    </r>
    <r>
      <rPr>
        <sz val="9"/>
        <color theme="7" tint="0.599993896298105"/>
        <rFont val="Arial Narrow"/>
        <charset val="134"/>
      </rPr>
      <t>3）在建工程减值准备</t>
    </r>
  </si>
  <si>
    <t>（4）重大在建工程的工程进度情况</t>
  </si>
  <si>
    <r>
      <rPr>
        <sz val="9"/>
        <color theme="7" tint="0.599993896298105"/>
        <rFont val="宋体"/>
        <charset val="134"/>
      </rPr>
      <t>（</t>
    </r>
    <r>
      <rPr>
        <sz val="9"/>
        <color theme="7" tint="0.599993896298105"/>
        <rFont val="Arial Narrow"/>
        <charset val="134"/>
      </rPr>
      <t>4</t>
    </r>
    <r>
      <rPr>
        <sz val="9"/>
        <color theme="7" tint="0.599993896298105"/>
        <rFont val="宋体"/>
        <charset val="134"/>
      </rPr>
      <t>）重大在建工程的工程进度情况</t>
    </r>
  </si>
  <si>
    <r>
      <rPr>
        <sz val="9"/>
        <rFont val="宋体"/>
        <charset val="134"/>
      </rPr>
      <t>（</t>
    </r>
    <r>
      <rPr>
        <sz val="9"/>
        <rFont val="Arial Narrow"/>
        <charset val="134"/>
      </rPr>
      <t>4</t>
    </r>
    <r>
      <rPr>
        <sz val="9"/>
        <rFont val="宋体"/>
        <charset val="134"/>
      </rPr>
      <t>）重大在建工程的工程进度情况</t>
    </r>
  </si>
  <si>
    <r>
      <rPr>
        <sz val="9"/>
        <color theme="7" tint="0.599993896298105"/>
        <rFont val="宋体"/>
        <charset val="134"/>
      </rPr>
      <t>（</t>
    </r>
    <r>
      <rPr>
        <sz val="9"/>
        <color theme="7" tint="0.599993896298105"/>
        <rFont val="Arial Narrow"/>
        <charset val="134"/>
      </rPr>
      <t>4）重大在建工程的工程进度情况</t>
    </r>
  </si>
  <si>
    <t>（十九）工程物资-披露表</t>
  </si>
  <si>
    <t>工程物资-披露表</t>
  </si>
  <si>
    <r>
      <rPr>
        <sz val="9"/>
        <color theme="7" tint="0.599993896298105"/>
        <rFont val="宋体"/>
        <charset val="134"/>
      </rPr>
      <t>（</t>
    </r>
    <r>
      <rPr>
        <sz val="9"/>
        <color theme="7" tint="0.599993896298105"/>
        <rFont val="Arial Narrow"/>
        <charset val="134"/>
      </rPr>
      <t>1</t>
    </r>
    <r>
      <rPr>
        <sz val="9"/>
        <color theme="7" tint="0.599993896298105"/>
        <rFont val="宋体"/>
        <charset val="134"/>
      </rPr>
      <t>）按类别列示</t>
    </r>
  </si>
  <si>
    <r>
      <rPr>
        <b/>
        <sz val="9"/>
        <rFont val="宋体"/>
        <charset val="134"/>
      </rPr>
      <t>（十九）工程物资</t>
    </r>
    <r>
      <rPr>
        <b/>
        <sz val="9"/>
        <rFont val="Arial Narrow"/>
        <charset val="134"/>
      </rPr>
      <t>-</t>
    </r>
    <r>
      <rPr>
        <b/>
        <sz val="9"/>
        <rFont val="宋体"/>
        <charset val="134"/>
      </rPr>
      <t>披露表</t>
    </r>
  </si>
  <si>
    <t>（1）按类别列示</t>
  </si>
  <si>
    <r>
      <rPr>
        <sz val="9"/>
        <rFont val="宋体"/>
        <charset val="134"/>
      </rPr>
      <t>（</t>
    </r>
    <r>
      <rPr>
        <sz val="9"/>
        <rFont val="Arial Narrow"/>
        <charset val="134"/>
      </rPr>
      <t>1</t>
    </r>
    <r>
      <rPr>
        <sz val="9"/>
        <rFont val="宋体"/>
        <charset val="134"/>
      </rPr>
      <t>）按类别列示</t>
    </r>
  </si>
  <si>
    <r>
      <rPr>
        <sz val="9"/>
        <color theme="7" tint="0.599993896298105"/>
        <rFont val="宋体"/>
        <charset val="134"/>
      </rPr>
      <t>（</t>
    </r>
    <r>
      <rPr>
        <sz val="9"/>
        <color theme="7" tint="0.599993896298105"/>
        <rFont val="Arial Narrow"/>
        <charset val="134"/>
      </rPr>
      <t>1）按类别列示</t>
    </r>
  </si>
  <si>
    <t>专用设备</t>
  </si>
  <si>
    <t>专用材料</t>
  </si>
  <si>
    <t>(二十)固定资产清理-批露</t>
  </si>
  <si>
    <r>
      <rPr>
        <sz val="9"/>
        <color theme="0" tint="-0.249977111117893"/>
        <rFont val="宋体"/>
        <charset val="134"/>
      </rPr>
      <t>固定资产清理</t>
    </r>
    <r>
      <rPr>
        <sz val="9"/>
        <color theme="0" tint="-0.249977111117893"/>
        <rFont val="Arial Narrow"/>
        <charset val="134"/>
      </rPr>
      <t>-</t>
    </r>
    <r>
      <rPr>
        <sz val="9"/>
        <color theme="0" tint="-0.249977111117893"/>
        <rFont val="宋体"/>
        <charset val="134"/>
      </rPr>
      <t>批露</t>
    </r>
  </si>
  <si>
    <r>
      <rPr>
        <sz val="9"/>
        <color theme="7" tint="0.599993896298105"/>
        <rFont val="宋体"/>
        <charset val="134"/>
      </rPr>
      <t>（</t>
    </r>
    <r>
      <rPr>
        <sz val="9"/>
        <color theme="7" tint="0.599993896298105"/>
        <rFont val="Arial Narrow"/>
        <charset val="134"/>
      </rPr>
      <t>1</t>
    </r>
    <r>
      <rPr>
        <sz val="9"/>
        <color theme="7" tint="0.599993896298105"/>
        <rFont val="宋体"/>
        <charset val="134"/>
      </rPr>
      <t>）按项目列示</t>
    </r>
  </si>
  <si>
    <r>
      <rPr>
        <b/>
        <sz val="9"/>
        <rFont val="Arial Narrow"/>
        <charset val="134"/>
      </rPr>
      <t>(</t>
    </r>
    <r>
      <rPr>
        <b/>
        <sz val="9"/>
        <rFont val="宋体"/>
        <charset val="134"/>
      </rPr>
      <t>二十</t>
    </r>
    <r>
      <rPr>
        <b/>
        <sz val="9"/>
        <rFont val="Arial Narrow"/>
        <charset val="134"/>
      </rPr>
      <t>)</t>
    </r>
    <r>
      <rPr>
        <b/>
        <sz val="9"/>
        <rFont val="宋体"/>
        <charset val="134"/>
      </rPr>
      <t>固定资产清理</t>
    </r>
    <r>
      <rPr>
        <b/>
        <sz val="9"/>
        <rFont val="Arial Narrow"/>
        <charset val="134"/>
      </rPr>
      <t>-</t>
    </r>
    <r>
      <rPr>
        <b/>
        <sz val="9"/>
        <rFont val="宋体"/>
        <charset val="134"/>
      </rPr>
      <t>批露</t>
    </r>
  </si>
  <si>
    <t>（1）按项目列示</t>
  </si>
  <si>
    <r>
      <rPr>
        <sz val="9"/>
        <rFont val="宋体"/>
        <charset val="134"/>
      </rPr>
      <t>（</t>
    </r>
    <r>
      <rPr>
        <sz val="9"/>
        <rFont val="Arial Narrow"/>
        <charset val="134"/>
      </rPr>
      <t>1</t>
    </r>
    <r>
      <rPr>
        <sz val="9"/>
        <rFont val="宋体"/>
        <charset val="134"/>
      </rPr>
      <t>）按项目列示</t>
    </r>
  </si>
  <si>
    <r>
      <rPr>
        <sz val="9"/>
        <color theme="7" tint="0.599993896298105"/>
        <rFont val="宋体"/>
        <charset val="134"/>
      </rPr>
      <t>（</t>
    </r>
    <r>
      <rPr>
        <sz val="9"/>
        <color theme="7" tint="0.599993896298105"/>
        <rFont val="Arial Narrow"/>
        <charset val="134"/>
      </rPr>
      <t>1）按项目列示</t>
    </r>
  </si>
  <si>
    <t>（2）说明转入固定资产清理起始时间已超过1年的固定资产清理进展情况。</t>
  </si>
  <si>
    <r>
      <rPr>
        <sz val="9"/>
        <rFont val="宋体"/>
        <charset val="134"/>
      </rPr>
      <t>（</t>
    </r>
    <r>
      <rPr>
        <sz val="9"/>
        <rFont val="Arial Narrow"/>
        <charset val="134"/>
      </rPr>
      <t>2</t>
    </r>
    <r>
      <rPr>
        <sz val="9"/>
        <rFont val="宋体"/>
        <charset val="134"/>
      </rPr>
      <t>）说明转入固定资产清理起始时间已超过</t>
    </r>
    <r>
      <rPr>
        <sz val="9"/>
        <rFont val="Arial Narrow"/>
        <charset val="134"/>
      </rPr>
      <t>1</t>
    </r>
    <r>
      <rPr>
        <sz val="9"/>
        <rFont val="宋体"/>
        <charset val="134"/>
      </rPr>
      <t>年的固定资产清理进展情况。</t>
    </r>
  </si>
  <si>
    <r>
      <rPr>
        <sz val="9"/>
        <color theme="0" tint="-0.249977111117893"/>
        <rFont val="宋体"/>
        <charset val="134"/>
      </rPr>
      <t>生产性生物资产及公益性生物资产</t>
    </r>
    <r>
      <rPr>
        <sz val="9"/>
        <color theme="0" tint="-0.249977111117893"/>
        <rFont val="Arial Narrow"/>
        <charset val="134"/>
      </rPr>
      <t>-</t>
    </r>
    <r>
      <rPr>
        <sz val="9"/>
        <color theme="0" tint="-0.249977111117893"/>
        <rFont val="宋体"/>
        <charset val="134"/>
      </rPr>
      <t>批露表</t>
    </r>
  </si>
  <si>
    <r>
      <rPr>
        <b/>
        <sz val="9"/>
        <rFont val="宋体"/>
        <charset val="134"/>
      </rPr>
      <t>（二十一）生产性生物资产及公益性生物资产</t>
    </r>
    <r>
      <rPr>
        <b/>
        <sz val="9"/>
        <rFont val="Arial Narrow"/>
        <charset val="134"/>
      </rPr>
      <t>-</t>
    </r>
    <r>
      <rPr>
        <b/>
        <sz val="9"/>
        <rFont val="宋体"/>
        <charset val="134"/>
      </rPr>
      <t>批露表</t>
    </r>
  </si>
  <si>
    <r>
      <rPr>
        <sz val="9"/>
        <rFont val="宋体"/>
        <charset val="134"/>
      </rPr>
      <t>一、原价合计</t>
    </r>
    <r>
      <rPr>
        <sz val="9"/>
        <rFont val="Arial Narrow"/>
        <charset val="134"/>
      </rPr>
      <t xml:space="preserve"> </t>
    </r>
  </si>
  <si>
    <r>
      <rPr>
        <sz val="9"/>
        <rFont val="Arial Narrow"/>
        <charset val="134"/>
      </rPr>
      <t xml:space="preserve">……  </t>
    </r>
    <r>
      <rPr>
        <sz val="9"/>
        <rFont val="宋体"/>
        <charset val="134"/>
      </rPr>
      <t>水产业</t>
    </r>
  </si>
  <si>
    <t>四、账面价值合计</t>
  </si>
  <si>
    <r>
      <rPr>
        <sz val="9"/>
        <color theme="0" tint="-0.249977111117893"/>
        <rFont val="宋体"/>
        <charset val="134"/>
      </rPr>
      <t>油气资产</t>
    </r>
    <r>
      <rPr>
        <sz val="9"/>
        <color theme="0" tint="-0.249977111117893"/>
        <rFont val="Arial Narrow"/>
        <charset val="134"/>
      </rPr>
      <t>-</t>
    </r>
    <r>
      <rPr>
        <sz val="9"/>
        <color theme="0" tint="-0.249977111117893"/>
        <rFont val="宋体"/>
        <charset val="134"/>
      </rPr>
      <t>批露表</t>
    </r>
  </si>
  <si>
    <r>
      <rPr>
        <b/>
        <sz val="9"/>
        <rFont val="Arial Narrow"/>
        <charset val="134"/>
      </rPr>
      <t>(</t>
    </r>
    <r>
      <rPr>
        <b/>
        <sz val="9"/>
        <rFont val="宋体"/>
        <charset val="134"/>
      </rPr>
      <t>二十二</t>
    </r>
    <r>
      <rPr>
        <b/>
        <sz val="9"/>
        <rFont val="Arial Narrow"/>
        <charset val="134"/>
      </rPr>
      <t>)</t>
    </r>
    <r>
      <rPr>
        <b/>
        <sz val="9"/>
        <rFont val="宋体"/>
        <charset val="134"/>
      </rPr>
      <t>油气资产</t>
    </r>
    <r>
      <rPr>
        <b/>
        <sz val="9"/>
        <rFont val="Arial Narrow"/>
        <charset val="134"/>
      </rPr>
      <t>-</t>
    </r>
    <r>
      <rPr>
        <b/>
        <sz val="9"/>
        <rFont val="宋体"/>
        <charset val="134"/>
      </rPr>
      <t>批露表</t>
    </r>
  </si>
  <si>
    <r>
      <rPr>
        <sz val="9"/>
        <rFont val="Arial Narrow"/>
        <charset val="134"/>
      </rPr>
      <t>1</t>
    </r>
    <r>
      <rPr>
        <sz val="9"/>
        <rFont val="宋体"/>
        <charset val="134"/>
      </rPr>
      <t>．探明矿区权益</t>
    </r>
  </si>
  <si>
    <r>
      <rPr>
        <sz val="9"/>
        <rFont val="Arial Narrow"/>
        <charset val="134"/>
      </rPr>
      <t>2</t>
    </r>
    <r>
      <rPr>
        <sz val="9"/>
        <rFont val="宋体"/>
        <charset val="134"/>
      </rPr>
      <t>．未探明矿区权益</t>
    </r>
  </si>
  <si>
    <r>
      <rPr>
        <sz val="9"/>
        <rFont val="Arial Narrow"/>
        <charset val="134"/>
      </rPr>
      <t>3</t>
    </r>
    <r>
      <rPr>
        <sz val="9"/>
        <rFont val="宋体"/>
        <charset val="134"/>
      </rPr>
      <t>．井及相关设施</t>
    </r>
  </si>
  <si>
    <r>
      <rPr>
        <sz val="9"/>
        <rFont val="Arial Narrow"/>
        <charset val="134"/>
      </rPr>
      <t>2</t>
    </r>
    <r>
      <rPr>
        <sz val="9"/>
        <rFont val="宋体"/>
        <charset val="134"/>
      </rPr>
      <t>．井及相关设施</t>
    </r>
  </si>
  <si>
    <t>（2）当期在国内和国外发生的取得矿区权益、油气勘探和油气开发支出的总额为</t>
  </si>
  <si>
    <r>
      <rPr>
        <sz val="9"/>
        <rFont val="宋体"/>
        <charset val="134"/>
      </rPr>
      <t>（</t>
    </r>
    <r>
      <rPr>
        <sz val="9"/>
        <rFont val="Arial Narrow"/>
        <charset val="134"/>
      </rPr>
      <t>2</t>
    </r>
    <r>
      <rPr>
        <sz val="9"/>
        <rFont val="宋体"/>
        <charset val="134"/>
      </rPr>
      <t>）当期在国内和国外发生的取得矿区权益、油气勘探和油气开发支出的总额为</t>
    </r>
  </si>
  <si>
    <t>元。</t>
  </si>
  <si>
    <r>
      <rPr>
        <sz val="9"/>
        <color theme="0" tint="-0.249977111117893"/>
        <rFont val="宋体"/>
        <charset val="134"/>
      </rPr>
      <t>无形资产</t>
    </r>
    <r>
      <rPr>
        <sz val="9"/>
        <color theme="0" tint="-0.249977111117893"/>
        <rFont val="Arial Narrow"/>
        <charset val="134"/>
      </rPr>
      <t>-</t>
    </r>
    <r>
      <rPr>
        <sz val="9"/>
        <color theme="0" tint="-0.249977111117893"/>
        <rFont val="宋体"/>
        <charset val="134"/>
      </rPr>
      <t>披露表</t>
    </r>
  </si>
  <si>
    <r>
      <rPr>
        <sz val="9"/>
        <color theme="7" tint="0.599993896298105"/>
        <rFont val="Arial Narrow"/>
        <charset val="134"/>
      </rPr>
      <t>(1)</t>
    </r>
    <r>
      <rPr>
        <sz val="9"/>
        <color theme="7" tint="0.599993896298105"/>
        <rFont val="宋体"/>
        <charset val="134"/>
      </rPr>
      <t>无形资产</t>
    </r>
  </si>
  <si>
    <r>
      <rPr>
        <b/>
        <sz val="9"/>
        <rFont val="Arial Narrow"/>
        <charset val="134"/>
      </rPr>
      <t>(</t>
    </r>
    <r>
      <rPr>
        <b/>
        <sz val="9"/>
        <rFont val="宋体"/>
        <charset val="134"/>
      </rPr>
      <t>二十三</t>
    </r>
    <r>
      <rPr>
        <b/>
        <sz val="9"/>
        <rFont val="Arial Narrow"/>
        <charset val="134"/>
      </rPr>
      <t>)</t>
    </r>
    <r>
      <rPr>
        <b/>
        <sz val="9"/>
        <rFont val="宋体"/>
        <charset val="134"/>
      </rPr>
      <t>无形资产</t>
    </r>
    <r>
      <rPr>
        <b/>
        <sz val="9"/>
        <rFont val="Arial Narrow"/>
        <charset val="134"/>
      </rPr>
      <t>-</t>
    </r>
    <r>
      <rPr>
        <b/>
        <sz val="9"/>
        <rFont val="宋体"/>
        <charset val="134"/>
      </rPr>
      <t>披露表</t>
    </r>
  </si>
  <si>
    <t>《无形资产》请点击连接填写</t>
  </si>
  <si>
    <t>(1)无形资产</t>
  </si>
  <si>
    <r>
      <rPr>
        <b/>
        <sz val="9"/>
        <rFont val="Arial Narrow"/>
        <charset val="134"/>
      </rPr>
      <t>(1)</t>
    </r>
    <r>
      <rPr>
        <b/>
        <sz val="9"/>
        <rFont val="宋体"/>
        <charset val="134"/>
      </rPr>
      <t>无形资产</t>
    </r>
    <r>
      <rPr>
        <b/>
        <sz val="9"/>
        <color rgb="FFFF0000"/>
        <rFont val="Arial Narrow"/>
        <charset val="134"/>
      </rPr>
      <t>(</t>
    </r>
    <r>
      <rPr>
        <b/>
        <sz val="9"/>
        <color rgb="FFFF0000"/>
        <rFont val="宋体"/>
        <charset val="134"/>
      </rPr>
      <t>此表不用填，已连公式）</t>
    </r>
  </si>
  <si>
    <r>
      <rPr>
        <sz val="9"/>
        <color theme="7" tint="0.599993896298105"/>
        <rFont val="Arial Narrow"/>
        <charset val="134"/>
      </rPr>
      <t>(1)无形资产</t>
    </r>
  </si>
  <si>
    <t>项目1--</t>
  </si>
  <si>
    <r>
      <rPr>
        <sz val="9"/>
        <rFont val="Arial Narrow"/>
        <charset val="134"/>
      </rPr>
      <t>1</t>
    </r>
    <r>
      <rPr>
        <sz val="9"/>
        <rFont val="宋体"/>
        <charset val="134"/>
      </rPr>
      <t>、土地使用权</t>
    </r>
  </si>
  <si>
    <t>项目2--</t>
  </si>
  <si>
    <r>
      <rPr>
        <sz val="9"/>
        <rFont val="Arial Narrow"/>
        <charset val="134"/>
      </rPr>
      <t>2</t>
    </r>
    <r>
      <rPr>
        <sz val="9"/>
        <rFont val="宋体"/>
        <charset val="134"/>
      </rPr>
      <t>、软件</t>
    </r>
  </si>
  <si>
    <t>项目3--</t>
  </si>
  <si>
    <r>
      <rPr>
        <sz val="9"/>
        <rFont val="Arial Narrow"/>
        <charset val="134"/>
      </rPr>
      <t>3</t>
    </r>
    <r>
      <rPr>
        <sz val="9"/>
        <rFont val="宋体"/>
        <charset val="134"/>
      </rPr>
      <t>、专利权</t>
    </r>
  </si>
  <si>
    <t>项目4--</t>
  </si>
  <si>
    <r>
      <rPr>
        <sz val="9"/>
        <rFont val="Arial Narrow"/>
        <charset val="134"/>
      </rPr>
      <t>4</t>
    </r>
    <r>
      <rPr>
        <sz val="9"/>
        <rFont val="宋体"/>
        <charset val="134"/>
      </rPr>
      <t>、其它</t>
    </r>
  </si>
  <si>
    <t>注：本期摊销额        元。</t>
  </si>
  <si>
    <r>
      <rPr>
        <sz val="9"/>
        <rFont val="宋体"/>
        <charset val="134"/>
      </rPr>
      <t>注：本期摊销额</t>
    </r>
    <r>
      <rPr>
        <sz val="9"/>
        <rFont val="Arial Narrow"/>
        <charset val="134"/>
      </rPr>
      <t xml:space="preserve">        </t>
    </r>
    <r>
      <rPr>
        <sz val="9"/>
        <rFont val="宋体"/>
        <charset val="134"/>
      </rPr>
      <t>元。</t>
    </r>
  </si>
  <si>
    <r>
      <rPr>
        <sz val="9"/>
        <color theme="7" tint="0.599993896298105"/>
        <rFont val="宋体"/>
        <charset val="134"/>
      </rPr>
      <t>（</t>
    </r>
    <r>
      <rPr>
        <sz val="9"/>
        <color theme="7" tint="0.599993896298105"/>
        <rFont val="Arial Narrow"/>
        <charset val="134"/>
      </rPr>
      <t>2</t>
    </r>
    <r>
      <rPr>
        <sz val="9"/>
        <color theme="7" tint="0.599993896298105"/>
        <rFont val="宋体"/>
        <charset val="134"/>
      </rPr>
      <t>）公司内部研究开发项目支出</t>
    </r>
  </si>
  <si>
    <r>
      <rPr>
        <b/>
        <sz val="9"/>
        <rFont val="宋体"/>
        <charset val="134"/>
      </rPr>
      <t>（</t>
    </r>
    <r>
      <rPr>
        <b/>
        <sz val="9"/>
        <rFont val="Arial Narrow"/>
        <charset val="134"/>
      </rPr>
      <t>2</t>
    </r>
    <r>
      <rPr>
        <b/>
        <sz val="9"/>
        <rFont val="宋体"/>
        <charset val="134"/>
      </rPr>
      <t>）公司内部研究开发项目支出</t>
    </r>
  </si>
  <si>
    <t>研发项目明细表</t>
  </si>
  <si>
    <r>
      <rPr>
        <sz val="9"/>
        <color theme="7" tint="0.599993896298105"/>
        <rFont val="宋体"/>
        <charset val="134"/>
      </rPr>
      <t>（</t>
    </r>
    <r>
      <rPr>
        <sz val="9"/>
        <color theme="7" tint="0.599993896298105"/>
        <rFont val="Arial Narrow"/>
        <charset val="134"/>
      </rPr>
      <t>2）公司内部研究开发项目支出</t>
    </r>
  </si>
  <si>
    <t>计入当期损益</t>
  </si>
  <si>
    <t>确认为无形资产</t>
  </si>
  <si>
    <t>注：本期开发支出占本期研究开发项目支出总额的比例为    。通过公司内部研发形成的无形资产占无形资产期末账面价值的比例为    。</t>
  </si>
  <si>
    <r>
      <rPr>
        <sz val="9"/>
        <rFont val="宋体"/>
        <charset val="134"/>
      </rPr>
      <t>注：本期开发支出占本期研究开发项目支出总额的比例为</t>
    </r>
    <r>
      <rPr>
        <sz val="9"/>
        <rFont val="Arial Narrow"/>
        <charset val="134"/>
      </rPr>
      <t xml:space="preserve">    </t>
    </r>
    <r>
      <rPr>
        <sz val="9"/>
        <rFont val="宋体"/>
        <charset val="134"/>
      </rPr>
      <t>。通过公司内部研发形成的无形资产占无形资产期末账面价值的比例为</t>
    </r>
    <r>
      <rPr>
        <sz val="9"/>
        <rFont val="Arial Narrow"/>
        <charset val="134"/>
      </rPr>
      <t xml:space="preserve">    </t>
    </r>
    <r>
      <rPr>
        <sz val="9"/>
        <rFont val="宋体"/>
        <charset val="134"/>
      </rPr>
      <t>。</t>
    </r>
  </si>
  <si>
    <t>（3）在报告期内发生的单项价值在100万元以上的无形资产，若该资产原始价值是以评估值作为入账依据的，披露评估机构名称、评估方法。</t>
  </si>
  <si>
    <r>
      <rPr>
        <sz val="9"/>
        <rFont val="宋体"/>
        <charset val="134"/>
      </rPr>
      <t>（</t>
    </r>
    <r>
      <rPr>
        <sz val="9"/>
        <rFont val="Arial Narrow"/>
        <charset val="134"/>
      </rPr>
      <t>3</t>
    </r>
    <r>
      <rPr>
        <sz val="9"/>
        <rFont val="宋体"/>
        <charset val="134"/>
      </rPr>
      <t>）在报告期内发生的单项价值在</t>
    </r>
    <r>
      <rPr>
        <sz val="9"/>
        <rFont val="Arial Narrow"/>
        <charset val="134"/>
      </rPr>
      <t>100</t>
    </r>
    <r>
      <rPr>
        <sz val="9"/>
        <rFont val="宋体"/>
        <charset val="134"/>
      </rPr>
      <t>万元以上的无形资产，若该资产原始价值是以评估值作为入账依据的，披露评估机构名称、评估方法。</t>
    </r>
  </si>
  <si>
    <t>（二十四）长期待摊费用-批露表</t>
  </si>
  <si>
    <r>
      <rPr>
        <sz val="9"/>
        <color theme="0" tint="-0.249977111117893"/>
        <rFont val="宋体"/>
        <charset val="134"/>
      </rPr>
      <t>长期待摊费用</t>
    </r>
    <r>
      <rPr>
        <sz val="9"/>
        <color theme="0" tint="-0.249977111117893"/>
        <rFont val="Arial Narrow"/>
        <charset val="134"/>
      </rPr>
      <t>-</t>
    </r>
    <r>
      <rPr>
        <sz val="9"/>
        <color theme="0" tint="-0.249977111117893"/>
        <rFont val="宋体"/>
        <charset val="134"/>
      </rPr>
      <t>批露表</t>
    </r>
  </si>
  <si>
    <r>
      <rPr>
        <sz val="9"/>
        <color theme="7" tint="0.599993896298105"/>
        <rFont val="宋体"/>
        <charset val="134"/>
      </rPr>
      <t>（二十四）长期待摊费用</t>
    </r>
    <r>
      <rPr>
        <sz val="9"/>
        <color theme="7" tint="0.599993896298105"/>
        <rFont val="Arial Narrow"/>
        <charset val="134"/>
      </rPr>
      <t>-</t>
    </r>
    <r>
      <rPr>
        <sz val="9"/>
        <color theme="7" tint="0.599993896298105"/>
        <rFont val="宋体"/>
        <charset val="134"/>
      </rPr>
      <t>批露表</t>
    </r>
  </si>
  <si>
    <r>
      <rPr>
        <b/>
        <sz val="9"/>
        <rFont val="宋体"/>
        <charset val="134"/>
      </rPr>
      <t>（二十四）长期待摊费用</t>
    </r>
    <r>
      <rPr>
        <b/>
        <sz val="9"/>
        <rFont val="Arial Narrow"/>
        <charset val="134"/>
      </rPr>
      <t>-</t>
    </r>
    <r>
      <rPr>
        <b/>
        <sz val="9"/>
        <rFont val="宋体"/>
        <charset val="134"/>
      </rPr>
      <t>披露表</t>
    </r>
  </si>
  <si>
    <t>本年摊销数</t>
  </si>
  <si>
    <t>其他减少的原因</t>
  </si>
  <si>
    <t>项目1</t>
  </si>
  <si>
    <r>
      <rPr>
        <sz val="9"/>
        <rFont val="宋体"/>
        <charset val="134"/>
      </rPr>
      <t>项目</t>
    </r>
    <r>
      <rPr>
        <sz val="9"/>
        <rFont val="Arial Narrow"/>
        <charset val="134"/>
      </rPr>
      <t>2</t>
    </r>
  </si>
  <si>
    <r>
      <rPr>
        <sz val="9"/>
        <rFont val="宋体"/>
        <charset val="134"/>
      </rPr>
      <t>项目</t>
    </r>
    <r>
      <rPr>
        <sz val="9"/>
        <rFont val="Arial Narrow"/>
        <charset val="134"/>
      </rPr>
      <t>3</t>
    </r>
  </si>
  <si>
    <r>
      <rPr>
        <sz val="9"/>
        <rFont val="宋体"/>
        <charset val="134"/>
      </rPr>
      <t>项目</t>
    </r>
    <r>
      <rPr>
        <sz val="9"/>
        <rFont val="Arial Narrow"/>
        <charset val="134"/>
      </rPr>
      <t>4</t>
    </r>
  </si>
  <si>
    <r>
      <rPr>
        <sz val="9"/>
        <rFont val="宋体"/>
        <charset val="134"/>
      </rPr>
      <t>项目</t>
    </r>
    <r>
      <rPr>
        <sz val="9"/>
        <rFont val="Arial Narrow"/>
        <charset val="134"/>
      </rPr>
      <t>5</t>
    </r>
  </si>
  <si>
    <r>
      <rPr>
        <sz val="9"/>
        <rFont val="宋体"/>
        <charset val="134"/>
      </rPr>
      <t>项目</t>
    </r>
    <r>
      <rPr>
        <sz val="9"/>
        <rFont val="Arial Narrow"/>
        <charset val="134"/>
      </rPr>
      <t>6</t>
    </r>
  </si>
  <si>
    <r>
      <rPr>
        <sz val="9"/>
        <rFont val="宋体"/>
        <charset val="134"/>
      </rPr>
      <t>项目</t>
    </r>
    <r>
      <rPr>
        <sz val="9"/>
        <rFont val="Arial Narrow"/>
        <charset val="134"/>
      </rPr>
      <t>7</t>
    </r>
  </si>
  <si>
    <r>
      <rPr>
        <sz val="9"/>
        <rFont val="宋体"/>
        <charset val="134"/>
      </rPr>
      <t>项目</t>
    </r>
    <r>
      <rPr>
        <sz val="9"/>
        <rFont val="Arial Narrow"/>
        <charset val="134"/>
      </rPr>
      <t>8</t>
    </r>
  </si>
  <si>
    <r>
      <rPr>
        <sz val="9"/>
        <rFont val="宋体"/>
        <charset val="134"/>
      </rPr>
      <t>项目</t>
    </r>
    <r>
      <rPr>
        <sz val="9"/>
        <rFont val="Arial Narrow"/>
        <charset val="134"/>
      </rPr>
      <t>9</t>
    </r>
  </si>
  <si>
    <r>
      <rPr>
        <sz val="9"/>
        <rFont val="宋体"/>
        <charset val="134"/>
      </rPr>
      <t>项目</t>
    </r>
    <r>
      <rPr>
        <sz val="9"/>
        <rFont val="Arial Narrow"/>
        <charset val="134"/>
      </rPr>
      <t>10</t>
    </r>
  </si>
  <si>
    <r>
      <rPr>
        <sz val="9"/>
        <rFont val="宋体"/>
        <charset val="134"/>
      </rPr>
      <t>项目</t>
    </r>
    <r>
      <rPr>
        <sz val="9"/>
        <rFont val="Arial Narrow"/>
        <charset val="134"/>
      </rPr>
      <t>11</t>
    </r>
  </si>
  <si>
    <r>
      <rPr>
        <sz val="9"/>
        <rFont val="宋体"/>
        <charset val="134"/>
      </rPr>
      <t>项目</t>
    </r>
    <r>
      <rPr>
        <sz val="9"/>
        <rFont val="Arial Narrow"/>
        <charset val="134"/>
      </rPr>
      <t>12</t>
    </r>
  </si>
  <si>
    <r>
      <rPr>
        <sz val="9"/>
        <rFont val="宋体"/>
        <charset val="134"/>
      </rPr>
      <t>项目</t>
    </r>
    <r>
      <rPr>
        <sz val="9"/>
        <rFont val="Arial Narrow"/>
        <charset val="134"/>
      </rPr>
      <t>13</t>
    </r>
  </si>
  <si>
    <r>
      <rPr>
        <sz val="9"/>
        <rFont val="宋体"/>
        <charset val="134"/>
      </rPr>
      <t>项目</t>
    </r>
    <r>
      <rPr>
        <sz val="9"/>
        <rFont val="Arial Narrow"/>
        <charset val="134"/>
      </rPr>
      <t>14</t>
    </r>
  </si>
  <si>
    <r>
      <rPr>
        <sz val="9"/>
        <rFont val="宋体"/>
        <charset val="134"/>
      </rPr>
      <t>项目</t>
    </r>
    <r>
      <rPr>
        <sz val="9"/>
        <rFont val="Arial Narrow"/>
        <charset val="134"/>
      </rPr>
      <t>15</t>
    </r>
  </si>
  <si>
    <r>
      <rPr>
        <sz val="9"/>
        <rFont val="宋体"/>
        <charset val="134"/>
      </rPr>
      <t>项目</t>
    </r>
    <r>
      <rPr>
        <sz val="9"/>
        <rFont val="Arial Narrow"/>
        <charset val="134"/>
      </rPr>
      <t>16</t>
    </r>
  </si>
  <si>
    <r>
      <rPr>
        <sz val="9"/>
        <rFont val="宋体"/>
        <charset val="134"/>
      </rPr>
      <t>项目</t>
    </r>
    <r>
      <rPr>
        <sz val="9"/>
        <rFont val="Arial Narrow"/>
        <charset val="134"/>
      </rPr>
      <t>17</t>
    </r>
  </si>
  <si>
    <r>
      <rPr>
        <sz val="9"/>
        <rFont val="宋体"/>
        <charset val="134"/>
      </rPr>
      <t>项目</t>
    </r>
    <r>
      <rPr>
        <sz val="9"/>
        <rFont val="Arial Narrow"/>
        <charset val="134"/>
      </rPr>
      <t>18</t>
    </r>
  </si>
  <si>
    <r>
      <rPr>
        <sz val="9"/>
        <rFont val="宋体"/>
        <charset val="134"/>
      </rPr>
      <t>项目</t>
    </r>
    <r>
      <rPr>
        <sz val="9"/>
        <rFont val="Arial Narrow"/>
        <charset val="134"/>
      </rPr>
      <t>19</t>
    </r>
  </si>
  <si>
    <r>
      <rPr>
        <sz val="9"/>
        <rFont val="宋体"/>
        <charset val="134"/>
      </rPr>
      <t>项目</t>
    </r>
    <r>
      <rPr>
        <sz val="9"/>
        <rFont val="Arial Narrow"/>
        <charset val="134"/>
      </rPr>
      <t>20</t>
    </r>
  </si>
  <si>
    <r>
      <rPr>
        <sz val="9"/>
        <rFont val="宋体"/>
        <charset val="134"/>
      </rPr>
      <t>项目</t>
    </r>
    <r>
      <rPr>
        <sz val="9"/>
        <rFont val="Arial Narrow"/>
        <charset val="134"/>
      </rPr>
      <t>21</t>
    </r>
  </si>
  <si>
    <r>
      <rPr>
        <sz val="9"/>
        <rFont val="宋体"/>
        <charset val="134"/>
      </rPr>
      <t>项目</t>
    </r>
    <r>
      <rPr>
        <sz val="9"/>
        <rFont val="Arial Narrow"/>
        <charset val="134"/>
      </rPr>
      <t>22</t>
    </r>
  </si>
  <si>
    <r>
      <rPr>
        <sz val="9"/>
        <rFont val="宋体"/>
        <charset val="134"/>
      </rPr>
      <t>项目</t>
    </r>
    <r>
      <rPr>
        <sz val="9"/>
        <rFont val="Arial Narrow"/>
        <charset val="134"/>
      </rPr>
      <t>23</t>
    </r>
  </si>
  <si>
    <r>
      <rPr>
        <sz val="9"/>
        <rFont val="宋体"/>
        <charset val="134"/>
      </rPr>
      <t>项目</t>
    </r>
    <r>
      <rPr>
        <sz val="9"/>
        <rFont val="Arial Narrow"/>
        <charset val="134"/>
      </rPr>
      <t>24</t>
    </r>
  </si>
  <si>
    <r>
      <rPr>
        <sz val="9"/>
        <rFont val="宋体"/>
        <charset val="134"/>
      </rPr>
      <t>项目</t>
    </r>
    <r>
      <rPr>
        <sz val="9"/>
        <rFont val="Arial Narrow"/>
        <charset val="134"/>
      </rPr>
      <t>25</t>
    </r>
  </si>
  <si>
    <r>
      <rPr>
        <sz val="9"/>
        <rFont val="宋体"/>
        <charset val="134"/>
      </rPr>
      <t>项目</t>
    </r>
    <r>
      <rPr>
        <sz val="9"/>
        <rFont val="Arial Narrow"/>
        <charset val="134"/>
      </rPr>
      <t>26</t>
    </r>
  </si>
  <si>
    <r>
      <rPr>
        <sz val="9"/>
        <rFont val="宋体"/>
        <charset val="134"/>
      </rPr>
      <t>项目</t>
    </r>
    <r>
      <rPr>
        <sz val="9"/>
        <rFont val="Arial Narrow"/>
        <charset val="134"/>
      </rPr>
      <t>27</t>
    </r>
  </si>
  <si>
    <r>
      <rPr>
        <sz val="9"/>
        <rFont val="宋体"/>
        <charset val="134"/>
      </rPr>
      <t>项目</t>
    </r>
    <r>
      <rPr>
        <sz val="9"/>
        <rFont val="Arial Narrow"/>
        <charset val="134"/>
      </rPr>
      <t>28</t>
    </r>
  </si>
  <si>
    <r>
      <rPr>
        <sz val="9"/>
        <rFont val="宋体"/>
        <charset val="134"/>
      </rPr>
      <t>项目</t>
    </r>
    <r>
      <rPr>
        <sz val="9"/>
        <rFont val="Arial Narrow"/>
        <charset val="134"/>
      </rPr>
      <t>29</t>
    </r>
  </si>
  <si>
    <r>
      <rPr>
        <sz val="9"/>
        <rFont val="宋体"/>
        <charset val="134"/>
      </rPr>
      <t>项目</t>
    </r>
    <r>
      <rPr>
        <sz val="9"/>
        <rFont val="Arial Narrow"/>
        <charset val="134"/>
      </rPr>
      <t>30</t>
    </r>
  </si>
  <si>
    <t>（二十五）商誉-披露表</t>
  </si>
  <si>
    <r>
      <rPr>
        <sz val="9"/>
        <color theme="0" tint="-0.249977111117893"/>
        <rFont val="宋体"/>
        <charset val="134"/>
      </rPr>
      <t>商誉</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</si>
  <si>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）按明细列示</t>
    </r>
  </si>
  <si>
    <r>
      <rPr>
        <b/>
        <sz val="9"/>
        <rFont val="宋体"/>
        <charset val="134"/>
      </rPr>
      <t>（二十五）商誉</t>
    </r>
    <r>
      <rPr>
        <b/>
        <sz val="9"/>
        <rFont val="Arial Narrow"/>
        <charset val="134"/>
      </rPr>
      <t>-</t>
    </r>
    <r>
      <rPr>
        <b/>
        <sz val="9"/>
        <rFont val="宋体"/>
        <charset val="134"/>
      </rPr>
      <t>披露表</t>
    </r>
  </si>
  <si>
    <t>（1）按明细列示</t>
  </si>
  <si>
    <r>
      <rPr>
        <sz val="9"/>
        <rFont val="宋体"/>
        <charset val="134"/>
      </rPr>
      <t>（</t>
    </r>
    <r>
      <rPr>
        <sz val="9"/>
        <rFont val="Arial Narrow"/>
        <charset val="134"/>
      </rPr>
      <t>1</t>
    </r>
    <r>
      <rPr>
        <sz val="9"/>
        <rFont val="宋体"/>
        <charset val="134"/>
      </rPr>
      <t>）按明细列示</t>
    </r>
  </si>
  <si>
    <r>
      <rPr>
        <sz val="9"/>
        <color theme="7" tint="0.599993896298105"/>
        <rFont val="宋体"/>
        <charset val="134"/>
      </rPr>
      <t>（</t>
    </r>
    <r>
      <rPr>
        <sz val="9"/>
        <color theme="7" tint="0.599993896298105"/>
        <rFont val="Arial Narrow"/>
        <charset val="134"/>
      </rPr>
      <t>1）按明细列示</t>
    </r>
  </si>
  <si>
    <r>
      <rPr>
        <sz val="9"/>
        <rFont val="Times New Roman"/>
        <charset val="134"/>
      </rPr>
      <t>合计</t>
    </r>
    <r>
      <rPr>
        <sz val="9"/>
        <rFont val="Arial Narrow"/>
        <charset val="134"/>
      </rPr>
      <t xml:space="preserve">  </t>
    </r>
  </si>
  <si>
    <t>（2）商誉减值准备</t>
  </si>
  <si>
    <r>
      <rPr>
        <sz val="9"/>
        <color theme="7" tint="0.599993896298105"/>
        <rFont val="宋体"/>
        <charset val="134"/>
      </rPr>
      <t>（</t>
    </r>
    <r>
      <rPr>
        <sz val="9"/>
        <color theme="7" tint="0.599993896298105"/>
        <rFont val="Arial Narrow"/>
        <charset val="134"/>
      </rPr>
      <t>2</t>
    </r>
    <r>
      <rPr>
        <sz val="9"/>
        <color theme="7" tint="0.599993896298105"/>
        <rFont val="宋体"/>
        <charset val="134"/>
      </rPr>
      <t>）商誉减值准备</t>
    </r>
  </si>
  <si>
    <r>
      <rPr>
        <sz val="9"/>
        <rFont val="宋体"/>
        <charset val="134"/>
      </rPr>
      <t>（</t>
    </r>
    <r>
      <rPr>
        <sz val="9"/>
        <rFont val="Arial Narrow"/>
        <charset val="134"/>
      </rPr>
      <t>2</t>
    </r>
    <r>
      <rPr>
        <sz val="9"/>
        <rFont val="宋体"/>
        <charset val="134"/>
      </rPr>
      <t>）商誉减值准备</t>
    </r>
  </si>
  <si>
    <t>（3）对于通过非同一控制下企业合并形成的商誉，应列示商誉的计算过程。</t>
  </si>
  <si>
    <t>(二十六)其他非流动资产-批露表</t>
  </si>
  <si>
    <r>
      <rPr>
        <sz val="9"/>
        <color theme="0" tint="-0.249977111117893"/>
        <rFont val="宋体"/>
        <charset val="134"/>
      </rPr>
      <t>其他非流动资产</t>
    </r>
    <r>
      <rPr>
        <sz val="9"/>
        <color theme="0" tint="-0.249977111117893"/>
        <rFont val="Arial Narrow"/>
        <charset val="134"/>
      </rPr>
      <t>-</t>
    </r>
    <r>
      <rPr>
        <sz val="9"/>
        <color theme="0" tint="-0.249977111117893"/>
        <rFont val="宋体"/>
        <charset val="134"/>
      </rPr>
      <t>批露表</t>
    </r>
  </si>
  <si>
    <r>
      <rPr>
        <b/>
        <sz val="9"/>
        <rFont val="Arial Narrow"/>
        <charset val="134"/>
      </rPr>
      <t>(</t>
    </r>
    <r>
      <rPr>
        <b/>
        <sz val="9"/>
        <rFont val="宋体"/>
        <charset val="134"/>
      </rPr>
      <t>二十六</t>
    </r>
    <r>
      <rPr>
        <b/>
        <sz val="9"/>
        <rFont val="Arial Narrow"/>
        <charset val="134"/>
      </rPr>
      <t>)</t>
    </r>
    <r>
      <rPr>
        <b/>
        <sz val="9"/>
        <rFont val="宋体"/>
        <charset val="134"/>
      </rPr>
      <t>其他非流动资产</t>
    </r>
    <r>
      <rPr>
        <b/>
        <sz val="9"/>
        <rFont val="Arial Narrow"/>
        <charset val="134"/>
      </rPr>
      <t>-</t>
    </r>
    <r>
      <rPr>
        <b/>
        <sz val="9"/>
        <rFont val="宋体"/>
        <charset val="134"/>
      </rPr>
      <t>批露表</t>
    </r>
  </si>
  <si>
    <t>预付工程款</t>
  </si>
  <si>
    <t>预付设备款</t>
  </si>
  <si>
    <r>
      <rPr>
        <sz val="9"/>
        <color theme="0" tint="-0.249977111117893"/>
        <rFont val="宋体"/>
        <charset val="134"/>
      </rPr>
      <t>递延所得税资产</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</si>
  <si>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）明细列示</t>
    </r>
  </si>
  <si>
    <r>
      <rPr>
        <b/>
        <sz val="9"/>
        <rFont val="Arial Narrow"/>
        <charset val="134"/>
      </rPr>
      <t>(</t>
    </r>
    <r>
      <rPr>
        <b/>
        <sz val="9"/>
        <rFont val="宋体"/>
        <charset val="134"/>
      </rPr>
      <t>二十七</t>
    </r>
    <r>
      <rPr>
        <b/>
        <sz val="9"/>
        <rFont val="Arial Narrow"/>
        <charset val="134"/>
      </rPr>
      <t>)</t>
    </r>
    <r>
      <rPr>
        <b/>
        <sz val="9"/>
        <rFont val="宋体"/>
        <charset val="134"/>
      </rPr>
      <t>递延所得税资产</t>
    </r>
    <r>
      <rPr>
        <b/>
        <sz val="9"/>
        <rFont val="Arial Narrow"/>
        <charset val="134"/>
      </rPr>
      <t>-</t>
    </r>
    <r>
      <rPr>
        <b/>
        <sz val="9"/>
        <rFont val="宋体"/>
        <charset val="134"/>
      </rPr>
      <t>披露表</t>
    </r>
  </si>
  <si>
    <t>特别提示：递延所得税资产和递延所得税负债不以抵销后的净额列示的，填写表格（一），若递延所得税资产和递延所得税负债以抵销后的净额列示的，填写表格（二）及（一）2-4项</t>
  </si>
  <si>
    <r>
      <rPr>
        <b/>
        <sz val="9"/>
        <color rgb="FFFF0000"/>
        <rFont val="宋体"/>
        <charset val="134"/>
      </rPr>
      <t>特别提示：递延所得税资产和递延所得税负债不以抵销后的净额列示的，填写表格（一），若递延所得税资产和递延所得税负债以抵销后的净额列示的，填写表格（二）及（一）</t>
    </r>
    <r>
      <rPr>
        <b/>
        <sz val="9"/>
        <color rgb="FFFF0000"/>
        <rFont val="Arial Narrow"/>
        <charset val="134"/>
      </rPr>
      <t>2-4</t>
    </r>
    <r>
      <rPr>
        <b/>
        <sz val="9"/>
        <color rgb="FFFF0000"/>
        <rFont val="宋体"/>
        <charset val="134"/>
      </rPr>
      <t>项</t>
    </r>
  </si>
  <si>
    <t>（一） 递延所得税资产和递延所得税负债不以抵销后的净额列示</t>
  </si>
  <si>
    <r>
      <rPr>
        <b/>
        <sz val="9"/>
        <rFont val="宋体"/>
        <charset val="134"/>
      </rPr>
      <t>（一）</t>
    </r>
    <r>
      <rPr>
        <b/>
        <sz val="9"/>
        <rFont val="Arial Narrow"/>
        <charset val="134"/>
      </rPr>
      <t xml:space="preserve"> </t>
    </r>
    <r>
      <rPr>
        <b/>
        <sz val="9"/>
        <rFont val="宋体"/>
        <charset val="134"/>
      </rPr>
      <t>递延所得税资产和递延所得税负债不以抵销后的净额列示</t>
    </r>
  </si>
  <si>
    <t>(期初请点击连接填写)</t>
  </si>
  <si>
    <t>（1）明细列示</t>
  </si>
  <si>
    <r>
      <rPr>
        <sz val="9"/>
        <rFont val="宋体"/>
        <charset val="134"/>
      </rPr>
      <t>（</t>
    </r>
    <r>
      <rPr>
        <sz val="9"/>
        <rFont val="Arial Narrow"/>
        <charset val="134"/>
      </rPr>
      <t>1</t>
    </r>
    <r>
      <rPr>
        <sz val="9"/>
        <rFont val="宋体"/>
        <charset val="134"/>
      </rPr>
      <t>）明细列示</t>
    </r>
  </si>
  <si>
    <t>期未递延所得税率：</t>
  </si>
  <si>
    <t>期初递延所得税率：</t>
  </si>
  <si>
    <r>
      <rPr>
        <sz val="9"/>
        <color theme="7" tint="0.599993896298105"/>
        <rFont val="宋体"/>
        <charset val="134"/>
      </rPr>
      <t>（</t>
    </r>
    <r>
      <rPr>
        <sz val="9"/>
        <color theme="7" tint="0.599993896298105"/>
        <rFont val="Arial Narrow"/>
        <charset val="134"/>
      </rPr>
      <t>1）明细列示</t>
    </r>
  </si>
  <si>
    <t>对应的暂时性差异金额</t>
  </si>
  <si>
    <t>递延所得税测算差异</t>
  </si>
  <si>
    <r>
      <rPr>
        <sz val="9"/>
        <rFont val="Arial Narrow"/>
        <charset val="134"/>
      </rPr>
      <t>1</t>
    </r>
    <r>
      <rPr>
        <sz val="9"/>
        <rFont val="宋体"/>
        <charset val="134"/>
      </rPr>
      <t>、资产减值准备：</t>
    </r>
  </si>
  <si>
    <r>
      <rPr>
        <sz val="9"/>
        <rFont val="Arial Narrow"/>
        <charset val="134"/>
      </rPr>
      <t xml:space="preserve">      </t>
    </r>
    <r>
      <rPr>
        <sz val="9"/>
        <rFont val="宋体"/>
        <charset val="134"/>
      </rPr>
      <t>其中：</t>
    </r>
    <r>
      <rPr>
        <sz val="9"/>
        <rFont val="宋体"/>
        <charset val="134"/>
      </rPr>
      <t>坏账准备</t>
    </r>
  </si>
  <si>
    <r>
      <rPr>
        <sz val="9"/>
        <rFont val="Arial Narrow"/>
        <charset val="134"/>
      </rPr>
      <t xml:space="preserve">           </t>
    </r>
    <r>
      <rPr>
        <sz val="9"/>
        <rFont val="宋体"/>
        <charset val="134"/>
      </rPr>
      <t>存货减值</t>
    </r>
  </si>
  <si>
    <r>
      <rPr>
        <sz val="9"/>
        <rFont val="Arial Narrow"/>
        <charset val="134"/>
      </rPr>
      <t xml:space="preserve">           </t>
    </r>
    <r>
      <rPr>
        <sz val="9"/>
        <rFont val="宋体"/>
        <charset val="134"/>
      </rPr>
      <t>在建工程减值</t>
    </r>
  </si>
  <si>
    <r>
      <rPr>
        <sz val="9"/>
        <rFont val="Arial Narrow"/>
        <charset val="134"/>
      </rPr>
      <t xml:space="preserve">           </t>
    </r>
    <r>
      <rPr>
        <sz val="9"/>
        <rFont val="宋体"/>
        <charset val="134"/>
      </rPr>
      <t>长期股权投资减值</t>
    </r>
  </si>
  <si>
    <r>
      <rPr>
        <sz val="9"/>
        <rFont val="Arial Narrow"/>
        <charset val="134"/>
      </rPr>
      <t xml:space="preserve">           </t>
    </r>
    <r>
      <rPr>
        <sz val="9"/>
        <rFont val="宋体"/>
        <charset val="134"/>
      </rPr>
      <t>固定资产减值</t>
    </r>
  </si>
  <si>
    <r>
      <rPr>
        <sz val="9"/>
        <rFont val="Arial Narrow"/>
        <charset val="134"/>
      </rPr>
      <t xml:space="preserve">            </t>
    </r>
    <r>
      <rPr>
        <sz val="9"/>
        <rFont val="宋体"/>
        <charset val="134"/>
      </rPr>
      <t>无形资产减值</t>
    </r>
  </si>
  <si>
    <r>
      <rPr>
        <sz val="9"/>
        <rFont val="Arial Narrow"/>
        <charset val="134"/>
      </rPr>
      <t xml:space="preserve">            </t>
    </r>
    <r>
      <rPr>
        <sz val="9"/>
        <rFont val="宋体"/>
        <charset val="134"/>
      </rPr>
      <t>商誉减值</t>
    </r>
  </si>
  <si>
    <t>2、开办费</t>
  </si>
  <si>
    <t>3、可抵扣亏损</t>
  </si>
  <si>
    <t>4、非同一控制下企业合并产生递延所得税资产</t>
  </si>
  <si>
    <t>5、计提未付的工资</t>
  </si>
  <si>
    <r>
      <rPr>
        <sz val="9"/>
        <rFont val="Arial Narrow"/>
        <charset val="134"/>
      </rPr>
      <t>6</t>
    </r>
    <r>
      <rPr>
        <sz val="9"/>
        <rFont val="宋体"/>
        <charset val="134"/>
      </rPr>
      <t>、递延收益</t>
    </r>
  </si>
  <si>
    <r>
      <rPr>
        <sz val="9"/>
        <rFont val="Arial Narrow"/>
        <charset val="134"/>
      </rPr>
      <t>7</t>
    </r>
    <r>
      <rPr>
        <sz val="9"/>
        <rFont val="宋体"/>
        <charset val="134"/>
      </rPr>
      <t>、内部交易未实现损益</t>
    </r>
  </si>
  <si>
    <r>
      <rPr>
        <sz val="9"/>
        <rFont val="Arial Narrow"/>
        <charset val="134"/>
      </rPr>
      <t>1</t>
    </r>
    <r>
      <rPr>
        <sz val="9"/>
        <rFont val="宋体"/>
        <charset val="134"/>
      </rPr>
      <t>、交易性金融工具、衍生金融工具的估值</t>
    </r>
  </si>
  <si>
    <r>
      <rPr>
        <sz val="9"/>
        <rFont val="Arial Narrow"/>
        <charset val="134"/>
      </rPr>
      <t>2</t>
    </r>
    <r>
      <rPr>
        <sz val="9"/>
        <rFont val="宋体"/>
        <charset val="134"/>
      </rPr>
      <t>、计入资本公积的可供出售金融资产公允价值变动</t>
    </r>
  </si>
  <si>
    <t>3、非同一控制下企业合并产生递延所得税负债</t>
  </si>
  <si>
    <t>4、内部交易未实现损益</t>
  </si>
  <si>
    <t>5、固定资产评估增值</t>
  </si>
  <si>
    <r>
      <rPr>
        <sz val="9"/>
        <rFont val="宋体"/>
        <charset val="134"/>
      </rPr>
      <t>新增项目</t>
    </r>
    <r>
      <rPr>
        <sz val="9"/>
        <rFont val="Arial Narrow"/>
        <charset val="134"/>
      </rPr>
      <t>4……</t>
    </r>
  </si>
  <si>
    <r>
      <rPr>
        <sz val="9"/>
        <rFont val="宋体"/>
        <charset val="134"/>
      </rPr>
      <t>新增项目</t>
    </r>
    <r>
      <rPr>
        <sz val="9"/>
        <rFont val="Arial Narrow"/>
        <charset val="134"/>
      </rPr>
      <t>5……</t>
    </r>
  </si>
  <si>
    <r>
      <rPr>
        <sz val="9"/>
        <rFont val="宋体"/>
        <charset val="134"/>
      </rPr>
      <t>新增项目</t>
    </r>
    <r>
      <rPr>
        <sz val="9"/>
        <rFont val="Arial Narrow"/>
        <charset val="134"/>
      </rPr>
      <t>6……</t>
    </r>
  </si>
  <si>
    <r>
      <rPr>
        <sz val="9"/>
        <rFont val="宋体"/>
        <charset val="134"/>
      </rPr>
      <t>新增项目</t>
    </r>
    <r>
      <rPr>
        <sz val="9"/>
        <rFont val="Arial Narrow"/>
        <charset val="134"/>
      </rPr>
      <t>7……</t>
    </r>
  </si>
  <si>
    <r>
      <rPr>
        <sz val="9"/>
        <rFont val="宋体"/>
        <charset val="134"/>
      </rPr>
      <t>新增项目</t>
    </r>
    <r>
      <rPr>
        <sz val="9"/>
        <rFont val="Arial Narrow"/>
        <charset val="134"/>
      </rPr>
      <t>8……</t>
    </r>
  </si>
  <si>
    <r>
      <rPr>
        <sz val="9"/>
        <rFont val="宋体"/>
        <charset val="134"/>
      </rPr>
      <t>新增项目</t>
    </r>
    <r>
      <rPr>
        <sz val="9"/>
        <rFont val="Arial Narrow"/>
        <charset val="134"/>
      </rPr>
      <t>9……</t>
    </r>
  </si>
  <si>
    <r>
      <rPr>
        <sz val="9"/>
        <rFont val="宋体"/>
        <charset val="134"/>
      </rPr>
      <t>新增项目</t>
    </r>
    <r>
      <rPr>
        <sz val="9"/>
        <rFont val="Arial Narrow"/>
        <charset val="134"/>
      </rPr>
      <t>10……</t>
    </r>
  </si>
  <si>
    <t>报表项目-递延所得税资产</t>
  </si>
  <si>
    <r>
      <rPr>
        <sz val="9"/>
        <rFont val="宋体"/>
        <charset val="134"/>
      </rPr>
      <t>报表项目</t>
    </r>
    <r>
      <rPr>
        <sz val="9"/>
        <rFont val="Arial Narrow"/>
        <charset val="134"/>
      </rPr>
      <t>-</t>
    </r>
    <r>
      <rPr>
        <sz val="9"/>
        <rFont val="宋体"/>
        <charset val="134"/>
      </rPr>
      <t>递延所得税资产</t>
    </r>
  </si>
  <si>
    <t>报表项目-递延所得税负债</t>
  </si>
  <si>
    <r>
      <rPr>
        <sz val="9"/>
        <rFont val="宋体"/>
        <charset val="134"/>
      </rPr>
      <t>报表项目</t>
    </r>
    <r>
      <rPr>
        <sz val="9"/>
        <rFont val="Arial Narrow"/>
        <charset val="134"/>
      </rPr>
      <t>-</t>
    </r>
    <r>
      <rPr>
        <sz val="9"/>
        <rFont val="宋体"/>
        <charset val="134"/>
      </rPr>
      <t>递延所得税负债</t>
    </r>
  </si>
  <si>
    <r>
      <rPr>
        <sz val="9"/>
        <color theme="7" tint="0.599993896298105"/>
        <rFont val="宋体"/>
        <charset val="134"/>
      </rPr>
      <t>（</t>
    </r>
    <r>
      <rPr>
        <sz val="9"/>
        <color theme="7" tint="0.599993896298105"/>
        <rFont val="Arial Narrow"/>
        <charset val="134"/>
      </rPr>
      <t>2</t>
    </r>
    <r>
      <rPr>
        <sz val="9"/>
        <color theme="7" tint="0.599993896298105"/>
        <rFont val="宋体"/>
        <charset val="134"/>
      </rPr>
      <t>）未确认递延所得税资产明细</t>
    </r>
  </si>
  <si>
    <r>
      <rPr>
        <sz val="9"/>
        <rFont val="宋体"/>
        <charset val="134"/>
      </rPr>
      <t>（</t>
    </r>
    <r>
      <rPr>
        <sz val="9"/>
        <rFont val="Arial Narrow"/>
        <charset val="134"/>
      </rPr>
      <t>2</t>
    </r>
    <r>
      <rPr>
        <sz val="9"/>
        <rFont val="宋体"/>
        <charset val="134"/>
      </rPr>
      <t>）未确认递延所得税资产明细</t>
    </r>
  </si>
  <si>
    <r>
      <rPr>
        <sz val="9"/>
        <color theme="7" tint="0.599993896298105"/>
        <rFont val="宋体"/>
        <charset val="134"/>
      </rPr>
      <t>（</t>
    </r>
    <r>
      <rPr>
        <sz val="9"/>
        <color theme="7" tint="0.599993896298105"/>
        <rFont val="Arial Narrow"/>
        <charset val="134"/>
      </rPr>
      <t>2）未确认递延所得税资产明细</t>
    </r>
  </si>
  <si>
    <r>
      <rPr>
        <sz val="9"/>
        <rFont val="宋体"/>
        <charset val="134"/>
      </rPr>
      <t>新增项目</t>
    </r>
    <r>
      <rPr>
        <sz val="9"/>
        <rFont val="Arial Narrow"/>
        <charset val="134"/>
      </rPr>
      <t>1……</t>
    </r>
  </si>
  <si>
    <r>
      <rPr>
        <sz val="9"/>
        <rFont val="宋体"/>
        <charset val="134"/>
      </rPr>
      <t>新增项目</t>
    </r>
    <r>
      <rPr>
        <sz val="9"/>
        <rFont val="Arial Narrow"/>
        <charset val="134"/>
      </rPr>
      <t>2……</t>
    </r>
  </si>
  <si>
    <r>
      <rPr>
        <sz val="9"/>
        <rFont val="宋体"/>
        <charset val="134"/>
      </rPr>
      <t>新增项目</t>
    </r>
    <r>
      <rPr>
        <sz val="9"/>
        <rFont val="Arial Narrow"/>
        <charset val="134"/>
      </rPr>
      <t>3……</t>
    </r>
  </si>
  <si>
    <r>
      <rPr>
        <sz val="9"/>
        <rFont val="宋体"/>
        <charset val="134"/>
      </rPr>
      <t>（</t>
    </r>
    <r>
      <rPr>
        <sz val="9"/>
        <rFont val="Arial Narrow"/>
        <charset val="134"/>
      </rPr>
      <t>3</t>
    </r>
    <r>
      <rPr>
        <sz val="9"/>
        <rFont val="宋体"/>
        <charset val="134"/>
      </rPr>
      <t>）未确认递延所得税资产的可抵扣亏损将于以下年度到期</t>
    </r>
  </si>
  <si>
    <t>年份</t>
  </si>
  <si>
    <t>（4）引起暂时性差异的资产或负债对应的暂时性差异</t>
  </si>
  <si>
    <r>
      <rPr>
        <sz val="9"/>
        <rFont val="宋体"/>
        <charset val="134"/>
      </rPr>
      <t>（</t>
    </r>
    <r>
      <rPr>
        <sz val="9"/>
        <rFont val="Arial Narrow"/>
        <charset val="134"/>
      </rPr>
      <t>4</t>
    </r>
    <r>
      <rPr>
        <sz val="9"/>
        <rFont val="宋体"/>
        <charset val="134"/>
      </rPr>
      <t>）引起暂时性差异的资产或负债对应的暂时性差异</t>
    </r>
  </si>
  <si>
    <t>应纳税差异项目：</t>
  </si>
  <si>
    <t>可抵扣差异项目：</t>
  </si>
  <si>
    <r>
      <rPr>
        <b/>
        <sz val="9"/>
        <rFont val="宋体"/>
        <charset val="134"/>
      </rPr>
      <t>（</t>
    </r>
    <r>
      <rPr>
        <b/>
        <sz val="9"/>
        <rFont val="Arial Narrow"/>
        <charset val="134"/>
      </rPr>
      <t>1</t>
    </r>
    <r>
      <rPr>
        <b/>
        <sz val="9"/>
        <rFont val="宋体"/>
        <charset val="134"/>
      </rPr>
      <t>）互抵后的递延所得税资产及负债的组成项目</t>
    </r>
  </si>
  <si>
    <t>（2）递延所得税资产和递延所得税负债互抵明细</t>
  </si>
  <si>
    <r>
      <rPr>
        <sz val="9"/>
        <rFont val="宋体"/>
        <charset val="134"/>
      </rPr>
      <t>（</t>
    </r>
    <r>
      <rPr>
        <sz val="9"/>
        <rFont val="Arial Narrow"/>
        <charset val="134"/>
      </rPr>
      <t>2</t>
    </r>
    <r>
      <rPr>
        <sz val="9"/>
        <rFont val="宋体"/>
        <charset val="134"/>
      </rPr>
      <t>）递延所得税资产和递延所得税负债互抵明细</t>
    </r>
  </si>
  <si>
    <t>本期互抵金额</t>
  </si>
  <si>
    <t>注：递延所得税资产和递延所得税负债说明：</t>
  </si>
  <si>
    <r>
      <rPr>
        <sz val="9"/>
        <color theme="0" tint="-0.249977111117893"/>
        <rFont val="宋体"/>
        <charset val="134"/>
      </rPr>
      <t>资产减值准备</t>
    </r>
    <r>
      <rPr>
        <sz val="9"/>
        <color theme="0" tint="-0.249977111117893"/>
        <rFont val="Arial Narrow"/>
        <charset val="134"/>
      </rPr>
      <t>-</t>
    </r>
    <r>
      <rPr>
        <sz val="9"/>
        <color theme="0" tint="-0.249977111117893"/>
        <rFont val="宋体"/>
        <charset val="134"/>
      </rPr>
      <t>批露表</t>
    </r>
  </si>
  <si>
    <r>
      <rPr>
        <b/>
        <sz val="9"/>
        <rFont val="宋体"/>
        <charset val="134"/>
      </rPr>
      <t>（二十八）资产减值准备</t>
    </r>
    <r>
      <rPr>
        <b/>
        <sz val="9"/>
        <rFont val="Arial Narrow"/>
        <charset val="134"/>
      </rPr>
      <t>-</t>
    </r>
    <r>
      <rPr>
        <b/>
        <sz val="9"/>
        <rFont val="宋体"/>
        <charset val="134"/>
      </rPr>
      <t>批露表</t>
    </r>
  </si>
  <si>
    <t>本期收购子公司增加</t>
  </si>
  <si>
    <t>本期出售子公司减少</t>
  </si>
  <si>
    <t>附注勾稽：期未余额与各科目减值期未余额核对</t>
  </si>
  <si>
    <t>附注勾稽：期初余额与各科目减值期初余额核对</t>
  </si>
  <si>
    <t>（二十九）所有权受到限制的资产-批露表</t>
  </si>
  <si>
    <r>
      <rPr>
        <sz val="9"/>
        <color theme="0" tint="-0.249977111117893"/>
        <rFont val="宋体"/>
        <charset val="134"/>
      </rPr>
      <t>所有权受到限制的资产</t>
    </r>
    <r>
      <rPr>
        <sz val="9"/>
        <color theme="0" tint="-0.249977111117893"/>
        <rFont val="Arial Narrow"/>
        <charset val="134"/>
      </rPr>
      <t>-</t>
    </r>
    <r>
      <rPr>
        <sz val="9"/>
        <color theme="0" tint="-0.249977111117893"/>
        <rFont val="宋体"/>
        <charset val="134"/>
      </rPr>
      <t>批露表</t>
    </r>
  </si>
  <si>
    <t>（1）所有权受到限制的资产</t>
  </si>
  <si>
    <r>
      <rPr>
        <b/>
        <sz val="9"/>
        <rFont val="宋体"/>
        <charset val="134"/>
      </rPr>
      <t>（二十九）所有权受到限制的资产</t>
    </r>
    <r>
      <rPr>
        <b/>
        <sz val="9"/>
        <rFont val="Arial Narrow"/>
        <charset val="134"/>
      </rPr>
      <t>-</t>
    </r>
    <r>
      <rPr>
        <b/>
        <sz val="9"/>
        <rFont val="宋体"/>
        <charset val="134"/>
      </rPr>
      <t>批露表</t>
    </r>
  </si>
  <si>
    <r>
      <rPr>
        <sz val="9"/>
        <rFont val="宋体"/>
        <charset val="134"/>
      </rPr>
      <t>（</t>
    </r>
    <r>
      <rPr>
        <sz val="9"/>
        <rFont val="Arial Narrow"/>
        <charset val="134"/>
      </rPr>
      <t>1</t>
    </r>
    <r>
      <rPr>
        <sz val="9"/>
        <rFont val="宋体"/>
        <charset val="134"/>
      </rPr>
      <t>）所有权受到限制的资产</t>
    </r>
  </si>
  <si>
    <t>所有权受到限制的资产</t>
  </si>
  <si>
    <t>1、房屋建筑物</t>
  </si>
  <si>
    <t>2、土地使用权</t>
  </si>
  <si>
    <t>3、机器设备</t>
  </si>
  <si>
    <t>4、在建工程</t>
  </si>
  <si>
    <t>1、应收账款</t>
  </si>
  <si>
    <t>2、应收票据</t>
  </si>
  <si>
    <t>3、货币资金</t>
  </si>
  <si>
    <r>
      <rPr>
        <u val="double"/>
        <sz val="9"/>
        <rFont val="宋体"/>
        <charset val="134"/>
      </rPr>
      <t>合</t>
    </r>
    <r>
      <rPr>
        <u val="double"/>
        <sz val="9"/>
        <rFont val="Arial Narrow"/>
        <charset val="134"/>
      </rPr>
      <t xml:space="preserve">    </t>
    </r>
    <r>
      <rPr>
        <u val="double"/>
        <sz val="9"/>
        <rFont val="宋体"/>
        <charset val="134"/>
      </rPr>
      <t>计</t>
    </r>
  </si>
  <si>
    <t xml:space="preserve">（2）资产所有权受到限制的原因为    </t>
  </si>
  <si>
    <r>
      <rPr>
        <sz val="9"/>
        <rFont val="宋体"/>
        <charset val="134"/>
      </rPr>
      <t>（</t>
    </r>
    <r>
      <rPr>
        <sz val="9"/>
        <rFont val="Arial Narrow"/>
        <charset val="134"/>
      </rPr>
      <t>2</t>
    </r>
    <r>
      <rPr>
        <sz val="9"/>
        <rFont val="宋体"/>
        <charset val="134"/>
      </rPr>
      <t>）资产所有权受到限制的原因为</t>
    </r>
    <r>
      <rPr>
        <sz val="9"/>
        <rFont val="Arial Narrow"/>
        <charset val="134"/>
      </rPr>
      <t xml:space="preserve">    </t>
    </r>
    <r>
      <rPr>
        <sz val="9"/>
        <rFont val="宋体"/>
        <charset val="134"/>
      </rPr>
      <t>（描述参照上市公司的报告</t>
    </r>
  </si>
  <si>
    <r>
      <rPr>
        <sz val="9"/>
        <color theme="0" tint="-0.249977111117893"/>
        <rFont val="宋体"/>
        <charset val="134"/>
      </rPr>
      <t>短期借款</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</si>
  <si>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（三十）短期借款</t>
    </r>
    <r>
      <rPr>
        <sz val="9"/>
        <color theme="7" tint="0.599993896298105"/>
        <rFont val="Arial Narrow"/>
        <charset val="134"/>
      </rPr>
      <t>-</t>
    </r>
    <r>
      <rPr>
        <sz val="9"/>
        <color theme="7" tint="0.599993896298105"/>
        <rFont val="宋体"/>
        <charset val="134"/>
      </rPr>
      <t>披露表</t>
    </r>
  </si>
  <si>
    <r>
      <rPr>
        <b/>
        <sz val="9"/>
        <rFont val="宋体"/>
        <charset val="134"/>
      </rPr>
      <t>（三十）短期借款</t>
    </r>
    <r>
      <rPr>
        <b/>
        <sz val="9"/>
        <rFont val="Arial Narrow"/>
        <charset val="134"/>
      </rPr>
      <t>-</t>
    </r>
    <r>
      <rPr>
        <b/>
        <sz val="9"/>
        <rFont val="宋体"/>
        <charset val="134"/>
      </rPr>
      <t>披露表</t>
    </r>
  </si>
  <si>
    <t>借款类别</t>
  </si>
  <si>
    <t>抵押加保证借款</t>
  </si>
  <si>
    <t>抵押加质押借款</t>
  </si>
  <si>
    <r>
      <rPr>
        <sz val="9"/>
        <rFont val="Times New Roman"/>
        <charset val="134"/>
      </rPr>
      <t>合</t>
    </r>
    <r>
      <rPr>
        <sz val="9"/>
        <rFont val="Arial Narrow"/>
        <charset val="134"/>
      </rPr>
      <t xml:space="preserve">   </t>
    </r>
    <r>
      <rPr>
        <sz val="9"/>
        <rFont val="Times New Roman"/>
        <charset val="134"/>
      </rPr>
      <t>计</t>
    </r>
  </si>
  <si>
    <t>（2）已到期未偿还的借款</t>
  </si>
  <si>
    <r>
      <rPr>
        <sz val="9"/>
        <rFont val="宋体"/>
        <charset val="134"/>
      </rPr>
      <t>（</t>
    </r>
    <r>
      <rPr>
        <sz val="9"/>
        <rFont val="Arial Narrow"/>
        <charset val="134"/>
      </rPr>
      <t>2</t>
    </r>
    <r>
      <rPr>
        <sz val="9"/>
        <rFont val="宋体"/>
        <charset val="134"/>
      </rPr>
      <t>）已到期未偿还的借款</t>
    </r>
  </si>
  <si>
    <t>本金</t>
  </si>
  <si>
    <t>资金用途</t>
  </si>
  <si>
    <t>期后是否偿还</t>
  </si>
  <si>
    <t>（3）若已到期的短期借款获得展期，展期条件、新的到期日为。</t>
  </si>
  <si>
    <r>
      <rPr>
        <sz val="9"/>
        <rFont val="宋体"/>
        <charset val="134"/>
      </rPr>
      <t>（</t>
    </r>
    <r>
      <rPr>
        <sz val="9"/>
        <rFont val="Arial Narrow"/>
        <charset val="134"/>
      </rPr>
      <t>3</t>
    </r>
    <r>
      <rPr>
        <sz val="9"/>
        <rFont val="宋体"/>
        <charset val="134"/>
      </rPr>
      <t>）若已到期的短期借款获得展期，展期条件、新的到期日为。</t>
    </r>
  </si>
  <si>
    <r>
      <rPr>
        <sz val="9"/>
        <color theme="0" tint="-0.249977111117893"/>
        <rFont val="宋体"/>
        <charset val="134"/>
      </rPr>
      <t>交易性金融负债</t>
    </r>
    <r>
      <rPr>
        <sz val="9"/>
        <color theme="0" tint="-0.249977111117893"/>
        <rFont val="Arial Narrow"/>
        <charset val="134"/>
      </rPr>
      <t>-</t>
    </r>
    <r>
      <rPr>
        <sz val="9"/>
        <color theme="0" tint="-0.249977111117893"/>
        <rFont val="宋体"/>
        <charset val="134"/>
      </rPr>
      <t>披露表</t>
    </r>
  </si>
  <si>
    <r>
      <rPr>
        <b/>
        <sz val="9"/>
        <rFont val="宋体"/>
        <charset val="134"/>
      </rPr>
      <t>（三十一）交易性金融负债</t>
    </r>
    <r>
      <rPr>
        <b/>
        <sz val="9"/>
        <rFont val="Arial Narrow"/>
        <charset val="134"/>
      </rPr>
      <t>-</t>
    </r>
    <r>
      <rPr>
        <b/>
        <sz val="9"/>
        <rFont val="宋体"/>
        <charset val="134"/>
      </rPr>
      <t>披露表</t>
    </r>
  </si>
  <si>
    <r>
      <rPr>
        <sz val="9"/>
        <rFont val="Times New Roman"/>
        <charset val="134"/>
      </rPr>
      <t>项</t>
    </r>
    <r>
      <rPr>
        <sz val="9"/>
        <rFont val="Arial Narrow"/>
        <charset val="134"/>
      </rPr>
      <t xml:space="preserve"> </t>
    </r>
    <r>
      <rPr>
        <sz val="9"/>
        <rFont val="Times New Roman"/>
        <charset val="134"/>
      </rPr>
      <t>目</t>
    </r>
  </si>
  <si>
    <r>
      <rPr>
        <sz val="9"/>
        <rFont val="Times New Roman"/>
        <charset val="134"/>
      </rPr>
      <t>合</t>
    </r>
    <r>
      <rPr>
        <sz val="9"/>
        <rFont val="Arial Narrow"/>
        <charset val="134"/>
      </rPr>
      <t xml:space="preserve"> </t>
    </r>
    <r>
      <rPr>
        <sz val="9"/>
        <rFont val="Times New Roman"/>
        <charset val="134"/>
      </rPr>
      <t>计</t>
    </r>
  </si>
  <si>
    <t>（2）期末交易性金融负债数据变动幅度达30%（含30%）以上，且占公司期末资产总额5%（含5%）以上的，应当说明变动原因。</t>
  </si>
  <si>
    <r>
      <rPr>
        <sz val="9"/>
        <rFont val="宋体"/>
        <charset val="134"/>
      </rPr>
      <t>（</t>
    </r>
    <r>
      <rPr>
        <sz val="9"/>
        <rFont val="Arial Narrow"/>
        <charset val="134"/>
      </rPr>
      <t>2</t>
    </r>
    <r>
      <rPr>
        <sz val="9"/>
        <rFont val="宋体"/>
        <charset val="134"/>
      </rPr>
      <t>）期末交易性金融负债数据变动幅度达</t>
    </r>
    <r>
      <rPr>
        <sz val="9"/>
        <rFont val="Arial Narrow"/>
        <charset val="134"/>
      </rPr>
      <t>30%</t>
    </r>
    <r>
      <rPr>
        <sz val="9"/>
        <rFont val="宋体"/>
        <charset val="134"/>
      </rPr>
      <t>（含</t>
    </r>
    <r>
      <rPr>
        <sz val="9"/>
        <rFont val="Arial Narrow"/>
        <charset val="134"/>
      </rPr>
      <t>30%</t>
    </r>
    <r>
      <rPr>
        <sz val="9"/>
        <rFont val="宋体"/>
        <charset val="134"/>
      </rPr>
      <t>）以上，且占公司期末资产总额</t>
    </r>
    <r>
      <rPr>
        <sz val="9"/>
        <rFont val="Arial Narrow"/>
        <charset val="134"/>
      </rPr>
      <t>5%</t>
    </r>
    <r>
      <rPr>
        <sz val="9"/>
        <rFont val="宋体"/>
        <charset val="134"/>
      </rPr>
      <t>（含</t>
    </r>
    <r>
      <rPr>
        <sz val="9"/>
        <rFont val="Arial Narrow"/>
        <charset val="134"/>
      </rPr>
      <t>5%</t>
    </r>
    <r>
      <rPr>
        <sz val="9"/>
        <rFont val="宋体"/>
        <charset val="134"/>
      </rPr>
      <t>）以上的，应当说明变动原因。</t>
    </r>
  </si>
  <si>
    <r>
      <rPr>
        <sz val="9"/>
        <color theme="0" tint="-0.249977111117893"/>
        <rFont val="宋体"/>
        <charset val="134"/>
      </rPr>
      <t>应付票据</t>
    </r>
    <r>
      <rPr>
        <sz val="9"/>
        <color theme="0" tint="-0.249977111117893"/>
        <rFont val="Arial Narrow"/>
        <charset val="134"/>
      </rPr>
      <t>-</t>
    </r>
    <r>
      <rPr>
        <sz val="9"/>
        <color theme="0" tint="-0.249977111117893"/>
        <rFont val="宋体"/>
        <charset val="134"/>
      </rPr>
      <t>披露表</t>
    </r>
  </si>
  <si>
    <r>
      <rPr>
        <b/>
        <sz val="9"/>
        <rFont val="宋体"/>
        <charset val="134"/>
      </rPr>
      <t>（三十二）应付票据</t>
    </r>
    <r>
      <rPr>
        <b/>
        <sz val="9"/>
        <rFont val="Arial Narrow"/>
        <charset val="134"/>
      </rPr>
      <t>-</t>
    </r>
    <r>
      <rPr>
        <b/>
        <sz val="9"/>
        <rFont val="宋体"/>
        <charset val="134"/>
      </rPr>
      <t>披露表</t>
    </r>
  </si>
  <si>
    <t>注：下一会计期间将到期的金额     元。</t>
  </si>
  <si>
    <r>
      <rPr>
        <b/>
        <sz val="9"/>
        <color rgb="FFFF0000"/>
        <rFont val="宋体"/>
        <charset val="134"/>
      </rPr>
      <t>注：下一会计期间将到期的金额</t>
    </r>
    <r>
      <rPr>
        <b/>
        <sz val="9"/>
        <color rgb="FFFF0000"/>
        <rFont val="Arial Narrow"/>
        <charset val="134"/>
      </rPr>
      <t xml:space="preserve">     </t>
    </r>
    <r>
      <rPr>
        <b/>
        <sz val="9"/>
        <color rgb="FFFF0000"/>
        <rFont val="宋体"/>
        <charset val="134"/>
      </rPr>
      <t>元。</t>
    </r>
  </si>
  <si>
    <r>
      <rPr>
        <sz val="9"/>
        <color theme="0" tint="-0.249977111117893"/>
        <rFont val="宋体"/>
        <charset val="134"/>
      </rPr>
      <t>应付账款</t>
    </r>
    <r>
      <rPr>
        <sz val="9"/>
        <color theme="0" tint="-0.249977111117893"/>
        <rFont val="Arial Narrow"/>
        <charset val="134"/>
      </rPr>
      <t>-</t>
    </r>
    <r>
      <rPr>
        <sz val="9"/>
        <color theme="0" tint="-0.249977111117893"/>
        <rFont val="宋体"/>
        <charset val="134"/>
      </rPr>
      <t>披露表</t>
    </r>
  </si>
  <si>
    <r>
      <rPr>
        <b/>
        <sz val="9"/>
        <rFont val="宋体"/>
        <charset val="134"/>
      </rPr>
      <t>（三十三）应付账款</t>
    </r>
    <r>
      <rPr>
        <b/>
        <sz val="9"/>
        <rFont val="Arial Narrow"/>
        <charset val="134"/>
      </rPr>
      <t>-</t>
    </r>
    <r>
      <rPr>
        <b/>
        <sz val="9"/>
        <rFont val="宋体"/>
        <charset val="134"/>
      </rPr>
      <t>披露表</t>
    </r>
  </si>
  <si>
    <t>账龄勾稽核对：</t>
  </si>
  <si>
    <t>（1）期末账龄超过1年的大额应付账款元，未偿还或未结转的原因为，在资产负债表日后偿还元。</t>
  </si>
  <si>
    <r>
      <rPr>
        <sz val="9"/>
        <rFont val="宋体"/>
        <charset val="134"/>
      </rPr>
      <t>（</t>
    </r>
    <r>
      <rPr>
        <sz val="9"/>
        <rFont val="Arial Narrow"/>
        <charset val="134"/>
      </rPr>
      <t>1</t>
    </r>
    <r>
      <rPr>
        <sz val="9"/>
        <rFont val="宋体"/>
        <charset val="134"/>
      </rPr>
      <t>）账龄超过</t>
    </r>
    <r>
      <rPr>
        <sz val="9"/>
        <rFont val="Arial Narrow"/>
        <charset val="134"/>
      </rPr>
      <t>1</t>
    </r>
    <r>
      <rPr>
        <sz val="9"/>
        <rFont val="宋体"/>
        <charset val="134"/>
      </rPr>
      <t>年的重要应付款，未及时结算的原因</t>
    </r>
    <r>
      <rPr>
        <b/>
        <sz val="9"/>
        <color rgb="FFFF0000"/>
        <rFont val="宋体"/>
        <charset val="134"/>
      </rPr>
      <t>（</t>
    </r>
    <r>
      <rPr>
        <b/>
        <sz val="9"/>
        <color rgb="FFFF0000"/>
        <rFont val="Arial Narrow"/>
        <charset val="134"/>
      </rPr>
      <t>50</t>
    </r>
    <r>
      <rPr>
        <b/>
        <sz val="9"/>
        <color rgb="FFFF0000"/>
        <rFont val="宋体"/>
        <charset val="134"/>
      </rPr>
      <t>万以上）</t>
    </r>
  </si>
  <si>
    <t>分明细列：</t>
  </si>
  <si>
    <t>占总额比例</t>
  </si>
  <si>
    <t>资产负债表日后偿还金额</t>
  </si>
  <si>
    <r>
      <rPr>
        <sz val="9"/>
        <rFont val="宋体"/>
        <charset val="134"/>
      </rPr>
      <t>合计</t>
    </r>
  </si>
  <si>
    <t>（2）欠持有本公司5%（含5%）以上表决权股份的股东单位金额元。（如无此类欠款，也应说明。）</t>
  </si>
  <si>
    <r>
      <rPr>
        <sz val="9"/>
        <color theme="7" tint="0.599993896298105"/>
        <rFont val="宋体"/>
        <charset val="134"/>
      </rPr>
      <t>（</t>
    </r>
    <r>
      <rPr>
        <sz val="9"/>
        <color theme="7" tint="0.599993896298105"/>
        <rFont val="Arial Narrow"/>
        <charset val="134"/>
      </rPr>
      <t>2</t>
    </r>
    <r>
      <rPr>
        <sz val="9"/>
        <color theme="7" tint="0.599993896298105"/>
        <rFont val="宋体"/>
        <charset val="134"/>
      </rPr>
      <t>）欠持有本公司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t>
    </r>
    <r>
      <rPr>
        <sz val="9"/>
        <color theme="7" tint="0.599993896298105"/>
        <rFont val="宋体"/>
        <charset val="134"/>
      </rPr>
      <t>）以上表决权股份的股东单位金额元。</t>
    </r>
  </si>
  <si>
    <r>
      <rPr>
        <sz val="9"/>
        <rFont val="宋体"/>
        <charset val="134"/>
      </rPr>
      <t>（</t>
    </r>
    <r>
      <rPr>
        <sz val="9"/>
        <rFont val="Arial Narrow"/>
        <charset val="134"/>
      </rPr>
      <t>2</t>
    </r>
    <r>
      <rPr>
        <sz val="9"/>
        <rFont val="宋体"/>
        <charset val="134"/>
      </rPr>
      <t>）欠持有本公司</t>
    </r>
    <r>
      <rPr>
        <sz val="9"/>
        <rFont val="Arial Narrow"/>
        <charset val="134"/>
      </rPr>
      <t>5%</t>
    </r>
    <r>
      <rPr>
        <sz val="9"/>
        <rFont val="宋体"/>
        <charset val="134"/>
      </rPr>
      <t>（含</t>
    </r>
    <r>
      <rPr>
        <sz val="9"/>
        <rFont val="Arial Narrow"/>
        <charset val="134"/>
      </rPr>
      <t>5%</t>
    </r>
    <r>
      <rPr>
        <sz val="9"/>
        <rFont val="宋体"/>
        <charset val="134"/>
      </rPr>
      <t>）以上表决权股份的股东单位金额元。（如无此类欠款，也应说明。）</t>
    </r>
  </si>
  <si>
    <r>
      <rPr>
        <sz val="9"/>
        <color theme="7" tint="0.599993896298105"/>
        <rFont val="宋体"/>
        <charset val="134"/>
      </rPr>
      <t>（</t>
    </r>
    <r>
      <rPr>
        <sz val="9"/>
        <color theme="7" tint="0.599993896298105"/>
        <rFont val="Arial Narrow"/>
        <charset val="134"/>
      </rPr>
      <t>2</t>
    </r>
    <r>
      <rPr>
        <sz val="9"/>
        <color theme="7" tint="0.599993896298105"/>
        <rFont val="宋体"/>
        <charset val="134"/>
      </rPr>
      <t>）欠持有本公司</t>
    </r>
    <r>
      <rPr>
        <sz val="9"/>
        <color theme="7" tint="0.599993896298105"/>
        <rFont val="Arial Narrow"/>
        <charset val="134"/>
      </rPr>
      <t>5%</t>
    </r>
    <r>
      <rPr>
        <sz val="9"/>
        <color theme="7" tint="0.599993896298105"/>
        <rFont val="宋体"/>
        <charset val="134"/>
      </rPr>
      <t>（含</t>
    </r>
    <r>
      <rPr>
        <sz val="9"/>
        <color theme="7" tint="0.599993896298105"/>
        <rFont val="Arial Narrow"/>
        <charset val="134"/>
      </rPr>
      <t>5%）以上表决权股份的股东单位金额元。</t>
    </r>
  </si>
  <si>
    <t>注：如无此类欠款，也应说明。</t>
  </si>
  <si>
    <t>（4）应付账款前五名</t>
  </si>
  <si>
    <r>
      <rPr>
        <sz val="9"/>
        <rFont val="宋体"/>
        <charset val="134"/>
      </rPr>
      <t>（</t>
    </r>
    <r>
      <rPr>
        <sz val="9"/>
        <rFont val="Arial Narrow"/>
        <charset val="134"/>
      </rPr>
      <t>4</t>
    </r>
    <r>
      <rPr>
        <sz val="9"/>
        <rFont val="宋体"/>
        <charset val="134"/>
      </rPr>
      <t>）应付账款前五名</t>
    </r>
  </si>
  <si>
    <t>占应付账款总额的比例</t>
  </si>
  <si>
    <r>
      <rPr>
        <sz val="9"/>
        <color theme="0" tint="-0.249977111117893"/>
        <rFont val="宋体"/>
        <charset val="134"/>
      </rPr>
      <t>预收款项</t>
    </r>
    <r>
      <rPr>
        <sz val="9"/>
        <color theme="0" tint="-0.249977111117893"/>
        <rFont val="Arial Narrow"/>
        <charset val="134"/>
      </rPr>
      <t>-</t>
    </r>
    <r>
      <rPr>
        <sz val="9"/>
        <color theme="0" tint="-0.249977111117893"/>
        <rFont val="宋体"/>
        <charset val="134"/>
      </rPr>
      <t>披露表</t>
    </r>
  </si>
  <si>
    <r>
      <rPr>
        <b/>
        <sz val="9"/>
        <rFont val="宋体"/>
        <charset val="134"/>
      </rPr>
      <t>（三十四）预收款项</t>
    </r>
    <r>
      <rPr>
        <b/>
        <sz val="9"/>
        <rFont val="Arial Narrow"/>
        <charset val="134"/>
      </rPr>
      <t>-</t>
    </r>
    <r>
      <rPr>
        <b/>
        <sz val="9"/>
        <rFont val="宋体"/>
        <charset val="134"/>
      </rPr>
      <t>披露表</t>
    </r>
  </si>
  <si>
    <t>预收账款</t>
  </si>
  <si>
    <t>（1）账龄超过1年的大额预收款项金额为       ，未偿还或未结转的原因为                。</t>
  </si>
  <si>
    <r>
      <rPr>
        <sz val="9"/>
        <rFont val="宋体"/>
        <charset val="134"/>
      </rPr>
      <t>（</t>
    </r>
    <r>
      <rPr>
        <sz val="9"/>
        <rFont val="Arial Narrow"/>
        <charset val="134"/>
      </rPr>
      <t>1</t>
    </r>
    <r>
      <rPr>
        <sz val="9"/>
        <rFont val="宋体"/>
        <charset val="134"/>
      </rPr>
      <t>）账龄超过</t>
    </r>
    <r>
      <rPr>
        <sz val="9"/>
        <rFont val="Arial Narrow"/>
        <charset val="134"/>
      </rPr>
      <t>1</t>
    </r>
    <r>
      <rPr>
        <sz val="9"/>
        <rFont val="宋体"/>
        <charset val="134"/>
      </rPr>
      <t>年的大额预收款项金额为</t>
    </r>
    <r>
      <rPr>
        <sz val="9"/>
        <rFont val="Arial Narrow"/>
        <charset val="134"/>
      </rPr>
      <t xml:space="preserve">       </t>
    </r>
    <r>
      <rPr>
        <sz val="9"/>
        <rFont val="宋体"/>
        <charset val="134"/>
      </rPr>
      <t>，未偿还或未结转的原因为</t>
    </r>
    <r>
      <rPr>
        <sz val="9"/>
        <rFont val="Arial Narrow"/>
        <charset val="134"/>
      </rPr>
      <t xml:space="preserve">                </t>
    </r>
    <r>
      <rPr>
        <sz val="9"/>
        <rFont val="宋体"/>
        <charset val="134"/>
      </rPr>
      <t>。</t>
    </r>
  </si>
  <si>
    <t>分明细</t>
  </si>
  <si>
    <t>未偿还或未结转的原因</t>
  </si>
  <si>
    <t>（4）预收账款前五名</t>
  </si>
  <si>
    <t>（1）预收账款前五名</t>
  </si>
  <si>
    <r>
      <rPr>
        <sz val="9"/>
        <color theme="0" tint="-0.249977111117893"/>
        <rFont val="宋体"/>
        <charset val="134"/>
      </rPr>
      <t>应付职工薪酬</t>
    </r>
    <r>
      <rPr>
        <sz val="9"/>
        <color theme="0" tint="-0.249977111117893"/>
        <rFont val="Arial Narrow"/>
        <charset val="134"/>
      </rPr>
      <t>-</t>
    </r>
    <r>
      <rPr>
        <sz val="9"/>
        <color theme="0" tint="-0.249977111117893"/>
        <rFont val="宋体"/>
        <charset val="134"/>
      </rPr>
      <t>披露表</t>
    </r>
  </si>
  <si>
    <r>
      <rPr>
        <b/>
        <sz val="9"/>
        <rFont val="宋体"/>
        <charset val="134"/>
      </rPr>
      <t>（三十五）应付职工薪酬</t>
    </r>
    <r>
      <rPr>
        <b/>
        <sz val="9"/>
        <rFont val="Arial Narrow"/>
        <charset val="134"/>
      </rPr>
      <t>-</t>
    </r>
    <r>
      <rPr>
        <b/>
        <sz val="9"/>
        <rFont val="宋体"/>
        <charset val="134"/>
      </rPr>
      <t>披露表</t>
    </r>
  </si>
  <si>
    <t>一、短期薪酬</t>
  </si>
  <si>
    <t xml:space="preserve">    1、工资、奖金、津贴和补贴</t>
  </si>
  <si>
    <t xml:space="preserve">    2、职工福利费</t>
  </si>
  <si>
    <t xml:space="preserve">    3、社会保险费</t>
  </si>
  <si>
    <t xml:space="preserve">     （1）医疗保险费</t>
  </si>
  <si>
    <t xml:space="preserve">     （2）工伤保险费</t>
  </si>
  <si>
    <t xml:space="preserve">     （3）生育保险费</t>
  </si>
  <si>
    <t xml:space="preserve">    4、住房公积金</t>
  </si>
  <si>
    <t xml:space="preserve">    5、工会经费和职工教育经费</t>
  </si>
  <si>
    <t xml:space="preserve">    6、短期带薪缺勤</t>
  </si>
  <si>
    <t xml:space="preserve">    7、短期利润分享计划</t>
  </si>
  <si>
    <t xml:space="preserve">    8、其他短期薪酬</t>
  </si>
  <si>
    <t>二、离职后福利-设定提存计划</t>
  </si>
  <si>
    <t xml:space="preserve">  1、基本养老保险</t>
  </si>
  <si>
    <t xml:space="preserve">    2、失业保险费</t>
  </si>
  <si>
    <t xml:space="preserve">    3、企业年金缴费</t>
  </si>
  <si>
    <t xml:space="preserve">    4、其他</t>
  </si>
  <si>
    <t>三、辞退福利</t>
  </si>
  <si>
    <t xml:space="preserve">    1、因解除劳动关系给予的补偿</t>
  </si>
  <si>
    <t xml:space="preserve">    2、其他</t>
  </si>
  <si>
    <t>四、一年内到期的其他福利</t>
  </si>
  <si>
    <r>
      <rPr>
        <sz val="9"/>
        <rFont val="Arial Narrow"/>
        <charset val="134"/>
      </rPr>
      <t xml:space="preserve">    1</t>
    </r>
    <r>
      <rPr>
        <sz val="9"/>
        <rFont val="宋体"/>
        <charset val="134"/>
      </rPr>
      <t>、项目</t>
    </r>
    <r>
      <rPr>
        <sz val="9"/>
        <rFont val="Arial Narrow"/>
        <charset val="134"/>
      </rPr>
      <t>1</t>
    </r>
  </si>
  <si>
    <r>
      <rPr>
        <sz val="9"/>
        <rFont val="Arial Narrow"/>
        <charset val="134"/>
      </rPr>
      <t xml:space="preserve">    2</t>
    </r>
    <r>
      <rPr>
        <sz val="9"/>
        <rFont val="宋体"/>
        <charset val="134"/>
      </rPr>
      <t>、项目</t>
    </r>
    <r>
      <rPr>
        <sz val="9"/>
        <rFont val="Arial Narrow"/>
        <charset val="134"/>
      </rPr>
      <t>2</t>
    </r>
  </si>
  <si>
    <r>
      <rPr>
        <sz val="9"/>
        <rFont val="宋体"/>
        <charset val="134"/>
      </rPr>
      <t>合</t>
    </r>
    <r>
      <rPr>
        <sz val="9"/>
        <rFont val="Arial Narrow"/>
        <charset val="134"/>
      </rPr>
      <t xml:space="preserve">  </t>
    </r>
    <r>
      <rPr>
        <sz val="9"/>
        <rFont val="宋体"/>
        <charset val="134"/>
      </rPr>
      <t>计</t>
    </r>
  </si>
  <si>
    <r>
      <rPr>
        <sz val="9"/>
        <color rgb="FFFF0000"/>
        <rFont val="宋体"/>
        <charset val="134"/>
      </rPr>
      <t>应付职工薪酬</t>
    </r>
    <r>
      <rPr>
        <sz val="9"/>
        <color rgb="FFFF0000"/>
        <rFont val="Arial Narrow"/>
        <charset val="134"/>
      </rPr>
      <t>-</t>
    </r>
    <r>
      <rPr>
        <sz val="9"/>
        <color rgb="FFFF0000"/>
        <rFont val="宋体"/>
        <charset val="134"/>
      </rPr>
      <t>披露表</t>
    </r>
  </si>
  <si>
    <t>（2）应付职工薪酬中属于拖欠性质的金额   元。工会经费和职工教育经费金额   元，非货币性福利金额   元，因解除劳动关系给予补偿   元。</t>
  </si>
  <si>
    <t>（3）应付职工薪酬预计发放的时间、金额的说明。</t>
  </si>
  <si>
    <r>
      <rPr>
        <sz val="9"/>
        <rFont val="宋体"/>
        <charset val="134"/>
      </rPr>
      <t>（</t>
    </r>
    <r>
      <rPr>
        <sz val="9"/>
        <rFont val="Arial Narrow"/>
        <charset val="134"/>
      </rPr>
      <t>3</t>
    </r>
    <r>
      <rPr>
        <sz val="9"/>
        <rFont val="宋体"/>
        <charset val="134"/>
      </rPr>
      <t>）应付职工薪酬预计发放的时间、金额的说明。</t>
    </r>
  </si>
  <si>
    <r>
      <rPr>
        <sz val="9"/>
        <color theme="0" tint="-0.249977111117893"/>
        <rFont val="宋体"/>
        <charset val="134"/>
      </rPr>
      <t>应交税费</t>
    </r>
    <r>
      <rPr>
        <sz val="9"/>
        <color theme="0" tint="-0.249977111117893"/>
        <rFont val="Arial Narrow"/>
        <charset val="134"/>
      </rPr>
      <t>-</t>
    </r>
    <r>
      <rPr>
        <sz val="9"/>
        <color theme="0" tint="-0.249977111117893"/>
        <rFont val="宋体"/>
        <charset val="134"/>
      </rPr>
      <t>披露表</t>
    </r>
  </si>
  <si>
    <r>
      <rPr>
        <b/>
        <sz val="9"/>
        <rFont val="宋体"/>
        <charset val="134"/>
      </rPr>
      <t>（三十六）应交税费</t>
    </r>
    <r>
      <rPr>
        <b/>
        <sz val="9"/>
        <rFont val="Arial Narrow"/>
        <charset val="134"/>
      </rPr>
      <t>-</t>
    </r>
    <r>
      <rPr>
        <b/>
        <sz val="9"/>
        <rFont val="宋体"/>
        <charset val="134"/>
      </rPr>
      <t>披露表</t>
    </r>
  </si>
  <si>
    <t>1、企业所得税</t>
  </si>
  <si>
    <t>2、增值税</t>
  </si>
  <si>
    <t>3、营业税</t>
  </si>
  <si>
    <t>4、消费税</t>
  </si>
  <si>
    <t>5、资源税</t>
  </si>
  <si>
    <t>6、土地增值税</t>
  </si>
  <si>
    <t>7、土地使用税</t>
  </si>
  <si>
    <t>8、房产税</t>
  </si>
  <si>
    <t>9、车船使用税</t>
  </si>
  <si>
    <t>10、城市维护建设税</t>
  </si>
  <si>
    <t>11、教育附加（含地方）</t>
  </si>
  <si>
    <t>12、矿产资源补偿费</t>
  </si>
  <si>
    <t>13、代扣代缴个人所得税</t>
  </si>
  <si>
    <t>14、印花税</t>
  </si>
  <si>
    <t>15、防洪保安费（堤围费）</t>
  </si>
  <si>
    <t>16、电力监管费</t>
  </si>
  <si>
    <t>17、水资源费</t>
  </si>
  <si>
    <t>18、库区维护费</t>
  </si>
  <si>
    <t>19、代扣代缴企业所得税</t>
  </si>
  <si>
    <t>20、其他1-地方水利建设基金</t>
  </si>
  <si>
    <t>21、其他2-价格调节基金</t>
  </si>
  <si>
    <t>22、其他3-排污费</t>
  </si>
  <si>
    <t>23、其他4-</t>
  </si>
  <si>
    <t>24、其他5-</t>
  </si>
  <si>
    <t>（2）应交税费说明，所在地税务机关同意各分公司、分厂之间应纳税所得额相互调剂的，应说明税款计算过程：</t>
  </si>
  <si>
    <r>
      <rPr>
        <sz val="9"/>
        <rFont val="宋体"/>
        <charset val="134"/>
      </rPr>
      <t>（</t>
    </r>
    <r>
      <rPr>
        <sz val="9"/>
        <rFont val="Arial Narrow"/>
        <charset val="134"/>
      </rPr>
      <t>2</t>
    </r>
    <r>
      <rPr>
        <sz val="9"/>
        <rFont val="宋体"/>
        <charset val="134"/>
      </rPr>
      <t>）应交税费说明，所在地税务机关同意各分公司、分厂之间应纳税所得额相互调剂的，应说明税款计算过程：</t>
    </r>
  </si>
  <si>
    <r>
      <rPr>
        <sz val="9"/>
        <color theme="0" tint="-0.249977111117893"/>
        <rFont val="宋体"/>
        <charset val="134"/>
      </rPr>
      <t>应付利息</t>
    </r>
    <r>
      <rPr>
        <sz val="9"/>
        <color theme="0" tint="-0.249977111117893"/>
        <rFont val="Arial Narrow"/>
        <charset val="134"/>
      </rPr>
      <t>-</t>
    </r>
    <r>
      <rPr>
        <sz val="9"/>
        <color theme="0" tint="-0.249977111117893"/>
        <rFont val="宋体"/>
        <charset val="134"/>
      </rPr>
      <t>批露表</t>
    </r>
  </si>
  <si>
    <r>
      <rPr>
        <b/>
        <sz val="9"/>
        <rFont val="宋体"/>
        <charset val="134"/>
      </rPr>
      <t>（三十七）</t>
    </r>
    <r>
      <rPr>
        <b/>
        <sz val="9"/>
        <rFont val="Arial Narrow"/>
        <charset val="134"/>
      </rPr>
      <t xml:space="preserve"> </t>
    </r>
    <r>
      <rPr>
        <b/>
        <sz val="9"/>
        <rFont val="宋体"/>
        <charset val="134"/>
      </rPr>
      <t>应付利息</t>
    </r>
    <r>
      <rPr>
        <b/>
        <sz val="9"/>
        <rFont val="Arial Narrow"/>
        <charset val="134"/>
      </rPr>
      <t>-</t>
    </r>
    <r>
      <rPr>
        <b/>
        <sz val="9"/>
        <rFont val="宋体"/>
        <charset val="134"/>
      </rPr>
      <t>批露表</t>
    </r>
  </si>
  <si>
    <t>（三十八）应付股利-披露表</t>
  </si>
  <si>
    <r>
      <rPr>
        <sz val="9"/>
        <color theme="0" tint="-0.249977111117893"/>
        <rFont val="宋体"/>
        <charset val="134"/>
      </rPr>
      <t>应付股利</t>
    </r>
    <r>
      <rPr>
        <sz val="9"/>
        <color theme="0" tint="-0.249977111117893"/>
        <rFont val="Arial Narrow"/>
        <charset val="134"/>
      </rPr>
      <t>-</t>
    </r>
    <r>
      <rPr>
        <sz val="9"/>
        <color theme="0" tint="-0.249977111117893"/>
        <rFont val="宋体"/>
        <charset val="134"/>
      </rPr>
      <t>披露表</t>
    </r>
  </si>
  <si>
    <r>
      <rPr>
        <b/>
        <sz val="9"/>
        <rFont val="宋体"/>
        <charset val="134"/>
      </rPr>
      <t>（三十八）应付股利</t>
    </r>
    <r>
      <rPr>
        <b/>
        <sz val="9"/>
        <rFont val="Arial Narrow"/>
        <charset val="134"/>
      </rPr>
      <t>-</t>
    </r>
    <r>
      <rPr>
        <b/>
        <sz val="9"/>
        <rFont val="宋体"/>
        <charset val="134"/>
      </rPr>
      <t>披露表</t>
    </r>
  </si>
  <si>
    <t>主要投资者名称</t>
  </si>
  <si>
    <r>
      <rPr>
        <sz val="9"/>
        <rFont val="宋体"/>
        <charset val="134"/>
      </rPr>
      <t>超过</t>
    </r>
    <r>
      <rPr>
        <sz val="9"/>
        <rFont val="Arial Narrow"/>
        <charset val="134"/>
      </rPr>
      <t>1</t>
    </r>
    <r>
      <rPr>
        <sz val="9"/>
        <rFont val="宋体"/>
        <charset val="134"/>
      </rPr>
      <t>年未支付原因</t>
    </r>
  </si>
  <si>
    <r>
      <rPr>
        <sz val="9"/>
        <color theme="0" tint="-0.249977111117893"/>
        <rFont val="宋体"/>
        <charset val="134"/>
      </rPr>
      <t>其他应付款</t>
    </r>
    <r>
      <rPr>
        <sz val="9"/>
        <color theme="0" tint="-0.249977111117893"/>
        <rFont val="Arial Narrow"/>
        <charset val="134"/>
      </rPr>
      <t>-</t>
    </r>
    <r>
      <rPr>
        <sz val="9"/>
        <color theme="0" tint="-0.249977111117893"/>
        <rFont val="宋体"/>
        <charset val="134"/>
      </rPr>
      <t>披露表</t>
    </r>
  </si>
  <si>
    <r>
      <rPr>
        <sz val="9"/>
        <color theme="7" tint="0.599993896298105"/>
        <rFont val="宋体"/>
        <charset val="134"/>
      </rPr>
      <t>（三十九）其他应付款</t>
    </r>
    <r>
      <rPr>
        <sz val="9"/>
        <color theme="7" tint="0.599993896298105"/>
        <rFont val="Arial Narrow"/>
        <charset val="134"/>
      </rPr>
      <t>-</t>
    </r>
    <r>
      <rPr>
        <sz val="9"/>
        <color theme="7" tint="0.599993896298105"/>
        <rFont val="宋体"/>
        <charset val="134"/>
      </rPr>
      <t>披露表</t>
    </r>
  </si>
  <si>
    <r>
      <rPr>
        <b/>
        <sz val="9"/>
        <rFont val="宋体"/>
        <charset val="134"/>
      </rPr>
      <t>（三十九）其他应付款</t>
    </r>
    <r>
      <rPr>
        <b/>
        <sz val="9"/>
        <rFont val="Arial Narrow"/>
        <charset val="134"/>
      </rPr>
      <t>-</t>
    </r>
    <r>
      <rPr>
        <b/>
        <sz val="9"/>
        <rFont val="宋体"/>
        <charset val="134"/>
      </rPr>
      <t>披露表</t>
    </r>
  </si>
  <si>
    <t>（1）账龄超过1年的大额其他应付款金额为元，未偿还的原因为，在资产负债表日后偿还元。</t>
  </si>
  <si>
    <r>
      <rPr>
        <sz val="9"/>
        <rFont val="宋体"/>
        <charset val="134"/>
      </rPr>
      <t>（</t>
    </r>
    <r>
      <rPr>
        <sz val="9"/>
        <rFont val="Arial Narrow"/>
        <charset val="134"/>
      </rPr>
      <t>1</t>
    </r>
    <r>
      <rPr>
        <sz val="9"/>
        <rFont val="宋体"/>
        <charset val="134"/>
      </rPr>
      <t>）账龄超过</t>
    </r>
    <r>
      <rPr>
        <sz val="9"/>
        <rFont val="Arial Narrow"/>
        <charset val="134"/>
      </rPr>
      <t>1</t>
    </r>
    <r>
      <rPr>
        <sz val="9"/>
        <rFont val="宋体"/>
        <charset val="134"/>
      </rPr>
      <t>年的大额其他应付款金额为元，未偿还的原因为，在资产负债表日后偿还元。</t>
    </r>
  </si>
  <si>
    <t>（2）期末应付持有本公司5%（含5%）以上表决权股份的股东单位或关联方情况</t>
  </si>
  <si>
    <r>
      <rPr>
        <sz val="9"/>
        <rFont val="宋体"/>
        <charset val="134"/>
      </rPr>
      <t>（</t>
    </r>
    <r>
      <rPr>
        <sz val="9"/>
        <rFont val="Arial Narrow"/>
        <charset val="134"/>
      </rPr>
      <t>2</t>
    </r>
    <r>
      <rPr>
        <sz val="9"/>
        <rFont val="宋体"/>
        <charset val="134"/>
      </rPr>
      <t>）期末应付持有本公司</t>
    </r>
    <r>
      <rPr>
        <sz val="9"/>
        <rFont val="Arial Narrow"/>
        <charset val="134"/>
      </rPr>
      <t>5%</t>
    </r>
    <r>
      <rPr>
        <sz val="9"/>
        <rFont val="宋体"/>
        <charset val="134"/>
      </rPr>
      <t>（含</t>
    </r>
    <r>
      <rPr>
        <sz val="9"/>
        <rFont val="Arial Narrow"/>
        <charset val="134"/>
      </rPr>
      <t>5%</t>
    </r>
    <r>
      <rPr>
        <sz val="9"/>
        <rFont val="宋体"/>
        <charset val="134"/>
      </rPr>
      <t>）以上表决权股份的股东单位或关联方情况</t>
    </r>
  </si>
  <si>
    <t>（3）期末金额较大的其他应付款情况</t>
  </si>
  <si>
    <r>
      <rPr>
        <sz val="9"/>
        <color theme="7" tint="0.599993896298105"/>
        <rFont val="宋体"/>
        <charset val="134"/>
      </rPr>
      <t>（</t>
    </r>
    <r>
      <rPr>
        <sz val="9"/>
        <color theme="7" tint="0.599993896298105"/>
        <rFont val="Arial Narrow"/>
        <charset val="134"/>
      </rPr>
      <t>3</t>
    </r>
    <r>
      <rPr>
        <sz val="9"/>
        <color theme="7" tint="0.599993896298105"/>
        <rFont val="宋体"/>
        <charset val="134"/>
      </rPr>
      <t>）期末金额较大的其他应付款情况</t>
    </r>
  </si>
  <si>
    <r>
      <rPr>
        <sz val="9"/>
        <rFont val="宋体"/>
        <charset val="134"/>
      </rPr>
      <t>（</t>
    </r>
    <r>
      <rPr>
        <sz val="9"/>
        <rFont val="Arial Narrow"/>
        <charset val="134"/>
      </rPr>
      <t>3</t>
    </r>
    <r>
      <rPr>
        <sz val="9"/>
        <rFont val="宋体"/>
        <charset val="134"/>
      </rPr>
      <t>）期末金额较大的其他应付款情况</t>
    </r>
  </si>
  <si>
    <t>金额较大标准</t>
  </si>
  <si>
    <t>单位名称/项目</t>
  </si>
  <si>
    <r>
      <rPr>
        <sz val="9"/>
        <rFont val="宋体"/>
        <charset val="134"/>
      </rPr>
      <t>单位名称</t>
    </r>
    <r>
      <rPr>
        <sz val="9"/>
        <rFont val="Arial Narrow"/>
        <charset val="134"/>
      </rPr>
      <t>/</t>
    </r>
    <r>
      <rPr>
        <sz val="9"/>
        <rFont val="宋体"/>
        <charset val="134"/>
      </rPr>
      <t>项目</t>
    </r>
  </si>
  <si>
    <r>
      <rPr>
        <sz val="9"/>
        <rFont val="Arial Narrow"/>
        <charset val="134"/>
      </rPr>
      <t xml:space="preserve">         </t>
    </r>
    <r>
      <rPr>
        <sz val="9"/>
        <rFont val="宋体"/>
        <charset val="134"/>
      </rPr>
      <t>金额</t>
    </r>
  </si>
  <si>
    <t>未付款原因</t>
  </si>
  <si>
    <r>
      <rPr>
        <sz val="9"/>
        <color theme="7" tint="0.599993896298105"/>
        <rFont val="宋体"/>
        <charset val="134"/>
      </rPr>
      <t>（</t>
    </r>
    <r>
      <rPr>
        <sz val="9"/>
        <color theme="7" tint="0.599993896298105"/>
        <rFont val="Arial Narrow"/>
        <charset val="134"/>
      </rPr>
      <t>3）期末金额较大的其他应付款情况</t>
    </r>
  </si>
  <si>
    <t>（5）其他应付款前五名</t>
  </si>
  <si>
    <r>
      <rPr>
        <sz val="9"/>
        <rFont val="宋体"/>
        <charset val="134"/>
      </rPr>
      <t>（</t>
    </r>
    <r>
      <rPr>
        <sz val="9"/>
        <rFont val="Arial Narrow"/>
        <charset val="134"/>
      </rPr>
      <t>5</t>
    </r>
    <r>
      <rPr>
        <sz val="9"/>
        <rFont val="宋体"/>
        <charset val="134"/>
      </rPr>
      <t>）其他应付款前五名</t>
    </r>
  </si>
  <si>
    <r>
      <rPr>
        <sz val="9"/>
        <color theme="0" tint="-0.249977111117893"/>
        <rFont val="宋体"/>
        <charset val="134"/>
      </rPr>
      <t>预计负债</t>
    </r>
    <r>
      <rPr>
        <sz val="9"/>
        <color theme="0" tint="-0.249977111117893"/>
        <rFont val="Arial Narrow"/>
        <charset val="134"/>
      </rPr>
      <t>-</t>
    </r>
    <r>
      <rPr>
        <sz val="9"/>
        <color theme="0" tint="-0.249977111117893"/>
        <rFont val="宋体"/>
        <charset val="134"/>
      </rPr>
      <t>批露表</t>
    </r>
  </si>
  <si>
    <r>
      <rPr>
        <b/>
        <sz val="9"/>
        <rFont val="宋体"/>
        <charset val="134"/>
      </rPr>
      <t>（四十）预计负债</t>
    </r>
    <r>
      <rPr>
        <b/>
        <sz val="9"/>
        <rFont val="Arial Narrow"/>
        <charset val="134"/>
      </rPr>
      <t>-</t>
    </r>
    <r>
      <rPr>
        <b/>
        <sz val="9"/>
        <rFont val="宋体"/>
        <charset val="134"/>
      </rPr>
      <t>批露表</t>
    </r>
  </si>
  <si>
    <t>（1）按种类列示</t>
  </si>
  <si>
    <r>
      <rPr>
        <sz val="9"/>
        <rFont val="宋体"/>
        <charset val="134"/>
      </rPr>
      <t>（</t>
    </r>
    <r>
      <rPr>
        <sz val="9"/>
        <rFont val="Arial Narrow"/>
        <charset val="134"/>
      </rPr>
      <t>1</t>
    </r>
    <r>
      <rPr>
        <sz val="9"/>
        <rFont val="宋体"/>
        <charset val="134"/>
      </rPr>
      <t>）按种类列示</t>
    </r>
  </si>
  <si>
    <r>
      <rPr>
        <u val="double"/>
        <sz val="9"/>
        <rFont val="宋体"/>
        <charset val="134"/>
      </rPr>
      <t>合</t>
    </r>
    <r>
      <rPr>
        <u val="double"/>
        <sz val="9"/>
        <rFont val="Arial Narrow"/>
        <charset val="134"/>
      </rPr>
      <t xml:space="preserve"> </t>
    </r>
    <r>
      <rPr>
        <u val="double"/>
        <sz val="9"/>
        <rFont val="宋体"/>
        <charset val="134"/>
      </rPr>
      <t>计</t>
    </r>
  </si>
  <si>
    <r>
      <rPr>
        <sz val="9"/>
        <color theme="0" tint="-0.249977111117893"/>
        <rFont val="宋体"/>
        <charset val="134"/>
      </rPr>
      <t>一年内到期的非流动负债</t>
    </r>
    <r>
      <rPr>
        <sz val="9"/>
        <color theme="0" tint="-0.249977111117893"/>
        <rFont val="Arial Narrow"/>
        <charset val="134"/>
      </rPr>
      <t>-</t>
    </r>
    <r>
      <rPr>
        <sz val="9"/>
        <color theme="0" tint="-0.249977111117893"/>
        <rFont val="宋体"/>
        <charset val="134"/>
      </rPr>
      <t>批露表</t>
    </r>
  </si>
  <si>
    <r>
      <rPr>
        <sz val="9"/>
        <color theme="7" tint="0.599993896298105"/>
        <rFont val="宋体"/>
        <charset val="134"/>
      </rPr>
      <t>（</t>
    </r>
    <r>
      <rPr>
        <sz val="9"/>
        <color theme="7" tint="0.599993896298105"/>
        <rFont val="Arial Narrow"/>
        <charset val="134"/>
      </rPr>
      <t>1</t>
    </r>
    <r>
      <rPr>
        <sz val="9"/>
        <color theme="7" tint="0.599993896298105"/>
        <rFont val="宋体"/>
        <charset val="134"/>
      </rPr>
      <t>）按类别列示如下：</t>
    </r>
  </si>
  <si>
    <r>
      <rPr>
        <b/>
        <sz val="9"/>
        <rFont val="宋体"/>
        <charset val="134"/>
      </rPr>
      <t>（四十一）一年内到期的非流动负债</t>
    </r>
    <r>
      <rPr>
        <b/>
        <sz val="9"/>
        <rFont val="Arial Narrow"/>
        <charset val="134"/>
      </rPr>
      <t>-</t>
    </r>
    <r>
      <rPr>
        <b/>
        <sz val="9"/>
        <rFont val="宋体"/>
        <charset val="134"/>
      </rPr>
      <t>批露表</t>
    </r>
  </si>
  <si>
    <r>
      <rPr>
        <sz val="9"/>
        <rFont val="宋体"/>
        <charset val="134"/>
      </rPr>
      <t>（</t>
    </r>
    <r>
      <rPr>
        <sz val="9"/>
        <rFont val="Arial Narrow"/>
        <charset val="134"/>
      </rPr>
      <t>1</t>
    </r>
    <r>
      <rPr>
        <sz val="9"/>
        <rFont val="宋体"/>
        <charset val="134"/>
      </rPr>
      <t>）按类别列示如下：</t>
    </r>
  </si>
  <si>
    <r>
      <rPr>
        <sz val="9"/>
        <color theme="7" tint="0.599993896298105"/>
        <rFont val="宋体"/>
        <charset val="134"/>
      </rPr>
      <t>（</t>
    </r>
    <r>
      <rPr>
        <sz val="9"/>
        <color theme="7" tint="0.599993896298105"/>
        <rFont val="Arial Narrow"/>
        <charset val="134"/>
      </rPr>
      <t>1）按类别列示如下：</t>
    </r>
  </si>
  <si>
    <r>
      <rPr>
        <sz val="9"/>
        <rFont val="宋体"/>
        <charset val="134"/>
      </rPr>
      <t>合</t>
    </r>
    <r>
      <rPr>
        <sz val="9"/>
        <rFont val="Arial Narrow"/>
        <charset val="134"/>
      </rPr>
      <t xml:space="preserve">   </t>
    </r>
    <r>
      <rPr>
        <sz val="9"/>
        <rFont val="宋体"/>
        <charset val="134"/>
      </rPr>
      <t>计</t>
    </r>
  </si>
  <si>
    <r>
      <rPr>
        <sz val="9"/>
        <rFont val="宋体"/>
        <charset val="134"/>
      </rPr>
      <t>（</t>
    </r>
    <r>
      <rPr>
        <sz val="9"/>
        <rFont val="Arial Narrow"/>
        <charset val="134"/>
      </rPr>
      <t>2</t>
    </r>
    <r>
      <rPr>
        <sz val="9"/>
        <rFont val="宋体"/>
        <charset val="134"/>
      </rPr>
      <t>）一年内到期的长期借款</t>
    </r>
  </si>
  <si>
    <t>表间核对</t>
  </si>
  <si>
    <t>注：1年内到期的长期借款中属于逾期借款获得展期的金额   元。</t>
  </si>
  <si>
    <r>
      <rPr>
        <b/>
        <sz val="9"/>
        <color rgb="FFFF0000"/>
        <rFont val="宋体"/>
        <charset val="134"/>
      </rPr>
      <t>注：</t>
    </r>
    <r>
      <rPr>
        <b/>
        <sz val="9"/>
        <color rgb="FFFF0000"/>
        <rFont val="Arial Narrow"/>
        <charset val="134"/>
      </rPr>
      <t>1</t>
    </r>
    <r>
      <rPr>
        <b/>
        <sz val="9"/>
        <color rgb="FFFF0000"/>
        <rFont val="宋体"/>
        <charset val="134"/>
      </rPr>
      <t>年内到期的长期借款中属于逾期借款获得展期的金额</t>
    </r>
    <r>
      <rPr>
        <b/>
        <sz val="9"/>
        <color rgb="FFFF0000"/>
        <rFont val="Arial Narrow"/>
        <charset val="134"/>
      </rPr>
      <t xml:space="preserve">   </t>
    </r>
    <r>
      <rPr>
        <b/>
        <sz val="9"/>
        <color rgb="FFFF0000"/>
        <rFont val="宋体"/>
        <charset val="134"/>
      </rPr>
      <t>元。</t>
    </r>
  </si>
  <si>
    <t>①  金额前五名的一年内到期的长期借款</t>
  </si>
  <si>
    <r>
      <rPr>
        <sz val="9"/>
        <rFont val="宋体"/>
        <charset val="134"/>
      </rPr>
      <t>①</t>
    </r>
    <r>
      <rPr>
        <sz val="9"/>
        <rFont val="Arial Narrow"/>
        <charset val="134"/>
      </rPr>
      <t xml:space="preserve">  </t>
    </r>
    <r>
      <rPr>
        <sz val="9"/>
        <rFont val="宋体"/>
        <charset val="134"/>
      </rPr>
      <t>金额前</t>
    </r>
    <r>
      <rPr>
        <sz val="9"/>
        <rFont val="Arial Narrow"/>
        <charset val="134"/>
      </rPr>
      <t>10</t>
    </r>
    <r>
      <rPr>
        <sz val="9"/>
        <rFont val="宋体"/>
        <charset val="134"/>
      </rPr>
      <t>名的一年内到期的长期借款</t>
    </r>
    <r>
      <rPr>
        <b/>
        <sz val="9"/>
        <color rgb="FFFF0000"/>
        <rFont val="宋体"/>
        <charset val="134"/>
      </rPr>
      <t>（在</t>
    </r>
    <r>
      <rPr>
        <b/>
        <sz val="9"/>
        <color rgb="FFFF0000"/>
        <rFont val="Arial Narrow"/>
        <charset val="134"/>
      </rPr>
      <t>TB</t>
    </r>
    <r>
      <rPr>
        <b/>
        <sz val="9"/>
        <color rgb="FFFF0000"/>
        <rFont val="宋体"/>
        <charset val="134"/>
      </rPr>
      <t>附表</t>
    </r>
    <r>
      <rPr>
        <b/>
        <sz val="9"/>
        <color rgb="FFFF0000"/>
        <rFont val="Arial Narrow"/>
        <charset val="134"/>
      </rPr>
      <t>1</t>
    </r>
    <r>
      <rPr>
        <b/>
        <sz val="9"/>
        <color rgb="FFFF0000"/>
        <rFont val="宋体"/>
        <charset val="134"/>
      </rPr>
      <t>中填列）</t>
    </r>
  </si>
  <si>
    <t>借款起始日</t>
  </si>
  <si>
    <t>借款终止日</t>
  </si>
  <si>
    <r>
      <rPr>
        <b/>
        <sz val="9"/>
        <rFont val="宋体"/>
        <charset val="134"/>
      </rPr>
      <t>利率（</t>
    </r>
    <r>
      <rPr>
        <b/>
        <sz val="9"/>
        <rFont val="Arial Narrow"/>
        <charset val="134"/>
      </rPr>
      <t>%</t>
    </r>
    <r>
      <rPr>
        <b/>
        <sz val="9"/>
        <rFont val="宋体"/>
        <charset val="134"/>
      </rPr>
      <t>）</t>
    </r>
  </si>
  <si>
    <t>币种</t>
  </si>
  <si>
    <t>外币金额</t>
  </si>
  <si>
    <t>本币金额</t>
  </si>
  <si>
    <t>②一年内到期的长期借款逾期借款情况</t>
  </si>
  <si>
    <t>借款金额</t>
  </si>
  <si>
    <r>
      <rPr>
        <b/>
        <sz val="9"/>
        <rFont val="宋体"/>
        <charset val="134"/>
      </rPr>
      <t>年利率（</t>
    </r>
    <r>
      <rPr>
        <b/>
        <sz val="9"/>
        <rFont val="Arial Narrow"/>
        <charset val="134"/>
      </rPr>
      <t>%</t>
    </r>
    <r>
      <rPr>
        <b/>
        <sz val="9"/>
        <rFont val="宋体"/>
        <charset val="134"/>
      </rPr>
      <t>）</t>
    </r>
  </si>
  <si>
    <t>借款资金用途</t>
  </si>
  <si>
    <t>逾期未偿还原因</t>
  </si>
  <si>
    <t>逾期还款期</t>
  </si>
  <si>
    <t>注：资产负债表日后已偿还的金额：</t>
  </si>
  <si>
    <t>（3）一年内到期的应付债券</t>
  </si>
  <si>
    <r>
      <rPr>
        <sz val="9"/>
        <rFont val="宋体"/>
        <charset val="134"/>
      </rPr>
      <t>（</t>
    </r>
    <r>
      <rPr>
        <sz val="9"/>
        <rFont val="Arial Narrow"/>
        <charset val="134"/>
      </rPr>
      <t>3</t>
    </r>
    <r>
      <rPr>
        <sz val="9"/>
        <rFont val="宋体"/>
        <charset val="134"/>
      </rPr>
      <t>）一年内到期的应付债券</t>
    </r>
  </si>
  <si>
    <t>债券名称</t>
  </si>
  <si>
    <t>债券期限</t>
  </si>
  <si>
    <t>发行金额</t>
  </si>
  <si>
    <t>期初应付利息</t>
  </si>
  <si>
    <t>本期应计利息</t>
  </si>
  <si>
    <t>本期已付利息</t>
  </si>
  <si>
    <t>期末应付利息</t>
  </si>
  <si>
    <t>1年内到期的应付债券说明：</t>
  </si>
  <si>
    <r>
      <rPr>
        <b/>
        <sz val="9"/>
        <color rgb="FFFF0000"/>
        <rFont val="Arial Narrow"/>
        <charset val="134"/>
      </rPr>
      <t>1</t>
    </r>
    <r>
      <rPr>
        <b/>
        <sz val="9"/>
        <color rgb="FFFF0000"/>
        <rFont val="宋体"/>
        <charset val="134"/>
      </rPr>
      <t>年内到期的应付债券说明：</t>
    </r>
  </si>
  <si>
    <t>（4）一年内到期的长期应付款</t>
  </si>
  <si>
    <r>
      <rPr>
        <sz val="9"/>
        <rFont val="宋体"/>
        <charset val="134"/>
      </rPr>
      <t>（</t>
    </r>
    <r>
      <rPr>
        <sz val="9"/>
        <rFont val="Arial Narrow"/>
        <charset val="134"/>
      </rPr>
      <t>4</t>
    </r>
    <r>
      <rPr>
        <sz val="9"/>
        <rFont val="宋体"/>
        <charset val="134"/>
      </rPr>
      <t>）一年内到期的长期应付款</t>
    </r>
  </si>
  <si>
    <t>参与合并分子公司批露前十名</t>
  </si>
  <si>
    <t>借款单位</t>
  </si>
  <si>
    <t>应计利息</t>
  </si>
  <si>
    <t>借款条件</t>
  </si>
  <si>
    <t>注：披露金额前五名的情况</t>
  </si>
  <si>
    <r>
      <rPr>
        <sz val="9"/>
        <color rgb="FFFF0000"/>
        <rFont val="宋体"/>
        <charset val="134"/>
      </rPr>
      <t>①</t>
    </r>
    <r>
      <rPr>
        <sz val="9"/>
        <color rgb="FFFF0000"/>
        <rFont val="Arial Narrow"/>
        <charset val="134"/>
      </rPr>
      <t xml:space="preserve">  </t>
    </r>
    <r>
      <rPr>
        <sz val="9"/>
        <color rgb="FFFF0000"/>
        <rFont val="宋体"/>
        <charset val="134"/>
      </rPr>
      <t>金额前五名的一年内到期的长期借款（</t>
    </r>
    <r>
      <rPr>
        <b/>
        <sz val="9"/>
        <color rgb="FFFF0000"/>
        <rFont val="宋体"/>
        <charset val="134"/>
      </rPr>
      <t>在</t>
    </r>
    <r>
      <rPr>
        <b/>
        <sz val="9"/>
        <color rgb="FFFF0000"/>
        <rFont val="Arial Narrow"/>
        <charset val="134"/>
      </rPr>
      <t>TB</t>
    </r>
    <r>
      <rPr>
        <b/>
        <sz val="9"/>
        <color rgb="FFFF0000"/>
        <rFont val="宋体"/>
        <charset val="134"/>
      </rPr>
      <t>附表中填列</t>
    </r>
    <r>
      <rPr>
        <sz val="9"/>
        <color rgb="FFFF0000"/>
        <rFont val="宋体"/>
        <charset val="134"/>
      </rPr>
      <t>）</t>
    </r>
  </si>
  <si>
    <t>（四十二）其他流动负债-批露表</t>
  </si>
  <si>
    <r>
      <rPr>
        <sz val="9"/>
        <color theme="0" tint="-0.249977111117893"/>
        <rFont val="宋体"/>
        <charset val="134"/>
      </rPr>
      <t>其他流动负债</t>
    </r>
    <r>
      <rPr>
        <sz val="9"/>
        <color theme="0" tint="-0.249977111117893"/>
        <rFont val="Arial Narrow"/>
        <charset val="134"/>
      </rPr>
      <t>-</t>
    </r>
    <r>
      <rPr>
        <sz val="9"/>
        <color theme="0" tint="-0.249977111117893"/>
        <rFont val="宋体"/>
        <charset val="134"/>
      </rPr>
      <t>批露表</t>
    </r>
  </si>
  <si>
    <t>（1）分类列示如下</t>
  </si>
  <si>
    <r>
      <rPr>
        <b/>
        <sz val="9"/>
        <rFont val="宋体"/>
        <charset val="134"/>
      </rPr>
      <t>（四十二）其他流动负债</t>
    </r>
    <r>
      <rPr>
        <b/>
        <sz val="9"/>
        <rFont val="Arial Narrow"/>
        <charset val="134"/>
      </rPr>
      <t>-</t>
    </r>
    <r>
      <rPr>
        <b/>
        <sz val="9"/>
        <rFont val="宋体"/>
        <charset val="134"/>
      </rPr>
      <t>批露表</t>
    </r>
  </si>
  <si>
    <r>
      <rPr>
        <sz val="9"/>
        <rFont val="宋体"/>
        <charset val="134"/>
      </rPr>
      <t>（</t>
    </r>
    <r>
      <rPr>
        <sz val="9"/>
        <rFont val="Arial Narrow"/>
        <charset val="134"/>
      </rPr>
      <t>1</t>
    </r>
    <r>
      <rPr>
        <sz val="9"/>
        <rFont val="宋体"/>
        <charset val="134"/>
      </rPr>
      <t>）分类列示如下</t>
    </r>
  </si>
  <si>
    <r>
      <rPr>
        <b/>
        <sz val="9"/>
        <rFont val="宋体"/>
        <charset val="134"/>
      </rPr>
      <t>项</t>
    </r>
    <r>
      <rPr>
        <b/>
        <sz val="9"/>
        <rFont val="Arial Narrow"/>
        <charset val="134"/>
      </rPr>
      <t xml:space="preserve"> </t>
    </r>
    <r>
      <rPr>
        <b/>
        <sz val="9"/>
        <rFont val="宋体"/>
        <charset val="134"/>
      </rPr>
      <t>目</t>
    </r>
  </si>
  <si>
    <t>待转销项税额</t>
  </si>
  <si>
    <r>
      <rPr>
        <sz val="9"/>
        <rFont val="宋体"/>
        <charset val="134"/>
      </rPr>
      <t>合</t>
    </r>
    <r>
      <rPr>
        <sz val="9"/>
        <rFont val="Arial Narrow"/>
        <charset val="134"/>
      </rPr>
      <t xml:space="preserve"> </t>
    </r>
    <r>
      <rPr>
        <sz val="9"/>
        <rFont val="宋体"/>
        <charset val="134"/>
      </rPr>
      <t>计</t>
    </r>
  </si>
  <si>
    <r>
      <rPr>
        <sz val="9"/>
        <color theme="0" tint="-0.249977111117893"/>
        <rFont val="宋体"/>
        <charset val="134"/>
      </rPr>
      <t>长期借款</t>
    </r>
    <r>
      <rPr>
        <sz val="9"/>
        <color theme="0" tint="-0.249977111117893"/>
        <rFont val="Arial Narrow"/>
        <charset val="134"/>
      </rPr>
      <t>-</t>
    </r>
    <r>
      <rPr>
        <sz val="9"/>
        <color theme="0" tint="-0.249977111117893"/>
        <rFont val="宋体"/>
        <charset val="134"/>
      </rPr>
      <t>披露表</t>
    </r>
  </si>
  <si>
    <r>
      <rPr>
        <b/>
        <sz val="9"/>
        <rFont val="宋体"/>
        <charset val="134"/>
      </rPr>
      <t>（四十三）长期借款</t>
    </r>
    <r>
      <rPr>
        <b/>
        <sz val="9"/>
        <rFont val="Arial Narrow"/>
        <charset val="134"/>
      </rPr>
      <t>-</t>
    </r>
    <r>
      <rPr>
        <b/>
        <sz val="9"/>
        <rFont val="宋体"/>
        <charset val="134"/>
      </rPr>
      <t>披露表</t>
    </r>
  </si>
  <si>
    <t>（2）金额前五名长期借款情况（各子公司请列前十名明细，便于合并）</t>
  </si>
  <si>
    <r>
      <rPr>
        <sz val="9"/>
        <color theme="7" tint="0.599993896298105"/>
        <rFont val="宋体"/>
        <charset val="134"/>
      </rPr>
      <t>（</t>
    </r>
    <r>
      <rPr>
        <sz val="9"/>
        <color theme="7" tint="0.599993896298105"/>
        <rFont val="Arial Narrow"/>
        <charset val="134"/>
      </rPr>
      <t>2</t>
    </r>
    <r>
      <rPr>
        <sz val="9"/>
        <color theme="7" tint="0.599993896298105"/>
        <rFont val="宋体"/>
        <charset val="134"/>
      </rPr>
      <t>）金额前五名长期借款情况</t>
    </r>
  </si>
  <si>
    <r>
      <rPr>
        <sz val="9"/>
        <color rgb="FFFF0000"/>
        <rFont val="宋体"/>
        <charset val="134"/>
      </rPr>
      <t>（</t>
    </r>
    <r>
      <rPr>
        <sz val="9"/>
        <color rgb="FFFF0000"/>
        <rFont val="Arial Narrow"/>
        <charset val="134"/>
      </rPr>
      <t>2</t>
    </r>
    <r>
      <rPr>
        <sz val="9"/>
        <color rgb="FFFF0000"/>
        <rFont val="宋体"/>
        <charset val="134"/>
      </rPr>
      <t>）借款情况</t>
    </r>
    <r>
      <rPr>
        <b/>
        <sz val="9"/>
        <color rgb="FFFF0000"/>
        <rFont val="宋体"/>
        <charset val="134"/>
      </rPr>
      <t>（在</t>
    </r>
    <r>
      <rPr>
        <b/>
        <sz val="9"/>
        <color rgb="FFFF0000"/>
        <rFont val="宋体"/>
        <charset val="134"/>
      </rPr>
      <t>附表</t>
    </r>
    <r>
      <rPr>
        <b/>
        <sz val="9"/>
        <color rgb="FFFF0000"/>
        <rFont val="宋体"/>
        <charset val="134"/>
      </rPr>
      <t>中填列）</t>
    </r>
  </si>
  <si>
    <t>是否为委托贷款</t>
  </si>
  <si>
    <t>质押、抵押情况</t>
  </si>
  <si>
    <r>
      <rPr>
        <sz val="9"/>
        <color theme="7" tint="0.599993896298105"/>
        <rFont val="宋体"/>
        <charset val="134"/>
      </rPr>
      <t>（</t>
    </r>
    <r>
      <rPr>
        <sz val="9"/>
        <color theme="7" tint="0.599993896298105"/>
        <rFont val="Arial Narrow"/>
        <charset val="134"/>
      </rPr>
      <t>2）金额前五名长期借款情况</t>
    </r>
  </si>
  <si>
    <t>（3）长期借款说明，因逾期借款获得展期形成的长期借款，应说明获得展期的条件、本金、利息、预计还款安排等。</t>
  </si>
  <si>
    <t>（四十四）应付债券-披露表</t>
  </si>
  <si>
    <r>
      <rPr>
        <sz val="9"/>
        <color theme="0" tint="-0.249977111117893"/>
        <rFont val="宋体"/>
        <charset val="134"/>
      </rPr>
      <t>应付债券</t>
    </r>
    <r>
      <rPr>
        <sz val="9"/>
        <color theme="0" tint="-0.249977111117893"/>
        <rFont val="Arial Narrow"/>
        <charset val="134"/>
      </rPr>
      <t>-</t>
    </r>
    <r>
      <rPr>
        <sz val="9"/>
        <color theme="0" tint="-0.249977111117893"/>
        <rFont val="宋体"/>
        <charset val="134"/>
      </rPr>
      <t>披露表</t>
    </r>
  </si>
  <si>
    <r>
      <rPr>
        <b/>
        <sz val="9"/>
        <rFont val="宋体"/>
        <charset val="134"/>
      </rPr>
      <t>（四十四）应付债券</t>
    </r>
    <r>
      <rPr>
        <b/>
        <sz val="9"/>
        <rFont val="Arial Narrow"/>
        <charset val="134"/>
      </rPr>
      <t>-</t>
    </r>
    <r>
      <rPr>
        <b/>
        <sz val="9"/>
        <rFont val="宋体"/>
        <charset val="134"/>
      </rPr>
      <t>披露表</t>
    </r>
  </si>
  <si>
    <t>（2）对可转换公司债券可转换公司债券的转股条件、转股时间。</t>
  </si>
  <si>
    <r>
      <rPr>
        <sz val="9"/>
        <rFont val="宋体"/>
        <charset val="134"/>
      </rPr>
      <t>（</t>
    </r>
    <r>
      <rPr>
        <sz val="9"/>
        <rFont val="Arial Narrow"/>
        <charset val="134"/>
      </rPr>
      <t>2</t>
    </r>
    <r>
      <rPr>
        <sz val="9"/>
        <rFont val="宋体"/>
        <charset val="134"/>
      </rPr>
      <t>）对可转换公司债券可转换公司债券的转股条件、转股时间。</t>
    </r>
  </si>
  <si>
    <t>（四十五）长期应付款-披露表</t>
  </si>
  <si>
    <r>
      <rPr>
        <sz val="9"/>
        <color theme="0" tint="-0.249977111117893"/>
        <rFont val="宋体"/>
        <charset val="134"/>
      </rPr>
      <t>长期应付款</t>
    </r>
    <r>
      <rPr>
        <sz val="9"/>
        <color theme="0" tint="-0.249977111117893"/>
        <rFont val="Arial Narrow"/>
        <charset val="134"/>
      </rPr>
      <t>-</t>
    </r>
    <r>
      <rPr>
        <sz val="9"/>
        <color theme="0" tint="-0.249977111117893"/>
        <rFont val="宋体"/>
        <charset val="134"/>
      </rPr>
      <t>披露表</t>
    </r>
  </si>
  <si>
    <r>
      <rPr>
        <b/>
        <sz val="9"/>
        <rFont val="宋体"/>
        <charset val="134"/>
      </rPr>
      <t>（四十五）长期应付款</t>
    </r>
    <r>
      <rPr>
        <b/>
        <sz val="9"/>
        <rFont val="Arial Narrow"/>
        <charset val="134"/>
      </rPr>
      <t>-</t>
    </r>
    <r>
      <rPr>
        <b/>
        <sz val="9"/>
        <rFont val="宋体"/>
        <charset val="134"/>
      </rPr>
      <t>披露表</t>
    </r>
  </si>
  <si>
    <t>长期应付款余额</t>
  </si>
  <si>
    <t>（2）披露金额前五名的情况</t>
  </si>
  <si>
    <t>（3）长期应付款中的应付融资租赁款明细</t>
  </si>
  <si>
    <t>外币</t>
  </si>
  <si>
    <t>注：由独立第三方为公司融资租赁提供担保的金额   元。</t>
  </si>
  <si>
    <r>
      <rPr>
        <b/>
        <sz val="9"/>
        <color rgb="FFFF0000"/>
        <rFont val="宋体"/>
        <charset val="134"/>
      </rPr>
      <t>注：由独立第三方为公司融资租赁提供担保的金额</t>
    </r>
    <r>
      <rPr>
        <b/>
        <sz val="9"/>
        <color rgb="FFFF0000"/>
        <rFont val="Arial Narrow"/>
        <charset val="134"/>
      </rPr>
      <t xml:space="preserve">   </t>
    </r>
    <r>
      <rPr>
        <b/>
        <sz val="9"/>
        <color rgb="FFFF0000"/>
        <rFont val="宋体"/>
        <charset val="134"/>
      </rPr>
      <t>元。</t>
    </r>
  </si>
  <si>
    <t>（四十六）专项应付款-披露表</t>
  </si>
  <si>
    <r>
      <rPr>
        <sz val="9"/>
        <color theme="0" tint="-0.249977111117893"/>
        <rFont val="宋体"/>
        <charset val="134"/>
      </rPr>
      <t>专项应付款</t>
    </r>
    <r>
      <rPr>
        <sz val="9"/>
        <color theme="0" tint="-0.249977111117893"/>
        <rFont val="Arial Narrow"/>
        <charset val="134"/>
      </rPr>
      <t>-</t>
    </r>
    <r>
      <rPr>
        <sz val="9"/>
        <color theme="0" tint="-0.249977111117893"/>
        <rFont val="宋体"/>
        <charset val="134"/>
      </rPr>
      <t>披露表</t>
    </r>
  </si>
  <si>
    <r>
      <rPr>
        <b/>
        <sz val="9"/>
        <rFont val="宋体"/>
        <charset val="134"/>
      </rPr>
      <t>（四十六）专项应付款</t>
    </r>
    <r>
      <rPr>
        <b/>
        <sz val="9"/>
        <rFont val="Arial Narrow"/>
        <charset val="134"/>
      </rPr>
      <t>-</t>
    </r>
    <r>
      <rPr>
        <b/>
        <sz val="9"/>
        <rFont val="宋体"/>
        <charset val="134"/>
      </rPr>
      <t>披露表</t>
    </r>
  </si>
  <si>
    <t>（3）专项应付款文字说明：</t>
  </si>
  <si>
    <r>
      <rPr>
        <sz val="9"/>
        <rFont val="宋体"/>
        <charset val="134"/>
      </rPr>
      <t>（</t>
    </r>
    <r>
      <rPr>
        <sz val="9"/>
        <rFont val="Arial Narrow"/>
        <charset val="134"/>
      </rPr>
      <t>3</t>
    </r>
    <r>
      <rPr>
        <sz val="9"/>
        <rFont val="宋体"/>
        <charset val="134"/>
      </rPr>
      <t>）专项应付款文字说明：</t>
    </r>
  </si>
  <si>
    <t>（四十七）其他非流动负债-批露表</t>
  </si>
  <si>
    <r>
      <rPr>
        <sz val="9"/>
        <color theme="0" tint="-0.249977111117893"/>
        <rFont val="宋体"/>
        <charset val="134"/>
      </rPr>
      <t>其他非流动负债</t>
    </r>
    <r>
      <rPr>
        <sz val="9"/>
        <color theme="0" tint="-0.249977111117893"/>
        <rFont val="Arial Narrow"/>
        <charset val="134"/>
      </rPr>
      <t>-</t>
    </r>
    <r>
      <rPr>
        <sz val="9"/>
        <color theme="0" tint="-0.249977111117893"/>
        <rFont val="宋体"/>
        <charset val="134"/>
      </rPr>
      <t>批露表</t>
    </r>
  </si>
  <si>
    <r>
      <rPr>
        <b/>
        <sz val="9"/>
        <rFont val="宋体"/>
        <charset val="134"/>
      </rPr>
      <t>（四十七）其他非流动负债</t>
    </r>
    <r>
      <rPr>
        <b/>
        <sz val="9"/>
        <rFont val="Arial Narrow"/>
        <charset val="134"/>
      </rPr>
      <t>-</t>
    </r>
    <r>
      <rPr>
        <b/>
        <sz val="9"/>
        <rFont val="宋体"/>
        <charset val="134"/>
      </rPr>
      <t>批露表</t>
    </r>
  </si>
  <si>
    <t>（四十八）实收资本(股本)-披露表</t>
  </si>
  <si>
    <r>
      <rPr>
        <sz val="9"/>
        <color theme="0" tint="-0.249977111117893"/>
        <rFont val="宋体"/>
        <charset val="134"/>
      </rPr>
      <t>实收资本</t>
    </r>
    <r>
      <rPr>
        <sz val="9"/>
        <color theme="0" tint="-0.249977111117893"/>
        <rFont val="Arial Narrow"/>
        <charset val="134"/>
      </rPr>
      <t>(</t>
    </r>
    <r>
      <rPr>
        <sz val="9"/>
        <color theme="0" tint="-0.249977111117893"/>
        <rFont val="宋体"/>
        <charset val="134"/>
      </rPr>
      <t>股本</t>
    </r>
    <r>
      <rPr>
        <sz val="9"/>
        <color theme="0" tint="-0.249977111117893"/>
        <rFont val="Arial Narrow"/>
        <charset val="134"/>
      </rPr>
      <t>)-</t>
    </r>
    <r>
      <rPr>
        <sz val="9"/>
        <color theme="0" tint="-0.249977111117893"/>
        <rFont val="宋体"/>
        <charset val="134"/>
      </rPr>
      <t>披露表</t>
    </r>
  </si>
  <si>
    <t>上市公司披露表：</t>
  </si>
  <si>
    <r>
      <rPr>
        <b/>
        <sz val="9"/>
        <rFont val="宋体"/>
        <charset val="134"/>
      </rPr>
      <t>（四十八）实收资本</t>
    </r>
    <r>
      <rPr>
        <b/>
        <sz val="9"/>
        <rFont val="Arial Narrow"/>
        <charset val="134"/>
      </rPr>
      <t>(</t>
    </r>
    <r>
      <rPr>
        <b/>
        <sz val="9"/>
        <rFont val="宋体"/>
        <charset val="134"/>
      </rPr>
      <t>股本</t>
    </r>
    <r>
      <rPr>
        <b/>
        <sz val="9"/>
        <rFont val="Arial Narrow"/>
        <charset val="134"/>
      </rPr>
      <t>)-</t>
    </r>
    <r>
      <rPr>
        <b/>
        <sz val="9"/>
        <rFont val="宋体"/>
        <charset val="134"/>
      </rPr>
      <t>披露表</t>
    </r>
  </si>
  <si>
    <r>
      <rPr>
        <b/>
        <sz val="9"/>
        <rFont val="宋体"/>
        <charset val="134"/>
      </rPr>
      <t>本期增减变动（</t>
    </r>
    <r>
      <rPr>
        <b/>
        <sz val="9"/>
        <rFont val="Arial Narrow"/>
        <charset val="134"/>
      </rPr>
      <t>+</t>
    </r>
    <r>
      <rPr>
        <b/>
        <sz val="9"/>
        <rFont val="宋体"/>
        <charset val="134"/>
      </rPr>
      <t>、</t>
    </r>
    <r>
      <rPr>
        <b/>
        <sz val="9"/>
        <rFont val="Arial Narrow"/>
        <charset val="134"/>
      </rPr>
      <t>-</t>
    </r>
    <r>
      <rPr>
        <b/>
        <sz val="9"/>
        <rFont val="宋体"/>
        <charset val="134"/>
      </rPr>
      <t>）</t>
    </r>
  </si>
  <si>
    <t>发行新股</t>
  </si>
  <si>
    <t>送股</t>
  </si>
  <si>
    <t>公积金转股</t>
  </si>
  <si>
    <t>一、有限售条件股份</t>
  </si>
  <si>
    <t>1.国家持股</t>
  </si>
  <si>
    <r>
      <rPr>
        <sz val="9"/>
        <rFont val="Arial Narrow"/>
        <charset val="134"/>
      </rPr>
      <t>1.</t>
    </r>
    <r>
      <rPr>
        <sz val="9"/>
        <rFont val="宋体"/>
        <charset val="134"/>
      </rPr>
      <t>国家持股</t>
    </r>
  </si>
  <si>
    <t>2.国有法人持股</t>
  </si>
  <si>
    <r>
      <rPr>
        <sz val="9"/>
        <rFont val="Arial Narrow"/>
        <charset val="134"/>
      </rPr>
      <t>2.</t>
    </r>
    <r>
      <rPr>
        <sz val="9"/>
        <rFont val="宋体"/>
        <charset val="134"/>
      </rPr>
      <t>国有法人持股</t>
    </r>
  </si>
  <si>
    <t>3.其他内资持股</t>
  </si>
  <si>
    <r>
      <rPr>
        <sz val="9"/>
        <rFont val="Arial Narrow"/>
        <charset val="134"/>
      </rPr>
      <t>3.</t>
    </r>
    <r>
      <rPr>
        <sz val="9"/>
        <rFont val="宋体"/>
        <charset val="134"/>
      </rPr>
      <t>其他内资持股</t>
    </r>
  </si>
  <si>
    <t>其中：境内法人持股</t>
  </si>
  <si>
    <t>境内自然人持股</t>
  </si>
  <si>
    <t>4.境外持股</t>
  </si>
  <si>
    <r>
      <rPr>
        <sz val="9"/>
        <rFont val="Arial Narrow"/>
        <charset val="134"/>
      </rPr>
      <t>4.</t>
    </r>
    <r>
      <rPr>
        <sz val="9"/>
        <rFont val="宋体"/>
        <charset val="134"/>
      </rPr>
      <t>境外持股</t>
    </r>
  </si>
  <si>
    <t>其中：境外法人持股</t>
  </si>
  <si>
    <t>境外自然人持股</t>
  </si>
  <si>
    <t>二、无限售条件流通股份</t>
  </si>
  <si>
    <t>1.人民币普通股</t>
  </si>
  <si>
    <r>
      <rPr>
        <sz val="9"/>
        <rFont val="Arial Narrow"/>
        <charset val="134"/>
      </rPr>
      <t>1.</t>
    </r>
    <r>
      <rPr>
        <sz val="9"/>
        <rFont val="宋体"/>
        <charset val="134"/>
      </rPr>
      <t>人民币普通股</t>
    </r>
  </si>
  <si>
    <t>2.境内上市外资股</t>
  </si>
  <si>
    <r>
      <rPr>
        <sz val="9"/>
        <rFont val="Arial Narrow"/>
        <charset val="134"/>
      </rPr>
      <t>2.</t>
    </r>
    <r>
      <rPr>
        <sz val="9"/>
        <rFont val="宋体"/>
        <charset val="134"/>
      </rPr>
      <t>境内上市外资股</t>
    </r>
  </si>
  <si>
    <t>3.境外上市外资股</t>
  </si>
  <si>
    <r>
      <rPr>
        <sz val="9"/>
        <rFont val="Arial Narrow"/>
        <charset val="134"/>
      </rPr>
      <t>3.</t>
    </r>
    <r>
      <rPr>
        <sz val="9"/>
        <rFont val="宋体"/>
        <charset val="134"/>
      </rPr>
      <t>境外上市外资股</t>
    </r>
  </si>
  <si>
    <t>4.其他</t>
  </si>
  <si>
    <r>
      <rPr>
        <sz val="9"/>
        <rFont val="Arial Narrow"/>
        <charset val="134"/>
      </rPr>
      <t>4.</t>
    </r>
    <r>
      <rPr>
        <sz val="9"/>
        <rFont val="宋体"/>
        <charset val="134"/>
      </rPr>
      <t>其他</t>
    </r>
  </si>
  <si>
    <t>股份合计</t>
  </si>
  <si>
    <t>非上市公司披露表：</t>
  </si>
  <si>
    <t>期初投资金额</t>
  </si>
  <si>
    <t>期初所占比例</t>
  </si>
  <si>
    <t>期末投资金额</t>
  </si>
  <si>
    <t>期末所占比例</t>
  </si>
  <si>
    <t>与报表核对：</t>
  </si>
  <si>
    <t>注：1.如果报告期内有出资或增资行为的，应披露验资的会计师事务所名称和验资报告文号。</t>
  </si>
  <si>
    <r>
      <rPr>
        <sz val="9"/>
        <rFont val="宋体"/>
        <charset val="134"/>
      </rPr>
      <t>注：</t>
    </r>
    <r>
      <rPr>
        <sz val="9"/>
        <rFont val="Arial Narrow"/>
        <charset val="134"/>
      </rPr>
      <t>1.</t>
    </r>
    <r>
      <rPr>
        <sz val="9"/>
        <rFont val="宋体"/>
        <charset val="134"/>
      </rPr>
      <t>如果报告期内有出资或增资行为的，应披露验资的会计师事务所名称和验资报告文号。</t>
    </r>
  </si>
  <si>
    <t>注：2.运行不足三年的股份有限公司，设立前的年份只需说明净资产情况。</t>
  </si>
  <si>
    <r>
      <rPr>
        <sz val="9"/>
        <rFont val="宋体"/>
        <charset val="134"/>
      </rPr>
      <t>注：</t>
    </r>
    <r>
      <rPr>
        <sz val="9"/>
        <rFont val="Arial Narrow"/>
        <charset val="134"/>
      </rPr>
      <t>2.</t>
    </r>
    <r>
      <rPr>
        <sz val="9"/>
        <rFont val="宋体"/>
        <charset val="134"/>
      </rPr>
      <t>运行不足三年的股份有限公司，设立前的年份只需说明净资产情况。</t>
    </r>
  </si>
  <si>
    <t>注：3.有限责任公司整体变更为股份公司应说明公司设立时的验资情况。</t>
  </si>
  <si>
    <r>
      <rPr>
        <sz val="9"/>
        <rFont val="宋体"/>
        <charset val="134"/>
      </rPr>
      <t>注：</t>
    </r>
    <r>
      <rPr>
        <sz val="9"/>
        <rFont val="Arial Narrow"/>
        <charset val="134"/>
      </rPr>
      <t>3.</t>
    </r>
    <r>
      <rPr>
        <sz val="9"/>
        <rFont val="宋体"/>
        <charset val="134"/>
      </rPr>
      <t>有限责任公司整体变更为股份公司应说明公司设立时的验资情况。</t>
    </r>
  </si>
  <si>
    <t>(四十九)库存股相关的如下信息：</t>
  </si>
  <si>
    <t>（1）回购本公司股份的原因及对应的库存股成本确定方法；</t>
  </si>
  <si>
    <r>
      <rPr>
        <b/>
        <sz val="9"/>
        <rFont val="Arial Narrow"/>
        <charset val="134"/>
      </rPr>
      <t>(</t>
    </r>
    <r>
      <rPr>
        <b/>
        <sz val="9"/>
        <rFont val="宋体"/>
        <charset val="134"/>
      </rPr>
      <t>四十九</t>
    </r>
    <r>
      <rPr>
        <b/>
        <sz val="9"/>
        <rFont val="Arial Narrow"/>
        <charset val="134"/>
      </rPr>
      <t>)</t>
    </r>
    <r>
      <rPr>
        <b/>
        <sz val="9"/>
        <rFont val="宋体"/>
        <charset val="134"/>
      </rPr>
      <t>库存股相关的如下信息：</t>
    </r>
  </si>
  <si>
    <r>
      <rPr>
        <sz val="9"/>
        <rFont val="宋体"/>
        <charset val="134"/>
      </rPr>
      <t>（</t>
    </r>
    <r>
      <rPr>
        <sz val="9"/>
        <rFont val="Arial Narrow"/>
        <charset val="134"/>
      </rPr>
      <t>1</t>
    </r>
    <r>
      <rPr>
        <sz val="9"/>
        <rFont val="宋体"/>
        <charset val="134"/>
      </rPr>
      <t>）回购本公司股份的原因及对应的库存股成本确定方法；</t>
    </r>
  </si>
  <si>
    <t>（2）因库存股注销而减少的股本；</t>
  </si>
  <si>
    <r>
      <rPr>
        <sz val="9"/>
        <rFont val="宋体"/>
        <charset val="134"/>
      </rPr>
      <t>（</t>
    </r>
    <r>
      <rPr>
        <sz val="9"/>
        <rFont val="Arial Narrow"/>
        <charset val="134"/>
      </rPr>
      <t>2</t>
    </r>
    <r>
      <rPr>
        <sz val="9"/>
        <rFont val="宋体"/>
        <charset val="134"/>
      </rPr>
      <t>）因库存股注销而减少的股本；</t>
    </r>
  </si>
  <si>
    <t>（3）注销的库存股成本高于对应股本成本的，披露依次冲减的资本公积、盈余公积、未分配利润的金额；注销的库存股成本低于对应股本成本的，披露增加的资本公积金额；</t>
  </si>
  <si>
    <r>
      <rPr>
        <sz val="9"/>
        <rFont val="宋体"/>
        <charset val="134"/>
      </rPr>
      <t>（</t>
    </r>
    <r>
      <rPr>
        <sz val="9"/>
        <rFont val="Arial Narrow"/>
        <charset val="134"/>
      </rPr>
      <t>3</t>
    </r>
    <r>
      <rPr>
        <sz val="9"/>
        <rFont val="宋体"/>
        <charset val="134"/>
      </rPr>
      <t>）注销的库存股成本高于对应股本成本的，披露依次冲减的资本公积、盈余公积、未分配利润的金额；注销的库存股成本低于对应股本成本的，披露增加的资本公积金额；</t>
    </r>
  </si>
  <si>
    <t>（4）库存股转让时，转让收入高于库存股成本的，披露增加的资本公积金额；转让收入低于库存股成本的，披露依次冲减的资本公积、盈余公积、未分配利润的金额；</t>
  </si>
  <si>
    <r>
      <rPr>
        <sz val="9"/>
        <rFont val="宋体"/>
        <charset val="134"/>
      </rPr>
      <t>（</t>
    </r>
    <r>
      <rPr>
        <sz val="9"/>
        <rFont val="Arial Narrow"/>
        <charset val="134"/>
      </rPr>
      <t>4</t>
    </r>
    <r>
      <rPr>
        <sz val="9"/>
        <rFont val="宋体"/>
        <charset val="134"/>
      </rPr>
      <t>）库存股转让时，转让收入高于库存股成本的，披露增加的资本公积金额；转让收入低于库存股成本的，披露依次冲减的资本公积、盈余公积、未分配利润的金额；</t>
    </r>
  </si>
  <si>
    <t>（5）实行股权激励回购本公司股份的，应披露本期回购股份占本公司已发行股份的总比例和累计库存股占已发行股份的总比例。</t>
  </si>
  <si>
    <r>
      <rPr>
        <sz val="9"/>
        <rFont val="宋体"/>
        <charset val="134"/>
      </rPr>
      <t>（</t>
    </r>
    <r>
      <rPr>
        <sz val="9"/>
        <rFont val="Arial Narrow"/>
        <charset val="134"/>
      </rPr>
      <t>5</t>
    </r>
    <r>
      <rPr>
        <sz val="9"/>
        <rFont val="宋体"/>
        <charset val="134"/>
      </rPr>
      <t>）实行股权激励回购本公司股份的，应披露本期回购股份占本公司已发行股份的总比例和累计库存股占已发行股份的总比例。</t>
    </r>
  </si>
  <si>
    <t>（五十）专项储备-批露表</t>
  </si>
  <si>
    <r>
      <rPr>
        <b/>
        <sz val="9"/>
        <rFont val="宋体"/>
        <charset val="134"/>
      </rPr>
      <t>（五十）专项储备</t>
    </r>
    <r>
      <rPr>
        <b/>
        <sz val="9"/>
        <rFont val="Arial Narrow"/>
        <charset val="134"/>
      </rPr>
      <t>-</t>
    </r>
    <r>
      <rPr>
        <b/>
        <sz val="9"/>
        <rFont val="宋体"/>
        <charset val="134"/>
      </rPr>
      <t>批露表</t>
    </r>
  </si>
  <si>
    <r>
      <rPr>
        <sz val="9"/>
        <color theme="0" tint="-0.249977111117893"/>
        <rFont val="宋体"/>
        <charset val="134"/>
      </rPr>
      <t>资本公积</t>
    </r>
    <r>
      <rPr>
        <sz val="9"/>
        <color theme="0" tint="-0.249977111117893"/>
        <rFont val="Arial Narrow"/>
        <charset val="134"/>
      </rPr>
      <t>-</t>
    </r>
    <r>
      <rPr>
        <sz val="9"/>
        <color theme="0" tint="-0.249977111117893"/>
        <rFont val="宋体"/>
        <charset val="134"/>
      </rPr>
      <t>披露表</t>
    </r>
  </si>
  <si>
    <r>
      <rPr>
        <b/>
        <sz val="9"/>
        <rFont val="宋体"/>
        <charset val="134"/>
      </rPr>
      <t>（五十一）资本公积</t>
    </r>
    <r>
      <rPr>
        <b/>
        <sz val="9"/>
        <rFont val="Arial Narrow"/>
        <charset val="134"/>
      </rPr>
      <t>-</t>
    </r>
    <r>
      <rPr>
        <b/>
        <sz val="9"/>
        <rFont val="宋体"/>
        <charset val="134"/>
      </rPr>
      <t>披露表</t>
    </r>
  </si>
  <si>
    <r>
      <rPr>
        <sz val="9"/>
        <rFont val="Arial Narrow"/>
        <charset val="134"/>
      </rPr>
      <t>1</t>
    </r>
    <r>
      <rPr>
        <sz val="9"/>
        <rFont val="宋体"/>
        <charset val="134"/>
      </rPr>
      <t>、股本溢价</t>
    </r>
  </si>
  <si>
    <r>
      <rPr>
        <sz val="9"/>
        <rFont val="Arial Narrow"/>
        <charset val="134"/>
      </rPr>
      <t>2</t>
    </r>
    <r>
      <rPr>
        <sz val="9"/>
        <rFont val="宋体"/>
        <charset val="134"/>
      </rPr>
      <t>、其他资本公积</t>
    </r>
  </si>
  <si>
    <t>注：若用资本公积转增股本、应说明其履行的法律程序及有关决议。</t>
  </si>
  <si>
    <r>
      <rPr>
        <sz val="9"/>
        <color theme="0" tint="-0.249977111117893"/>
        <rFont val="宋体"/>
        <charset val="134"/>
      </rPr>
      <t>盈余公积</t>
    </r>
    <r>
      <rPr>
        <sz val="9"/>
        <color theme="0" tint="-0.249977111117893"/>
        <rFont val="Arial Narrow"/>
        <charset val="134"/>
      </rPr>
      <t>-</t>
    </r>
    <r>
      <rPr>
        <sz val="9"/>
        <color theme="0" tint="-0.249977111117893"/>
        <rFont val="宋体"/>
        <charset val="134"/>
      </rPr>
      <t>披露表</t>
    </r>
  </si>
  <si>
    <r>
      <rPr>
        <b/>
        <sz val="9"/>
        <rFont val="Arial Narrow"/>
        <charset val="134"/>
      </rPr>
      <t>(</t>
    </r>
    <r>
      <rPr>
        <b/>
        <sz val="9"/>
        <rFont val="宋体"/>
        <charset val="134"/>
      </rPr>
      <t>五十二</t>
    </r>
    <r>
      <rPr>
        <b/>
        <sz val="9"/>
        <rFont val="Arial Narrow"/>
        <charset val="134"/>
      </rPr>
      <t>)</t>
    </r>
    <r>
      <rPr>
        <b/>
        <sz val="9"/>
        <rFont val="宋体"/>
        <charset val="134"/>
      </rPr>
      <t>盈余公积</t>
    </r>
    <r>
      <rPr>
        <b/>
        <sz val="9"/>
        <rFont val="Arial Narrow"/>
        <charset val="134"/>
      </rPr>
      <t>-</t>
    </r>
    <r>
      <rPr>
        <b/>
        <sz val="9"/>
        <rFont val="宋体"/>
        <charset val="134"/>
      </rPr>
      <t>披露表</t>
    </r>
  </si>
  <si>
    <t>注：用盈余公积转增股本、弥补亏损、分派股利的，应说明有关决议。</t>
  </si>
  <si>
    <t>（五十三）未分配利润-披露表</t>
  </si>
  <si>
    <r>
      <rPr>
        <sz val="9"/>
        <color theme="0" tint="-0.249977111117893"/>
        <rFont val="宋体"/>
        <charset val="134"/>
      </rPr>
      <t>未分配利润</t>
    </r>
    <r>
      <rPr>
        <sz val="9"/>
        <color theme="0" tint="-0.249977111117893"/>
        <rFont val="Arial Narrow"/>
        <charset val="134"/>
      </rPr>
      <t>-</t>
    </r>
    <r>
      <rPr>
        <sz val="9"/>
        <color theme="0" tint="-0.249977111117893"/>
        <rFont val="宋体"/>
        <charset val="134"/>
      </rPr>
      <t>披露表</t>
    </r>
  </si>
  <si>
    <r>
      <rPr>
        <b/>
        <sz val="9"/>
        <rFont val="宋体"/>
        <charset val="134"/>
      </rPr>
      <t>（五十三）未分配利润</t>
    </r>
    <r>
      <rPr>
        <b/>
        <sz val="9"/>
        <rFont val="Arial Narrow"/>
        <charset val="134"/>
      </rPr>
      <t>-</t>
    </r>
    <r>
      <rPr>
        <b/>
        <sz val="9"/>
        <rFont val="宋体"/>
        <charset val="134"/>
      </rPr>
      <t>披露表</t>
    </r>
  </si>
  <si>
    <t>一、上期期末账面余额</t>
  </si>
  <si>
    <t xml:space="preserve">    前期会计差错</t>
  </si>
  <si>
    <r>
      <rPr>
        <sz val="9"/>
        <rFont val="Arial Narrow"/>
        <charset val="134"/>
      </rPr>
      <t xml:space="preserve">    </t>
    </r>
    <r>
      <rPr>
        <sz val="9"/>
        <rFont val="宋体"/>
        <charset val="134"/>
      </rPr>
      <t>前期会计差错</t>
    </r>
  </si>
  <si>
    <t xml:space="preserve">    其他 </t>
  </si>
  <si>
    <r>
      <rPr>
        <sz val="9"/>
        <rFont val="Arial Narrow"/>
        <charset val="134"/>
      </rPr>
      <t xml:space="preserve">    </t>
    </r>
    <r>
      <rPr>
        <sz val="9"/>
        <rFont val="宋体"/>
        <charset val="134"/>
      </rPr>
      <t>其他</t>
    </r>
    <r>
      <rPr>
        <sz val="9"/>
        <rFont val="Arial Narrow"/>
        <charset val="134"/>
      </rPr>
      <t xml:space="preserve"> </t>
    </r>
  </si>
  <si>
    <t>二、本期期初账面余额</t>
  </si>
  <si>
    <t>三、本期增加</t>
  </si>
  <si>
    <t xml:space="preserve">    1、本期净利润</t>
  </si>
  <si>
    <r>
      <rPr>
        <sz val="9"/>
        <rFont val="Arial Narrow"/>
        <charset val="134"/>
      </rPr>
      <t xml:space="preserve">    1</t>
    </r>
    <r>
      <rPr>
        <sz val="9"/>
        <rFont val="宋体"/>
        <charset val="134"/>
      </rPr>
      <t>、本期净利润</t>
    </r>
  </si>
  <si>
    <r>
      <rPr>
        <sz val="9"/>
        <rFont val="Arial Narrow"/>
        <charset val="134"/>
      </rPr>
      <t xml:space="preserve">    2</t>
    </r>
    <r>
      <rPr>
        <sz val="9"/>
        <rFont val="宋体"/>
        <charset val="134"/>
      </rPr>
      <t>、其他</t>
    </r>
  </si>
  <si>
    <t>四、本期减少</t>
  </si>
  <si>
    <t xml:space="preserve">    1、提取法定盈余公积</t>
  </si>
  <si>
    <r>
      <rPr>
        <sz val="9"/>
        <rFont val="Arial Narrow"/>
        <charset val="134"/>
      </rPr>
      <t xml:space="preserve">    1</t>
    </r>
    <r>
      <rPr>
        <sz val="9"/>
        <rFont val="宋体"/>
        <charset val="134"/>
      </rPr>
      <t>、提取法定盈余公积</t>
    </r>
  </si>
  <si>
    <t xml:space="preserve">    2、提取任意盈余公积</t>
  </si>
  <si>
    <r>
      <rPr>
        <sz val="9"/>
        <rFont val="Arial Narrow"/>
        <charset val="134"/>
      </rPr>
      <t xml:space="preserve">    2</t>
    </r>
    <r>
      <rPr>
        <sz val="9"/>
        <rFont val="宋体"/>
        <charset val="134"/>
      </rPr>
      <t>、提取任意盈余公积</t>
    </r>
  </si>
  <si>
    <t xml:space="preserve">    3、提取储备基金</t>
  </si>
  <si>
    <r>
      <rPr>
        <sz val="9"/>
        <rFont val="Arial Narrow"/>
        <charset val="134"/>
      </rPr>
      <t xml:space="preserve">    3</t>
    </r>
    <r>
      <rPr>
        <sz val="9"/>
        <rFont val="宋体"/>
        <charset val="134"/>
      </rPr>
      <t>、提取储备基金</t>
    </r>
  </si>
  <si>
    <t xml:space="preserve">    4、提取企业发展基金</t>
  </si>
  <si>
    <r>
      <rPr>
        <sz val="9"/>
        <rFont val="Arial Narrow"/>
        <charset val="134"/>
      </rPr>
      <t xml:space="preserve">    4</t>
    </r>
    <r>
      <rPr>
        <sz val="9"/>
        <rFont val="宋体"/>
        <charset val="134"/>
      </rPr>
      <t>、提取企业发展基金</t>
    </r>
  </si>
  <si>
    <t xml:space="preserve">    5、分配利润</t>
  </si>
  <si>
    <r>
      <rPr>
        <sz val="9"/>
        <rFont val="Arial Narrow"/>
        <charset val="134"/>
      </rPr>
      <t xml:space="preserve">    5</t>
    </r>
    <r>
      <rPr>
        <sz val="9"/>
        <rFont val="宋体"/>
        <charset val="134"/>
      </rPr>
      <t>、分配利润</t>
    </r>
  </si>
  <si>
    <t xml:space="preserve">    6、其他</t>
  </si>
  <si>
    <r>
      <rPr>
        <sz val="9"/>
        <rFont val="Arial Narrow"/>
        <charset val="134"/>
      </rPr>
      <t xml:space="preserve">    6</t>
    </r>
    <r>
      <rPr>
        <sz val="9"/>
        <rFont val="宋体"/>
        <charset val="134"/>
      </rPr>
      <t>、其他</t>
    </r>
  </si>
  <si>
    <t>五、期末账面余额</t>
  </si>
  <si>
    <t>调整期初未分配利润明细：</t>
  </si>
  <si>
    <t>（1）由于《企业会计准则》及其相关新规定进行追溯调整，影响期初未分配利润       元。</t>
  </si>
  <si>
    <r>
      <rPr>
        <sz val="9"/>
        <rFont val="宋体"/>
        <charset val="134"/>
      </rPr>
      <t>（</t>
    </r>
    <r>
      <rPr>
        <sz val="9"/>
        <rFont val="Arial Narrow"/>
        <charset val="134"/>
      </rPr>
      <t>1</t>
    </r>
    <r>
      <rPr>
        <sz val="9"/>
        <rFont val="宋体"/>
        <charset val="134"/>
      </rPr>
      <t>）由于《企业会计准则》及其相关新规定进行追溯调整，影响期初未分配利润</t>
    </r>
    <r>
      <rPr>
        <sz val="9"/>
        <rFont val="Arial Narrow"/>
        <charset val="134"/>
      </rPr>
      <t xml:space="preserve">       </t>
    </r>
    <r>
      <rPr>
        <sz val="9"/>
        <rFont val="宋体"/>
        <charset val="134"/>
      </rPr>
      <t>元。</t>
    </r>
  </si>
  <si>
    <t>（2）由于会计政策变更，影响期初未分配利润        元。</t>
  </si>
  <si>
    <r>
      <rPr>
        <sz val="9"/>
        <rFont val="宋体"/>
        <charset val="134"/>
      </rPr>
      <t>（</t>
    </r>
    <r>
      <rPr>
        <sz val="9"/>
        <rFont val="Arial Narrow"/>
        <charset val="134"/>
      </rPr>
      <t>2</t>
    </r>
    <r>
      <rPr>
        <sz val="9"/>
        <rFont val="宋体"/>
        <charset val="134"/>
      </rPr>
      <t>）由于会计政策变更，影响期初未分配利润</t>
    </r>
    <r>
      <rPr>
        <sz val="9"/>
        <rFont val="Arial Narrow"/>
        <charset val="134"/>
      </rPr>
      <t xml:space="preserve">        </t>
    </r>
    <r>
      <rPr>
        <sz val="9"/>
        <rFont val="宋体"/>
        <charset val="134"/>
      </rPr>
      <t>元。</t>
    </r>
  </si>
  <si>
    <t>（3）由于重大会计差错更正，影响期初未分配利润     元。</t>
  </si>
  <si>
    <r>
      <rPr>
        <sz val="9"/>
        <rFont val="宋体"/>
        <charset val="134"/>
      </rPr>
      <t>（</t>
    </r>
    <r>
      <rPr>
        <sz val="9"/>
        <rFont val="Arial Narrow"/>
        <charset val="134"/>
      </rPr>
      <t>3</t>
    </r>
    <r>
      <rPr>
        <sz val="9"/>
        <rFont val="宋体"/>
        <charset val="134"/>
      </rPr>
      <t>）由于重大会计差错更正，影响期初未分配利润</t>
    </r>
    <r>
      <rPr>
        <sz val="9"/>
        <rFont val="Arial Narrow"/>
        <charset val="134"/>
      </rPr>
      <t xml:space="preserve">     </t>
    </r>
    <r>
      <rPr>
        <sz val="9"/>
        <rFont val="宋体"/>
        <charset val="134"/>
      </rPr>
      <t>元。</t>
    </r>
  </si>
  <si>
    <t>（4）由于同一控制导致的合并范围变更，影响期初未分配利润      元。</t>
  </si>
  <si>
    <r>
      <rPr>
        <sz val="9"/>
        <rFont val="宋体"/>
        <charset val="134"/>
      </rPr>
      <t>（</t>
    </r>
    <r>
      <rPr>
        <sz val="9"/>
        <rFont val="Arial Narrow"/>
        <charset val="134"/>
      </rPr>
      <t>4</t>
    </r>
    <r>
      <rPr>
        <sz val="9"/>
        <rFont val="宋体"/>
        <charset val="134"/>
      </rPr>
      <t>）由于同一控制导致的合并范围变更，影响期初未分配利润</t>
    </r>
    <r>
      <rPr>
        <sz val="9"/>
        <rFont val="Arial Narrow"/>
        <charset val="134"/>
      </rPr>
      <t xml:space="preserve">      </t>
    </r>
    <r>
      <rPr>
        <sz val="9"/>
        <rFont val="宋体"/>
        <charset val="134"/>
      </rPr>
      <t>元。</t>
    </r>
  </si>
  <si>
    <t>（5）其他调整合计影响期初未分配利润      元。</t>
  </si>
  <si>
    <r>
      <rPr>
        <sz val="9"/>
        <rFont val="宋体"/>
        <charset val="134"/>
      </rPr>
      <t>（</t>
    </r>
    <r>
      <rPr>
        <sz val="9"/>
        <rFont val="Arial Narrow"/>
        <charset val="134"/>
      </rPr>
      <t>5</t>
    </r>
    <r>
      <rPr>
        <sz val="9"/>
        <rFont val="宋体"/>
        <charset val="134"/>
      </rPr>
      <t>）其他调整合计影响期初未分配利润</t>
    </r>
    <r>
      <rPr>
        <sz val="9"/>
        <rFont val="Arial Narrow"/>
        <charset val="134"/>
      </rPr>
      <t xml:space="preserve">      </t>
    </r>
    <r>
      <rPr>
        <sz val="9"/>
        <rFont val="宋体"/>
        <charset val="134"/>
      </rPr>
      <t>元。</t>
    </r>
  </si>
  <si>
    <t>注：1.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</si>
  <si>
    <r>
      <rPr>
        <sz val="9"/>
        <rFont val="宋体"/>
        <charset val="134"/>
      </rPr>
      <t>注：</t>
    </r>
    <r>
      <rPr>
        <sz val="9"/>
        <rFont val="Arial Narrow"/>
        <charset val="134"/>
      </rPr>
      <t>1.</t>
    </r>
    <r>
      <rPr>
        <sz val="9"/>
        <rFont val="宋体"/>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</si>
  <si>
    <r>
      <rPr>
        <sz val="9"/>
        <color theme="0" tint="-0.249977111117893"/>
        <rFont val="宋体"/>
        <charset val="134"/>
      </rPr>
      <t>营业收入</t>
    </r>
    <r>
      <rPr>
        <sz val="9"/>
        <color theme="0" tint="-0.249977111117893"/>
        <rFont val="Arial Narrow"/>
        <charset val="134"/>
      </rPr>
      <t>-</t>
    </r>
    <r>
      <rPr>
        <sz val="9"/>
        <color theme="0" tint="-0.249977111117893"/>
        <rFont val="宋体"/>
        <charset val="134"/>
      </rPr>
      <t>披露表</t>
    </r>
  </si>
  <si>
    <r>
      <rPr>
        <b/>
        <sz val="9"/>
        <rFont val="宋体"/>
        <charset val="134"/>
      </rPr>
      <t>（五十四）营业收入</t>
    </r>
    <r>
      <rPr>
        <b/>
        <sz val="9"/>
        <rFont val="Arial Narrow"/>
        <charset val="134"/>
      </rPr>
      <t>-</t>
    </r>
    <r>
      <rPr>
        <b/>
        <sz val="9"/>
        <rFont val="宋体"/>
        <charset val="134"/>
      </rPr>
      <t>披露表</t>
    </r>
  </si>
  <si>
    <t>(上期请点击连接填写)</t>
  </si>
  <si>
    <r>
      <rPr>
        <sz val="9"/>
        <rFont val="宋体"/>
        <charset val="134"/>
      </rPr>
      <t>项</t>
    </r>
    <r>
      <rPr>
        <sz val="9"/>
        <rFont val="Arial Narrow"/>
        <charset val="134"/>
      </rPr>
      <t xml:space="preserve"> </t>
    </r>
    <r>
      <rPr>
        <sz val="9"/>
        <rFont val="宋体"/>
        <charset val="134"/>
      </rPr>
      <t>目</t>
    </r>
  </si>
  <si>
    <t>收入本期实际数</t>
  </si>
  <si>
    <t>收入上期实际数</t>
  </si>
  <si>
    <t>成本本期实际数</t>
  </si>
  <si>
    <t>成本上期实际数</t>
  </si>
  <si>
    <t>（2）主营业务（类别）</t>
  </si>
  <si>
    <r>
      <rPr>
        <sz val="9"/>
        <rFont val="宋体"/>
        <charset val="134"/>
      </rPr>
      <t>（</t>
    </r>
    <r>
      <rPr>
        <sz val="9"/>
        <rFont val="Arial Narrow"/>
        <charset val="134"/>
      </rPr>
      <t>2</t>
    </r>
    <r>
      <rPr>
        <sz val="9"/>
        <rFont val="宋体"/>
        <charset val="134"/>
      </rPr>
      <t>）主营业务（类别）</t>
    </r>
  </si>
  <si>
    <t>主要业务类别/产品类别</t>
  </si>
  <si>
    <r>
      <rPr>
        <sz val="9"/>
        <rFont val="宋体"/>
        <charset val="134"/>
      </rPr>
      <t>主要业务类别</t>
    </r>
    <r>
      <rPr>
        <sz val="9"/>
        <rFont val="Arial Narrow"/>
        <charset val="134"/>
      </rPr>
      <t>/</t>
    </r>
    <r>
      <rPr>
        <sz val="9"/>
        <rFont val="宋体"/>
        <charset val="134"/>
      </rPr>
      <t>产品类别</t>
    </r>
  </si>
  <si>
    <t>主营业务成本</t>
  </si>
  <si>
    <t>主营业务利润</t>
  </si>
  <si>
    <r>
      <rPr>
        <sz val="9"/>
        <rFont val="宋体"/>
        <charset val="134"/>
      </rPr>
      <t>类别</t>
    </r>
    <r>
      <rPr>
        <sz val="9"/>
        <rFont val="Arial Narrow"/>
        <charset val="134"/>
      </rPr>
      <t>1--</t>
    </r>
  </si>
  <si>
    <r>
      <rPr>
        <sz val="9"/>
        <rFont val="宋体"/>
        <charset val="134"/>
      </rPr>
      <t>类别</t>
    </r>
    <r>
      <rPr>
        <sz val="9"/>
        <rFont val="Arial Narrow"/>
        <charset val="134"/>
      </rPr>
      <t>2--</t>
    </r>
  </si>
  <si>
    <r>
      <rPr>
        <sz val="9"/>
        <rFont val="宋体"/>
        <charset val="134"/>
      </rPr>
      <t>类别</t>
    </r>
    <r>
      <rPr>
        <sz val="9"/>
        <rFont val="Arial Narrow"/>
        <charset val="134"/>
      </rPr>
      <t>3--</t>
    </r>
  </si>
  <si>
    <r>
      <rPr>
        <sz val="9"/>
        <rFont val="宋体"/>
        <charset val="134"/>
      </rPr>
      <t>类别</t>
    </r>
    <r>
      <rPr>
        <sz val="9"/>
        <rFont val="Arial Narrow"/>
        <charset val="134"/>
      </rPr>
      <t>4-</t>
    </r>
  </si>
  <si>
    <r>
      <rPr>
        <sz val="9"/>
        <rFont val="宋体"/>
        <charset val="134"/>
      </rPr>
      <t>类别</t>
    </r>
    <r>
      <rPr>
        <sz val="9"/>
        <rFont val="Arial Narrow"/>
        <charset val="134"/>
      </rPr>
      <t>5-</t>
    </r>
  </si>
  <si>
    <r>
      <rPr>
        <sz val="9"/>
        <rFont val="宋体"/>
        <charset val="134"/>
      </rPr>
      <t>类别</t>
    </r>
    <r>
      <rPr>
        <sz val="9"/>
        <rFont val="Arial Narrow"/>
        <charset val="134"/>
      </rPr>
      <t>6--</t>
    </r>
  </si>
  <si>
    <r>
      <rPr>
        <sz val="9"/>
        <rFont val="宋体"/>
        <charset val="134"/>
      </rPr>
      <t>类别</t>
    </r>
    <r>
      <rPr>
        <sz val="9"/>
        <rFont val="Arial Narrow"/>
        <charset val="134"/>
      </rPr>
      <t>7-</t>
    </r>
  </si>
  <si>
    <r>
      <rPr>
        <sz val="9"/>
        <rFont val="宋体"/>
        <charset val="134"/>
      </rPr>
      <t>类别</t>
    </r>
    <r>
      <rPr>
        <sz val="9"/>
        <rFont val="Arial Narrow"/>
        <charset val="134"/>
      </rPr>
      <t>8--</t>
    </r>
  </si>
  <si>
    <r>
      <rPr>
        <sz val="9"/>
        <rFont val="宋体"/>
        <charset val="134"/>
      </rPr>
      <t>类别</t>
    </r>
    <r>
      <rPr>
        <sz val="9"/>
        <rFont val="Arial Narrow"/>
        <charset val="134"/>
      </rPr>
      <t>9--</t>
    </r>
  </si>
  <si>
    <r>
      <rPr>
        <sz val="9"/>
        <rFont val="宋体"/>
        <charset val="134"/>
      </rPr>
      <t>类别</t>
    </r>
    <r>
      <rPr>
        <sz val="9"/>
        <rFont val="Arial Narrow"/>
        <charset val="134"/>
      </rPr>
      <t>10--</t>
    </r>
  </si>
  <si>
    <r>
      <rPr>
        <sz val="9"/>
        <rFont val="宋体"/>
        <charset val="134"/>
      </rPr>
      <t>类别</t>
    </r>
    <r>
      <rPr>
        <sz val="9"/>
        <rFont val="Arial Narrow"/>
        <charset val="134"/>
      </rPr>
      <t>11--</t>
    </r>
  </si>
  <si>
    <r>
      <rPr>
        <sz val="9"/>
        <rFont val="宋体"/>
        <charset val="134"/>
      </rPr>
      <t>类别</t>
    </r>
    <r>
      <rPr>
        <sz val="9"/>
        <rFont val="Arial Narrow"/>
        <charset val="134"/>
      </rPr>
      <t>12--</t>
    </r>
  </si>
  <si>
    <r>
      <rPr>
        <sz val="9"/>
        <rFont val="宋体"/>
        <charset val="134"/>
      </rPr>
      <t>类别</t>
    </r>
    <r>
      <rPr>
        <sz val="9"/>
        <rFont val="Arial Narrow"/>
        <charset val="134"/>
      </rPr>
      <t>13--</t>
    </r>
  </si>
  <si>
    <r>
      <rPr>
        <sz val="9"/>
        <rFont val="宋体"/>
        <charset val="134"/>
      </rPr>
      <t>类别</t>
    </r>
    <r>
      <rPr>
        <sz val="9"/>
        <rFont val="Arial Narrow"/>
        <charset val="134"/>
      </rPr>
      <t>14--</t>
    </r>
  </si>
  <si>
    <t>表间核对：</t>
  </si>
  <si>
    <t>(3)主营业务（分产品）</t>
  </si>
  <si>
    <r>
      <rPr>
        <sz val="9"/>
        <rFont val="Arial Narrow"/>
        <charset val="134"/>
      </rPr>
      <t>(3)</t>
    </r>
    <r>
      <rPr>
        <sz val="9"/>
        <rFont val="宋体"/>
        <charset val="134"/>
      </rPr>
      <t>主营业务（分产品）</t>
    </r>
  </si>
  <si>
    <t>产品名称</t>
  </si>
  <si>
    <r>
      <rPr>
        <sz val="9"/>
        <rFont val="宋体"/>
        <charset val="134"/>
      </rPr>
      <t>产品名称</t>
    </r>
    <r>
      <rPr>
        <sz val="9"/>
        <rFont val="Arial Narrow"/>
        <charset val="134"/>
      </rPr>
      <t>11--</t>
    </r>
  </si>
  <si>
    <r>
      <rPr>
        <sz val="9"/>
        <rFont val="宋体"/>
        <charset val="134"/>
      </rPr>
      <t>产品名称</t>
    </r>
    <r>
      <rPr>
        <sz val="9"/>
        <rFont val="Arial Narrow"/>
        <charset val="134"/>
      </rPr>
      <t>12--</t>
    </r>
  </si>
  <si>
    <r>
      <rPr>
        <sz val="9"/>
        <rFont val="宋体"/>
        <charset val="134"/>
      </rPr>
      <t>产品名称</t>
    </r>
    <r>
      <rPr>
        <sz val="9"/>
        <rFont val="Arial Narrow"/>
        <charset val="134"/>
      </rPr>
      <t>13--</t>
    </r>
  </si>
  <si>
    <t>(4)主营业务（按地区划分）</t>
  </si>
  <si>
    <r>
      <rPr>
        <sz val="9"/>
        <rFont val="Arial Narrow"/>
        <charset val="134"/>
      </rPr>
      <t>(4)</t>
    </r>
    <r>
      <rPr>
        <sz val="9"/>
        <rFont val="宋体"/>
        <charset val="134"/>
      </rPr>
      <t>主营业务（按地区划分）</t>
    </r>
  </si>
  <si>
    <t>主要地区</t>
  </si>
  <si>
    <r>
      <rPr>
        <sz val="9"/>
        <rFont val="宋体"/>
        <charset val="134"/>
      </rPr>
      <t>地区</t>
    </r>
    <r>
      <rPr>
        <sz val="9"/>
        <rFont val="Arial Narrow"/>
        <charset val="134"/>
      </rPr>
      <t>1--</t>
    </r>
    <r>
      <rPr>
        <sz val="9"/>
        <rFont val="宋体"/>
        <charset val="134"/>
      </rPr>
      <t>国内销售</t>
    </r>
  </si>
  <si>
    <r>
      <rPr>
        <sz val="9"/>
        <rFont val="宋体"/>
        <charset val="134"/>
      </rPr>
      <t>地区</t>
    </r>
    <r>
      <rPr>
        <sz val="9"/>
        <rFont val="Arial Narrow"/>
        <charset val="134"/>
      </rPr>
      <t>2--</t>
    </r>
    <r>
      <rPr>
        <sz val="9"/>
        <rFont val="宋体"/>
        <charset val="134"/>
      </rPr>
      <t>国外销售</t>
    </r>
  </si>
  <si>
    <r>
      <rPr>
        <sz val="9"/>
        <rFont val="宋体"/>
        <charset val="134"/>
      </rPr>
      <t>地区</t>
    </r>
    <r>
      <rPr>
        <sz val="9"/>
        <rFont val="Arial Narrow"/>
        <charset val="134"/>
      </rPr>
      <t>3--</t>
    </r>
    <r>
      <rPr>
        <sz val="9"/>
        <rFont val="宋体"/>
        <charset val="134"/>
      </rPr>
      <t>港澳台销售</t>
    </r>
  </si>
  <si>
    <r>
      <rPr>
        <sz val="9"/>
        <rFont val="宋体"/>
        <charset val="134"/>
      </rPr>
      <t>地区</t>
    </r>
    <r>
      <rPr>
        <sz val="9"/>
        <rFont val="Arial Narrow"/>
        <charset val="134"/>
      </rPr>
      <t>6--</t>
    </r>
  </si>
  <si>
    <r>
      <rPr>
        <sz val="9"/>
        <rFont val="宋体"/>
        <charset val="134"/>
      </rPr>
      <t>地区</t>
    </r>
    <r>
      <rPr>
        <sz val="9"/>
        <rFont val="Arial Narrow"/>
        <charset val="134"/>
      </rPr>
      <t>7--</t>
    </r>
  </si>
  <si>
    <r>
      <rPr>
        <sz val="9"/>
        <rFont val="宋体"/>
        <charset val="134"/>
      </rPr>
      <t>地区</t>
    </r>
    <r>
      <rPr>
        <sz val="9"/>
        <rFont val="Arial Narrow"/>
        <charset val="134"/>
      </rPr>
      <t>8--</t>
    </r>
  </si>
  <si>
    <r>
      <rPr>
        <sz val="9"/>
        <rFont val="宋体"/>
        <charset val="134"/>
      </rPr>
      <t>地区</t>
    </r>
    <r>
      <rPr>
        <sz val="9"/>
        <rFont val="Arial Narrow"/>
        <charset val="134"/>
      </rPr>
      <t>9--</t>
    </r>
  </si>
  <si>
    <r>
      <rPr>
        <sz val="9"/>
        <rFont val="宋体"/>
        <charset val="134"/>
      </rPr>
      <t>地区</t>
    </r>
    <r>
      <rPr>
        <sz val="9"/>
        <rFont val="Arial Narrow"/>
        <charset val="134"/>
      </rPr>
      <t>10--</t>
    </r>
  </si>
  <si>
    <r>
      <rPr>
        <sz val="9"/>
        <rFont val="宋体"/>
        <charset val="134"/>
      </rPr>
      <t>地区</t>
    </r>
    <r>
      <rPr>
        <sz val="9"/>
        <rFont val="Arial Narrow"/>
        <charset val="134"/>
      </rPr>
      <t>11--</t>
    </r>
  </si>
  <si>
    <r>
      <rPr>
        <sz val="9"/>
        <rFont val="宋体"/>
        <charset val="134"/>
      </rPr>
      <t>地区</t>
    </r>
    <r>
      <rPr>
        <sz val="9"/>
        <rFont val="Arial Narrow"/>
        <charset val="134"/>
      </rPr>
      <t>12--</t>
    </r>
  </si>
  <si>
    <r>
      <rPr>
        <sz val="9"/>
        <rFont val="宋体"/>
        <charset val="134"/>
      </rPr>
      <t>地区</t>
    </r>
    <r>
      <rPr>
        <sz val="9"/>
        <rFont val="Arial Narrow"/>
        <charset val="134"/>
      </rPr>
      <t>13--</t>
    </r>
  </si>
  <si>
    <t>（5）公司前五名客户的销售收入总额元，占公司全部销售收入的比例%。</t>
  </si>
  <si>
    <r>
      <rPr>
        <sz val="9"/>
        <rFont val="宋体"/>
        <charset val="134"/>
      </rPr>
      <t>（</t>
    </r>
    <r>
      <rPr>
        <sz val="9"/>
        <rFont val="Arial Narrow"/>
        <charset val="134"/>
      </rPr>
      <t>5</t>
    </r>
    <r>
      <rPr>
        <sz val="9"/>
        <rFont val="宋体"/>
        <charset val="134"/>
      </rPr>
      <t>）公司前五名客户的销售收入总额元，占公司全部销售收入的比例</t>
    </r>
    <r>
      <rPr>
        <sz val="9"/>
        <rFont val="Arial Narrow"/>
        <charset val="134"/>
      </rPr>
      <t>%</t>
    </r>
    <r>
      <rPr>
        <sz val="9"/>
        <rFont val="宋体"/>
        <charset val="134"/>
      </rPr>
      <t>。</t>
    </r>
  </si>
  <si>
    <t>销售金额</t>
  </si>
  <si>
    <t>全部销售收入的比例</t>
  </si>
  <si>
    <t>（6）营业收入变动幅度达30%（含30%）以上，或占报告期利润总额10%（含10%）以上的原因为。</t>
  </si>
  <si>
    <r>
      <rPr>
        <sz val="9"/>
        <rFont val="宋体"/>
        <charset val="134"/>
      </rPr>
      <t>（</t>
    </r>
    <r>
      <rPr>
        <sz val="9"/>
        <rFont val="Arial Narrow"/>
        <charset val="134"/>
      </rPr>
      <t>6</t>
    </r>
    <r>
      <rPr>
        <sz val="9"/>
        <rFont val="宋体"/>
        <charset val="134"/>
      </rPr>
      <t>）营业收入变动幅度达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</si>
  <si>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t>（五十五） 合同项目收入-批露表</t>
  </si>
  <si>
    <r>
      <rPr>
        <b/>
        <sz val="9"/>
        <rFont val="宋体"/>
        <charset val="134"/>
      </rPr>
      <t>（五十五）</t>
    </r>
    <r>
      <rPr>
        <b/>
        <sz val="9"/>
        <rFont val="Arial Narrow"/>
        <charset val="134"/>
      </rPr>
      <t xml:space="preserve"> </t>
    </r>
    <r>
      <rPr>
        <b/>
        <sz val="9"/>
        <rFont val="宋体"/>
        <charset val="134"/>
      </rPr>
      <t>合同项目收入</t>
    </r>
    <r>
      <rPr>
        <b/>
        <sz val="9"/>
        <rFont val="Arial Narrow"/>
        <charset val="134"/>
      </rPr>
      <t>-</t>
    </r>
    <r>
      <rPr>
        <b/>
        <sz val="9"/>
        <rFont val="宋体"/>
        <charset val="134"/>
      </rPr>
      <t>批露表</t>
    </r>
  </si>
  <si>
    <t>累计已发生</t>
  </si>
  <si>
    <t>已办理结算的</t>
  </si>
  <si>
    <t>（亏损以“-”号表示）</t>
  </si>
  <si>
    <t>价款金额</t>
  </si>
  <si>
    <t>固定造价合同</t>
  </si>
  <si>
    <t>成本加成合同</t>
  </si>
  <si>
    <t>注：披露单项合同本期确认收入占营业收入10%以上的项目。</t>
  </si>
  <si>
    <r>
      <rPr>
        <sz val="9"/>
        <rFont val="宋体"/>
        <charset val="134"/>
      </rPr>
      <t>注：披露单项合同本期确认收入占营业收入</t>
    </r>
    <r>
      <rPr>
        <sz val="9"/>
        <rFont val="Arial Narrow"/>
        <charset val="134"/>
      </rPr>
      <t>10%</t>
    </r>
    <r>
      <rPr>
        <sz val="9"/>
        <rFont val="宋体"/>
        <charset val="134"/>
      </rPr>
      <t>以上的项目。</t>
    </r>
  </si>
  <si>
    <r>
      <rPr>
        <sz val="9"/>
        <color theme="0" tint="-0.249977111117893"/>
        <rFont val="宋体"/>
        <charset val="134"/>
      </rPr>
      <t>营业税金及附加</t>
    </r>
    <r>
      <rPr>
        <sz val="9"/>
        <color theme="0" tint="-0.249977111117893"/>
        <rFont val="Arial Narrow"/>
        <charset val="134"/>
      </rPr>
      <t>-</t>
    </r>
    <r>
      <rPr>
        <sz val="9"/>
        <color theme="0" tint="-0.249977111117893"/>
        <rFont val="宋体"/>
        <charset val="134"/>
      </rPr>
      <t>披露表</t>
    </r>
  </si>
  <si>
    <r>
      <rPr>
        <b/>
        <sz val="9"/>
        <rFont val="Arial Narrow"/>
        <charset val="134"/>
      </rPr>
      <t>(</t>
    </r>
    <r>
      <rPr>
        <b/>
        <sz val="9"/>
        <rFont val="宋体"/>
        <charset val="134"/>
      </rPr>
      <t>五十六</t>
    </r>
    <r>
      <rPr>
        <b/>
        <sz val="9"/>
        <rFont val="Arial Narrow"/>
        <charset val="134"/>
      </rPr>
      <t>)</t>
    </r>
    <r>
      <rPr>
        <b/>
        <sz val="9"/>
        <rFont val="宋体"/>
        <charset val="134"/>
      </rPr>
      <t>营业税金及附加</t>
    </r>
    <r>
      <rPr>
        <b/>
        <sz val="9"/>
        <rFont val="Arial Narrow"/>
        <charset val="134"/>
      </rPr>
      <t>-</t>
    </r>
    <r>
      <rPr>
        <b/>
        <sz val="9"/>
        <rFont val="宋体"/>
        <charset val="134"/>
      </rPr>
      <t>披露表</t>
    </r>
  </si>
  <si>
    <t>（2）营业税金及附加变动幅度达30%（含30%）以上，或占报告期利润总额10%（含10%）以上的原因为。</t>
  </si>
  <si>
    <r>
      <rPr>
        <sz val="9"/>
        <rFont val="宋体"/>
        <charset val="134"/>
      </rPr>
      <t>（</t>
    </r>
    <r>
      <rPr>
        <sz val="9"/>
        <rFont val="Arial Narrow"/>
        <charset val="134"/>
      </rPr>
      <t>2</t>
    </r>
    <r>
      <rPr>
        <sz val="9"/>
        <rFont val="宋体"/>
        <charset val="134"/>
      </rPr>
      <t>）营业税金及附加变动幅度达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</si>
  <si>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t>（五十七）公允价值变动损益-披露表</t>
  </si>
  <si>
    <r>
      <rPr>
        <sz val="9"/>
        <color theme="0" tint="-0.249977111117893"/>
        <rFont val="宋体"/>
        <charset val="134"/>
      </rPr>
      <t>公允价值变动损益</t>
    </r>
    <r>
      <rPr>
        <sz val="9"/>
        <color theme="0" tint="-0.249977111117893"/>
        <rFont val="Arial Narrow"/>
        <charset val="134"/>
      </rPr>
      <t>-</t>
    </r>
    <r>
      <rPr>
        <sz val="9"/>
        <color theme="0" tint="-0.249977111117893"/>
        <rFont val="宋体"/>
        <charset val="134"/>
      </rPr>
      <t>披露表</t>
    </r>
  </si>
  <si>
    <r>
      <rPr>
        <b/>
        <sz val="9"/>
        <rFont val="宋体"/>
        <charset val="134"/>
      </rPr>
      <t>（五十七）公允价值变动损益</t>
    </r>
    <r>
      <rPr>
        <b/>
        <sz val="9"/>
        <rFont val="Arial Narrow"/>
        <charset val="134"/>
      </rPr>
      <t>-</t>
    </r>
    <r>
      <rPr>
        <b/>
        <sz val="9"/>
        <rFont val="宋体"/>
        <charset val="134"/>
      </rPr>
      <t>披露表</t>
    </r>
  </si>
  <si>
    <t xml:space="preserve"> 其中：衍生金融工具产生的公允价值变动收益</t>
  </si>
  <si>
    <r>
      <rPr>
        <sz val="9"/>
        <rFont val="Arial Narrow"/>
        <charset val="134"/>
      </rPr>
      <t xml:space="preserve"> </t>
    </r>
    <r>
      <rPr>
        <sz val="9"/>
        <rFont val="宋体"/>
        <charset val="134"/>
      </rPr>
      <t>其中：衍生金融工具产生的公允价值变动收益</t>
    </r>
  </si>
  <si>
    <t>按公允价值计量的投资性房地产</t>
  </si>
  <si>
    <t>（2）公允价值变动收益变动幅度达30%（含30%）以上，或占报告期利润总额10%（含10%）以上的原因为。</t>
  </si>
  <si>
    <r>
      <rPr>
        <sz val="9"/>
        <rFont val="宋体"/>
        <charset val="134"/>
      </rPr>
      <t>（</t>
    </r>
    <r>
      <rPr>
        <sz val="9"/>
        <rFont val="Arial Narrow"/>
        <charset val="134"/>
      </rPr>
      <t>2</t>
    </r>
    <r>
      <rPr>
        <sz val="9"/>
        <rFont val="宋体"/>
        <charset val="134"/>
      </rPr>
      <t>）公允价值变动收益变动幅度达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</si>
  <si>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投资收益</t>
    </r>
    <r>
      <rPr>
        <sz val="9"/>
        <color theme="0" tint="-0.249977111117893"/>
        <rFont val="Arial Narrow"/>
        <charset val="134"/>
      </rPr>
      <t>-</t>
    </r>
    <r>
      <rPr>
        <sz val="9"/>
        <color theme="0" tint="-0.249977111117893"/>
        <rFont val="宋体"/>
        <charset val="134"/>
      </rPr>
      <t>披露表</t>
    </r>
  </si>
  <si>
    <r>
      <rPr>
        <b/>
        <sz val="9"/>
        <rFont val="宋体"/>
        <charset val="134"/>
      </rPr>
      <t>（五十八）投资收益</t>
    </r>
    <r>
      <rPr>
        <b/>
        <sz val="9"/>
        <rFont val="Arial Narrow"/>
        <charset val="134"/>
      </rPr>
      <t>-</t>
    </r>
    <r>
      <rPr>
        <b/>
        <sz val="9"/>
        <rFont val="宋体"/>
        <charset val="134"/>
      </rPr>
      <t>披露表</t>
    </r>
  </si>
  <si>
    <t>本期实际额</t>
  </si>
  <si>
    <t>上期实际额</t>
  </si>
  <si>
    <t>变动原因</t>
  </si>
  <si>
    <t>本期处置长期股权投资明细</t>
  </si>
  <si>
    <t>处置长期股权投资项目名</t>
  </si>
  <si>
    <t>处置产生的投资收益金额</t>
  </si>
  <si>
    <t>处置可供出售金融资产等取得的投资收益</t>
  </si>
  <si>
    <t>（2）按成本法核算的长期股权投资按投资投资单位分项列示投资收益</t>
  </si>
  <si>
    <r>
      <rPr>
        <sz val="9"/>
        <rFont val="宋体"/>
        <charset val="134"/>
      </rPr>
      <t>（</t>
    </r>
    <r>
      <rPr>
        <sz val="9"/>
        <rFont val="Arial Narrow"/>
        <charset val="134"/>
      </rPr>
      <t>2</t>
    </r>
    <r>
      <rPr>
        <sz val="9"/>
        <rFont val="宋体"/>
        <charset val="134"/>
      </rPr>
      <t>）按成本法核算的长期股权投资按投资单位分项列示投资收益</t>
    </r>
  </si>
  <si>
    <t>本期比上期增减变动的原因</t>
  </si>
  <si>
    <t>注：1.本期未取得投资收益的，不在本表填列；</t>
  </si>
  <si>
    <r>
      <rPr>
        <sz val="9"/>
        <rFont val="宋体"/>
        <charset val="134"/>
      </rPr>
      <t>注：</t>
    </r>
    <r>
      <rPr>
        <sz val="9"/>
        <rFont val="Arial Narrow"/>
        <charset val="134"/>
      </rPr>
      <t>1.</t>
    </r>
    <r>
      <rPr>
        <sz val="9"/>
        <rFont val="宋体"/>
        <charset val="134"/>
      </rPr>
      <t>本期未取得投资收益的，不在本表填列；</t>
    </r>
  </si>
  <si>
    <t xml:space="preserve">注2.仅列示投资收益占利润总额5%以上的投资单位，或占利润总额比例最高的前5家投资单位。 </t>
  </si>
  <si>
    <r>
      <rPr>
        <sz val="9"/>
        <rFont val="宋体"/>
        <charset val="134"/>
      </rPr>
      <t>注</t>
    </r>
    <r>
      <rPr>
        <sz val="9"/>
        <rFont val="Arial Narrow"/>
        <charset val="134"/>
      </rPr>
      <t>2.</t>
    </r>
    <r>
      <rPr>
        <sz val="9"/>
        <rFont val="宋体"/>
        <charset val="134"/>
      </rPr>
      <t>仅列示投资收益占利润总额</t>
    </r>
    <r>
      <rPr>
        <sz val="9"/>
        <rFont val="Arial Narrow"/>
        <charset val="134"/>
      </rPr>
      <t>5%</t>
    </r>
    <r>
      <rPr>
        <sz val="9"/>
        <rFont val="宋体"/>
        <charset val="134"/>
      </rPr>
      <t>以上的投资单位，或占利润总额比例最高的前</t>
    </r>
    <r>
      <rPr>
        <sz val="9"/>
        <rFont val="Arial Narrow"/>
        <charset val="134"/>
      </rPr>
      <t>5</t>
    </r>
    <r>
      <rPr>
        <sz val="9"/>
        <rFont val="宋体"/>
        <charset val="134"/>
      </rPr>
      <t>家投资单位。</t>
    </r>
    <r>
      <rPr>
        <sz val="9"/>
        <rFont val="Arial Narrow"/>
        <charset val="134"/>
      </rPr>
      <t xml:space="preserve"> </t>
    </r>
  </si>
  <si>
    <t>（3）按权益法核算的长期股权投资按投资投资单位分项列示投资收益</t>
  </si>
  <si>
    <r>
      <rPr>
        <sz val="9"/>
        <rFont val="宋体"/>
        <charset val="134"/>
      </rPr>
      <t>（</t>
    </r>
    <r>
      <rPr>
        <sz val="9"/>
        <rFont val="Arial Narrow"/>
        <charset val="134"/>
      </rPr>
      <t>3</t>
    </r>
    <r>
      <rPr>
        <sz val="9"/>
        <rFont val="宋体"/>
        <charset val="134"/>
      </rPr>
      <t>）按权益法核算的长期股权投资按投资投资单位分项列示投资收益</t>
    </r>
  </si>
  <si>
    <t>2.仅列示投资收益占利润总额5%以上的投资单位，或占利润总额比例最高的前5家投资单位。</t>
  </si>
  <si>
    <r>
      <rPr>
        <sz val="9"/>
        <rFont val="Arial Narrow"/>
        <charset val="134"/>
      </rPr>
      <t>2.</t>
    </r>
    <r>
      <rPr>
        <sz val="9"/>
        <rFont val="宋体"/>
        <charset val="134"/>
      </rPr>
      <t>仅列示投资收益占利润总额</t>
    </r>
    <r>
      <rPr>
        <sz val="9"/>
        <rFont val="Arial Narrow"/>
        <charset val="134"/>
      </rPr>
      <t>5%</t>
    </r>
    <r>
      <rPr>
        <sz val="9"/>
        <rFont val="宋体"/>
        <charset val="134"/>
      </rPr>
      <t>以上的投资单位，或占利润总额比例最高的前</t>
    </r>
    <r>
      <rPr>
        <sz val="9"/>
        <rFont val="Arial Narrow"/>
        <charset val="134"/>
      </rPr>
      <t>5</t>
    </r>
    <r>
      <rPr>
        <sz val="9"/>
        <rFont val="宋体"/>
        <charset val="134"/>
      </rPr>
      <t>家投资单位。</t>
    </r>
  </si>
  <si>
    <t>（4）投资收益汇回的重大限制的原因为。（若不存在重大限制，也应做出说明。）</t>
  </si>
  <si>
    <r>
      <rPr>
        <sz val="9"/>
        <rFont val="宋体"/>
        <charset val="134"/>
      </rPr>
      <t>（</t>
    </r>
    <r>
      <rPr>
        <sz val="9"/>
        <rFont val="Arial Narrow"/>
        <charset val="134"/>
      </rPr>
      <t>4</t>
    </r>
    <r>
      <rPr>
        <sz val="9"/>
        <rFont val="宋体"/>
        <charset val="134"/>
      </rPr>
      <t>）投资收益汇回的重大限制的原因为。（若不存在重大限制，也应做出说明。）</t>
    </r>
  </si>
  <si>
    <t>（5）投资收益变动幅度达30%（含30%）以上，或占报告期利润总额10%（含10%）以上的原因为。</t>
  </si>
  <si>
    <r>
      <rPr>
        <sz val="9"/>
        <rFont val="宋体"/>
        <charset val="134"/>
      </rPr>
      <t>（</t>
    </r>
    <r>
      <rPr>
        <sz val="9"/>
        <rFont val="Arial Narrow"/>
        <charset val="134"/>
      </rPr>
      <t>5</t>
    </r>
    <r>
      <rPr>
        <sz val="9"/>
        <rFont val="宋体"/>
        <charset val="134"/>
      </rPr>
      <t>）投资收益变动幅度达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</si>
  <si>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资产减值损失</t>
    </r>
    <r>
      <rPr>
        <sz val="9"/>
        <color theme="0" tint="-0.249977111117893"/>
        <rFont val="Arial Narrow"/>
        <charset val="134"/>
      </rPr>
      <t>-</t>
    </r>
    <r>
      <rPr>
        <sz val="9"/>
        <color theme="0" tint="-0.249977111117893"/>
        <rFont val="宋体"/>
        <charset val="134"/>
      </rPr>
      <t>披露表</t>
    </r>
  </si>
  <si>
    <r>
      <rPr>
        <b/>
        <sz val="9"/>
        <rFont val="Arial Narrow"/>
        <charset val="134"/>
      </rPr>
      <t>(</t>
    </r>
    <r>
      <rPr>
        <b/>
        <sz val="9"/>
        <rFont val="宋体"/>
        <charset val="134"/>
      </rPr>
      <t>五十九</t>
    </r>
    <r>
      <rPr>
        <b/>
        <sz val="9"/>
        <rFont val="Arial Narrow"/>
        <charset val="134"/>
      </rPr>
      <t>)</t>
    </r>
    <r>
      <rPr>
        <b/>
        <sz val="9"/>
        <rFont val="宋体"/>
        <charset val="134"/>
      </rPr>
      <t>资产减值损失</t>
    </r>
    <r>
      <rPr>
        <b/>
        <sz val="9"/>
        <rFont val="Arial Narrow"/>
        <charset val="134"/>
      </rPr>
      <t>-</t>
    </r>
    <r>
      <rPr>
        <b/>
        <sz val="9"/>
        <rFont val="宋体"/>
        <charset val="134"/>
      </rPr>
      <t>披露表</t>
    </r>
  </si>
  <si>
    <t>与“各科目当期计提减值核对”核对</t>
  </si>
  <si>
    <r>
      <rPr>
        <sz val="9"/>
        <rFont val="宋体"/>
        <charset val="134"/>
      </rPr>
      <t>与</t>
    </r>
    <r>
      <rPr>
        <sz val="9"/>
        <rFont val="Arial Narrow"/>
        <charset val="134"/>
      </rPr>
      <t>“</t>
    </r>
    <r>
      <rPr>
        <sz val="9"/>
        <rFont val="宋体"/>
        <charset val="134"/>
      </rPr>
      <t>（二十八）资产减值准备-批露表:本期计提</t>
    </r>
    <r>
      <rPr>
        <sz val="9"/>
        <rFont val="Arial Narrow"/>
        <charset val="134"/>
      </rPr>
      <t>”</t>
    </r>
    <r>
      <rPr>
        <sz val="9"/>
        <rFont val="宋体"/>
        <charset val="134"/>
      </rPr>
      <t>核对</t>
    </r>
  </si>
  <si>
    <r>
      <rPr>
        <sz val="9"/>
        <rFont val="Arial Narrow"/>
        <charset val="134"/>
      </rPr>
      <t>1</t>
    </r>
    <r>
      <rPr>
        <sz val="9"/>
        <rFont val="宋体"/>
        <charset val="134"/>
      </rPr>
      <t>．坏账损失</t>
    </r>
  </si>
  <si>
    <r>
      <rPr>
        <sz val="9"/>
        <rFont val="Arial Narrow"/>
        <charset val="134"/>
      </rPr>
      <t>2</t>
    </r>
    <r>
      <rPr>
        <sz val="9"/>
        <rFont val="宋体"/>
        <charset val="134"/>
      </rPr>
      <t>．存货跌价损失</t>
    </r>
  </si>
  <si>
    <r>
      <rPr>
        <sz val="9"/>
        <rFont val="Arial Narrow"/>
        <charset val="134"/>
      </rPr>
      <t>3</t>
    </r>
    <r>
      <rPr>
        <sz val="9"/>
        <rFont val="宋体"/>
        <charset val="134"/>
      </rPr>
      <t>．可供出售金融资产减值损失</t>
    </r>
  </si>
  <si>
    <r>
      <rPr>
        <sz val="9"/>
        <rFont val="Arial Narrow"/>
        <charset val="134"/>
      </rPr>
      <t>4</t>
    </r>
    <r>
      <rPr>
        <sz val="9"/>
        <rFont val="宋体"/>
        <charset val="134"/>
      </rPr>
      <t>．持有至到期投资减值损失</t>
    </r>
  </si>
  <si>
    <r>
      <rPr>
        <sz val="9"/>
        <rFont val="Arial Narrow"/>
        <charset val="134"/>
      </rPr>
      <t>5</t>
    </r>
    <r>
      <rPr>
        <sz val="9"/>
        <rFont val="宋体"/>
        <charset val="134"/>
      </rPr>
      <t>．长期股权投资减值损失</t>
    </r>
  </si>
  <si>
    <r>
      <rPr>
        <sz val="9"/>
        <rFont val="Arial Narrow"/>
        <charset val="134"/>
      </rPr>
      <t>6</t>
    </r>
    <r>
      <rPr>
        <sz val="9"/>
        <rFont val="宋体"/>
        <charset val="134"/>
      </rPr>
      <t>．投资性房地产减值损失</t>
    </r>
  </si>
  <si>
    <r>
      <rPr>
        <sz val="9"/>
        <rFont val="Arial Narrow"/>
        <charset val="134"/>
      </rPr>
      <t>7</t>
    </r>
    <r>
      <rPr>
        <sz val="9"/>
        <rFont val="宋体"/>
        <charset val="134"/>
      </rPr>
      <t>．固定资产减值损失</t>
    </r>
  </si>
  <si>
    <r>
      <rPr>
        <sz val="9"/>
        <rFont val="Arial Narrow"/>
        <charset val="134"/>
      </rPr>
      <t>8</t>
    </r>
    <r>
      <rPr>
        <sz val="9"/>
        <rFont val="宋体"/>
        <charset val="134"/>
      </rPr>
      <t>．工程物资减值损失</t>
    </r>
  </si>
  <si>
    <r>
      <rPr>
        <sz val="9"/>
        <rFont val="Arial Narrow"/>
        <charset val="134"/>
      </rPr>
      <t>9</t>
    </r>
    <r>
      <rPr>
        <sz val="9"/>
        <rFont val="宋体"/>
        <charset val="134"/>
      </rPr>
      <t>．在建工程减值损失</t>
    </r>
  </si>
  <si>
    <r>
      <rPr>
        <sz val="9"/>
        <rFont val="Arial Narrow"/>
        <charset val="134"/>
      </rPr>
      <t>10</t>
    </r>
    <r>
      <rPr>
        <sz val="9"/>
        <rFont val="宋体"/>
        <charset val="134"/>
      </rPr>
      <t>．生产性生物资产减值损失</t>
    </r>
  </si>
  <si>
    <r>
      <rPr>
        <sz val="9"/>
        <rFont val="Arial Narrow"/>
        <charset val="134"/>
      </rPr>
      <t>11</t>
    </r>
    <r>
      <rPr>
        <sz val="9"/>
        <rFont val="宋体"/>
        <charset val="134"/>
      </rPr>
      <t>．油气资产减值损失</t>
    </r>
  </si>
  <si>
    <r>
      <rPr>
        <sz val="9"/>
        <rFont val="Arial Narrow"/>
        <charset val="134"/>
      </rPr>
      <t>12</t>
    </r>
    <r>
      <rPr>
        <sz val="9"/>
        <rFont val="宋体"/>
        <charset val="134"/>
      </rPr>
      <t>．无形资产减值损失</t>
    </r>
  </si>
  <si>
    <r>
      <rPr>
        <sz val="9"/>
        <rFont val="Arial Narrow"/>
        <charset val="134"/>
      </rPr>
      <t>13</t>
    </r>
    <r>
      <rPr>
        <sz val="9"/>
        <rFont val="宋体"/>
        <charset val="134"/>
      </rPr>
      <t>．商誉减值损失</t>
    </r>
  </si>
  <si>
    <r>
      <rPr>
        <sz val="9"/>
        <rFont val="Arial Narrow"/>
        <charset val="134"/>
      </rPr>
      <t>14</t>
    </r>
    <r>
      <rPr>
        <sz val="9"/>
        <rFont val="宋体"/>
        <charset val="134"/>
      </rPr>
      <t>．其他</t>
    </r>
  </si>
  <si>
    <t>（2）资产减值损失变动幅度达30%（含30%）以上，或占报告期利润总额10%（含10%）以上的原因为。</t>
  </si>
  <si>
    <r>
      <rPr>
        <sz val="9"/>
        <rFont val="宋体"/>
        <charset val="134"/>
      </rPr>
      <t>（</t>
    </r>
    <r>
      <rPr>
        <sz val="9"/>
        <rFont val="Arial Narrow"/>
        <charset val="134"/>
      </rPr>
      <t>2</t>
    </r>
    <r>
      <rPr>
        <sz val="9"/>
        <rFont val="宋体"/>
        <charset val="134"/>
      </rPr>
      <t>）资产减值损失变动幅度达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</si>
  <si>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财务费用</t>
    </r>
    <r>
      <rPr>
        <sz val="9"/>
        <color theme="0" tint="-0.249977111117893"/>
        <rFont val="Arial Narrow"/>
        <charset val="134"/>
      </rPr>
      <t>-</t>
    </r>
    <r>
      <rPr>
        <sz val="9"/>
        <color theme="0" tint="-0.249977111117893"/>
        <rFont val="宋体"/>
        <charset val="134"/>
      </rPr>
      <t>批露表</t>
    </r>
  </si>
  <si>
    <r>
      <rPr>
        <b/>
        <sz val="9"/>
        <rFont val="宋体"/>
        <charset val="134"/>
      </rPr>
      <t>（六十）财务费用</t>
    </r>
    <r>
      <rPr>
        <b/>
        <sz val="9"/>
        <rFont val="Arial Narrow"/>
        <charset val="134"/>
      </rPr>
      <t>-</t>
    </r>
    <r>
      <rPr>
        <b/>
        <sz val="9"/>
        <rFont val="宋体"/>
        <charset val="134"/>
      </rPr>
      <t>批露表</t>
    </r>
  </si>
  <si>
    <r>
      <rPr>
        <sz val="9"/>
        <rFont val="宋体"/>
        <charset val="134"/>
      </rPr>
      <t>银行（贷款</t>
    </r>
    <r>
      <rPr>
        <sz val="9"/>
        <rFont val="Arial Narrow"/>
        <charset val="134"/>
      </rPr>
      <t>/</t>
    </r>
    <r>
      <rPr>
        <sz val="9"/>
        <rFont val="宋体"/>
        <charset val="134"/>
      </rPr>
      <t>存款）利息</t>
    </r>
  </si>
  <si>
    <t>委托贷款利息</t>
  </si>
  <si>
    <t>票据贴现</t>
  </si>
  <si>
    <r>
      <rPr>
        <sz val="9"/>
        <rFont val="Arial Narrow"/>
        <charset val="134"/>
      </rPr>
      <t xml:space="preserve">   </t>
    </r>
    <r>
      <rPr>
        <sz val="9"/>
        <rFont val="宋体"/>
        <charset val="134"/>
      </rPr>
      <t>其</t>
    </r>
    <r>
      <rPr>
        <sz val="9"/>
        <rFont val="Arial Narrow"/>
        <charset val="134"/>
      </rPr>
      <t xml:space="preserve"> </t>
    </r>
    <r>
      <rPr>
        <sz val="9"/>
        <rFont val="宋体"/>
        <charset val="134"/>
      </rPr>
      <t>中：货币资金引起汇兑损益</t>
    </r>
  </si>
  <si>
    <r>
      <rPr>
        <sz val="9"/>
        <rFont val="Arial Narrow"/>
        <charset val="134"/>
      </rPr>
      <t xml:space="preserve">                      </t>
    </r>
    <r>
      <rPr>
        <sz val="9"/>
        <rFont val="宋体"/>
        <charset val="134"/>
      </rPr>
      <t>应收账款引起汇兑损益</t>
    </r>
  </si>
  <si>
    <r>
      <rPr>
        <sz val="9"/>
        <rFont val="Arial Narrow"/>
        <charset val="134"/>
      </rPr>
      <t xml:space="preserve">                      </t>
    </r>
    <r>
      <rPr>
        <sz val="9"/>
        <rFont val="宋体"/>
        <charset val="134"/>
      </rPr>
      <t>其他应收账款引起汇兑损益</t>
    </r>
  </si>
  <si>
    <r>
      <rPr>
        <sz val="9"/>
        <rFont val="Arial Narrow"/>
        <charset val="134"/>
      </rPr>
      <t xml:space="preserve">                       </t>
    </r>
    <r>
      <rPr>
        <sz val="9"/>
        <rFont val="宋体"/>
        <charset val="134"/>
      </rPr>
      <t>应付账款引起汇兑损益</t>
    </r>
  </si>
  <si>
    <r>
      <rPr>
        <sz val="9"/>
        <rFont val="Arial Narrow"/>
        <charset val="134"/>
      </rPr>
      <t xml:space="preserve">                      </t>
    </r>
    <r>
      <rPr>
        <sz val="9"/>
        <rFont val="宋体"/>
        <charset val="134"/>
      </rPr>
      <t>其他应付款引起汇兑损益</t>
    </r>
  </si>
  <si>
    <r>
      <rPr>
        <sz val="9"/>
        <rFont val="Arial Narrow"/>
        <charset val="134"/>
      </rPr>
      <t xml:space="preserve">                      </t>
    </r>
    <r>
      <rPr>
        <sz val="9"/>
        <rFont val="宋体"/>
        <charset val="134"/>
      </rPr>
      <t>其他科目</t>
    </r>
    <r>
      <rPr>
        <sz val="9"/>
        <rFont val="Arial Narrow"/>
        <charset val="134"/>
      </rPr>
      <t>1-</t>
    </r>
    <r>
      <rPr>
        <sz val="9"/>
        <rFont val="宋体"/>
        <charset val="134"/>
      </rPr>
      <t>短期借款引起汇兑损益</t>
    </r>
  </si>
  <si>
    <r>
      <rPr>
        <sz val="9"/>
        <rFont val="Arial Narrow"/>
        <charset val="134"/>
      </rPr>
      <t xml:space="preserve">                      </t>
    </r>
    <r>
      <rPr>
        <sz val="9"/>
        <rFont val="宋体"/>
        <charset val="134"/>
      </rPr>
      <t>其他科目</t>
    </r>
    <r>
      <rPr>
        <sz val="9"/>
        <rFont val="Arial Narrow"/>
        <charset val="134"/>
      </rPr>
      <t>2--</t>
    </r>
  </si>
  <si>
    <t>（2）财务费用变动幅度达30%（含30%）以上，或占报告期利润总额10%（含10%）以上的原因为。</t>
  </si>
  <si>
    <r>
      <rPr>
        <sz val="9"/>
        <rFont val="宋体"/>
        <charset val="134"/>
      </rPr>
      <t>（</t>
    </r>
    <r>
      <rPr>
        <sz val="9"/>
        <rFont val="Arial Narrow"/>
        <charset val="134"/>
      </rPr>
      <t>2</t>
    </r>
    <r>
      <rPr>
        <sz val="9"/>
        <rFont val="宋体"/>
        <charset val="134"/>
      </rPr>
      <t>）财务费用变动幅度达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</si>
  <si>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管理费用</t>
    </r>
    <r>
      <rPr>
        <sz val="9"/>
        <color theme="0" tint="-0.249977111117893"/>
        <rFont val="Arial Narrow"/>
        <charset val="134"/>
      </rPr>
      <t>-</t>
    </r>
    <r>
      <rPr>
        <sz val="9"/>
        <color theme="0" tint="-0.249977111117893"/>
        <rFont val="宋体"/>
        <charset val="134"/>
      </rPr>
      <t>批露表</t>
    </r>
  </si>
  <si>
    <r>
      <rPr>
        <sz val="9"/>
        <color theme="7" tint="0.599993896298105"/>
        <rFont val="宋体"/>
        <charset val="134"/>
      </rPr>
      <t>补充</t>
    </r>
    <r>
      <rPr>
        <sz val="9"/>
        <color theme="7" tint="0.599993896298105"/>
        <rFont val="Arial Narrow"/>
        <charset val="134"/>
      </rPr>
      <t>-</t>
    </r>
    <r>
      <rPr>
        <sz val="9"/>
        <color theme="7" tint="0.599993896298105"/>
        <rFont val="宋体"/>
        <charset val="134"/>
      </rPr>
      <t>管理费用</t>
    </r>
    <r>
      <rPr>
        <sz val="9"/>
        <color theme="7" tint="0.599993896298105"/>
        <rFont val="Arial Narrow"/>
        <charset val="134"/>
      </rPr>
      <t>-</t>
    </r>
    <r>
      <rPr>
        <sz val="9"/>
        <color theme="7" tint="0.599993896298105"/>
        <rFont val="宋体"/>
        <charset val="134"/>
      </rPr>
      <t>批露表</t>
    </r>
  </si>
  <si>
    <r>
      <rPr>
        <b/>
        <sz val="9"/>
        <rFont val="宋体"/>
        <charset val="134"/>
      </rPr>
      <t>补充</t>
    </r>
    <r>
      <rPr>
        <b/>
        <sz val="9"/>
        <rFont val="Arial Narrow"/>
        <charset val="134"/>
      </rPr>
      <t>-</t>
    </r>
    <r>
      <rPr>
        <b/>
        <sz val="9"/>
        <rFont val="宋体"/>
        <charset val="134"/>
      </rPr>
      <t>管理费用</t>
    </r>
    <r>
      <rPr>
        <b/>
        <sz val="9"/>
        <rFont val="Arial Narrow"/>
        <charset val="134"/>
      </rPr>
      <t>-</t>
    </r>
    <r>
      <rPr>
        <b/>
        <sz val="9"/>
        <rFont val="宋体"/>
        <charset val="134"/>
      </rPr>
      <t>批露表（请点右表填写“</t>
    </r>
    <r>
      <rPr>
        <b/>
        <sz val="9"/>
        <rFont val="Arial Narrow"/>
        <charset val="134"/>
      </rPr>
      <t>1</t>
    </r>
    <r>
      <rPr>
        <b/>
        <sz val="9"/>
        <rFont val="宋体"/>
        <charset val="134"/>
      </rPr>
      <t>管理费用”）</t>
    </r>
  </si>
  <si>
    <t>连接表“1.管理费用”</t>
  </si>
  <si>
    <t>增减变化</t>
  </si>
  <si>
    <t>应付职工薪酬小计</t>
  </si>
  <si>
    <t xml:space="preserve">                        工资</t>
  </si>
  <si>
    <t>工资</t>
  </si>
  <si>
    <t xml:space="preserve">                        职工福利费</t>
  </si>
  <si>
    <t>职工福利费</t>
  </si>
  <si>
    <t>社会保险费</t>
  </si>
  <si>
    <t>住房公积金</t>
  </si>
  <si>
    <t>工会经费</t>
  </si>
  <si>
    <t xml:space="preserve">                        社会保险费</t>
  </si>
  <si>
    <t>职工教育经费</t>
  </si>
  <si>
    <t xml:space="preserve">                        住房公积金</t>
  </si>
  <si>
    <t>非货币性福利</t>
  </si>
  <si>
    <t xml:space="preserve">                        工会经费</t>
  </si>
  <si>
    <t>因解除劳动关系给予的补偿（内退支出）</t>
  </si>
  <si>
    <t xml:space="preserve">                        职工教育经费</t>
  </si>
  <si>
    <t>企业年金</t>
  </si>
  <si>
    <t xml:space="preserve">                                                薪酬 -其他</t>
  </si>
  <si>
    <t>薪酬-其他</t>
  </si>
  <si>
    <t>固定资产拆旧</t>
  </si>
  <si>
    <t>税金小计</t>
  </si>
  <si>
    <t>税费</t>
  </si>
  <si>
    <t xml:space="preserve">                        税金1---</t>
  </si>
  <si>
    <t>税金1---印花税</t>
  </si>
  <si>
    <t xml:space="preserve">                        税金2---</t>
  </si>
  <si>
    <t>税金2---房产税</t>
  </si>
  <si>
    <t>税金3---车船税</t>
  </si>
  <si>
    <t>税金4---土地使用税</t>
  </si>
  <si>
    <t>税金5---堤围费（防洪费）</t>
  </si>
  <si>
    <t xml:space="preserve">                        税金3---</t>
  </si>
  <si>
    <r>
      <rPr>
        <sz val="9"/>
        <rFont val="宋体"/>
        <charset val="134"/>
      </rPr>
      <t>税金</t>
    </r>
    <r>
      <rPr>
        <sz val="9"/>
        <rFont val="Arial Narrow"/>
        <charset val="134"/>
      </rPr>
      <t>6---</t>
    </r>
    <r>
      <rPr>
        <sz val="9"/>
        <rFont val="宋体"/>
        <charset val="134"/>
      </rPr>
      <t>研发费</t>
    </r>
    <r>
      <rPr>
        <sz val="9"/>
        <rFont val="Arial Narrow"/>
        <charset val="134"/>
      </rPr>
      <t>-</t>
    </r>
    <r>
      <rPr>
        <sz val="9"/>
        <rFont val="宋体"/>
        <charset val="134"/>
      </rPr>
      <t>税金</t>
    </r>
  </si>
  <si>
    <t xml:space="preserve">                        税金4---</t>
  </si>
  <si>
    <t>税金7---</t>
  </si>
  <si>
    <t xml:space="preserve">                        税金5---</t>
  </si>
  <si>
    <t>税金8---</t>
  </si>
  <si>
    <t>其他项目如下：</t>
  </si>
  <si>
    <t>其他项目（该项目填其他项目的合计数，管理费用明细附表填列）</t>
  </si>
  <si>
    <r>
      <rPr>
        <sz val="9"/>
        <color theme="0" tint="-0.249977111117893"/>
        <rFont val="宋体"/>
        <charset val="134"/>
      </rPr>
      <t>营业费用</t>
    </r>
    <r>
      <rPr>
        <sz val="9"/>
        <color theme="0" tint="-0.249977111117893"/>
        <rFont val="Arial Narrow"/>
        <charset val="134"/>
      </rPr>
      <t>-</t>
    </r>
    <r>
      <rPr>
        <sz val="9"/>
        <color theme="0" tint="-0.249977111117893"/>
        <rFont val="宋体"/>
        <charset val="134"/>
      </rPr>
      <t>批露表</t>
    </r>
  </si>
  <si>
    <r>
      <rPr>
        <sz val="9"/>
        <color theme="7" tint="0.599993896298105"/>
        <rFont val="宋体"/>
        <charset val="134"/>
      </rPr>
      <t>补充</t>
    </r>
    <r>
      <rPr>
        <sz val="9"/>
        <color theme="7" tint="0.599993896298105"/>
        <rFont val="Arial Narrow"/>
        <charset val="134"/>
      </rPr>
      <t>-</t>
    </r>
    <r>
      <rPr>
        <sz val="9"/>
        <color theme="7" tint="0.599993896298105"/>
        <rFont val="宋体"/>
        <charset val="134"/>
      </rPr>
      <t>营业费用</t>
    </r>
    <r>
      <rPr>
        <sz val="9"/>
        <color theme="7" tint="0.599993896298105"/>
        <rFont val="Arial Narrow"/>
        <charset val="134"/>
      </rPr>
      <t>-</t>
    </r>
    <r>
      <rPr>
        <sz val="9"/>
        <color theme="7" tint="0.599993896298105"/>
        <rFont val="宋体"/>
        <charset val="134"/>
      </rPr>
      <t>批露表</t>
    </r>
  </si>
  <si>
    <r>
      <rPr>
        <b/>
        <sz val="9"/>
        <rFont val="宋体"/>
        <charset val="134"/>
      </rPr>
      <t>补充</t>
    </r>
    <r>
      <rPr>
        <b/>
        <sz val="9"/>
        <rFont val="Arial Narrow"/>
        <charset val="134"/>
      </rPr>
      <t>-</t>
    </r>
    <r>
      <rPr>
        <b/>
        <sz val="9"/>
        <rFont val="宋体"/>
        <charset val="134"/>
      </rPr>
      <t>营业费用</t>
    </r>
    <r>
      <rPr>
        <b/>
        <sz val="9"/>
        <rFont val="Arial Narrow"/>
        <charset val="134"/>
      </rPr>
      <t>-</t>
    </r>
    <r>
      <rPr>
        <b/>
        <sz val="9"/>
        <rFont val="宋体"/>
        <charset val="134"/>
      </rPr>
      <t>批露表（请点右表填写“</t>
    </r>
    <r>
      <rPr>
        <b/>
        <sz val="9"/>
        <rFont val="Arial Narrow"/>
        <charset val="134"/>
      </rPr>
      <t>2</t>
    </r>
    <r>
      <rPr>
        <b/>
        <sz val="9"/>
        <rFont val="宋体"/>
        <charset val="134"/>
      </rPr>
      <t>销售费用”）</t>
    </r>
  </si>
  <si>
    <t>连接表“2.销售费用”</t>
  </si>
  <si>
    <t xml:space="preserve">              工资</t>
  </si>
  <si>
    <t xml:space="preserve">              职工福利费</t>
  </si>
  <si>
    <t xml:space="preserve">              社会保险费</t>
  </si>
  <si>
    <t xml:space="preserve">              住房公积金</t>
  </si>
  <si>
    <t xml:space="preserve">              工会经费</t>
  </si>
  <si>
    <t xml:space="preserve">              职工教育经费</t>
  </si>
  <si>
    <r>
      <rPr>
        <sz val="9"/>
        <rFont val="Arial Narrow"/>
        <charset val="134"/>
      </rPr>
      <t xml:space="preserve">                            </t>
    </r>
    <r>
      <rPr>
        <sz val="9"/>
        <rFont val="宋体"/>
        <charset val="134"/>
      </rPr>
      <t>非货币性福利</t>
    </r>
  </si>
  <si>
    <t xml:space="preserve">              因解除劳动关系给予的补偿（内退支出）</t>
  </si>
  <si>
    <r>
      <rPr>
        <sz val="9"/>
        <rFont val="Arial Narrow"/>
        <charset val="134"/>
      </rPr>
      <t xml:space="preserve">                            </t>
    </r>
    <r>
      <rPr>
        <sz val="9"/>
        <rFont val="宋体"/>
        <charset val="134"/>
      </rPr>
      <t>企业年金</t>
    </r>
  </si>
  <si>
    <r>
      <rPr>
        <sz val="9"/>
        <rFont val="Arial Narrow"/>
        <charset val="134"/>
      </rPr>
      <t xml:space="preserve">                            </t>
    </r>
    <r>
      <rPr>
        <sz val="9"/>
        <rFont val="宋体"/>
        <charset val="134"/>
      </rPr>
      <t>其他</t>
    </r>
  </si>
  <si>
    <r>
      <rPr>
        <sz val="9"/>
        <rFont val="Arial Narrow"/>
        <charset val="134"/>
      </rPr>
      <t xml:space="preserve">                   </t>
    </r>
    <r>
      <rPr>
        <sz val="9"/>
        <rFont val="宋体"/>
        <charset val="134"/>
      </rPr>
      <t>税金</t>
    </r>
    <r>
      <rPr>
        <sz val="9"/>
        <rFont val="Arial Narrow"/>
        <charset val="134"/>
      </rPr>
      <t>1---</t>
    </r>
    <r>
      <rPr>
        <sz val="9"/>
        <rFont val="宋体"/>
        <charset val="134"/>
      </rPr>
      <t>印花税</t>
    </r>
  </si>
  <si>
    <r>
      <rPr>
        <sz val="9"/>
        <rFont val="Arial Narrow"/>
        <charset val="134"/>
      </rPr>
      <t xml:space="preserve">                   </t>
    </r>
    <r>
      <rPr>
        <sz val="9"/>
        <rFont val="宋体"/>
        <charset val="134"/>
      </rPr>
      <t>税金</t>
    </r>
    <r>
      <rPr>
        <sz val="9"/>
        <rFont val="Arial Narrow"/>
        <charset val="134"/>
      </rPr>
      <t>2---</t>
    </r>
    <r>
      <rPr>
        <sz val="9"/>
        <rFont val="宋体"/>
        <charset val="134"/>
      </rPr>
      <t>房产税</t>
    </r>
  </si>
  <si>
    <r>
      <rPr>
        <sz val="9"/>
        <rFont val="Arial Narrow"/>
        <charset val="134"/>
      </rPr>
      <t xml:space="preserve">                   </t>
    </r>
    <r>
      <rPr>
        <sz val="9"/>
        <rFont val="宋体"/>
        <charset val="134"/>
      </rPr>
      <t>税金</t>
    </r>
    <r>
      <rPr>
        <sz val="9"/>
        <rFont val="Arial Narrow"/>
        <charset val="134"/>
      </rPr>
      <t>3---</t>
    </r>
    <r>
      <rPr>
        <sz val="9"/>
        <rFont val="宋体"/>
        <charset val="134"/>
      </rPr>
      <t>车船税</t>
    </r>
  </si>
  <si>
    <r>
      <rPr>
        <sz val="9"/>
        <rFont val="Arial Narrow"/>
        <charset val="134"/>
      </rPr>
      <t xml:space="preserve">                           </t>
    </r>
    <r>
      <rPr>
        <sz val="9"/>
        <rFont val="宋体"/>
        <charset val="134"/>
      </rPr>
      <t>税金</t>
    </r>
    <r>
      <rPr>
        <sz val="9"/>
        <rFont val="Arial Narrow"/>
        <charset val="134"/>
      </rPr>
      <t>4---</t>
    </r>
    <r>
      <rPr>
        <sz val="9"/>
        <rFont val="宋体"/>
        <charset val="134"/>
      </rPr>
      <t>土地使用税</t>
    </r>
  </si>
  <si>
    <r>
      <rPr>
        <sz val="9"/>
        <rFont val="Arial Narrow"/>
        <charset val="134"/>
      </rPr>
      <t xml:space="preserve">                                       </t>
    </r>
    <r>
      <rPr>
        <sz val="9"/>
        <rFont val="宋体"/>
        <charset val="134"/>
      </rPr>
      <t>税金</t>
    </r>
    <r>
      <rPr>
        <sz val="9"/>
        <rFont val="Arial Narrow"/>
        <charset val="134"/>
      </rPr>
      <t>5---</t>
    </r>
    <r>
      <rPr>
        <sz val="9"/>
        <rFont val="宋体"/>
        <charset val="134"/>
      </rPr>
      <t>堤围费（防洪费）</t>
    </r>
  </si>
  <si>
    <r>
      <rPr>
        <sz val="9"/>
        <rFont val="Arial Narrow"/>
        <charset val="134"/>
      </rPr>
      <t xml:space="preserve">       </t>
    </r>
    <r>
      <rPr>
        <sz val="9"/>
        <rFont val="宋体"/>
        <charset val="134"/>
      </rPr>
      <t>税金</t>
    </r>
    <r>
      <rPr>
        <sz val="9"/>
        <rFont val="Arial Narrow"/>
        <charset val="134"/>
      </rPr>
      <t>6---</t>
    </r>
  </si>
  <si>
    <r>
      <rPr>
        <sz val="9"/>
        <rFont val="Arial Narrow"/>
        <charset val="134"/>
      </rPr>
      <t xml:space="preserve">       </t>
    </r>
    <r>
      <rPr>
        <sz val="9"/>
        <rFont val="宋体"/>
        <charset val="134"/>
      </rPr>
      <t>税金</t>
    </r>
    <r>
      <rPr>
        <sz val="9"/>
        <rFont val="Arial Narrow"/>
        <charset val="134"/>
      </rPr>
      <t>7---</t>
    </r>
  </si>
  <si>
    <r>
      <rPr>
        <sz val="9"/>
        <rFont val="Arial Narrow"/>
        <charset val="134"/>
      </rPr>
      <t xml:space="preserve">       </t>
    </r>
    <r>
      <rPr>
        <sz val="9"/>
        <rFont val="宋体"/>
        <charset val="134"/>
      </rPr>
      <t>税金</t>
    </r>
    <r>
      <rPr>
        <sz val="9"/>
        <rFont val="Arial Narrow"/>
        <charset val="134"/>
      </rPr>
      <t>8---</t>
    </r>
  </si>
  <si>
    <t>补充-生产成本-批露表</t>
  </si>
  <si>
    <r>
      <rPr>
        <sz val="9"/>
        <color theme="0" tint="-0.249977111117893"/>
        <rFont val="宋体"/>
        <charset val="134"/>
      </rPr>
      <t>生产成本</t>
    </r>
    <r>
      <rPr>
        <sz val="9"/>
        <color theme="0" tint="-0.249977111117893"/>
        <rFont val="Arial Narrow"/>
        <charset val="134"/>
      </rPr>
      <t>-</t>
    </r>
    <r>
      <rPr>
        <sz val="9"/>
        <color theme="0" tint="-0.249977111117893"/>
        <rFont val="宋体"/>
        <charset val="134"/>
      </rPr>
      <t>批露表</t>
    </r>
  </si>
  <si>
    <r>
      <rPr>
        <sz val="9"/>
        <color theme="7" tint="0.599993896298105"/>
        <rFont val="宋体"/>
        <charset val="134"/>
      </rPr>
      <t>补充</t>
    </r>
    <r>
      <rPr>
        <sz val="9"/>
        <color theme="7" tint="0.599993896298105"/>
        <rFont val="Arial Narrow"/>
        <charset val="134"/>
      </rPr>
      <t>-</t>
    </r>
    <r>
      <rPr>
        <sz val="9"/>
        <color theme="7" tint="0.599993896298105"/>
        <rFont val="宋体"/>
        <charset val="134"/>
      </rPr>
      <t>生产成本</t>
    </r>
    <r>
      <rPr>
        <sz val="9"/>
        <color theme="7" tint="0.599993896298105"/>
        <rFont val="Arial Narrow"/>
        <charset val="134"/>
      </rPr>
      <t>-</t>
    </r>
    <r>
      <rPr>
        <sz val="9"/>
        <color theme="7" tint="0.599993896298105"/>
        <rFont val="宋体"/>
        <charset val="134"/>
      </rPr>
      <t>批露表</t>
    </r>
  </si>
  <si>
    <r>
      <rPr>
        <b/>
        <sz val="9"/>
        <rFont val="宋体"/>
        <charset val="134"/>
      </rPr>
      <t>补充</t>
    </r>
    <r>
      <rPr>
        <b/>
        <sz val="9"/>
        <rFont val="Arial Narrow"/>
        <charset val="134"/>
      </rPr>
      <t>-</t>
    </r>
    <r>
      <rPr>
        <b/>
        <sz val="9"/>
        <rFont val="宋体"/>
        <charset val="134"/>
      </rPr>
      <t>生产成本</t>
    </r>
    <r>
      <rPr>
        <b/>
        <sz val="9"/>
        <rFont val="Arial Narrow"/>
        <charset val="134"/>
      </rPr>
      <t>-</t>
    </r>
    <r>
      <rPr>
        <b/>
        <sz val="9"/>
        <rFont val="宋体"/>
        <charset val="134"/>
      </rPr>
      <t>批露表（上期可不填）</t>
    </r>
  </si>
  <si>
    <t>应付职工薪酬：本期计提与营业费用、管理费用、生产成本：应付职工薪酬核对</t>
  </si>
  <si>
    <t>固定资产折旧：本期计提与营业费用、管理费用、生产成本：固定资产折旧核对</t>
  </si>
  <si>
    <t>无形资产摊销：本期计提与营业费用、管理费用、生产成本：无形资产摊销核对</t>
  </si>
  <si>
    <r>
      <rPr>
        <sz val="9"/>
        <color theme="0" tint="-0.249977111117893"/>
        <rFont val="宋体"/>
        <charset val="134"/>
      </rPr>
      <t>营业外收入</t>
    </r>
    <r>
      <rPr>
        <sz val="9"/>
        <color theme="0" tint="-0.249977111117893"/>
        <rFont val="Arial Narrow"/>
        <charset val="134"/>
      </rPr>
      <t>-</t>
    </r>
    <r>
      <rPr>
        <sz val="9"/>
        <color theme="0" tint="-0.249977111117893"/>
        <rFont val="宋体"/>
        <charset val="134"/>
      </rPr>
      <t>披露表</t>
    </r>
  </si>
  <si>
    <r>
      <rPr>
        <b/>
        <sz val="9"/>
        <rFont val="宋体"/>
        <charset val="134"/>
      </rPr>
      <t>（六十一）营业外收入</t>
    </r>
    <r>
      <rPr>
        <b/>
        <sz val="9"/>
        <rFont val="Arial Narrow"/>
        <charset val="134"/>
      </rPr>
      <t>-</t>
    </r>
    <r>
      <rPr>
        <b/>
        <sz val="9"/>
        <rFont val="宋体"/>
        <charset val="134"/>
      </rPr>
      <t>披露表</t>
    </r>
  </si>
  <si>
    <t>“其他”项目大于20万元，在右边表说明</t>
  </si>
  <si>
    <r>
      <rPr>
        <sz val="9"/>
        <rFont val="Arial Narrow"/>
        <charset val="134"/>
      </rPr>
      <t>1</t>
    </r>
    <r>
      <rPr>
        <sz val="9"/>
        <rFont val="宋体"/>
        <charset val="134"/>
      </rPr>
      <t>．处置非流动资产利得小计</t>
    </r>
  </si>
  <si>
    <r>
      <rPr>
        <sz val="9"/>
        <rFont val="Arial Narrow"/>
        <charset val="134"/>
      </rPr>
      <t xml:space="preserve">      </t>
    </r>
    <r>
      <rPr>
        <sz val="9"/>
        <rFont val="宋体"/>
        <charset val="134"/>
      </rPr>
      <t>处置无形资产利得</t>
    </r>
  </si>
  <si>
    <r>
      <rPr>
        <sz val="9"/>
        <rFont val="Arial Narrow"/>
        <charset val="134"/>
      </rPr>
      <t>2</t>
    </r>
    <r>
      <rPr>
        <sz val="9"/>
        <rFont val="宋体"/>
        <charset val="134"/>
      </rPr>
      <t>．非货币性资产交换利得</t>
    </r>
  </si>
  <si>
    <r>
      <rPr>
        <sz val="9"/>
        <rFont val="Arial Narrow"/>
        <charset val="134"/>
      </rPr>
      <t>3</t>
    </r>
    <r>
      <rPr>
        <sz val="9"/>
        <rFont val="宋体"/>
        <charset val="134"/>
      </rPr>
      <t>．债务重组利得</t>
    </r>
  </si>
  <si>
    <r>
      <rPr>
        <sz val="9"/>
        <rFont val="Arial Narrow"/>
        <charset val="134"/>
      </rPr>
      <t>4</t>
    </r>
    <r>
      <rPr>
        <sz val="9"/>
        <rFont val="宋体"/>
        <charset val="134"/>
      </rPr>
      <t>．政府补助</t>
    </r>
  </si>
  <si>
    <r>
      <rPr>
        <sz val="9"/>
        <rFont val="Arial Narrow"/>
        <charset val="134"/>
      </rPr>
      <t>5</t>
    </r>
    <r>
      <rPr>
        <sz val="9"/>
        <rFont val="宋体"/>
        <charset val="134"/>
      </rPr>
      <t>．盘盈利得</t>
    </r>
  </si>
  <si>
    <r>
      <rPr>
        <sz val="9"/>
        <rFont val="Arial Narrow"/>
        <charset val="134"/>
      </rPr>
      <t>6</t>
    </r>
    <r>
      <rPr>
        <sz val="9"/>
        <rFont val="宋体"/>
        <charset val="134"/>
      </rPr>
      <t>．捐赠利得</t>
    </r>
  </si>
  <si>
    <r>
      <rPr>
        <sz val="9"/>
        <rFont val="Arial Narrow"/>
        <charset val="134"/>
      </rPr>
      <t>7</t>
    </r>
    <r>
      <rPr>
        <sz val="9"/>
        <rFont val="宋体"/>
        <charset val="134"/>
      </rPr>
      <t>．罚款收入</t>
    </r>
  </si>
  <si>
    <r>
      <rPr>
        <sz val="9"/>
        <rFont val="Arial Narrow"/>
        <charset val="134"/>
      </rPr>
      <t>8</t>
    </r>
    <r>
      <rPr>
        <sz val="9"/>
        <rFont val="宋体"/>
        <charset val="134"/>
      </rPr>
      <t>．其他</t>
    </r>
  </si>
  <si>
    <r>
      <rPr>
        <sz val="9"/>
        <color theme="0" tint="-0.249977111117893"/>
        <rFont val="宋体"/>
        <charset val="134"/>
      </rPr>
      <t>本期政府补助情况</t>
    </r>
    <r>
      <rPr>
        <sz val="9"/>
        <color theme="0" tint="-0.249977111117893"/>
        <rFont val="Arial Narrow"/>
        <charset val="134"/>
      </rPr>
      <t>-</t>
    </r>
    <r>
      <rPr>
        <sz val="9"/>
        <color theme="0" tint="-0.249977111117893"/>
        <rFont val="宋体"/>
        <charset val="134"/>
      </rPr>
      <t>批露表</t>
    </r>
  </si>
  <si>
    <t>来源和依据</t>
  </si>
  <si>
    <t>注1：政府补助有附加性限制条件的，应同时披露附加性限制条件。对政府补助限定了用途及会计处理的，也应做出说明。</t>
  </si>
  <si>
    <r>
      <rPr>
        <sz val="9"/>
        <rFont val="宋体"/>
        <charset val="134"/>
      </rPr>
      <t>注</t>
    </r>
    <r>
      <rPr>
        <sz val="9"/>
        <rFont val="Arial Narrow"/>
        <charset val="134"/>
      </rPr>
      <t>1</t>
    </r>
    <r>
      <rPr>
        <sz val="9"/>
        <rFont val="宋体"/>
        <charset val="134"/>
      </rPr>
      <t>：政府补助有附加性限制条件的，应同时披露附加性限制条件。对政府补助限定了用途及会计处理的，也应做出说明。</t>
    </r>
  </si>
  <si>
    <t>注2：对上述政府补助进行文字描述。（依据***文件，收到**局**款**元。）</t>
  </si>
  <si>
    <t>（3）营业外收入变动幅度达30%（含30%）以上，或占报告期利润总额10%（含10%）以上的原因为。</t>
  </si>
  <si>
    <r>
      <rPr>
        <sz val="9"/>
        <rFont val="宋体"/>
        <charset val="134"/>
      </rPr>
      <t>（</t>
    </r>
    <r>
      <rPr>
        <sz val="9"/>
        <rFont val="Arial Narrow"/>
        <charset val="134"/>
      </rPr>
      <t>3</t>
    </r>
    <r>
      <rPr>
        <sz val="9"/>
        <rFont val="宋体"/>
        <charset val="134"/>
      </rPr>
      <t>）营业外收入变动幅度达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</si>
  <si>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营业外支出</t>
    </r>
    <r>
      <rPr>
        <sz val="9"/>
        <color theme="0" tint="-0.249977111117893"/>
        <rFont val="Arial Narrow"/>
        <charset val="134"/>
      </rPr>
      <t>-</t>
    </r>
    <r>
      <rPr>
        <sz val="9"/>
        <color theme="0" tint="-0.249977111117893"/>
        <rFont val="宋体"/>
        <charset val="134"/>
      </rPr>
      <t>披露表</t>
    </r>
  </si>
  <si>
    <r>
      <rPr>
        <b/>
        <sz val="9"/>
        <rFont val="宋体"/>
        <charset val="134"/>
      </rPr>
      <t>（六十二）营业外支出</t>
    </r>
    <r>
      <rPr>
        <b/>
        <sz val="9"/>
        <rFont val="Arial Narrow"/>
        <charset val="134"/>
      </rPr>
      <t>-</t>
    </r>
    <r>
      <rPr>
        <b/>
        <sz val="9"/>
        <rFont val="宋体"/>
        <charset val="134"/>
      </rPr>
      <t>披露表</t>
    </r>
  </si>
  <si>
    <r>
      <rPr>
        <sz val="9"/>
        <rFont val="Arial Narrow"/>
        <charset val="134"/>
      </rPr>
      <t xml:space="preserve">  </t>
    </r>
    <r>
      <rPr>
        <sz val="9"/>
        <rFont val="宋体"/>
        <charset val="134"/>
      </rPr>
      <t>其中：处置固定资产损失</t>
    </r>
  </si>
  <si>
    <r>
      <rPr>
        <sz val="9"/>
        <rFont val="Arial Narrow"/>
        <charset val="134"/>
      </rPr>
      <t xml:space="preserve">          </t>
    </r>
    <r>
      <rPr>
        <sz val="9"/>
        <rFont val="宋体"/>
        <charset val="134"/>
      </rPr>
      <t>处置无形资产损失</t>
    </r>
  </si>
  <si>
    <t>（2）营业外支出变动幅度达30%（含30%）以上，或占报告期利润总额10%（含10%）以上的原因为。</t>
  </si>
  <si>
    <r>
      <rPr>
        <sz val="9"/>
        <rFont val="宋体"/>
        <charset val="134"/>
      </rPr>
      <t>（</t>
    </r>
    <r>
      <rPr>
        <sz val="9"/>
        <rFont val="Arial Narrow"/>
        <charset val="134"/>
      </rPr>
      <t>2</t>
    </r>
    <r>
      <rPr>
        <sz val="9"/>
        <rFont val="宋体"/>
        <charset val="134"/>
      </rPr>
      <t>）营业外支出变动幅度达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</si>
  <si>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r>
      <rPr>
        <sz val="9"/>
        <color theme="0" tint="-0.249977111117893"/>
        <rFont val="宋体"/>
        <charset val="134"/>
      </rPr>
      <t>所得税费用</t>
    </r>
    <r>
      <rPr>
        <sz val="9"/>
        <color theme="0" tint="-0.249977111117893"/>
        <rFont val="Arial Narrow"/>
        <charset val="134"/>
      </rPr>
      <t>-</t>
    </r>
    <r>
      <rPr>
        <sz val="9"/>
        <color theme="0" tint="-0.249977111117893"/>
        <rFont val="宋体"/>
        <charset val="134"/>
      </rPr>
      <t>披露表</t>
    </r>
  </si>
  <si>
    <r>
      <rPr>
        <b/>
        <sz val="9"/>
        <rFont val="宋体"/>
        <charset val="134"/>
      </rPr>
      <t>（六十三）所得税费用</t>
    </r>
    <r>
      <rPr>
        <b/>
        <sz val="9"/>
        <rFont val="Arial Narrow"/>
        <charset val="134"/>
      </rPr>
      <t>-</t>
    </r>
    <r>
      <rPr>
        <b/>
        <sz val="9"/>
        <rFont val="宋体"/>
        <charset val="134"/>
      </rPr>
      <t>披露表</t>
    </r>
  </si>
  <si>
    <t xml:space="preserve">项 目 </t>
  </si>
  <si>
    <r>
      <rPr>
        <sz val="9"/>
        <rFont val="Times New Roman"/>
        <charset val="134"/>
      </rPr>
      <t>项</t>
    </r>
    <r>
      <rPr>
        <sz val="9"/>
        <rFont val="Arial Narrow"/>
        <charset val="134"/>
      </rPr>
      <t xml:space="preserve"> </t>
    </r>
    <r>
      <rPr>
        <sz val="9"/>
        <rFont val="Times New Roman"/>
        <charset val="134"/>
      </rPr>
      <t>目</t>
    </r>
    <r>
      <rPr>
        <sz val="9"/>
        <rFont val="Arial Narrow"/>
        <charset val="134"/>
      </rPr>
      <t xml:space="preserve"> </t>
    </r>
  </si>
  <si>
    <r>
      <rPr>
        <sz val="9"/>
        <rFont val="Arial Narrow"/>
        <charset val="134"/>
      </rPr>
      <t xml:space="preserve">      </t>
    </r>
    <r>
      <rPr>
        <sz val="9"/>
        <rFont val="宋体"/>
        <charset val="134"/>
      </rPr>
      <t>递延所得税</t>
    </r>
  </si>
  <si>
    <t>（2）所得税费用变动幅度达30%（含30%）以上，或占报告期利润总额10%（含10%）以上的原因为。</t>
  </si>
  <si>
    <r>
      <rPr>
        <sz val="9"/>
        <rFont val="宋体"/>
        <charset val="134"/>
      </rPr>
      <t>（</t>
    </r>
    <r>
      <rPr>
        <sz val="9"/>
        <rFont val="Arial Narrow"/>
        <charset val="134"/>
      </rPr>
      <t>2</t>
    </r>
    <r>
      <rPr>
        <sz val="9"/>
        <rFont val="宋体"/>
        <charset val="134"/>
      </rPr>
      <t>）所得税费用变动幅度达</t>
    </r>
    <r>
      <rPr>
        <sz val="9"/>
        <rFont val="Arial Narrow"/>
        <charset val="134"/>
      </rPr>
      <t>30%</t>
    </r>
    <r>
      <rPr>
        <sz val="9"/>
        <rFont val="宋体"/>
        <charset val="134"/>
      </rPr>
      <t>（含</t>
    </r>
    <r>
      <rPr>
        <sz val="9"/>
        <rFont val="Arial Narrow"/>
        <charset val="134"/>
      </rPr>
      <t>30%</t>
    </r>
    <r>
      <rPr>
        <sz val="9"/>
        <rFont val="宋体"/>
        <charset val="134"/>
      </rPr>
      <t>）以上，或占报告期利润总额</t>
    </r>
    <r>
      <rPr>
        <sz val="9"/>
        <rFont val="Arial Narrow"/>
        <charset val="134"/>
      </rPr>
      <t>10%</t>
    </r>
    <r>
      <rPr>
        <sz val="9"/>
        <rFont val="宋体"/>
        <charset val="134"/>
      </rPr>
      <t>（含</t>
    </r>
    <r>
      <rPr>
        <sz val="9"/>
        <rFont val="Arial Narrow"/>
        <charset val="134"/>
      </rPr>
      <t>10%</t>
    </r>
    <r>
      <rPr>
        <sz val="9"/>
        <rFont val="宋体"/>
        <charset val="134"/>
      </rPr>
      <t>）以上的原因为。</t>
    </r>
  </si>
  <si>
    <t>（3）所得税费用（收益）与会计利润关系的说明。</t>
  </si>
  <si>
    <r>
      <rPr>
        <sz val="9"/>
        <rFont val="宋体"/>
        <charset val="134"/>
      </rPr>
      <t>（</t>
    </r>
    <r>
      <rPr>
        <sz val="9"/>
        <rFont val="Arial Narrow"/>
        <charset val="134"/>
      </rPr>
      <t>3</t>
    </r>
    <r>
      <rPr>
        <sz val="9"/>
        <rFont val="宋体"/>
        <charset val="134"/>
      </rPr>
      <t>）所得税费用（收益）与会计利润关系的说明（上期可不填）。</t>
    </r>
  </si>
  <si>
    <t>期未金额</t>
  </si>
  <si>
    <t>一、利润总额</t>
  </si>
  <si>
    <t>二、调整事项：</t>
  </si>
  <si>
    <t>1、归属于合营企业和联营企业的损益</t>
  </si>
  <si>
    <r>
      <rPr>
        <sz val="9"/>
        <color rgb="FF000000"/>
        <rFont val="Arial Narrow"/>
        <charset val="134"/>
      </rPr>
      <t>1</t>
    </r>
    <r>
      <rPr>
        <sz val="9"/>
        <color rgb="FF000000"/>
        <rFont val="宋体"/>
        <charset val="134"/>
      </rPr>
      <t>、归属于合营企业和联营企业的损益</t>
    </r>
  </si>
  <si>
    <t>2、无须纳税的收入:</t>
  </si>
  <si>
    <r>
      <rPr>
        <sz val="9"/>
        <color rgb="FF000000"/>
        <rFont val="Arial Narrow"/>
        <charset val="134"/>
      </rPr>
      <t>2</t>
    </r>
    <r>
      <rPr>
        <sz val="9"/>
        <color rgb="FF000000"/>
        <rFont val="宋体"/>
        <charset val="134"/>
      </rPr>
      <t>、无须纳税的收入</t>
    </r>
    <r>
      <rPr>
        <sz val="9"/>
        <color rgb="FF000000"/>
        <rFont val="Arial Narrow"/>
        <charset val="134"/>
      </rPr>
      <t>:</t>
    </r>
  </si>
  <si>
    <t>其中：项目1-</t>
  </si>
  <si>
    <r>
      <rPr>
        <sz val="9"/>
        <color rgb="FF000000"/>
        <rFont val="宋体"/>
        <charset val="134"/>
      </rPr>
      <t>其中：项目</t>
    </r>
    <r>
      <rPr>
        <sz val="9"/>
        <color rgb="FF000000"/>
        <rFont val="Arial Narrow"/>
        <charset val="134"/>
      </rPr>
      <t>1-</t>
    </r>
    <r>
      <rPr>
        <sz val="9"/>
        <color rgb="FF000000"/>
        <rFont val="宋体"/>
        <charset val="134"/>
      </rPr>
      <t>收到政府补助</t>
    </r>
  </si>
  <si>
    <t xml:space="preserve">      项目2-</t>
  </si>
  <si>
    <r>
      <rPr>
        <sz val="9"/>
        <color rgb="FF000000"/>
        <rFont val="Arial Narrow"/>
        <charset val="134"/>
      </rPr>
      <t xml:space="preserve">            </t>
    </r>
    <r>
      <rPr>
        <sz val="9"/>
        <color rgb="FF000000"/>
        <rFont val="宋体"/>
        <charset val="134"/>
      </rPr>
      <t>项目</t>
    </r>
    <r>
      <rPr>
        <sz val="9"/>
        <color rgb="FF000000"/>
        <rFont val="Arial Narrow"/>
        <charset val="134"/>
      </rPr>
      <t>2-</t>
    </r>
    <r>
      <rPr>
        <sz val="9"/>
        <color rgb="FF000000"/>
        <rFont val="宋体"/>
        <charset val="134"/>
      </rPr>
      <t>成本法</t>
    </r>
    <r>
      <rPr>
        <sz val="9"/>
        <color rgb="FF000000"/>
        <rFont val="Arial Narrow"/>
        <charset val="134"/>
      </rPr>
      <t>-</t>
    </r>
    <r>
      <rPr>
        <sz val="9"/>
        <color rgb="FF000000"/>
        <rFont val="宋体"/>
        <charset val="134"/>
      </rPr>
      <t>子公司分红</t>
    </r>
  </si>
  <si>
    <t xml:space="preserve">      项目3-</t>
  </si>
  <si>
    <r>
      <rPr>
        <sz val="9"/>
        <color rgb="FF000000"/>
        <rFont val="Arial Narrow"/>
        <charset val="134"/>
      </rPr>
      <t xml:space="preserve">            </t>
    </r>
    <r>
      <rPr>
        <sz val="9"/>
        <color rgb="FF000000"/>
        <rFont val="宋体"/>
        <charset val="134"/>
      </rPr>
      <t>项目</t>
    </r>
    <r>
      <rPr>
        <sz val="9"/>
        <color rgb="FF000000"/>
        <rFont val="Arial Narrow"/>
        <charset val="134"/>
      </rPr>
      <t>3-</t>
    </r>
    <r>
      <rPr>
        <sz val="9"/>
        <color rgb="FF000000"/>
        <rFont val="宋体"/>
        <charset val="134"/>
      </rPr>
      <t>其他投资分红</t>
    </r>
  </si>
  <si>
    <t xml:space="preserve">      项目4-</t>
  </si>
  <si>
    <r>
      <rPr>
        <sz val="9"/>
        <color rgb="FF000000"/>
        <rFont val="Arial Narrow"/>
        <charset val="134"/>
      </rPr>
      <t xml:space="preserve">            </t>
    </r>
    <r>
      <rPr>
        <sz val="9"/>
        <color rgb="FF000000"/>
        <rFont val="宋体"/>
        <charset val="134"/>
      </rPr>
      <t>项目</t>
    </r>
    <r>
      <rPr>
        <sz val="9"/>
        <color rgb="FF000000"/>
        <rFont val="Arial Narrow"/>
        <charset val="134"/>
      </rPr>
      <t>4-</t>
    </r>
  </si>
  <si>
    <t xml:space="preserve">      项目5-</t>
  </si>
  <si>
    <r>
      <rPr>
        <sz val="9"/>
        <color rgb="FF000000"/>
        <rFont val="Arial Narrow"/>
        <charset val="134"/>
      </rPr>
      <t xml:space="preserve">            </t>
    </r>
    <r>
      <rPr>
        <sz val="9"/>
        <color rgb="FF000000"/>
        <rFont val="宋体"/>
        <charset val="134"/>
      </rPr>
      <t>项目</t>
    </r>
    <r>
      <rPr>
        <sz val="9"/>
        <color rgb="FF000000"/>
        <rFont val="Arial Narrow"/>
        <charset val="134"/>
      </rPr>
      <t>5-</t>
    </r>
  </si>
  <si>
    <t>3、不可抵扣的费用:</t>
  </si>
  <si>
    <r>
      <rPr>
        <sz val="9"/>
        <color rgb="FF000000"/>
        <rFont val="Arial Narrow"/>
        <charset val="134"/>
      </rPr>
      <t>3</t>
    </r>
    <r>
      <rPr>
        <sz val="9"/>
        <color rgb="FF000000"/>
        <rFont val="宋体"/>
        <charset val="134"/>
      </rPr>
      <t>、不可抵扣的费用</t>
    </r>
    <r>
      <rPr>
        <sz val="9"/>
        <color rgb="FF000000"/>
        <rFont val="Arial Narrow"/>
        <charset val="134"/>
      </rPr>
      <t>:</t>
    </r>
  </si>
  <si>
    <r>
      <rPr>
        <sz val="9"/>
        <color rgb="FF000000"/>
        <rFont val="宋体"/>
        <charset val="134"/>
      </rPr>
      <t>其中：项目</t>
    </r>
    <r>
      <rPr>
        <sz val="9"/>
        <color rgb="FF000000"/>
        <rFont val="Arial Narrow"/>
        <charset val="134"/>
      </rPr>
      <t>1-</t>
    </r>
    <r>
      <rPr>
        <sz val="9"/>
        <color rgb="FF000000"/>
        <rFont val="宋体"/>
        <charset val="134"/>
      </rPr>
      <t>超标准业务费</t>
    </r>
  </si>
  <si>
    <r>
      <rPr>
        <sz val="9"/>
        <color rgb="FF000000"/>
        <rFont val="Arial Narrow"/>
        <charset val="134"/>
      </rPr>
      <t xml:space="preserve">            </t>
    </r>
    <r>
      <rPr>
        <sz val="9"/>
        <color rgb="FF000000"/>
        <rFont val="宋体"/>
        <charset val="134"/>
      </rPr>
      <t>项目</t>
    </r>
    <r>
      <rPr>
        <sz val="9"/>
        <color rgb="FF000000"/>
        <rFont val="Arial Narrow"/>
        <charset val="134"/>
      </rPr>
      <t>2-</t>
    </r>
    <r>
      <rPr>
        <sz val="9"/>
        <color rgb="FF000000"/>
        <rFont val="宋体"/>
        <charset val="134"/>
      </rPr>
      <t>财产损失</t>
    </r>
  </si>
  <si>
    <r>
      <rPr>
        <sz val="9"/>
        <color rgb="FF000000"/>
        <rFont val="Arial Narrow"/>
        <charset val="134"/>
      </rPr>
      <t xml:space="preserve">            </t>
    </r>
    <r>
      <rPr>
        <sz val="9"/>
        <color rgb="FF000000"/>
        <rFont val="宋体"/>
        <charset val="134"/>
      </rPr>
      <t>项目</t>
    </r>
    <r>
      <rPr>
        <sz val="9"/>
        <color rgb="FF000000"/>
        <rFont val="Arial Narrow"/>
        <charset val="134"/>
      </rPr>
      <t>3-</t>
    </r>
    <r>
      <rPr>
        <sz val="9"/>
        <color rgb="FF000000"/>
        <rFont val="宋体"/>
        <charset val="134"/>
      </rPr>
      <t>其他</t>
    </r>
  </si>
  <si>
    <t xml:space="preserve">            项目4-罚款</t>
  </si>
  <si>
    <r>
      <rPr>
        <sz val="9"/>
        <color rgb="FF000000"/>
        <rFont val="Arial Narrow"/>
        <charset val="134"/>
      </rPr>
      <t xml:space="preserve">            </t>
    </r>
    <r>
      <rPr>
        <sz val="9"/>
        <color rgb="FF000000"/>
        <rFont val="宋体"/>
        <charset val="134"/>
      </rPr>
      <t>项目</t>
    </r>
    <r>
      <rPr>
        <sz val="9"/>
        <color rgb="FF000000"/>
        <rFont val="Arial Narrow"/>
        <charset val="134"/>
      </rPr>
      <t>5-</t>
    </r>
    <r>
      <rPr>
        <sz val="9"/>
        <color rgb="FF000000"/>
        <rFont val="宋体"/>
        <charset val="134"/>
      </rPr>
      <t>资产增值调整折旧</t>
    </r>
  </si>
  <si>
    <t>4、利用以前年度可抵扣亏损</t>
  </si>
  <si>
    <r>
      <rPr>
        <sz val="9"/>
        <color rgb="FF000000"/>
        <rFont val="Arial Narrow"/>
        <charset val="134"/>
      </rPr>
      <t>4</t>
    </r>
    <r>
      <rPr>
        <sz val="9"/>
        <color rgb="FF000000"/>
        <rFont val="宋体"/>
        <charset val="134"/>
      </rPr>
      <t>、利用以前年度可抵扣亏损</t>
    </r>
  </si>
  <si>
    <t>5、加计扣除的技术开发费用</t>
  </si>
  <si>
    <r>
      <rPr>
        <sz val="9"/>
        <color rgb="FF000000"/>
        <rFont val="Arial Narrow"/>
        <charset val="134"/>
      </rPr>
      <t>5</t>
    </r>
    <r>
      <rPr>
        <sz val="9"/>
        <color rgb="FF000000"/>
        <rFont val="宋体"/>
        <charset val="134"/>
      </rPr>
      <t>、加计扣除的技术开发费用</t>
    </r>
  </si>
  <si>
    <r>
      <rPr>
        <sz val="9"/>
        <color rgb="FF000000"/>
        <rFont val="Arial Narrow"/>
        <charset val="134"/>
      </rPr>
      <t xml:space="preserve">     </t>
    </r>
    <r>
      <rPr>
        <sz val="9"/>
        <color rgb="FF000000"/>
        <rFont val="宋体"/>
        <charset val="134"/>
      </rPr>
      <t>加计扣除的安置残疾人员所支付的工资</t>
    </r>
  </si>
  <si>
    <t>6、抵扣应纳税所得额</t>
  </si>
  <si>
    <r>
      <rPr>
        <sz val="9"/>
        <color rgb="FF000000"/>
        <rFont val="Arial Narrow"/>
        <charset val="134"/>
      </rPr>
      <t>6</t>
    </r>
    <r>
      <rPr>
        <sz val="9"/>
        <color rgb="FF000000"/>
        <rFont val="宋体"/>
        <charset val="134"/>
      </rPr>
      <t>、抵扣应纳税所得额</t>
    </r>
  </si>
  <si>
    <r>
      <rPr>
        <sz val="9"/>
        <color rgb="FF000000"/>
        <rFont val="宋体"/>
        <charset val="134"/>
      </rPr>
      <t>其中：项目</t>
    </r>
    <r>
      <rPr>
        <sz val="9"/>
        <color rgb="FF000000"/>
        <rFont val="Arial Narrow"/>
        <charset val="134"/>
      </rPr>
      <t>1-</t>
    </r>
  </si>
  <si>
    <r>
      <rPr>
        <sz val="9"/>
        <color rgb="FF000000"/>
        <rFont val="Arial Narrow"/>
        <charset val="134"/>
      </rPr>
      <t xml:space="preserve">      </t>
    </r>
    <r>
      <rPr>
        <sz val="9"/>
        <color rgb="FF000000"/>
        <rFont val="宋体"/>
        <charset val="134"/>
      </rPr>
      <t>项目</t>
    </r>
    <r>
      <rPr>
        <sz val="9"/>
        <color rgb="FF000000"/>
        <rFont val="Arial Narrow"/>
        <charset val="134"/>
      </rPr>
      <t>2-</t>
    </r>
  </si>
  <si>
    <r>
      <rPr>
        <sz val="9"/>
        <color rgb="FF000000"/>
        <rFont val="Arial Narrow"/>
        <charset val="134"/>
      </rPr>
      <t xml:space="preserve">      </t>
    </r>
    <r>
      <rPr>
        <sz val="9"/>
        <color rgb="FF000000"/>
        <rFont val="宋体"/>
        <charset val="134"/>
      </rPr>
      <t>项目</t>
    </r>
    <r>
      <rPr>
        <sz val="9"/>
        <color rgb="FF000000"/>
        <rFont val="Arial Narrow"/>
        <charset val="134"/>
      </rPr>
      <t>3-</t>
    </r>
  </si>
  <si>
    <t>7、其他调整</t>
  </si>
  <si>
    <r>
      <rPr>
        <sz val="9"/>
        <color rgb="FF000000"/>
        <rFont val="Arial Narrow"/>
        <charset val="134"/>
      </rPr>
      <t>7</t>
    </r>
    <r>
      <rPr>
        <sz val="9"/>
        <color rgb="FF000000"/>
        <rFont val="宋体"/>
        <charset val="134"/>
      </rPr>
      <t>、其他调整</t>
    </r>
  </si>
  <si>
    <t>其中：1-坏账损失</t>
  </si>
  <si>
    <t xml:space="preserve">            2-存货跌价损失</t>
  </si>
  <si>
    <r>
      <rPr>
        <sz val="9"/>
        <color rgb="FF000000"/>
        <rFont val="宋体"/>
        <charset val="134"/>
      </rPr>
      <t>　</t>
    </r>
    <r>
      <rPr>
        <sz val="9"/>
        <color rgb="FF000000"/>
        <rFont val="Arial Narrow"/>
        <charset val="134"/>
      </rPr>
      <t xml:space="preserve"> </t>
    </r>
    <r>
      <rPr>
        <sz val="9"/>
        <color rgb="FF000000"/>
        <rFont val="宋体"/>
        <charset val="134"/>
      </rPr>
      <t>　</t>
    </r>
    <r>
      <rPr>
        <sz val="9"/>
        <color rgb="FF000000"/>
        <rFont val="Arial Narrow"/>
        <charset val="134"/>
      </rPr>
      <t>3-</t>
    </r>
    <r>
      <rPr>
        <sz val="9"/>
        <color rgb="FF000000"/>
        <rFont val="宋体"/>
        <charset val="134"/>
      </rPr>
      <t>已确认递延的存货跌价准备转销（负号填列“</t>
    </r>
    <r>
      <rPr>
        <sz val="9"/>
        <color rgb="FF000000"/>
        <rFont val="Arial Narrow"/>
        <charset val="134"/>
      </rPr>
      <t>-”</t>
    </r>
    <r>
      <rPr>
        <sz val="9"/>
        <color rgb="FF000000"/>
        <rFont val="宋体"/>
        <charset val="134"/>
      </rPr>
      <t>）</t>
    </r>
  </si>
  <si>
    <r>
      <rPr>
        <sz val="9"/>
        <rFont val="Arial Narrow"/>
        <charset val="134"/>
      </rPr>
      <t xml:space="preserve">      </t>
    </r>
    <r>
      <rPr>
        <sz val="9"/>
        <rFont val="宋体"/>
        <charset val="134"/>
      </rPr>
      <t>项目</t>
    </r>
    <r>
      <rPr>
        <sz val="9"/>
        <rFont val="Arial Narrow"/>
        <charset val="134"/>
      </rPr>
      <t>4-</t>
    </r>
  </si>
  <si>
    <t>三、应纳税所得额</t>
  </si>
  <si>
    <t>纳税调整后所得</t>
  </si>
  <si>
    <t>四、当期适用税率</t>
  </si>
  <si>
    <t>五、按法定(或适用)税率计算的所得税费用</t>
  </si>
  <si>
    <r>
      <rPr>
        <b/>
        <sz val="9"/>
        <color rgb="FF000000"/>
        <rFont val="宋体"/>
        <charset val="134"/>
      </rPr>
      <t>五、按法定</t>
    </r>
    <r>
      <rPr>
        <b/>
        <sz val="9"/>
        <color rgb="FF000000"/>
        <rFont val="Arial Narrow"/>
        <charset val="134"/>
      </rPr>
      <t>(</t>
    </r>
    <r>
      <rPr>
        <b/>
        <sz val="9"/>
        <color rgb="FF000000"/>
        <rFont val="宋体"/>
        <charset val="134"/>
      </rPr>
      <t>或适用</t>
    </r>
    <r>
      <rPr>
        <b/>
        <sz val="9"/>
        <color rgb="FF000000"/>
        <rFont val="Arial Narrow"/>
        <charset val="134"/>
      </rPr>
      <t>)</t>
    </r>
    <r>
      <rPr>
        <b/>
        <sz val="9"/>
        <color rgb="FF000000"/>
        <rFont val="宋体"/>
        <charset val="134"/>
      </rPr>
      <t>税率计算的所得税费用</t>
    </r>
  </si>
  <si>
    <t>六、对以前期间当期所得税的调整</t>
  </si>
  <si>
    <t>七、调整后当期所得税费用</t>
  </si>
  <si>
    <t>八、递延所得税费用</t>
  </si>
  <si>
    <t>1、期初确认递延所得税使用税率</t>
  </si>
  <si>
    <r>
      <rPr>
        <sz val="9"/>
        <rFont val="Arial Narrow"/>
        <charset val="134"/>
      </rPr>
      <t>1</t>
    </r>
    <r>
      <rPr>
        <sz val="9"/>
        <rFont val="宋体"/>
        <charset val="134"/>
      </rPr>
      <t>、期初确认递延所得税使用税率</t>
    </r>
  </si>
  <si>
    <t>2、当期确认递延所得税使用税率</t>
  </si>
  <si>
    <r>
      <rPr>
        <sz val="9"/>
        <rFont val="Arial Narrow"/>
        <charset val="134"/>
      </rPr>
      <t>2</t>
    </r>
    <r>
      <rPr>
        <sz val="9"/>
        <rFont val="宋体"/>
        <charset val="134"/>
      </rPr>
      <t>、当期确认递延所得税使用税率</t>
    </r>
  </si>
  <si>
    <t>3、税率变动对期初递延所得税余额的影响</t>
  </si>
  <si>
    <r>
      <rPr>
        <sz val="9"/>
        <color rgb="FF000000"/>
        <rFont val="Arial Narrow"/>
        <charset val="134"/>
      </rPr>
      <t>3</t>
    </r>
    <r>
      <rPr>
        <sz val="9"/>
        <color rgb="FF000000"/>
        <rFont val="宋体"/>
        <charset val="134"/>
      </rPr>
      <t>、税率变动对期初递延所得税余额的影响</t>
    </r>
  </si>
  <si>
    <t>①期初确认的可抵扣暂时性差异</t>
  </si>
  <si>
    <r>
      <rPr>
        <sz val="9"/>
        <color rgb="FF000000"/>
        <rFont val="Arial Narrow"/>
        <charset val="134"/>
      </rPr>
      <t xml:space="preserve">      </t>
    </r>
    <r>
      <rPr>
        <sz val="9"/>
        <color rgb="FF000000"/>
        <rFont val="宋体"/>
        <charset val="134"/>
      </rPr>
      <t>项目</t>
    </r>
    <r>
      <rPr>
        <sz val="9"/>
        <color rgb="FF000000"/>
        <rFont val="Arial Narrow"/>
        <charset val="134"/>
      </rPr>
      <t>4-</t>
    </r>
  </si>
  <si>
    <t>②已确认可抵扣暂时性差异转销</t>
  </si>
  <si>
    <t>4、未确认的可抵扣暂时性差异的影响和可抵扣亏损</t>
  </si>
  <si>
    <r>
      <rPr>
        <sz val="9"/>
        <color rgb="FF000000"/>
        <rFont val="Arial Narrow"/>
        <charset val="134"/>
      </rPr>
      <t>4</t>
    </r>
    <r>
      <rPr>
        <sz val="9"/>
        <color rgb="FF000000"/>
        <rFont val="宋体"/>
        <charset val="134"/>
      </rPr>
      <t>、未确认的可抵扣暂时性差异的影响和可抵扣亏损</t>
    </r>
  </si>
  <si>
    <t>①未确认的可抵扣暂时性差异</t>
  </si>
  <si>
    <r>
      <rPr>
        <sz val="9"/>
        <color rgb="FF000000"/>
        <rFont val="宋体"/>
        <charset val="134"/>
      </rPr>
      <t>其中：</t>
    </r>
    <r>
      <rPr>
        <sz val="9"/>
        <color rgb="FF000000"/>
        <rFont val="Arial Narrow"/>
        <charset val="134"/>
      </rPr>
      <t>1-</t>
    </r>
    <r>
      <rPr>
        <sz val="9"/>
        <color rgb="FF000000"/>
        <rFont val="宋体"/>
        <charset val="134"/>
      </rPr>
      <t>坏账损失</t>
    </r>
  </si>
  <si>
    <r>
      <rPr>
        <sz val="9"/>
        <color rgb="FF000000"/>
        <rFont val="Arial Narrow"/>
        <charset val="134"/>
      </rPr>
      <t xml:space="preserve">            2-</t>
    </r>
    <r>
      <rPr>
        <sz val="9"/>
        <color rgb="FF000000"/>
        <rFont val="宋体"/>
        <charset val="134"/>
      </rPr>
      <t>存货跌价损失</t>
    </r>
  </si>
  <si>
    <r>
      <rPr>
        <sz val="9"/>
        <color rgb="FF000000"/>
        <rFont val="Arial Narrow"/>
        <charset val="134"/>
      </rPr>
      <t xml:space="preserve">      </t>
    </r>
    <r>
      <rPr>
        <sz val="9"/>
        <color rgb="FF000000"/>
        <rFont val="宋体"/>
        <charset val="134"/>
      </rPr>
      <t>项目</t>
    </r>
    <r>
      <rPr>
        <sz val="9"/>
        <color rgb="FF000000"/>
        <rFont val="Arial Narrow"/>
        <charset val="134"/>
      </rPr>
      <t>5-</t>
    </r>
  </si>
  <si>
    <t>②未确认可抵扣亏损</t>
  </si>
  <si>
    <t>附注批露表：</t>
  </si>
  <si>
    <t>利润总额</t>
  </si>
  <si>
    <t>按法定(或适用)税率计算的所得税费用</t>
  </si>
  <si>
    <r>
      <rPr>
        <sz val="9"/>
        <color rgb="FF000000"/>
        <rFont val="宋体"/>
        <charset val="134"/>
      </rPr>
      <t>按法定</t>
    </r>
    <r>
      <rPr>
        <sz val="9"/>
        <color rgb="FF000000"/>
        <rFont val="Arial Narrow"/>
        <charset val="134"/>
      </rPr>
      <t>(</t>
    </r>
    <r>
      <rPr>
        <sz val="9"/>
        <color rgb="FF000000"/>
        <rFont val="宋体"/>
        <charset val="134"/>
      </rPr>
      <t>或适用</t>
    </r>
    <r>
      <rPr>
        <sz val="9"/>
        <color rgb="FF000000"/>
        <rFont val="Arial Narrow"/>
        <charset val="134"/>
      </rPr>
      <t>)</t>
    </r>
    <r>
      <rPr>
        <sz val="9"/>
        <color rgb="FF000000"/>
        <rFont val="宋体"/>
        <charset val="134"/>
      </rPr>
      <t>税率计算的所得税费用</t>
    </r>
  </si>
  <si>
    <t>子公司适用不同税率的影响（合并用）</t>
  </si>
  <si>
    <t>核定征收的子公司的纳税影响</t>
  </si>
  <si>
    <t>对以前期间当期所得税的调整</t>
  </si>
  <si>
    <t>归属于合营企业和联营企业的损益</t>
  </si>
  <si>
    <t>无须纳税的收入</t>
  </si>
  <si>
    <t>不可抵扣的费用</t>
  </si>
  <si>
    <t>加计扣除的技术开发费用</t>
  </si>
  <si>
    <t>加计扣除的安置残疾人员所支付的工资</t>
  </si>
  <si>
    <t>利用以前年度可抵扣亏损</t>
  </si>
  <si>
    <t>其他调整影响</t>
  </si>
  <si>
    <t>税率变动对期初递延所得税余额的影响</t>
  </si>
  <si>
    <t>未确认的可抵扣暂时性差异的影响和可抵扣亏损</t>
  </si>
  <si>
    <t>(4)补充表：弥补亏损明细表</t>
  </si>
  <si>
    <r>
      <rPr>
        <b/>
        <sz val="9"/>
        <rFont val="Arial Narrow"/>
        <charset val="134"/>
      </rPr>
      <t>(4)</t>
    </r>
    <r>
      <rPr>
        <b/>
        <sz val="9"/>
        <rFont val="宋体"/>
        <charset val="134"/>
      </rPr>
      <t>补充表：弥补亏损明细表</t>
    </r>
  </si>
  <si>
    <t>行次</t>
  </si>
  <si>
    <t>年　度</t>
  </si>
  <si>
    <t>亏损或盈利金额</t>
  </si>
  <si>
    <t>已弥补过的亏损额</t>
  </si>
  <si>
    <t>本年度可弥补的亏损额</t>
  </si>
  <si>
    <t>可结转下一年度未弥补完的亏损额</t>
  </si>
  <si>
    <t>未确认递延所税金亏损</t>
  </si>
  <si>
    <t>（各年的亏损额在以后年度的弥补情况）</t>
  </si>
  <si>
    <t>第二年</t>
  </si>
  <si>
    <t>第三年</t>
  </si>
  <si>
    <t>第四年</t>
  </si>
  <si>
    <t>第五年</t>
  </si>
  <si>
    <t>合　计</t>
  </si>
  <si>
    <t>第一年</t>
  </si>
  <si>
    <t>*</t>
  </si>
  <si>
    <t>本　年</t>
  </si>
  <si>
    <t>　本年度可弥补的以前年度亏损额</t>
  </si>
  <si>
    <t>　可结转下一年度未弥补完的亏损额</t>
  </si>
  <si>
    <t>（六十四）基本每股收益和稀释每股收益的计算过程：</t>
  </si>
  <si>
    <t>基本每股收益和稀释每股收益的计算过程：</t>
  </si>
  <si>
    <r>
      <rPr>
        <sz val="9"/>
        <color theme="0" tint="-0.249977111117893"/>
        <rFont val="宋体"/>
        <charset val="134"/>
      </rPr>
      <t>其他综合收益</t>
    </r>
    <r>
      <rPr>
        <sz val="9"/>
        <color theme="0" tint="-0.249977111117893"/>
        <rFont val="Arial Narrow"/>
        <charset val="134"/>
      </rPr>
      <t>-</t>
    </r>
    <r>
      <rPr>
        <sz val="9"/>
        <color theme="0" tint="-0.249977111117893"/>
        <rFont val="宋体"/>
        <charset val="134"/>
      </rPr>
      <t>批露表</t>
    </r>
  </si>
  <si>
    <r>
      <rPr>
        <b/>
        <sz val="9"/>
        <rFont val="宋体"/>
        <charset val="134"/>
      </rPr>
      <t>（六十五）其他综合收益</t>
    </r>
    <r>
      <rPr>
        <b/>
        <sz val="9"/>
        <rFont val="Arial Narrow"/>
        <charset val="134"/>
      </rPr>
      <t>-</t>
    </r>
    <r>
      <rPr>
        <b/>
        <sz val="9"/>
        <rFont val="宋体"/>
        <charset val="134"/>
      </rPr>
      <t>批露表</t>
    </r>
  </si>
  <si>
    <t xml:space="preserve">          项   目</t>
  </si>
  <si>
    <r>
      <rPr>
        <sz val="9"/>
        <rFont val="Arial Narrow"/>
        <charset val="134"/>
      </rPr>
      <t xml:space="preserve">          </t>
    </r>
    <r>
      <rPr>
        <sz val="9"/>
        <rFont val="宋体"/>
        <charset val="134"/>
      </rPr>
      <t>项</t>
    </r>
    <r>
      <rPr>
        <sz val="9"/>
        <rFont val="Arial Narrow"/>
        <charset val="134"/>
      </rPr>
      <t xml:space="preserve">   </t>
    </r>
    <r>
      <rPr>
        <sz val="9"/>
        <rFont val="宋体"/>
        <charset val="134"/>
      </rPr>
      <t>目</t>
    </r>
  </si>
  <si>
    <r>
      <rPr>
        <sz val="9"/>
        <rFont val="Arial Narrow"/>
        <charset val="134"/>
      </rPr>
      <t xml:space="preserve"> </t>
    </r>
    <r>
      <rPr>
        <sz val="9"/>
        <rFont val="宋体"/>
        <charset val="134"/>
      </rPr>
      <t>本期金额</t>
    </r>
  </si>
  <si>
    <r>
      <rPr>
        <sz val="9"/>
        <rFont val="Arial Narrow"/>
        <charset val="134"/>
      </rPr>
      <t>1</t>
    </r>
    <r>
      <rPr>
        <sz val="9"/>
        <rFont val="宋体"/>
        <charset val="134"/>
      </rPr>
      <t>．可供出售金融资产产生的利得（损失）金额</t>
    </r>
  </si>
  <si>
    <r>
      <rPr>
        <sz val="9"/>
        <rFont val="Arial Narrow"/>
        <charset val="134"/>
      </rPr>
      <t xml:space="preserve">   </t>
    </r>
    <r>
      <rPr>
        <sz val="9"/>
        <rFont val="宋体"/>
        <charset val="134"/>
      </rPr>
      <t>减：可供出售金融资产产生的所得税影响</t>
    </r>
  </si>
  <si>
    <r>
      <rPr>
        <sz val="9"/>
        <rFont val="Arial Narrow"/>
        <charset val="134"/>
      </rPr>
      <t xml:space="preserve">       </t>
    </r>
    <r>
      <rPr>
        <sz val="9"/>
        <rFont val="宋体"/>
        <charset val="134"/>
      </rPr>
      <t>前期计入其他综合收益当期转入损益的净额</t>
    </r>
  </si>
  <si>
    <r>
      <rPr>
        <u/>
        <sz val="9"/>
        <rFont val="宋体"/>
        <charset val="134"/>
      </rPr>
      <t>小</t>
    </r>
    <r>
      <rPr>
        <u/>
        <sz val="9"/>
        <rFont val="Arial Narrow"/>
        <charset val="134"/>
      </rPr>
      <t xml:space="preserve">  </t>
    </r>
    <r>
      <rPr>
        <u/>
        <sz val="9"/>
        <rFont val="宋体"/>
        <charset val="134"/>
      </rPr>
      <t>计</t>
    </r>
  </si>
  <si>
    <r>
      <rPr>
        <sz val="9"/>
        <rFont val="Arial Narrow"/>
        <charset val="134"/>
      </rPr>
      <t>2</t>
    </r>
    <r>
      <rPr>
        <sz val="9"/>
        <rFont val="宋体"/>
        <charset val="134"/>
      </rPr>
      <t>．按照权益法核算的在被投资单位其他综合收益中所享有的份额</t>
    </r>
  </si>
  <si>
    <r>
      <rPr>
        <sz val="9"/>
        <rFont val="Arial Narrow"/>
        <charset val="134"/>
      </rPr>
      <t xml:space="preserve">   </t>
    </r>
    <r>
      <rPr>
        <sz val="9"/>
        <rFont val="宋体"/>
        <charset val="134"/>
      </rPr>
      <t>减：按照权益法核算的在被投资单位其他综合收益中所享有的份额产生的所得税影响</t>
    </r>
  </si>
  <si>
    <r>
      <rPr>
        <sz val="9"/>
        <rFont val="Arial Narrow"/>
        <charset val="134"/>
      </rPr>
      <t>3</t>
    </r>
    <r>
      <rPr>
        <sz val="9"/>
        <rFont val="宋体"/>
        <charset val="134"/>
      </rPr>
      <t>．现金流量套期工具产生的利得（或损失）金额</t>
    </r>
  </si>
  <si>
    <r>
      <rPr>
        <sz val="9"/>
        <rFont val="Arial Narrow"/>
        <charset val="134"/>
      </rPr>
      <t xml:space="preserve">   </t>
    </r>
    <r>
      <rPr>
        <sz val="9"/>
        <rFont val="宋体"/>
        <charset val="134"/>
      </rPr>
      <t>减：现金流量套期工具产生的所得税影响</t>
    </r>
  </si>
  <si>
    <r>
      <rPr>
        <sz val="9"/>
        <rFont val="Arial Narrow"/>
        <charset val="134"/>
      </rPr>
      <t>4</t>
    </r>
    <r>
      <rPr>
        <sz val="9"/>
        <rFont val="宋体"/>
        <charset val="134"/>
      </rPr>
      <t>．外币报表折算差额</t>
    </r>
  </si>
  <si>
    <r>
      <rPr>
        <sz val="9"/>
        <rFont val="Arial Narrow"/>
        <charset val="134"/>
      </rPr>
      <t xml:space="preserve">   </t>
    </r>
    <r>
      <rPr>
        <sz val="9"/>
        <rFont val="宋体"/>
        <charset val="134"/>
      </rPr>
      <t>减：处置境外经营当期转入损益的净额</t>
    </r>
  </si>
  <si>
    <r>
      <rPr>
        <sz val="9"/>
        <rFont val="Arial Narrow"/>
        <charset val="134"/>
      </rPr>
      <t>5</t>
    </r>
    <r>
      <rPr>
        <sz val="9"/>
        <rFont val="宋体"/>
        <charset val="134"/>
      </rPr>
      <t>．其他</t>
    </r>
  </si>
  <si>
    <r>
      <rPr>
        <sz val="9"/>
        <rFont val="Arial Narrow"/>
        <charset val="134"/>
      </rPr>
      <t xml:space="preserve">   </t>
    </r>
    <r>
      <rPr>
        <sz val="9"/>
        <rFont val="宋体"/>
        <charset val="134"/>
      </rPr>
      <t>减：与其他计入其他综合收益相关的所得税影响</t>
    </r>
  </si>
  <si>
    <r>
      <rPr>
        <sz val="9"/>
        <rFont val="Arial Narrow"/>
        <charset val="134"/>
      </rPr>
      <t xml:space="preserve">       </t>
    </r>
    <r>
      <rPr>
        <sz val="9"/>
        <rFont val="宋体"/>
        <charset val="134"/>
      </rPr>
      <t>前期其他计入其他综合收益当期转入损益的净额</t>
    </r>
  </si>
  <si>
    <r>
      <rPr>
        <u val="double"/>
        <sz val="9"/>
        <rFont val="宋体"/>
        <charset val="134"/>
      </rPr>
      <t>合</t>
    </r>
    <r>
      <rPr>
        <u val="double"/>
        <sz val="9"/>
        <rFont val="Arial Narrow"/>
        <charset val="134"/>
      </rPr>
      <t xml:space="preserve">   </t>
    </r>
    <r>
      <rPr>
        <u val="double"/>
        <sz val="9"/>
        <rFont val="宋体"/>
        <charset val="134"/>
      </rPr>
      <t>计</t>
    </r>
  </si>
  <si>
    <t>（六十六）收到或支付的其他与经营活动有关的现金</t>
  </si>
  <si>
    <t>收到或支付的其他与经营活动有关的现金</t>
  </si>
  <si>
    <t>一、收到的其他与经营活动有关的现金</t>
  </si>
  <si>
    <t>大额项目</t>
  </si>
  <si>
    <t>上期往来款-大额往来款明细：</t>
  </si>
  <si>
    <t>往来单位</t>
  </si>
  <si>
    <t>其中：往来款</t>
  </si>
  <si>
    <t xml:space="preserve">      利息收入</t>
  </si>
  <si>
    <r>
      <rPr>
        <sz val="9"/>
        <rFont val="Arial Narrow"/>
        <charset val="134"/>
      </rPr>
      <t xml:space="preserve">      </t>
    </r>
    <r>
      <rPr>
        <sz val="9"/>
        <rFont val="宋体"/>
        <charset val="134"/>
      </rPr>
      <t>利息收入</t>
    </r>
  </si>
  <si>
    <t>政府补助</t>
  </si>
  <si>
    <t>其他…….</t>
  </si>
  <si>
    <r>
      <rPr>
        <sz val="9"/>
        <rFont val="宋体"/>
        <charset val="134"/>
      </rPr>
      <t>其他</t>
    </r>
    <r>
      <rPr>
        <sz val="9"/>
        <rFont val="Arial Narrow"/>
        <charset val="134"/>
      </rPr>
      <t>…….</t>
    </r>
  </si>
  <si>
    <t>非关联方租金收入</t>
  </si>
  <si>
    <t>关联方租金收入</t>
  </si>
  <si>
    <t>银行承兑汇票保证金收入</t>
  </si>
  <si>
    <t>二、支付的其他与经营活动有关的现金</t>
  </si>
  <si>
    <t>其中：管理费用</t>
  </si>
  <si>
    <t>往来款</t>
  </si>
  <si>
    <t>营业费用</t>
  </si>
  <si>
    <t>手续费支出</t>
  </si>
  <si>
    <t>支付银行承兑汇票保证金</t>
  </si>
  <si>
    <t>报表项目-收到其他</t>
  </si>
  <si>
    <r>
      <rPr>
        <sz val="9"/>
        <rFont val="宋体"/>
        <charset val="134"/>
      </rPr>
      <t>报表项目</t>
    </r>
    <r>
      <rPr>
        <sz val="9"/>
        <rFont val="Arial Narrow"/>
        <charset val="134"/>
      </rPr>
      <t>-</t>
    </r>
    <r>
      <rPr>
        <sz val="9"/>
        <rFont val="宋体"/>
        <charset val="134"/>
      </rPr>
      <t>收到其他</t>
    </r>
  </si>
  <si>
    <r>
      <rPr>
        <sz val="9"/>
        <rFont val="宋体"/>
        <charset val="134"/>
      </rPr>
      <t>收到其他</t>
    </r>
    <r>
      <rPr>
        <sz val="9"/>
        <rFont val="Arial Narrow"/>
        <charset val="134"/>
      </rPr>
      <t>-</t>
    </r>
    <r>
      <rPr>
        <sz val="9"/>
        <rFont val="宋体"/>
        <charset val="134"/>
      </rPr>
      <t>利息收入与财务费用利息收入核对</t>
    </r>
  </si>
  <si>
    <t>原因是：</t>
  </si>
  <si>
    <t>报表项目-支付其他</t>
  </si>
  <si>
    <r>
      <rPr>
        <sz val="9"/>
        <rFont val="宋体"/>
        <charset val="134"/>
      </rPr>
      <t>报表项目</t>
    </r>
    <r>
      <rPr>
        <sz val="9"/>
        <rFont val="Arial Narrow"/>
        <charset val="134"/>
      </rPr>
      <t>-</t>
    </r>
    <r>
      <rPr>
        <sz val="9"/>
        <rFont val="宋体"/>
        <charset val="134"/>
      </rPr>
      <t>支付其他</t>
    </r>
  </si>
  <si>
    <r>
      <rPr>
        <sz val="9"/>
        <rFont val="宋体"/>
        <charset val="134"/>
      </rPr>
      <t>支付其他</t>
    </r>
    <r>
      <rPr>
        <sz val="9"/>
        <rFont val="Arial Narrow"/>
        <charset val="134"/>
      </rPr>
      <t>-</t>
    </r>
    <r>
      <rPr>
        <sz val="9"/>
        <rFont val="宋体"/>
        <charset val="134"/>
      </rPr>
      <t>管理费用与管理费批露表核对</t>
    </r>
  </si>
  <si>
    <r>
      <rPr>
        <sz val="9"/>
        <rFont val="宋体"/>
        <charset val="134"/>
      </rPr>
      <t>支付其他</t>
    </r>
    <r>
      <rPr>
        <sz val="9"/>
        <rFont val="Arial Narrow"/>
        <charset val="134"/>
      </rPr>
      <t>-</t>
    </r>
    <r>
      <rPr>
        <sz val="9"/>
        <rFont val="宋体"/>
        <charset val="134"/>
      </rPr>
      <t>营业费用与管理费批露表核对</t>
    </r>
  </si>
  <si>
    <t>注：收到其他与经营活动有关的现金的说明：</t>
  </si>
  <si>
    <t>收到其他-政府补助与营业外收入政府补助收入核对</t>
  </si>
  <si>
    <t>注：支付的其他与经营活动有关的现金的说明：</t>
  </si>
  <si>
    <t>(六十七) 收到或支付的其他与投资活动有关的现金</t>
  </si>
  <si>
    <t>收到或支付的其他与投资活动有关的现金</t>
  </si>
  <si>
    <t>一、收到的其他与投资活动有关的现金</t>
  </si>
  <si>
    <r>
      <rPr>
        <b/>
        <sz val="9"/>
        <rFont val="Arial Narrow"/>
        <charset val="134"/>
      </rPr>
      <t>(</t>
    </r>
    <r>
      <rPr>
        <b/>
        <sz val="9"/>
        <rFont val="宋体"/>
        <charset val="134"/>
      </rPr>
      <t>六十七</t>
    </r>
    <r>
      <rPr>
        <b/>
        <sz val="9"/>
        <rFont val="Arial Narrow"/>
        <charset val="134"/>
      </rPr>
      <t xml:space="preserve">) </t>
    </r>
    <r>
      <rPr>
        <b/>
        <sz val="9"/>
        <rFont val="宋体"/>
        <charset val="134"/>
      </rPr>
      <t>收到或支付的其他与投资活动有关的现金（上期可不填）</t>
    </r>
  </si>
  <si>
    <t>其中：</t>
  </si>
  <si>
    <t>投资性利息收入</t>
  </si>
  <si>
    <t>二、支付的其他与投资活动有关的现金</t>
  </si>
  <si>
    <t>理财产品</t>
  </si>
  <si>
    <t>报表项目-收到其他投资</t>
  </si>
  <si>
    <r>
      <rPr>
        <sz val="9"/>
        <rFont val="宋体"/>
        <charset val="134"/>
      </rPr>
      <t>报表项目</t>
    </r>
    <r>
      <rPr>
        <sz val="9"/>
        <rFont val="Arial Narrow"/>
        <charset val="134"/>
      </rPr>
      <t>-</t>
    </r>
    <r>
      <rPr>
        <sz val="9"/>
        <rFont val="宋体"/>
        <charset val="134"/>
      </rPr>
      <t>收到其他投资</t>
    </r>
  </si>
  <si>
    <t>报表项目-支付其他投资</t>
  </si>
  <si>
    <r>
      <rPr>
        <sz val="9"/>
        <rFont val="宋体"/>
        <charset val="134"/>
      </rPr>
      <t>报表项目</t>
    </r>
    <r>
      <rPr>
        <sz val="9"/>
        <rFont val="Arial Narrow"/>
        <charset val="134"/>
      </rPr>
      <t>-</t>
    </r>
    <r>
      <rPr>
        <sz val="9"/>
        <rFont val="宋体"/>
        <charset val="134"/>
      </rPr>
      <t>支付其他投资</t>
    </r>
  </si>
  <si>
    <t>注：收到的其他与投资活动有关的现金的说明：</t>
  </si>
  <si>
    <t>注：支付的其他与投资活动有关的现金的说明：</t>
  </si>
  <si>
    <t>(六十八) 收到或支付的其他与筹资活动有关的现金</t>
  </si>
  <si>
    <t>收到或支付的其他与筹资活动有关的现金</t>
  </si>
  <si>
    <t>一、收到的其他与筹资活动有关的现金</t>
  </si>
  <si>
    <r>
      <rPr>
        <b/>
        <sz val="9"/>
        <rFont val="Arial Narrow"/>
        <charset val="134"/>
      </rPr>
      <t>(</t>
    </r>
    <r>
      <rPr>
        <b/>
        <sz val="9"/>
        <rFont val="宋体"/>
        <charset val="134"/>
      </rPr>
      <t>六十八</t>
    </r>
    <r>
      <rPr>
        <b/>
        <sz val="9"/>
        <rFont val="Arial Narrow"/>
        <charset val="134"/>
      </rPr>
      <t xml:space="preserve">) </t>
    </r>
    <r>
      <rPr>
        <b/>
        <sz val="9"/>
        <rFont val="宋体"/>
        <charset val="134"/>
      </rPr>
      <t>收到或支付的其他与筹资活动有关的现金（上期可不填）</t>
    </r>
  </si>
  <si>
    <t>收回的贷款质押保证金</t>
  </si>
  <si>
    <t>二、支付的其他与筹资活动有关的现金</t>
  </si>
  <si>
    <t>支付的贷款质押保证金</t>
  </si>
  <si>
    <t>支付的西南证券融资顾问费</t>
  </si>
  <si>
    <t>财务顾问费</t>
  </si>
  <si>
    <t>报表项目-收到其他筹资</t>
  </si>
  <si>
    <r>
      <rPr>
        <sz val="9"/>
        <rFont val="宋体"/>
        <charset val="134"/>
      </rPr>
      <t>报表项目</t>
    </r>
    <r>
      <rPr>
        <sz val="9"/>
        <rFont val="Arial Narrow"/>
        <charset val="134"/>
      </rPr>
      <t>-</t>
    </r>
    <r>
      <rPr>
        <sz val="9"/>
        <rFont val="宋体"/>
        <charset val="134"/>
      </rPr>
      <t>收到其他筹资</t>
    </r>
  </si>
  <si>
    <t>报表项目-支付其他筹资</t>
  </si>
  <si>
    <r>
      <rPr>
        <sz val="9"/>
        <rFont val="宋体"/>
        <charset val="134"/>
      </rPr>
      <t>报表项目</t>
    </r>
    <r>
      <rPr>
        <sz val="9"/>
        <rFont val="Arial Narrow"/>
        <charset val="134"/>
      </rPr>
      <t>-</t>
    </r>
    <r>
      <rPr>
        <sz val="9"/>
        <rFont val="宋体"/>
        <charset val="134"/>
      </rPr>
      <t>支付其他筹资</t>
    </r>
  </si>
  <si>
    <t>注：收到的其他与筹资活动有关的现金的说明：</t>
  </si>
  <si>
    <t>注：支付的其他与筹资活动有关的现金的说明：</t>
  </si>
  <si>
    <t>（六十九）当期取得或处置子公司及其他营业单位的有关信息</t>
  </si>
  <si>
    <t>当期取得或处置子公司及其他营业单位的有关信息</t>
  </si>
  <si>
    <t>一、取得子公司及其他营业单位的有关信息：</t>
  </si>
  <si>
    <r>
      <rPr>
        <sz val="9"/>
        <rFont val="宋体"/>
        <charset val="134"/>
      </rPr>
      <t>公司名称</t>
    </r>
    <r>
      <rPr>
        <sz val="9"/>
        <rFont val="Arial Narrow"/>
        <charset val="134"/>
      </rPr>
      <t>1</t>
    </r>
  </si>
  <si>
    <r>
      <rPr>
        <sz val="9"/>
        <rFont val="宋体"/>
        <charset val="134"/>
      </rPr>
      <t>公司名称</t>
    </r>
    <r>
      <rPr>
        <sz val="9"/>
        <rFont val="Arial Narrow"/>
        <charset val="134"/>
      </rPr>
      <t>2</t>
    </r>
  </si>
  <si>
    <r>
      <rPr>
        <sz val="9"/>
        <rFont val="宋体"/>
        <charset val="134"/>
      </rPr>
      <t>公司名称</t>
    </r>
    <r>
      <rPr>
        <sz val="9"/>
        <rFont val="Arial Narrow"/>
        <charset val="134"/>
      </rPr>
      <t>3</t>
    </r>
  </si>
  <si>
    <t xml:space="preserve">  1.取得子公司及其他营业单位的价格</t>
  </si>
  <si>
    <r>
      <rPr>
        <sz val="9"/>
        <rFont val="Arial Narrow"/>
        <charset val="134"/>
      </rPr>
      <t xml:space="preserve">  1.</t>
    </r>
    <r>
      <rPr>
        <sz val="9"/>
        <rFont val="宋体"/>
        <charset val="134"/>
      </rPr>
      <t>取得子公司及其他营业单位的价格</t>
    </r>
  </si>
  <si>
    <t xml:space="preserve">  2.取得子公司及其他营业.单位支付的现金和现金等价物</t>
  </si>
  <si>
    <r>
      <rPr>
        <sz val="9"/>
        <rFont val="Arial Narrow"/>
        <charset val="134"/>
      </rPr>
      <t xml:space="preserve">  2.</t>
    </r>
    <r>
      <rPr>
        <sz val="9"/>
        <rFont val="宋体"/>
        <charset val="134"/>
      </rPr>
      <t>取得子公司及其他营业</t>
    </r>
    <r>
      <rPr>
        <sz val="9"/>
        <rFont val="Arial Narrow"/>
        <charset val="134"/>
      </rPr>
      <t>.</t>
    </r>
    <r>
      <rPr>
        <sz val="9"/>
        <rFont val="宋体"/>
        <charset val="134"/>
      </rPr>
      <t>单位支付的现金和现金等价物</t>
    </r>
  </si>
  <si>
    <t xml:space="preserve">    减：子公司及其他营业单位持有的现金和现金等价物</t>
  </si>
  <si>
    <r>
      <rPr>
        <sz val="9"/>
        <rFont val="Arial Narrow"/>
        <charset val="134"/>
      </rPr>
      <t xml:space="preserve">    </t>
    </r>
    <r>
      <rPr>
        <sz val="9"/>
        <rFont val="宋体"/>
        <charset val="134"/>
      </rPr>
      <t>减：子公司及其他营业单位持有的现金和现金等价物</t>
    </r>
  </si>
  <si>
    <t xml:space="preserve">  3.取得子公司及其他营业单位支付的现金净额</t>
  </si>
  <si>
    <r>
      <rPr>
        <sz val="9"/>
        <rFont val="Arial Narrow"/>
        <charset val="134"/>
      </rPr>
      <t xml:space="preserve">  3.</t>
    </r>
    <r>
      <rPr>
        <sz val="9"/>
        <rFont val="宋体"/>
        <charset val="134"/>
      </rPr>
      <t>取得子公司及其他营业单位支付的现金净额</t>
    </r>
  </si>
  <si>
    <t xml:space="preserve">  4.取得子公司的净资产</t>
  </si>
  <si>
    <r>
      <rPr>
        <sz val="9"/>
        <rFont val="Arial Narrow"/>
        <charset val="134"/>
      </rPr>
      <t xml:space="preserve">  4.</t>
    </r>
    <r>
      <rPr>
        <sz val="9"/>
        <rFont val="宋体"/>
        <charset val="134"/>
      </rPr>
      <t>取得子公司的净资产</t>
    </r>
  </si>
  <si>
    <t xml:space="preserve">    流动资产</t>
  </si>
  <si>
    <r>
      <rPr>
        <sz val="9"/>
        <rFont val="Arial Narrow"/>
        <charset val="134"/>
      </rPr>
      <t xml:space="preserve">    </t>
    </r>
    <r>
      <rPr>
        <sz val="9"/>
        <rFont val="宋体"/>
        <charset val="134"/>
      </rPr>
      <t>流动资产</t>
    </r>
  </si>
  <si>
    <t xml:space="preserve">    非流动资产</t>
  </si>
  <si>
    <r>
      <rPr>
        <sz val="9"/>
        <rFont val="Arial Narrow"/>
        <charset val="134"/>
      </rPr>
      <t xml:space="preserve">    </t>
    </r>
    <r>
      <rPr>
        <sz val="9"/>
        <rFont val="宋体"/>
        <charset val="134"/>
      </rPr>
      <t>非流动资产</t>
    </r>
  </si>
  <si>
    <t xml:space="preserve">    流动负债</t>
  </si>
  <si>
    <r>
      <rPr>
        <sz val="9"/>
        <rFont val="Arial Narrow"/>
        <charset val="134"/>
      </rPr>
      <t xml:space="preserve">    </t>
    </r>
    <r>
      <rPr>
        <sz val="9"/>
        <rFont val="宋体"/>
        <charset val="134"/>
      </rPr>
      <t>流动负债</t>
    </r>
  </si>
  <si>
    <t xml:space="preserve">    非流动负债</t>
  </si>
  <si>
    <r>
      <rPr>
        <sz val="9"/>
        <rFont val="Arial Narrow"/>
        <charset val="134"/>
      </rPr>
      <t xml:space="preserve">    </t>
    </r>
    <r>
      <rPr>
        <sz val="9"/>
        <rFont val="宋体"/>
        <charset val="134"/>
      </rPr>
      <t>非流动负债</t>
    </r>
  </si>
  <si>
    <t>二、处置子公司及其他营业单位的有关信息：</t>
  </si>
  <si>
    <t xml:space="preserve">  1.处置子公司及其他营业单位的价格</t>
  </si>
  <si>
    <r>
      <rPr>
        <sz val="9"/>
        <rFont val="Arial Narrow"/>
        <charset val="134"/>
      </rPr>
      <t xml:space="preserve">  1.</t>
    </r>
    <r>
      <rPr>
        <sz val="9"/>
        <rFont val="宋体"/>
        <charset val="134"/>
      </rPr>
      <t>处置子公司及其他营业单位的价格</t>
    </r>
  </si>
  <si>
    <t xml:space="preserve">  2.处置子公司及其他营业单位收到的现金和现金等价物</t>
  </si>
  <si>
    <r>
      <rPr>
        <sz val="9"/>
        <rFont val="Arial Narrow"/>
        <charset val="134"/>
      </rPr>
      <t xml:space="preserve">  2.</t>
    </r>
    <r>
      <rPr>
        <sz val="9"/>
        <rFont val="宋体"/>
        <charset val="134"/>
      </rPr>
      <t>处置子公司及其他营业单位收到的现金和现金等价物</t>
    </r>
  </si>
  <si>
    <t xml:space="preserve">  3.处置子公司及其他营业单位收到的现金净额</t>
  </si>
  <si>
    <r>
      <rPr>
        <sz val="9"/>
        <rFont val="Arial Narrow"/>
        <charset val="134"/>
      </rPr>
      <t xml:space="preserve">  3.</t>
    </r>
    <r>
      <rPr>
        <sz val="9"/>
        <rFont val="宋体"/>
        <charset val="134"/>
      </rPr>
      <t>处置子公司及其他营业单位收到的现金净额</t>
    </r>
  </si>
  <si>
    <t xml:space="preserve">  4.处置子公司的净资产</t>
  </si>
  <si>
    <r>
      <rPr>
        <sz val="9"/>
        <rFont val="Arial Narrow"/>
        <charset val="134"/>
      </rPr>
      <t xml:space="preserve">  4.</t>
    </r>
    <r>
      <rPr>
        <sz val="9"/>
        <rFont val="宋体"/>
        <charset val="134"/>
      </rPr>
      <t>处置子公司的净资产</t>
    </r>
  </si>
  <si>
    <t>（七十）现金和现金等价物的构成</t>
  </si>
  <si>
    <t>现金和现金等价物的构成</t>
  </si>
  <si>
    <t>一、现金</t>
  </si>
  <si>
    <r>
      <rPr>
        <b/>
        <sz val="9"/>
        <rFont val="宋体"/>
        <charset val="134"/>
      </rPr>
      <t>项</t>
    </r>
    <r>
      <rPr>
        <b/>
        <sz val="9"/>
        <rFont val="Arial Narrow"/>
        <charset val="134"/>
      </rPr>
      <t xml:space="preserve">    </t>
    </r>
    <r>
      <rPr>
        <b/>
        <sz val="9"/>
        <rFont val="宋体"/>
        <charset val="134"/>
      </rPr>
      <t>目</t>
    </r>
  </si>
  <si>
    <t xml:space="preserve">    其中：1.库存现金</t>
  </si>
  <si>
    <r>
      <rPr>
        <sz val="9"/>
        <rFont val="Arial Narrow"/>
        <charset val="134"/>
      </rPr>
      <t xml:space="preserve">    </t>
    </r>
    <r>
      <rPr>
        <sz val="9"/>
        <rFont val="宋体"/>
        <charset val="134"/>
      </rPr>
      <t>其中：</t>
    </r>
    <r>
      <rPr>
        <sz val="9"/>
        <rFont val="Arial Narrow"/>
        <charset val="134"/>
      </rPr>
      <t>1.</t>
    </r>
    <r>
      <rPr>
        <sz val="9"/>
        <rFont val="宋体"/>
        <charset val="134"/>
      </rPr>
      <t>库存现金</t>
    </r>
  </si>
  <si>
    <t xml:space="preserve">          2.可随时用于支付地银行存款</t>
  </si>
  <si>
    <r>
      <rPr>
        <sz val="9"/>
        <rFont val="Arial Narrow"/>
        <charset val="134"/>
      </rPr>
      <t xml:space="preserve">          2.</t>
    </r>
    <r>
      <rPr>
        <sz val="9"/>
        <rFont val="宋体"/>
        <charset val="134"/>
      </rPr>
      <t>可随时用于支付地银行存款</t>
    </r>
  </si>
  <si>
    <t xml:space="preserve">          3.可随时用于支付的其他货币资金</t>
  </si>
  <si>
    <r>
      <rPr>
        <sz val="9"/>
        <rFont val="Arial Narrow"/>
        <charset val="134"/>
      </rPr>
      <t xml:space="preserve">          3.</t>
    </r>
    <r>
      <rPr>
        <sz val="9"/>
        <rFont val="宋体"/>
        <charset val="134"/>
      </rPr>
      <t>可随时用于支付的其他货币资金</t>
    </r>
  </si>
  <si>
    <t xml:space="preserve">          4.可用于支付的存放中央银行款项</t>
  </si>
  <si>
    <r>
      <rPr>
        <sz val="9"/>
        <rFont val="Arial Narrow"/>
        <charset val="134"/>
      </rPr>
      <t xml:space="preserve">          4.</t>
    </r>
    <r>
      <rPr>
        <sz val="9"/>
        <rFont val="宋体"/>
        <charset val="134"/>
      </rPr>
      <t>可用于支付的存放中央银行款项</t>
    </r>
  </si>
  <si>
    <t xml:space="preserve">          5.存放同业款项</t>
  </si>
  <si>
    <r>
      <rPr>
        <sz val="9"/>
        <rFont val="Arial Narrow"/>
        <charset val="134"/>
      </rPr>
      <t xml:space="preserve">          5.</t>
    </r>
    <r>
      <rPr>
        <sz val="9"/>
        <rFont val="宋体"/>
        <charset val="134"/>
      </rPr>
      <t>存放同业款项</t>
    </r>
  </si>
  <si>
    <t xml:space="preserve">          6.拆放同业款项</t>
  </si>
  <si>
    <r>
      <rPr>
        <sz val="9"/>
        <rFont val="Arial Narrow"/>
        <charset val="134"/>
      </rPr>
      <t xml:space="preserve">          6.</t>
    </r>
    <r>
      <rPr>
        <sz val="9"/>
        <rFont val="宋体"/>
        <charset val="134"/>
      </rPr>
      <t>拆放同业款项</t>
    </r>
  </si>
  <si>
    <t>二、现金等价物</t>
  </si>
  <si>
    <t xml:space="preserve">    其中：三个月内到期的债券投资</t>
  </si>
  <si>
    <r>
      <rPr>
        <sz val="9"/>
        <rFont val="Arial Narrow"/>
        <charset val="134"/>
      </rPr>
      <t xml:space="preserve">    </t>
    </r>
    <r>
      <rPr>
        <sz val="9"/>
        <rFont val="宋体"/>
        <charset val="134"/>
      </rPr>
      <t>其中：三个月内到期的债券投资</t>
    </r>
  </si>
  <si>
    <t>三、期末现金及现金等价物余额</t>
  </si>
  <si>
    <t>其中：母公司或集团内子公司使用受限制的现金和现金等价物</t>
  </si>
  <si>
    <t>（4）现金流量表补充资料的说明：</t>
  </si>
  <si>
    <r>
      <rPr>
        <sz val="9"/>
        <rFont val="宋体"/>
        <charset val="134"/>
      </rPr>
      <t>（</t>
    </r>
    <r>
      <rPr>
        <sz val="9"/>
        <rFont val="Arial Narrow"/>
        <charset val="134"/>
      </rPr>
      <t>4</t>
    </r>
    <r>
      <rPr>
        <sz val="9"/>
        <rFont val="宋体"/>
        <charset val="134"/>
      </rPr>
      <t>）现金流量表补充资料的说明：</t>
    </r>
  </si>
  <si>
    <t>（七十一）所有者权益变动项目注释</t>
  </si>
  <si>
    <t>所有者权益变动项目注释</t>
  </si>
  <si>
    <t>对上年年末余额进行调整的“其他”项目的说明（要求披露由同一控制下企业合并产生的追溯调整等事项）：</t>
  </si>
  <si>
    <r>
      <rPr>
        <sz val="9"/>
        <rFont val="宋体"/>
        <charset val="134"/>
      </rPr>
      <t>对上年年末余额进行调整的</t>
    </r>
    <r>
      <rPr>
        <sz val="9"/>
        <rFont val="Arial Narrow"/>
        <charset val="134"/>
      </rPr>
      <t>“</t>
    </r>
    <r>
      <rPr>
        <sz val="9"/>
        <rFont val="宋体"/>
        <charset val="134"/>
      </rPr>
      <t>其他</t>
    </r>
    <r>
      <rPr>
        <sz val="9"/>
        <rFont val="Arial Narrow"/>
        <charset val="134"/>
      </rPr>
      <t>”</t>
    </r>
    <r>
      <rPr>
        <sz val="9"/>
        <rFont val="宋体"/>
        <charset val="134"/>
      </rPr>
      <t>项目的说明（要求披露由同一控制下企业合并产生的追溯调整等事项）：</t>
    </r>
  </si>
  <si>
    <t>（七十二）资产证券化业务会计处理</t>
  </si>
  <si>
    <t>资产证券化业务会计处理</t>
  </si>
  <si>
    <t>注：1.说明金融资产证券化业务的主要交易安排及其会计处理。涉及非金融资产的资产证券化业务，参照《信贷资产证券化试点管理办法》和《企业会计准则第23号――金融资产转移》的有关规定，披露资产证券化业务的主要交易安排及其会计处理。同时，应详细说明资产证券化业务的破产隔离条款。</t>
  </si>
  <si>
    <r>
      <rPr>
        <sz val="9"/>
        <rFont val="宋体"/>
        <charset val="134"/>
      </rPr>
      <t>注：</t>
    </r>
    <r>
      <rPr>
        <sz val="9"/>
        <rFont val="Arial Narrow"/>
        <charset val="134"/>
      </rPr>
      <t>1.</t>
    </r>
    <r>
      <rPr>
        <sz val="9"/>
        <rFont val="宋体"/>
        <charset val="134"/>
      </rPr>
      <t>说明金融资产证券化业务的主要交易安排及其会计处理。涉及非金融资产的资产证券化业务，参照《信贷资产证券化试点管理办法》和《企业会计准则第</t>
    </r>
    <r>
      <rPr>
        <sz val="9"/>
        <rFont val="Arial Narrow"/>
        <charset val="134"/>
      </rPr>
      <t>23</t>
    </r>
    <r>
      <rPr>
        <sz val="9"/>
        <rFont val="宋体"/>
        <charset val="134"/>
      </rPr>
      <t>号</t>
    </r>
    <r>
      <rPr>
        <sz val="9"/>
        <rFont val="Arial Narrow"/>
        <charset val="134"/>
      </rPr>
      <t>――</t>
    </r>
    <r>
      <rPr>
        <sz val="9"/>
        <rFont val="宋体"/>
        <charset val="134"/>
      </rPr>
      <t>金融资产转移》的有关规定，披露资产证券化业务的主要交易安排及其会计处理。同时，应详细说明资产证券化业务的破产隔离条款。</t>
    </r>
  </si>
  <si>
    <t>注：2.公司不具有控制权但实质上承担其风险的特殊目的主体情况</t>
  </si>
  <si>
    <r>
      <rPr>
        <sz val="9"/>
        <rFont val="宋体"/>
        <charset val="134"/>
      </rPr>
      <t>注：</t>
    </r>
    <r>
      <rPr>
        <sz val="9"/>
        <rFont val="Arial Narrow"/>
        <charset val="134"/>
      </rPr>
      <t>2.</t>
    </r>
    <r>
      <rPr>
        <sz val="9"/>
        <rFont val="宋体"/>
        <charset val="134"/>
      </rPr>
      <t>公司不具有控制权但实质上承担其风险的特殊目的主体情况</t>
    </r>
  </si>
  <si>
    <t>（七十三）关联方关系及其交易</t>
  </si>
  <si>
    <t>关联方关系及其交易</t>
  </si>
  <si>
    <t>1、关联方的认定标准：一方控制、共同控制另一方或对另一方施加重大影响，以及两方或两方以上同受一方控制、共同控制或重大影响的，构成关联方。</t>
  </si>
  <si>
    <r>
      <rPr>
        <sz val="9"/>
        <rFont val="Arial Narrow"/>
        <charset val="134"/>
      </rPr>
      <t>1</t>
    </r>
    <r>
      <rPr>
        <sz val="9"/>
        <rFont val="宋体"/>
        <charset val="134"/>
      </rPr>
      <t>、关联方的认定标准：一方控制、共同控制另一方或对另一方施加重大影响，以及两方或两方以上同受一方控制、共同控制或重大影响的，构成关联方。</t>
    </r>
  </si>
  <si>
    <t>2.本公司的母公司有关信息</t>
  </si>
  <si>
    <r>
      <rPr>
        <b/>
        <sz val="9"/>
        <rFont val="Arial Narrow"/>
        <charset val="134"/>
      </rPr>
      <t>2.</t>
    </r>
    <r>
      <rPr>
        <b/>
        <sz val="9"/>
        <rFont val="宋体"/>
        <charset val="134"/>
      </rPr>
      <t>本公司的母公司有关信息</t>
    </r>
  </si>
  <si>
    <t>母公司名称</t>
  </si>
  <si>
    <t>企业类型</t>
  </si>
  <si>
    <t>法人代表</t>
  </si>
  <si>
    <t>注册资本</t>
  </si>
  <si>
    <r>
      <rPr>
        <b/>
        <sz val="9"/>
        <rFont val="宋体"/>
        <charset val="134"/>
      </rPr>
      <t>母公司对本企业的持股比例（</t>
    </r>
    <r>
      <rPr>
        <b/>
        <sz val="9"/>
        <rFont val="Arial Narrow"/>
        <charset val="134"/>
      </rPr>
      <t>%</t>
    </r>
    <r>
      <rPr>
        <b/>
        <sz val="9"/>
        <rFont val="宋体"/>
        <charset val="134"/>
      </rPr>
      <t>）</t>
    </r>
  </si>
  <si>
    <r>
      <rPr>
        <b/>
        <sz val="9"/>
        <rFont val="宋体"/>
        <charset val="134"/>
      </rPr>
      <t>母公司对本企业的表决权比例（</t>
    </r>
    <r>
      <rPr>
        <b/>
        <sz val="9"/>
        <rFont val="Arial Narrow"/>
        <charset val="134"/>
      </rPr>
      <t>%</t>
    </r>
    <r>
      <rPr>
        <b/>
        <sz val="9"/>
        <rFont val="宋体"/>
        <charset val="134"/>
      </rPr>
      <t>）</t>
    </r>
  </si>
  <si>
    <t>本企业最终控制方</t>
  </si>
  <si>
    <t>组织机构代码</t>
  </si>
  <si>
    <t>注：1.母公司和最终控制方均不对外提供财务报表的，说明母公司之上与其最相近的对外提供财务报表的母公司名称。</t>
  </si>
  <si>
    <r>
      <rPr>
        <sz val="9"/>
        <rFont val="宋体"/>
        <charset val="134"/>
      </rPr>
      <t>注：</t>
    </r>
    <r>
      <rPr>
        <sz val="9"/>
        <rFont val="Arial Narrow"/>
        <charset val="134"/>
      </rPr>
      <t>1.</t>
    </r>
    <r>
      <rPr>
        <sz val="9"/>
        <rFont val="宋体"/>
        <charset val="134"/>
      </rPr>
      <t>母公司和最终控制方均不对外提供财务报表的，说明母公司之上与其最相近的对外提供财务报表的母公司名称。</t>
    </r>
  </si>
  <si>
    <t>3.本企业的子公司情况</t>
  </si>
  <si>
    <r>
      <rPr>
        <b/>
        <sz val="9"/>
        <rFont val="Arial Narrow"/>
        <charset val="134"/>
      </rPr>
      <t>3.</t>
    </r>
    <r>
      <rPr>
        <b/>
        <sz val="9"/>
        <rFont val="宋体"/>
        <charset val="134"/>
      </rPr>
      <t>本企业的子公司情况</t>
    </r>
  </si>
  <si>
    <t>子公司类型</t>
  </si>
  <si>
    <r>
      <rPr>
        <b/>
        <sz val="9"/>
        <rFont val="宋体"/>
        <charset val="134"/>
      </rPr>
      <t>持股比例（</t>
    </r>
    <r>
      <rPr>
        <b/>
        <sz val="9"/>
        <rFont val="Arial Narrow"/>
        <charset val="134"/>
      </rPr>
      <t>%</t>
    </r>
    <r>
      <rPr>
        <b/>
        <sz val="9"/>
        <rFont val="宋体"/>
        <charset val="134"/>
      </rPr>
      <t>）</t>
    </r>
  </si>
  <si>
    <r>
      <rPr>
        <b/>
        <sz val="9"/>
        <rFont val="宋体"/>
        <charset val="134"/>
      </rPr>
      <t>表决权比例（</t>
    </r>
    <r>
      <rPr>
        <b/>
        <sz val="9"/>
        <rFont val="Arial Narrow"/>
        <charset val="134"/>
      </rPr>
      <t>%</t>
    </r>
    <r>
      <rPr>
        <b/>
        <sz val="9"/>
        <rFont val="宋体"/>
        <charset val="134"/>
      </rPr>
      <t>）</t>
    </r>
  </si>
  <si>
    <t>4.本企业的合营和联营企业情况</t>
  </si>
  <si>
    <t>一、合营企业　</t>
  </si>
  <si>
    <r>
      <rPr>
        <sz val="9"/>
        <rFont val="Arial Narrow"/>
        <charset val="134"/>
      </rPr>
      <t>4.</t>
    </r>
    <r>
      <rPr>
        <sz val="9"/>
        <rFont val="宋体"/>
        <charset val="134"/>
      </rPr>
      <t>本企业的合营和联营企业情况</t>
    </r>
  </si>
  <si>
    <r>
      <rPr>
        <b/>
        <sz val="9"/>
        <rFont val="宋体"/>
        <charset val="134"/>
      </rPr>
      <t>本企业持股比例（</t>
    </r>
    <r>
      <rPr>
        <b/>
        <sz val="9"/>
        <rFont val="Arial Narrow"/>
        <charset val="134"/>
      </rPr>
      <t>%</t>
    </r>
    <r>
      <rPr>
        <b/>
        <sz val="9"/>
        <rFont val="宋体"/>
        <charset val="134"/>
      </rPr>
      <t>）</t>
    </r>
  </si>
  <si>
    <r>
      <rPr>
        <b/>
        <sz val="9"/>
        <rFont val="宋体"/>
        <charset val="134"/>
      </rPr>
      <t>本企业在被投资单位表决权比例（</t>
    </r>
    <r>
      <rPr>
        <b/>
        <sz val="9"/>
        <rFont val="Arial Narrow"/>
        <charset val="134"/>
      </rPr>
      <t>%</t>
    </r>
    <r>
      <rPr>
        <b/>
        <sz val="9"/>
        <rFont val="宋体"/>
        <charset val="134"/>
      </rPr>
      <t>）</t>
    </r>
  </si>
  <si>
    <t>关联关系</t>
  </si>
  <si>
    <t>二、联营企业　</t>
  </si>
  <si>
    <t>5.本企业的其他关联方情况</t>
  </si>
  <si>
    <r>
      <rPr>
        <sz val="9"/>
        <rFont val="Arial Narrow"/>
        <charset val="134"/>
      </rPr>
      <t>5.</t>
    </r>
    <r>
      <rPr>
        <sz val="9"/>
        <rFont val="宋体"/>
        <charset val="134"/>
      </rPr>
      <t>本企业的其他关联方情况</t>
    </r>
  </si>
  <si>
    <t>其他关联方名称</t>
  </si>
  <si>
    <t>其他关联方与本企业关系</t>
  </si>
  <si>
    <t xml:space="preserve">6.关联方交易                                             </t>
  </si>
  <si>
    <t>(1)购销交易、提供和接受劳务的关联交易</t>
  </si>
  <si>
    <r>
      <rPr>
        <b/>
        <sz val="9"/>
        <rFont val="Arial Narrow"/>
        <charset val="134"/>
      </rPr>
      <t>6.</t>
    </r>
    <r>
      <rPr>
        <b/>
        <sz val="9"/>
        <rFont val="宋体"/>
        <charset val="134"/>
      </rPr>
      <t>关联方交易（</t>
    </r>
    <r>
      <rPr>
        <b/>
        <sz val="9"/>
        <color rgb="FFFF0000"/>
        <rFont val="宋体"/>
        <charset val="134"/>
      </rPr>
      <t>如有，需填写清楚</t>
    </r>
    <r>
      <rPr>
        <b/>
        <sz val="9"/>
        <rFont val="宋体"/>
        <charset val="134"/>
      </rPr>
      <t>）</t>
    </r>
    <r>
      <rPr>
        <b/>
        <sz val="9"/>
        <rFont val="Arial Narrow"/>
        <charset val="134"/>
      </rPr>
      <t xml:space="preserve">                                             </t>
    </r>
  </si>
  <si>
    <r>
      <rPr>
        <sz val="9"/>
        <rFont val="Arial Narrow"/>
        <charset val="134"/>
      </rPr>
      <t>(1)</t>
    </r>
    <r>
      <rPr>
        <sz val="9"/>
        <rFont val="宋体"/>
        <charset val="134"/>
      </rPr>
      <t>购销交易、提供和接受劳务的关联交易</t>
    </r>
  </si>
  <si>
    <t>(金额单位：    )</t>
  </si>
  <si>
    <r>
      <rPr>
        <sz val="9"/>
        <rFont val="Arial Narrow"/>
        <charset val="134"/>
      </rPr>
      <t>(</t>
    </r>
    <r>
      <rPr>
        <sz val="9"/>
        <rFont val="宋体"/>
        <charset val="134"/>
      </rPr>
      <t>金额单位：</t>
    </r>
    <r>
      <rPr>
        <sz val="9"/>
        <rFont val="Arial Narrow"/>
        <charset val="134"/>
      </rPr>
      <t xml:space="preserve">    )</t>
    </r>
  </si>
  <si>
    <t>交易类型</t>
  </si>
  <si>
    <t>关联交易内容</t>
  </si>
  <si>
    <t>关联交易定价方式及决策程序</t>
  </si>
  <si>
    <r>
      <rPr>
        <b/>
        <sz val="9"/>
        <rFont val="宋体"/>
        <charset val="134"/>
      </rPr>
      <t>占同类交易金额的比例（</t>
    </r>
    <r>
      <rPr>
        <b/>
        <sz val="9"/>
        <rFont val="Arial Narrow"/>
        <charset val="134"/>
      </rPr>
      <t>%</t>
    </r>
    <r>
      <rPr>
        <b/>
        <sz val="9"/>
        <rFont val="宋体"/>
        <charset val="134"/>
      </rPr>
      <t>）</t>
    </r>
  </si>
  <si>
    <t>（2）关联方托管情况</t>
  </si>
  <si>
    <r>
      <rPr>
        <sz val="9"/>
        <color rgb="FF0070C0"/>
        <rFont val="宋体"/>
        <charset val="134"/>
      </rPr>
      <t>（</t>
    </r>
    <r>
      <rPr>
        <sz val="9"/>
        <color rgb="FF0070C0"/>
        <rFont val="Arial Narrow"/>
        <charset val="134"/>
      </rPr>
      <t>2</t>
    </r>
    <r>
      <rPr>
        <sz val="9"/>
        <color rgb="FF0070C0"/>
        <rFont val="宋体"/>
        <charset val="134"/>
      </rPr>
      <t>）关联方受托管理情况</t>
    </r>
  </si>
  <si>
    <t>委托方名称</t>
  </si>
  <si>
    <t>受托方名称</t>
  </si>
  <si>
    <t>受托资产</t>
  </si>
  <si>
    <t>受托起始日</t>
  </si>
  <si>
    <t>受托终止日</t>
  </si>
  <si>
    <t>托管收益确定依据</t>
  </si>
  <si>
    <t>年度确认的托管收益</t>
  </si>
  <si>
    <t>类型</t>
  </si>
  <si>
    <t>注：关联托管情况说明：</t>
  </si>
  <si>
    <t>关联方承包管理情况</t>
  </si>
  <si>
    <t>出包方名称</t>
  </si>
  <si>
    <t>承包方名称</t>
  </si>
  <si>
    <t>承包资产</t>
  </si>
  <si>
    <t>承包起始日</t>
  </si>
  <si>
    <t>承包终止日</t>
  </si>
  <si>
    <t>承包收益确定依据</t>
  </si>
  <si>
    <t>年度确认的承包收益</t>
  </si>
  <si>
    <t>注：托管资产类型包括：股权托管、其他资产托管。</t>
  </si>
  <si>
    <t>（3）关联方委托管理情况</t>
  </si>
  <si>
    <t>委托资产</t>
  </si>
  <si>
    <t>委托起始日</t>
  </si>
  <si>
    <t>委托终止日</t>
  </si>
  <si>
    <t>托管费确定依据</t>
  </si>
  <si>
    <t>年度确认的托管费</t>
  </si>
  <si>
    <t>关联方出包管理情况</t>
  </si>
  <si>
    <t>出包资产</t>
  </si>
  <si>
    <t>出包起始日</t>
  </si>
  <si>
    <t>出包终止日</t>
  </si>
  <si>
    <t>出包费确定依据</t>
  </si>
  <si>
    <t>年度确认的出包费</t>
  </si>
  <si>
    <t>（3）关联承包情况</t>
  </si>
  <si>
    <r>
      <rPr>
        <b/>
        <sz val="9"/>
        <color rgb="FF0070C0"/>
        <rFont val="宋体"/>
        <charset val="134"/>
      </rPr>
      <t>关联托管</t>
    </r>
    <r>
      <rPr>
        <b/>
        <sz val="9"/>
        <color rgb="FF0070C0"/>
        <rFont val="Times New Roman"/>
        <charset val="134"/>
      </rPr>
      <t>/</t>
    </r>
    <r>
      <rPr>
        <b/>
        <sz val="9"/>
        <color rgb="FF0070C0"/>
        <rFont val="宋体"/>
        <charset val="134"/>
      </rPr>
      <t>承包情况说明：</t>
    </r>
  </si>
  <si>
    <t>（4）关联租赁情况</t>
  </si>
  <si>
    <r>
      <rPr>
        <sz val="9"/>
        <rFont val="宋体"/>
        <charset val="134"/>
      </rPr>
      <t>（</t>
    </r>
    <r>
      <rPr>
        <sz val="9"/>
        <rFont val="Arial Narrow"/>
        <charset val="134"/>
      </rPr>
      <t>4</t>
    </r>
    <r>
      <rPr>
        <sz val="9"/>
        <rFont val="宋体"/>
        <charset val="134"/>
      </rPr>
      <t>）关联租赁情况</t>
    </r>
  </si>
  <si>
    <t>公司出租情况表</t>
  </si>
  <si>
    <t>租赁方名称</t>
  </si>
  <si>
    <t>出租方名称</t>
  </si>
  <si>
    <t>承租方名称</t>
  </si>
  <si>
    <t>租赁资产</t>
  </si>
  <si>
    <t>租赁起始日</t>
  </si>
  <si>
    <t>租赁终止日</t>
  </si>
  <si>
    <t>租赁收益定价依据</t>
  </si>
  <si>
    <t>年度确认的租赁收益</t>
  </si>
  <si>
    <t>公司承租情况表</t>
  </si>
  <si>
    <t>租赁费定价依据</t>
  </si>
  <si>
    <t>年度确认的租赁费</t>
  </si>
  <si>
    <t>关联方租赁情况说明：</t>
  </si>
  <si>
    <t>（5）关联担保情况</t>
  </si>
  <si>
    <r>
      <rPr>
        <sz val="9"/>
        <rFont val="宋体"/>
        <charset val="134"/>
      </rPr>
      <t>（</t>
    </r>
    <r>
      <rPr>
        <sz val="9"/>
        <rFont val="Arial Narrow"/>
        <charset val="134"/>
      </rPr>
      <t>5</t>
    </r>
    <r>
      <rPr>
        <sz val="9"/>
        <rFont val="宋体"/>
        <charset val="134"/>
      </rPr>
      <t>）关联担保情况</t>
    </r>
  </si>
  <si>
    <t>担保方</t>
  </si>
  <si>
    <t>被担保方</t>
  </si>
  <si>
    <t>担保金额</t>
  </si>
  <si>
    <t>担保起始日</t>
  </si>
  <si>
    <t>担保到期日</t>
  </si>
  <si>
    <t>担保是否已经履行完毕</t>
  </si>
  <si>
    <t>（6）关联方资金拆借</t>
  </si>
  <si>
    <r>
      <rPr>
        <sz val="9"/>
        <rFont val="宋体"/>
        <charset val="134"/>
      </rPr>
      <t>（</t>
    </r>
    <r>
      <rPr>
        <sz val="9"/>
        <rFont val="Arial Narrow"/>
        <charset val="134"/>
      </rPr>
      <t>6</t>
    </r>
    <r>
      <rPr>
        <sz val="9"/>
        <rFont val="宋体"/>
        <charset val="134"/>
      </rPr>
      <t>）关联方资金拆借</t>
    </r>
  </si>
  <si>
    <t>拆借金额</t>
  </si>
  <si>
    <t>起始日</t>
  </si>
  <si>
    <t>拆入</t>
  </si>
  <si>
    <t>拆出</t>
  </si>
  <si>
    <t>（7）关联方资产转让、债务重组情况</t>
  </si>
  <si>
    <r>
      <rPr>
        <sz val="9"/>
        <rFont val="宋体"/>
        <charset val="134"/>
      </rPr>
      <t>（</t>
    </r>
    <r>
      <rPr>
        <sz val="9"/>
        <rFont val="Arial Narrow"/>
        <charset val="134"/>
      </rPr>
      <t>7</t>
    </r>
    <r>
      <rPr>
        <sz val="9"/>
        <rFont val="宋体"/>
        <charset val="134"/>
      </rPr>
      <t>）关联方资产转让、债务重组情况</t>
    </r>
  </si>
  <si>
    <t>关联方定价原则</t>
  </si>
  <si>
    <t>（7）其他关联交易：</t>
  </si>
  <si>
    <r>
      <rPr>
        <sz val="9"/>
        <rFont val="宋体"/>
        <charset val="134"/>
      </rPr>
      <t>（</t>
    </r>
    <r>
      <rPr>
        <sz val="9"/>
        <rFont val="Arial Narrow"/>
        <charset val="134"/>
      </rPr>
      <t>7</t>
    </r>
    <r>
      <rPr>
        <sz val="9"/>
        <rFont val="宋体"/>
        <charset val="134"/>
      </rPr>
      <t>）其他关联交易：</t>
    </r>
  </si>
  <si>
    <t>7.关联方应收应付款项</t>
  </si>
  <si>
    <r>
      <rPr>
        <sz val="9"/>
        <rFont val="Arial Narrow"/>
        <charset val="134"/>
      </rPr>
      <t>7.</t>
    </r>
    <r>
      <rPr>
        <sz val="9"/>
        <rFont val="宋体"/>
        <charset val="134"/>
      </rPr>
      <t>关联方应收应付款项</t>
    </r>
  </si>
  <si>
    <t>应收关联方款项：</t>
  </si>
  <si>
    <t>应付关联方款项：</t>
  </si>
  <si>
    <t>8、其他用文字描述的关联交易</t>
  </si>
  <si>
    <r>
      <rPr>
        <sz val="9"/>
        <color theme="7" tint="0.599993896298105"/>
        <rFont val="Arial Narrow"/>
        <charset val="134"/>
      </rPr>
      <t>8</t>
    </r>
    <r>
      <rPr>
        <sz val="9"/>
        <color theme="7" tint="0.599993896298105"/>
        <rFont val="宋体"/>
        <charset val="134"/>
      </rPr>
      <t>、其他用文字描述的关联交易</t>
    </r>
  </si>
  <si>
    <r>
      <rPr>
        <sz val="9"/>
        <rFont val="Arial Narrow"/>
        <charset val="134"/>
      </rPr>
      <t>8</t>
    </r>
    <r>
      <rPr>
        <sz val="9"/>
        <rFont val="宋体"/>
        <charset val="134"/>
      </rPr>
      <t>、其他用文字描述的关联交易</t>
    </r>
  </si>
  <si>
    <t>关联交易可以用文字描述</t>
  </si>
  <si>
    <r>
      <rPr>
        <b/>
        <sz val="9"/>
        <color rgb="FFFF0000"/>
        <rFont val="宋体"/>
        <charset val="134"/>
      </rPr>
      <t>桂冠请参照</t>
    </r>
    <r>
      <rPr>
        <b/>
        <sz val="9"/>
        <color rgb="FFFF0000"/>
        <rFont val="Arial Narrow"/>
        <charset val="134"/>
      </rPr>
      <t>09</t>
    </r>
    <r>
      <rPr>
        <b/>
        <sz val="9"/>
        <color rgb="FFFF0000"/>
        <rFont val="宋体"/>
        <charset val="134"/>
      </rPr>
      <t>年年报用文字描述</t>
    </r>
  </si>
  <si>
    <t>文字描述：</t>
  </si>
  <si>
    <t>（七十四）股份支付</t>
  </si>
  <si>
    <t>股份支付</t>
  </si>
  <si>
    <t>1.股份支付总体情况</t>
  </si>
  <si>
    <r>
      <rPr>
        <sz val="9"/>
        <rFont val="Arial Narrow"/>
        <charset val="134"/>
      </rPr>
      <t>1.</t>
    </r>
    <r>
      <rPr>
        <sz val="9"/>
        <rFont val="宋体"/>
        <charset val="134"/>
      </rPr>
      <t>股份支付总体情况</t>
    </r>
  </si>
  <si>
    <t>公司本期授予的各项权益工具总额</t>
  </si>
  <si>
    <t>公司本期行权的各项权益工具总额</t>
  </si>
  <si>
    <t>公司本期失效的各项权益工具总额</t>
  </si>
  <si>
    <t>公司期末发行在外的股份期权价格的范围和合同剩余期限</t>
  </si>
  <si>
    <t>公司期末其他权益工具行权价格的范围和合同剩余期限</t>
  </si>
  <si>
    <t>注：股份支付情况的说明：</t>
  </si>
  <si>
    <t>2.以权益结算的股份支付情况</t>
  </si>
  <si>
    <r>
      <rPr>
        <sz val="9"/>
        <rFont val="Arial Narrow"/>
        <charset val="134"/>
      </rPr>
      <t>2.</t>
    </r>
    <r>
      <rPr>
        <sz val="9"/>
        <rFont val="宋体"/>
        <charset val="134"/>
      </rPr>
      <t>以权益结算的股份支付情况</t>
    </r>
  </si>
  <si>
    <t>授予日权益工具公允价值的确定方法</t>
  </si>
  <si>
    <t>对可行权权益工具数量的最佳估计的确定方法</t>
  </si>
  <si>
    <t>本期估计与上期估计有重大差异的原因</t>
  </si>
  <si>
    <t>资本公积中以权益结算的股份支付的累计金额</t>
  </si>
  <si>
    <t>以权益结算的股份支付确认的费用总额</t>
  </si>
  <si>
    <t>注：（1）本期估计与上期估计有重大的原因，如没有，应填写无。</t>
  </si>
  <si>
    <r>
      <rPr>
        <sz val="9"/>
        <rFont val="宋体"/>
        <charset val="134"/>
      </rPr>
      <t>注：（</t>
    </r>
    <r>
      <rPr>
        <sz val="9"/>
        <rFont val="Arial Narrow"/>
        <charset val="134"/>
      </rPr>
      <t>1</t>
    </r>
    <r>
      <rPr>
        <sz val="9"/>
        <rFont val="宋体"/>
        <charset val="134"/>
      </rPr>
      <t>）本期估计与上期估计有重大的原因，如没有，应填写无。</t>
    </r>
  </si>
  <si>
    <t>（2）以权益结算的股份支付情况的说明：</t>
  </si>
  <si>
    <r>
      <rPr>
        <sz val="9"/>
        <rFont val="宋体"/>
        <charset val="134"/>
      </rPr>
      <t>（</t>
    </r>
    <r>
      <rPr>
        <sz val="9"/>
        <rFont val="Arial Narrow"/>
        <charset val="134"/>
      </rPr>
      <t>2</t>
    </r>
    <r>
      <rPr>
        <sz val="9"/>
        <rFont val="宋体"/>
        <charset val="134"/>
      </rPr>
      <t>）以权益结算的股份支付情况的说明：</t>
    </r>
  </si>
  <si>
    <t>3.以现金结算的股份支付情况</t>
  </si>
  <si>
    <r>
      <rPr>
        <sz val="9"/>
        <rFont val="Arial Narrow"/>
        <charset val="134"/>
      </rPr>
      <t>3.</t>
    </r>
    <r>
      <rPr>
        <sz val="9"/>
        <rFont val="宋体"/>
        <charset val="134"/>
      </rPr>
      <t>以现金结算的股份支付情况</t>
    </r>
  </si>
  <si>
    <t>公司承担的、以股份或其他权益工具为基础计算确定的负债的公允价值确定方法</t>
  </si>
  <si>
    <t>负债中因以现金结算的股份支付产生的累计负债金额</t>
  </si>
  <si>
    <t>以现金结算的股份支付而确认的费用总额</t>
  </si>
  <si>
    <t>4.股份支付服务的情况</t>
  </si>
  <si>
    <r>
      <rPr>
        <sz val="9"/>
        <rFont val="Arial Narrow"/>
        <charset val="134"/>
      </rPr>
      <t>4.</t>
    </r>
    <r>
      <rPr>
        <sz val="9"/>
        <rFont val="宋体"/>
        <charset val="134"/>
      </rPr>
      <t>股份支付服务的情况</t>
    </r>
  </si>
  <si>
    <t>以股份支付换取的职工服务总额</t>
  </si>
  <si>
    <t>以股份支付换取的其他服务总额</t>
  </si>
  <si>
    <t>5.股份支付的修改、终止情况的说明：</t>
  </si>
  <si>
    <r>
      <rPr>
        <sz val="9"/>
        <rFont val="Arial Narrow"/>
        <charset val="134"/>
      </rPr>
      <t>5.</t>
    </r>
    <r>
      <rPr>
        <sz val="9"/>
        <rFont val="宋体"/>
        <charset val="134"/>
      </rPr>
      <t>股份支付的修改、终止情况的说明：</t>
    </r>
  </si>
  <si>
    <t>（七十五）或有事项</t>
  </si>
  <si>
    <t>或有事项</t>
  </si>
  <si>
    <t>说明或有负债应按未决诉讼或仲裁形成的或有负债、对外提供担保形成的或有负债、其他或有负债（不包括极小可能导致经济利益流出公司的或有负债）等分项披露该事项形成的原因、预计产生的财务影响（如无法预计，应说明理由）、获得补偿的可能性。</t>
  </si>
  <si>
    <t>（七十六）承诺事项</t>
  </si>
  <si>
    <t>承诺事项</t>
  </si>
  <si>
    <t>应说明如下内容:</t>
  </si>
  <si>
    <r>
      <rPr>
        <sz val="9"/>
        <rFont val="宋体"/>
        <charset val="134"/>
      </rPr>
      <t>应说明如下内容</t>
    </r>
    <r>
      <rPr>
        <sz val="9"/>
        <rFont val="Arial Narrow"/>
        <charset val="134"/>
      </rPr>
      <t>:</t>
    </r>
  </si>
  <si>
    <t>1.对于资产负债表日存在的重大承诺事项，应在财务报表附注中按已签订的尚未履行或尚未完全履行的对外投资合同及有关财务支出、已签订的正在或准备履行的大额发包合同、已签订的正在或准备履行的租赁合同及财务影响、已签订的正在或准备履行的并购协议、已签订的正在或准备履行的重组计划、其他重大财务承诺等分项说明其存在的原因和金额。</t>
  </si>
  <si>
    <r>
      <rPr>
        <sz val="9"/>
        <rFont val="Arial Narrow"/>
        <charset val="134"/>
      </rPr>
      <t>1.</t>
    </r>
    <r>
      <rPr>
        <sz val="9"/>
        <rFont val="宋体"/>
        <charset val="134"/>
      </rPr>
      <t>对于资产负债表日存在的重大承诺事项，应在财务报表附注中按已签订的尚未履行或尚未完全履行的对外投资合同及有关财务支出、已签订的正在或准备履行的大额发包合同、已签订的正在或准备履行的租赁合同及财务影响、已签订的正在或准备履行的并购协议、已签订的正在或准备履行的重组计划、其他重大财务承诺等分项说明其存在的原因和金额。</t>
    </r>
  </si>
  <si>
    <t>2．前期承诺的履行情况：</t>
  </si>
  <si>
    <r>
      <rPr>
        <sz val="9"/>
        <rFont val="Arial Narrow"/>
        <charset val="134"/>
      </rPr>
      <t>2</t>
    </r>
    <r>
      <rPr>
        <sz val="9"/>
        <rFont val="宋体"/>
        <charset val="134"/>
      </rPr>
      <t>．前期承诺的履行情况：</t>
    </r>
  </si>
  <si>
    <t>（七十七）资产负债表日后事项</t>
  </si>
  <si>
    <t>资产负债表日后事项</t>
  </si>
  <si>
    <t>1.每项重要的资产负债表日后非调整事项的性质、内容，及其对财务状况和经营成果的影响。无法做出估计的，应当说明原因。</t>
  </si>
  <si>
    <r>
      <rPr>
        <sz val="9"/>
        <rFont val="Arial Narrow"/>
        <charset val="134"/>
      </rPr>
      <t>1.</t>
    </r>
    <r>
      <rPr>
        <sz val="9"/>
        <rFont val="宋体"/>
        <charset val="134"/>
      </rPr>
      <t>每项重要的资产负债表日后非调整事项的性质、内容，及其对财务状况和经营成果的影响。无法做出估计的，应当说明原因。</t>
    </r>
  </si>
  <si>
    <t>对财务状况和经营成果的影响数</t>
  </si>
  <si>
    <t>无法估计影响数的原因</t>
  </si>
  <si>
    <t>2.资产负债表日后，企业利润分配方案中拟分配的以及经审议批准宣告发放 的股利或利润。</t>
  </si>
  <si>
    <r>
      <rPr>
        <sz val="9"/>
        <rFont val="Arial Narrow"/>
        <charset val="134"/>
      </rPr>
      <t>2.</t>
    </r>
    <r>
      <rPr>
        <sz val="9"/>
        <rFont val="宋体"/>
        <charset val="134"/>
      </rPr>
      <t>资产负债表日后，企业利润分配方案中拟分配的以及经审议批准宣告发放</t>
    </r>
    <r>
      <rPr>
        <sz val="9"/>
        <rFont val="Arial Narrow"/>
        <charset val="134"/>
      </rPr>
      <t xml:space="preserve"> </t>
    </r>
    <r>
      <rPr>
        <sz val="9"/>
        <rFont val="宋体"/>
        <charset val="134"/>
      </rPr>
      <t>的股利或利润。</t>
    </r>
  </si>
  <si>
    <t>3.资产负债表日后股票和债券的发行、对一个公司的巨额投资、协商中的并购或重组计划、一年内实施的重大经营战略调整、金额重大的债务重组、自然灾害导致的资产损失以及外汇汇率发生较大变动等非调整事项的内容，估计对财务状况、经营成果的影响；如无法做出估计，应说明其原因。</t>
  </si>
  <si>
    <r>
      <rPr>
        <sz val="9"/>
        <rFont val="Arial Narrow"/>
        <charset val="134"/>
      </rPr>
      <t>3.</t>
    </r>
    <r>
      <rPr>
        <sz val="9"/>
        <rFont val="宋体"/>
        <charset val="134"/>
      </rPr>
      <t>资产负债表日后股票和债券的发行、对一个公司的巨额投资、协商中的并购或重组计划、一年内实施的重大经营战略调整、金额重大的债务重组、自然灾害导致的资产损失以及外汇汇率发生较大变动等非调整事项的内容，估计对财务状况、经营成果的影响；如无法做出估计，应说明其原因。</t>
    </r>
  </si>
  <si>
    <t>（七十八）非货币性资产交换</t>
  </si>
  <si>
    <t>非货币性资产交换</t>
  </si>
  <si>
    <t>应当说明如下内容:</t>
  </si>
  <si>
    <r>
      <rPr>
        <sz val="9"/>
        <rFont val="宋体"/>
        <charset val="134"/>
      </rPr>
      <t>应当说明如下内容</t>
    </r>
    <r>
      <rPr>
        <sz val="9"/>
        <rFont val="Arial Narrow"/>
        <charset val="134"/>
      </rPr>
      <t>:</t>
    </r>
  </si>
  <si>
    <t>1.换入资产、换出资产的类别。</t>
  </si>
  <si>
    <r>
      <rPr>
        <sz val="9"/>
        <rFont val="Arial Narrow"/>
        <charset val="134"/>
      </rPr>
      <t>1.</t>
    </r>
    <r>
      <rPr>
        <sz val="9"/>
        <rFont val="宋体"/>
        <charset val="134"/>
      </rPr>
      <t>换入资产、换出资产的类别。</t>
    </r>
  </si>
  <si>
    <t>2.换入资产成本的确定方式。</t>
  </si>
  <si>
    <r>
      <rPr>
        <sz val="9"/>
        <rFont val="Arial Narrow"/>
        <charset val="134"/>
      </rPr>
      <t>2.</t>
    </r>
    <r>
      <rPr>
        <sz val="9"/>
        <rFont val="宋体"/>
        <charset val="134"/>
      </rPr>
      <t>换入资产成本的确定方式。</t>
    </r>
  </si>
  <si>
    <t>3.换入资产、换出资产的公允价值及换出资产的账面价值。</t>
  </si>
  <si>
    <r>
      <rPr>
        <sz val="9"/>
        <rFont val="Arial Narrow"/>
        <charset val="134"/>
      </rPr>
      <t>3.</t>
    </r>
    <r>
      <rPr>
        <sz val="9"/>
        <rFont val="宋体"/>
        <charset val="134"/>
      </rPr>
      <t>换入资产、换出资产的公允价值及换出资产的账面价值。</t>
    </r>
  </si>
  <si>
    <t>（七十九）债务重组</t>
  </si>
  <si>
    <t>债务重组</t>
  </si>
  <si>
    <t>（一）债务人应当说明如下内容:</t>
  </si>
  <si>
    <r>
      <rPr>
        <sz val="9"/>
        <rFont val="宋体"/>
        <charset val="134"/>
      </rPr>
      <t>（一）债务人应当说明如下内容</t>
    </r>
    <r>
      <rPr>
        <sz val="9"/>
        <rFont val="Arial Narrow"/>
        <charset val="134"/>
      </rPr>
      <t>:</t>
    </r>
  </si>
  <si>
    <t>1.债务重组方式。</t>
  </si>
  <si>
    <r>
      <rPr>
        <sz val="9"/>
        <rFont val="Arial Narrow"/>
        <charset val="134"/>
      </rPr>
      <t>1.</t>
    </r>
    <r>
      <rPr>
        <sz val="9"/>
        <rFont val="宋体"/>
        <charset val="134"/>
      </rPr>
      <t>债务重组方式。</t>
    </r>
  </si>
  <si>
    <t>2.确认的债务重组利得总额及债务重组损失总额。</t>
  </si>
  <si>
    <r>
      <rPr>
        <sz val="9"/>
        <rFont val="Arial Narrow"/>
        <charset val="134"/>
      </rPr>
      <t>2.</t>
    </r>
    <r>
      <rPr>
        <sz val="9"/>
        <rFont val="宋体"/>
        <charset val="134"/>
      </rPr>
      <t>确认的债务重组利得总额及债务重组损失总额。</t>
    </r>
  </si>
  <si>
    <t>3.将债务（债权）转为资本所导致的股本（或者实收资本）增加额。</t>
  </si>
  <si>
    <r>
      <rPr>
        <sz val="9"/>
        <rFont val="Arial Narrow"/>
        <charset val="134"/>
      </rPr>
      <t>3.</t>
    </r>
    <r>
      <rPr>
        <sz val="9"/>
        <rFont val="宋体"/>
        <charset val="134"/>
      </rPr>
      <t>将债务（债权）转为资本所导致的股本（或者实收资本）增加额。</t>
    </r>
  </si>
  <si>
    <t>4.或有应付及应付金额。</t>
  </si>
  <si>
    <r>
      <rPr>
        <sz val="9"/>
        <rFont val="Arial Narrow"/>
        <charset val="134"/>
      </rPr>
      <t>4.</t>
    </r>
    <r>
      <rPr>
        <sz val="9"/>
        <rFont val="宋体"/>
        <charset val="134"/>
      </rPr>
      <t>或有应付及应付金额。</t>
    </r>
  </si>
  <si>
    <t>5.债务重组中转让的非现金资产的公允价值、由债务（债权）转成的股份的公允价值和修改其他债务条件后债务的公允价值的确定方法及依据。</t>
  </si>
  <si>
    <r>
      <rPr>
        <sz val="9"/>
        <rFont val="Arial Narrow"/>
        <charset val="134"/>
      </rPr>
      <t>5.</t>
    </r>
    <r>
      <rPr>
        <sz val="9"/>
        <rFont val="宋体"/>
        <charset val="134"/>
      </rPr>
      <t>债务重组中转让的非现金资产的公允价值、由债务（债权）转成的股份的公允价值和修改其他债务条件后债务的公允价值的确定方法及依据。</t>
    </r>
  </si>
  <si>
    <t>（二）债权人应当说明如下内容：</t>
  </si>
  <si>
    <t>1.债务重组方式；</t>
  </si>
  <si>
    <r>
      <rPr>
        <sz val="9"/>
        <rFont val="Arial Narrow"/>
        <charset val="134"/>
      </rPr>
      <t>1.</t>
    </r>
    <r>
      <rPr>
        <sz val="9"/>
        <rFont val="宋体"/>
        <charset val="134"/>
      </rPr>
      <t>债务重组方式；</t>
    </r>
  </si>
  <si>
    <t>2.确认的债务重组损失总额；</t>
  </si>
  <si>
    <r>
      <rPr>
        <sz val="9"/>
        <rFont val="Arial Narrow"/>
        <charset val="134"/>
      </rPr>
      <t>2.</t>
    </r>
    <r>
      <rPr>
        <sz val="9"/>
        <rFont val="宋体"/>
        <charset val="134"/>
      </rPr>
      <t>确认的债务重组损失总额；</t>
    </r>
  </si>
  <si>
    <t>3.债权转为股份所导致的投资增加额及该投资占债务人股份总额的比例；</t>
  </si>
  <si>
    <r>
      <rPr>
        <sz val="9"/>
        <rFont val="Arial Narrow"/>
        <charset val="134"/>
      </rPr>
      <t>3.</t>
    </r>
    <r>
      <rPr>
        <sz val="9"/>
        <rFont val="宋体"/>
        <charset val="134"/>
      </rPr>
      <t>债权转为股份所导致的投资增加额及该投资占债务人股份总额的比例；</t>
    </r>
  </si>
  <si>
    <t>4.或有应收金额。</t>
  </si>
  <si>
    <r>
      <rPr>
        <sz val="9"/>
        <rFont val="Arial Narrow"/>
        <charset val="134"/>
      </rPr>
      <t>4.</t>
    </r>
    <r>
      <rPr>
        <sz val="9"/>
        <rFont val="宋体"/>
        <charset val="134"/>
      </rPr>
      <t>或有应收金额。</t>
    </r>
  </si>
  <si>
    <t>（八十）借款费用</t>
  </si>
  <si>
    <t>借款费用</t>
  </si>
  <si>
    <t>1.当期资本化的借款费用金额。</t>
  </si>
  <si>
    <r>
      <rPr>
        <sz val="9"/>
        <rFont val="Arial Narrow"/>
        <charset val="134"/>
      </rPr>
      <t>1.</t>
    </r>
    <r>
      <rPr>
        <sz val="9"/>
        <rFont val="宋体"/>
        <charset val="134"/>
      </rPr>
      <t>当期资本化的借款费用金额。</t>
    </r>
  </si>
  <si>
    <t>2.当期用于计算确定借款费用资本化金额的资本化率。</t>
  </si>
  <si>
    <r>
      <rPr>
        <sz val="9"/>
        <rFont val="Arial Narrow"/>
        <charset val="134"/>
      </rPr>
      <t>2.</t>
    </r>
    <r>
      <rPr>
        <sz val="9"/>
        <rFont val="宋体"/>
        <charset val="134"/>
      </rPr>
      <t>当期用于计算确定借款费用资本化金额的资本化率。</t>
    </r>
  </si>
  <si>
    <t>（八十一）外币折算</t>
  </si>
  <si>
    <t>外币折算</t>
  </si>
  <si>
    <t>1.计入当期损益的汇兑差额。</t>
  </si>
  <si>
    <r>
      <rPr>
        <sz val="9"/>
        <rFont val="Arial Narrow"/>
        <charset val="134"/>
      </rPr>
      <t>1.</t>
    </r>
    <r>
      <rPr>
        <sz val="9"/>
        <rFont val="宋体"/>
        <charset val="134"/>
      </rPr>
      <t>计入当期损益的汇兑差额。</t>
    </r>
  </si>
  <si>
    <t>2.处置境外经营对外币财务报表折算差额的影响。</t>
  </si>
  <si>
    <r>
      <rPr>
        <sz val="9"/>
        <rFont val="Arial Narrow"/>
        <charset val="134"/>
      </rPr>
      <t>2.</t>
    </r>
    <r>
      <rPr>
        <sz val="9"/>
        <rFont val="宋体"/>
        <charset val="134"/>
      </rPr>
      <t>处置境外经营对外币财务报表折算差额的影响。</t>
    </r>
  </si>
  <si>
    <t>（八十二）租赁</t>
  </si>
  <si>
    <t>租赁</t>
  </si>
  <si>
    <t>1.融资租赁出租人最低租赁收款额情况</t>
  </si>
  <si>
    <r>
      <rPr>
        <sz val="9"/>
        <rFont val="Arial Narrow"/>
        <charset val="134"/>
      </rPr>
      <t>1.</t>
    </r>
    <r>
      <rPr>
        <sz val="9"/>
        <rFont val="宋体"/>
        <charset val="134"/>
      </rPr>
      <t>融资租赁出租人最低租赁收款额情况</t>
    </r>
  </si>
  <si>
    <t>剩余租赁期</t>
  </si>
  <si>
    <t>最低租赁收款额</t>
  </si>
  <si>
    <t>1年以上2年以内（含2年）</t>
  </si>
  <si>
    <r>
      <rPr>
        <sz val="9"/>
        <rFont val="Arial Narrow"/>
        <charset val="134"/>
      </rPr>
      <t>1</t>
    </r>
    <r>
      <rPr>
        <sz val="9"/>
        <rFont val="宋体"/>
        <charset val="134"/>
      </rPr>
      <t>年以上</t>
    </r>
    <r>
      <rPr>
        <sz val="9"/>
        <rFont val="Arial Narrow"/>
        <charset val="134"/>
      </rPr>
      <t>2</t>
    </r>
    <r>
      <rPr>
        <sz val="9"/>
        <rFont val="宋体"/>
        <charset val="134"/>
      </rPr>
      <t>年以内（含</t>
    </r>
    <r>
      <rPr>
        <sz val="9"/>
        <rFont val="Arial Narrow"/>
        <charset val="134"/>
      </rPr>
      <t>2</t>
    </r>
    <r>
      <rPr>
        <sz val="9"/>
        <rFont val="宋体"/>
        <charset val="134"/>
      </rPr>
      <t>年）</t>
    </r>
  </si>
  <si>
    <t>2年以上3年以内（含3年）</t>
  </si>
  <si>
    <r>
      <rPr>
        <sz val="9"/>
        <rFont val="Arial Narrow"/>
        <charset val="134"/>
      </rPr>
      <t>2</t>
    </r>
    <r>
      <rPr>
        <sz val="9"/>
        <rFont val="宋体"/>
        <charset val="134"/>
      </rPr>
      <t>年以上</t>
    </r>
    <r>
      <rPr>
        <sz val="9"/>
        <rFont val="Arial Narrow"/>
        <charset val="134"/>
      </rPr>
      <t>3</t>
    </r>
    <r>
      <rPr>
        <sz val="9"/>
        <rFont val="宋体"/>
        <charset val="134"/>
      </rPr>
      <t>年以内（含</t>
    </r>
    <r>
      <rPr>
        <sz val="9"/>
        <rFont val="Arial Narrow"/>
        <charset val="134"/>
      </rPr>
      <t>3</t>
    </r>
    <r>
      <rPr>
        <sz val="9"/>
        <rFont val="宋体"/>
        <charset val="134"/>
      </rPr>
      <t>年）</t>
    </r>
  </si>
  <si>
    <t>3年以上</t>
  </si>
  <si>
    <t>注：融资租赁出租人还应当说明未实现融资收益的余额。</t>
  </si>
  <si>
    <t>2.经营租赁出租人租出资产情况</t>
  </si>
  <si>
    <r>
      <rPr>
        <sz val="9"/>
        <rFont val="Arial Narrow"/>
        <charset val="134"/>
      </rPr>
      <t>2.</t>
    </r>
    <r>
      <rPr>
        <sz val="9"/>
        <rFont val="宋体"/>
        <charset val="134"/>
      </rPr>
      <t>经营租赁出租人租出资产情况</t>
    </r>
  </si>
  <si>
    <t>资产类别</t>
  </si>
  <si>
    <t>1．机器设备</t>
  </si>
  <si>
    <r>
      <rPr>
        <sz val="9"/>
        <rFont val="Arial Narrow"/>
        <charset val="134"/>
      </rPr>
      <t>1</t>
    </r>
    <r>
      <rPr>
        <sz val="9"/>
        <rFont val="宋体"/>
        <charset val="134"/>
      </rPr>
      <t>．机器设备</t>
    </r>
  </si>
  <si>
    <t>2．运输工具</t>
  </si>
  <si>
    <r>
      <rPr>
        <sz val="9"/>
        <rFont val="Arial Narrow"/>
        <charset val="134"/>
      </rPr>
      <t>2</t>
    </r>
    <r>
      <rPr>
        <sz val="9"/>
        <rFont val="宋体"/>
        <charset val="134"/>
      </rPr>
      <t>．运输工具</t>
    </r>
  </si>
  <si>
    <t>……</t>
  </si>
  <si>
    <t>3.融资租赁承租人</t>
  </si>
  <si>
    <r>
      <rPr>
        <sz val="9"/>
        <rFont val="Arial Narrow"/>
        <charset val="134"/>
      </rPr>
      <t>3.</t>
    </r>
    <r>
      <rPr>
        <sz val="9"/>
        <rFont val="宋体"/>
        <charset val="134"/>
      </rPr>
      <t>融资租赁承租人</t>
    </r>
  </si>
  <si>
    <t>（1）租入固定资产情况</t>
  </si>
  <si>
    <r>
      <rPr>
        <sz val="9"/>
        <rFont val="宋体"/>
        <charset val="134"/>
      </rPr>
      <t>（</t>
    </r>
    <r>
      <rPr>
        <sz val="9"/>
        <rFont val="Arial Narrow"/>
        <charset val="134"/>
      </rPr>
      <t>1</t>
    </r>
    <r>
      <rPr>
        <sz val="9"/>
        <rFont val="宋体"/>
        <charset val="134"/>
      </rPr>
      <t>）租入固定资产情况</t>
    </r>
  </si>
  <si>
    <t>原价</t>
  </si>
  <si>
    <t>累计减值准备</t>
  </si>
  <si>
    <t>注:还应说明未确认融资费用的余额。</t>
  </si>
  <si>
    <r>
      <rPr>
        <sz val="9"/>
        <rFont val="宋体"/>
        <charset val="134"/>
      </rPr>
      <t>注</t>
    </r>
    <r>
      <rPr>
        <sz val="9"/>
        <rFont val="Arial Narrow"/>
        <charset val="134"/>
      </rPr>
      <t>:</t>
    </r>
    <r>
      <rPr>
        <sz val="9"/>
        <rFont val="宋体"/>
        <charset val="134"/>
      </rPr>
      <t>还应说明未确认融资费用的余额。</t>
    </r>
  </si>
  <si>
    <t>（2）以后年度最低租赁付款额情况</t>
  </si>
  <si>
    <r>
      <rPr>
        <sz val="9"/>
        <rFont val="宋体"/>
        <charset val="134"/>
      </rPr>
      <t>（</t>
    </r>
    <r>
      <rPr>
        <sz val="9"/>
        <rFont val="Arial Narrow"/>
        <charset val="134"/>
      </rPr>
      <t>2</t>
    </r>
    <r>
      <rPr>
        <sz val="9"/>
        <rFont val="宋体"/>
        <charset val="134"/>
      </rPr>
      <t>）以后年度最低租赁付款额情况</t>
    </r>
  </si>
  <si>
    <t>最低租赁付款额</t>
  </si>
  <si>
    <t>1 年以内（含 1 年）</t>
  </si>
  <si>
    <r>
      <rPr>
        <sz val="9"/>
        <rFont val="Arial Narrow"/>
        <charset val="134"/>
      </rPr>
      <t xml:space="preserve">1 </t>
    </r>
    <r>
      <rPr>
        <sz val="9"/>
        <rFont val="宋体"/>
        <charset val="134"/>
      </rPr>
      <t>年以内（含</t>
    </r>
    <r>
      <rPr>
        <sz val="9"/>
        <rFont val="Arial Narrow"/>
        <charset val="134"/>
      </rPr>
      <t xml:space="preserve"> 1 </t>
    </r>
    <r>
      <rPr>
        <sz val="9"/>
        <rFont val="宋体"/>
        <charset val="134"/>
      </rPr>
      <t>年）</t>
    </r>
  </si>
  <si>
    <t>1 年以上 2 年以内（含 2 年）</t>
  </si>
  <si>
    <r>
      <rPr>
        <sz val="9"/>
        <rFont val="Arial Narrow"/>
        <charset val="134"/>
      </rPr>
      <t xml:space="preserve">1 </t>
    </r>
    <r>
      <rPr>
        <sz val="9"/>
        <rFont val="宋体"/>
        <charset val="134"/>
      </rPr>
      <t>年以上</t>
    </r>
    <r>
      <rPr>
        <sz val="9"/>
        <rFont val="Arial Narrow"/>
        <charset val="134"/>
      </rPr>
      <t xml:space="preserve"> 2 </t>
    </r>
    <r>
      <rPr>
        <sz val="9"/>
        <rFont val="宋体"/>
        <charset val="134"/>
      </rPr>
      <t>年以内（含</t>
    </r>
    <r>
      <rPr>
        <sz val="9"/>
        <rFont val="Arial Narrow"/>
        <charset val="134"/>
      </rPr>
      <t xml:space="preserve"> 2 </t>
    </r>
    <r>
      <rPr>
        <sz val="9"/>
        <rFont val="宋体"/>
        <charset val="134"/>
      </rPr>
      <t>年）</t>
    </r>
  </si>
  <si>
    <t>2 年以上 3 年以内（含 3 年）</t>
  </si>
  <si>
    <r>
      <rPr>
        <sz val="9"/>
        <rFont val="Arial Narrow"/>
        <charset val="134"/>
      </rPr>
      <t xml:space="preserve">2 </t>
    </r>
    <r>
      <rPr>
        <sz val="9"/>
        <rFont val="宋体"/>
        <charset val="134"/>
      </rPr>
      <t>年以上</t>
    </r>
    <r>
      <rPr>
        <sz val="9"/>
        <rFont val="Arial Narrow"/>
        <charset val="134"/>
      </rPr>
      <t xml:space="preserve"> 3 </t>
    </r>
    <r>
      <rPr>
        <sz val="9"/>
        <rFont val="宋体"/>
        <charset val="134"/>
      </rPr>
      <t>年以内（含</t>
    </r>
    <r>
      <rPr>
        <sz val="9"/>
        <rFont val="Arial Narrow"/>
        <charset val="134"/>
      </rPr>
      <t xml:space="preserve"> 3 </t>
    </r>
    <r>
      <rPr>
        <sz val="9"/>
        <rFont val="宋体"/>
        <charset val="134"/>
      </rPr>
      <t>年）</t>
    </r>
  </si>
  <si>
    <t>3 年以上</t>
  </si>
  <si>
    <r>
      <rPr>
        <sz val="9"/>
        <rFont val="Arial Narrow"/>
        <charset val="134"/>
      </rPr>
      <t xml:space="preserve">3 </t>
    </r>
    <r>
      <rPr>
        <sz val="9"/>
        <rFont val="宋体"/>
        <charset val="134"/>
      </rPr>
      <t>年以上</t>
    </r>
  </si>
  <si>
    <t>4.经营租赁承租人最低租赁付款额情况</t>
  </si>
  <si>
    <r>
      <rPr>
        <sz val="9"/>
        <rFont val="Arial Narrow"/>
        <charset val="134"/>
      </rPr>
      <t>4.</t>
    </r>
    <r>
      <rPr>
        <sz val="9"/>
        <rFont val="宋体"/>
        <charset val="134"/>
      </rPr>
      <t>经营租赁承租人最低租赁付款额情况</t>
    </r>
  </si>
  <si>
    <t>5.披露各售后租回交易以及售后租回合同中的重要条款。</t>
  </si>
  <si>
    <r>
      <rPr>
        <sz val="9"/>
        <rFont val="Arial Narrow"/>
        <charset val="134"/>
      </rPr>
      <t>5.</t>
    </r>
    <r>
      <rPr>
        <sz val="9"/>
        <rFont val="宋体"/>
        <charset val="134"/>
      </rPr>
      <t>披露各售后租回交易以及售后租回合同中的重要条款。</t>
    </r>
  </si>
  <si>
    <t>（八十三）期末发行在外的、可转换为股份的金融工具</t>
  </si>
  <si>
    <t>期末发行在外的、可转换为股份的金融工具</t>
  </si>
  <si>
    <t>（八十四）以公允价值计量的资产和负债</t>
  </si>
  <si>
    <t>以公允价值计量的资产和负债</t>
  </si>
  <si>
    <t>本期公允价值变动损益</t>
  </si>
  <si>
    <t>计入权益的累计公允价值变动</t>
  </si>
  <si>
    <t>本期计提的减值</t>
  </si>
  <si>
    <t>金融资产</t>
  </si>
  <si>
    <t>1.以公允价值计量且其变动计入当期损益的金融资产（不含衍生金融资产）</t>
  </si>
  <si>
    <r>
      <rPr>
        <sz val="9"/>
        <rFont val="Arial Narrow"/>
        <charset val="134"/>
      </rPr>
      <t>1.</t>
    </r>
    <r>
      <rPr>
        <sz val="9"/>
        <rFont val="宋体"/>
        <charset val="134"/>
      </rPr>
      <t>以公允价值计量且其变动计入当期损益的金融资产（不含衍生金融资产）</t>
    </r>
  </si>
  <si>
    <t>2.衍生金融资产</t>
  </si>
  <si>
    <r>
      <rPr>
        <sz val="9"/>
        <rFont val="Arial Narrow"/>
        <charset val="134"/>
      </rPr>
      <t>2.</t>
    </r>
    <r>
      <rPr>
        <sz val="9"/>
        <rFont val="宋体"/>
        <charset val="134"/>
      </rPr>
      <t>衍生金融资产</t>
    </r>
  </si>
  <si>
    <t>3.可供出售金融资产</t>
  </si>
  <si>
    <r>
      <rPr>
        <sz val="9"/>
        <rFont val="Arial Narrow"/>
        <charset val="134"/>
      </rPr>
      <t>3.</t>
    </r>
    <r>
      <rPr>
        <sz val="9"/>
        <rFont val="宋体"/>
        <charset val="134"/>
      </rPr>
      <t>可供出售金融资产</t>
    </r>
  </si>
  <si>
    <t>金融资产小计</t>
  </si>
  <si>
    <t>上述合计</t>
  </si>
  <si>
    <t>金融负债</t>
  </si>
  <si>
    <t>（八十五）外币金融资产和外币金融负债</t>
  </si>
  <si>
    <t>外币金融资产和外币金融负债</t>
  </si>
  <si>
    <t>3.贷款和应收款</t>
  </si>
  <si>
    <r>
      <rPr>
        <sz val="9"/>
        <rFont val="Arial Narrow"/>
        <charset val="134"/>
      </rPr>
      <t>3.</t>
    </r>
    <r>
      <rPr>
        <sz val="9"/>
        <rFont val="宋体"/>
        <charset val="134"/>
      </rPr>
      <t>贷款和应收款</t>
    </r>
  </si>
  <si>
    <t>4.可供出售金融资产</t>
  </si>
  <si>
    <r>
      <rPr>
        <sz val="9"/>
        <rFont val="Arial Narrow"/>
        <charset val="134"/>
      </rPr>
      <t>4.</t>
    </r>
    <r>
      <rPr>
        <sz val="9"/>
        <rFont val="宋体"/>
        <charset val="134"/>
      </rPr>
      <t>可供出售金融资产</t>
    </r>
  </si>
  <si>
    <t>5.持有至到期投资</t>
  </si>
  <si>
    <r>
      <rPr>
        <sz val="9"/>
        <rFont val="Arial Narrow"/>
        <charset val="134"/>
      </rPr>
      <t>5.</t>
    </r>
    <r>
      <rPr>
        <sz val="9"/>
        <rFont val="宋体"/>
        <charset val="134"/>
      </rPr>
      <t>持有至到期投资</t>
    </r>
  </si>
  <si>
    <t>（八十六）终止经营</t>
  </si>
  <si>
    <t>终止经营</t>
  </si>
  <si>
    <t>1.终止经营收入</t>
  </si>
  <si>
    <r>
      <rPr>
        <sz val="9"/>
        <rFont val="Arial Narrow"/>
        <charset val="134"/>
      </rPr>
      <t>1.</t>
    </r>
    <r>
      <rPr>
        <sz val="9"/>
        <rFont val="宋体"/>
        <charset val="134"/>
      </rPr>
      <t>终止经营收入</t>
    </r>
  </si>
  <si>
    <t>减：终止经营费用</t>
  </si>
  <si>
    <t>2.终止经营利润总额</t>
  </si>
  <si>
    <r>
      <rPr>
        <sz val="9"/>
        <rFont val="Arial Narrow"/>
        <charset val="134"/>
      </rPr>
      <t>2.</t>
    </r>
    <r>
      <rPr>
        <sz val="9"/>
        <rFont val="宋体"/>
        <charset val="134"/>
      </rPr>
      <t>终止经营利润总额</t>
    </r>
  </si>
  <si>
    <t>减：终止经营所得税费用</t>
  </si>
  <si>
    <t>3.终止经营净利润</t>
  </si>
  <si>
    <r>
      <rPr>
        <sz val="9"/>
        <rFont val="Arial Narrow"/>
        <charset val="134"/>
      </rPr>
      <t>3.</t>
    </r>
    <r>
      <rPr>
        <sz val="9"/>
        <rFont val="宋体"/>
        <charset val="134"/>
      </rPr>
      <t>终止经营净利润</t>
    </r>
  </si>
  <si>
    <t>（八十七）分部报告</t>
  </si>
  <si>
    <t>分部报告</t>
  </si>
  <si>
    <t>1.主要报告形式为经营分部</t>
  </si>
  <si>
    <r>
      <rPr>
        <sz val="9"/>
        <rFont val="Arial Narrow"/>
        <charset val="134"/>
      </rPr>
      <t>1.</t>
    </r>
    <r>
      <rPr>
        <sz val="9"/>
        <rFont val="宋体"/>
        <charset val="134"/>
      </rPr>
      <t>主要报告形式为经营分部</t>
    </r>
  </si>
  <si>
    <r>
      <rPr>
        <b/>
        <sz val="9"/>
        <rFont val="Arial Narrow"/>
        <charset val="134"/>
      </rPr>
      <t>××</t>
    </r>
    <r>
      <rPr>
        <b/>
        <sz val="9"/>
        <rFont val="宋体"/>
        <charset val="134"/>
      </rPr>
      <t>业务</t>
    </r>
  </si>
  <si>
    <t>抵销</t>
  </si>
  <si>
    <t>其中：对外交易收入</t>
  </si>
  <si>
    <t>分部间交易收入</t>
  </si>
  <si>
    <t>二、营业费用</t>
  </si>
  <si>
    <t>三、营业利润（亏损）</t>
  </si>
  <si>
    <t>四、资产总额</t>
  </si>
  <si>
    <t>五、负债总额</t>
  </si>
  <si>
    <t>六、补充信息</t>
  </si>
  <si>
    <t>1．折旧和摊销费用</t>
  </si>
  <si>
    <r>
      <rPr>
        <sz val="9"/>
        <rFont val="Arial Narrow"/>
        <charset val="134"/>
      </rPr>
      <t>1</t>
    </r>
    <r>
      <rPr>
        <sz val="9"/>
        <rFont val="宋体"/>
        <charset val="134"/>
      </rPr>
      <t>．折旧和摊销费用</t>
    </r>
  </si>
  <si>
    <t>2．资本性支出</t>
  </si>
  <si>
    <r>
      <rPr>
        <sz val="9"/>
        <rFont val="Arial Narrow"/>
        <charset val="134"/>
      </rPr>
      <t>2</t>
    </r>
    <r>
      <rPr>
        <sz val="9"/>
        <rFont val="宋体"/>
        <charset val="134"/>
      </rPr>
      <t>．资本性支出</t>
    </r>
  </si>
  <si>
    <t>3．折旧和摊销以外的非现金费用</t>
  </si>
  <si>
    <r>
      <rPr>
        <sz val="9"/>
        <rFont val="Arial Narrow"/>
        <charset val="134"/>
      </rPr>
      <t>3</t>
    </r>
    <r>
      <rPr>
        <sz val="9"/>
        <rFont val="宋体"/>
        <charset val="134"/>
      </rPr>
      <t>．折旧和摊销以外的非现金费用</t>
    </r>
  </si>
  <si>
    <t>注：1. 报告分部的数量通常不应超过10个。报告分部的数量超过10个需要合并的，应当以经营分部的合并条件为基础，对相关的报告分部予以合并。</t>
  </si>
  <si>
    <r>
      <rPr>
        <sz val="9"/>
        <rFont val="宋体"/>
        <charset val="134"/>
      </rPr>
      <t>注：</t>
    </r>
    <r>
      <rPr>
        <sz val="9"/>
        <rFont val="Arial Narrow"/>
        <charset val="134"/>
      </rPr>
      <t xml:space="preserve">1. </t>
    </r>
    <r>
      <rPr>
        <sz val="9"/>
        <rFont val="宋体"/>
        <charset val="134"/>
      </rPr>
      <t>报告分部的数量通常不应超过</t>
    </r>
    <r>
      <rPr>
        <sz val="9"/>
        <rFont val="Arial Narrow"/>
        <charset val="134"/>
      </rPr>
      <t>10</t>
    </r>
    <r>
      <rPr>
        <sz val="9"/>
        <rFont val="宋体"/>
        <charset val="134"/>
      </rPr>
      <t>个。报告分部的数量超过</t>
    </r>
    <r>
      <rPr>
        <sz val="9"/>
        <rFont val="Arial Narrow"/>
        <charset val="134"/>
      </rPr>
      <t>10</t>
    </r>
    <r>
      <rPr>
        <sz val="9"/>
        <rFont val="宋体"/>
        <charset val="134"/>
      </rPr>
      <t>个需要合并的，应当以经营分部的合并条件为基础，对相关的报告分部予以合并。</t>
    </r>
  </si>
  <si>
    <t>注：2.在主要报告形式的基础上，对于次要报告形式，企业还应披露对外交易收入、分部资产总额。</t>
  </si>
  <si>
    <r>
      <rPr>
        <sz val="9"/>
        <rFont val="宋体"/>
        <charset val="134"/>
      </rPr>
      <t>注：</t>
    </r>
    <r>
      <rPr>
        <sz val="9"/>
        <rFont val="Arial Narrow"/>
        <charset val="134"/>
      </rPr>
      <t>2.</t>
    </r>
    <r>
      <rPr>
        <sz val="9"/>
        <rFont val="宋体"/>
        <charset val="134"/>
      </rPr>
      <t>在主要报告形式的基础上，对于次要报告形式，企业还应披露对外交易收入、分部资产总额。</t>
    </r>
  </si>
  <si>
    <t>（返回公式连接表）</t>
  </si>
  <si>
    <r>
      <rPr>
        <sz val="9"/>
        <color theme="7" tint="0.599993896298105"/>
        <rFont val="宋体"/>
        <charset val="134"/>
      </rPr>
      <t>房投</t>
    </r>
    <r>
      <rPr>
        <sz val="9"/>
        <color theme="7" tint="0.599993896298105"/>
        <rFont val="Arial Narrow"/>
        <charset val="134"/>
      </rPr>
      <t>1</t>
    </r>
  </si>
  <si>
    <t>房投1</t>
  </si>
  <si>
    <r>
      <rPr>
        <b/>
        <sz val="9"/>
        <rFont val="Arial Narrow"/>
        <charset val="134"/>
      </rPr>
      <t>（</t>
    </r>
    <r>
      <rPr>
        <b/>
        <sz val="10.5"/>
        <color theme="1"/>
        <rFont val="Times New Roman"/>
        <charset val="134"/>
      </rPr>
      <t>1</t>
    </r>
    <r>
      <rPr>
        <b/>
        <sz val="10.5"/>
        <color theme="1"/>
        <rFont val="宋体"/>
        <charset val="134"/>
      </rPr>
      <t>）采用成本计量模式的投资性房地产</t>
    </r>
  </si>
  <si>
    <r>
      <rPr>
        <sz val="9"/>
        <color theme="7" tint="0.599993896298105"/>
        <rFont val="宋体"/>
        <charset val="134"/>
      </rPr>
      <t>房投</t>
    </r>
    <r>
      <rPr>
        <sz val="9"/>
        <color theme="7" tint="0.599993896298105"/>
        <rFont val="Arial Narrow"/>
        <charset val="134"/>
      </rPr>
      <t>2</t>
    </r>
  </si>
  <si>
    <t>房投2</t>
  </si>
  <si>
    <t>土地使用权</t>
  </si>
  <si>
    <r>
      <rPr>
        <sz val="9"/>
        <color theme="7" tint="0.599993896298105"/>
        <rFont val="宋体"/>
        <charset val="134"/>
      </rPr>
      <t>房投</t>
    </r>
    <r>
      <rPr>
        <sz val="9"/>
        <color theme="7" tint="0.599993896298105"/>
        <rFont val="Arial Narrow"/>
        <charset val="134"/>
      </rPr>
      <t>3</t>
    </r>
  </si>
  <si>
    <t>房投3</t>
  </si>
  <si>
    <t>一、账面原值</t>
  </si>
  <si>
    <r>
      <rPr>
        <sz val="9"/>
        <color theme="7" tint="0.599993896298105"/>
        <rFont val="宋体"/>
        <charset val="134"/>
      </rPr>
      <t>房投</t>
    </r>
    <r>
      <rPr>
        <sz val="9"/>
        <color theme="7" tint="0.599993896298105"/>
        <rFont val="Arial Narrow"/>
        <charset val="134"/>
      </rPr>
      <t>4</t>
    </r>
  </si>
  <si>
    <t>房投4</t>
  </si>
  <si>
    <r>
      <rPr>
        <sz val="9"/>
        <color theme="1"/>
        <rFont val="宋体"/>
        <charset val="134"/>
      </rPr>
      <t>　　</t>
    </r>
    <r>
      <rPr>
        <sz val="9"/>
        <color theme="1"/>
        <rFont val="Times New Roman"/>
        <charset val="134"/>
      </rPr>
      <t>1.</t>
    </r>
    <r>
      <rPr>
        <sz val="9"/>
        <color theme="1"/>
        <rFont val="宋体"/>
        <charset val="134"/>
      </rPr>
      <t>期初余额</t>
    </r>
  </si>
  <si>
    <r>
      <rPr>
        <sz val="9"/>
        <color theme="7" tint="0.599993896298105"/>
        <rFont val="宋体"/>
        <charset val="134"/>
      </rPr>
      <t>房投</t>
    </r>
    <r>
      <rPr>
        <sz val="9"/>
        <color theme="7" tint="0.599993896298105"/>
        <rFont val="Arial Narrow"/>
        <charset val="134"/>
      </rPr>
      <t>5</t>
    </r>
  </si>
  <si>
    <t>房投5</t>
  </si>
  <si>
    <r>
      <rPr>
        <sz val="9"/>
        <color theme="1"/>
        <rFont val="宋体"/>
        <charset val="134"/>
      </rPr>
      <t>　　</t>
    </r>
    <r>
      <rPr>
        <sz val="9"/>
        <color theme="1"/>
        <rFont val="Times New Roman"/>
        <charset val="134"/>
      </rPr>
      <t>2.</t>
    </r>
    <r>
      <rPr>
        <sz val="9"/>
        <color theme="1"/>
        <rFont val="宋体"/>
        <charset val="134"/>
      </rPr>
      <t>本期增加金额</t>
    </r>
  </si>
  <si>
    <r>
      <rPr>
        <sz val="9"/>
        <color theme="7" tint="0.599993896298105"/>
        <rFont val="宋体"/>
        <charset val="134"/>
      </rPr>
      <t>房投</t>
    </r>
    <r>
      <rPr>
        <sz val="9"/>
        <color theme="7" tint="0.599993896298105"/>
        <rFont val="Arial Narrow"/>
        <charset val="134"/>
      </rPr>
      <t>6</t>
    </r>
  </si>
  <si>
    <t>房投6</t>
  </si>
  <si>
    <r>
      <rPr>
        <sz val="9"/>
        <color theme="1"/>
        <rFont val="宋体"/>
        <charset val="134"/>
      </rPr>
      <t>　　（</t>
    </r>
    <r>
      <rPr>
        <sz val="9"/>
        <color theme="1"/>
        <rFont val="Times New Roman"/>
        <charset val="134"/>
      </rPr>
      <t>1</t>
    </r>
    <r>
      <rPr>
        <sz val="9"/>
        <color theme="1"/>
        <rFont val="宋体"/>
        <charset val="134"/>
      </rPr>
      <t>）外购</t>
    </r>
  </si>
  <si>
    <r>
      <rPr>
        <sz val="9"/>
        <color theme="7" tint="0.599993896298105"/>
        <rFont val="宋体"/>
        <charset val="134"/>
      </rPr>
      <t>房投</t>
    </r>
    <r>
      <rPr>
        <sz val="9"/>
        <color theme="7" tint="0.599993896298105"/>
        <rFont val="Arial Narrow"/>
        <charset val="134"/>
      </rPr>
      <t>7</t>
    </r>
  </si>
  <si>
    <t>房投7</t>
  </si>
  <si>
    <r>
      <rPr>
        <sz val="9"/>
        <color theme="1"/>
        <rFont val="宋体"/>
        <charset val="134"/>
      </rPr>
      <t>　　（</t>
    </r>
    <r>
      <rPr>
        <sz val="9"/>
        <color theme="1"/>
        <rFont val="Times New Roman"/>
        <charset val="134"/>
      </rPr>
      <t>2</t>
    </r>
    <r>
      <rPr>
        <sz val="9"/>
        <color theme="1"/>
        <rFont val="宋体"/>
        <charset val="134"/>
      </rPr>
      <t>）存货</t>
    </r>
    <r>
      <rPr>
        <sz val="9"/>
        <color theme="1"/>
        <rFont val="Times New Roman"/>
        <charset val="134"/>
      </rPr>
      <t>\</t>
    </r>
    <r>
      <rPr>
        <sz val="9"/>
        <color theme="1"/>
        <rFont val="宋体"/>
        <charset val="134"/>
      </rPr>
      <t>固定资产</t>
    </r>
    <r>
      <rPr>
        <sz val="9"/>
        <color theme="1"/>
        <rFont val="Times New Roman"/>
        <charset val="134"/>
      </rPr>
      <t>\</t>
    </r>
    <r>
      <rPr>
        <sz val="9"/>
        <color theme="1"/>
        <rFont val="宋体"/>
        <charset val="134"/>
      </rPr>
      <t>在建工程转入</t>
    </r>
  </si>
  <si>
    <r>
      <rPr>
        <sz val="9"/>
        <color theme="7" tint="0.599993896298105"/>
        <rFont val="宋体"/>
        <charset val="134"/>
      </rPr>
      <t>房投</t>
    </r>
    <r>
      <rPr>
        <sz val="9"/>
        <color theme="7" tint="0.599993896298105"/>
        <rFont val="Arial Narrow"/>
        <charset val="134"/>
      </rPr>
      <t>8</t>
    </r>
  </si>
  <si>
    <t>房投8</t>
  </si>
  <si>
    <r>
      <rPr>
        <sz val="9"/>
        <color theme="1"/>
        <rFont val="宋体"/>
        <charset val="134"/>
      </rPr>
      <t>　　（</t>
    </r>
    <r>
      <rPr>
        <sz val="9"/>
        <color theme="1"/>
        <rFont val="Times New Roman"/>
        <charset val="134"/>
      </rPr>
      <t>3</t>
    </r>
    <r>
      <rPr>
        <sz val="9"/>
        <color theme="1"/>
        <rFont val="宋体"/>
        <charset val="134"/>
      </rPr>
      <t>）企业合并增加</t>
    </r>
  </si>
  <si>
    <r>
      <rPr>
        <sz val="9"/>
        <color theme="7" tint="0.599993896298105"/>
        <rFont val="宋体"/>
        <charset val="134"/>
      </rPr>
      <t>房投</t>
    </r>
    <r>
      <rPr>
        <sz val="9"/>
        <color theme="7" tint="0.599993896298105"/>
        <rFont val="Arial Narrow"/>
        <charset val="134"/>
      </rPr>
      <t>9</t>
    </r>
  </si>
  <si>
    <t>房投9</t>
  </si>
  <si>
    <r>
      <rPr>
        <sz val="9"/>
        <color theme="7" tint="0.599993896298105"/>
        <rFont val="宋体"/>
        <charset val="134"/>
      </rPr>
      <t>房投</t>
    </r>
    <r>
      <rPr>
        <sz val="9"/>
        <color theme="7" tint="0.599993896298105"/>
        <rFont val="Arial Narrow"/>
        <charset val="134"/>
      </rPr>
      <t>10</t>
    </r>
  </si>
  <si>
    <t>房投10</t>
  </si>
  <si>
    <r>
      <rPr>
        <sz val="9"/>
        <color theme="1"/>
        <rFont val="宋体"/>
        <charset val="134"/>
      </rPr>
      <t>　　</t>
    </r>
    <r>
      <rPr>
        <sz val="9"/>
        <color theme="1"/>
        <rFont val="Times New Roman"/>
        <charset val="134"/>
      </rPr>
      <t>3.</t>
    </r>
    <r>
      <rPr>
        <sz val="9"/>
        <color theme="1"/>
        <rFont val="宋体"/>
        <charset val="134"/>
      </rPr>
      <t>本期减少金额</t>
    </r>
  </si>
  <si>
    <r>
      <rPr>
        <sz val="9"/>
        <color theme="7" tint="0.599993896298105"/>
        <rFont val="宋体"/>
        <charset val="134"/>
      </rPr>
      <t>房投</t>
    </r>
    <r>
      <rPr>
        <sz val="9"/>
        <color theme="7" tint="0.599993896298105"/>
        <rFont val="Arial Narrow"/>
        <charset val="134"/>
      </rPr>
      <t>11</t>
    </r>
  </si>
  <si>
    <t>房投11</t>
  </si>
  <si>
    <r>
      <rPr>
        <sz val="9"/>
        <color theme="1"/>
        <rFont val="宋体"/>
        <charset val="134"/>
      </rPr>
      <t>　　（</t>
    </r>
    <r>
      <rPr>
        <sz val="9"/>
        <color theme="1"/>
        <rFont val="Times New Roman"/>
        <charset val="134"/>
      </rPr>
      <t>1</t>
    </r>
    <r>
      <rPr>
        <sz val="9"/>
        <color theme="1"/>
        <rFont val="宋体"/>
        <charset val="134"/>
      </rPr>
      <t>）处置</t>
    </r>
  </si>
  <si>
    <r>
      <rPr>
        <sz val="9"/>
        <color theme="7" tint="0.599993896298105"/>
        <rFont val="宋体"/>
        <charset val="134"/>
      </rPr>
      <t>房投</t>
    </r>
    <r>
      <rPr>
        <sz val="9"/>
        <color theme="7" tint="0.599993896298105"/>
        <rFont val="Arial Narrow"/>
        <charset val="134"/>
      </rPr>
      <t>12</t>
    </r>
  </si>
  <si>
    <t>房投12</t>
  </si>
  <si>
    <r>
      <rPr>
        <sz val="9"/>
        <color theme="1"/>
        <rFont val="宋体"/>
        <charset val="134"/>
      </rPr>
      <t>　　（</t>
    </r>
    <r>
      <rPr>
        <sz val="9"/>
        <color theme="1"/>
        <rFont val="Times New Roman"/>
        <charset val="134"/>
      </rPr>
      <t>2</t>
    </r>
    <r>
      <rPr>
        <sz val="9"/>
        <color theme="1"/>
        <rFont val="宋体"/>
        <charset val="134"/>
      </rPr>
      <t>）其他转出</t>
    </r>
  </si>
  <si>
    <r>
      <rPr>
        <sz val="9"/>
        <color theme="7" tint="0.599993896298105"/>
        <rFont val="宋体"/>
        <charset val="134"/>
      </rPr>
      <t>房投</t>
    </r>
    <r>
      <rPr>
        <sz val="9"/>
        <color theme="7" tint="0.599993896298105"/>
        <rFont val="Arial Narrow"/>
        <charset val="134"/>
      </rPr>
      <t>13</t>
    </r>
  </si>
  <si>
    <t>房投13</t>
  </si>
  <si>
    <r>
      <rPr>
        <sz val="9"/>
        <color theme="1"/>
        <rFont val="宋体"/>
        <charset val="134"/>
      </rPr>
      <t>　　（</t>
    </r>
    <r>
      <rPr>
        <sz val="9"/>
        <color theme="1"/>
        <rFont val="Times New Roman"/>
        <charset val="134"/>
      </rPr>
      <t>3</t>
    </r>
    <r>
      <rPr>
        <sz val="9"/>
        <color theme="1"/>
        <rFont val="宋体"/>
        <charset val="134"/>
      </rPr>
      <t>）企业合并减少</t>
    </r>
  </si>
  <si>
    <r>
      <rPr>
        <sz val="9"/>
        <color theme="7" tint="0.599993896298105"/>
        <rFont val="宋体"/>
        <charset val="134"/>
      </rPr>
      <t>房投</t>
    </r>
    <r>
      <rPr>
        <sz val="9"/>
        <color theme="7" tint="0.599993896298105"/>
        <rFont val="Arial Narrow"/>
        <charset val="134"/>
      </rPr>
      <t>14</t>
    </r>
  </si>
  <si>
    <t>房投14</t>
  </si>
  <si>
    <r>
      <rPr>
        <sz val="9"/>
        <color theme="1"/>
        <rFont val="宋体"/>
        <charset val="134"/>
      </rPr>
      <t>　　</t>
    </r>
    <r>
      <rPr>
        <sz val="9"/>
        <color theme="1"/>
        <rFont val="Times New Roman"/>
        <charset val="134"/>
      </rPr>
      <t>4.</t>
    </r>
    <r>
      <rPr>
        <sz val="9"/>
        <color theme="1"/>
        <rFont val="宋体"/>
        <charset val="134"/>
      </rPr>
      <t>期末余额</t>
    </r>
  </si>
  <si>
    <r>
      <rPr>
        <sz val="9"/>
        <color theme="7" tint="0.599993896298105"/>
        <rFont val="宋体"/>
        <charset val="134"/>
      </rPr>
      <t>房投</t>
    </r>
    <r>
      <rPr>
        <sz val="9"/>
        <color theme="7" tint="0.599993896298105"/>
        <rFont val="Arial Narrow"/>
        <charset val="134"/>
      </rPr>
      <t>15</t>
    </r>
  </si>
  <si>
    <t>房投15</t>
  </si>
  <si>
    <t>二、累计折旧和累计摊销</t>
  </si>
  <si>
    <r>
      <rPr>
        <sz val="9"/>
        <color theme="7" tint="0.599993896298105"/>
        <rFont val="宋体"/>
        <charset val="134"/>
      </rPr>
      <t>房投</t>
    </r>
    <r>
      <rPr>
        <sz val="9"/>
        <color theme="7" tint="0.599993896298105"/>
        <rFont val="Arial Narrow"/>
        <charset val="134"/>
      </rPr>
      <t>16</t>
    </r>
  </si>
  <si>
    <t>房投16</t>
  </si>
  <si>
    <r>
      <rPr>
        <sz val="9"/>
        <color theme="7" tint="0.599993896298105"/>
        <rFont val="宋体"/>
        <charset val="134"/>
      </rPr>
      <t>房投</t>
    </r>
    <r>
      <rPr>
        <sz val="9"/>
        <color theme="7" tint="0.599993896298105"/>
        <rFont val="Arial Narrow"/>
        <charset val="134"/>
      </rPr>
      <t>17</t>
    </r>
  </si>
  <si>
    <t>房投17</t>
  </si>
  <si>
    <r>
      <rPr>
        <sz val="9"/>
        <color theme="7" tint="0.599993896298105"/>
        <rFont val="宋体"/>
        <charset val="134"/>
      </rPr>
      <t>房投</t>
    </r>
    <r>
      <rPr>
        <sz val="9"/>
        <color theme="7" tint="0.599993896298105"/>
        <rFont val="Arial Narrow"/>
        <charset val="134"/>
      </rPr>
      <t>18</t>
    </r>
  </si>
  <si>
    <t>房投18</t>
  </si>
  <si>
    <r>
      <rPr>
        <sz val="9"/>
        <color theme="1"/>
        <rFont val="宋体"/>
        <charset val="134"/>
      </rPr>
      <t>　　（</t>
    </r>
    <r>
      <rPr>
        <sz val="9"/>
        <color theme="1"/>
        <rFont val="Times New Roman"/>
        <charset val="134"/>
      </rPr>
      <t>1</t>
    </r>
    <r>
      <rPr>
        <sz val="9"/>
        <color theme="1"/>
        <rFont val="宋体"/>
        <charset val="134"/>
      </rPr>
      <t>）计提或摊销</t>
    </r>
  </si>
  <si>
    <r>
      <rPr>
        <sz val="9"/>
        <color theme="7" tint="0.599993896298105"/>
        <rFont val="宋体"/>
        <charset val="134"/>
      </rPr>
      <t>房投</t>
    </r>
    <r>
      <rPr>
        <sz val="9"/>
        <color theme="7" tint="0.599993896298105"/>
        <rFont val="Arial Narrow"/>
        <charset val="134"/>
      </rPr>
      <t>19</t>
    </r>
  </si>
  <si>
    <t>房投19</t>
  </si>
  <si>
    <r>
      <rPr>
        <sz val="9"/>
        <color theme="1"/>
        <rFont val="宋体"/>
        <charset val="134"/>
      </rPr>
      <t>　　（</t>
    </r>
    <r>
      <rPr>
        <sz val="9"/>
        <color theme="1"/>
        <rFont val="Times New Roman"/>
        <charset val="134"/>
      </rPr>
      <t>2</t>
    </r>
    <r>
      <rPr>
        <sz val="9"/>
        <color theme="1"/>
        <rFont val="宋体"/>
        <charset val="134"/>
      </rPr>
      <t>）固定资产</t>
    </r>
    <r>
      <rPr>
        <sz val="9"/>
        <color theme="1"/>
        <rFont val="Times New Roman"/>
        <charset val="134"/>
      </rPr>
      <t>\</t>
    </r>
    <r>
      <rPr>
        <sz val="9"/>
        <color theme="1"/>
        <rFont val="宋体"/>
        <charset val="134"/>
      </rPr>
      <t>无形资产转入</t>
    </r>
  </si>
  <si>
    <r>
      <rPr>
        <sz val="9"/>
        <color theme="7" tint="0.599993896298105"/>
        <rFont val="宋体"/>
        <charset val="134"/>
      </rPr>
      <t>房投</t>
    </r>
    <r>
      <rPr>
        <sz val="9"/>
        <color theme="7" tint="0.599993896298105"/>
        <rFont val="Arial Narrow"/>
        <charset val="134"/>
      </rPr>
      <t>20</t>
    </r>
  </si>
  <si>
    <t>房投20</t>
  </si>
  <si>
    <t>　　（3）企业合并增加</t>
  </si>
  <si>
    <r>
      <rPr>
        <sz val="9"/>
        <color theme="7" tint="0.599993896298105"/>
        <rFont val="宋体"/>
        <charset val="134"/>
      </rPr>
      <t>房投</t>
    </r>
    <r>
      <rPr>
        <sz val="9"/>
        <color theme="7" tint="0.599993896298105"/>
        <rFont val="Arial Narrow"/>
        <charset val="134"/>
      </rPr>
      <t>21</t>
    </r>
  </si>
  <si>
    <t>房投21</t>
  </si>
  <si>
    <r>
      <rPr>
        <sz val="9"/>
        <color theme="7" tint="0.599993896298105"/>
        <rFont val="宋体"/>
        <charset val="134"/>
      </rPr>
      <t>房投</t>
    </r>
    <r>
      <rPr>
        <sz val="9"/>
        <color theme="7" tint="0.599993896298105"/>
        <rFont val="Arial Narrow"/>
        <charset val="134"/>
      </rPr>
      <t>22</t>
    </r>
  </si>
  <si>
    <t>房投22</t>
  </si>
  <si>
    <r>
      <rPr>
        <sz val="9"/>
        <color theme="7" tint="0.599993896298105"/>
        <rFont val="宋体"/>
        <charset val="134"/>
      </rPr>
      <t>房投</t>
    </r>
    <r>
      <rPr>
        <sz val="9"/>
        <color theme="7" tint="0.599993896298105"/>
        <rFont val="Arial Narrow"/>
        <charset val="134"/>
      </rPr>
      <t>23</t>
    </r>
  </si>
  <si>
    <t>房投23</t>
  </si>
  <si>
    <r>
      <rPr>
        <sz val="9"/>
        <color theme="7" tint="0.599993896298105"/>
        <rFont val="宋体"/>
        <charset val="134"/>
      </rPr>
      <t>房投</t>
    </r>
    <r>
      <rPr>
        <sz val="9"/>
        <color theme="7" tint="0.599993896298105"/>
        <rFont val="Arial Narrow"/>
        <charset val="134"/>
      </rPr>
      <t>24</t>
    </r>
  </si>
  <si>
    <t>房投24</t>
  </si>
  <si>
    <t>　　（3）企业合并减少</t>
  </si>
  <si>
    <r>
      <rPr>
        <sz val="9"/>
        <color theme="7" tint="0.599993896298105"/>
        <rFont val="宋体"/>
        <charset val="134"/>
      </rPr>
      <t>房投</t>
    </r>
    <r>
      <rPr>
        <sz val="9"/>
        <color theme="7" tint="0.599993896298105"/>
        <rFont val="Arial Narrow"/>
        <charset val="134"/>
      </rPr>
      <t>25</t>
    </r>
  </si>
  <si>
    <t>房投25</t>
  </si>
  <si>
    <r>
      <rPr>
        <sz val="9"/>
        <color theme="7" tint="0.599993896298105"/>
        <rFont val="宋体"/>
        <charset val="134"/>
      </rPr>
      <t>房投</t>
    </r>
    <r>
      <rPr>
        <sz val="9"/>
        <color theme="7" tint="0.599993896298105"/>
        <rFont val="Arial Narrow"/>
        <charset val="134"/>
      </rPr>
      <t>26</t>
    </r>
  </si>
  <si>
    <t>房投26</t>
  </si>
  <si>
    <t>三、减值准备</t>
  </si>
  <si>
    <r>
      <rPr>
        <sz val="9"/>
        <color theme="7" tint="0.599993896298105"/>
        <rFont val="宋体"/>
        <charset val="134"/>
      </rPr>
      <t>房投</t>
    </r>
    <r>
      <rPr>
        <sz val="9"/>
        <color theme="7" tint="0.599993896298105"/>
        <rFont val="Arial Narrow"/>
        <charset val="134"/>
      </rPr>
      <t>27</t>
    </r>
  </si>
  <si>
    <t>房投27</t>
  </si>
  <si>
    <r>
      <rPr>
        <sz val="9"/>
        <color theme="7" tint="0.599993896298105"/>
        <rFont val="宋体"/>
        <charset val="134"/>
      </rPr>
      <t>房投</t>
    </r>
    <r>
      <rPr>
        <sz val="9"/>
        <color theme="7" tint="0.599993896298105"/>
        <rFont val="Arial Narrow"/>
        <charset val="134"/>
      </rPr>
      <t>28</t>
    </r>
  </si>
  <si>
    <t>房投28</t>
  </si>
  <si>
    <r>
      <rPr>
        <sz val="9"/>
        <color theme="7" tint="0.599993896298105"/>
        <rFont val="宋体"/>
        <charset val="134"/>
      </rPr>
      <t>房投</t>
    </r>
    <r>
      <rPr>
        <sz val="9"/>
        <color theme="7" tint="0.599993896298105"/>
        <rFont val="Arial Narrow"/>
        <charset val="134"/>
      </rPr>
      <t>29</t>
    </r>
  </si>
  <si>
    <t>房投29</t>
  </si>
  <si>
    <r>
      <rPr>
        <sz val="9"/>
        <color theme="1"/>
        <rFont val="宋体"/>
        <charset val="134"/>
      </rPr>
      <t>　　（</t>
    </r>
    <r>
      <rPr>
        <sz val="9"/>
        <color theme="1"/>
        <rFont val="Times New Roman"/>
        <charset val="134"/>
      </rPr>
      <t>1</t>
    </r>
    <r>
      <rPr>
        <sz val="9"/>
        <color theme="1"/>
        <rFont val="宋体"/>
        <charset val="134"/>
      </rPr>
      <t>）计提</t>
    </r>
  </si>
  <si>
    <r>
      <rPr>
        <sz val="9"/>
        <color theme="7" tint="0.599993896298105"/>
        <rFont val="宋体"/>
        <charset val="134"/>
      </rPr>
      <t>房投</t>
    </r>
    <r>
      <rPr>
        <sz val="9"/>
        <color theme="7" tint="0.599993896298105"/>
        <rFont val="Arial Narrow"/>
        <charset val="134"/>
      </rPr>
      <t>30</t>
    </r>
  </si>
  <si>
    <t>房投30</t>
  </si>
  <si>
    <r>
      <rPr>
        <sz val="9"/>
        <color theme="7" tint="0.599993896298105"/>
        <rFont val="宋体"/>
        <charset val="134"/>
      </rPr>
      <t>房投</t>
    </r>
    <r>
      <rPr>
        <sz val="9"/>
        <color theme="7" tint="0.599993896298105"/>
        <rFont val="Arial Narrow"/>
        <charset val="134"/>
      </rPr>
      <t>31</t>
    </r>
  </si>
  <si>
    <t>房投31</t>
  </si>
  <si>
    <r>
      <rPr>
        <sz val="9"/>
        <color theme="1"/>
        <rFont val="宋体"/>
        <charset val="134"/>
      </rPr>
      <t>　　</t>
    </r>
    <r>
      <rPr>
        <sz val="9"/>
        <color theme="1"/>
        <rFont val="Times New Roman"/>
        <charset val="134"/>
      </rPr>
      <t>3</t>
    </r>
    <r>
      <rPr>
        <sz val="9"/>
        <color theme="1"/>
        <rFont val="宋体"/>
        <charset val="134"/>
      </rPr>
      <t>、本期减少金额</t>
    </r>
  </si>
  <si>
    <r>
      <rPr>
        <sz val="9"/>
        <color theme="7" tint="0.599993896298105"/>
        <rFont val="宋体"/>
        <charset val="134"/>
      </rPr>
      <t>房投</t>
    </r>
    <r>
      <rPr>
        <sz val="9"/>
        <color theme="7" tint="0.599993896298105"/>
        <rFont val="Arial Narrow"/>
        <charset val="134"/>
      </rPr>
      <t>32</t>
    </r>
  </si>
  <si>
    <t>房投32</t>
  </si>
  <si>
    <r>
      <rPr>
        <sz val="9"/>
        <color theme="7" tint="0.599993896298105"/>
        <rFont val="宋体"/>
        <charset val="134"/>
      </rPr>
      <t>房投</t>
    </r>
    <r>
      <rPr>
        <sz val="9"/>
        <color theme="7" tint="0.599993896298105"/>
        <rFont val="Arial Narrow"/>
        <charset val="134"/>
      </rPr>
      <t>33</t>
    </r>
  </si>
  <si>
    <t>房投33</t>
  </si>
  <si>
    <r>
      <rPr>
        <sz val="9"/>
        <color theme="7" tint="0.599993896298105"/>
        <rFont val="宋体"/>
        <charset val="134"/>
      </rPr>
      <t>房投</t>
    </r>
    <r>
      <rPr>
        <sz val="9"/>
        <color theme="7" tint="0.599993896298105"/>
        <rFont val="Arial Narrow"/>
        <charset val="134"/>
      </rPr>
      <t>34</t>
    </r>
  </si>
  <si>
    <t>房投34</t>
  </si>
  <si>
    <r>
      <rPr>
        <sz val="9"/>
        <color theme="7" tint="0.599993896298105"/>
        <rFont val="宋体"/>
        <charset val="134"/>
      </rPr>
      <t>房投</t>
    </r>
    <r>
      <rPr>
        <sz val="9"/>
        <color theme="7" tint="0.599993896298105"/>
        <rFont val="Arial Narrow"/>
        <charset val="134"/>
      </rPr>
      <t>35</t>
    </r>
  </si>
  <si>
    <t>房投35</t>
  </si>
  <si>
    <r>
      <rPr>
        <sz val="9"/>
        <color theme="7" tint="0.599993896298105"/>
        <rFont val="宋体"/>
        <charset val="134"/>
      </rPr>
      <t>房投</t>
    </r>
    <r>
      <rPr>
        <sz val="9"/>
        <color theme="7" tint="0.599993896298105"/>
        <rFont val="Arial Narrow"/>
        <charset val="134"/>
      </rPr>
      <t>36</t>
    </r>
  </si>
  <si>
    <t>房投36</t>
  </si>
  <si>
    <t>四、账面价值</t>
  </si>
  <si>
    <r>
      <rPr>
        <sz val="9"/>
        <color theme="7" tint="0.599993896298105"/>
        <rFont val="宋体"/>
        <charset val="134"/>
      </rPr>
      <t>房投</t>
    </r>
    <r>
      <rPr>
        <sz val="9"/>
        <color theme="7" tint="0.599993896298105"/>
        <rFont val="Arial Narrow"/>
        <charset val="134"/>
      </rPr>
      <t>37</t>
    </r>
  </si>
  <si>
    <t>房投37</t>
  </si>
  <si>
    <r>
      <rPr>
        <sz val="9"/>
        <color theme="1"/>
        <rFont val="宋体"/>
        <charset val="134"/>
      </rPr>
      <t>　　</t>
    </r>
    <r>
      <rPr>
        <sz val="9"/>
        <color theme="1"/>
        <rFont val="Times New Roman"/>
        <charset val="134"/>
      </rPr>
      <t>1.</t>
    </r>
    <r>
      <rPr>
        <sz val="9"/>
        <color theme="1"/>
        <rFont val="宋体"/>
        <charset val="134"/>
      </rPr>
      <t>期末账面价值</t>
    </r>
  </si>
  <si>
    <r>
      <rPr>
        <sz val="9"/>
        <color theme="7" tint="0.599993896298105"/>
        <rFont val="宋体"/>
        <charset val="134"/>
      </rPr>
      <t>房投</t>
    </r>
    <r>
      <rPr>
        <sz val="9"/>
        <color theme="7" tint="0.599993896298105"/>
        <rFont val="Arial Narrow"/>
        <charset val="134"/>
      </rPr>
      <t>38</t>
    </r>
  </si>
  <si>
    <t>房投38</t>
  </si>
  <si>
    <r>
      <rPr>
        <sz val="9"/>
        <color theme="1"/>
        <rFont val="宋体"/>
        <charset val="134"/>
      </rPr>
      <t>　　</t>
    </r>
    <r>
      <rPr>
        <sz val="9"/>
        <color theme="1"/>
        <rFont val="Times New Roman"/>
        <charset val="134"/>
      </rPr>
      <t>2.</t>
    </r>
    <r>
      <rPr>
        <sz val="9"/>
        <color theme="1"/>
        <rFont val="宋体"/>
        <charset val="134"/>
      </rPr>
      <t>期初账面价值</t>
    </r>
  </si>
  <si>
    <r>
      <rPr>
        <sz val="9"/>
        <color theme="7" tint="0.599993896298105"/>
        <rFont val="宋体"/>
        <charset val="134"/>
      </rPr>
      <t>房投</t>
    </r>
    <r>
      <rPr>
        <sz val="9"/>
        <color theme="7" tint="0.599993896298105"/>
        <rFont val="Arial Narrow"/>
        <charset val="134"/>
      </rPr>
      <t>39</t>
    </r>
  </si>
  <si>
    <t>房投39</t>
  </si>
  <si>
    <t>期末报表项目</t>
  </si>
  <si>
    <r>
      <rPr>
        <sz val="9"/>
        <color theme="7" tint="0.599993896298105"/>
        <rFont val="宋体"/>
        <charset val="134"/>
      </rPr>
      <t>房投</t>
    </r>
    <r>
      <rPr>
        <sz val="9"/>
        <color theme="7" tint="0.599993896298105"/>
        <rFont val="Arial Narrow"/>
        <charset val="134"/>
      </rPr>
      <t>40</t>
    </r>
  </si>
  <si>
    <t>房投40</t>
  </si>
  <si>
    <t>与固定资产表数据差异</t>
  </si>
  <si>
    <t>与无形资产表之间数据差异</t>
  </si>
  <si>
    <r>
      <rPr>
        <sz val="9"/>
        <color theme="7" tint="0.599993896298105"/>
        <rFont val="宋体"/>
        <charset val="134"/>
      </rPr>
      <t>房投</t>
    </r>
    <r>
      <rPr>
        <sz val="9"/>
        <color theme="7" tint="0.599993896298105"/>
        <rFont val="Arial Narrow"/>
        <charset val="134"/>
      </rPr>
      <t>41</t>
    </r>
  </si>
  <si>
    <t>房投41</t>
  </si>
  <si>
    <t>期初报表项目</t>
  </si>
  <si>
    <r>
      <rPr>
        <sz val="9"/>
        <color theme="7" tint="0.599993896298105"/>
        <rFont val="宋体"/>
        <charset val="134"/>
      </rPr>
      <t>房投</t>
    </r>
    <r>
      <rPr>
        <sz val="9"/>
        <color theme="7" tint="0.599993896298105"/>
        <rFont val="Arial Narrow"/>
        <charset val="134"/>
      </rPr>
      <t>42</t>
    </r>
  </si>
  <si>
    <t>房投42</t>
  </si>
  <si>
    <r>
      <rPr>
        <sz val="9"/>
        <color theme="7" tint="0.599993896298105"/>
        <rFont val="宋体"/>
        <charset val="134"/>
      </rPr>
      <t>房投</t>
    </r>
    <r>
      <rPr>
        <sz val="9"/>
        <color theme="7" tint="0.599993896298105"/>
        <rFont val="Arial Narrow"/>
        <charset val="134"/>
      </rPr>
      <t>43</t>
    </r>
  </si>
  <si>
    <t>房投43</t>
  </si>
  <si>
    <t>文字说明：</t>
  </si>
  <si>
    <r>
      <rPr>
        <sz val="9"/>
        <color theme="7" tint="0.599993896298105"/>
        <rFont val="宋体"/>
        <charset val="134"/>
      </rPr>
      <t>固资</t>
    </r>
    <r>
      <rPr>
        <sz val="9"/>
        <color theme="7" tint="0.599993896298105"/>
        <rFont val="Arial Narrow"/>
        <charset val="134"/>
      </rPr>
      <t>1</t>
    </r>
  </si>
  <si>
    <t>固资1</t>
  </si>
  <si>
    <r>
      <rPr>
        <b/>
        <sz val="9"/>
        <rFont val="Arial Narrow"/>
        <charset val="134"/>
      </rPr>
      <t>(</t>
    </r>
    <r>
      <rPr>
        <b/>
        <sz val="9"/>
        <rFont val="宋体"/>
        <charset val="134"/>
      </rPr>
      <t>十七</t>
    </r>
    <r>
      <rPr>
        <b/>
        <sz val="9"/>
        <rFont val="Arial Narrow"/>
        <charset val="134"/>
      </rPr>
      <t>)</t>
    </r>
    <r>
      <rPr>
        <b/>
        <sz val="9"/>
        <rFont val="宋体"/>
        <charset val="134"/>
      </rPr>
      <t>固定资产</t>
    </r>
    <r>
      <rPr>
        <b/>
        <sz val="9"/>
        <rFont val="Arial Narrow"/>
        <charset val="134"/>
      </rPr>
      <t>-</t>
    </r>
    <r>
      <rPr>
        <b/>
        <sz val="9"/>
        <rFont val="宋体"/>
        <charset val="134"/>
      </rPr>
      <t>披露表</t>
    </r>
  </si>
  <si>
    <r>
      <rPr>
        <sz val="9"/>
        <color theme="7" tint="0.599993896298105"/>
        <rFont val="宋体"/>
        <charset val="134"/>
      </rPr>
      <t>固资</t>
    </r>
    <r>
      <rPr>
        <sz val="9"/>
        <color theme="7" tint="0.599993896298105"/>
        <rFont val="Arial Narrow"/>
        <charset val="134"/>
      </rPr>
      <t>2</t>
    </r>
  </si>
  <si>
    <t>固资2</t>
  </si>
  <si>
    <t>房屋及建筑物</t>
  </si>
  <si>
    <t>运输设备</t>
  </si>
  <si>
    <t>电子设备及其他</t>
  </si>
  <si>
    <r>
      <rPr>
        <sz val="9"/>
        <color theme="7" tint="0.599993896298105"/>
        <rFont val="宋体"/>
        <charset val="134"/>
      </rPr>
      <t>固资</t>
    </r>
    <r>
      <rPr>
        <sz val="9"/>
        <color theme="7" tint="0.599993896298105"/>
        <rFont val="Arial Narrow"/>
        <charset val="134"/>
      </rPr>
      <t>3</t>
    </r>
  </si>
  <si>
    <t>固资3</t>
  </si>
  <si>
    <t>一、账面原值：</t>
  </si>
  <si>
    <r>
      <rPr>
        <sz val="9"/>
        <color theme="7" tint="0.599993896298105"/>
        <rFont val="宋体"/>
        <charset val="134"/>
      </rPr>
      <t>固资</t>
    </r>
    <r>
      <rPr>
        <sz val="9"/>
        <color theme="7" tint="0.599993896298105"/>
        <rFont val="Arial Narrow"/>
        <charset val="134"/>
      </rPr>
      <t>4</t>
    </r>
  </si>
  <si>
    <t>固资4</t>
  </si>
  <si>
    <t>　　1.期初余额</t>
  </si>
  <si>
    <r>
      <rPr>
        <sz val="9"/>
        <color theme="7" tint="0.599993896298105"/>
        <rFont val="宋体"/>
        <charset val="134"/>
      </rPr>
      <t>固资</t>
    </r>
    <r>
      <rPr>
        <sz val="9"/>
        <color theme="7" tint="0.599993896298105"/>
        <rFont val="Arial Narrow"/>
        <charset val="134"/>
      </rPr>
      <t>5</t>
    </r>
  </si>
  <si>
    <t>固资5</t>
  </si>
  <si>
    <t>　　2.本期增加金额</t>
  </si>
  <si>
    <r>
      <rPr>
        <sz val="9"/>
        <color theme="7" tint="0.599993896298105"/>
        <rFont val="宋体"/>
        <charset val="134"/>
      </rPr>
      <t>固资</t>
    </r>
    <r>
      <rPr>
        <sz val="9"/>
        <color theme="7" tint="0.599993896298105"/>
        <rFont val="Arial Narrow"/>
        <charset val="134"/>
      </rPr>
      <t>6</t>
    </r>
  </si>
  <si>
    <t>固资6</t>
  </si>
  <si>
    <t>　　　（1）购置</t>
  </si>
  <si>
    <r>
      <rPr>
        <sz val="9"/>
        <color theme="7" tint="0.599993896298105"/>
        <rFont val="宋体"/>
        <charset val="134"/>
      </rPr>
      <t>固资</t>
    </r>
    <r>
      <rPr>
        <sz val="9"/>
        <color theme="7" tint="0.599993896298105"/>
        <rFont val="Arial Narrow"/>
        <charset val="134"/>
      </rPr>
      <t>7</t>
    </r>
  </si>
  <si>
    <t>固资7</t>
  </si>
  <si>
    <t>　　　（2）在建工程转入</t>
  </si>
  <si>
    <r>
      <rPr>
        <sz val="9"/>
        <color theme="7" tint="0.599993896298105"/>
        <rFont val="宋体"/>
        <charset val="134"/>
      </rPr>
      <t>固资</t>
    </r>
    <r>
      <rPr>
        <sz val="9"/>
        <color theme="7" tint="0.599993896298105"/>
        <rFont val="Arial Narrow"/>
        <charset val="134"/>
      </rPr>
      <t>8</t>
    </r>
  </si>
  <si>
    <t>固资8</t>
  </si>
  <si>
    <t>　　　（3）企业合并增加</t>
  </si>
  <si>
    <r>
      <rPr>
        <sz val="9"/>
        <color theme="7" tint="0.599993896298105"/>
        <rFont val="宋体"/>
        <charset val="134"/>
      </rPr>
      <t>固资</t>
    </r>
    <r>
      <rPr>
        <sz val="9"/>
        <color theme="7" tint="0.599993896298105"/>
        <rFont val="Arial Narrow"/>
        <charset val="134"/>
      </rPr>
      <t>9</t>
    </r>
  </si>
  <si>
    <t>固资9</t>
  </si>
  <si>
    <t>　　　（4）投资性房地产转回</t>
  </si>
  <si>
    <r>
      <rPr>
        <sz val="9"/>
        <color theme="7" tint="0.599993896298105"/>
        <rFont val="宋体"/>
        <charset val="134"/>
      </rPr>
      <t>固资</t>
    </r>
    <r>
      <rPr>
        <sz val="9"/>
        <color theme="7" tint="0.599993896298105"/>
        <rFont val="Arial Narrow"/>
        <charset val="134"/>
      </rPr>
      <t>10</t>
    </r>
  </si>
  <si>
    <t>固资10</t>
  </si>
  <si>
    <t>　　　（5）业务并购</t>
  </si>
  <si>
    <r>
      <rPr>
        <sz val="9"/>
        <color theme="7" tint="0.599993896298105"/>
        <rFont val="宋体"/>
        <charset val="134"/>
      </rPr>
      <t>固资</t>
    </r>
    <r>
      <rPr>
        <sz val="9"/>
        <color theme="7" tint="0.599993896298105"/>
        <rFont val="Arial Narrow"/>
        <charset val="134"/>
      </rPr>
      <t>11</t>
    </r>
  </si>
  <si>
    <t>固资11</t>
  </si>
  <si>
    <t>　　　（6）其他</t>
  </si>
  <si>
    <r>
      <rPr>
        <sz val="9"/>
        <color theme="7" tint="0.599993896298105"/>
        <rFont val="宋体"/>
        <charset val="134"/>
      </rPr>
      <t>固资</t>
    </r>
    <r>
      <rPr>
        <sz val="9"/>
        <color theme="7" tint="0.599993896298105"/>
        <rFont val="Arial Narrow"/>
        <charset val="134"/>
      </rPr>
      <t>12</t>
    </r>
  </si>
  <si>
    <t>固资12</t>
  </si>
  <si>
    <t>　　3.本期减少金额</t>
  </si>
  <si>
    <r>
      <rPr>
        <sz val="9"/>
        <color theme="7" tint="0.599993896298105"/>
        <rFont val="宋体"/>
        <charset val="134"/>
      </rPr>
      <t>固资</t>
    </r>
    <r>
      <rPr>
        <sz val="9"/>
        <color theme="7" tint="0.599993896298105"/>
        <rFont val="Arial Narrow"/>
        <charset val="134"/>
      </rPr>
      <t>13</t>
    </r>
  </si>
  <si>
    <t>固资13</t>
  </si>
  <si>
    <t>　　　（1）处置或报废</t>
  </si>
  <si>
    <r>
      <rPr>
        <sz val="9"/>
        <color theme="7" tint="0.599993896298105"/>
        <rFont val="宋体"/>
        <charset val="134"/>
      </rPr>
      <t>固资</t>
    </r>
    <r>
      <rPr>
        <sz val="9"/>
        <color theme="7" tint="0.599993896298105"/>
        <rFont val="Arial Narrow"/>
        <charset val="134"/>
      </rPr>
      <t>14</t>
    </r>
  </si>
  <si>
    <t>固资14</t>
  </si>
  <si>
    <t>　　　（2）转入投资性房地产</t>
  </si>
  <si>
    <r>
      <rPr>
        <sz val="9"/>
        <color theme="7" tint="0.599993896298105"/>
        <rFont val="宋体"/>
        <charset val="134"/>
      </rPr>
      <t>固资</t>
    </r>
    <r>
      <rPr>
        <sz val="9"/>
        <color theme="7" tint="0.599993896298105"/>
        <rFont val="Arial Narrow"/>
        <charset val="134"/>
      </rPr>
      <t>15</t>
    </r>
  </si>
  <si>
    <t>固资15</t>
  </si>
  <si>
    <t xml:space="preserve">      （3）企业合并减少</t>
  </si>
  <si>
    <r>
      <rPr>
        <sz val="9"/>
        <color theme="7" tint="0.599993896298105"/>
        <rFont val="宋体"/>
        <charset val="134"/>
      </rPr>
      <t>固资</t>
    </r>
    <r>
      <rPr>
        <sz val="9"/>
        <color theme="7" tint="0.599993896298105"/>
        <rFont val="Arial Narrow"/>
        <charset val="134"/>
      </rPr>
      <t>16</t>
    </r>
  </si>
  <si>
    <t>固资16</t>
  </si>
  <si>
    <t xml:space="preserve">      （4）其他减少</t>
  </si>
  <si>
    <r>
      <rPr>
        <sz val="9"/>
        <color theme="7" tint="0.599993896298105"/>
        <rFont val="宋体"/>
        <charset val="134"/>
      </rPr>
      <t>固资</t>
    </r>
    <r>
      <rPr>
        <sz val="9"/>
        <color theme="7" tint="0.599993896298105"/>
        <rFont val="Arial Narrow"/>
        <charset val="134"/>
      </rPr>
      <t>17</t>
    </r>
  </si>
  <si>
    <t>固资17</t>
  </si>
  <si>
    <t>　　4.期末余额</t>
  </si>
  <si>
    <r>
      <rPr>
        <sz val="9"/>
        <color theme="7" tint="0.599993896298105"/>
        <rFont val="宋体"/>
        <charset val="134"/>
      </rPr>
      <t>固资</t>
    </r>
    <r>
      <rPr>
        <sz val="9"/>
        <color theme="7" tint="0.599993896298105"/>
        <rFont val="Arial Narrow"/>
        <charset val="134"/>
      </rPr>
      <t>18</t>
    </r>
  </si>
  <si>
    <t>固资18</t>
  </si>
  <si>
    <t>二、累计折旧</t>
  </si>
  <si>
    <r>
      <rPr>
        <sz val="9"/>
        <color theme="7" tint="0.599993896298105"/>
        <rFont val="宋体"/>
        <charset val="134"/>
      </rPr>
      <t>固资</t>
    </r>
    <r>
      <rPr>
        <sz val="9"/>
        <color theme="7" tint="0.599993896298105"/>
        <rFont val="Arial Narrow"/>
        <charset val="134"/>
      </rPr>
      <t>19</t>
    </r>
  </si>
  <si>
    <t>固资19</t>
  </si>
  <si>
    <r>
      <rPr>
        <sz val="9"/>
        <color theme="7" tint="0.599993896298105"/>
        <rFont val="宋体"/>
        <charset val="134"/>
      </rPr>
      <t>固资</t>
    </r>
    <r>
      <rPr>
        <sz val="9"/>
        <color theme="7" tint="0.599993896298105"/>
        <rFont val="Arial Narrow"/>
        <charset val="134"/>
      </rPr>
      <t>20</t>
    </r>
  </si>
  <si>
    <t>固资20</t>
  </si>
  <si>
    <r>
      <rPr>
        <sz val="9"/>
        <color theme="7" tint="0.599993896298105"/>
        <rFont val="宋体"/>
        <charset val="134"/>
      </rPr>
      <t>固资</t>
    </r>
    <r>
      <rPr>
        <sz val="9"/>
        <color theme="7" tint="0.599993896298105"/>
        <rFont val="Arial Narrow"/>
        <charset val="134"/>
      </rPr>
      <t>21</t>
    </r>
  </si>
  <si>
    <t>固资21</t>
  </si>
  <si>
    <t>　　　（1）计提</t>
  </si>
  <si>
    <r>
      <rPr>
        <sz val="9"/>
        <color theme="7" tint="0.599993896298105"/>
        <rFont val="宋体"/>
        <charset val="134"/>
      </rPr>
      <t>固资</t>
    </r>
    <r>
      <rPr>
        <sz val="9"/>
        <color theme="7" tint="0.599993896298105"/>
        <rFont val="Arial Narrow"/>
        <charset val="134"/>
      </rPr>
      <t>22</t>
    </r>
  </si>
  <si>
    <t>固资22</t>
  </si>
  <si>
    <t xml:space="preserve">      （2）企业合并增加</t>
  </si>
  <si>
    <r>
      <rPr>
        <sz val="9"/>
        <color theme="7" tint="0.599993896298105"/>
        <rFont val="宋体"/>
        <charset val="134"/>
      </rPr>
      <t>固资</t>
    </r>
    <r>
      <rPr>
        <sz val="9"/>
        <color theme="7" tint="0.599993896298105"/>
        <rFont val="Arial Narrow"/>
        <charset val="134"/>
      </rPr>
      <t>23</t>
    </r>
  </si>
  <si>
    <t>固资23</t>
  </si>
  <si>
    <t>　　　（3）投资性房地产转回</t>
  </si>
  <si>
    <r>
      <rPr>
        <sz val="9"/>
        <color theme="7" tint="0.599993896298105"/>
        <rFont val="宋体"/>
        <charset val="134"/>
      </rPr>
      <t>固资</t>
    </r>
    <r>
      <rPr>
        <sz val="9"/>
        <color theme="7" tint="0.599993896298105"/>
        <rFont val="Arial Narrow"/>
        <charset val="134"/>
      </rPr>
      <t>24</t>
    </r>
  </si>
  <si>
    <t>固资24</t>
  </si>
  <si>
    <t>　　　（4）其他转入</t>
  </si>
  <si>
    <r>
      <rPr>
        <sz val="9"/>
        <color theme="7" tint="0.599993896298105"/>
        <rFont val="宋体"/>
        <charset val="134"/>
      </rPr>
      <t>固资</t>
    </r>
    <r>
      <rPr>
        <sz val="9"/>
        <color theme="7" tint="0.599993896298105"/>
        <rFont val="Arial Narrow"/>
        <charset val="134"/>
      </rPr>
      <t>25</t>
    </r>
  </si>
  <si>
    <t>固资25</t>
  </si>
  <si>
    <r>
      <rPr>
        <sz val="9"/>
        <color theme="7" tint="0.599993896298105"/>
        <rFont val="宋体"/>
        <charset val="134"/>
      </rPr>
      <t>固资</t>
    </r>
    <r>
      <rPr>
        <sz val="9"/>
        <color theme="7" tint="0.599993896298105"/>
        <rFont val="Arial Narrow"/>
        <charset val="134"/>
      </rPr>
      <t>26</t>
    </r>
  </si>
  <si>
    <t>固资26</t>
  </si>
  <si>
    <r>
      <rPr>
        <sz val="9"/>
        <color theme="7" tint="0.599993896298105"/>
        <rFont val="宋体"/>
        <charset val="134"/>
      </rPr>
      <t>固资</t>
    </r>
    <r>
      <rPr>
        <sz val="9"/>
        <color theme="7" tint="0.599993896298105"/>
        <rFont val="Arial Narrow"/>
        <charset val="134"/>
      </rPr>
      <t>27</t>
    </r>
  </si>
  <si>
    <t>固资27</t>
  </si>
  <si>
    <r>
      <rPr>
        <sz val="9"/>
        <color theme="7" tint="0.599993896298105"/>
        <rFont val="宋体"/>
        <charset val="134"/>
      </rPr>
      <t>固资</t>
    </r>
    <r>
      <rPr>
        <sz val="9"/>
        <color theme="7" tint="0.599993896298105"/>
        <rFont val="Arial Narrow"/>
        <charset val="134"/>
      </rPr>
      <t>28</t>
    </r>
  </si>
  <si>
    <t>固资28</t>
  </si>
  <si>
    <r>
      <rPr>
        <sz val="9"/>
        <color theme="7" tint="0.599993896298105"/>
        <rFont val="宋体"/>
        <charset val="134"/>
      </rPr>
      <t>固资</t>
    </r>
    <r>
      <rPr>
        <sz val="9"/>
        <color theme="7" tint="0.599993896298105"/>
        <rFont val="Arial Narrow"/>
        <charset val="134"/>
      </rPr>
      <t>29</t>
    </r>
  </si>
  <si>
    <t>固资29</t>
  </si>
  <si>
    <t>　　　（4）其他转出</t>
  </si>
  <si>
    <r>
      <rPr>
        <sz val="9"/>
        <color theme="7" tint="0.599993896298105"/>
        <rFont val="宋体"/>
        <charset val="134"/>
      </rPr>
      <t>固资</t>
    </r>
    <r>
      <rPr>
        <sz val="9"/>
        <color theme="7" tint="0.599993896298105"/>
        <rFont val="Arial Narrow"/>
        <charset val="134"/>
      </rPr>
      <t>30</t>
    </r>
  </si>
  <si>
    <t>固资30</t>
  </si>
  <si>
    <r>
      <rPr>
        <sz val="9"/>
        <color theme="7" tint="0.599993896298105"/>
        <rFont val="宋体"/>
        <charset val="134"/>
      </rPr>
      <t>固资</t>
    </r>
    <r>
      <rPr>
        <sz val="9"/>
        <color theme="7" tint="0.599993896298105"/>
        <rFont val="Arial Narrow"/>
        <charset val="134"/>
      </rPr>
      <t>31</t>
    </r>
  </si>
  <si>
    <t>固资31</t>
  </si>
  <si>
    <r>
      <rPr>
        <sz val="9"/>
        <color theme="7" tint="0.599993896298105"/>
        <rFont val="宋体"/>
        <charset val="134"/>
      </rPr>
      <t>固资</t>
    </r>
    <r>
      <rPr>
        <sz val="9"/>
        <color theme="7" tint="0.599993896298105"/>
        <rFont val="Arial Narrow"/>
        <charset val="134"/>
      </rPr>
      <t>32</t>
    </r>
  </si>
  <si>
    <t>固资32</t>
  </si>
  <si>
    <r>
      <rPr>
        <sz val="9"/>
        <color theme="7" tint="0.599993896298105"/>
        <rFont val="宋体"/>
        <charset val="134"/>
      </rPr>
      <t>固资</t>
    </r>
    <r>
      <rPr>
        <sz val="9"/>
        <color theme="7" tint="0.599993896298105"/>
        <rFont val="Arial Narrow"/>
        <charset val="134"/>
      </rPr>
      <t>33</t>
    </r>
  </si>
  <si>
    <t>固资33</t>
  </si>
  <si>
    <r>
      <rPr>
        <sz val="9"/>
        <color theme="7" tint="0.599993896298105"/>
        <rFont val="宋体"/>
        <charset val="134"/>
      </rPr>
      <t>固资</t>
    </r>
    <r>
      <rPr>
        <sz val="9"/>
        <color theme="7" tint="0.599993896298105"/>
        <rFont val="Arial Narrow"/>
        <charset val="134"/>
      </rPr>
      <t>34</t>
    </r>
  </si>
  <si>
    <t>固资34</t>
  </si>
  <si>
    <r>
      <rPr>
        <sz val="9"/>
        <color theme="7" tint="0.599993896298105"/>
        <rFont val="宋体"/>
        <charset val="134"/>
      </rPr>
      <t>固资</t>
    </r>
    <r>
      <rPr>
        <sz val="9"/>
        <color theme="7" tint="0.599993896298105"/>
        <rFont val="Arial Narrow"/>
        <charset val="134"/>
      </rPr>
      <t>35</t>
    </r>
  </si>
  <si>
    <t>固资35</t>
  </si>
  <si>
    <r>
      <rPr>
        <sz val="9"/>
        <color theme="7" tint="0.599993896298105"/>
        <rFont val="宋体"/>
        <charset val="134"/>
      </rPr>
      <t>固资</t>
    </r>
    <r>
      <rPr>
        <sz val="9"/>
        <color theme="7" tint="0.599993896298105"/>
        <rFont val="Arial Narrow"/>
        <charset val="134"/>
      </rPr>
      <t>36</t>
    </r>
  </si>
  <si>
    <t>固资36</t>
  </si>
  <si>
    <r>
      <rPr>
        <sz val="9"/>
        <color theme="7" tint="0.599993896298105"/>
        <rFont val="宋体"/>
        <charset val="134"/>
      </rPr>
      <t>固资</t>
    </r>
    <r>
      <rPr>
        <sz val="9"/>
        <color theme="7" tint="0.599993896298105"/>
        <rFont val="Arial Narrow"/>
        <charset val="134"/>
      </rPr>
      <t>37</t>
    </r>
  </si>
  <si>
    <t>固资37</t>
  </si>
  <si>
    <r>
      <rPr>
        <sz val="9"/>
        <color theme="7" tint="0.599993896298105"/>
        <rFont val="宋体"/>
        <charset val="134"/>
      </rPr>
      <t>固资</t>
    </r>
    <r>
      <rPr>
        <sz val="9"/>
        <color theme="7" tint="0.599993896298105"/>
        <rFont val="Arial Narrow"/>
        <charset val="134"/>
      </rPr>
      <t>38</t>
    </r>
  </si>
  <si>
    <t>固资38</t>
  </si>
  <si>
    <r>
      <rPr>
        <sz val="9"/>
        <color theme="7" tint="0.599993896298105"/>
        <rFont val="宋体"/>
        <charset val="134"/>
      </rPr>
      <t>固资</t>
    </r>
    <r>
      <rPr>
        <sz val="9"/>
        <color theme="7" tint="0.599993896298105"/>
        <rFont val="Arial Narrow"/>
        <charset val="134"/>
      </rPr>
      <t>39</t>
    </r>
  </si>
  <si>
    <t>固资39</t>
  </si>
  <si>
    <r>
      <rPr>
        <sz val="9"/>
        <color theme="7" tint="0.599993896298105"/>
        <rFont val="宋体"/>
        <charset val="134"/>
      </rPr>
      <t>固资</t>
    </r>
    <r>
      <rPr>
        <sz val="9"/>
        <color theme="7" tint="0.599993896298105"/>
        <rFont val="Arial Narrow"/>
        <charset val="134"/>
      </rPr>
      <t>40</t>
    </r>
  </si>
  <si>
    <t>固资40</t>
  </si>
  <si>
    <r>
      <rPr>
        <sz val="9"/>
        <color theme="7" tint="0.599993896298105"/>
        <rFont val="宋体"/>
        <charset val="134"/>
      </rPr>
      <t>固资</t>
    </r>
    <r>
      <rPr>
        <sz val="9"/>
        <color theme="7" tint="0.599993896298105"/>
        <rFont val="Arial Narrow"/>
        <charset val="134"/>
      </rPr>
      <t>41</t>
    </r>
  </si>
  <si>
    <t>固资41</t>
  </si>
  <si>
    <t>　　1.期末账面价值</t>
  </si>
  <si>
    <r>
      <rPr>
        <sz val="9"/>
        <color theme="7" tint="0.599993896298105"/>
        <rFont val="宋体"/>
        <charset val="134"/>
      </rPr>
      <t>固资</t>
    </r>
    <r>
      <rPr>
        <sz val="9"/>
        <color theme="7" tint="0.599993896298105"/>
        <rFont val="Arial Narrow"/>
        <charset val="134"/>
      </rPr>
      <t>42</t>
    </r>
  </si>
  <si>
    <t>固资42</t>
  </si>
  <si>
    <t>　　2.期初账面价值</t>
  </si>
  <si>
    <r>
      <rPr>
        <sz val="9"/>
        <color theme="7" tint="0.599993896298105"/>
        <rFont val="宋体"/>
        <charset val="134"/>
      </rPr>
      <t>固资</t>
    </r>
    <r>
      <rPr>
        <sz val="9"/>
        <color theme="7" tint="0.599993896298105"/>
        <rFont val="Arial Narrow"/>
        <charset val="134"/>
      </rPr>
      <t>43</t>
    </r>
  </si>
  <si>
    <t>固资43</t>
  </si>
  <si>
    <r>
      <rPr>
        <sz val="9"/>
        <color theme="7" tint="0.599993896298105"/>
        <rFont val="宋体"/>
        <charset val="134"/>
      </rPr>
      <t>固资</t>
    </r>
    <r>
      <rPr>
        <sz val="9"/>
        <color theme="7" tint="0.599993896298105"/>
        <rFont val="Arial Narrow"/>
        <charset val="134"/>
      </rPr>
      <t>44</t>
    </r>
  </si>
  <si>
    <t>固资44</t>
  </si>
  <si>
    <r>
      <rPr>
        <sz val="9"/>
        <color theme="7" tint="0.599993896298105"/>
        <rFont val="宋体"/>
        <charset val="134"/>
      </rPr>
      <t>固资</t>
    </r>
    <r>
      <rPr>
        <sz val="9"/>
        <color theme="7" tint="0.599993896298105"/>
        <rFont val="Arial Narrow"/>
        <charset val="134"/>
      </rPr>
      <t>45</t>
    </r>
  </si>
  <si>
    <t>固资45</t>
  </si>
  <si>
    <r>
      <rPr>
        <sz val="9"/>
        <color theme="7" tint="0.599993896298105"/>
        <rFont val="宋体"/>
        <charset val="134"/>
      </rPr>
      <t>固资</t>
    </r>
    <r>
      <rPr>
        <sz val="9"/>
        <color theme="7" tint="0.599993896298105"/>
        <rFont val="Arial Narrow"/>
        <charset val="134"/>
      </rPr>
      <t>46</t>
    </r>
  </si>
  <si>
    <t>固资46</t>
  </si>
  <si>
    <t>在建工程本期结转入固定资产</t>
  </si>
  <si>
    <r>
      <rPr>
        <sz val="9"/>
        <color theme="7" tint="0.599993896298105"/>
        <rFont val="宋体"/>
        <charset val="134"/>
      </rPr>
      <t>固资</t>
    </r>
    <r>
      <rPr>
        <sz val="9"/>
        <color theme="7" tint="0.599993896298105"/>
        <rFont val="Arial Narrow"/>
        <charset val="134"/>
      </rPr>
      <t>47</t>
    </r>
  </si>
  <si>
    <t>固资47</t>
  </si>
  <si>
    <r>
      <rPr>
        <sz val="9"/>
        <color theme="7" tint="0.599993896298105"/>
        <rFont val="宋体"/>
        <charset val="134"/>
      </rPr>
      <t>固资</t>
    </r>
    <r>
      <rPr>
        <sz val="9"/>
        <color theme="7" tint="0.599993896298105"/>
        <rFont val="Arial Narrow"/>
        <charset val="134"/>
      </rPr>
      <t>48</t>
    </r>
  </si>
  <si>
    <t>固资48</t>
  </si>
  <si>
    <r>
      <rPr>
        <sz val="9"/>
        <color theme="7" tint="0.599993896298105"/>
        <rFont val="宋体"/>
        <charset val="134"/>
      </rPr>
      <t>固资</t>
    </r>
    <r>
      <rPr>
        <sz val="9"/>
        <color theme="7" tint="0.599993896298105"/>
        <rFont val="Arial Narrow"/>
        <charset val="134"/>
      </rPr>
      <t>49</t>
    </r>
  </si>
  <si>
    <t>固资49</t>
  </si>
  <si>
    <t>处置或报废部分处置日净额</t>
  </si>
  <si>
    <r>
      <rPr>
        <sz val="9"/>
        <color theme="7" tint="0.599993896298105"/>
        <rFont val="宋体"/>
        <charset val="134"/>
      </rPr>
      <t>固资</t>
    </r>
    <r>
      <rPr>
        <sz val="9"/>
        <color theme="7" tint="0.599993896298105"/>
        <rFont val="Arial Narrow"/>
        <charset val="134"/>
      </rPr>
      <t>50</t>
    </r>
  </si>
  <si>
    <t>固资50</t>
  </si>
  <si>
    <t>其中属关联交易</t>
  </si>
  <si>
    <r>
      <rPr>
        <sz val="9"/>
        <color theme="7" tint="0.599993896298105"/>
        <rFont val="宋体"/>
        <charset val="134"/>
      </rPr>
      <t>固资</t>
    </r>
    <r>
      <rPr>
        <sz val="9"/>
        <color theme="7" tint="0.599993896298105"/>
        <rFont val="Arial Narrow"/>
        <charset val="134"/>
      </rPr>
      <t>51</t>
    </r>
  </si>
  <si>
    <t>固资51</t>
  </si>
  <si>
    <t>其中属非关联交易</t>
  </si>
  <si>
    <r>
      <rPr>
        <sz val="9"/>
        <color theme="7" tint="0.599993896298105"/>
        <rFont val="宋体"/>
        <charset val="134"/>
      </rPr>
      <t>固资</t>
    </r>
    <r>
      <rPr>
        <sz val="9"/>
        <color theme="7" tint="0.599993896298105"/>
        <rFont val="Arial Narrow"/>
        <charset val="134"/>
      </rPr>
      <t>52</t>
    </r>
  </si>
  <si>
    <t>固资52</t>
  </si>
  <si>
    <r>
      <rPr>
        <sz val="9"/>
        <color theme="7" tint="0.599993896298105"/>
        <rFont val="宋体"/>
        <charset val="134"/>
      </rPr>
      <t>固资</t>
    </r>
    <r>
      <rPr>
        <sz val="9"/>
        <color theme="7" tint="0.599993896298105"/>
        <rFont val="Arial Narrow"/>
        <charset val="134"/>
      </rPr>
      <t>53</t>
    </r>
  </si>
  <si>
    <t>固资53</t>
  </si>
  <si>
    <r>
      <rPr>
        <sz val="9"/>
        <color theme="7" tint="0.599993896298105"/>
        <rFont val="宋体"/>
        <charset val="134"/>
      </rPr>
      <t>无资</t>
    </r>
    <r>
      <rPr>
        <sz val="9"/>
        <color theme="7" tint="0.599993896298105"/>
        <rFont val="Arial Narrow"/>
        <charset val="134"/>
      </rPr>
      <t>1</t>
    </r>
  </si>
  <si>
    <t>无资1</t>
  </si>
  <si>
    <r>
      <rPr>
        <b/>
        <sz val="9"/>
        <rFont val="Arial Narrow"/>
        <charset val="134"/>
      </rPr>
      <t>(</t>
    </r>
    <r>
      <rPr>
        <b/>
        <sz val="9"/>
        <rFont val="宋体"/>
        <charset val="134"/>
      </rPr>
      <t>二十三</t>
    </r>
    <r>
      <rPr>
        <b/>
        <sz val="9"/>
        <rFont val="Arial Narrow"/>
        <charset val="134"/>
      </rPr>
      <t>)</t>
    </r>
    <r>
      <rPr>
        <b/>
        <sz val="9"/>
        <rFont val="宋体"/>
        <charset val="134"/>
      </rPr>
      <t>无形资产</t>
    </r>
    <r>
      <rPr>
        <b/>
        <sz val="9"/>
        <rFont val="Arial Narrow"/>
        <charset val="134"/>
      </rPr>
      <t>-</t>
    </r>
    <r>
      <rPr>
        <b/>
        <sz val="9"/>
        <rFont val="宋体"/>
        <charset val="134"/>
      </rPr>
      <t>披露表</t>
    </r>
    <r>
      <rPr>
        <b/>
        <sz val="9"/>
        <color rgb="FF0070C0"/>
        <rFont val="宋体"/>
        <charset val="134"/>
      </rPr>
      <t>（请填此表）</t>
    </r>
  </si>
  <si>
    <r>
      <rPr>
        <sz val="9"/>
        <color theme="7" tint="0.599993896298105"/>
        <rFont val="宋体"/>
        <charset val="134"/>
      </rPr>
      <t>无资</t>
    </r>
    <r>
      <rPr>
        <sz val="9"/>
        <color theme="7" tint="0.599993896298105"/>
        <rFont val="Arial Narrow"/>
        <charset val="134"/>
      </rPr>
      <t>2</t>
    </r>
  </si>
  <si>
    <t>无资2</t>
  </si>
  <si>
    <t>专利权</t>
  </si>
  <si>
    <t>软件</t>
  </si>
  <si>
    <r>
      <rPr>
        <sz val="9"/>
        <color theme="7" tint="0.599993896298105"/>
        <rFont val="宋体"/>
        <charset val="134"/>
      </rPr>
      <t>无资</t>
    </r>
    <r>
      <rPr>
        <sz val="9"/>
        <color theme="7" tint="0.599993896298105"/>
        <rFont val="Arial Narrow"/>
        <charset val="134"/>
      </rPr>
      <t>3</t>
    </r>
  </si>
  <si>
    <t>无资3</t>
  </si>
  <si>
    <r>
      <rPr>
        <sz val="9"/>
        <color theme="7" tint="0.599993896298105"/>
        <rFont val="宋体"/>
        <charset val="134"/>
      </rPr>
      <t>无资</t>
    </r>
    <r>
      <rPr>
        <sz val="9"/>
        <color theme="7" tint="0.599993896298105"/>
        <rFont val="Arial Narrow"/>
        <charset val="134"/>
      </rPr>
      <t>4</t>
    </r>
  </si>
  <si>
    <t>无资4</t>
  </si>
  <si>
    <r>
      <rPr>
        <sz val="9"/>
        <color theme="7" tint="0.599993896298105"/>
        <rFont val="宋体"/>
        <charset val="134"/>
      </rPr>
      <t>无资</t>
    </r>
    <r>
      <rPr>
        <sz val="9"/>
        <color theme="7" tint="0.599993896298105"/>
        <rFont val="Arial Narrow"/>
        <charset val="134"/>
      </rPr>
      <t>5</t>
    </r>
  </si>
  <si>
    <t>无资5</t>
  </si>
  <si>
    <r>
      <rPr>
        <sz val="9"/>
        <color theme="7" tint="0.599993896298105"/>
        <rFont val="宋体"/>
        <charset val="134"/>
      </rPr>
      <t>无资</t>
    </r>
    <r>
      <rPr>
        <sz val="9"/>
        <color theme="7" tint="0.599993896298105"/>
        <rFont val="Arial Narrow"/>
        <charset val="134"/>
      </rPr>
      <t>6</t>
    </r>
  </si>
  <si>
    <t>无资6</t>
  </si>
  <si>
    <r>
      <rPr>
        <sz val="9"/>
        <color rgb="FF0070C0"/>
        <rFont val="宋体"/>
        <charset val="134"/>
      </rPr>
      <t>　　　（</t>
    </r>
    <r>
      <rPr>
        <sz val="9"/>
        <color rgb="FF0070C0"/>
        <rFont val="Times New Roman"/>
        <charset val="134"/>
      </rPr>
      <t>1</t>
    </r>
    <r>
      <rPr>
        <sz val="9"/>
        <color rgb="FF0070C0"/>
        <rFont val="宋体"/>
        <charset val="134"/>
      </rPr>
      <t>）购置</t>
    </r>
  </si>
  <si>
    <r>
      <rPr>
        <sz val="9"/>
        <color theme="7" tint="0.599993896298105"/>
        <rFont val="宋体"/>
        <charset val="134"/>
      </rPr>
      <t>无资</t>
    </r>
    <r>
      <rPr>
        <sz val="9"/>
        <color theme="7" tint="0.599993896298105"/>
        <rFont val="Arial Narrow"/>
        <charset val="134"/>
      </rPr>
      <t>7</t>
    </r>
  </si>
  <si>
    <t>无资7</t>
  </si>
  <si>
    <r>
      <rPr>
        <sz val="9"/>
        <color rgb="FF0070C0"/>
        <rFont val="宋体"/>
        <charset val="134"/>
      </rPr>
      <t>　　　（</t>
    </r>
    <r>
      <rPr>
        <sz val="9"/>
        <color rgb="FF0070C0"/>
        <rFont val="Times New Roman"/>
        <charset val="134"/>
      </rPr>
      <t>2</t>
    </r>
    <r>
      <rPr>
        <sz val="9"/>
        <color rgb="FF0070C0"/>
        <rFont val="宋体"/>
        <charset val="134"/>
      </rPr>
      <t>）内部研发</t>
    </r>
  </si>
  <si>
    <r>
      <rPr>
        <sz val="9"/>
        <color theme="7" tint="0.599993896298105"/>
        <rFont val="宋体"/>
        <charset val="134"/>
      </rPr>
      <t>无资</t>
    </r>
    <r>
      <rPr>
        <sz val="9"/>
        <color theme="7" tint="0.599993896298105"/>
        <rFont val="Arial Narrow"/>
        <charset val="134"/>
      </rPr>
      <t>8</t>
    </r>
  </si>
  <si>
    <t>无资8</t>
  </si>
  <si>
    <r>
      <rPr>
        <sz val="9"/>
        <color rgb="FF0070C0"/>
        <rFont val="宋体"/>
        <charset val="134"/>
      </rPr>
      <t>　　　（</t>
    </r>
    <r>
      <rPr>
        <sz val="9"/>
        <color rgb="FF0070C0"/>
        <rFont val="Times New Roman"/>
        <charset val="134"/>
      </rPr>
      <t>3</t>
    </r>
    <r>
      <rPr>
        <sz val="9"/>
        <color rgb="FF0070C0"/>
        <rFont val="宋体"/>
        <charset val="134"/>
      </rPr>
      <t>）企业合并增加</t>
    </r>
  </si>
  <si>
    <r>
      <rPr>
        <sz val="9"/>
        <color theme="7" tint="0.599993896298105"/>
        <rFont val="宋体"/>
        <charset val="134"/>
      </rPr>
      <t>无资</t>
    </r>
    <r>
      <rPr>
        <sz val="9"/>
        <color theme="7" tint="0.599993896298105"/>
        <rFont val="Arial Narrow"/>
        <charset val="134"/>
      </rPr>
      <t>9</t>
    </r>
  </si>
  <si>
    <t>无资9</t>
  </si>
  <si>
    <r>
      <rPr>
        <sz val="9"/>
        <color theme="7" tint="0.599993896298105"/>
        <rFont val="宋体"/>
        <charset val="134"/>
      </rPr>
      <t>无资</t>
    </r>
    <r>
      <rPr>
        <sz val="9"/>
        <color theme="7" tint="0.599993896298105"/>
        <rFont val="Arial Narrow"/>
        <charset val="134"/>
      </rPr>
      <t>10</t>
    </r>
  </si>
  <si>
    <t>无资10</t>
  </si>
  <si>
    <t>　　　（5）其他</t>
  </si>
  <si>
    <r>
      <rPr>
        <sz val="9"/>
        <color theme="7" tint="0.599993896298105"/>
        <rFont val="宋体"/>
        <charset val="134"/>
      </rPr>
      <t>无资</t>
    </r>
    <r>
      <rPr>
        <sz val="9"/>
        <color theme="7" tint="0.599993896298105"/>
        <rFont val="Arial Narrow"/>
        <charset val="134"/>
      </rPr>
      <t>11</t>
    </r>
  </si>
  <si>
    <t>无资11</t>
  </si>
  <si>
    <r>
      <rPr>
        <sz val="9"/>
        <color theme="7" tint="0.599993896298105"/>
        <rFont val="宋体"/>
        <charset val="134"/>
      </rPr>
      <t>无资</t>
    </r>
    <r>
      <rPr>
        <sz val="9"/>
        <color theme="7" tint="0.599993896298105"/>
        <rFont val="Arial Narrow"/>
        <charset val="134"/>
      </rPr>
      <t>12</t>
    </r>
  </si>
  <si>
    <t>无资12</t>
  </si>
  <si>
    <r>
      <rPr>
        <sz val="9"/>
        <color rgb="FF0070C0"/>
        <rFont val="宋体"/>
        <charset val="134"/>
      </rPr>
      <t>　　　（</t>
    </r>
    <r>
      <rPr>
        <sz val="9"/>
        <color rgb="FF0070C0"/>
        <rFont val="Times New Roman"/>
        <charset val="134"/>
      </rPr>
      <t>1</t>
    </r>
    <r>
      <rPr>
        <sz val="9"/>
        <color rgb="FF0070C0"/>
        <rFont val="宋体"/>
        <charset val="134"/>
      </rPr>
      <t>）处置</t>
    </r>
  </si>
  <si>
    <r>
      <rPr>
        <sz val="9"/>
        <color theme="7" tint="0.599993896298105"/>
        <rFont val="宋体"/>
        <charset val="134"/>
      </rPr>
      <t>无资</t>
    </r>
    <r>
      <rPr>
        <sz val="9"/>
        <color theme="7" tint="0.599993896298105"/>
        <rFont val="Arial Narrow"/>
        <charset val="134"/>
      </rPr>
      <t>13</t>
    </r>
  </si>
  <si>
    <t>无资13</t>
  </si>
  <si>
    <r>
      <rPr>
        <sz val="9"/>
        <color theme="7" tint="0.599993896298105"/>
        <rFont val="宋体"/>
        <charset val="134"/>
      </rPr>
      <t>无资</t>
    </r>
    <r>
      <rPr>
        <sz val="9"/>
        <color theme="7" tint="0.599993896298105"/>
        <rFont val="Arial Narrow"/>
        <charset val="134"/>
      </rPr>
      <t>14</t>
    </r>
  </si>
  <si>
    <t>无资14</t>
  </si>
  <si>
    <r>
      <rPr>
        <sz val="9"/>
        <color theme="7" tint="0.599993896298105"/>
        <rFont val="宋体"/>
        <charset val="134"/>
      </rPr>
      <t>无资</t>
    </r>
    <r>
      <rPr>
        <sz val="9"/>
        <color theme="7" tint="0.599993896298105"/>
        <rFont val="Arial Narrow"/>
        <charset val="134"/>
      </rPr>
      <t>15</t>
    </r>
  </si>
  <si>
    <t>无资15</t>
  </si>
  <si>
    <r>
      <rPr>
        <sz val="9"/>
        <color theme="7" tint="0.599993896298105"/>
        <rFont val="宋体"/>
        <charset val="134"/>
      </rPr>
      <t>无资</t>
    </r>
    <r>
      <rPr>
        <sz val="9"/>
        <color theme="7" tint="0.599993896298105"/>
        <rFont val="Arial Narrow"/>
        <charset val="134"/>
      </rPr>
      <t>16</t>
    </r>
  </si>
  <si>
    <t>无资16</t>
  </si>
  <si>
    <r>
      <rPr>
        <sz val="9"/>
        <color theme="7" tint="0.599993896298105"/>
        <rFont val="宋体"/>
        <charset val="134"/>
      </rPr>
      <t>无资</t>
    </r>
    <r>
      <rPr>
        <sz val="9"/>
        <color theme="7" tint="0.599993896298105"/>
        <rFont val="Arial Narrow"/>
        <charset val="134"/>
      </rPr>
      <t>17</t>
    </r>
  </si>
  <si>
    <t>无资17</t>
  </si>
  <si>
    <t>二、累计摊销</t>
  </si>
  <si>
    <r>
      <rPr>
        <sz val="9"/>
        <color theme="7" tint="0.599993896298105"/>
        <rFont val="宋体"/>
        <charset val="134"/>
      </rPr>
      <t>无资</t>
    </r>
    <r>
      <rPr>
        <sz val="9"/>
        <color theme="7" tint="0.599993896298105"/>
        <rFont val="Arial Narrow"/>
        <charset val="134"/>
      </rPr>
      <t>18</t>
    </r>
  </si>
  <si>
    <t>无资18</t>
  </si>
  <si>
    <r>
      <rPr>
        <sz val="9"/>
        <color theme="7" tint="0.599993896298105"/>
        <rFont val="宋体"/>
        <charset val="134"/>
      </rPr>
      <t>无资</t>
    </r>
    <r>
      <rPr>
        <sz val="9"/>
        <color theme="7" tint="0.599993896298105"/>
        <rFont val="Arial Narrow"/>
        <charset val="134"/>
      </rPr>
      <t>19</t>
    </r>
  </si>
  <si>
    <t>无资19</t>
  </si>
  <si>
    <r>
      <rPr>
        <sz val="9"/>
        <color theme="7" tint="0.599993896298105"/>
        <rFont val="宋体"/>
        <charset val="134"/>
      </rPr>
      <t>无资</t>
    </r>
    <r>
      <rPr>
        <sz val="9"/>
        <color theme="7" tint="0.599993896298105"/>
        <rFont val="Arial Narrow"/>
        <charset val="134"/>
      </rPr>
      <t>20</t>
    </r>
  </si>
  <si>
    <t>无资20</t>
  </si>
  <si>
    <r>
      <rPr>
        <sz val="9"/>
        <color rgb="FF0070C0"/>
        <rFont val="宋体"/>
        <charset val="134"/>
      </rPr>
      <t>　　　（</t>
    </r>
    <r>
      <rPr>
        <sz val="9"/>
        <color rgb="FF0070C0"/>
        <rFont val="Times New Roman"/>
        <charset val="134"/>
      </rPr>
      <t>1</t>
    </r>
    <r>
      <rPr>
        <sz val="9"/>
        <color rgb="FF0070C0"/>
        <rFont val="宋体"/>
        <charset val="134"/>
      </rPr>
      <t>）计提</t>
    </r>
  </si>
  <si>
    <r>
      <rPr>
        <sz val="9"/>
        <color theme="7" tint="0.599993896298105"/>
        <rFont val="宋体"/>
        <charset val="134"/>
      </rPr>
      <t>无资</t>
    </r>
    <r>
      <rPr>
        <sz val="9"/>
        <color theme="7" tint="0.599993896298105"/>
        <rFont val="Arial Narrow"/>
        <charset val="134"/>
      </rPr>
      <t>21</t>
    </r>
  </si>
  <si>
    <t>无资21</t>
  </si>
  <si>
    <r>
      <rPr>
        <sz val="9"/>
        <color theme="7" tint="0.599993896298105"/>
        <rFont val="宋体"/>
        <charset val="134"/>
      </rPr>
      <t>无资</t>
    </r>
    <r>
      <rPr>
        <sz val="9"/>
        <color theme="7" tint="0.599993896298105"/>
        <rFont val="Arial Narrow"/>
        <charset val="134"/>
      </rPr>
      <t>22</t>
    </r>
  </si>
  <si>
    <t>无资22</t>
  </si>
  <si>
    <r>
      <rPr>
        <sz val="9"/>
        <color theme="7" tint="0.599993896298105"/>
        <rFont val="宋体"/>
        <charset val="134"/>
      </rPr>
      <t>无资</t>
    </r>
    <r>
      <rPr>
        <sz val="9"/>
        <color theme="7" tint="0.599993896298105"/>
        <rFont val="Arial Narrow"/>
        <charset val="134"/>
      </rPr>
      <t>23</t>
    </r>
  </si>
  <si>
    <t>无资23</t>
  </si>
  <si>
    <r>
      <rPr>
        <sz val="9"/>
        <color theme="7" tint="0.599993896298105"/>
        <rFont val="宋体"/>
        <charset val="134"/>
      </rPr>
      <t>无资</t>
    </r>
    <r>
      <rPr>
        <sz val="9"/>
        <color theme="7" tint="0.599993896298105"/>
        <rFont val="Arial Narrow"/>
        <charset val="134"/>
      </rPr>
      <t>24</t>
    </r>
  </si>
  <si>
    <t>无资24</t>
  </si>
  <si>
    <r>
      <rPr>
        <sz val="9"/>
        <color theme="7" tint="0.599993896298105"/>
        <rFont val="宋体"/>
        <charset val="134"/>
      </rPr>
      <t>无资</t>
    </r>
    <r>
      <rPr>
        <sz val="9"/>
        <color theme="7" tint="0.599993896298105"/>
        <rFont val="Arial Narrow"/>
        <charset val="134"/>
      </rPr>
      <t>25</t>
    </r>
  </si>
  <si>
    <t>无资25</t>
  </si>
  <si>
    <r>
      <rPr>
        <sz val="9"/>
        <color theme="7" tint="0.599993896298105"/>
        <rFont val="宋体"/>
        <charset val="134"/>
      </rPr>
      <t>无资</t>
    </r>
    <r>
      <rPr>
        <sz val="9"/>
        <color theme="7" tint="0.599993896298105"/>
        <rFont val="Arial Narrow"/>
        <charset val="134"/>
      </rPr>
      <t>26</t>
    </r>
  </si>
  <si>
    <t>无资26</t>
  </si>
  <si>
    <r>
      <rPr>
        <sz val="9"/>
        <color theme="7" tint="0.599993896298105"/>
        <rFont val="宋体"/>
        <charset val="134"/>
      </rPr>
      <t>无资</t>
    </r>
    <r>
      <rPr>
        <sz val="9"/>
        <color theme="7" tint="0.599993896298105"/>
        <rFont val="Arial Narrow"/>
        <charset val="134"/>
      </rPr>
      <t>27</t>
    </r>
  </si>
  <si>
    <t>无资27</t>
  </si>
  <si>
    <r>
      <rPr>
        <sz val="9"/>
        <color theme="7" tint="0.599993896298105"/>
        <rFont val="宋体"/>
        <charset val="134"/>
      </rPr>
      <t>无资</t>
    </r>
    <r>
      <rPr>
        <sz val="9"/>
        <color theme="7" tint="0.599993896298105"/>
        <rFont val="Arial Narrow"/>
        <charset val="134"/>
      </rPr>
      <t>28</t>
    </r>
  </si>
  <si>
    <t>无资28</t>
  </si>
  <si>
    <r>
      <rPr>
        <sz val="9"/>
        <color theme="7" tint="0.599993896298105"/>
        <rFont val="宋体"/>
        <charset val="134"/>
      </rPr>
      <t>无资</t>
    </r>
    <r>
      <rPr>
        <sz val="9"/>
        <color theme="7" tint="0.599993896298105"/>
        <rFont val="Arial Narrow"/>
        <charset val="134"/>
      </rPr>
      <t>29</t>
    </r>
  </si>
  <si>
    <t>无资29</t>
  </si>
  <si>
    <r>
      <rPr>
        <sz val="9"/>
        <color theme="7" tint="0.599993896298105"/>
        <rFont val="宋体"/>
        <charset val="134"/>
      </rPr>
      <t>无资</t>
    </r>
    <r>
      <rPr>
        <sz val="9"/>
        <color theme="7" tint="0.599993896298105"/>
        <rFont val="Arial Narrow"/>
        <charset val="134"/>
      </rPr>
      <t>30</t>
    </r>
  </si>
  <si>
    <t>无资30</t>
  </si>
  <si>
    <r>
      <rPr>
        <sz val="9"/>
        <color theme="7" tint="0.599993896298105"/>
        <rFont val="宋体"/>
        <charset val="134"/>
      </rPr>
      <t>无资</t>
    </r>
    <r>
      <rPr>
        <sz val="9"/>
        <color theme="7" tint="0.599993896298105"/>
        <rFont val="Arial Narrow"/>
        <charset val="134"/>
      </rPr>
      <t>31</t>
    </r>
  </si>
  <si>
    <t>无资31</t>
  </si>
  <si>
    <r>
      <rPr>
        <sz val="9"/>
        <color theme="7" tint="0.599993896298105"/>
        <rFont val="宋体"/>
        <charset val="134"/>
      </rPr>
      <t>无资</t>
    </r>
    <r>
      <rPr>
        <sz val="9"/>
        <color theme="7" tint="0.599993896298105"/>
        <rFont val="Arial Narrow"/>
        <charset val="134"/>
      </rPr>
      <t>32</t>
    </r>
  </si>
  <si>
    <t>无资32</t>
  </si>
  <si>
    <r>
      <rPr>
        <sz val="9"/>
        <color theme="7" tint="0.599993896298105"/>
        <rFont val="宋体"/>
        <charset val="134"/>
      </rPr>
      <t>无资</t>
    </r>
    <r>
      <rPr>
        <sz val="9"/>
        <color theme="7" tint="0.599993896298105"/>
        <rFont val="Arial Narrow"/>
        <charset val="134"/>
      </rPr>
      <t>33</t>
    </r>
  </si>
  <si>
    <t>无资33</t>
  </si>
  <si>
    <r>
      <rPr>
        <sz val="9"/>
        <color theme="7" tint="0.599993896298105"/>
        <rFont val="宋体"/>
        <charset val="134"/>
      </rPr>
      <t>无资</t>
    </r>
    <r>
      <rPr>
        <sz val="9"/>
        <color theme="7" tint="0.599993896298105"/>
        <rFont val="Arial Narrow"/>
        <charset val="134"/>
      </rPr>
      <t>34</t>
    </r>
  </si>
  <si>
    <t>无资34</t>
  </si>
  <si>
    <r>
      <rPr>
        <sz val="9"/>
        <color theme="7" tint="0.599993896298105"/>
        <rFont val="宋体"/>
        <charset val="134"/>
      </rPr>
      <t>无资</t>
    </r>
    <r>
      <rPr>
        <sz val="9"/>
        <color theme="7" tint="0.599993896298105"/>
        <rFont val="Arial Narrow"/>
        <charset val="134"/>
      </rPr>
      <t>35</t>
    </r>
  </si>
  <si>
    <t>无资35</t>
  </si>
  <si>
    <r>
      <rPr>
        <sz val="9"/>
        <color theme="7" tint="0.599993896298105"/>
        <rFont val="宋体"/>
        <charset val="134"/>
      </rPr>
      <t>无资</t>
    </r>
    <r>
      <rPr>
        <sz val="9"/>
        <color theme="7" tint="0.599993896298105"/>
        <rFont val="Arial Narrow"/>
        <charset val="134"/>
      </rPr>
      <t>36</t>
    </r>
  </si>
  <si>
    <t>无资36</t>
  </si>
  <si>
    <r>
      <rPr>
        <sz val="9"/>
        <color rgb="FF0070C0"/>
        <rFont val="宋体"/>
        <charset val="134"/>
      </rPr>
      <t>　　（</t>
    </r>
    <r>
      <rPr>
        <sz val="9"/>
        <color rgb="FF0070C0"/>
        <rFont val="Times New Roman"/>
        <charset val="134"/>
      </rPr>
      <t>1</t>
    </r>
    <r>
      <rPr>
        <sz val="9"/>
        <color rgb="FF0070C0"/>
        <rFont val="宋体"/>
        <charset val="134"/>
      </rPr>
      <t>）处置</t>
    </r>
  </si>
  <si>
    <r>
      <rPr>
        <sz val="9"/>
        <color theme="7" tint="0.599993896298105"/>
        <rFont val="宋体"/>
        <charset val="134"/>
      </rPr>
      <t>无资</t>
    </r>
    <r>
      <rPr>
        <sz val="9"/>
        <color theme="7" tint="0.599993896298105"/>
        <rFont val="Arial Narrow"/>
        <charset val="134"/>
      </rPr>
      <t>37</t>
    </r>
  </si>
  <si>
    <t>无资37</t>
  </si>
  <si>
    <r>
      <rPr>
        <sz val="9"/>
        <color theme="7" tint="0.599993896298105"/>
        <rFont val="宋体"/>
        <charset val="134"/>
      </rPr>
      <t>无资</t>
    </r>
    <r>
      <rPr>
        <sz val="9"/>
        <color theme="7" tint="0.599993896298105"/>
        <rFont val="Arial Narrow"/>
        <charset val="134"/>
      </rPr>
      <t>38</t>
    </r>
  </si>
  <si>
    <t>无资38</t>
  </si>
  <si>
    <r>
      <rPr>
        <sz val="9"/>
        <color theme="7" tint="0.599993896298105"/>
        <rFont val="宋体"/>
        <charset val="134"/>
      </rPr>
      <t>无资</t>
    </r>
    <r>
      <rPr>
        <sz val="9"/>
        <color theme="7" tint="0.599993896298105"/>
        <rFont val="Arial Narrow"/>
        <charset val="134"/>
      </rPr>
      <t>39</t>
    </r>
  </si>
  <si>
    <t>无资39</t>
  </si>
  <si>
    <r>
      <rPr>
        <sz val="9"/>
        <color theme="7" tint="0.599993896298105"/>
        <rFont val="宋体"/>
        <charset val="134"/>
      </rPr>
      <t>无资</t>
    </r>
    <r>
      <rPr>
        <sz val="9"/>
        <color theme="7" tint="0.599993896298105"/>
        <rFont val="Arial Narrow"/>
        <charset val="134"/>
      </rPr>
      <t>40</t>
    </r>
  </si>
  <si>
    <t>无资40</t>
  </si>
  <si>
    <r>
      <rPr>
        <sz val="9"/>
        <color theme="7" tint="0.599993896298105"/>
        <rFont val="宋体"/>
        <charset val="134"/>
      </rPr>
      <t>无资</t>
    </r>
    <r>
      <rPr>
        <sz val="9"/>
        <color theme="7" tint="0.599993896298105"/>
        <rFont val="Arial Narrow"/>
        <charset val="134"/>
      </rPr>
      <t>41</t>
    </r>
  </si>
  <si>
    <t>无资41</t>
  </si>
  <si>
    <r>
      <rPr>
        <sz val="9"/>
        <color theme="7" tint="0.599993896298105"/>
        <rFont val="宋体"/>
        <charset val="134"/>
      </rPr>
      <t>无资</t>
    </r>
    <r>
      <rPr>
        <sz val="9"/>
        <color theme="7" tint="0.599993896298105"/>
        <rFont val="Arial Narrow"/>
        <charset val="134"/>
      </rPr>
      <t>42</t>
    </r>
  </si>
  <si>
    <t>无资42</t>
  </si>
  <si>
    <r>
      <rPr>
        <sz val="9"/>
        <color theme="7" tint="0.599993896298105"/>
        <rFont val="宋体"/>
        <charset val="134"/>
      </rPr>
      <t>无资</t>
    </r>
    <r>
      <rPr>
        <sz val="9"/>
        <color theme="7" tint="0.599993896298105"/>
        <rFont val="Arial Narrow"/>
        <charset val="134"/>
      </rPr>
      <t>43</t>
    </r>
  </si>
  <si>
    <t>无资43</t>
  </si>
  <si>
    <r>
      <rPr>
        <sz val="9"/>
        <color theme="7" tint="0.599993896298105"/>
        <rFont val="宋体"/>
        <charset val="134"/>
      </rPr>
      <t>无资</t>
    </r>
    <r>
      <rPr>
        <sz val="9"/>
        <color theme="7" tint="0.599993896298105"/>
        <rFont val="Arial Narrow"/>
        <charset val="134"/>
      </rPr>
      <t>44</t>
    </r>
  </si>
  <si>
    <t>无资44</t>
  </si>
  <si>
    <r>
      <rPr>
        <sz val="9"/>
        <color theme="7" tint="0.599993896298105"/>
        <rFont val="宋体"/>
        <charset val="134"/>
      </rPr>
      <t>无资</t>
    </r>
    <r>
      <rPr>
        <sz val="9"/>
        <color theme="7" tint="0.599993896298105"/>
        <rFont val="Arial Narrow"/>
        <charset val="134"/>
      </rPr>
      <t>45</t>
    </r>
  </si>
  <si>
    <t>无资45</t>
  </si>
  <si>
    <r>
      <rPr>
        <sz val="9"/>
        <color theme="7" tint="0.599993896298105"/>
        <rFont val="宋体"/>
        <charset val="134"/>
      </rPr>
      <t>无资</t>
    </r>
    <r>
      <rPr>
        <sz val="9"/>
        <color theme="7" tint="0.599993896298105"/>
        <rFont val="Arial Narrow"/>
        <charset val="134"/>
      </rPr>
      <t>46</t>
    </r>
  </si>
  <si>
    <t>无资46</t>
  </si>
  <si>
    <t>其中本期处置或报废部分：</t>
  </si>
  <si>
    <r>
      <rPr>
        <sz val="9"/>
        <color theme="7" tint="0.599993896298105"/>
        <rFont val="宋体"/>
        <charset val="134"/>
      </rPr>
      <t>无资</t>
    </r>
    <r>
      <rPr>
        <sz val="9"/>
        <color theme="7" tint="0.599993896298105"/>
        <rFont val="Arial Narrow"/>
        <charset val="134"/>
      </rPr>
      <t>47</t>
    </r>
  </si>
  <si>
    <t>无资47</t>
  </si>
  <si>
    <t>非专利技术</t>
  </si>
  <si>
    <r>
      <rPr>
        <sz val="9"/>
        <color theme="7" tint="0.599993896298105"/>
        <rFont val="宋体"/>
        <charset val="134"/>
      </rPr>
      <t>无资</t>
    </r>
    <r>
      <rPr>
        <sz val="9"/>
        <color theme="7" tint="0.599993896298105"/>
        <rFont val="Arial Narrow"/>
        <charset val="134"/>
      </rPr>
      <t>48</t>
    </r>
  </si>
  <si>
    <t>无资48</t>
  </si>
  <si>
    <r>
      <rPr>
        <sz val="9"/>
        <color theme="7" tint="0.599993896298105"/>
        <rFont val="宋体"/>
        <charset val="134"/>
      </rPr>
      <t>无资</t>
    </r>
    <r>
      <rPr>
        <sz val="9"/>
        <color theme="7" tint="0.599993896298105"/>
        <rFont val="Arial Narrow"/>
        <charset val="134"/>
      </rPr>
      <t>49</t>
    </r>
  </si>
  <si>
    <t>无资49</t>
  </si>
  <si>
    <r>
      <rPr>
        <sz val="9"/>
        <color theme="7" tint="0.599993896298105"/>
        <rFont val="宋体"/>
        <charset val="134"/>
      </rPr>
      <t>无资</t>
    </r>
    <r>
      <rPr>
        <sz val="9"/>
        <color theme="7" tint="0.599993896298105"/>
        <rFont val="Arial Narrow"/>
        <charset val="134"/>
      </rPr>
      <t>50</t>
    </r>
  </si>
  <si>
    <t>无资50</t>
  </si>
  <si>
    <r>
      <rPr>
        <sz val="9"/>
        <color theme="7" tint="0.599993896298105"/>
        <rFont val="宋体"/>
        <charset val="134"/>
      </rPr>
      <t>无资</t>
    </r>
    <r>
      <rPr>
        <sz val="9"/>
        <color theme="7" tint="0.599993896298105"/>
        <rFont val="Arial Narrow"/>
        <charset val="134"/>
      </rPr>
      <t>51</t>
    </r>
  </si>
  <si>
    <t>无资51</t>
  </si>
  <si>
    <r>
      <rPr>
        <sz val="9"/>
        <color theme="7" tint="0.599993896298105"/>
        <rFont val="宋体"/>
        <charset val="134"/>
      </rPr>
      <t>无资</t>
    </r>
    <r>
      <rPr>
        <sz val="9"/>
        <color theme="7" tint="0.599993896298105"/>
        <rFont val="Arial Narrow"/>
        <charset val="134"/>
      </rPr>
      <t>52</t>
    </r>
  </si>
  <si>
    <t>无资52</t>
  </si>
  <si>
    <t>（五十四）递延收益-披露表</t>
  </si>
  <si>
    <r>
      <rPr>
        <b/>
        <sz val="9"/>
        <rFont val="宋体"/>
        <charset val="134"/>
      </rPr>
      <t>（五十四）递延收益</t>
    </r>
    <r>
      <rPr>
        <b/>
        <sz val="9"/>
        <rFont val="Arial Narrow"/>
        <charset val="134"/>
      </rPr>
      <t>-</t>
    </r>
    <r>
      <rPr>
        <b/>
        <sz val="9"/>
        <rFont val="宋体"/>
        <charset val="134"/>
      </rPr>
      <t>披露表</t>
    </r>
  </si>
  <si>
    <t>项目金额</t>
  </si>
  <si>
    <t>期初累计已结转金额</t>
  </si>
  <si>
    <t>本期计入营业外收入金额</t>
  </si>
  <si>
    <t>其他变动</t>
  </si>
  <si>
    <t>与资产相关/与收益相关</t>
  </si>
  <si>
    <t>（2）递延收益明细文字说明:</t>
  </si>
  <si>
    <r>
      <rPr>
        <sz val="9"/>
        <rFont val="宋体"/>
        <charset val="134"/>
      </rPr>
      <t>（</t>
    </r>
    <r>
      <rPr>
        <sz val="9"/>
        <rFont val="Arial Narrow"/>
        <charset val="134"/>
      </rPr>
      <t>2</t>
    </r>
    <r>
      <rPr>
        <sz val="9"/>
        <rFont val="宋体"/>
        <charset val="134"/>
      </rPr>
      <t>）递延收益明细文字说明</t>
    </r>
    <r>
      <rPr>
        <sz val="9"/>
        <rFont val="Arial Narrow"/>
        <charset val="134"/>
      </rPr>
      <t>:</t>
    </r>
  </si>
  <si>
    <t>(1)</t>
  </si>
  <si>
    <t>(2)</t>
  </si>
  <si>
    <t>(3)</t>
  </si>
  <si>
    <t>(4)</t>
  </si>
  <si>
    <t>(5)</t>
  </si>
  <si>
    <t>(6)</t>
  </si>
  <si>
    <t>(7)</t>
  </si>
  <si>
    <t>(8)</t>
  </si>
  <si>
    <t>(9)</t>
  </si>
  <si>
    <t>(10)</t>
  </si>
  <si>
    <r>
      <rPr>
        <b/>
        <sz val="9"/>
        <rFont val="宋体"/>
        <charset val="134"/>
      </rPr>
      <t>（</t>
    </r>
    <r>
      <rPr>
        <b/>
        <sz val="9"/>
        <rFont val="Arial Narrow"/>
        <charset val="134"/>
      </rPr>
      <t>1</t>
    </r>
    <r>
      <rPr>
        <b/>
        <sz val="9"/>
        <rFont val="宋体"/>
        <charset val="134"/>
      </rPr>
      <t>）合营企业或联营企业</t>
    </r>
  </si>
  <si>
    <t>主要经营地</t>
  </si>
  <si>
    <t>持股比例（%）</t>
  </si>
  <si>
    <t>本公司在被投资单位表决权比例（%）</t>
  </si>
  <si>
    <t>对公司活动是否具有战略性</t>
  </si>
  <si>
    <t>直接</t>
  </si>
  <si>
    <t>间接</t>
  </si>
  <si>
    <r>
      <rPr>
        <b/>
        <sz val="9"/>
        <rFont val="宋体"/>
        <charset val="134"/>
      </rPr>
      <t>（</t>
    </r>
    <r>
      <rPr>
        <b/>
        <sz val="9"/>
        <rFont val="Arial Narrow"/>
        <charset val="134"/>
      </rPr>
      <t>2</t>
    </r>
    <r>
      <rPr>
        <b/>
        <sz val="9"/>
        <rFont val="宋体"/>
        <charset val="134"/>
      </rPr>
      <t>）合营企业或联营企业的主要财务信息</t>
    </r>
  </si>
  <si>
    <t>期末余额或本期发生额</t>
  </si>
  <si>
    <t>流动资产</t>
  </si>
  <si>
    <t>非流动资产</t>
  </si>
  <si>
    <t>资产合计</t>
  </si>
  <si>
    <t>流动负债</t>
  </si>
  <si>
    <t>非流动负债</t>
  </si>
  <si>
    <t>净资产</t>
  </si>
  <si>
    <t>按持股比例计算的净资产份额</t>
  </si>
  <si>
    <t>调整事项</t>
  </si>
  <si>
    <t>对联营企业权益投资的账面价值</t>
  </si>
  <si>
    <t>存在公开报价的权益投资的公允价值</t>
  </si>
  <si>
    <t>综合收益总额</t>
  </si>
  <si>
    <t>收到的来自联营企业的股利</t>
  </si>
  <si>
    <t>合营企业　接上表：</t>
  </si>
  <si>
    <t>期初余额或上期发生额（2014年1-12月）</t>
  </si>
  <si>
    <t>期初与期末权益变动勾稽</t>
  </si>
  <si>
    <t>联营企业　接上表：</t>
  </si>
  <si>
    <t>（3）合营企业、联营企业的重要会计政策、会计估计与公司的会计政策、会计估计存在重大差异的说明：</t>
  </si>
  <si>
    <t>说明1</t>
  </si>
  <si>
    <t>说明2</t>
  </si>
  <si>
    <r>
      <rPr>
        <b/>
        <sz val="9"/>
        <rFont val="宋体"/>
        <charset val="134"/>
      </rPr>
      <t>（六十四）其他综合收益</t>
    </r>
    <r>
      <rPr>
        <b/>
        <sz val="9"/>
        <rFont val="Arial Narrow"/>
        <charset val="134"/>
      </rPr>
      <t>-</t>
    </r>
    <r>
      <rPr>
        <b/>
        <sz val="9"/>
        <rFont val="宋体"/>
        <charset val="134"/>
      </rPr>
      <t>披露表</t>
    </r>
  </si>
  <si>
    <t>本期所得税前发生额</t>
  </si>
  <si>
    <t>减：前期计入其他综合收益当期转入损益</t>
  </si>
  <si>
    <t>税后归属于母公司</t>
  </si>
  <si>
    <t>税后归属于少数股东</t>
  </si>
  <si>
    <t>一、以后不能重分类进损益的其他综合收益</t>
  </si>
  <si>
    <t>其中：重新计算设定受益计划净负债和净资产的变动</t>
  </si>
  <si>
    <t>　　　权益法下在被投资单位不能重分类进损益的其他综合收益中享有的份额</t>
  </si>
  <si>
    <t>二、以后将重分类进损益的其他综合收益</t>
  </si>
  <si>
    <t>其中：权益法下在被投资单位以后将重分类进损益的其他综合收益中享有的份额</t>
  </si>
  <si>
    <t>　　　可供出售金融资产公允价值变动损益</t>
  </si>
  <si>
    <t>　　　持有至到期投资重分类为可供出售金融资产损益</t>
  </si>
  <si>
    <t>　　　现金流量套期损益的有效部分</t>
  </si>
  <si>
    <t>　　　外币财务报表折算差额</t>
  </si>
  <si>
    <t>其他综合收益合计</t>
  </si>
  <si>
    <r>
      <rPr>
        <sz val="9"/>
        <rFont val="Arial Narrow"/>
        <charset val="134"/>
      </rPr>
      <t>注：期初余额、期末余额对应资产负债表中的其他综合收益项目。期初余额</t>
    </r>
    <r>
      <rPr>
        <sz val="9"/>
        <rFont val="Times New Roman"/>
        <charset val="134"/>
      </rPr>
      <t>+</t>
    </r>
    <r>
      <rPr>
        <sz val="9"/>
        <rFont val="宋体"/>
        <charset val="134"/>
      </rPr>
      <t>税后归属于母公司的其他综合收益</t>
    </r>
    <r>
      <rPr>
        <sz val="9"/>
        <rFont val="Times New Roman"/>
        <charset val="134"/>
      </rPr>
      <t>=</t>
    </r>
    <r>
      <rPr>
        <sz val="9"/>
        <rFont val="宋体"/>
        <charset val="134"/>
      </rPr>
      <t>期末余额。本期发生额对应利润表中的其他综合收益项目，本期所得税前发生额</t>
    </r>
    <r>
      <rPr>
        <sz val="9"/>
        <rFont val="Times New Roman"/>
        <charset val="134"/>
      </rPr>
      <t>-</t>
    </r>
    <r>
      <rPr>
        <sz val="9"/>
        <rFont val="宋体"/>
        <charset val="134"/>
      </rPr>
      <t>前期计入其他综合收益当期转入损益</t>
    </r>
    <r>
      <rPr>
        <sz val="9"/>
        <rFont val="Times New Roman"/>
        <charset val="134"/>
      </rPr>
      <t>-</t>
    </r>
    <r>
      <rPr>
        <sz val="9"/>
        <rFont val="宋体"/>
        <charset val="134"/>
      </rPr>
      <t>所得税费用</t>
    </r>
    <r>
      <rPr>
        <sz val="9"/>
        <rFont val="Times New Roman"/>
        <charset val="134"/>
      </rPr>
      <t>=</t>
    </r>
    <r>
      <rPr>
        <sz val="9"/>
        <rFont val="宋体"/>
        <charset val="134"/>
      </rPr>
      <t>税后归属于母公司的其他综合收益</t>
    </r>
    <r>
      <rPr>
        <sz val="9"/>
        <rFont val="Times New Roman"/>
        <charset val="134"/>
      </rPr>
      <t>+</t>
    </r>
    <r>
      <rPr>
        <sz val="9"/>
        <rFont val="宋体"/>
        <charset val="134"/>
      </rPr>
      <t>税后归属于少数股东的其他综合收益。</t>
    </r>
  </si>
  <si>
    <t>其他说明，包括对现金流量套期损益的有效部分转为被套期项目初始确认金额调整：</t>
  </si>
  <si>
    <t>其他说明：</t>
  </si>
  <si>
    <t>审定报表</t>
  </si>
  <si>
    <r>
      <rPr>
        <b/>
        <sz val="9"/>
        <rFont val="宋体"/>
        <charset val="134"/>
      </rPr>
      <t>（六十五）持有待售资产</t>
    </r>
    <r>
      <rPr>
        <b/>
        <sz val="9"/>
        <rFont val="Arial Narrow"/>
        <charset val="134"/>
      </rPr>
      <t>-</t>
    </r>
    <r>
      <rPr>
        <b/>
        <sz val="9"/>
        <rFont val="宋体"/>
        <charset val="134"/>
      </rPr>
      <t>披露表</t>
    </r>
  </si>
  <si>
    <r>
      <rPr>
        <b/>
        <sz val="9"/>
        <rFont val="宋体"/>
        <charset val="134"/>
      </rPr>
      <t>（六十六）持有待售负债</t>
    </r>
    <r>
      <rPr>
        <b/>
        <sz val="9"/>
        <rFont val="Arial Narrow"/>
        <charset val="134"/>
      </rPr>
      <t>-</t>
    </r>
    <r>
      <rPr>
        <b/>
        <sz val="9"/>
        <rFont val="宋体"/>
        <charset val="134"/>
      </rPr>
      <t>披露表</t>
    </r>
  </si>
  <si>
    <t>（六十七）一年内到期的非流动资产</t>
  </si>
  <si>
    <t>未实现融资收益（一年内）</t>
  </si>
  <si>
    <t>（六十八）资产处置收益</t>
  </si>
  <si>
    <t>（六十九）其他收益</t>
  </si>
  <si>
    <r>
      <rPr>
        <b/>
        <sz val="9"/>
        <rFont val="宋体"/>
        <charset val="134"/>
      </rPr>
      <t>（七十）库存股</t>
    </r>
    <r>
      <rPr>
        <b/>
        <sz val="9"/>
        <rFont val="Arial Narrow"/>
        <charset val="134"/>
      </rPr>
      <t>-</t>
    </r>
    <r>
      <rPr>
        <b/>
        <sz val="9"/>
        <rFont val="宋体"/>
        <charset val="134"/>
      </rPr>
      <t>披露表</t>
    </r>
  </si>
  <si>
    <t>上年报表附注合并用粘贴处</t>
  </si>
  <si>
    <t>2014年12月31日天职审定</t>
  </si>
  <si>
    <t>加元</t>
  </si>
  <si>
    <t>增加项目1-发出商品</t>
  </si>
  <si>
    <t xml:space="preserve">    其中：房屋及建筑物</t>
  </si>
  <si>
    <t>1、土地使用权</t>
  </si>
  <si>
    <t>2、软件</t>
  </si>
  <si>
    <t>3、专利权</t>
  </si>
  <si>
    <t>4、其它</t>
  </si>
  <si>
    <t>6、确认预计负债</t>
  </si>
  <si>
    <t>7、内部交易未实现损益</t>
  </si>
  <si>
    <t>质押+保证借款</t>
  </si>
  <si>
    <t>抵押+保证借款</t>
  </si>
  <si>
    <t>类别1--永磁铁氧体</t>
  </si>
  <si>
    <t>类别2--软磁铁氧体</t>
  </si>
  <si>
    <t>类别3--稀土永磁</t>
  </si>
  <si>
    <t>类别4--电机</t>
  </si>
  <si>
    <t>类别5--电线电缆</t>
  </si>
  <si>
    <t>类别6--模具及配件</t>
  </si>
  <si>
    <t>类别7--贸易品</t>
  </si>
  <si>
    <t>类别8--物流服务</t>
  </si>
  <si>
    <t>类别9--其他</t>
  </si>
  <si>
    <t>地区1--国内销售</t>
  </si>
  <si>
    <t>地区2--国外销售</t>
  </si>
  <si>
    <t>地区3--港澳台销售</t>
  </si>
  <si>
    <t>地方教育费附加</t>
  </si>
  <si>
    <t>堤围费</t>
  </si>
  <si>
    <t xml:space="preserve">                      其他科目1-预付款项引起汇兑损益</t>
  </si>
  <si>
    <t xml:space="preserve">                      其他科目2--预付款项引起汇兑损益</t>
  </si>
  <si>
    <t>减：利息收入</t>
  </si>
  <si>
    <t>二.汇兑损益明细：</t>
  </si>
  <si>
    <t>外币报表折算</t>
  </si>
  <si>
    <t>货币资金—外币汇兑损益</t>
  </si>
  <si>
    <t>借款—外币汇兑损益</t>
  </si>
  <si>
    <t>利息支出—外币汇兑损益</t>
  </si>
  <si>
    <t>应收—外币汇兑损益</t>
  </si>
  <si>
    <t>其他应收—外币汇兑损益</t>
  </si>
  <si>
    <t>应付—外币汇兑损益</t>
  </si>
  <si>
    <t>其他应付—外币汇兑损益</t>
  </si>
  <si>
    <t>1．非流动资产处置利得合计</t>
  </si>
  <si>
    <t>其中：固定资产处置利得</t>
  </si>
  <si>
    <t xml:space="preserve">      无形资产处置利得</t>
  </si>
  <si>
    <t>2．债务重组利得</t>
  </si>
  <si>
    <t>3．非货币性资产交换利得</t>
  </si>
  <si>
    <t>4、债务重组利得</t>
  </si>
  <si>
    <t xml:space="preserve">5、接受捐赠  </t>
  </si>
  <si>
    <t>6、政府补助</t>
  </si>
  <si>
    <t>7、盘盈利得</t>
  </si>
  <si>
    <t>8、其他</t>
  </si>
  <si>
    <t>其中:非同一控制下企业合并利得</t>
  </si>
  <si>
    <t>1．非流动资产处置损失合计</t>
  </si>
  <si>
    <t>其中：固定资产处置损失</t>
  </si>
  <si>
    <t xml:space="preserve">      无形资产处置损失</t>
  </si>
  <si>
    <t>2．债务重组损失</t>
  </si>
  <si>
    <t>3．非货币性资产交换损失</t>
  </si>
  <si>
    <t>4．公益性对外捐赠</t>
  </si>
  <si>
    <t>5．罚款支出</t>
  </si>
  <si>
    <t>6．盘亏损失</t>
  </si>
  <si>
    <t>7．其他</t>
  </si>
  <si>
    <t>其中:非公益性捐赠支出</t>
  </si>
  <si>
    <t>（六十六）收到或支付的其他与经营活动有关的现金（上期可不填）</t>
  </si>
  <si>
    <t>职工薪酬</t>
  </si>
  <si>
    <t>研发费</t>
  </si>
  <si>
    <t>机物料</t>
  </si>
  <si>
    <t>办公费</t>
  </si>
  <si>
    <t>税金</t>
  </si>
  <si>
    <t>业务费</t>
  </si>
  <si>
    <t>折旧与摊销</t>
  </si>
  <si>
    <t>差旅费</t>
  </si>
  <si>
    <t>中介机构费</t>
  </si>
  <si>
    <t>保险费</t>
  </si>
  <si>
    <t>其他费用</t>
  </si>
  <si>
    <t xml:space="preserve">运输费及物料消耗 </t>
  </si>
  <si>
    <t xml:space="preserve">业务费 </t>
  </si>
  <si>
    <t xml:space="preserve">差旅费 </t>
  </si>
  <si>
    <t xml:space="preserve">折旧 </t>
  </si>
  <si>
    <t xml:space="preserve">办公费 </t>
  </si>
  <si>
    <t xml:space="preserve">其他 </t>
  </si>
  <si>
    <t>（八十八）管理费用</t>
  </si>
  <si>
    <t>返回利润表</t>
  </si>
  <si>
    <t>汇总</t>
  </si>
  <si>
    <t>(1)管理费用明细项列示</t>
  </si>
  <si>
    <t>2014年</t>
  </si>
  <si>
    <t>公司名称</t>
  </si>
  <si>
    <t>管理费用-披露项目</t>
  </si>
  <si>
    <t>本年金额</t>
  </si>
  <si>
    <t>账上各明细项目列示</t>
  </si>
  <si>
    <t>科目代码</t>
  </si>
  <si>
    <r>
      <rPr>
        <sz val="9"/>
        <color indexed="8"/>
        <rFont val="Times New Roman"/>
        <charset val="134"/>
      </rPr>
      <t>本期实际数</t>
    </r>
  </si>
  <si>
    <t>同比变动幅度</t>
  </si>
  <si>
    <t>变动分析</t>
  </si>
  <si>
    <t>本期-其中所含关联方数</t>
  </si>
  <si>
    <t>上期-其中所含关联方数</t>
  </si>
  <si>
    <t>披露项请不用动</t>
  </si>
  <si>
    <t xml:space="preserve">  职工薪酬</t>
  </si>
  <si>
    <t>6602001</t>
  </si>
  <si>
    <t xml:space="preserve">    工资</t>
  </si>
  <si>
    <t>6602001001</t>
  </si>
  <si>
    <t xml:space="preserve">    奖金</t>
  </si>
  <si>
    <t>6602001002</t>
  </si>
  <si>
    <t xml:space="preserve">    劳动保险费</t>
  </si>
  <si>
    <t>6602001003</t>
  </si>
  <si>
    <t xml:space="preserve">    住房公积金</t>
  </si>
  <si>
    <t>6602001004</t>
  </si>
  <si>
    <t xml:space="preserve">    职工福利费</t>
  </si>
  <si>
    <t>6602001005</t>
  </si>
  <si>
    <t xml:space="preserve">      医药费</t>
  </si>
  <si>
    <t>660200100501</t>
  </si>
  <si>
    <t xml:space="preserve">      工伤医疗费</t>
  </si>
  <si>
    <t>660200100502</t>
  </si>
  <si>
    <t xml:space="preserve">      福利费</t>
  </si>
  <si>
    <t>660200100503</t>
  </si>
  <si>
    <t xml:space="preserve">    工会经费</t>
  </si>
  <si>
    <t>6602001006</t>
  </si>
  <si>
    <t xml:space="preserve">    职工教育费</t>
  </si>
  <si>
    <t>6602001007</t>
  </si>
  <si>
    <t xml:space="preserve">    非货币性福利</t>
  </si>
  <si>
    <t>6602001008</t>
  </si>
  <si>
    <t xml:space="preserve">    辞退补偿</t>
  </si>
  <si>
    <t>6602001009</t>
  </si>
  <si>
    <t xml:space="preserve">  办公费</t>
  </si>
  <si>
    <t>6602002</t>
  </si>
  <si>
    <t xml:space="preserve">  通讯费</t>
  </si>
  <si>
    <t>6602003</t>
  </si>
  <si>
    <t xml:space="preserve">  业务招待费</t>
  </si>
  <si>
    <t>6602004</t>
  </si>
  <si>
    <t xml:space="preserve">  差旅费</t>
  </si>
  <si>
    <t>6602005</t>
  </si>
  <si>
    <t xml:space="preserve">  折旧费</t>
  </si>
  <si>
    <t>6602006</t>
  </si>
  <si>
    <t xml:space="preserve">  租赁费</t>
  </si>
  <si>
    <t>6602007</t>
  </si>
  <si>
    <t xml:space="preserve">  保险费</t>
  </si>
  <si>
    <t>6602008</t>
  </si>
  <si>
    <t xml:space="preserve">  税金</t>
  </si>
  <si>
    <t>6602009</t>
  </si>
  <si>
    <t xml:space="preserve">    房产税</t>
  </si>
  <si>
    <t>6602009001</t>
  </si>
  <si>
    <t xml:space="preserve">    土地税</t>
  </si>
  <si>
    <t>6602009002</t>
  </si>
  <si>
    <t xml:space="preserve">    车船使用税</t>
  </si>
  <si>
    <t>6602009003</t>
  </si>
  <si>
    <t xml:space="preserve">    印花税</t>
  </si>
  <si>
    <t>6602009004</t>
  </si>
  <si>
    <t xml:space="preserve">      购销合同印花税</t>
  </si>
  <si>
    <t>660200900401</t>
  </si>
  <si>
    <t xml:space="preserve">      技术合同印花税</t>
  </si>
  <si>
    <t>660200900402</t>
  </si>
  <si>
    <t xml:space="preserve">      其他印花税</t>
  </si>
  <si>
    <t>660200900403</t>
  </si>
  <si>
    <t xml:space="preserve">  物料消耗</t>
  </si>
  <si>
    <t>6602010</t>
  </si>
  <si>
    <t xml:space="preserve">  排污费</t>
  </si>
  <si>
    <t>6602011</t>
  </si>
  <si>
    <t xml:space="preserve">  摊销</t>
  </si>
  <si>
    <t>6602012</t>
  </si>
  <si>
    <t>6602012001</t>
  </si>
  <si>
    <t xml:space="preserve">    其他摊销</t>
  </si>
  <si>
    <t>6602012002</t>
  </si>
  <si>
    <t xml:space="preserve">  维修检测费</t>
  </si>
  <si>
    <t>6602013</t>
  </si>
  <si>
    <t xml:space="preserve">  技术转让费及专利费</t>
  </si>
  <si>
    <t>6602014</t>
  </si>
  <si>
    <t xml:space="preserve">  中介费用</t>
  </si>
  <si>
    <t>6602015</t>
  </si>
  <si>
    <t xml:space="preserve">    评估费</t>
  </si>
  <si>
    <t>6602015001</t>
  </si>
  <si>
    <t xml:space="preserve">    会计审计费</t>
  </si>
  <si>
    <t>6602015002</t>
  </si>
  <si>
    <t xml:space="preserve">    税务审计费</t>
  </si>
  <si>
    <t>6602015003</t>
  </si>
  <si>
    <t xml:space="preserve">    银行顾问咨询费</t>
  </si>
  <si>
    <t>6602015004</t>
  </si>
  <si>
    <t xml:space="preserve">    其他咨询费</t>
  </si>
  <si>
    <t>6602015005</t>
  </si>
  <si>
    <t xml:space="preserve">  研发费</t>
  </si>
  <si>
    <t>6602016</t>
  </si>
  <si>
    <t xml:space="preserve">    职工薪酬</t>
  </si>
  <si>
    <t>6602016001</t>
  </si>
  <si>
    <t xml:space="preserve">      工资</t>
  </si>
  <si>
    <t>660201600101</t>
  </si>
  <si>
    <t xml:space="preserve">      奖金</t>
  </si>
  <si>
    <t>660201600102</t>
  </si>
  <si>
    <t xml:space="preserve">      劳动保险费</t>
  </si>
  <si>
    <t>660201600103</t>
  </si>
  <si>
    <t xml:space="preserve">      住房公积金</t>
  </si>
  <si>
    <t>660201600104</t>
  </si>
  <si>
    <t xml:space="preserve">      职工福利费</t>
  </si>
  <si>
    <t>660201600105</t>
  </si>
  <si>
    <t xml:space="preserve">      工会经费</t>
  </si>
  <si>
    <t>660201600106</t>
  </si>
  <si>
    <t xml:space="preserve">      职工教育费</t>
  </si>
  <si>
    <t>660201600107</t>
  </si>
  <si>
    <t xml:space="preserve">    办公费</t>
  </si>
  <si>
    <t>6602016002</t>
  </si>
  <si>
    <t xml:space="preserve">    通讯费</t>
  </si>
  <si>
    <t>6602016003</t>
  </si>
  <si>
    <t xml:space="preserve">    差旅费</t>
  </si>
  <si>
    <t>6602016004</t>
  </si>
  <si>
    <t xml:space="preserve">    业务招待费</t>
  </si>
  <si>
    <t>6602016005</t>
  </si>
  <si>
    <t xml:space="preserve">    折旧费</t>
  </si>
  <si>
    <t>6602016006</t>
  </si>
  <si>
    <t xml:space="preserve">    租赁费用</t>
  </si>
  <si>
    <t>6602016007</t>
  </si>
  <si>
    <t xml:space="preserve">    保险费</t>
  </si>
  <si>
    <t>6602016008</t>
  </si>
  <si>
    <t xml:space="preserve">    税金</t>
  </si>
  <si>
    <t>6602016009</t>
  </si>
  <si>
    <t xml:space="preserve">    物料消耗</t>
  </si>
  <si>
    <t>6602016010</t>
  </si>
  <si>
    <t xml:space="preserve">    汽车费用</t>
  </si>
  <si>
    <t>6602016011</t>
  </si>
  <si>
    <t xml:space="preserve">    摊销</t>
  </si>
  <si>
    <t>6602016012</t>
  </si>
  <si>
    <t xml:space="preserve">    维修检测费</t>
  </si>
  <si>
    <t>6602016013</t>
  </si>
  <si>
    <t xml:space="preserve">    技术转让费及专利费</t>
  </si>
  <si>
    <t>6602016014</t>
  </si>
  <si>
    <t xml:space="preserve">    咨询\审计费</t>
  </si>
  <si>
    <t>6602016015</t>
  </si>
  <si>
    <t xml:space="preserve">    原材料</t>
  </si>
  <si>
    <t>6602016016</t>
  </si>
  <si>
    <t xml:space="preserve">    动力</t>
  </si>
  <si>
    <t>6602016017</t>
  </si>
  <si>
    <t xml:space="preserve">    试制费</t>
  </si>
  <si>
    <t>6602016018</t>
  </si>
  <si>
    <t xml:space="preserve">    其他研发费用</t>
  </si>
  <si>
    <t>6602016019</t>
  </si>
  <si>
    <t xml:space="preserve">  残疾人保障金</t>
  </si>
  <si>
    <t>6602017</t>
  </si>
  <si>
    <t xml:space="preserve">  车辆费用</t>
  </si>
  <si>
    <t>6602018</t>
  </si>
  <si>
    <t xml:space="preserve">  董事会费用</t>
  </si>
  <si>
    <t>6602019</t>
  </si>
  <si>
    <t xml:space="preserve">  其他管理费用</t>
  </si>
  <si>
    <t>6602020</t>
  </si>
  <si>
    <t>备注1</t>
  </si>
  <si>
    <t>备注2</t>
  </si>
  <si>
    <t>备注3</t>
  </si>
  <si>
    <t>备注4</t>
  </si>
  <si>
    <t>（八十九）销售费用</t>
  </si>
  <si>
    <t>(1)销售费用明细项列示</t>
  </si>
  <si>
    <t>销售费用-披露项目</t>
  </si>
  <si>
    <t>6601001</t>
  </si>
  <si>
    <t>6601001001</t>
  </si>
  <si>
    <t>6601001002</t>
  </si>
  <si>
    <t>6601001003</t>
  </si>
  <si>
    <t>6601001004</t>
  </si>
  <si>
    <t>6601001005</t>
  </si>
  <si>
    <t>660100100501</t>
  </si>
  <si>
    <t>660100100502</t>
  </si>
  <si>
    <t xml:space="preserve">      其他福利费</t>
  </si>
  <si>
    <t>660100100503</t>
  </si>
  <si>
    <t>6601001006</t>
  </si>
  <si>
    <t>6601001007</t>
  </si>
  <si>
    <t>6601001008</t>
  </si>
  <si>
    <t>6601001009</t>
  </si>
  <si>
    <t>6601002</t>
  </si>
  <si>
    <t>6601003</t>
  </si>
  <si>
    <t>6601004</t>
  </si>
  <si>
    <t>6601005</t>
  </si>
  <si>
    <t>6601006</t>
  </si>
  <si>
    <t xml:space="preserve">  租赁费用</t>
  </si>
  <si>
    <t>6601007</t>
  </si>
  <si>
    <t>6601008</t>
  </si>
  <si>
    <t xml:space="preserve">  车船税</t>
  </si>
  <si>
    <t>6601009</t>
  </si>
  <si>
    <t>6601010</t>
  </si>
  <si>
    <t xml:space="preserve">  展览会议费</t>
  </si>
  <si>
    <t>6601011</t>
  </si>
  <si>
    <t xml:space="preserve">  运输费</t>
  </si>
  <si>
    <t>6601012</t>
  </si>
  <si>
    <t>6601013</t>
  </si>
  <si>
    <t xml:space="preserve">  服务费及佣金</t>
  </si>
  <si>
    <t>6601014</t>
  </si>
  <si>
    <t xml:space="preserve">    人民币</t>
  </si>
  <si>
    <t>6601014001</t>
  </si>
  <si>
    <t xml:space="preserve">    港币</t>
  </si>
  <si>
    <t>6601014002</t>
  </si>
  <si>
    <t xml:space="preserve">    美金</t>
  </si>
  <si>
    <t>6601014003</t>
  </si>
  <si>
    <t>6601015</t>
  </si>
  <si>
    <t>6601015001</t>
  </si>
  <si>
    <t>6601016</t>
  </si>
  <si>
    <t xml:space="preserve">  报关费</t>
  </si>
  <si>
    <t>6601017</t>
  </si>
  <si>
    <t xml:space="preserve">  其他销售费用</t>
  </si>
  <si>
    <t>6601018</t>
  </si>
  <si>
    <t>下表数据汇总</t>
  </si>
  <si>
    <t>一、短期借款</t>
  </si>
  <si>
    <t>借款银行（全名，与合同的名称一致）</t>
  </si>
  <si>
    <t>借款类别     (请选择)</t>
  </si>
  <si>
    <t>年利率(%)</t>
  </si>
  <si>
    <t>借款用途</t>
  </si>
  <si>
    <t>借款保证人（适用于保证借款）</t>
  </si>
  <si>
    <t>质押、抵押情况、及受限标的物期末净额</t>
  </si>
  <si>
    <t>应计提天数测算</t>
  </si>
  <si>
    <t>计提应付利息测算</t>
  </si>
  <si>
    <t>应付利息-报表数</t>
  </si>
  <si>
    <t>差额</t>
  </si>
  <si>
    <t>二、长期借款（包括一年内到期的长期借款）</t>
  </si>
  <si>
    <t>借款余额（包括一年内到期）</t>
  </si>
  <si>
    <t>列示在“长期借款”的余额</t>
  </si>
  <si>
    <t>列示在“一年内到期的非流动负债”余额</t>
  </si>
  <si>
    <t>保证人（适用于保证借款）</t>
  </si>
  <si>
    <t>非经常性损益项目</t>
  </si>
  <si>
    <t>投资收益-理财产品收入</t>
  </si>
  <si>
    <t>新增项目1-</t>
  </si>
  <si>
    <t>新增项目2-</t>
  </si>
  <si>
    <t>新增项目3-</t>
  </si>
  <si>
    <t>非经常性损益金额</t>
  </si>
  <si>
    <t>税率</t>
  </si>
  <si>
    <t>不影响所得税金额（上述事项中的纳税调增调减事项）</t>
  </si>
  <si>
    <t>非经常损益所得税影响额</t>
  </si>
  <si>
    <t>扣除所得税影响后的非经常性损益合计</t>
  </si>
  <si>
    <t>江粉持股比例</t>
  </si>
  <si>
    <t>其中：归属于母公司的非经常性损益</t>
  </si>
  <si>
    <t>其中：归属于少数股东的非经常性损益</t>
  </si>
  <si>
    <r>
      <rPr>
        <b/>
        <sz val="9"/>
        <rFont val="宋体"/>
        <charset val="134"/>
      </rPr>
      <t>当期所得税费用测算底稿：</t>
    </r>
  </si>
  <si>
    <t>业务招待费*60%</t>
  </si>
  <si>
    <r>
      <rPr>
        <sz val="9"/>
        <rFont val="宋体"/>
        <charset val="134"/>
      </rPr>
      <t>营业收入</t>
    </r>
    <r>
      <rPr>
        <sz val="9"/>
        <rFont val="Arial Narrow"/>
        <charset val="134"/>
      </rPr>
      <t>*0.5%</t>
    </r>
  </si>
  <si>
    <r>
      <rPr>
        <sz val="9"/>
        <rFont val="宋体"/>
        <charset val="134"/>
      </rPr>
      <t>工资薪金总额的</t>
    </r>
    <r>
      <rPr>
        <sz val="9"/>
        <rFont val="Arial Narrow"/>
        <charset val="134"/>
      </rPr>
      <t>14%</t>
    </r>
  </si>
  <si>
    <r>
      <rPr>
        <b/>
        <sz val="9"/>
        <rFont val="宋体"/>
        <charset val="134"/>
      </rPr>
      <t>利润总额</t>
    </r>
  </si>
  <si>
    <r>
      <rPr>
        <b/>
        <sz val="9"/>
        <rFont val="宋体"/>
        <charset val="134"/>
      </rPr>
      <t>纳税调增项目：</t>
    </r>
  </si>
  <si>
    <r>
      <rPr>
        <sz val="9"/>
        <rFont val="宋体"/>
        <charset val="134"/>
      </rPr>
      <t>超标业务费</t>
    </r>
  </si>
  <si>
    <r>
      <rPr>
        <sz val="9"/>
        <rFont val="宋体"/>
        <charset val="134"/>
      </rPr>
      <t>资产减值准备（期末资产减值准备</t>
    </r>
    <r>
      <rPr>
        <sz val="9"/>
        <rFont val="Arial Narrow"/>
        <charset val="134"/>
      </rPr>
      <t>-</t>
    </r>
    <r>
      <rPr>
        <sz val="9"/>
        <rFont val="宋体"/>
        <charset val="134"/>
      </rPr>
      <t>期初资产减值准备）</t>
    </r>
  </si>
  <si>
    <t>资产评估增值折旧（仅适用于非同一控制下的资产评估增值的公司）</t>
  </si>
  <si>
    <t>赞助费</t>
  </si>
  <si>
    <r>
      <rPr>
        <sz val="9"/>
        <rFont val="宋体"/>
        <charset val="134"/>
      </rPr>
      <t>罚款</t>
    </r>
  </si>
  <si>
    <t>财产损失（如报废存货、处置固定资产损失）</t>
  </si>
  <si>
    <t>未付工资（历年税审调整了未付工资才进行调整，否则不调整该项）</t>
  </si>
  <si>
    <t>其他纳税调增事项：</t>
  </si>
  <si>
    <r>
      <rPr>
        <b/>
        <sz val="9"/>
        <rFont val="宋体"/>
        <charset val="134"/>
      </rPr>
      <t>纳税调减项目：</t>
    </r>
  </si>
  <si>
    <r>
      <rPr>
        <sz val="9"/>
        <rFont val="宋体"/>
        <charset val="134"/>
      </rPr>
      <t>子公司分红</t>
    </r>
  </si>
  <si>
    <r>
      <rPr>
        <sz val="9"/>
        <rFont val="宋体"/>
        <charset val="134"/>
      </rPr>
      <t>权益法核算的长期股权投资收益</t>
    </r>
  </si>
  <si>
    <r>
      <rPr>
        <sz val="9"/>
        <rFont val="宋体"/>
        <charset val="134"/>
      </rPr>
      <t>其他投资分红</t>
    </r>
  </si>
  <si>
    <r>
      <rPr>
        <sz val="9"/>
        <rFont val="宋体"/>
        <charset val="134"/>
      </rPr>
      <t>其他纳税调减事项</t>
    </r>
  </si>
  <si>
    <r>
      <rPr>
        <b/>
        <sz val="9"/>
        <rFont val="宋体"/>
        <charset val="134"/>
      </rPr>
      <t>应纳税所得额</t>
    </r>
  </si>
  <si>
    <t>注：由于年审数据需要与税审数据保持一致，因此请审计数据确定后，要求子公司财务把审定数据给税审师确定税审结果。最终该表需修正成与税审结果一致。</t>
  </si>
  <si>
    <t>如子公司无需税审则按照上表测算结果进行测算。</t>
  </si>
  <si>
    <r>
      <rPr>
        <b/>
        <sz val="9"/>
        <rFont val="宋体"/>
        <charset val="134"/>
      </rPr>
      <t>（</t>
    </r>
    <r>
      <rPr>
        <b/>
        <sz val="9"/>
        <rFont val="Arial Narrow"/>
        <charset val="134"/>
      </rPr>
      <t>1</t>
    </r>
    <r>
      <rPr>
        <b/>
        <sz val="9"/>
        <rFont val="宋体"/>
        <charset val="134"/>
      </rPr>
      <t>）其中集团关联方数据</t>
    </r>
  </si>
  <si>
    <r>
      <rPr>
        <b/>
        <sz val="9"/>
        <rFont val="宋体"/>
        <charset val="134"/>
      </rPr>
      <t>（</t>
    </r>
    <r>
      <rPr>
        <b/>
        <sz val="9"/>
        <rFont val="Arial Narrow"/>
        <charset val="134"/>
      </rPr>
      <t>2</t>
    </r>
    <r>
      <rPr>
        <b/>
        <sz val="9"/>
        <rFont val="宋体"/>
        <charset val="134"/>
      </rPr>
      <t>）集团非关联方投资性房地产数据</t>
    </r>
  </si>
  <si>
    <t>计算过程</t>
  </si>
  <si>
    <t>XX公司</t>
  </si>
  <si>
    <t>1、本期处置本期收入现金流</t>
  </si>
  <si>
    <t>处置原值</t>
  </si>
  <si>
    <t>a</t>
  </si>
  <si>
    <t>b</t>
  </si>
  <si>
    <t>c=a-b</t>
  </si>
  <si>
    <t>处置收入</t>
  </si>
  <si>
    <t>d</t>
  </si>
  <si>
    <t>处置税费</t>
  </si>
  <si>
    <t>e</t>
  </si>
  <si>
    <t>处置其他服务费</t>
  </si>
  <si>
    <t>f</t>
  </si>
  <si>
    <t>处置净现金流入</t>
  </si>
  <si>
    <t>g=d-e-f</t>
  </si>
  <si>
    <t>营业外收支</t>
  </si>
  <si>
    <t>h=g-c</t>
  </si>
  <si>
    <t>也有可能是营业外收入，如是，特别说明。</t>
  </si>
  <si>
    <t>2、上期处置本期收入现金流</t>
  </si>
  <si>
    <t>i</t>
  </si>
  <si>
    <t>处置固定资产、无形资产和其他长期资产收回的现金净额合计</t>
  </si>
  <si>
    <t>j=i+g</t>
  </si>
  <si>
    <t>附注-营业外支出-处置非流动资产的损失</t>
  </si>
  <si>
    <t>附注-处置固定资产、无形资产和其他长期资产收回的现金净额</t>
  </si>
  <si>
    <t>营业外支出差异</t>
  </si>
  <si>
    <t>处置固定资产、无形资产和其他长期资产收回的现金净额差异</t>
  </si>
  <si>
    <t>一、内部往来统计</t>
  </si>
  <si>
    <t>资产类：</t>
  </si>
  <si>
    <t>资产情况</t>
  </si>
  <si>
    <t>坏帐准备</t>
  </si>
  <si>
    <t>是否与对方单位对帐</t>
  </si>
  <si>
    <t>对帐后差异及其原因</t>
  </si>
  <si>
    <t>年初账龄</t>
  </si>
  <si>
    <t>本公司名称</t>
  </si>
  <si>
    <t>对方公司名称</t>
  </si>
  <si>
    <t>会计科目</t>
  </si>
  <si>
    <t>1年以内</t>
  </si>
  <si>
    <t>1－2年</t>
  </si>
  <si>
    <t>2－3年</t>
  </si>
  <si>
    <r>
      <rPr>
        <b/>
        <sz val="10"/>
        <color rgb="FFFF0000"/>
        <rFont val="宋体"/>
        <charset val="134"/>
      </rPr>
      <t>3－4年</t>
    </r>
  </si>
  <si>
    <r>
      <rPr>
        <b/>
        <sz val="10"/>
        <color rgb="FFFF0000"/>
        <rFont val="宋体"/>
        <charset val="134"/>
      </rPr>
      <t>4－5年</t>
    </r>
  </si>
  <si>
    <t>本年计提</t>
  </si>
  <si>
    <t>负债类：</t>
  </si>
  <si>
    <t>负债情况</t>
  </si>
  <si>
    <t>二、现金流量抵销事项</t>
  </si>
  <si>
    <t>本单位名称</t>
  </si>
  <si>
    <t>(空白)</t>
  </si>
  <si>
    <t xml:space="preserve">贷方 </t>
  </si>
  <si>
    <t>行标签</t>
  </si>
  <si>
    <t>求和项:借方</t>
  </si>
  <si>
    <t xml:space="preserve">求和项:贷方 </t>
  </si>
  <si>
    <t>总计</t>
  </si>
</sst>
</file>

<file path=xl/styles.xml><?xml version="1.0" encoding="utf-8"?>
<styleSheet xmlns="http://schemas.openxmlformats.org/spreadsheetml/2006/main">
  <numFmts count="49">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 numFmtId="177" formatCode="0.00000&quot;  &quot;"/>
    <numFmt numFmtId="178" formatCode="_(&quot;$&quot;* #,##0.00_);_(&quot;$&quot;* \(#,##0.00\);_(&quot;$&quot;* &quot;-&quot;??_);_(@_)"/>
    <numFmt numFmtId="179" formatCode="_ [$€-2]* #,##0.00_ ;_ [$€-2]* \-#,##0.00_ ;_ [$€-2]* &quot;-&quot;??_ "/>
    <numFmt numFmtId="180" formatCode="&quot;\&quot;#,##0;&quot;\&quot;&quot;\&quot;&quot;\&quot;&quot;\&quot;&quot;\&quot;&quot;\&quot;&quot;\&quot;&quot;\&quot;\-#,##0"/>
    <numFmt numFmtId="181" formatCode="#,##0.00;\-#,##0.00;\ "/>
    <numFmt numFmtId="182" formatCode="#,##0.00_ ;[Red]\-#,##0.00\ "/>
    <numFmt numFmtId="183" formatCode="_-* #,##0.00_-;\-* #,##0.00_-;_-* &quot;-&quot;??_-;_-@_-"/>
    <numFmt numFmtId="184" formatCode="&quot;$&quot;#,##0.00_);[Red]&quot;\&quot;&quot;\&quot;&quot;\&quot;&quot;\&quot;&quot;\&quot;&quot;\&quot;&quot;\&quot;&quot;\&quot;&quot;\&quot;&quot;\&quot;&quot;\&quot;&quot;\&quot;&quot;\&quot;&quot;\&quot;&quot;\&quot;&quot;\&quot;&quot;\&quot;&quot;\&quot;&quot;\&quot;&quot;\&quot;&quot;\&quot;&quot;\&quot;&quot;\&quot;\(&quot;$&quot;#,##0.00&quot;\&quot;&quot;\&quot;&quot;\&quot;&quot;\&quot;&quot;\&quot;&quot;\&quot;&quot;\&quot;&quot;\&quot;&quot;\&quot;&quot;\&quot;&quot;\&quot;&quot;\&quot;&quot;\&quot;&quot;\&quot;&quot;\&quot;&quot;\&quot;&quot;\&quot;&quot;\&quot;&quot;\&quot;&quot;\&quot;&quot;\&quot;&quot;\&quot;&quot;\&quot;\)"/>
    <numFmt numFmtId="185" formatCode="_-* #,##0_-;\-* #,##0_-;_-* &quot;-&quot;_-;_-@_-"/>
    <numFmt numFmtId="186" formatCode="0.0000_ "/>
    <numFmt numFmtId="187" formatCode="#,##0_ "/>
    <numFmt numFmtId="188" formatCode="_ * #,##0.0000_ ;_ * \-#,##0.0000_ ;_ * &quot;-&quot;??_ ;_ @_ "/>
    <numFmt numFmtId="189" formatCode="&quot;\&quot;#,##0.00;[Red]&quot;\&quot;\-#,##0.00"/>
    <numFmt numFmtId="190" formatCode="\$#,##0.00;\(\$#,##0.00\)"/>
    <numFmt numFmtId="191" formatCode="#,##0.0_);\(#,##0.0\)"/>
    <numFmt numFmtId="192" formatCode="_-* #,##0.0000000000_-;\-* #,##0.0000000000_-;_-* &quot;-&quot;??_-;_-@_-"/>
    <numFmt numFmtId="193" formatCode="General;General;;"/>
    <numFmt numFmtId="194" formatCode="0.0000%"/>
    <numFmt numFmtId="195" formatCode="\$#,##0;\(\$#,##0\)"/>
    <numFmt numFmtId="196" formatCode="&quot;$&quot;#,##0_);\(&quot;$&quot;#,##0\)"/>
    <numFmt numFmtId="197" formatCode="#,##0;\-#,##0;&quot;-&quot;"/>
    <numFmt numFmtId="198" formatCode="&quot;$&quot;#,##0;[Red]&quot;$&quot;&quot;$&quot;&quot;$&quot;&quot;$&quot;&quot;$&quot;&quot;$&quot;&quot;$&quot;\-#,##0"/>
    <numFmt numFmtId="199" formatCode="yyyy&quot;年&quot;m&quot;月&quot;d&quot;日&quot;;@"/>
    <numFmt numFmtId="200" formatCode="0.00_ "/>
    <numFmt numFmtId="201" formatCode="#,##0.00_ "/>
    <numFmt numFmtId="202" formatCode="_-&quot;$&quot;* #,##0.00_-;\-&quot;$&quot;* #,##0.00_-;_-&quot;$&quot;* &quot;-&quot;??_-;_-@_-"/>
    <numFmt numFmtId="203" formatCode="0.0%"/>
    <numFmt numFmtId="204" formatCode="0.00000_);[Red]\(0.00000\)"/>
    <numFmt numFmtId="205" formatCode="#,##0.00_);#,##0.00\)"/>
    <numFmt numFmtId="206" formatCode="_-* #,##0\ _k_r_-;\-* #,##0\ _k_r_-;_-* &quot;-&quot;\ _k_r_-;_-@_-"/>
    <numFmt numFmtId="207" formatCode="#,##0;\(#,##0\)"/>
    <numFmt numFmtId="208" formatCode="&quot;\&quot;#,##0.00;[Red]&quot;\&quot;&quot;\&quot;&quot;\&quot;&quot;\&quot;&quot;\&quot;&quot;\&quot;\-#,##0.00"/>
    <numFmt numFmtId="209" formatCode="&quot;\&quot;#,##0.00;&quot;\&quot;&quot;\&quot;&quot;\&quot;&quot;\&quot;&quot;\&quot;&quot;\&quot;&quot;\&quot;&quot;\&quot;\-#,##0.00"/>
    <numFmt numFmtId="210" formatCode="_ * #,##0.00_ ;_ * \-#,##0.00_ ;_ * &quot;-&quot;_ ;_ @_ "/>
    <numFmt numFmtId="211" formatCode="0.00000_ "/>
    <numFmt numFmtId="212" formatCode="_-&quot;$&quot;* #,##0_-;\-&quot;$&quot;* #,##0_-;_-&quot;$&quot;* &quot;-&quot;_-;_-@_-"/>
    <numFmt numFmtId="213" formatCode="&quot;\&quot;#,##0;[Red]&quot;\&quot;&quot;\&quot;\-#,##0"/>
    <numFmt numFmtId="214" formatCode="_-* #,##0.00\ _k_r_-;\-* #,##0.00\ _k_r_-;_-* &quot;-&quot;??\ _k_r_-;_-@_-"/>
    <numFmt numFmtId="215" formatCode="\¥#,##0;\-\¥#,##0"/>
    <numFmt numFmtId="216" formatCode="0_);[Red]\(0\)"/>
    <numFmt numFmtId="217" formatCode="0.000%"/>
    <numFmt numFmtId="218" formatCode="_ * #,##0_ ;_ * \-#,##0_ ;_ * &quot;-&quot;??_ ;_ @_ "/>
    <numFmt numFmtId="219" formatCode="&quot;\&quot;#,##0;[Red]&quot;\&quot;\-#,##0"/>
    <numFmt numFmtId="220" formatCode="&quot;$&quot;#,##0.00_);\(&quot;$&quot;#,##0.00\)"/>
  </numFmts>
  <fonts count="189">
    <font>
      <sz val="12"/>
      <name val="宋体"/>
      <charset val="134"/>
    </font>
    <font>
      <sz val="9"/>
      <name val="宋体"/>
      <charset val="134"/>
    </font>
    <font>
      <sz val="10"/>
      <color rgb="FFFF0000"/>
      <name val="宋体"/>
      <charset val="134"/>
    </font>
    <font>
      <sz val="10"/>
      <name val="宋体"/>
      <charset val="134"/>
    </font>
    <font>
      <b/>
      <sz val="10"/>
      <name val="宋体"/>
      <charset val="134"/>
    </font>
    <font>
      <b/>
      <sz val="10"/>
      <color rgb="FFFF0000"/>
      <name val="宋体"/>
      <charset val="134"/>
    </font>
    <font>
      <b/>
      <sz val="9"/>
      <name val="宋体"/>
      <charset val="134"/>
      <scheme val="minor"/>
    </font>
    <font>
      <sz val="9"/>
      <color theme="1"/>
      <name val="宋体"/>
      <charset val="134"/>
      <scheme val="minor"/>
    </font>
    <font>
      <u val="singleAccounting"/>
      <sz val="9"/>
      <color theme="1"/>
      <name val="宋体"/>
      <charset val="134"/>
      <scheme val="minor"/>
    </font>
    <font>
      <u val="singleAccounting"/>
      <sz val="9"/>
      <color rgb="FFFF0000"/>
      <name val="宋体"/>
      <charset val="134"/>
      <scheme val="minor"/>
    </font>
    <font>
      <u val="doubleAccounting"/>
      <sz val="9"/>
      <color theme="1"/>
      <name val="宋体"/>
      <charset val="134"/>
      <scheme val="minor"/>
    </font>
    <font>
      <sz val="12"/>
      <color theme="0"/>
      <name val="宋体"/>
      <charset val="134"/>
    </font>
    <font>
      <sz val="9"/>
      <color theme="0"/>
      <name val="宋体"/>
      <charset val="134"/>
    </font>
    <font>
      <b/>
      <sz val="9"/>
      <name val="Arial Narrow"/>
      <charset val="134"/>
    </font>
    <font>
      <u/>
      <sz val="9"/>
      <color indexed="12"/>
      <name val="宋体"/>
      <charset val="134"/>
    </font>
    <font>
      <sz val="9"/>
      <color theme="1"/>
      <name val="宋体"/>
      <charset val="134"/>
    </font>
    <font>
      <sz val="9"/>
      <color theme="1"/>
      <name val="Times New Roman"/>
      <charset val="134"/>
    </font>
    <font>
      <b/>
      <sz val="9"/>
      <color theme="1"/>
      <name val="Times New Roman"/>
      <charset val="134"/>
    </font>
    <font>
      <sz val="9"/>
      <color rgb="FF0070C0"/>
      <name val="宋体"/>
      <charset val="134"/>
    </font>
    <font>
      <b/>
      <sz val="9"/>
      <color theme="1"/>
      <name val="宋体"/>
      <charset val="134"/>
      <scheme val="minor"/>
    </font>
    <font>
      <sz val="9"/>
      <name val="Arial Narrow"/>
      <charset val="134"/>
    </font>
    <font>
      <b/>
      <sz val="9"/>
      <name val="宋体"/>
      <charset val="134"/>
    </font>
    <font>
      <sz val="9"/>
      <color rgb="FF0070C0"/>
      <name val="宋体"/>
      <charset val="134"/>
      <scheme val="minor"/>
    </font>
    <font>
      <sz val="9"/>
      <color rgb="FFFF0000"/>
      <name val="宋体"/>
      <charset val="134"/>
    </font>
    <font>
      <b/>
      <sz val="9"/>
      <color rgb="FFFF0000"/>
      <name val="宋体"/>
      <charset val="134"/>
    </font>
    <font>
      <b/>
      <sz val="9"/>
      <color rgb="FFFF0000"/>
      <name val="Arial Narrow"/>
      <charset val="134"/>
    </font>
    <font>
      <sz val="9"/>
      <color rgb="FFFF0000"/>
      <name val="宋体"/>
      <charset val="134"/>
      <scheme val="minor"/>
    </font>
    <font>
      <b/>
      <sz val="9"/>
      <color rgb="FFFF0000"/>
      <name val="宋体"/>
      <charset val="134"/>
      <scheme val="minor"/>
    </font>
    <font>
      <sz val="9"/>
      <color indexed="8"/>
      <name val="宋体"/>
      <charset val="134"/>
    </font>
    <font>
      <b/>
      <u val="doubleAccounting"/>
      <sz val="9"/>
      <color theme="1"/>
      <name val="宋体"/>
      <charset val="134"/>
      <scheme val="minor"/>
    </font>
    <font>
      <b/>
      <sz val="10"/>
      <name val="汉仪中等线简"/>
      <charset val="134"/>
    </font>
    <font>
      <b/>
      <sz val="9"/>
      <color rgb="FF0070C0"/>
      <name val="宋体"/>
      <charset val="134"/>
    </font>
    <font>
      <b/>
      <sz val="10.5"/>
      <name val="宋体"/>
      <charset val="134"/>
    </font>
    <font>
      <sz val="9"/>
      <color theme="0" tint="-0.249977111117893"/>
      <name val="Arial Narrow"/>
      <charset val="134"/>
    </font>
    <font>
      <sz val="9"/>
      <color theme="7" tint="0.599993896298105"/>
      <name val="Arial Narrow"/>
      <charset val="134"/>
    </font>
    <font>
      <sz val="9"/>
      <color rgb="FF00B0F0"/>
      <name val="宋体"/>
      <charset val="134"/>
    </font>
    <font>
      <sz val="9"/>
      <color rgb="FFFF0000"/>
      <name val="Arial Narrow"/>
      <charset val="134"/>
    </font>
    <font>
      <sz val="9"/>
      <color rgb="FF0070C0"/>
      <name val="Arial Narrow"/>
      <charset val="134"/>
    </font>
    <font>
      <sz val="11"/>
      <name val="Arial Narrow"/>
      <charset val="134"/>
    </font>
    <font>
      <sz val="9"/>
      <color theme="7" tint="0.599993896298105"/>
      <name val="宋体"/>
      <charset val="134"/>
    </font>
    <font>
      <sz val="9"/>
      <color rgb="FF0000FF"/>
      <name val="Arial Narrow"/>
      <charset val="134"/>
    </font>
    <font>
      <b/>
      <sz val="9"/>
      <color rgb="FF0070C0"/>
      <name val="Arial Narrow"/>
      <charset val="134"/>
    </font>
    <font>
      <u val="double"/>
      <sz val="9"/>
      <name val="Arial Narrow"/>
      <charset val="134"/>
    </font>
    <font>
      <u val="singleAccounting"/>
      <sz val="9"/>
      <name val="Arial Narrow"/>
      <charset val="134"/>
    </font>
    <font>
      <b/>
      <sz val="9"/>
      <color theme="7" tint="0.599993896298105"/>
      <name val="Arial Narrow"/>
      <charset val="134"/>
    </font>
    <font>
      <sz val="9"/>
      <color theme="1"/>
      <name val="Arial Narrow"/>
      <charset val="134"/>
    </font>
    <font>
      <b/>
      <sz val="9"/>
      <color theme="1"/>
      <name val="宋体"/>
      <charset val="134"/>
    </font>
    <font>
      <b/>
      <u val="double"/>
      <sz val="9"/>
      <name val="Arial Narrow"/>
      <charset val="134"/>
    </font>
    <font>
      <sz val="9"/>
      <color theme="0" tint="-0.249977111117893"/>
      <name val="宋体"/>
      <charset val="134"/>
    </font>
    <font>
      <u/>
      <sz val="12"/>
      <color indexed="12"/>
      <name val="宋体"/>
      <charset val="134"/>
    </font>
    <font>
      <b/>
      <sz val="9"/>
      <color rgb="FF000000"/>
      <name val="Arial Narrow"/>
      <charset val="134"/>
    </font>
    <font>
      <sz val="9"/>
      <color rgb="FF000000"/>
      <name val="Arial Narrow"/>
      <charset val="134"/>
    </font>
    <font>
      <sz val="9"/>
      <color rgb="FF000000"/>
      <name val="宋体"/>
      <charset val="134"/>
    </font>
    <font>
      <sz val="9"/>
      <color indexed="8"/>
      <name val="Arial Narrow"/>
      <charset val="134"/>
    </font>
    <font>
      <u/>
      <sz val="9"/>
      <name val="Arial Narrow"/>
      <charset val="134"/>
    </font>
    <font>
      <sz val="10"/>
      <name val="Times New Roman"/>
      <charset val="134"/>
    </font>
    <font>
      <sz val="10"/>
      <color indexed="8"/>
      <name val="Arial Narrow"/>
      <charset val="134"/>
    </font>
    <font>
      <sz val="9"/>
      <color rgb="FF00B050"/>
      <name val="Arial Narrow"/>
      <charset val="134"/>
    </font>
    <font>
      <sz val="9"/>
      <color theme="0"/>
      <name val="Arial Narrow"/>
      <charset val="134"/>
    </font>
    <font>
      <sz val="9"/>
      <name val="Times New Roman"/>
      <charset val="134"/>
    </font>
    <font>
      <sz val="10"/>
      <name val="宋体"/>
      <charset val="134"/>
      <scheme val="minor"/>
    </font>
    <font>
      <b/>
      <sz val="18"/>
      <name val="宋体"/>
      <charset val="134"/>
    </font>
    <font>
      <sz val="10"/>
      <color theme="1"/>
      <name val="宋体"/>
      <charset val="134"/>
      <scheme val="minor"/>
    </font>
    <font>
      <b/>
      <sz val="10"/>
      <name val="宋体"/>
      <charset val="134"/>
      <scheme val="minor"/>
    </font>
    <font>
      <sz val="10"/>
      <name val="Arial Narrow"/>
      <charset val="134"/>
    </font>
    <font>
      <b/>
      <i/>
      <sz val="10"/>
      <name val="Arial Narrow"/>
      <charset val="134"/>
    </font>
    <font>
      <sz val="11"/>
      <name val="宋体"/>
      <charset val="134"/>
    </font>
    <font>
      <b/>
      <sz val="10"/>
      <name val="Arial Narrow"/>
      <charset val="134"/>
    </font>
    <font>
      <sz val="6"/>
      <name val="Arial Narrow"/>
      <charset val="134"/>
    </font>
    <font>
      <sz val="10"/>
      <color theme="0" tint="-0.349986266670736"/>
      <name val="宋体"/>
      <charset val="134"/>
    </font>
    <font>
      <u/>
      <sz val="9"/>
      <color rgb="FF800080"/>
      <name val="宋体"/>
      <charset val="134"/>
    </font>
    <font>
      <sz val="9"/>
      <color indexed="12"/>
      <name val="宋体"/>
      <charset val="134"/>
    </font>
    <font>
      <b/>
      <sz val="20"/>
      <name val="隶书"/>
      <charset val="134"/>
    </font>
    <font>
      <b/>
      <sz val="10"/>
      <name val="Times New Roman"/>
      <charset val="134"/>
    </font>
    <font>
      <sz val="10"/>
      <color indexed="12"/>
      <name val="Times New Roman"/>
      <charset val="134"/>
    </font>
    <font>
      <b/>
      <sz val="20"/>
      <name val="Times New Roman"/>
      <charset val="134"/>
    </font>
    <font>
      <sz val="12"/>
      <name val="Times New Roman"/>
      <charset val="134"/>
    </font>
    <font>
      <b/>
      <sz val="12"/>
      <name val="宋体"/>
      <charset val="134"/>
    </font>
    <font>
      <sz val="8"/>
      <name val="Times New Roman"/>
      <charset val="134"/>
    </font>
    <font>
      <sz val="12"/>
      <color indexed="12"/>
      <name val="Times New Roman"/>
      <charset val="134"/>
    </font>
    <font>
      <i/>
      <sz val="10"/>
      <name val="宋体"/>
      <charset val="134"/>
    </font>
    <font>
      <i/>
      <sz val="10"/>
      <name val="Times New Roman"/>
      <charset val="134"/>
    </font>
    <font>
      <b/>
      <sz val="10"/>
      <color indexed="8"/>
      <name val="Times New Roman"/>
      <charset val="134"/>
    </font>
    <font>
      <b/>
      <sz val="10"/>
      <color indexed="8"/>
      <name val="宋体"/>
      <charset val="134"/>
    </font>
    <font>
      <sz val="10"/>
      <color indexed="8"/>
      <name val="宋体"/>
      <charset val="134"/>
    </font>
    <font>
      <sz val="10"/>
      <color indexed="8"/>
      <name val="Times New Roman"/>
      <charset val="134"/>
    </font>
    <font>
      <sz val="8"/>
      <name val="宋体"/>
      <charset val="134"/>
    </font>
    <font>
      <sz val="10"/>
      <name val="隶书"/>
      <charset val="134"/>
    </font>
    <font>
      <b/>
      <sz val="10"/>
      <color indexed="20"/>
      <name val="宋体"/>
      <charset val="134"/>
    </font>
    <font>
      <u/>
      <sz val="10"/>
      <color indexed="12"/>
      <name val="宋体"/>
      <charset val="134"/>
    </font>
    <font>
      <b/>
      <sz val="12"/>
      <color indexed="20"/>
      <name val="宋体"/>
      <charset val="134"/>
    </font>
    <font>
      <b/>
      <sz val="12"/>
      <color indexed="61"/>
      <name val="宋体"/>
      <charset val="134"/>
    </font>
    <font>
      <b/>
      <sz val="12"/>
      <color indexed="61"/>
      <name val="Times New Roman"/>
      <charset val="134"/>
    </font>
    <font>
      <b/>
      <sz val="10"/>
      <color indexed="12"/>
      <name val="Times New Roman"/>
      <charset val="134"/>
    </font>
    <font>
      <b/>
      <sz val="10"/>
      <color indexed="10"/>
      <name val="Times New Roman"/>
      <charset val="134"/>
    </font>
    <font>
      <b/>
      <sz val="11"/>
      <color indexed="10"/>
      <name val="Times New Roman"/>
      <charset val="134"/>
    </font>
    <font>
      <sz val="10"/>
      <color indexed="10"/>
      <name val="宋体"/>
      <charset val="134"/>
    </font>
    <font>
      <sz val="10"/>
      <color indexed="20"/>
      <name val="Times New Roman"/>
      <charset val="134"/>
    </font>
    <font>
      <b/>
      <sz val="11"/>
      <name val="Times New Roman"/>
      <charset val="134"/>
    </font>
    <font>
      <b/>
      <sz val="10"/>
      <color rgb="FF0070C0"/>
      <name val="宋体"/>
      <charset val="134"/>
    </font>
    <font>
      <sz val="10"/>
      <color rgb="FF00B0F0"/>
      <name val="宋体"/>
      <charset val="134"/>
    </font>
    <font>
      <b/>
      <sz val="10"/>
      <name val="隶书"/>
      <charset val="134"/>
    </font>
    <font>
      <sz val="10"/>
      <color theme="1"/>
      <name val="宋体"/>
      <charset val="134"/>
    </font>
    <font>
      <sz val="10"/>
      <color rgb="FF0070C0"/>
      <name val="宋体"/>
      <charset val="134"/>
    </font>
    <font>
      <sz val="26"/>
      <color indexed="12"/>
      <name val="隶书"/>
      <charset val="134"/>
    </font>
    <font>
      <sz val="26"/>
      <color indexed="12"/>
      <name val="Times New Roman"/>
      <charset val="134"/>
    </font>
    <font>
      <b/>
      <sz val="10"/>
      <color indexed="14"/>
      <name val="Times New Roman"/>
      <charset val="134"/>
    </font>
    <font>
      <sz val="10"/>
      <color indexed="36"/>
      <name val="Times New Roman"/>
      <charset val="134"/>
    </font>
    <font>
      <b/>
      <sz val="10"/>
      <color indexed="32"/>
      <name val="宋体"/>
      <charset val="134"/>
    </font>
    <font>
      <b/>
      <sz val="10"/>
      <color indexed="32"/>
      <name val="Times New Roman"/>
      <charset val="134"/>
    </font>
    <font>
      <sz val="10"/>
      <color indexed="32"/>
      <name val="Times New Roman"/>
      <charset val="134"/>
    </font>
    <font>
      <b/>
      <sz val="10"/>
      <color indexed="10"/>
      <name val="宋体"/>
      <charset val="134"/>
    </font>
    <font>
      <b/>
      <sz val="10"/>
      <color indexed="59"/>
      <name val="Times New Roman"/>
      <charset val="134"/>
    </font>
    <font>
      <sz val="10"/>
      <color indexed="10"/>
      <name val="Times New Roman"/>
      <charset val="134"/>
    </font>
    <font>
      <u/>
      <sz val="12"/>
      <color rgb="FFFFC000"/>
      <name val="宋体"/>
      <charset val="134"/>
    </font>
    <font>
      <u/>
      <sz val="12"/>
      <color indexed="51"/>
      <name val="Times New Roman"/>
      <charset val="134"/>
    </font>
    <font>
      <sz val="11"/>
      <color theme="0"/>
      <name val="宋体"/>
      <charset val="0"/>
      <scheme val="minor"/>
    </font>
    <font>
      <sz val="11"/>
      <color theme="1"/>
      <name val="宋体"/>
      <charset val="134"/>
      <scheme val="minor"/>
    </font>
    <font>
      <sz val="11"/>
      <color indexed="26"/>
      <name val="宋体"/>
      <charset val="134"/>
    </font>
    <font>
      <sz val="11"/>
      <color rgb="FF9C6500"/>
      <name val="宋体"/>
      <charset val="0"/>
      <scheme val="minor"/>
    </font>
    <font>
      <b/>
      <sz val="18"/>
      <color theme="3"/>
      <name val="宋体"/>
      <charset val="134"/>
      <scheme val="minor"/>
    </font>
    <font>
      <sz val="10"/>
      <name val="Arial"/>
      <charset val="134"/>
    </font>
    <font>
      <b/>
      <sz val="11"/>
      <color rgb="FF3F3F3F"/>
      <name val="宋体"/>
      <charset val="0"/>
      <scheme val="minor"/>
    </font>
    <font>
      <sz val="11"/>
      <color indexed="20"/>
      <name val="宋体"/>
      <charset val="134"/>
    </font>
    <font>
      <b/>
      <sz val="11"/>
      <color theme="3"/>
      <name val="宋体"/>
      <charset val="134"/>
      <scheme val="minor"/>
    </font>
    <font>
      <sz val="11"/>
      <color indexed="38"/>
      <name val="宋体"/>
      <charset val="134"/>
    </font>
    <font>
      <b/>
      <sz val="11"/>
      <color rgb="FFFFFFFF"/>
      <name val="宋体"/>
      <charset val="0"/>
      <scheme val="minor"/>
    </font>
    <font>
      <sz val="10"/>
      <color indexed="8"/>
      <name val="Arial"/>
      <charset val="134"/>
    </font>
    <font>
      <sz val="11"/>
      <color rgb="FF3F3F76"/>
      <name val="宋体"/>
      <charset val="0"/>
      <scheme val="minor"/>
    </font>
    <font>
      <sz val="10"/>
      <color indexed="8"/>
      <name val="MS Sans Serif"/>
      <charset val="134"/>
    </font>
    <font>
      <sz val="11"/>
      <color theme="1"/>
      <name val="宋体"/>
      <charset val="0"/>
      <scheme val="minor"/>
    </font>
    <font>
      <sz val="12"/>
      <name val="柧挬"/>
      <charset val="134"/>
    </font>
    <font>
      <b/>
      <sz val="11"/>
      <color rgb="FFFA7D00"/>
      <name val="宋体"/>
      <charset val="0"/>
      <scheme val="minor"/>
    </font>
    <font>
      <sz val="11"/>
      <color indexed="17"/>
      <name val="宋体"/>
      <charset val="134"/>
    </font>
    <font>
      <sz val="11"/>
      <color rgb="FFFA7D00"/>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b/>
      <sz val="15"/>
      <color theme="3"/>
      <name val="宋体"/>
      <charset val="134"/>
      <scheme val="minor"/>
    </font>
    <font>
      <sz val="11"/>
      <color rgb="FF9C0006"/>
      <name val="宋体"/>
      <charset val="0"/>
      <scheme val="minor"/>
    </font>
    <font>
      <sz val="11"/>
      <color rgb="FF006100"/>
      <name val="宋体"/>
      <charset val="0"/>
      <scheme val="minor"/>
    </font>
    <font>
      <sz val="13"/>
      <name val="Tms Rmn"/>
      <charset val="134"/>
    </font>
    <font>
      <i/>
      <sz val="11"/>
      <color rgb="FF7F7F7F"/>
      <name val="宋体"/>
      <charset val="0"/>
      <scheme val="minor"/>
    </font>
    <font>
      <b/>
      <sz val="10"/>
      <color indexed="8"/>
      <name val="Arial"/>
      <charset val="134"/>
    </font>
    <font>
      <u/>
      <sz val="11"/>
      <color rgb="FF800080"/>
      <name val="宋体"/>
      <charset val="0"/>
      <scheme val="minor"/>
    </font>
    <font>
      <sz val="11"/>
      <name val="ＭＳ Ｐゴシック"/>
      <charset val="134"/>
    </font>
    <font>
      <b/>
      <sz val="13"/>
      <name val="Tms Rmn"/>
      <charset val="134"/>
    </font>
    <font>
      <sz val="8"/>
      <name val="Arial"/>
      <charset val="134"/>
    </font>
    <font>
      <b/>
      <sz val="11"/>
      <name val="Helv"/>
      <charset val="134"/>
    </font>
    <font>
      <b/>
      <sz val="10"/>
      <name val="Helv"/>
      <charset val="134"/>
    </font>
    <font>
      <b/>
      <sz val="12"/>
      <name val="Arial"/>
      <charset val="134"/>
    </font>
    <font>
      <sz val="8"/>
      <color indexed="16"/>
      <name val="Century Schoolbook"/>
      <charset val="134"/>
    </font>
    <font>
      <b/>
      <sz val="12"/>
      <name val="Helv"/>
      <charset val="134"/>
    </font>
    <font>
      <b/>
      <sz val="10"/>
      <color indexed="39"/>
      <name val="Arial"/>
      <charset val="134"/>
    </font>
    <font>
      <sz val="10"/>
      <color indexed="39"/>
      <name val="Arial"/>
      <charset val="134"/>
    </font>
    <font>
      <b/>
      <sz val="12"/>
      <color indexed="8"/>
      <name val="Arial"/>
      <charset val="134"/>
    </font>
    <font>
      <sz val="10"/>
      <name val="Geneva"/>
      <charset val="134"/>
    </font>
    <font>
      <sz val="19"/>
      <color indexed="48"/>
      <name val="Arial"/>
      <charset val="134"/>
    </font>
    <font>
      <sz val="10"/>
      <color indexed="10"/>
      <name val="Arial"/>
      <charset val="134"/>
    </font>
    <font>
      <b/>
      <i/>
      <sz val="10"/>
      <name val="Times New Roman"/>
      <charset val="134"/>
    </font>
    <font>
      <sz val="11"/>
      <color indexed="9"/>
      <name val="宋体"/>
      <charset val="134"/>
    </font>
    <font>
      <b/>
      <sz val="9"/>
      <name val="Times New Roman"/>
      <charset val="134"/>
    </font>
    <font>
      <sz val="11"/>
      <color indexed="8"/>
      <name val="宋体"/>
      <charset val="134"/>
    </font>
    <font>
      <sz val="14"/>
      <name val="柧挬"/>
      <charset val="134"/>
    </font>
    <font>
      <sz val="8"/>
      <name val="Century Schoolbook"/>
      <charset val="134"/>
    </font>
    <font>
      <sz val="12"/>
      <name val="바탕체"/>
      <charset val="134"/>
    </font>
    <font>
      <sz val="11"/>
      <name val="明朝"/>
      <charset val="134"/>
    </font>
    <font>
      <sz val="11"/>
      <color indexed="21"/>
      <name val="宋体"/>
      <charset val="134"/>
    </font>
    <font>
      <sz val="12"/>
      <name val="新細明體"/>
      <charset val="134"/>
    </font>
    <font>
      <sz val="10"/>
      <name val="奔覆眉"/>
      <charset val="134"/>
    </font>
    <font>
      <sz val="12"/>
      <name val="官帕眉"/>
      <charset val="134"/>
    </font>
    <font>
      <sz val="9"/>
      <color rgb="FF0070C0"/>
      <name val="Times New Roman"/>
      <charset val="134"/>
    </font>
    <font>
      <sz val="9"/>
      <color indexed="8"/>
      <name val="Times New Roman"/>
      <charset val="134"/>
    </font>
    <font>
      <sz val="9"/>
      <color rgb="FF0000FF"/>
      <name val="宋体"/>
      <charset val="134"/>
    </font>
    <font>
      <u val="double"/>
      <sz val="9"/>
      <name val="宋体"/>
      <charset val="134"/>
    </font>
    <font>
      <b/>
      <sz val="9"/>
      <color rgb="FF000000"/>
      <name val="宋体"/>
      <charset val="134"/>
    </font>
    <font>
      <u/>
      <sz val="9"/>
      <name val="宋体"/>
      <charset val="134"/>
    </font>
    <font>
      <b/>
      <sz val="9"/>
      <color rgb="FF0070C0"/>
      <name val="Times New Roman"/>
      <charset val="134"/>
    </font>
    <font>
      <b/>
      <sz val="10.5"/>
      <color theme="1"/>
      <name val="Times New Roman"/>
      <charset val="134"/>
    </font>
    <font>
      <b/>
      <sz val="10.5"/>
      <color theme="1"/>
      <name val="宋体"/>
      <charset val="134"/>
    </font>
    <font>
      <b/>
      <sz val="10"/>
      <color indexed="59"/>
      <name val="宋体"/>
      <charset val="134"/>
    </font>
    <font>
      <b/>
      <sz val="9"/>
      <name val="Tahoma"/>
      <charset val="134"/>
    </font>
    <font>
      <sz val="9"/>
      <name val="Tahoma"/>
      <charset val="134"/>
    </font>
    <font>
      <sz val="10"/>
      <name val="宋体"/>
      <charset val="134"/>
    </font>
    <font>
      <b/>
      <sz val="10"/>
      <name val="宋体"/>
      <charset val="134"/>
    </font>
    <font>
      <b/>
      <sz val="9"/>
      <name val="宋体"/>
      <charset val="134"/>
    </font>
    <font>
      <sz val="9"/>
      <color indexed="12"/>
      <name val="宋体"/>
      <charset val="134"/>
    </font>
    <font>
      <b/>
      <sz val="9"/>
      <color indexed="12"/>
      <name val="宋体"/>
      <charset val="134"/>
    </font>
    <font>
      <sz val="9"/>
      <name val="宋体"/>
      <charset val="134"/>
    </font>
  </fonts>
  <fills count="80">
    <fill>
      <patternFill patternType="none"/>
    </fill>
    <fill>
      <patternFill patternType="gray125"/>
    </fill>
    <fill>
      <patternFill patternType="solid">
        <fgColor rgb="FF00B0F0"/>
        <bgColor indexed="64"/>
      </patternFill>
    </fill>
    <fill>
      <patternFill patternType="solid">
        <fgColor rgb="FF92D050"/>
        <bgColor indexed="64"/>
      </patternFill>
    </fill>
    <fill>
      <patternFill patternType="solid">
        <fgColor theme="0"/>
        <bgColor indexed="64"/>
      </patternFill>
    </fill>
    <fill>
      <patternFill patternType="solid">
        <fgColor rgb="FFFFFF00"/>
        <bgColor indexed="64"/>
      </patternFill>
    </fill>
    <fill>
      <patternFill patternType="solid">
        <fgColor theme="7" tint="0.599993896298105"/>
        <bgColor indexed="64"/>
      </patternFill>
    </fill>
    <fill>
      <gradientFill type="path" left="0.5" right="0.5" top="0.5" bottom="0.5">
        <stop position="0">
          <color theme="3" tint="0.599993896298105"/>
        </stop>
        <stop position="1">
          <color theme="7" tint="-0.250984221930601"/>
        </stop>
      </gradientFill>
    </fill>
    <fill>
      <patternFill patternType="solid">
        <fgColor theme="8" tint="0.799951170384838"/>
        <bgColor indexed="64"/>
      </patternFill>
    </fill>
    <fill>
      <patternFill patternType="solid">
        <fgColor theme="7" tint="0.799951170384838"/>
        <bgColor indexed="64"/>
      </patternFill>
    </fill>
    <fill>
      <patternFill patternType="solid">
        <fgColor rgb="FFCCC0DA"/>
        <bgColor indexed="64"/>
      </patternFill>
    </fill>
    <fill>
      <patternFill patternType="solid">
        <fgColor rgb="FFFFC000"/>
        <bgColor indexed="64"/>
      </patternFill>
    </fill>
    <fill>
      <patternFill patternType="solid">
        <fgColor theme="0" tint="-0.14996795556505"/>
        <bgColor indexed="64"/>
      </patternFill>
    </fill>
    <fill>
      <patternFill patternType="solid">
        <fgColor theme="3" tint="0.799951170384838"/>
        <bgColor indexed="64"/>
      </patternFill>
    </fill>
    <fill>
      <patternFill patternType="solid">
        <fgColor theme="0" tint="-0.0499893185216834"/>
        <bgColor indexed="64"/>
      </patternFill>
    </fill>
    <fill>
      <gradientFill type="path" left="0.5" right="0.5" top="0.5" bottom="0.5">
        <stop position="0">
          <color rgb="FF99FFCC"/>
        </stop>
        <stop position="1">
          <color theme="7" tint="-0.250984221930601"/>
        </stop>
      </gradientFill>
    </fill>
    <fill>
      <patternFill patternType="solid">
        <fgColor rgb="FF99FFCC"/>
        <bgColor indexed="64"/>
      </patternFill>
    </fill>
    <fill>
      <patternFill patternType="solid">
        <fgColor rgb="FF0070C0"/>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00B050"/>
        <bgColor indexed="64"/>
      </patternFill>
    </fill>
    <fill>
      <patternFill patternType="solid">
        <fgColor theme="0" tint="-0.249977111117893"/>
        <bgColor indexed="64"/>
      </patternFill>
    </fill>
    <fill>
      <gradientFill type="path" left="0.5" right="0.5" top="0.5" bottom="0.5">
        <stop position="0">
          <color theme="0"/>
        </stop>
        <stop position="1">
          <color theme="7" tint="-0.250984221930601"/>
        </stop>
      </gradientFill>
    </fill>
    <fill>
      <patternFill patternType="solid">
        <fgColor rgb="FFFFFFFF"/>
        <bgColor indexed="64"/>
      </patternFill>
    </fill>
    <fill>
      <patternFill patternType="solid">
        <fgColor rgb="FFCCFFFF"/>
        <bgColor indexed="64"/>
      </patternFill>
    </fill>
    <fill>
      <patternFill patternType="solid">
        <fgColor theme="0" tint="-0.349986266670736"/>
        <bgColor indexed="64"/>
      </patternFill>
    </fill>
    <fill>
      <gradientFill type="path" left="0.5" right="0.5" top="0.5" bottom="0.5">
        <stop position="0">
          <color theme="8" tint="0.799981688894314"/>
        </stop>
        <stop position="1">
          <color theme="7" tint="-0.250984221930601"/>
        </stop>
      </gradientFill>
    </fill>
    <fill>
      <patternFill patternType="solid">
        <fgColor indexed="31"/>
        <bgColor indexed="64"/>
      </patternFill>
    </fill>
    <fill>
      <patternFill patternType="solid">
        <fgColor rgb="FFC8FFFF"/>
        <bgColor indexed="64"/>
      </patternFill>
    </fill>
    <fill>
      <patternFill patternType="solid">
        <fgColor indexed="43"/>
        <bgColor indexed="64"/>
      </patternFill>
    </fill>
    <fill>
      <patternFill patternType="solid">
        <fgColor indexed="41"/>
        <bgColor indexed="64"/>
      </patternFill>
    </fill>
    <fill>
      <patternFill patternType="solid">
        <fgColor indexed="14"/>
        <bgColor indexed="64"/>
      </patternFill>
    </fill>
    <fill>
      <patternFill patternType="solid">
        <fgColor indexed="51"/>
        <bgColor indexed="64"/>
      </patternFill>
    </fill>
    <fill>
      <patternFill patternType="solid">
        <fgColor theme="8" tint="0.399975585192419"/>
        <bgColor indexed="64"/>
      </patternFill>
    </fill>
    <fill>
      <patternFill patternType="solid">
        <fgColor rgb="FFFFEB9C"/>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rgb="FFF2F2F2"/>
        <bgColor indexed="64"/>
      </patternFill>
    </fill>
    <fill>
      <patternFill patternType="solid">
        <fgColor indexed="45"/>
        <bgColor indexed="64"/>
      </patternFill>
    </fill>
    <fill>
      <patternFill patternType="solid">
        <fgColor indexed="56"/>
        <bgColor indexed="64"/>
      </patternFill>
    </fill>
    <fill>
      <patternFill patternType="solid">
        <fgColor rgb="FFA5A5A5"/>
        <bgColor indexed="64"/>
      </patternFill>
    </fill>
    <fill>
      <patternFill patternType="solid">
        <fgColor indexed="40"/>
        <bgColor indexed="64"/>
      </patternFill>
    </fill>
    <fill>
      <patternFill patternType="solid">
        <fgColor rgb="FFFFCC99"/>
        <bgColor indexed="64"/>
      </patternFill>
    </fill>
    <fill>
      <patternFill patternType="solid">
        <fgColor theme="6" tint="0.399975585192419"/>
        <bgColor indexed="64"/>
      </patternFill>
    </fill>
    <fill>
      <patternFill patternType="solid">
        <fgColor theme="9"/>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indexed="42"/>
        <bgColor indexed="64"/>
      </patternFill>
    </fill>
    <fill>
      <patternFill patternType="solid">
        <fgColor theme="6"/>
        <bgColor indexed="64"/>
      </patternFill>
    </fill>
    <fill>
      <patternFill patternType="solid">
        <fgColor indexed="26"/>
        <bgColor indexed="64"/>
      </patternFill>
    </fill>
    <fill>
      <patternFill patternType="solid">
        <fgColor theme="5" tint="0.799981688894314"/>
        <bgColor indexed="64"/>
      </patternFill>
    </fill>
    <fill>
      <patternFill patternType="solid">
        <fgColor theme="7"/>
        <bgColor indexed="64"/>
      </patternFill>
    </fill>
    <fill>
      <patternFill patternType="solid">
        <fgColor theme="4" tint="0.599993896298105"/>
        <bgColor indexed="64"/>
      </patternFill>
    </fill>
    <fill>
      <patternFill patternType="solid">
        <fgColor rgb="FFFFFFCC"/>
        <bgColor indexed="64"/>
      </patternFill>
    </fill>
    <fill>
      <patternFill patternType="solid">
        <fgColor theme="5"/>
        <bgColor indexed="64"/>
      </patternFill>
    </fill>
    <fill>
      <patternFill patternType="solid">
        <fgColor theme="8"/>
        <bgColor indexed="64"/>
      </patternFill>
    </fill>
    <fill>
      <patternFill patternType="solid">
        <fgColor rgb="FFFFC7CE"/>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rgb="FFC6EFCE"/>
        <bgColor indexed="64"/>
      </patternFill>
    </fill>
    <fill>
      <patternFill patternType="solid">
        <fgColor theme="8" tint="0.599993896298105"/>
        <bgColor indexed="64"/>
      </patternFill>
    </fill>
    <fill>
      <patternFill patternType="solid">
        <fgColor theme="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indexed="22"/>
        <bgColor indexed="64"/>
      </patternFill>
    </fill>
    <fill>
      <patternFill patternType="solid">
        <fgColor indexed="54"/>
        <bgColor indexed="64"/>
      </patternFill>
    </fill>
    <fill>
      <patternFill patternType="solid">
        <fgColor indexed="53"/>
        <bgColor indexed="64"/>
      </patternFill>
    </fill>
    <fill>
      <patternFill patternType="solid">
        <fgColor indexed="57"/>
        <bgColor indexed="64"/>
      </patternFill>
    </fill>
    <fill>
      <patternFill patternType="solid">
        <fgColor indexed="11"/>
        <bgColor indexed="64"/>
      </patternFill>
    </fill>
    <fill>
      <patternFill patternType="solid">
        <fgColor indexed="52"/>
        <bgColor indexed="64"/>
      </patternFill>
    </fill>
    <fill>
      <patternFill patternType="solid">
        <fgColor indexed="10"/>
        <bgColor indexed="64"/>
      </patternFill>
    </fill>
    <fill>
      <patternFill patternType="solid">
        <fgColor indexed="13"/>
        <bgColor indexed="64"/>
      </patternFill>
    </fill>
    <fill>
      <patternFill patternType="solid">
        <fgColor indexed="44"/>
        <bgColor indexed="64"/>
      </patternFill>
    </fill>
    <fill>
      <patternFill patternType="lightUp">
        <fgColor indexed="48"/>
        <bgColor indexed="41"/>
      </patternFill>
    </fill>
    <fill>
      <patternFill patternType="solid">
        <fgColor indexed="50"/>
        <bgColor indexed="64"/>
      </patternFill>
    </fill>
    <fill>
      <patternFill patternType="solid">
        <fgColor indexed="29"/>
        <bgColor indexed="64"/>
      </patternFill>
    </fill>
    <fill>
      <patternFill patternType="solid">
        <fgColor indexed="15"/>
        <bgColor indexed="64"/>
      </patternFill>
    </fill>
    <fill>
      <patternFill patternType="solid">
        <fgColor indexed="18"/>
        <bgColor indexed="64"/>
      </patternFill>
    </fill>
  </fills>
  <borders count="111">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top/>
      <bottom/>
      <diagonal/>
    </border>
    <border>
      <left style="hair">
        <color auto="1"/>
      </left>
      <right style="hair">
        <color auto="1"/>
      </right>
      <top style="thin">
        <color auto="1"/>
      </top>
      <bottom style="hair">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thin">
        <color auto="1"/>
      </left>
      <right style="thin">
        <color auto="1"/>
      </right>
      <top/>
      <bottom/>
      <diagonal/>
    </border>
    <border>
      <left style="medium">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thin">
        <color auto="1"/>
      </left>
      <right/>
      <top style="thin">
        <color auto="1"/>
      </top>
      <bottom style="medium">
        <color auto="1"/>
      </bottom>
      <diagonal/>
    </border>
    <border>
      <left style="medium">
        <color auto="1"/>
      </left>
      <right style="medium">
        <color auto="1"/>
      </right>
      <top style="thin">
        <color auto="1"/>
      </top>
      <bottom style="medium">
        <color auto="1"/>
      </bottom>
      <diagonal/>
    </border>
    <border>
      <left/>
      <right/>
      <top/>
      <bottom style="medium">
        <color rgb="FF000000"/>
      </bottom>
      <diagonal/>
    </border>
    <border>
      <left/>
      <right style="medium">
        <color auto="1"/>
      </right>
      <top style="thin">
        <color auto="1"/>
      </top>
      <bottom style="thin">
        <color auto="1"/>
      </bottom>
      <diagonal/>
    </border>
    <border>
      <left style="thin">
        <color auto="1"/>
      </left>
      <right style="hair">
        <color auto="1"/>
      </right>
      <top style="thin">
        <color auto="1"/>
      </top>
      <bottom/>
      <diagonal/>
    </border>
    <border>
      <left style="hair">
        <color auto="1"/>
      </left>
      <right/>
      <top style="thin">
        <color auto="1"/>
      </top>
      <bottom/>
      <diagonal/>
    </border>
    <border>
      <left style="hair">
        <color auto="1"/>
      </left>
      <right style="hair">
        <color auto="1"/>
      </right>
      <top style="thin">
        <color auto="1"/>
      </top>
      <bottom/>
      <diagonal/>
    </border>
    <border>
      <left style="thin">
        <color auto="1"/>
      </left>
      <right style="hair">
        <color auto="1"/>
      </right>
      <top/>
      <bottom/>
      <diagonal/>
    </border>
    <border>
      <left style="hair">
        <color auto="1"/>
      </left>
      <right/>
      <top/>
      <bottom style="hair">
        <color auto="1"/>
      </bottom>
      <diagonal/>
    </border>
    <border>
      <left style="hair">
        <color auto="1"/>
      </left>
      <right style="hair">
        <color auto="1"/>
      </right>
      <top/>
      <bottom style="hair">
        <color auto="1"/>
      </bottom>
      <diagonal/>
    </border>
    <border>
      <left style="hair">
        <color auto="1"/>
      </left>
      <right style="hair">
        <color auto="1"/>
      </right>
      <top style="hair">
        <color auto="1"/>
      </top>
      <bottom style="hair">
        <color auto="1"/>
      </bottom>
      <diagonal/>
    </border>
    <border>
      <left style="thin">
        <color auto="1"/>
      </left>
      <right style="hair">
        <color auto="1"/>
      </right>
      <top/>
      <bottom style="thin">
        <color auto="1"/>
      </bottom>
      <diagonal/>
    </border>
    <border>
      <left style="hair">
        <color auto="1"/>
      </left>
      <right/>
      <top style="hair">
        <color auto="1"/>
      </top>
      <bottom style="thin">
        <color auto="1"/>
      </bottom>
      <diagonal/>
    </border>
    <border>
      <left style="hair">
        <color auto="1"/>
      </left>
      <right/>
      <top/>
      <bottom/>
      <diagonal/>
    </border>
    <border>
      <left style="hair">
        <color auto="1"/>
      </left>
      <right style="thin">
        <color auto="1"/>
      </right>
      <top/>
      <bottom/>
      <diagonal/>
    </border>
    <border>
      <left style="thin">
        <color auto="1"/>
      </left>
      <right/>
      <top style="hair">
        <color auto="1"/>
      </top>
      <bottom/>
      <diagonal/>
    </border>
    <border>
      <left style="hair">
        <color auto="1"/>
      </left>
      <right/>
      <top style="hair">
        <color auto="1"/>
      </top>
      <bottom/>
      <diagonal/>
    </border>
    <border>
      <left style="hair">
        <color auto="1"/>
      </left>
      <right style="thin">
        <color auto="1"/>
      </right>
      <top style="hair">
        <color auto="1"/>
      </top>
      <bottom/>
      <diagonal/>
    </border>
    <border>
      <left style="thin">
        <color auto="1"/>
      </left>
      <right/>
      <top style="hair">
        <color auto="1"/>
      </top>
      <bottom style="thin">
        <color auto="1"/>
      </bottom>
      <diagonal/>
    </border>
    <border>
      <left style="hair">
        <color auto="1"/>
      </left>
      <right/>
      <top style="thin">
        <color auto="1"/>
      </top>
      <bottom style="thin">
        <color auto="1"/>
      </bottom>
      <diagonal/>
    </border>
    <border>
      <left style="hair">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double">
        <color auto="1"/>
      </left>
      <right style="thin">
        <color auto="1"/>
      </right>
      <top style="double">
        <color auto="1"/>
      </top>
      <bottom style="thin">
        <color auto="1"/>
      </bottom>
      <diagonal/>
    </border>
    <border>
      <left style="thin">
        <color auto="1"/>
      </left>
      <right/>
      <top style="double">
        <color auto="1"/>
      </top>
      <bottom/>
      <diagonal/>
    </border>
    <border>
      <left/>
      <right/>
      <top style="double">
        <color auto="1"/>
      </top>
      <bottom/>
      <diagonal/>
    </border>
    <border>
      <left/>
      <right style="double">
        <color auto="1"/>
      </right>
      <top style="double">
        <color auto="1"/>
      </top>
      <bottom/>
      <diagonal/>
    </border>
    <border>
      <left style="double">
        <color auto="1"/>
      </left>
      <right style="thin">
        <color auto="1"/>
      </right>
      <top style="thin">
        <color auto="1"/>
      </top>
      <bottom style="thin">
        <color auto="1"/>
      </bottom>
      <diagonal/>
    </border>
    <border>
      <left/>
      <right style="double">
        <color auto="1"/>
      </right>
      <top/>
      <bottom style="thin">
        <color auto="1"/>
      </bottom>
      <diagonal/>
    </border>
    <border>
      <left style="thin">
        <color auto="1"/>
      </left>
      <right style="double">
        <color auto="1"/>
      </right>
      <top style="thin">
        <color auto="1"/>
      </top>
      <bottom/>
      <diagonal/>
    </border>
    <border>
      <left style="thin">
        <color auto="1"/>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indexed="8"/>
      </left>
      <right style="thin">
        <color indexed="8"/>
      </right>
      <top style="thin">
        <color indexed="8"/>
      </top>
      <bottom style="thin">
        <color indexed="8"/>
      </bottom>
      <diagonal/>
    </border>
    <border>
      <left/>
      <right/>
      <top/>
      <bottom style="double">
        <color indexed="8"/>
      </bottom>
      <diagonal/>
    </border>
    <border>
      <left style="double">
        <color indexed="8"/>
      </left>
      <right style="thin">
        <color indexed="8"/>
      </right>
      <top style="double">
        <color indexed="8"/>
      </top>
      <bottom style="thin">
        <color indexed="8"/>
      </bottom>
      <diagonal/>
    </border>
    <border>
      <left style="thin">
        <color indexed="8"/>
      </left>
      <right style="thin">
        <color indexed="8"/>
      </right>
      <top style="double">
        <color indexed="8"/>
      </top>
      <bottom style="thin">
        <color indexed="8"/>
      </bottom>
      <diagonal/>
    </border>
    <border>
      <left style="thin">
        <color indexed="8"/>
      </left>
      <right style="double">
        <color indexed="8"/>
      </right>
      <top style="double">
        <color indexed="8"/>
      </top>
      <bottom style="thin">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double">
        <color indexed="8"/>
      </bottom>
      <diagonal/>
    </border>
    <border>
      <left style="thin">
        <color indexed="8"/>
      </left>
      <right style="thin">
        <color indexed="8"/>
      </right>
      <top style="thin">
        <color indexed="8"/>
      </top>
      <bottom style="double">
        <color indexed="8"/>
      </bottom>
      <diagonal/>
    </border>
    <border>
      <left style="thin">
        <color indexed="8"/>
      </left>
      <right style="double">
        <color indexed="8"/>
      </right>
      <top style="thin">
        <color indexed="8"/>
      </top>
      <bottom style="double">
        <color indexed="8"/>
      </bottom>
      <diagonal/>
    </border>
    <border>
      <left style="thin">
        <color indexed="8"/>
      </left>
      <right style="thin">
        <color indexed="8"/>
      </right>
      <top style="double">
        <color indexed="8"/>
      </top>
      <bottom/>
      <diagonal/>
    </border>
    <border>
      <left style="thin">
        <color indexed="8"/>
      </left>
      <right/>
      <top style="double">
        <color indexed="8"/>
      </top>
      <bottom style="thin">
        <color indexed="8"/>
      </bottom>
      <diagonal/>
    </border>
    <border>
      <left/>
      <right style="thin">
        <color indexed="8"/>
      </right>
      <top style="double">
        <color indexed="8"/>
      </top>
      <bottom style="thin">
        <color indexed="8"/>
      </bottom>
      <diagonal/>
    </border>
    <border>
      <left style="thin">
        <color indexed="8"/>
      </left>
      <right style="thin">
        <color indexed="8"/>
      </right>
      <top/>
      <bottom style="thin">
        <color indexed="8"/>
      </bottom>
      <diagonal/>
    </border>
    <border>
      <left style="thin">
        <color indexed="8"/>
      </left>
      <right style="double">
        <color indexed="8"/>
      </right>
      <top style="double">
        <color indexed="8"/>
      </top>
      <bottom/>
      <diagonal/>
    </border>
    <border>
      <left style="thin">
        <color indexed="8"/>
      </left>
      <right style="double">
        <color indexed="8"/>
      </right>
      <top/>
      <bottom style="thin">
        <color indexed="8"/>
      </bottom>
      <diagonal/>
    </border>
    <border>
      <left style="thin">
        <color indexed="8"/>
      </left>
      <right/>
      <top style="double">
        <color auto="1"/>
      </top>
      <bottom style="thin">
        <color indexed="8"/>
      </bottom>
      <diagonal/>
    </border>
    <border>
      <left/>
      <right style="thin">
        <color indexed="8"/>
      </right>
      <top style="double">
        <color auto="1"/>
      </top>
      <bottom style="thin">
        <color indexed="8"/>
      </bottom>
      <diagonal/>
    </border>
    <border>
      <left style="thin">
        <color indexed="8"/>
      </left>
      <right style="thin">
        <color indexed="8"/>
      </right>
      <top style="double">
        <color auto="1"/>
      </top>
      <bottom/>
      <diagonal/>
    </border>
    <border>
      <left style="thin">
        <color indexed="8"/>
      </left>
      <right style="thin">
        <color indexed="8"/>
      </right>
      <top style="thin">
        <color indexed="8"/>
      </top>
      <bottom style="double">
        <color auto="1"/>
      </bottom>
      <diagonal/>
    </border>
    <border>
      <left style="thin">
        <color indexed="8"/>
      </left>
      <right style="double">
        <color indexed="8"/>
      </right>
      <top style="double">
        <color auto="1"/>
      </top>
      <bottom/>
      <diagonal/>
    </border>
    <border>
      <left style="thin">
        <color indexed="8"/>
      </left>
      <right style="double">
        <color indexed="8"/>
      </right>
      <top style="thin">
        <color indexed="8"/>
      </top>
      <bottom style="double">
        <color auto="1"/>
      </bottom>
      <diagonal/>
    </border>
    <border>
      <left/>
      <right/>
      <top style="double">
        <color indexed="8"/>
      </top>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double">
        <color auto="1"/>
      </left>
      <right style="thin">
        <color auto="1"/>
      </right>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diagonal/>
    </border>
    <border>
      <left/>
      <right style="double">
        <color auto="1"/>
      </right>
      <top style="thin">
        <color auto="1"/>
      </top>
      <bottom/>
      <diagonal/>
    </border>
    <border>
      <left style="thin">
        <color auto="1"/>
      </left>
      <right/>
      <top style="thin">
        <color auto="1"/>
      </top>
      <bottom style="double">
        <color auto="1"/>
      </bottom>
      <diagonal/>
    </border>
    <border>
      <left/>
      <right style="thin">
        <color auto="1"/>
      </right>
      <top style="thin">
        <color auto="1"/>
      </top>
      <bottom style="double">
        <color auto="1"/>
      </bottom>
      <diagonal/>
    </border>
    <border>
      <left style="thin">
        <color indexed="48"/>
      </left>
      <right style="thin">
        <color indexed="48"/>
      </right>
      <top style="thin">
        <color indexed="48"/>
      </top>
      <bottom style="thin">
        <color indexed="48"/>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auto="1"/>
      </bottom>
      <diagonal/>
    </border>
    <border>
      <left/>
      <right/>
      <top style="medium">
        <color auto="1"/>
      </top>
      <bottom style="medium">
        <color auto="1"/>
      </bottom>
      <diagonal/>
    </border>
    <border>
      <left style="thin">
        <color indexed="41"/>
      </left>
      <right style="thin">
        <color indexed="48"/>
      </right>
      <top style="medium">
        <color indexed="41"/>
      </top>
      <bottom style="thin">
        <color indexed="48"/>
      </bottom>
      <diagonal/>
    </border>
  </borders>
  <cellStyleXfs count="427">
    <xf numFmtId="179" fontId="0" fillId="0" borderId="0"/>
    <xf numFmtId="42" fontId="117" fillId="0" borderId="0" applyFont="0" applyFill="0" applyBorder="0" applyAlignment="0" applyProtection="0">
      <alignment vertical="center"/>
    </xf>
    <xf numFmtId="41" fontId="121" fillId="0" borderId="0" applyFont="0" applyFill="0" applyBorder="0" applyAlignment="0" applyProtection="0"/>
    <xf numFmtId="0" fontId="128" fillId="42" borderId="103" applyNumberFormat="0" applyAlignment="0" applyProtection="0">
      <alignment vertical="center"/>
    </xf>
    <xf numFmtId="179" fontId="133" fillId="47" borderId="0" applyNumberFormat="0" applyBorder="0" applyAlignment="0" applyProtection="0">
      <alignment vertical="center"/>
    </xf>
    <xf numFmtId="4" fontId="127" fillId="49" borderId="99" applyNumberFormat="0" applyProtection="0">
      <alignment horizontal="left" vertical="center" indent="1"/>
    </xf>
    <xf numFmtId="0" fontId="130" fillId="46" borderId="0" applyNumberFormat="0" applyBorder="0" applyAlignment="0" applyProtection="0">
      <alignment vertical="center"/>
    </xf>
    <xf numFmtId="179" fontId="0" fillId="0" borderId="0"/>
    <xf numFmtId="44" fontId="117" fillId="0" borderId="0" applyFont="0" applyFill="0" applyBorder="0" applyAlignment="0" applyProtection="0">
      <alignment vertical="center"/>
    </xf>
    <xf numFmtId="179" fontId="129" fillId="0" borderId="0"/>
    <xf numFmtId="41" fontId="0" fillId="0" borderId="0" applyFont="0" applyFill="0" applyBorder="0" applyAlignment="0" applyProtection="0"/>
    <xf numFmtId="0" fontId="139" fillId="56" borderId="0" applyNumberFormat="0" applyBorder="0" applyAlignment="0" applyProtection="0">
      <alignment vertical="center"/>
    </xf>
    <xf numFmtId="179" fontId="0" fillId="0" borderId="0"/>
    <xf numFmtId="0" fontId="130" fillId="19" borderId="0" applyNumberFormat="0" applyBorder="0" applyAlignment="0" applyProtection="0">
      <alignment vertical="center"/>
    </xf>
    <xf numFmtId="179" fontId="0" fillId="0" borderId="0"/>
    <xf numFmtId="43" fontId="0" fillId="0" borderId="0" applyFont="0" applyFill="0" applyBorder="0" applyAlignment="0" applyProtection="0"/>
    <xf numFmtId="0" fontId="116" fillId="43" borderId="0" applyNumberFormat="0" applyBorder="0" applyAlignment="0" applyProtection="0">
      <alignment vertical="center"/>
    </xf>
    <xf numFmtId="179" fontId="49" fillId="0" borderId="0" applyNumberFormat="0" applyFill="0" applyBorder="0" applyAlignment="0" applyProtection="0">
      <alignment vertical="top"/>
      <protection locked="0"/>
    </xf>
    <xf numFmtId="180" fontId="121" fillId="0" borderId="0" applyFont="0" applyFill="0" applyBorder="0" applyAlignment="0" applyProtection="0"/>
    <xf numFmtId="198" fontId="121" fillId="0" borderId="0"/>
    <xf numFmtId="9" fontId="0" fillId="0" borderId="0" applyFont="0" applyFill="0" applyBorder="0" applyAlignment="0" applyProtection="0"/>
    <xf numFmtId="0" fontId="144" fillId="0" borderId="0" applyNumberFormat="0" applyFill="0" applyBorder="0" applyAlignment="0" applyProtection="0">
      <alignment vertical="center"/>
    </xf>
    <xf numFmtId="0" fontId="117" fillId="53" borderId="106" applyNumberFormat="0" applyFont="0" applyAlignment="0" applyProtection="0">
      <alignment vertical="center"/>
    </xf>
    <xf numFmtId="179" fontId="3" fillId="0" borderId="0"/>
    <xf numFmtId="179" fontId="59" fillId="0" borderId="0">
      <alignment horizontal="left"/>
    </xf>
    <xf numFmtId="0" fontId="124" fillId="0" borderId="0" applyNumberFormat="0" applyFill="0" applyBorder="0" applyAlignment="0" applyProtection="0">
      <alignment vertical="center"/>
    </xf>
    <xf numFmtId="179" fontId="133" fillId="47" borderId="0" applyNumberFormat="0" applyBorder="0" applyAlignment="0" applyProtection="0">
      <alignment vertical="center"/>
    </xf>
    <xf numFmtId="0" fontId="116" fillId="36" borderId="0" applyNumberFormat="0" applyBorder="0" applyAlignment="0" applyProtection="0">
      <alignment vertical="center"/>
    </xf>
    <xf numFmtId="179" fontId="3" fillId="0" borderId="0"/>
    <xf numFmtId="0" fontId="136" fillId="0" borderId="0" applyNumberFormat="0" applyFill="0" applyBorder="0" applyAlignment="0" applyProtection="0">
      <alignment vertical="center"/>
    </xf>
    <xf numFmtId="0" fontId="120" fillId="0" borderId="0" applyNumberFormat="0" applyFill="0" applyBorder="0" applyAlignment="0" applyProtection="0">
      <alignment vertical="center"/>
    </xf>
    <xf numFmtId="179" fontId="3" fillId="0" borderId="0"/>
    <xf numFmtId="179" fontId="0" fillId="0" borderId="0"/>
    <xf numFmtId="197" fontId="127" fillId="0" borderId="0" applyFill="0" applyBorder="0" applyAlignment="0"/>
    <xf numFmtId="0" fontId="142" fillId="0" borderId="0" applyNumberFormat="0" applyFill="0" applyBorder="0" applyAlignment="0" applyProtection="0">
      <alignment vertical="center"/>
    </xf>
    <xf numFmtId="9" fontId="0" fillId="0" borderId="0" applyFont="0" applyFill="0" applyBorder="0" applyAlignment="0" applyProtection="0"/>
    <xf numFmtId="179" fontId="3" fillId="0" borderId="0"/>
    <xf numFmtId="179" fontId="3" fillId="0" borderId="0"/>
    <xf numFmtId="0" fontId="138" fillId="0" borderId="105" applyNumberFormat="0" applyFill="0" applyAlignment="0" applyProtection="0">
      <alignment vertical="center"/>
    </xf>
    <xf numFmtId="179" fontId="0" fillId="0" borderId="0"/>
    <xf numFmtId="192" fontId="0" fillId="0" borderId="0" applyFont="0" applyFill="0" applyBorder="0" applyAlignment="0" applyProtection="0"/>
    <xf numFmtId="0" fontId="135" fillId="0" borderId="105" applyNumberFormat="0" applyFill="0" applyAlignment="0" applyProtection="0">
      <alignment vertical="center"/>
    </xf>
    <xf numFmtId="0" fontId="116" fillId="57" borderId="0" applyNumberFormat="0" applyBorder="0" applyAlignment="0" applyProtection="0">
      <alignment vertical="center"/>
    </xf>
    <xf numFmtId="179" fontId="133" fillId="39" borderId="0" applyNumberFormat="0" applyBorder="0" applyAlignment="0" applyProtection="0">
      <alignment vertical="center"/>
    </xf>
    <xf numFmtId="41" fontId="121" fillId="0" borderId="0" applyFont="0" applyFill="0" applyBorder="0" applyAlignment="0" applyProtection="0"/>
    <xf numFmtId="0" fontId="124" fillId="0" borderId="101" applyNumberFormat="0" applyFill="0" applyAlignment="0" applyProtection="0">
      <alignment vertical="center"/>
    </xf>
    <xf numFmtId="0" fontId="116" fillId="63" borderId="0" applyNumberFormat="0" applyBorder="0" applyAlignment="0" applyProtection="0">
      <alignment vertical="center"/>
    </xf>
    <xf numFmtId="179" fontId="123" fillId="38" borderId="0" applyNumberFormat="0" applyBorder="0" applyAlignment="0" applyProtection="0">
      <alignment vertical="center"/>
    </xf>
    <xf numFmtId="0" fontId="122" fillId="37" borderId="100" applyNumberFormat="0" applyAlignment="0" applyProtection="0">
      <alignment vertical="center"/>
    </xf>
    <xf numFmtId="0" fontId="132" fillId="37" borderId="103" applyNumberFormat="0" applyAlignment="0" applyProtection="0">
      <alignment vertical="center"/>
    </xf>
    <xf numFmtId="179" fontId="125" fillId="39" borderId="0" applyNumberFormat="0" applyBorder="0" applyAlignment="0" applyProtection="0">
      <alignment vertical="center"/>
    </xf>
    <xf numFmtId="0" fontId="126" fillId="40" borderId="102" applyNumberFormat="0" applyAlignment="0" applyProtection="0">
      <alignment vertical="center"/>
    </xf>
    <xf numFmtId="179" fontId="3" fillId="0" borderId="0"/>
    <xf numFmtId="0" fontId="130" fillId="62" borderId="0" applyNumberFormat="0" applyBorder="0" applyAlignment="0" applyProtection="0">
      <alignment vertical="center"/>
    </xf>
    <xf numFmtId="0" fontId="116" fillId="54" borderId="0" applyNumberFormat="0" applyBorder="0" applyAlignment="0" applyProtection="0">
      <alignment vertical="center"/>
    </xf>
    <xf numFmtId="179" fontId="0" fillId="0" borderId="0"/>
    <xf numFmtId="0" fontId="134" fillId="0" borderId="104" applyNumberFormat="0" applyFill="0" applyAlignment="0" applyProtection="0">
      <alignment vertical="center"/>
    </xf>
    <xf numFmtId="179" fontId="118" fillId="32" borderId="0" applyNumberFormat="0" applyBorder="0" applyAlignment="0" applyProtection="0">
      <alignment vertical="center"/>
    </xf>
    <xf numFmtId="179" fontId="3" fillId="0" borderId="0"/>
    <xf numFmtId="0" fontId="137" fillId="0" borderId="107" applyNumberFormat="0" applyFill="0" applyAlignment="0" applyProtection="0">
      <alignment vertical="center"/>
    </xf>
    <xf numFmtId="0" fontId="140" fillId="59" borderId="0" applyNumberFormat="0" applyBorder="0" applyAlignment="0" applyProtection="0">
      <alignment vertical="center"/>
    </xf>
    <xf numFmtId="0" fontId="119" fillId="34" borderId="0" applyNumberFormat="0" applyBorder="0" applyAlignment="0" applyProtection="0">
      <alignment vertical="center"/>
    </xf>
    <xf numFmtId="179" fontId="123" fillId="38" borderId="0" applyNumberFormat="0" applyBorder="0" applyAlignment="0" applyProtection="0">
      <alignment vertical="center"/>
    </xf>
    <xf numFmtId="179" fontId="125" fillId="39" borderId="0" applyNumberFormat="0" applyBorder="0" applyAlignment="0" applyProtection="0">
      <alignment vertical="center"/>
    </xf>
    <xf numFmtId="0" fontId="130" fillId="58" borderId="0" applyNumberFormat="0" applyBorder="0" applyAlignment="0" applyProtection="0">
      <alignment vertical="center"/>
    </xf>
    <xf numFmtId="179" fontId="3" fillId="0" borderId="0"/>
    <xf numFmtId="0" fontId="116" fillId="61" borderId="0" applyNumberFormat="0" applyBorder="0" applyAlignment="0" applyProtection="0">
      <alignment vertical="center"/>
    </xf>
    <xf numFmtId="179" fontId="0" fillId="0" borderId="0"/>
    <xf numFmtId="0" fontId="130" fillId="65" borderId="0" applyNumberFormat="0" applyBorder="0" applyAlignment="0" applyProtection="0">
      <alignment vertical="center"/>
    </xf>
    <xf numFmtId="179" fontId="0" fillId="0" borderId="0"/>
    <xf numFmtId="179" fontId="0" fillId="0" borderId="0"/>
    <xf numFmtId="0" fontId="130" fillId="52" borderId="0" applyNumberFormat="0" applyBorder="0" applyAlignment="0" applyProtection="0">
      <alignment vertical="center"/>
    </xf>
    <xf numFmtId="203" fontId="141" fillId="0" borderId="0" applyFont="0" applyFill="0" applyBorder="0" applyAlignment="0" applyProtection="0"/>
    <xf numFmtId="0" fontId="130" fillId="50" borderId="0" applyNumberFormat="0" applyBorder="0" applyAlignment="0" applyProtection="0">
      <alignment vertical="center"/>
    </xf>
    <xf numFmtId="179" fontId="0" fillId="0" borderId="0"/>
    <xf numFmtId="0" fontId="130" fillId="64" borderId="0" applyNumberFormat="0" applyBorder="0" applyAlignment="0" applyProtection="0">
      <alignment vertical="center"/>
    </xf>
    <xf numFmtId="0" fontId="116" fillId="48" borderId="0" applyNumberFormat="0" applyBorder="0" applyAlignment="0" applyProtection="0">
      <alignment vertical="center"/>
    </xf>
    <xf numFmtId="4" fontId="143" fillId="29" borderId="99" applyNumberFormat="0" applyProtection="0">
      <alignment horizontal="left" vertical="center" indent="1"/>
    </xf>
    <xf numFmtId="4" fontId="127" fillId="41" borderId="99" applyNumberFormat="0" applyProtection="0">
      <alignment horizontal="left" vertical="center" indent="1"/>
    </xf>
    <xf numFmtId="179" fontId="131" fillId="0" borderId="0"/>
    <xf numFmtId="0" fontId="116" fillId="51" borderId="0" applyNumberFormat="0" applyBorder="0" applyAlignment="0" applyProtection="0">
      <alignment vertical="center"/>
    </xf>
    <xf numFmtId="179" fontId="3" fillId="0" borderId="0"/>
    <xf numFmtId="0" fontId="130" fillId="45" borderId="0" applyNumberFormat="0" applyBorder="0" applyAlignment="0" applyProtection="0">
      <alignment vertical="center"/>
    </xf>
    <xf numFmtId="0" fontId="130" fillId="6" borderId="0" applyNumberFormat="0" applyBorder="0" applyAlignment="0" applyProtection="0">
      <alignment vertical="center"/>
    </xf>
    <xf numFmtId="0" fontId="116" fillId="55" borderId="0" applyNumberFormat="0" applyBorder="0" applyAlignment="0" applyProtection="0">
      <alignment vertical="center"/>
    </xf>
    <xf numFmtId="0" fontId="130" fillId="60" borderId="0" applyNumberFormat="0" applyBorder="0" applyAlignment="0" applyProtection="0">
      <alignment vertical="center"/>
    </xf>
    <xf numFmtId="179" fontId="121" fillId="30" borderId="99" applyNumberFormat="0" applyProtection="0">
      <alignment horizontal="left" vertical="top" indent="1"/>
    </xf>
    <xf numFmtId="179" fontId="133" fillId="39" borderId="0" applyNumberFormat="0" applyBorder="0" applyAlignment="0" applyProtection="0">
      <alignment vertical="center"/>
    </xf>
    <xf numFmtId="179" fontId="133" fillId="47" borderId="0" applyNumberFormat="0" applyBorder="0" applyAlignment="0" applyProtection="0">
      <alignment vertical="center"/>
    </xf>
    <xf numFmtId="0" fontId="116" fillId="33" borderId="0" applyNumberFormat="0" applyBorder="0" applyAlignment="0" applyProtection="0">
      <alignment vertical="center"/>
    </xf>
    <xf numFmtId="41" fontId="0" fillId="0" borderId="0" applyFont="0" applyFill="0" applyBorder="0" applyAlignment="0" applyProtection="0"/>
    <xf numFmtId="0" fontId="116" fillId="44" borderId="0" applyNumberFormat="0" applyBorder="0" applyAlignment="0" applyProtection="0">
      <alignment vertical="center"/>
    </xf>
    <xf numFmtId="185" fontId="76" fillId="0" borderId="0" applyFont="0" applyFill="0" applyBorder="0" applyAlignment="0" applyProtection="0"/>
    <xf numFmtId="0" fontId="130" fillId="18" borderId="0" applyNumberFormat="0" applyBorder="0" applyAlignment="0" applyProtection="0">
      <alignment vertical="center"/>
    </xf>
    <xf numFmtId="0" fontId="116" fillId="35" borderId="0" applyNumberFormat="0" applyBorder="0" applyAlignment="0" applyProtection="0">
      <alignment vertical="center"/>
    </xf>
    <xf numFmtId="198" fontId="121" fillId="0" borderId="0"/>
    <xf numFmtId="179" fontId="123" fillId="38" borderId="0" applyNumberFormat="0" applyBorder="0" applyAlignment="0" applyProtection="0">
      <alignment vertical="center"/>
    </xf>
    <xf numFmtId="179" fontId="123" fillId="38" borderId="0" applyNumberFormat="0" applyBorder="0" applyAlignment="0" applyProtection="0">
      <alignment vertical="center"/>
    </xf>
    <xf numFmtId="198" fontId="121" fillId="0" borderId="0"/>
    <xf numFmtId="198" fontId="121" fillId="0" borderId="0"/>
    <xf numFmtId="179" fontId="0" fillId="0" borderId="0"/>
    <xf numFmtId="179" fontId="146" fillId="0" borderId="2" applyNumberFormat="0" applyFill="0" applyProtection="0">
      <alignment horizontal="center"/>
    </xf>
    <xf numFmtId="43" fontId="0" fillId="0" borderId="0" applyFont="0" applyFill="0" applyBorder="0" applyAlignment="0" applyProtection="0"/>
    <xf numFmtId="192" fontId="0" fillId="0" borderId="0" applyFont="0" applyFill="0" applyBorder="0" applyAlignment="0" applyProtection="0"/>
    <xf numFmtId="38" fontId="147" fillId="66" borderId="0" applyNumberFormat="0" applyBorder="0" applyAlignment="0" applyProtection="0"/>
    <xf numFmtId="10" fontId="141" fillId="0" borderId="0" applyFont="0" applyFill="0" applyBorder="0" applyAlignment="0" applyProtection="0"/>
    <xf numFmtId="215" fontId="0" fillId="0" borderId="0" applyFont="0" applyFill="0" applyBorder="0" applyAlignment="0" applyProtection="0"/>
    <xf numFmtId="198" fontId="121" fillId="0" borderId="0"/>
    <xf numFmtId="179" fontId="149" fillId="0" borderId="0"/>
    <xf numFmtId="198" fontId="121" fillId="0" borderId="0"/>
    <xf numFmtId="198" fontId="121" fillId="0" borderId="0"/>
    <xf numFmtId="198" fontId="121" fillId="0" borderId="0"/>
    <xf numFmtId="179" fontId="118" fillId="32" borderId="0" applyNumberFormat="0" applyBorder="0" applyAlignment="0" applyProtection="0">
      <alignment vertical="center"/>
    </xf>
    <xf numFmtId="208" fontId="121" fillId="0" borderId="0" applyFont="0" applyFill="0" applyBorder="0" applyAlignment="0" applyProtection="0"/>
    <xf numFmtId="179" fontId="121" fillId="0" borderId="0" applyFont="0" applyFill="0" applyBorder="0" applyAlignment="0" applyProtection="0"/>
    <xf numFmtId="4" fontId="127" fillId="32" borderId="99" applyNumberFormat="0" applyProtection="0">
      <alignment horizontal="right" vertical="center"/>
    </xf>
    <xf numFmtId="179" fontId="133" fillId="47" borderId="0" applyNumberFormat="0" applyBorder="0" applyAlignment="0" applyProtection="0">
      <alignment vertical="center"/>
    </xf>
    <xf numFmtId="207" fontId="55" fillId="0" borderId="0"/>
    <xf numFmtId="179" fontId="145" fillId="0" borderId="0" applyFont="0" applyFill="0" applyBorder="0" applyAlignment="0" applyProtection="0"/>
    <xf numFmtId="37" fontId="141" fillId="0" borderId="0" applyFont="0" applyFill="0" applyBorder="0" applyAlignment="0" applyProtection="0"/>
    <xf numFmtId="191" fontId="141" fillId="0" borderId="0" applyFont="0" applyFill="0" applyBorder="0" applyAlignment="0" applyProtection="0"/>
    <xf numFmtId="179" fontId="123" fillId="38" borderId="0" applyNumberFormat="0" applyBorder="0" applyAlignment="0" applyProtection="0">
      <alignment vertical="center"/>
    </xf>
    <xf numFmtId="39" fontId="141" fillId="0" borderId="0" applyFont="0" applyFill="0" applyBorder="0" applyAlignment="0" applyProtection="0"/>
    <xf numFmtId="179" fontId="3" fillId="0" borderId="0"/>
    <xf numFmtId="179" fontId="55" fillId="0" borderId="0"/>
    <xf numFmtId="179" fontId="121" fillId="0" borderId="0" applyFont="0" applyFill="0" applyBorder="0" applyAlignment="0" applyProtection="0"/>
    <xf numFmtId="179" fontId="3" fillId="0" borderId="0"/>
    <xf numFmtId="196" fontId="141" fillId="0" borderId="0" applyFont="0" applyFill="0" applyBorder="0" applyAlignment="0" applyProtection="0"/>
    <xf numFmtId="220" fontId="141" fillId="0" borderId="0" applyFont="0" applyFill="0" applyBorder="0" applyAlignment="0" applyProtection="0"/>
    <xf numFmtId="209" fontId="121" fillId="0" borderId="0" applyFont="0" applyFill="0" applyBorder="0" applyAlignment="0" applyProtection="0"/>
    <xf numFmtId="179" fontId="123" fillId="38" borderId="0" applyNumberFormat="0" applyBorder="0" applyAlignment="0" applyProtection="0">
      <alignment vertical="center"/>
    </xf>
    <xf numFmtId="190" fontId="55" fillId="0" borderId="0"/>
    <xf numFmtId="195" fontId="55" fillId="0" borderId="0"/>
    <xf numFmtId="179" fontId="147" fillId="73" borderId="1"/>
    <xf numFmtId="179" fontId="3" fillId="0" borderId="0" applyFont="0" applyFill="0" applyBorder="0" applyAlignment="0" applyProtection="0"/>
    <xf numFmtId="179" fontId="3" fillId="0" borderId="0" applyFont="0" applyFill="0" applyBorder="0" applyAlignment="0" applyProtection="0"/>
    <xf numFmtId="179" fontId="0" fillId="0" borderId="0"/>
    <xf numFmtId="179" fontId="152" fillId="0" borderId="0">
      <alignment horizontal="left"/>
    </xf>
    <xf numFmtId="43" fontId="55" fillId="0" borderId="0" applyFont="0" applyFill="0" applyBorder="0" applyAlignment="0" applyProtection="0"/>
    <xf numFmtId="179" fontId="150" fillId="0" borderId="109" applyNumberFormat="0" applyAlignment="0" applyProtection="0">
      <alignment horizontal="left" vertical="center"/>
    </xf>
    <xf numFmtId="179" fontId="150" fillId="0" borderId="15">
      <alignment horizontal="left" vertical="center"/>
    </xf>
    <xf numFmtId="10" fontId="147" fillId="49" borderId="1" applyNumberFormat="0" applyBorder="0" applyAlignment="0" applyProtection="0"/>
    <xf numFmtId="43" fontId="0" fillId="0" borderId="0" applyFont="0" applyFill="0" applyBorder="0" applyAlignment="0" applyProtection="0"/>
    <xf numFmtId="179" fontId="148" fillId="0" borderId="108"/>
    <xf numFmtId="179" fontId="133" fillId="39" borderId="0" applyNumberFormat="0" applyBorder="0" applyAlignment="0" applyProtection="0">
      <alignment vertical="center"/>
    </xf>
    <xf numFmtId="203" fontId="0" fillId="0" borderId="0"/>
    <xf numFmtId="179" fontId="121" fillId="0" borderId="0"/>
    <xf numFmtId="10" fontId="121" fillId="0" borderId="0" applyFont="0" applyFill="0" applyBorder="0" applyAlignment="0" applyProtection="0"/>
    <xf numFmtId="179" fontId="0" fillId="0" borderId="0"/>
    <xf numFmtId="179" fontId="147" fillId="66" borderId="1"/>
    <xf numFmtId="179" fontId="0" fillId="0" borderId="0"/>
    <xf numFmtId="179" fontId="76" fillId="0" borderId="0"/>
    <xf numFmtId="4" fontId="59" fillId="0" borderId="0">
      <alignment horizontal="right"/>
    </xf>
    <xf numFmtId="4" fontId="151" fillId="0" borderId="0">
      <alignment horizontal="right"/>
    </xf>
    <xf numFmtId="178" fontId="121" fillId="0" borderId="0" applyFont="0" applyFill="0" applyBorder="0" applyAlignment="0" applyProtection="0"/>
    <xf numFmtId="41" fontId="55" fillId="0" borderId="0" applyFont="0" applyFill="0" applyBorder="0" applyAlignment="0" applyProtection="0"/>
    <xf numFmtId="179" fontId="3" fillId="0" borderId="0"/>
    <xf numFmtId="4" fontId="143" fillId="29" borderId="99" applyNumberFormat="0" applyProtection="0">
      <alignment vertical="center"/>
    </xf>
    <xf numFmtId="4" fontId="127" fillId="30" borderId="99" applyNumberFormat="0" applyProtection="0">
      <alignment horizontal="right" vertical="center"/>
    </xf>
    <xf numFmtId="4" fontId="153" fillId="29" borderId="99" applyNumberFormat="0" applyProtection="0">
      <alignment vertical="center"/>
    </xf>
    <xf numFmtId="4" fontId="154" fillId="30" borderId="99" applyNumberFormat="0" applyProtection="0">
      <alignment horizontal="right" vertical="center"/>
    </xf>
    <xf numFmtId="179" fontId="0" fillId="0" borderId="0"/>
    <xf numFmtId="179" fontId="143" fillId="29" borderId="99" applyNumberFormat="0" applyProtection="0">
      <alignment horizontal="left" vertical="top" indent="1"/>
    </xf>
    <xf numFmtId="179" fontId="127" fillId="41" borderId="99" applyNumberFormat="0" applyProtection="0">
      <alignment horizontal="left" vertical="top" indent="1"/>
    </xf>
    <xf numFmtId="4" fontId="143" fillId="41" borderId="0" applyNumberFormat="0" applyProtection="0">
      <alignment horizontal="left" vertical="center" indent="1"/>
    </xf>
    <xf numFmtId="4" fontId="127" fillId="38" borderId="99" applyNumberFormat="0" applyProtection="0">
      <alignment horizontal="right" vertical="center"/>
    </xf>
    <xf numFmtId="179" fontId="0" fillId="0" borderId="0"/>
    <xf numFmtId="4" fontId="127" fillId="77" borderId="99" applyNumberFormat="0" applyProtection="0">
      <alignment horizontal="right" vertical="center"/>
    </xf>
    <xf numFmtId="4" fontId="127" fillId="72" borderId="99" applyNumberFormat="0" applyProtection="0">
      <alignment horizontal="right" vertical="center"/>
    </xf>
    <xf numFmtId="4" fontId="127" fillId="71" borderId="99" applyNumberFormat="0" applyProtection="0">
      <alignment horizontal="right" vertical="center"/>
    </xf>
    <xf numFmtId="179" fontId="133" fillId="47" borderId="0" applyNumberFormat="0" applyBorder="0" applyAlignment="0" applyProtection="0">
      <alignment vertical="center"/>
    </xf>
    <xf numFmtId="4" fontId="127" fillId="68" borderId="99" applyNumberFormat="0" applyProtection="0">
      <alignment horizontal="right" vertical="center"/>
    </xf>
    <xf numFmtId="179" fontId="118" fillId="32" borderId="0" applyNumberFormat="0" applyBorder="0" applyAlignment="0" applyProtection="0">
      <alignment vertical="center"/>
    </xf>
    <xf numFmtId="4" fontId="127" fillId="69" borderId="99" applyNumberFormat="0" applyProtection="0">
      <alignment horizontal="right" vertical="center"/>
    </xf>
    <xf numFmtId="4" fontId="127" fillId="76" borderId="99" applyNumberFormat="0" applyProtection="0">
      <alignment horizontal="right" vertical="center"/>
    </xf>
    <xf numFmtId="9" fontId="0" fillId="0" borderId="0" applyFont="0" applyFill="0" applyBorder="0" applyAlignment="0" applyProtection="0">
      <alignment vertical="center"/>
    </xf>
    <xf numFmtId="4" fontId="127" fillId="70" borderId="99" applyNumberFormat="0" applyProtection="0">
      <alignment horizontal="right" vertical="center"/>
    </xf>
    <xf numFmtId="9" fontId="0" fillId="0" borderId="0" applyFont="0" applyFill="0" applyBorder="0" applyAlignment="0" applyProtection="0"/>
    <xf numFmtId="4" fontId="143" fillId="75" borderId="110" applyNumberFormat="0" applyProtection="0">
      <alignment horizontal="left" vertical="center" indent="1"/>
    </xf>
    <xf numFmtId="4" fontId="127" fillId="30" borderId="0" applyNumberFormat="0" applyProtection="0">
      <alignment horizontal="left" vertical="center" indent="1"/>
    </xf>
    <xf numFmtId="4" fontId="155" fillId="67" borderId="0" applyNumberFormat="0" applyProtection="0">
      <alignment horizontal="left" vertical="center" indent="1"/>
    </xf>
    <xf numFmtId="179" fontId="0" fillId="0" borderId="0"/>
    <xf numFmtId="4" fontId="127" fillId="41" borderId="99" applyNumberFormat="0" applyProtection="0">
      <alignment horizontal="right" vertical="center"/>
    </xf>
    <xf numFmtId="4" fontId="127" fillId="30" borderId="0" applyNumberFormat="0" applyProtection="0">
      <alignment horizontal="left" vertical="center" indent="1"/>
    </xf>
    <xf numFmtId="179" fontId="3" fillId="0" borderId="0"/>
    <xf numFmtId="179" fontId="125" fillId="39" borderId="0" applyNumberFormat="0" applyBorder="0" applyAlignment="0" applyProtection="0">
      <alignment vertical="center"/>
    </xf>
    <xf numFmtId="4" fontId="127" fillId="41" borderId="0" applyNumberFormat="0" applyProtection="0">
      <alignment horizontal="left" vertical="center" indent="1"/>
    </xf>
    <xf numFmtId="179" fontId="121" fillId="67" borderId="99" applyNumberFormat="0" applyProtection="0">
      <alignment horizontal="left" vertical="center" indent="1"/>
    </xf>
    <xf numFmtId="179" fontId="121" fillId="67" borderId="99" applyNumberFormat="0" applyProtection="0">
      <alignment horizontal="left" vertical="top" indent="1"/>
    </xf>
    <xf numFmtId="179" fontId="121" fillId="41" borderId="99" applyNumberFormat="0" applyProtection="0">
      <alignment horizontal="left" vertical="center" indent="1"/>
    </xf>
    <xf numFmtId="179" fontId="121" fillId="41" borderId="99" applyNumberFormat="0" applyProtection="0">
      <alignment horizontal="left" vertical="top" indent="1"/>
    </xf>
    <xf numFmtId="179" fontId="121" fillId="74" borderId="99" applyNumberFormat="0" applyProtection="0">
      <alignment horizontal="left" vertical="center" indent="1"/>
    </xf>
    <xf numFmtId="179" fontId="0" fillId="0" borderId="0"/>
    <xf numFmtId="179" fontId="121" fillId="74" borderId="99" applyNumberFormat="0" applyProtection="0">
      <alignment horizontal="left" vertical="top" indent="1"/>
    </xf>
    <xf numFmtId="179" fontId="121" fillId="30" borderId="99" applyNumberFormat="0" applyProtection="0">
      <alignment horizontal="left" vertical="center" indent="1"/>
    </xf>
    <xf numFmtId="179" fontId="123" fillId="38" borderId="0" applyNumberFormat="0" applyBorder="0" applyAlignment="0" applyProtection="0">
      <alignment vertical="center"/>
    </xf>
    <xf numFmtId="4" fontId="127" fillId="49" borderId="99" applyNumberFormat="0" applyProtection="0">
      <alignment vertical="center"/>
    </xf>
    <xf numFmtId="179" fontId="0" fillId="0" borderId="0"/>
    <xf numFmtId="4" fontId="154" fillId="49" borderId="99" applyNumberFormat="0" applyProtection="0">
      <alignment vertical="center"/>
    </xf>
    <xf numFmtId="179" fontId="127" fillId="49" borderId="99" applyNumberFormat="0" applyProtection="0">
      <alignment horizontal="left" vertical="top" indent="1"/>
    </xf>
    <xf numFmtId="179" fontId="123" fillId="38" borderId="0" applyNumberFormat="0" applyBorder="0" applyAlignment="0" applyProtection="0">
      <alignment vertical="center"/>
    </xf>
    <xf numFmtId="4" fontId="157" fillId="78" borderId="0" applyNumberFormat="0" applyProtection="0">
      <alignment horizontal="left" vertical="center" indent="1"/>
    </xf>
    <xf numFmtId="43" fontId="117" fillId="0" borderId="0" applyFont="0" applyFill="0" applyBorder="0" applyAlignment="0" applyProtection="0">
      <alignment vertical="center"/>
    </xf>
    <xf numFmtId="4" fontId="158" fillId="30" borderId="99" applyNumberFormat="0" applyProtection="0">
      <alignment horizontal="right" vertical="center"/>
    </xf>
    <xf numFmtId="179" fontId="159" fillId="0" borderId="0">
      <alignment horizontal="left"/>
    </xf>
    <xf numFmtId="43" fontId="147" fillId="0" borderId="43"/>
    <xf numFmtId="4" fontId="156" fillId="0" borderId="0" applyFont="0" applyFill="0" applyBorder="0" applyAlignment="0" applyProtection="0"/>
    <xf numFmtId="179" fontId="148" fillId="0" borderId="0"/>
    <xf numFmtId="179" fontId="160" fillId="73" borderId="0" applyNumberFormat="0" applyBorder="0" applyAlignment="0" applyProtection="0">
      <alignment vertical="center"/>
    </xf>
    <xf numFmtId="179" fontId="161" fillId="0" borderId="0">
      <alignment horizontal="center"/>
    </xf>
    <xf numFmtId="179" fontId="0" fillId="0" borderId="0"/>
    <xf numFmtId="206" fontId="121" fillId="0" borderId="0" applyFont="0" applyFill="0" applyBorder="0" applyAlignment="0" applyProtection="0"/>
    <xf numFmtId="214" fontId="121" fillId="0" borderId="0" applyFont="0" applyFill="0" applyBorder="0" applyAlignment="0" applyProtection="0"/>
    <xf numFmtId="179" fontId="165" fillId="0" borderId="0"/>
    <xf numFmtId="205" fontId="0" fillId="0" borderId="0" applyFont="0" applyFill="0" applyBorder="0" applyAlignment="0" applyProtection="0"/>
    <xf numFmtId="177" fontId="0" fillId="0" borderId="0" applyFont="0" applyFill="0" applyBorder="0" applyAlignment="0" applyProtection="0"/>
    <xf numFmtId="179" fontId="3" fillId="0" borderId="0"/>
    <xf numFmtId="9" fontId="166" fillId="0" borderId="0" applyFont="0" applyFill="0" applyBorder="0" applyAlignment="0" applyProtection="0"/>
    <xf numFmtId="179" fontId="133" fillId="39" borderId="0" applyNumberFormat="0" applyBorder="0" applyAlignment="0" applyProtection="0">
      <alignment vertical="center"/>
    </xf>
    <xf numFmtId="179" fontId="76" fillId="0" borderId="0"/>
    <xf numFmtId="179" fontId="133" fillId="39" borderId="0" applyNumberFormat="0" applyBorder="0" applyAlignment="0" applyProtection="0">
      <alignment vertical="center"/>
    </xf>
    <xf numFmtId="179" fontId="125" fillId="39" borderId="0" applyNumberFormat="0" applyBorder="0" applyAlignment="0" applyProtection="0">
      <alignment vertical="center"/>
    </xf>
    <xf numFmtId="179" fontId="64" fillId="0" borderId="0"/>
    <xf numFmtId="183" fontId="76" fillId="0" borderId="0" applyFont="0" applyFill="0" applyBorder="0" applyAlignment="0" applyProtection="0"/>
    <xf numFmtId="9" fontId="76" fillId="0" borderId="0" applyFont="0" applyFill="0" applyBorder="0" applyAlignment="0" applyProtection="0"/>
    <xf numFmtId="179" fontId="133" fillId="39" borderId="0" applyNumberFormat="0" applyBorder="0" applyAlignment="0" applyProtection="0">
      <alignment vertical="center"/>
    </xf>
    <xf numFmtId="9" fontId="0" fillId="0" borderId="0" applyFont="0" applyFill="0" applyBorder="0" applyAlignment="0" applyProtection="0"/>
    <xf numFmtId="9" fontId="0" fillId="0" borderId="0" applyFont="0" applyFill="0" applyBorder="0" applyAlignment="0" applyProtection="0"/>
    <xf numFmtId="179" fontId="133" fillId="47" borderId="0" applyNumberFormat="0" applyBorder="0" applyAlignment="0" applyProtection="0">
      <alignment vertical="center"/>
    </xf>
    <xf numFmtId="179" fontId="163" fillId="0" borderId="0" applyFont="0" applyFill="0" applyBorder="0" applyAlignment="0" applyProtection="0"/>
    <xf numFmtId="179" fontId="163" fillId="0" borderId="0" applyFont="0" applyFill="0" applyBorder="0" applyAlignment="0" applyProtection="0"/>
    <xf numFmtId="4" fontId="164" fillId="0" borderId="0">
      <alignment horizontal="right"/>
    </xf>
    <xf numFmtId="179" fontId="123" fillId="38" borderId="0" applyNumberFormat="0" applyBorder="0" applyAlignment="0" applyProtection="0">
      <alignment vertical="center"/>
    </xf>
    <xf numFmtId="179" fontId="123" fillId="38" borderId="0" applyNumberFormat="0" applyBorder="0" applyAlignment="0" applyProtection="0">
      <alignment vertical="center"/>
    </xf>
    <xf numFmtId="179" fontId="123" fillId="38" borderId="0" applyNumberFormat="0" applyBorder="0" applyAlignment="0" applyProtection="0">
      <alignment vertical="center"/>
    </xf>
    <xf numFmtId="179" fontId="118" fillId="32" borderId="0" applyNumberFormat="0" applyBorder="0" applyAlignment="0" applyProtection="0">
      <alignment vertical="center"/>
    </xf>
    <xf numFmtId="179" fontId="118" fillId="32" borderId="0" applyNumberFormat="0" applyBorder="0" applyAlignment="0" applyProtection="0">
      <alignment vertical="center"/>
    </xf>
    <xf numFmtId="179" fontId="125" fillId="39" borderId="0" applyNumberFormat="0" applyBorder="0" applyAlignment="0" applyProtection="0">
      <alignment vertical="center"/>
    </xf>
    <xf numFmtId="43" fontId="0" fillId="0" borderId="0" applyFont="0" applyFill="0" applyBorder="0" applyAlignment="0" applyProtection="0"/>
    <xf numFmtId="179" fontId="118" fillId="32" borderId="0" applyNumberFormat="0" applyBorder="0" applyAlignment="0" applyProtection="0">
      <alignment vertical="center"/>
    </xf>
    <xf numFmtId="179" fontId="123" fillId="38" borderId="0" applyNumberFormat="0" applyBorder="0" applyAlignment="0" applyProtection="0">
      <alignment vertical="center"/>
    </xf>
    <xf numFmtId="179" fontId="125" fillId="39" borderId="0" applyNumberFormat="0" applyBorder="0" applyAlignment="0" applyProtection="0">
      <alignment vertical="center"/>
    </xf>
    <xf numFmtId="179" fontId="123" fillId="38" borderId="0" applyNumberFormat="0" applyBorder="0" applyAlignment="0" applyProtection="0">
      <alignment vertical="center"/>
    </xf>
    <xf numFmtId="179" fontId="123" fillId="38" borderId="0" applyNumberFormat="0" applyBorder="0" applyAlignment="0" applyProtection="0">
      <alignment vertical="center"/>
    </xf>
    <xf numFmtId="179" fontId="123" fillId="38" borderId="0" applyNumberFormat="0" applyBorder="0" applyAlignment="0" applyProtection="0">
      <alignment vertical="center"/>
    </xf>
    <xf numFmtId="179" fontId="133" fillId="47" borderId="0" applyNumberFormat="0" applyBorder="0" applyAlignment="0" applyProtection="0">
      <alignment vertical="center"/>
    </xf>
    <xf numFmtId="179" fontId="123" fillId="38" borderId="0" applyNumberFormat="0" applyBorder="0" applyAlignment="0" applyProtection="0">
      <alignment vertical="center"/>
    </xf>
    <xf numFmtId="179" fontId="123" fillId="38" borderId="0" applyNumberFormat="0" applyBorder="0" applyAlignment="0" applyProtection="0">
      <alignment vertical="center"/>
    </xf>
    <xf numFmtId="179" fontId="0" fillId="0" borderId="0"/>
    <xf numFmtId="179" fontId="123" fillId="38" borderId="0" applyNumberFormat="0" applyBorder="0" applyAlignment="0" applyProtection="0">
      <alignment vertical="center"/>
    </xf>
    <xf numFmtId="179" fontId="123" fillId="38" borderId="0" applyNumberFormat="0" applyBorder="0" applyAlignment="0" applyProtection="0">
      <alignment vertical="center"/>
    </xf>
    <xf numFmtId="179" fontId="123" fillId="38" borderId="0" applyNumberFormat="0" applyBorder="0" applyAlignment="0" applyProtection="0">
      <alignment vertical="center"/>
    </xf>
    <xf numFmtId="179" fontId="160" fillId="73" borderId="0" applyNumberFormat="0" applyBorder="0" applyAlignment="0" applyProtection="0">
      <alignment vertical="center"/>
    </xf>
    <xf numFmtId="179" fontId="123" fillId="38" borderId="0" applyNumberFormat="0" applyBorder="0" applyAlignment="0" applyProtection="0">
      <alignment vertical="center"/>
    </xf>
    <xf numFmtId="212" fontId="168" fillId="0" borderId="0" applyFont="0" applyFill="0" applyBorder="0" applyAlignment="0" applyProtection="0"/>
    <xf numFmtId="179" fontId="123" fillId="38" borderId="0" applyNumberFormat="0" applyBorder="0" applyAlignment="0" applyProtection="0">
      <alignment vertical="center"/>
    </xf>
    <xf numFmtId="179" fontId="123" fillId="38" borderId="0" applyNumberFormat="0" applyBorder="0" applyAlignment="0" applyProtection="0">
      <alignment vertical="center"/>
    </xf>
    <xf numFmtId="179" fontId="123" fillId="38" borderId="0" applyNumberFormat="0" applyBorder="0" applyAlignment="0" applyProtection="0">
      <alignment vertical="center"/>
    </xf>
    <xf numFmtId="179" fontId="118" fillId="32" borderId="0" applyNumberFormat="0" applyBorder="0" applyAlignment="0" applyProtection="0">
      <alignment vertical="center"/>
    </xf>
    <xf numFmtId="179" fontId="123" fillId="38" borderId="0" applyNumberFormat="0" applyBorder="0" applyAlignment="0" applyProtection="0">
      <alignment vertical="center"/>
    </xf>
    <xf numFmtId="179" fontId="118" fillId="32" borderId="0" applyNumberFormat="0" applyBorder="0" applyAlignment="0" applyProtection="0">
      <alignment vertical="center"/>
    </xf>
    <xf numFmtId="179" fontId="118" fillId="32" borderId="0" applyNumberFormat="0" applyBorder="0" applyAlignment="0" applyProtection="0">
      <alignment vertical="center"/>
    </xf>
    <xf numFmtId="179" fontId="118" fillId="32" borderId="0" applyNumberFormat="0" applyBorder="0" applyAlignment="0" applyProtection="0">
      <alignment vertical="center"/>
    </xf>
    <xf numFmtId="179" fontId="118" fillId="32" borderId="0" applyNumberFormat="0" applyBorder="0" applyAlignment="0" applyProtection="0">
      <alignment vertical="center"/>
    </xf>
    <xf numFmtId="179" fontId="118" fillId="32" borderId="0" applyNumberFormat="0" applyBorder="0" applyAlignment="0" applyProtection="0">
      <alignment vertical="center"/>
    </xf>
    <xf numFmtId="179" fontId="0" fillId="0" borderId="0"/>
    <xf numFmtId="179" fontId="118" fillId="32" borderId="0" applyNumberFormat="0" applyBorder="0" applyAlignment="0" applyProtection="0">
      <alignment vertical="center"/>
    </xf>
    <xf numFmtId="179" fontId="133" fillId="47" borderId="0" applyNumberFormat="0" applyBorder="0" applyAlignment="0" applyProtection="0">
      <alignment vertical="center"/>
    </xf>
    <xf numFmtId="212" fontId="76" fillId="0" borderId="0" applyFont="0" applyFill="0" applyBorder="0" applyAlignment="0" applyProtection="0"/>
    <xf numFmtId="179" fontId="0" fillId="0" borderId="0"/>
    <xf numFmtId="179" fontId="0" fillId="0" borderId="0"/>
    <xf numFmtId="179" fontId="0" fillId="0" borderId="0"/>
    <xf numFmtId="179" fontId="0" fillId="0" borderId="0"/>
    <xf numFmtId="179" fontId="3" fillId="0" borderId="0"/>
    <xf numFmtId="179" fontId="133" fillId="47" borderId="0" applyNumberFormat="0" applyBorder="0" applyAlignment="0" applyProtection="0">
      <alignment vertical="center"/>
    </xf>
    <xf numFmtId="179" fontId="0" fillId="0" borderId="0"/>
    <xf numFmtId="179" fontId="0" fillId="0" borderId="0"/>
    <xf numFmtId="41" fontId="0" fillId="0" borderId="0" applyFont="0" applyFill="0" applyBorder="0" applyAlignment="0" applyProtection="0"/>
    <xf numFmtId="179" fontId="0" fillId="0" borderId="0"/>
    <xf numFmtId="179" fontId="3" fillId="0" borderId="0"/>
    <xf numFmtId="179" fontId="3" fillId="0" borderId="0"/>
    <xf numFmtId="179" fontId="3" fillId="0" borderId="0"/>
    <xf numFmtId="179" fontId="0" fillId="0" borderId="0"/>
    <xf numFmtId="179" fontId="3" fillId="0" borderId="0"/>
    <xf numFmtId="179" fontId="0" fillId="0" borderId="0"/>
    <xf numFmtId="179" fontId="0" fillId="0" borderId="0"/>
    <xf numFmtId="179" fontId="0" fillId="0" borderId="0"/>
    <xf numFmtId="179" fontId="0" fillId="0" borderId="0"/>
    <xf numFmtId="179" fontId="0" fillId="0" borderId="0"/>
    <xf numFmtId="179" fontId="3" fillId="0" borderId="0"/>
    <xf numFmtId="179" fontId="3" fillId="0" borderId="0"/>
    <xf numFmtId="179" fontId="117" fillId="0" borderId="0">
      <alignment vertical="center"/>
    </xf>
    <xf numFmtId="179" fontId="3" fillId="0" borderId="0"/>
    <xf numFmtId="179" fontId="3" fillId="0" borderId="0"/>
    <xf numFmtId="179" fontId="117" fillId="0" borderId="0">
      <alignment vertical="center"/>
    </xf>
    <xf numFmtId="213" fontId="121" fillId="0" borderId="0" applyFont="0" applyFill="0" applyBorder="0" applyAlignment="0" applyProtection="0"/>
    <xf numFmtId="179" fontId="0" fillId="0" borderId="0"/>
    <xf numFmtId="179" fontId="0" fillId="0" borderId="0"/>
    <xf numFmtId="179" fontId="0" fillId="0" borderId="0"/>
    <xf numFmtId="179" fontId="0" fillId="0" borderId="0"/>
    <xf numFmtId="179" fontId="133" fillId="47" borderId="0" applyNumberFormat="0" applyBorder="0" applyAlignment="0" applyProtection="0">
      <alignment vertical="center"/>
    </xf>
    <xf numFmtId="179" fontId="0" fillId="0" borderId="0"/>
    <xf numFmtId="179" fontId="49" fillId="0" borderId="0" applyNumberFormat="0" applyFill="0" applyBorder="0" applyAlignment="0" applyProtection="0">
      <alignment vertical="top"/>
      <protection locked="0"/>
    </xf>
    <xf numFmtId="179" fontId="0" fillId="0" borderId="0"/>
    <xf numFmtId="179" fontId="162" fillId="0" borderId="0">
      <alignment vertical="center"/>
    </xf>
    <xf numFmtId="179" fontId="0" fillId="0" borderId="0"/>
    <xf numFmtId="179" fontId="162" fillId="0" borderId="0">
      <alignment vertical="center"/>
    </xf>
    <xf numFmtId="179" fontId="0" fillId="0" borderId="0"/>
    <xf numFmtId="179" fontId="0" fillId="0" borderId="0"/>
    <xf numFmtId="179" fontId="0" fillId="0" borderId="0"/>
    <xf numFmtId="179" fontId="133" fillId="39" borderId="0" applyNumberFormat="0" applyBorder="0" applyAlignment="0" applyProtection="0">
      <alignment vertical="center"/>
    </xf>
    <xf numFmtId="179" fontId="0" fillId="0" borderId="0"/>
    <xf numFmtId="179" fontId="133" fillId="39" borderId="0" applyNumberFormat="0" applyBorder="0" applyAlignment="0" applyProtection="0">
      <alignment vertical="center"/>
    </xf>
    <xf numFmtId="184" fontId="156" fillId="0" borderId="0" applyFont="0" applyFill="0" applyBorder="0" applyAlignment="0" applyProtection="0"/>
    <xf numFmtId="179" fontId="0" fillId="0" borderId="0"/>
    <xf numFmtId="179" fontId="0" fillId="0" borderId="0"/>
    <xf numFmtId="179" fontId="0" fillId="0" borderId="0"/>
    <xf numFmtId="179" fontId="0" fillId="0" borderId="0"/>
    <xf numFmtId="179" fontId="0" fillId="0" borderId="0"/>
    <xf numFmtId="179" fontId="0" fillId="0" borderId="0"/>
    <xf numFmtId="179" fontId="0" fillId="0" borderId="0"/>
    <xf numFmtId="179" fontId="0" fillId="0" borderId="0"/>
    <xf numFmtId="179" fontId="0" fillId="0" borderId="0"/>
    <xf numFmtId="179" fontId="125" fillId="39" borderId="0" applyNumberFormat="0" applyBorder="0" applyAlignment="0" applyProtection="0">
      <alignment vertical="center"/>
    </xf>
    <xf numFmtId="40" fontId="145" fillId="0" borderId="0" applyFont="0" applyFill="0" applyBorder="0" applyAlignment="0" applyProtection="0"/>
    <xf numFmtId="179" fontId="0" fillId="0" borderId="0"/>
    <xf numFmtId="179" fontId="162" fillId="0" borderId="0">
      <alignment vertical="center"/>
    </xf>
    <xf numFmtId="179" fontId="133" fillId="39" borderId="0" applyNumberFormat="0" applyBorder="0" applyAlignment="0" applyProtection="0">
      <alignment vertical="center"/>
    </xf>
    <xf numFmtId="179" fontId="0" fillId="0" borderId="0"/>
    <xf numFmtId="179" fontId="0" fillId="0" borderId="0"/>
    <xf numFmtId="179" fontId="3" fillId="0" borderId="0"/>
    <xf numFmtId="179" fontId="133" fillId="39" borderId="0" applyNumberFormat="0" applyBorder="0" applyAlignment="0" applyProtection="0">
      <alignment vertical="center"/>
    </xf>
    <xf numFmtId="179" fontId="3" fillId="0" borderId="0"/>
    <xf numFmtId="179" fontId="133" fillId="47" borderId="0" applyNumberFormat="0" applyBorder="0" applyAlignment="0" applyProtection="0">
      <alignment vertical="center"/>
    </xf>
    <xf numFmtId="179" fontId="3" fillId="0" borderId="0"/>
    <xf numFmtId="179" fontId="3" fillId="0" borderId="0"/>
    <xf numFmtId="179" fontId="3" fillId="0" borderId="0"/>
    <xf numFmtId="179" fontId="133" fillId="47" borderId="0" applyNumberFormat="0" applyBorder="0" applyAlignment="0" applyProtection="0">
      <alignment vertical="center"/>
    </xf>
    <xf numFmtId="179" fontId="133" fillId="47" borderId="0" applyNumberFormat="0" applyBorder="0" applyAlignment="0" applyProtection="0">
      <alignment vertical="center"/>
    </xf>
    <xf numFmtId="179" fontId="3" fillId="0" borderId="0"/>
    <xf numFmtId="179" fontId="3" fillId="0" borderId="0"/>
    <xf numFmtId="179" fontId="3" fillId="0" borderId="0"/>
    <xf numFmtId="179" fontId="3" fillId="0" borderId="0"/>
    <xf numFmtId="179" fontId="3" fillId="0" borderId="0"/>
    <xf numFmtId="179" fontId="3" fillId="0" borderId="0"/>
    <xf numFmtId="179" fontId="168" fillId="0" borderId="0"/>
    <xf numFmtId="179" fontId="3" fillId="0" borderId="0"/>
    <xf numFmtId="179" fontId="133" fillId="39" borderId="0" applyNumberFormat="0" applyBorder="0" applyAlignment="0" applyProtection="0">
      <alignment vertical="center"/>
    </xf>
    <xf numFmtId="179" fontId="125" fillId="39" borderId="0" applyNumberFormat="0" applyBorder="0" applyAlignment="0" applyProtection="0">
      <alignment vertical="center"/>
    </xf>
    <xf numFmtId="179" fontId="3" fillId="0" borderId="0"/>
    <xf numFmtId="179" fontId="125" fillId="39" borderId="0" applyNumberFormat="0" applyBorder="0" applyAlignment="0" applyProtection="0">
      <alignment vertical="center"/>
    </xf>
    <xf numFmtId="179" fontId="49" fillId="0" borderId="0" applyNumberFormat="0" applyFill="0" applyBorder="0" applyAlignment="0" applyProtection="0">
      <alignment vertical="top"/>
      <protection locked="0"/>
    </xf>
    <xf numFmtId="179" fontId="49" fillId="0" borderId="0" applyNumberFormat="0" applyFill="0" applyBorder="0" applyAlignment="0" applyProtection="0">
      <alignment vertical="top"/>
      <protection locked="0"/>
    </xf>
    <xf numFmtId="38" fontId="163" fillId="0" borderId="0" applyFont="0" applyFill="0" applyBorder="0" applyAlignment="0" applyProtection="0"/>
    <xf numFmtId="179" fontId="49" fillId="0" borderId="0" applyNumberFormat="0" applyFill="0" applyBorder="0" applyAlignment="0" applyProtection="0">
      <alignment vertical="top"/>
      <protection locked="0"/>
    </xf>
    <xf numFmtId="179" fontId="49" fillId="0" borderId="0" applyNumberFormat="0" applyFill="0" applyBorder="0" applyAlignment="0" applyProtection="0">
      <alignment vertical="top"/>
      <protection locked="0"/>
    </xf>
    <xf numFmtId="179" fontId="49" fillId="0" borderId="0" applyNumberFormat="0" applyFill="0" applyBorder="0" applyAlignment="0" applyProtection="0">
      <alignment vertical="top"/>
      <protection locked="0"/>
    </xf>
    <xf numFmtId="179" fontId="49" fillId="0" borderId="0" applyNumberFormat="0" applyFill="0" applyBorder="0" applyAlignment="0" applyProtection="0">
      <alignment vertical="top"/>
      <protection locked="0"/>
    </xf>
    <xf numFmtId="179" fontId="133" fillId="47" borderId="0" applyNumberFormat="0" applyBorder="0" applyAlignment="0" applyProtection="0">
      <alignment vertical="center"/>
    </xf>
    <xf numFmtId="179" fontId="133" fillId="47" borderId="0" applyNumberFormat="0" applyBorder="0" applyAlignment="0" applyProtection="0">
      <alignment vertical="center"/>
    </xf>
    <xf numFmtId="179" fontId="133" fillId="39" borderId="0" applyNumberFormat="0" applyBorder="0" applyAlignment="0" applyProtection="0">
      <alignment vertical="center"/>
    </xf>
    <xf numFmtId="179" fontId="133" fillId="39" borderId="0" applyNumberFormat="0" applyBorder="0" applyAlignment="0" applyProtection="0">
      <alignment vertical="center"/>
    </xf>
    <xf numFmtId="179" fontId="125" fillId="39" borderId="0" applyNumberFormat="0" applyBorder="0" applyAlignment="0" applyProtection="0">
      <alignment vertical="center"/>
    </xf>
    <xf numFmtId="179" fontId="125" fillId="39" borderId="0" applyNumberFormat="0" applyBorder="0" applyAlignment="0" applyProtection="0">
      <alignment vertical="center"/>
    </xf>
    <xf numFmtId="179" fontId="133" fillId="39" borderId="0" applyNumberFormat="0" applyBorder="0" applyAlignment="0" applyProtection="0">
      <alignment vertical="center"/>
    </xf>
    <xf numFmtId="179" fontId="133" fillId="47" borderId="0" applyNumberFormat="0" applyBorder="0" applyAlignment="0" applyProtection="0">
      <alignment vertical="center"/>
    </xf>
    <xf numFmtId="179" fontId="133" fillId="39" borderId="0" applyNumberFormat="0" applyBorder="0" applyAlignment="0" applyProtection="0">
      <alignment vertical="center"/>
    </xf>
    <xf numFmtId="179" fontId="125" fillId="39" borderId="0" applyNumberFormat="0" applyBorder="0" applyAlignment="0" applyProtection="0">
      <alignment vertical="center"/>
    </xf>
    <xf numFmtId="179" fontId="125" fillId="39" borderId="0" applyNumberFormat="0" applyBorder="0" applyAlignment="0" applyProtection="0">
      <alignment vertical="center"/>
    </xf>
    <xf numFmtId="179" fontId="133" fillId="39" borderId="0" applyNumberFormat="0" applyBorder="0" applyAlignment="0" applyProtection="0">
      <alignment vertical="center"/>
    </xf>
    <xf numFmtId="179" fontId="133" fillId="39" borderId="0" applyNumberFormat="0" applyBorder="0" applyAlignment="0" applyProtection="0">
      <alignment vertical="center"/>
    </xf>
    <xf numFmtId="179" fontId="133" fillId="47" borderId="0" applyNumberFormat="0" applyBorder="0" applyAlignment="0" applyProtection="0">
      <alignment vertical="center"/>
    </xf>
    <xf numFmtId="179" fontId="145" fillId="0" borderId="0" applyFont="0" applyFill="0" applyBorder="0" applyAlignment="0" applyProtection="0"/>
    <xf numFmtId="179" fontId="133" fillId="47" borderId="0" applyNumberFormat="0" applyBorder="0" applyAlignment="0" applyProtection="0">
      <alignment vertical="center"/>
    </xf>
    <xf numFmtId="179" fontId="125" fillId="39" borderId="0" applyNumberFormat="0" applyBorder="0" applyAlignment="0" applyProtection="0">
      <alignment vertical="center"/>
    </xf>
    <xf numFmtId="179" fontId="133" fillId="47" borderId="0" applyNumberFormat="0" applyBorder="0" applyAlignment="0" applyProtection="0">
      <alignment vertical="center"/>
    </xf>
    <xf numFmtId="179" fontId="133" fillId="47" borderId="0" applyNumberFormat="0" applyBorder="0" applyAlignment="0" applyProtection="0">
      <alignment vertical="center"/>
    </xf>
    <xf numFmtId="43" fontId="117" fillId="0" borderId="0" applyFont="0" applyFill="0" applyBorder="0" applyAlignment="0" applyProtection="0">
      <alignment vertical="center"/>
    </xf>
    <xf numFmtId="179" fontId="133" fillId="47" borderId="0" applyNumberFormat="0" applyBorder="0" applyAlignment="0" applyProtection="0">
      <alignment vertical="center"/>
    </xf>
    <xf numFmtId="179" fontId="133" fillId="47" borderId="0" applyNumberFormat="0" applyBorder="0" applyAlignment="0" applyProtection="0">
      <alignment vertical="center"/>
    </xf>
    <xf numFmtId="179" fontId="133" fillId="47" borderId="0" applyNumberFormat="0" applyBorder="0" applyAlignment="0" applyProtection="0">
      <alignment vertical="center"/>
    </xf>
    <xf numFmtId="179" fontId="133" fillId="47" borderId="0" applyNumberFormat="0" applyBorder="0" applyAlignment="0" applyProtection="0">
      <alignment vertical="center"/>
    </xf>
    <xf numFmtId="179" fontId="133" fillId="47" borderId="0" applyNumberFormat="0" applyBorder="0" applyAlignment="0" applyProtection="0">
      <alignment vertical="center"/>
    </xf>
    <xf numFmtId="179" fontId="125" fillId="39" borderId="0" applyNumberFormat="0" applyBorder="0" applyAlignment="0" applyProtection="0">
      <alignment vertical="center"/>
    </xf>
    <xf numFmtId="179" fontId="125" fillId="39" borderId="0" applyNumberFormat="0" applyBorder="0" applyAlignment="0" applyProtection="0">
      <alignment vertical="center"/>
    </xf>
    <xf numFmtId="179" fontId="133" fillId="39" borderId="0" applyNumberFormat="0" applyBorder="0" applyAlignment="0" applyProtection="0">
      <alignment vertical="center"/>
    </xf>
    <xf numFmtId="179" fontId="125" fillId="39" borderId="0" applyNumberFormat="0" applyBorder="0" applyAlignment="0" applyProtection="0">
      <alignment vertical="center"/>
    </xf>
    <xf numFmtId="179" fontId="167" fillId="79" borderId="0" applyNumberFormat="0" applyBorder="0" applyAlignment="0" applyProtection="0">
      <alignment vertical="center"/>
    </xf>
    <xf numFmtId="179" fontId="125" fillId="39" borderId="0" applyNumberFormat="0" applyBorder="0" applyAlignment="0" applyProtection="0">
      <alignment vertical="center"/>
    </xf>
    <xf numFmtId="202" fontId="76" fillId="0" borderId="0" applyFont="0" applyFill="0" applyBorder="0" applyAlignment="0" applyProtection="0"/>
    <xf numFmtId="179" fontId="125" fillId="39" borderId="0" applyNumberFormat="0" applyBorder="0" applyAlignment="0" applyProtection="0">
      <alignment vertical="center"/>
    </xf>
    <xf numFmtId="179" fontId="167" fillId="79" borderId="0" applyNumberFormat="0" applyBorder="0" applyAlignment="0" applyProtection="0">
      <alignment vertical="center"/>
    </xf>
    <xf numFmtId="179" fontId="133" fillId="39" borderId="0" applyNumberFormat="0" applyBorder="0" applyAlignment="0" applyProtection="0">
      <alignment vertical="center"/>
    </xf>
    <xf numFmtId="179" fontId="133" fillId="39" borderId="0" applyNumberFormat="0" applyBorder="0" applyAlignment="0" applyProtection="0">
      <alignment vertical="center"/>
    </xf>
    <xf numFmtId="179" fontId="133" fillId="39" borderId="0" applyNumberFormat="0" applyBorder="0" applyAlignment="0" applyProtection="0">
      <alignment vertical="center"/>
    </xf>
    <xf numFmtId="43" fontId="0" fillId="0" borderId="0" applyFont="0" applyFill="0" applyBorder="0" applyAlignment="0" applyProtection="0"/>
    <xf numFmtId="179" fontId="133" fillId="39" borderId="0" applyNumberFormat="0" applyBorder="0" applyAlignment="0" applyProtection="0">
      <alignment vertical="center"/>
    </xf>
    <xf numFmtId="179" fontId="125" fillId="39" borderId="0" applyNumberFormat="0" applyBorder="0" applyAlignment="0" applyProtection="0">
      <alignment vertical="center"/>
    </xf>
    <xf numFmtId="179" fontId="125" fillId="39" borderId="0" applyNumberFormat="0" applyBorder="0" applyAlignment="0" applyProtection="0">
      <alignment vertical="center"/>
    </xf>
    <xf numFmtId="179" fontId="125" fillId="39" borderId="0" applyNumberFormat="0" applyBorder="0" applyAlignment="0" applyProtection="0">
      <alignment vertical="center"/>
    </xf>
    <xf numFmtId="43" fontId="0" fillId="0" borderId="0" applyFont="0" applyFill="0" applyBorder="0" applyAlignment="0" applyProtection="0"/>
    <xf numFmtId="179" fontId="125" fillId="39" borderId="0" applyNumberFormat="0" applyBorder="0" applyAlignment="0" applyProtection="0">
      <alignment vertical="center"/>
    </xf>
    <xf numFmtId="179" fontId="125" fillId="39" borderId="0" applyNumberFormat="0" applyBorder="0" applyAlignment="0" applyProtection="0">
      <alignment vertical="center"/>
    </xf>
    <xf numFmtId="179" fontId="167" fillId="79" borderId="0" applyNumberFormat="0" applyBorder="0" applyAlignment="0" applyProtection="0">
      <alignment vertical="center"/>
    </xf>
    <xf numFmtId="179" fontId="167" fillId="79" borderId="0" applyNumberFormat="0" applyBorder="0" applyAlignment="0" applyProtection="0">
      <alignment vertical="center"/>
    </xf>
    <xf numFmtId="202" fontId="168" fillId="0" borderId="0" applyFont="0" applyFill="0" applyBorder="0" applyAlignment="0" applyProtection="0"/>
    <xf numFmtId="189" fontId="170" fillId="0" borderId="0" applyFont="0" applyFill="0" applyBorder="0" applyAlignment="0" applyProtection="0"/>
    <xf numFmtId="219" fontId="170" fillId="0" borderId="0" applyFont="0" applyFill="0" applyBorder="0" applyAlignment="0" applyProtection="0"/>
    <xf numFmtId="41" fontId="55" fillId="0" borderId="0" applyFont="0" applyFill="0" applyBorder="0" applyAlignment="0" applyProtection="0"/>
    <xf numFmtId="43" fontId="162" fillId="0" borderId="0" applyFont="0" applyFill="0" applyBorder="0" applyAlignment="0" applyProtection="0">
      <alignment vertical="center"/>
    </xf>
    <xf numFmtId="43" fontId="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183" fontId="162" fillId="0" borderId="0" applyFont="0" applyFill="0" applyBorder="0" applyAlignment="0" applyProtection="0">
      <alignment vertical="center"/>
    </xf>
    <xf numFmtId="179" fontId="169" fillId="0" borderId="0"/>
    <xf numFmtId="40" fontId="163" fillId="0" borderId="0" applyFont="0" applyFill="0" applyBorder="0" applyAlignment="0" applyProtection="0"/>
    <xf numFmtId="183" fontId="121" fillId="0" borderId="1" applyNumberFormat="0"/>
    <xf numFmtId="38" fontId="145" fillId="0" borderId="0" applyFont="0" applyFill="0" applyBorder="0" applyAlignment="0" applyProtection="0"/>
  </cellStyleXfs>
  <cellXfs count="2549">
    <xf numFmtId="179" fontId="0" fillId="0" borderId="0" xfId="0"/>
    <xf numFmtId="179" fontId="1" fillId="0" borderId="0" xfId="0" applyFont="1"/>
    <xf numFmtId="179" fontId="1" fillId="0" borderId="0" xfId="0" applyFont="1" applyAlignment="1">
      <alignment horizontal="center"/>
    </xf>
    <xf numFmtId="179" fontId="1" fillId="0" borderId="0" xfId="0" applyFont="1" applyAlignment="1">
      <alignment horizontal="left"/>
    </xf>
    <xf numFmtId="182" fontId="1" fillId="0" borderId="0" xfId="0" applyNumberFormat="1" applyFont="1"/>
    <xf numFmtId="43" fontId="2" fillId="0" borderId="0" xfId="377" applyFont="1" applyAlignment="1"/>
    <xf numFmtId="43" fontId="3" fillId="0" borderId="0" xfId="377" applyFont="1" applyAlignment="1">
      <alignment shrinkToFit="1"/>
    </xf>
    <xf numFmtId="218" fontId="3" fillId="0" borderId="0" xfId="377" applyNumberFormat="1" applyFont="1" applyAlignment="1">
      <alignment horizontal="left"/>
    </xf>
    <xf numFmtId="43" fontId="3" fillId="0" borderId="0" xfId="377" applyFont="1" applyAlignment="1"/>
    <xf numFmtId="218" fontId="4" fillId="2" borderId="0" xfId="377" applyNumberFormat="1" applyFont="1" applyFill="1" applyAlignment="1">
      <alignment horizontal="left"/>
    </xf>
    <xf numFmtId="43" fontId="4" fillId="2" borderId="0" xfId="377" applyFont="1" applyFill="1" applyAlignment="1"/>
    <xf numFmtId="218" fontId="4" fillId="3" borderId="0" xfId="377" applyNumberFormat="1" applyFont="1" applyFill="1" applyAlignment="1">
      <alignment horizontal="left"/>
    </xf>
    <xf numFmtId="43" fontId="4" fillId="3" borderId="0" xfId="377" applyFont="1" applyFill="1" applyAlignment="1"/>
    <xf numFmtId="218" fontId="4" fillId="3" borderId="1" xfId="377" applyNumberFormat="1" applyFont="1" applyFill="1" applyBorder="1" applyAlignment="1">
      <alignment horizontal="left" vertical="center" wrapText="1"/>
    </xf>
    <xf numFmtId="43" fontId="4" fillId="3" borderId="1" xfId="377" applyFont="1" applyFill="1" applyBorder="1" applyAlignment="1">
      <alignment horizontal="center" vertical="center" wrapText="1"/>
    </xf>
    <xf numFmtId="43" fontId="4" fillId="3" borderId="1" xfId="377" applyFont="1" applyFill="1" applyBorder="1" applyAlignment="1">
      <alignment horizontal="center"/>
    </xf>
    <xf numFmtId="43" fontId="5" fillId="3" borderId="1" xfId="377" applyFont="1" applyFill="1" applyBorder="1" applyAlignment="1">
      <alignment horizontal="center" vertical="center" wrapText="1"/>
    </xf>
    <xf numFmtId="43" fontId="5" fillId="3" borderId="1" xfId="377" applyFont="1" applyFill="1" applyBorder="1" applyAlignment="1">
      <alignment horizontal="center" shrinkToFit="1"/>
    </xf>
    <xf numFmtId="43" fontId="5" fillId="3" borderId="1" xfId="377" applyFont="1" applyFill="1" applyBorder="1" applyAlignment="1">
      <alignment horizontal="center" wrapText="1" shrinkToFit="1"/>
    </xf>
    <xf numFmtId="218" fontId="3" fillId="3" borderId="1" xfId="377" applyNumberFormat="1" applyFont="1" applyFill="1" applyBorder="1" applyAlignment="1">
      <alignment horizontal="left" vertical="center" shrinkToFit="1"/>
    </xf>
    <xf numFmtId="43" fontId="3" fillId="0" borderId="1" xfId="377" applyFont="1" applyFill="1" applyBorder="1" applyAlignment="1">
      <alignment horizontal="center" vertical="center" shrinkToFit="1"/>
    </xf>
    <xf numFmtId="43" fontId="3" fillId="0" borderId="1" xfId="377" applyFont="1" applyFill="1" applyBorder="1" applyAlignment="1">
      <alignment horizontal="left" vertical="center" shrinkToFit="1"/>
    </xf>
    <xf numFmtId="43" fontId="3" fillId="3" borderId="1" xfId="377" applyFont="1" applyFill="1" applyBorder="1" applyAlignment="1">
      <alignment horizontal="right" vertical="center" shrinkToFit="1"/>
    </xf>
    <xf numFmtId="43" fontId="3" fillId="0" borderId="1" xfId="377" applyFont="1" applyFill="1" applyBorder="1" applyAlignment="1">
      <alignment horizontal="right" vertical="center" shrinkToFit="1"/>
    </xf>
    <xf numFmtId="43" fontId="3" fillId="0" borderId="1" xfId="377" applyFont="1" applyBorder="1" applyAlignment="1">
      <alignment shrinkToFit="1"/>
    </xf>
    <xf numFmtId="43" fontId="3" fillId="3" borderId="1" xfId="377" applyFont="1" applyFill="1" applyBorder="1" applyAlignment="1">
      <alignment horizontal="center" vertical="center" shrinkToFit="1"/>
    </xf>
    <xf numFmtId="43" fontId="3" fillId="3" borderId="1" xfId="377" applyFont="1" applyFill="1" applyBorder="1" applyAlignment="1">
      <alignment shrinkToFit="1"/>
    </xf>
    <xf numFmtId="218" fontId="3" fillId="0" borderId="0" xfId="377" applyNumberFormat="1" applyFont="1" applyFill="1" applyBorder="1" applyAlignment="1">
      <alignment horizontal="left" vertical="center" shrinkToFit="1"/>
    </xf>
    <xf numFmtId="43" fontId="3" fillId="0" borderId="0" xfId="377" applyFont="1" applyFill="1" applyBorder="1" applyAlignment="1">
      <alignment horizontal="center" vertical="center" shrinkToFit="1"/>
    </xf>
    <xf numFmtId="43" fontId="3" fillId="0" borderId="0" xfId="377" applyFont="1" applyBorder="1" applyAlignment="1"/>
    <xf numFmtId="43" fontId="3" fillId="2" borderId="0" xfId="377" applyFont="1" applyFill="1" applyAlignment="1"/>
    <xf numFmtId="43" fontId="5" fillId="3" borderId="1" xfId="377" applyFont="1" applyFill="1" applyBorder="1" applyAlignment="1"/>
    <xf numFmtId="43" fontId="5" fillId="3" borderId="1" xfId="377" applyFont="1" applyFill="1" applyBorder="1" applyAlignment="1">
      <alignment horizontal="center"/>
    </xf>
    <xf numFmtId="43" fontId="2" fillId="3" borderId="0" xfId="377" applyFont="1" applyFill="1" applyAlignment="1"/>
    <xf numFmtId="43" fontId="3" fillId="3" borderId="1" xfId="377" applyFont="1" applyFill="1" applyBorder="1" applyAlignment="1"/>
    <xf numFmtId="43" fontId="3" fillId="3" borderId="0" xfId="377" applyFont="1" applyFill="1" applyAlignment="1"/>
    <xf numFmtId="43" fontId="3" fillId="3" borderId="0" xfId="377" applyFont="1" applyFill="1" applyAlignment="1">
      <alignment shrinkToFit="1"/>
    </xf>
    <xf numFmtId="218" fontId="3" fillId="3" borderId="1" xfId="377" applyNumberFormat="1" applyFont="1" applyFill="1" applyBorder="1" applyAlignment="1">
      <alignment horizontal="left" shrinkToFit="1"/>
    </xf>
    <xf numFmtId="43" fontId="4" fillId="3" borderId="1" xfId="377" applyFont="1" applyFill="1" applyBorder="1" applyAlignment="1">
      <alignment horizontal="center" wrapText="1"/>
    </xf>
    <xf numFmtId="43" fontId="5" fillId="3" borderId="1" xfId="377" applyFont="1" applyFill="1" applyBorder="1" applyAlignment="1">
      <alignment horizontal="center" wrapText="1"/>
    </xf>
    <xf numFmtId="43" fontId="3" fillId="0" borderId="1" xfId="377" applyFont="1" applyFill="1" applyBorder="1" applyAlignment="1">
      <alignment vertical="center" shrinkToFit="1"/>
    </xf>
    <xf numFmtId="43" fontId="4" fillId="3" borderId="1" xfId="377" applyFont="1" applyFill="1" applyBorder="1" applyAlignment="1">
      <alignment horizontal="center" vertical="center"/>
    </xf>
    <xf numFmtId="43" fontId="4" fillId="0" borderId="1" xfId="377" applyFont="1" applyBorder="1" applyAlignment="1">
      <alignment horizontal="center"/>
    </xf>
    <xf numFmtId="43" fontId="1" fillId="4" borderId="0" xfId="15" applyFont="1" applyFill="1"/>
    <xf numFmtId="43" fontId="6" fillId="4" borderId="0" xfId="377" applyFont="1" applyFill="1" applyAlignment="1">
      <alignment horizontal="left" vertical="center"/>
    </xf>
    <xf numFmtId="43" fontId="7" fillId="4" borderId="0" xfId="377" applyFont="1" applyFill="1" applyAlignment="1">
      <alignment vertical="center"/>
    </xf>
    <xf numFmtId="43" fontId="7" fillId="4" borderId="2" xfId="377" applyFont="1" applyFill="1" applyBorder="1" applyAlignment="1">
      <alignment vertical="center" wrapText="1"/>
    </xf>
    <xf numFmtId="43" fontId="7" fillId="4" borderId="2" xfId="377" applyFont="1" applyFill="1" applyBorder="1" applyAlignment="1">
      <alignment horizontal="center" vertical="center" wrapText="1"/>
    </xf>
    <xf numFmtId="43" fontId="7" fillId="4" borderId="0" xfId="377" applyFont="1" applyFill="1" applyBorder="1" applyAlignment="1">
      <alignment vertical="center" wrapText="1"/>
    </xf>
    <xf numFmtId="43" fontId="7" fillId="4" borderId="0" xfId="377" applyFont="1" applyFill="1" applyBorder="1" applyAlignment="1">
      <alignment vertical="center"/>
    </xf>
    <xf numFmtId="43" fontId="7" fillId="4" borderId="0" xfId="377" applyFont="1" applyFill="1" applyBorder="1">
      <alignment vertical="center"/>
    </xf>
    <xf numFmtId="43" fontId="8" fillId="4" borderId="0" xfId="377" applyFont="1" applyFill="1" applyBorder="1" applyAlignment="1">
      <alignment vertical="center" wrapText="1"/>
    </xf>
    <xf numFmtId="43" fontId="8" fillId="4" borderId="0" xfId="377" applyFont="1" applyFill="1" applyBorder="1">
      <alignment vertical="center"/>
    </xf>
    <xf numFmtId="43" fontId="9" fillId="4" borderId="0" xfId="377" applyFont="1" applyFill="1" applyBorder="1" applyAlignment="1">
      <alignment vertical="center" wrapText="1"/>
    </xf>
    <xf numFmtId="43" fontId="8" fillId="4" borderId="0" xfId="377" applyFont="1" applyFill="1" applyBorder="1" applyAlignment="1">
      <alignment vertical="center"/>
    </xf>
    <xf numFmtId="43" fontId="10" fillId="4" borderId="0" xfId="377" applyFont="1" applyFill="1" applyBorder="1" applyAlignment="1">
      <alignment vertical="center" wrapText="1"/>
    </xf>
    <xf numFmtId="43" fontId="10" fillId="4" borderId="0" xfId="377" applyFont="1" applyFill="1" applyBorder="1" applyAlignment="1">
      <alignment vertical="center"/>
    </xf>
    <xf numFmtId="43" fontId="7" fillId="5" borderId="3" xfId="377" applyFont="1" applyFill="1" applyBorder="1" applyAlignment="1">
      <alignment vertical="center" wrapText="1"/>
    </xf>
    <xf numFmtId="43" fontId="7" fillId="5" borderId="4" xfId="377" applyFont="1" applyFill="1" applyBorder="1" applyAlignment="1">
      <alignment vertical="center" wrapText="1"/>
    </xf>
    <xf numFmtId="43" fontId="7" fillId="5" borderId="5" xfId="377" applyFont="1" applyFill="1" applyBorder="1" applyAlignment="1">
      <alignment vertical="center" wrapText="1"/>
    </xf>
    <xf numFmtId="43" fontId="7" fillId="5" borderId="6" xfId="377" applyFont="1" applyFill="1" applyBorder="1" applyAlignment="1">
      <alignment vertical="center" wrapText="1"/>
    </xf>
    <xf numFmtId="43" fontId="7" fillId="5" borderId="2" xfId="377" applyFont="1" applyFill="1" applyBorder="1" applyAlignment="1">
      <alignment vertical="center" wrapText="1"/>
    </xf>
    <xf numFmtId="43" fontId="7" fillId="5" borderId="7" xfId="377" applyFont="1" applyFill="1" applyBorder="1" applyAlignment="1">
      <alignment vertical="center" wrapText="1"/>
    </xf>
    <xf numFmtId="179" fontId="11" fillId="0" borderId="0" xfId="0" applyFont="1" applyAlignment="1">
      <alignment horizontal="right"/>
    </xf>
    <xf numFmtId="179" fontId="12" fillId="0" borderId="0" xfId="0" applyFont="1" applyAlignment="1">
      <alignment horizontal="right"/>
    </xf>
    <xf numFmtId="179" fontId="13" fillId="6" borderId="0" xfId="269" applyFont="1" applyFill="1" applyAlignment="1" applyProtection="1">
      <alignment vertical="center"/>
      <protection locked="0"/>
    </xf>
    <xf numFmtId="179" fontId="14" fillId="7" borderId="0" xfId="17" applyFont="1" applyFill="1" applyAlignment="1" applyProtection="1">
      <alignment horizontal="center" vertical="center"/>
      <protection locked="0"/>
    </xf>
    <xf numFmtId="179" fontId="0" fillId="6" borderId="0" xfId="0" applyFill="1" applyAlignment="1">
      <alignment vertical="center"/>
    </xf>
    <xf numFmtId="179" fontId="13" fillId="8" borderId="0" xfId="52" applyFont="1" applyFill="1" applyBorder="1" applyAlignment="1" applyProtection="1">
      <alignment horizontal="left" vertical="center"/>
      <protection locked="0"/>
    </xf>
    <xf numFmtId="179" fontId="15" fillId="6" borderId="1" xfId="0" applyFont="1" applyFill="1" applyBorder="1" applyAlignment="1">
      <alignment horizontal="center" vertical="center" wrapText="1"/>
    </xf>
    <xf numFmtId="179" fontId="15" fillId="6" borderId="1" xfId="0" applyFont="1" applyFill="1" applyBorder="1" applyAlignment="1">
      <alignment horizontal="left" vertical="center" wrapText="1"/>
    </xf>
    <xf numFmtId="179" fontId="16" fillId="6" borderId="1" xfId="0" applyFont="1" applyFill="1" applyBorder="1" applyAlignment="1">
      <alignment horizontal="right" vertical="center" wrapText="1"/>
    </xf>
    <xf numFmtId="182" fontId="16" fillId="9" borderId="1" xfId="0" applyNumberFormat="1" applyFont="1" applyFill="1" applyBorder="1" applyAlignment="1">
      <alignment horizontal="right" vertical="center" wrapText="1"/>
    </xf>
    <xf numFmtId="182" fontId="7" fillId="6" borderId="1" xfId="15" applyNumberFormat="1" applyFont="1" applyFill="1" applyBorder="1" applyAlignment="1" applyProtection="1">
      <alignment vertical="center"/>
    </xf>
    <xf numFmtId="43" fontId="17" fillId="8" borderId="1" xfId="15" applyFont="1" applyFill="1" applyBorder="1" applyAlignment="1" applyProtection="1">
      <alignment horizontal="right" vertical="center" wrapText="1"/>
      <protection locked="0"/>
    </xf>
    <xf numFmtId="43" fontId="7" fillId="6" borderId="1" xfId="15" applyFont="1" applyFill="1" applyBorder="1" applyAlignment="1" applyProtection="1">
      <alignment vertical="center"/>
    </xf>
    <xf numFmtId="179" fontId="18" fillId="6" borderId="1" xfId="0" applyFont="1" applyFill="1" applyBorder="1" applyAlignment="1">
      <alignment horizontal="left" vertical="center" wrapText="1"/>
    </xf>
    <xf numFmtId="43" fontId="16" fillId="8" borderId="1" xfId="15" applyFont="1" applyFill="1" applyBorder="1" applyAlignment="1" applyProtection="1">
      <alignment horizontal="right" vertical="center" wrapText="1"/>
      <protection locked="0"/>
    </xf>
    <xf numFmtId="179" fontId="16" fillId="6" borderId="1" xfId="0" applyFont="1" applyFill="1" applyBorder="1" applyAlignment="1">
      <alignment horizontal="left" vertical="center" wrapText="1"/>
    </xf>
    <xf numFmtId="179" fontId="7" fillId="6" borderId="1" xfId="0" applyFont="1" applyFill="1" applyBorder="1" applyAlignment="1">
      <alignment vertical="center"/>
    </xf>
    <xf numFmtId="43" fontId="16" fillId="8" borderId="1" xfId="15" applyFont="1" applyFill="1" applyBorder="1" applyAlignment="1" applyProtection="1">
      <alignment horizontal="left" vertical="center" wrapText="1"/>
      <protection locked="0"/>
    </xf>
    <xf numFmtId="182" fontId="16" fillId="6" borderId="1" xfId="0" applyNumberFormat="1" applyFont="1" applyFill="1" applyBorder="1" applyAlignment="1">
      <alignment horizontal="right" vertical="center" wrapText="1"/>
    </xf>
    <xf numFmtId="43" fontId="16" fillId="6" borderId="1" xfId="15" applyFont="1" applyFill="1" applyBorder="1" applyAlignment="1">
      <alignment horizontal="right" vertical="center" wrapText="1"/>
    </xf>
    <xf numFmtId="182" fontId="19" fillId="6" borderId="1" xfId="15" applyNumberFormat="1" applyFont="1" applyFill="1" applyBorder="1" applyAlignment="1" applyProtection="1">
      <alignment vertical="center"/>
    </xf>
    <xf numFmtId="179" fontId="7" fillId="10" borderId="0" xfId="0" applyFont="1" applyFill="1" applyBorder="1" applyAlignment="1">
      <alignment vertical="center"/>
    </xf>
    <xf numFmtId="179" fontId="20" fillId="6" borderId="0" xfId="52" applyFont="1" applyFill="1" applyAlignment="1" applyProtection="1">
      <alignment vertical="center"/>
      <protection locked="0"/>
    </xf>
    <xf numFmtId="43" fontId="7" fillId="10" borderId="0" xfId="0" applyNumberFormat="1" applyFont="1" applyFill="1" applyBorder="1" applyAlignment="1" applyProtection="1">
      <alignment vertical="center"/>
    </xf>
    <xf numFmtId="43" fontId="20" fillId="11" borderId="0" xfId="15" applyFont="1" applyFill="1" applyBorder="1" applyAlignment="1" applyProtection="1">
      <alignment vertical="center" shrinkToFit="1"/>
    </xf>
    <xf numFmtId="43" fontId="20" fillId="6" borderId="0" xfId="15" applyFont="1" applyFill="1" applyAlignment="1" applyProtection="1">
      <alignment vertical="center"/>
    </xf>
    <xf numFmtId="179" fontId="21" fillId="6" borderId="0" xfId="52" applyFont="1" applyFill="1" applyAlignment="1" applyProtection="1">
      <alignment vertical="center"/>
      <protection locked="0"/>
    </xf>
    <xf numFmtId="179" fontId="20" fillId="6" borderId="0" xfId="52" applyFont="1" applyFill="1" applyBorder="1" applyAlignment="1" applyProtection="1">
      <alignment vertical="center"/>
      <protection locked="0"/>
    </xf>
    <xf numFmtId="179" fontId="7" fillId="10" borderId="1" xfId="0" applyFont="1" applyFill="1" applyBorder="1" applyAlignment="1">
      <alignment horizontal="center" vertical="center"/>
    </xf>
    <xf numFmtId="43" fontId="7" fillId="10" borderId="1" xfId="0" applyNumberFormat="1" applyFont="1" applyFill="1" applyBorder="1" applyAlignment="1">
      <alignment horizontal="center" vertical="center"/>
    </xf>
    <xf numFmtId="179" fontId="20" fillId="6" borderId="1" xfId="52" applyFont="1" applyFill="1" applyBorder="1" applyAlignment="1" applyProtection="1">
      <alignment horizontal="center" vertical="center"/>
      <protection locked="0"/>
    </xf>
    <xf numFmtId="179" fontId="13" fillId="6" borderId="1" xfId="52" applyFont="1" applyFill="1" applyBorder="1" applyAlignment="1" applyProtection="1">
      <alignment vertical="center"/>
      <protection locked="0"/>
    </xf>
    <xf numFmtId="43" fontId="20" fillId="6" borderId="1" xfId="52" applyNumberFormat="1" applyFont="1" applyFill="1" applyBorder="1" applyAlignment="1" applyProtection="1">
      <alignment vertical="center"/>
    </xf>
    <xf numFmtId="179" fontId="1" fillId="6" borderId="1" xfId="52" applyFont="1" applyFill="1" applyBorder="1" applyAlignment="1" applyProtection="1">
      <alignment vertical="center"/>
      <protection locked="0"/>
    </xf>
    <xf numFmtId="43" fontId="20" fillId="0" borderId="1" xfId="52" applyNumberFormat="1" applyFont="1" applyFill="1" applyBorder="1" applyAlignment="1" applyProtection="1">
      <alignment vertical="center"/>
      <protection locked="0"/>
    </xf>
    <xf numFmtId="179" fontId="20" fillId="0" borderId="1" xfId="52" applyFont="1" applyFill="1" applyBorder="1" applyAlignment="1" applyProtection="1">
      <alignment vertical="center"/>
      <protection locked="0"/>
    </xf>
    <xf numFmtId="179" fontId="20" fillId="6" borderId="1" xfId="52" applyFont="1" applyFill="1" applyBorder="1" applyAlignment="1" applyProtection="1">
      <alignment vertical="center"/>
      <protection locked="0"/>
    </xf>
    <xf numFmtId="43" fontId="20" fillId="6" borderId="0" xfId="52" applyNumberFormat="1" applyFont="1" applyFill="1" applyBorder="1" applyAlignment="1" applyProtection="1">
      <alignment vertical="center"/>
      <protection locked="0"/>
    </xf>
    <xf numFmtId="179" fontId="13" fillId="0" borderId="0" xfId="52" applyFont="1" applyFill="1" applyAlignment="1" applyProtection="1">
      <alignment vertical="center"/>
      <protection locked="0"/>
    </xf>
    <xf numFmtId="179" fontId="20" fillId="0" borderId="0" xfId="52" applyFont="1" applyFill="1" applyAlignment="1" applyProtection="1">
      <alignment vertical="center"/>
      <protection locked="0"/>
    </xf>
    <xf numFmtId="179" fontId="20" fillId="0" borderId="0" xfId="52" applyFont="1" applyFill="1" applyBorder="1" applyAlignment="1" applyProtection="1">
      <alignment vertical="center"/>
      <protection locked="0"/>
    </xf>
    <xf numFmtId="179" fontId="13" fillId="12" borderId="0" xfId="52" applyFont="1" applyFill="1" applyBorder="1" applyAlignment="1" applyProtection="1">
      <alignment horizontal="left" vertical="center"/>
      <protection locked="0"/>
    </xf>
    <xf numFmtId="179" fontId="20" fillId="12" borderId="0" xfId="52" applyFont="1" applyFill="1" applyAlignment="1" applyProtection="1">
      <alignment vertical="center"/>
      <protection locked="0"/>
    </xf>
    <xf numFmtId="182" fontId="7" fillId="12" borderId="1" xfId="0" applyNumberFormat="1" applyFont="1" applyFill="1" applyBorder="1" applyAlignment="1" applyProtection="1">
      <alignment vertical="center"/>
      <protection locked="0"/>
    </xf>
    <xf numFmtId="179" fontId="11" fillId="0" borderId="0" xfId="0" applyFont="1"/>
    <xf numFmtId="179" fontId="7" fillId="6" borderId="1" xfId="0" applyFont="1" applyFill="1" applyBorder="1" applyAlignment="1">
      <alignment horizontal="center" vertical="center"/>
    </xf>
    <xf numFmtId="179" fontId="7" fillId="6" borderId="1" xfId="0" applyFont="1" applyFill="1" applyBorder="1" applyAlignment="1" applyProtection="1">
      <alignment horizontal="center" vertical="center"/>
      <protection locked="0"/>
    </xf>
    <xf numFmtId="182" fontId="7" fillId="6" borderId="1" xfId="0" applyNumberFormat="1" applyFont="1" applyFill="1" applyBorder="1" applyAlignment="1">
      <alignment vertical="center"/>
    </xf>
    <xf numFmtId="182" fontId="7" fillId="6" borderId="1" xfId="0" applyNumberFormat="1" applyFont="1" applyFill="1" applyBorder="1" applyAlignment="1" applyProtection="1">
      <alignment vertical="center"/>
      <protection locked="0"/>
    </xf>
    <xf numFmtId="182" fontId="7" fillId="9" borderId="1" xfId="0" applyNumberFormat="1" applyFont="1" applyFill="1" applyBorder="1" applyAlignment="1" applyProtection="1">
      <alignment vertical="center"/>
      <protection locked="0"/>
    </xf>
    <xf numFmtId="182" fontId="7" fillId="8" borderId="1" xfId="0" applyNumberFormat="1" applyFont="1" applyFill="1" applyBorder="1" applyAlignment="1" applyProtection="1">
      <alignment vertical="center"/>
      <protection locked="0"/>
    </xf>
    <xf numFmtId="43" fontId="7" fillId="6" borderId="1" xfId="15" applyFont="1" applyFill="1" applyBorder="1" applyAlignment="1" applyProtection="1">
      <alignment vertical="center"/>
      <protection locked="0"/>
    </xf>
    <xf numFmtId="179" fontId="22" fillId="6" borderId="1" xfId="0" applyFont="1" applyFill="1" applyBorder="1" applyAlignment="1">
      <alignment vertical="center"/>
    </xf>
    <xf numFmtId="43" fontId="7" fillId="8" borderId="1" xfId="15" applyFont="1" applyFill="1" applyBorder="1" applyAlignment="1" applyProtection="1">
      <alignment vertical="center"/>
      <protection locked="0"/>
    </xf>
    <xf numFmtId="182" fontId="7" fillId="10" borderId="1" xfId="15" applyNumberFormat="1" applyFont="1" applyFill="1" applyBorder="1" applyAlignment="1" applyProtection="1">
      <alignment vertical="center"/>
    </xf>
    <xf numFmtId="43" fontId="7" fillId="10" borderId="1" xfId="15" applyFont="1" applyFill="1" applyBorder="1" applyAlignment="1" applyProtection="1">
      <alignment vertical="center"/>
      <protection locked="0"/>
    </xf>
    <xf numFmtId="43" fontId="7" fillId="10" borderId="0" xfId="15" applyFont="1" applyFill="1" applyBorder="1" applyAlignment="1">
      <alignment vertical="center"/>
    </xf>
    <xf numFmtId="179" fontId="12" fillId="0" borderId="0" xfId="0" applyFont="1"/>
    <xf numFmtId="43" fontId="20" fillId="10" borderId="0" xfId="15" applyFont="1" applyFill="1" applyBorder="1" applyAlignment="1" applyProtection="1">
      <alignment vertical="center" shrinkToFit="1"/>
    </xf>
    <xf numFmtId="43" fontId="7" fillId="10" borderId="0" xfId="0" applyNumberFormat="1" applyFont="1" applyFill="1" applyBorder="1" applyAlignment="1">
      <alignment vertical="center"/>
    </xf>
    <xf numFmtId="179" fontId="7" fillId="10" borderId="0" xfId="0" applyFont="1" applyFill="1" applyBorder="1" applyAlignment="1">
      <alignment horizontal="left" vertical="center"/>
    </xf>
    <xf numFmtId="179" fontId="13" fillId="6" borderId="0" xfId="52" applyFont="1" applyFill="1" applyBorder="1" applyAlignment="1" applyProtection="1">
      <alignment vertical="center"/>
      <protection locked="0"/>
    </xf>
    <xf numFmtId="179" fontId="20" fillId="12" borderId="0" xfId="52" applyFont="1" applyFill="1" applyBorder="1" applyAlignment="1" applyProtection="1">
      <alignment horizontal="left" vertical="center"/>
      <protection locked="0"/>
    </xf>
    <xf numFmtId="182" fontId="7" fillId="6" borderId="1" xfId="15" applyNumberFormat="1" applyFont="1" applyFill="1" applyBorder="1" applyAlignment="1" applyProtection="1">
      <alignment vertical="center"/>
      <protection locked="0"/>
    </xf>
    <xf numFmtId="182" fontId="7" fillId="10" borderId="1" xfId="15" applyNumberFormat="1" applyFont="1" applyFill="1" applyBorder="1" applyAlignment="1" applyProtection="1">
      <alignment vertical="center"/>
      <protection locked="0"/>
    </xf>
    <xf numFmtId="179" fontId="13" fillId="6" borderId="1" xfId="269" applyFont="1" applyFill="1" applyBorder="1" applyAlignment="1" applyProtection="1">
      <alignment horizontal="center" vertical="top" wrapText="1"/>
      <protection locked="0"/>
    </xf>
    <xf numFmtId="43" fontId="20" fillId="0" borderId="1" xfId="15" applyFont="1" applyFill="1" applyBorder="1" applyAlignment="1" applyProtection="1">
      <alignment horizontal="justify" vertical="top" shrinkToFit="1"/>
      <protection locked="0"/>
    </xf>
    <xf numFmtId="43" fontId="20" fillId="0" borderId="1" xfId="15" applyFont="1" applyFill="1" applyBorder="1" applyAlignment="1" applyProtection="1">
      <alignment horizontal="right" vertical="top" shrinkToFit="1"/>
      <protection locked="0"/>
    </xf>
    <xf numFmtId="43" fontId="13" fillId="6" borderId="1" xfId="15" applyFont="1" applyFill="1" applyBorder="1" applyAlignment="1" applyProtection="1">
      <alignment horizontal="right" vertical="top" shrinkToFit="1"/>
    </xf>
    <xf numFmtId="43" fontId="20" fillId="0" borderId="1" xfId="15" applyFont="1" applyFill="1" applyBorder="1" applyAlignment="1" applyProtection="1">
      <alignment horizontal="right" vertical="center" shrinkToFit="1"/>
      <protection locked="0"/>
    </xf>
    <xf numFmtId="43" fontId="20" fillId="0" borderId="1" xfId="15" applyFont="1" applyFill="1" applyBorder="1" applyAlignment="1" applyProtection="1">
      <alignment vertical="center" shrinkToFit="1"/>
      <protection locked="0"/>
    </xf>
    <xf numFmtId="179" fontId="20" fillId="6" borderId="1" xfId="269" applyFont="1" applyFill="1" applyBorder="1" applyAlignment="1" applyProtection="1">
      <alignment horizontal="center" shrinkToFit="1"/>
      <protection locked="0"/>
    </xf>
    <xf numFmtId="43" fontId="20" fillId="6" borderId="1" xfId="15" applyFont="1" applyFill="1" applyBorder="1" applyAlignment="1" applyProtection="1">
      <alignment horizontal="right" vertical="center" shrinkToFit="1"/>
    </xf>
    <xf numFmtId="179" fontId="13" fillId="6" borderId="1" xfId="269" applyFont="1" applyFill="1" applyBorder="1" applyProtection="1">
      <protection locked="0"/>
    </xf>
    <xf numFmtId="179" fontId="0" fillId="0" borderId="0" xfId="0" applyFont="1"/>
    <xf numFmtId="179" fontId="20" fillId="0" borderId="1" xfId="37" applyFont="1" applyFill="1" applyBorder="1" applyAlignment="1" applyProtection="1">
      <alignment vertical="center" shrinkToFit="1"/>
      <protection locked="0"/>
    </xf>
    <xf numFmtId="179" fontId="20" fillId="6" borderId="1" xfId="37" applyFont="1" applyFill="1" applyBorder="1" applyAlignment="1" applyProtection="1">
      <alignment vertical="center" shrinkToFit="1"/>
      <protection locked="0"/>
    </xf>
    <xf numFmtId="43" fontId="20" fillId="6" borderId="0" xfId="15" applyFont="1" applyFill="1" applyAlignment="1" applyProtection="1">
      <protection locked="0"/>
    </xf>
    <xf numFmtId="43" fontId="20" fillId="6" borderId="0" xfId="15" applyFont="1" applyFill="1" applyBorder="1" applyAlignment="1" applyProtection="1">
      <alignment horizontal="right" vertical="center" shrinkToFit="1"/>
      <protection locked="0"/>
    </xf>
    <xf numFmtId="179" fontId="20" fillId="6" borderId="0" xfId="37" applyFont="1" applyFill="1" applyBorder="1" applyAlignment="1" applyProtection="1">
      <alignment vertical="center"/>
      <protection locked="0"/>
    </xf>
    <xf numFmtId="179" fontId="13" fillId="6" borderId="1" xfId="269" applyFont="1" applyFill="1" applyBorder="1" applyAlignment="1" applyProtection="1">
      <alignment horizontal="center" vertical="center" wrapText="1"/>
      <protection locked="0"/>
    </xf>
    <xf numFmtId="43" fontId="20" fillId="0" borderId="1" xfId="15" applyFont="1" applyFill="1" applyBorder="1" applyAlignment="1" applyProtection="1">
      <alignment horizontal="left" vertical="center" shrinkToFit="1"/>
      <protection locked="0"/>
    </xf>
    <xf numFmtId="43" fontId="20" fillId="0" borderId="1" xfId="15" applyFont="1" applyFill="1" applyBorder="1" applyAlignment="1" applyProtection="1">
      <alignment shrinkToFit="1"/>
      <protection locked="0"/>
    </xf>
    <xf numFmtId="179" fontId="20" fillId="6" borderId="1" xfId="269" applyFont="1" applyFill="1" applyBorder="1" applyAlignment="1" applyProtection="1">
      <alignment shrinkToFit="1"/>
      <protection locked="0"/>
    </xf>
    <xf numFmtId="43" fontId="20" fillId="6" borderId="1" xfId="15" applyFont="1" applyFill="1" applyBorder="1" applyAlignment="1" applyProtection="1">
      <alignment vertical="center" shrinkToFit="1"/>
      <protection locked="0"/>
    </xf>
    <xf numFmtId="179" fontId="20" fillId="6" borderId="0" xfId="37" applyFont="1" applyFill="1" applyAlignment="1" applyProtection="1">
      <alignment vertical="center"/>
      <protection locked="0"/>
    </xf>
    <xf numFmtId="179" fontId="20" fillId="6" borderId="0" xfId="269" applyFont="1" applyFill="1" applyAlignment="1" applyProtection="1">
      <protection locked="0"/>
    </xf>
    <xf numFmtId="179" fontId="21" fillId="6" borderId="1" xfId="269" applyFont="1" applyFill="1" applyBorder="1" applyAlignment="1" applyProtection="1">
      <alignment horizontal="center" vertical="center" wrapText="1"/>
      <protection locked="0"/>
    </xf>
    <xf numFmtId="179" fontId="20" fillId="6" borderId="1" xfId="269" applyFont="1" applyFill="1" applyBorder="1" applyAlignment="1" applyProtection="1">
      <alignment horizontal="center" wrapText="1"/>
      <protection locked="0"/>
    </xf>
    <xf numFmtId="43" fontId="20" fillId="6" borderId="1" xfId="37" applyNumberFormat="1" applyFont="1" applyFill="1" applyBorder="1" applyAlignment="1" applyProtection="1">
      <alignment vertical="center" shrinkToFit="1"/>
      <protection locked="0"/>
    </xf>
    <xf numFmtId="43" fontId="20" fillId="6" borderId="1" xfId="15" applyFont="1" applyFill="1" applyBorder="1" applyAlignment="1" applyProtection="1">
      <alignment horizontal="right" vertical="center" shrinkToFit="1"/>
      <protection locked="0"/>
    </xf>
    <xf numFmtId="179" fontId="20" fillId="0" borderId="2" xfId="0" applyFont="1" applyBorder="1"/>
    <xf numFmtId="179" fontId="20" fillId="0" borderId="0" xfId="0" applyFont="1"/>
    <xf numFmtId="179" fontId="13" fillId="0" borderId="2" xfId="0" applyFont="1" applyBorder="1"/>
    <xf numFmtId="179" fontId="21" fillId="0" borderId="2" xfId="0" applyFont="1" applyBorder="1"/>
    <xf numFmtId="179" fontId="1" fillId="0" borderId="2" xfId="0" applyFont="1" applyBorder="1"/>
    <xf numFmtId="179" fontId="13" fillId="0" borderId="0" xfId="0" applyFont="1"/>
    <xf numFmtId="43" fontId="13" fillId="0" borderId="0" xfId="0" applyNumberFormat="1" applyFont="1"/>
    <xf numFmtId="43" fontId="20" fillId="0" borderId="0" xfId="0" applyNumberFormat="1" applyFont="1"/>
    <xf numFmtId="43" fontId="20" fillId="0" borderId="0" xfId="15" applyFont="1"/>
    <xf numFmtId="43" fontId="13" fillId="0" borderId="0" xfId="15" applyFont="1"/>
    <xf numFmtId="179" fontId="21" fillId="0" borderId="8" xfId="0" applyFont="1" applyBorder="1" applyProtection="1">
      <protection locked="0"/>
    </xf>
    <xf numFmtId="43" fontId="21" fillId="0" borderId="9" xfId="15" applyFont="1" applyBorder="1" applyProtection="1">
      <protection locked="0"/>
    </xf>
    <xf numFmtId="179" fontId="13" fillId="0" borderId="0" xfId="0" applyFont="1" applyProtection="1">
      <protection locked="0"/>
    </xf>
    <xf numFmtId="179" fontId="20" fillId="0" borderId="10" xfId="0" applyFont="1" applyBorder="1" applyProtection="1">
      <protection locked="0"/>
    </xf>
    <xf numFmtId="43" fontId="20" fillId="0" borderId="11" xfId="15" applyFont="1" applyBorder="1" applyProtection="1"/>
    <xf numFmtId="179" fontId="20" fillId="0" borderId="0" xfId="0" applyFont="1" applyProtection="1">
      <protection locked="0"/>
    </xf>
    <xf numFmtId="179" fontId="21" fillId="0" borderId="10" xfId="0" applyFont="1" applyBorder="1" applyProtection="1">
      <protection locked="0"/>
    </xf>
    <xf numFmtId="43" fontId="13" fillId="0" borderId="11" xfId="15" applyFont="1" applyBorder="1" applyProtection="1"/>
    <xf numFmtId="43" fontId="13" fillId="0" borderId="11" xfId="15" applyFont="1" applyBorder="1" applyProtection="1">
      <protection locked="0"/>
    </xf>
    <xf numFmtId="179" fontId="1" fillId="0" borderId="10" xfId="0" applyFont="1" applyBorder="1" applyProtection="1">
      <protection locked="0"/>
    </xf>
    <xf numFmtId="43" fontId="20" fillId="0" borderId="11" xfId="15" applyFont="1" applyBorder="1" applyProtection="1">
      <protection locked="0"/>
    </xf>
    <xf numFmtId="179" fontId="1" fillId="0" borderId="12" xfId="0" applyFont="1" applyBorder="1" applyProtection="1">
      <protection locked="0"/>
    </xf>
    <xf numFmtId="43" fontId="20" fillId="0" borderId="13" xfId="15" applyFont="1" applyBorder="1" applyProtection="1"/>
    <xf numFmtId="43" fontId="20" fillId="0" borderId="0" xfId="15" applyFont="1" applyProtection="1">
      <protection locked="0"/>
    </xf>
    <xf numFmtId="43" fontId="23" fillId="0" borderId="0" xfId="377" applyFont="1">
      <alignment vertical="center"/>
    </xf>
    <xf numFmtId="43" fontId="1" fillId="0" borderId="0" xfId="377" applyFont="1" applyAlignment="1">
      <alignment horizontal="center" vertical="center"/>
    </xf>
    <xf numFmtId="43" fontId="1" fillId="0" borderId="0" xfId="377" applyFont="1" applyAlignment="1">
      <alignment vertical="center" shrinkToFit="1"/>
    </xf>
    <xf numFmtId="43" fontId="1" fillId="0" borderId="0" xfId="377" applyFont="1" applyFill="1">
      <alignment vertical="center"/>
    </xf>
    <xf numFmtId="43" fontId="1" fillId="0" borderId="0" xfId="377" applyFont="1">
      <alignment vertical="center"/>
    </xf>
    <xf numFmtId="43" fontId="1" fillId="0" borderId="0" xfId="377" applyFont="1" applyAlignment="1">
      <alignment vertical="center" wrapText="1"/>
    </xf>
    <xf numFmtId="43" fontId="1" fillId="0" borderId="1" xfId="377" applyFont="1" applyBorder="1">
      <alignment vertical="center"/>
    </xf>
    <xf numFmtId="43" fontId="1" fillId="0" borderId="1" xfId="377" applyFont="1" applyBorder="1" applyAlignment="1">
      <alignment horizontal="right" vertical="center"/>
    </xf>
    <xf numFmtId="43" fontId="21" fillId="0" borderId="1" xfId="377" applyFont="1" applyBorder="1">
      <alignment vertical="center"/>
    </xf>
    <xf numFmtId="43" fontId="23" fillId="5" borderId="1" xfId="377" applyFont="1" applyFill="1" applyBorder="1" applyAlignment="1">
      <alignment horizontal="center" vertical="center"/>
    </xf>
    <xf numFmtId="43" fontId="23" fillId="5" borderId="1" xfId="377" applyFont="1" applyFill="1" applyBorder="1">
      <alignment vertical="center"/>
    </xf>
    <xf numFmtId="43" fontId="21" fillId="0" borderId="0" xfId="377" applyFont="1" applyFill="1" applyAlignment="1" applyProtection="1">
      <alignment horizontal="left"/>
    </xf>
    <xf numFmtId="43" fontId="23" fillId="5" borderId="0" xfId="377" applyFont="1" applyFill="1">
      <alignment vertical="center"/>
    </xf>
    <xf numFmtId="43" fontId="21" fillId="6" borderId="1" xfId="377" applyFont="1" applyFill="1" applyBorder="1" applyAlignment="1" applyProtection="1">
      <alignment horizontal="center" vertical="center" wrapText="1"/>
    </xf>
    <xf numFmtId="43" fontId="13" fillId="6" borderId="1" xfId="377" applyFont="1" applyFill="1" applyBorder="1" applyAlignment="1" applyProtection="1">
      <alignment horizontal="center" vertical="center" wrapText="1"/>
    </xf>
    <xf numFmtId="43" fontId="24" fillId="6" borderId="1" xfId="377" applyFont="1" applyFill="1" applyBorder="1" applyAlignment="1" applyProtection="1">
      <alignment horizontal="center" vertical="center" wrapText="1"/>
    </xf>
    <xf numFmtId="43" fontId="1" fillId="0" borderId="1" xfId="377" applyFont="1" applyBorder="1" applyAlignment="1" applyProtection="1">
      <alignment vertical="center" shrinkToFit="1"/>
      <protection locked="0"/>
    </xf>
    <xf numFmtId="43" fontId="13" fillId="0" borderId="1" xfId="377" applyFont="1" applyFill="1" applyBorder="1" applyAlignment="1" applyProtection="1">
      <alignment horizontal="center" shrinkToFit="1"/>
      <protection locked="0"/>
    </xf>
    <xf numFmtId="14" fontId="1" fillId="0" borderId="1" xfId="377" applyNumberFormat="1" applyFont="1" applyBorder="1" applyAlignment="1" applyProtection="1">
      <alignment vertical="center" shrinkToFit="1"/>
      <protection locked="0"/>
    </xf>
    <xf numFmtId="217" fontId="1" fillId="0" borderId="1" xfId="20" applyNumberFormat="1" applyFont="1" applyBorder="1" applyAlignment="1" applyProtection="1">
      <alignment vertical="center" shrinkToFit="1"/>
      <protection locked="0"/>
    </xf>
    <xf numFmtId="43" fontId="21" fillId="6" borderId="1" xfId="377" applyFont="1" applyFill="1" applyBorder="1" applyAlignment="1" applyProtection="1">
      <alignment horizontal="center" vertical="center" shrinkToFit="1"/>
    </xf>
    <xf numFmtId="43" fontId="21" fillId="0" borderId="0" xfId="377" applyFont="1" applyFill="1" applyAlignment="1" applyProtection="1"/>
    <xf numFmtId="43" fontId="23" fillId="0" borderId="0" xfId="377" applyFont="1" applyFill="1">
      <alignment vertical="center"/>
    </xf>
    <xf numFmtId="43" fontId="21" fillId="6" borderId="1" xfId="377" applyFont="1" applyFill="1" applyBorder="1" applyAlignment="1" applyProtection="1">
      <alignment horizontal="left" wrapText="1"/>
    </xf>
    <xf numFmtId="43" fontId="21" fillId="6" borderId="1" xfId="377" applyFont="1" applyFill="1" applyBorder="1" applyAlignment="1" applyProtection="1">
      <alignment horizontal="center" wrapText="1"/>
    </xf>
    <xf numFmtId="43" fontId="24" fillId="6" borderId="14" xfId="377" applyFont="1" applyFill="1" applyBorder="1" applyAlignment="1" applyProtection="1">
      <alignment vertical="center" wrapText="1"/>
    </xf>
    <xf numFmtId="43" fontId="21" fillId="0" borderId="1" xfId="377" applyFont="1" applyFill="1" applyBorder="1" applyAlignment="1" applyProtection="1">
      <alignment horizontal="center" shrinkToFit="1"/>
      <protection locked="0"/>
    </xf>
    <xf numFmtId="43" fontId="23" fillId="0" borderId="0" xfId="377" applyFont="1" applyAlignment="1">
      <alignment vertical="center" wrapText="1"/>
    </xf>
    <xf numFmtId="43" fontId="1" fillId="0" borderId="1" xfId="377" applyFont="1" applyBorder="1" applyAlignment="1">
      <alignment horizontal="center" vertical="center" wrapText="1"/>
    </xf>
    <xf numFmtId="43" fontId="23" fillId="0" borderId="1" xfId="377" applyFont="1" applyBorder="1" applyAlignment="1">
      <alignment horizontal="center" vertical="center" wrapText="1"/>
    </xf>
    <xf numFmtId="43" fontId="1" fillId="0" borderId="1" xfId="377" applyFont="1" applyBorder="1" applyAlignment="1">
      <alignment vertical="center" shrinkToFit="1"/>
    </xf>
    <xf numFmtId="43" fontId="21" fillId="0" borderId="1" xfId="377" applyFont="1" applyFill="1" applyBorder="1" applyAlignment="1" applyProtection="1">
      <alignment horizontal="center" vertical="center" wrapText="1"/>
      <protection locked="0"/>
    </xf>
    <xf numFmtId="43" fontId="24" fillId="5" borderId="1" xfId="377" applyFont="1" applyFill="1" applyBorder="1" applyAlignment="1" applyProtection="1">
      <alignment horizontal="center" vertical="center" shrinkToFit="1"/>
    </xf>
    <xf numFmtId="43" fontId="1" fillId="0" borderId="0" xfId="377" applyFont="1" applyFill="1" applyAlignment="1">
      <alignment vertical="center" wrapText="1"/>
    </xf>
    <xf numFmtId="43" fontId="25" fillId="6" borderId="1" xfId="377" applyFont="1" applyFill="1" applyBorder="1" applyAlignment="1" applyProtection="1">
      <alignment horizontal="center" vertical="center" wrapText="1"/>
    </xf>
    <xf numFmtId="43" fontId="13" fillId="0" borderId="1" xfId="377" applyFont="1" applyFill="1" applyBorder="1" applyAlignment="1" applyProtection="1">
      <alignment horizontal="center" wrapText="1" shrinkToFit="1"/>
      <protection locked="0"/>
    </xf>
    <xf numFmtId="43" fontId="21" fillId="0" borderId="1" xfId="377" applyFont="1" applyFill="1" applyBorder="1" applyAlignment="1" applyProtection="1">
      <alignment horizontal="center" wrapText="1" shrinkToFit="1"/>
      <protection locked="0"/>
    </xf>
    <xf numFmtId="43" fontId="20" fillId="0" borderId="1" xfId="377" applyFont="1" applyFill="1" applyBorder="1" applyAlignment="1" applyProtection="1">
      <alignment vertical="center" shrinkToFit="1"/>
      <protection locked="0"/>
    </xf>
    <xf numFmtId="43" fontId="20" fillId="0" borderId="1" xfId="377" applyFont="1" applyFill="1" applyBorder="1" applyAlignment="1" applyProtection="1">
      <alignment horizontal="right" vertical="center" shrinkToFit="1"/>
      <protection locked="0"/>
    </xf>
    <xf numFmtId="43" fontId="20" fillId="6" borderId="1" xfId="377" applyFont="1" applyFill="1" applyBorder="1" applyAlignment="1" applyProtection="1">
      <alignment horizontal="center" vertical="center" shrinkToFit="1"/>
    </xf>
    <xf numFmtId="43" fontId="20" fillId="6" borderId="1" xfId="377" applyFont="1" applyFill="1" applyBorder="1" applyAlignment="1" applyProtection="1">
      <alignment horizontal="right" vertical="center" shrinkToFit="1"/>
    </xf>
    <xf numFmtId="43" fontId="20" fillId="6" borderId="1" xfId="377" applyFont="1" applyFill="1" applyBorder="1" applyAlignment="1" applyProtection="1">
      <alignment vertical="center" shrinkToFit="1"/>
    </xf>
    <xf numFmtId="43" fontId="20" fillId="0" borderId="1" xfId="377" applyFont="1" applyFill="1" applyBorder="1" applyAlignment="1" applyProtection="1">
      <alignment vertical="center" wrapText="1" shrinkToFit="1"/>
      <protection locked="0"/>
    </xf>
    <xf numFmtId="43" fontId="20" fillId="6" borderId="1" xfId="377" applyFont="1" applyFill="1" applyBorder="1" applyAlignment="1" applyProtection="1">
      <alignment vertical="center" wrapText="1" shrinkToFit="1"/>
    </xf>
    <xf numFmtId="43" fontId="20" fillId="6" borderId="1" xfId="377" applyFont="1" applyFill="1" applyBorder="1" applyAlignment="1" applyProtection="1">
      <alignment horizontal="center" vertical="center" wrapText="1" shrinkToFit="1"/>
    </xf>
    <xf numFmtId="179" fontId="7" fillId="0" borderId="0" xfId="291" applyFont="1" applyFill="1" applyBorder="1" applyAlignment="1" applyProtection="1">
      <alignment vertical="center"/>
      <protection locked="0"/>
    </xf>
    <xf numFmtId="179" fontId="7" fillId="4" borderId="0" xfId="291" applyFont="1" applyFill="1" applyBorder="1" applyAlignment="1" applyProtection="1">
      <alignment horizontal="center" vertical="center"/>
      <protection locked="0"/>
    </xf>
    <xf numFmtId="179" fontId="7" fillId="4" borderId="0" xfId="291" applyFont="1" applyFill="1" applyAlignment="1" applyProtection="1">
      <alignment vertical="center" shrinkToFit="1"/>
      <protection locked="0"/>
    </xf>
    <xf numFmtId="43" fontId="7" fillId="4" borderId="0" xfId="15" applyFont="1" applyFill="1" applyAlignment="1" applyProtection="1">
      <alignment vertical="center" shrinkToFit="1"/>
      <protection locked="0"/>
    </xf>
    <xf numFmtId="179" fontId="7" fillId="4" borderId="0" xfId="291" applyFont="1" applyFill="1" applyProtection="1">
      <alignment vertical="center"/>
      <protection locked="0"/>
    </xf>
    <xf numFmtId="179" fontId="26" fillId="5" borderId="14" xfId="291" applyFont="1" applyFill="1" applyBorder="1" applyAlignment="1" applyProtection="1">
      <alignment vertical="center" shrinkToFit="1"/>
      <protection locked="0"/>
    </xf>
    <xf numFmtId="179" fontId="26" fillId="5" borderId="15" xfId="291" applyFont="1" applyFill="1" applyBorder="1" applyAlignment="1" applyProtection="1">
      <alignment vertical="center" shrinkToFit="1"/>
      <protection locked="0"/>
    </xf>
    <xf numFmtId="43" fontId="26" fillId="5" borderId="15" xfId="15" applyFont="1" applyFill="1" applyBorder="1" applyAlignment="1" applyProtection="1">
      <alignment vertical="center" shrinkToFit="1"/>
      <protection locked="0"/>
    </xf>
    <xf numFmtId="179" fontId="7" fillId="4" borderId="0" xfId="291" applyFont="1" applyFill="1" applyBorder="1" applyAlignment="1" applyProtection="1">
      <alignment vertical="center"/>
      <protection locked="0"/>
    </xf>
    <xf numFmtId="179" fontId="19" fillId="13" borderId="0" xfId="0" applyFont="1" applyFill="1" applyAlignment="1" applyProtection="1">
      <alignment vertical="center"/>
      <protection locked="0"/>
    </xf>
    <xf numFmtId="179" fontId="7" fillId="13" borderId="0" xfId="0" applyFont="1" applyFill="1" applyAlignment="1" applyProtection="1">
      <alignment vertical="center"/>
      <protection locked="0"/>
    </xf>
    <xf numFmtId="43" fontId="26" fillId="5" borderId="0" xfId="0" applyNumberFormat="1" applyFont="1" applyFill="1" applyAlignment="1" applyProtection="1">
      <alignment vertical="center" shrinkToFit="1"/>
      <protection locked="0"/>
    </xf>
    <xf numFmtId="179" fontId="7" fillId="0" borderId="0" xfId="291" applyFont="1" applyAlignment="1" applyProtection="1">
      <alignment vertical="center" shrinkToFit="1"/>
      <protection locked="0"/>
    </xf>
    <xf numFmtId="43" fontId="7" fillId="0" borderId="0" xfId="15" applyFont="1" applyAlignment="1" applyProtection="1">
      <alignment vertical="center" shrinkToFit="1"/>
    </xf>
    <xf numFmtId="43" fontId="7" fillId="4" borderId="0" xfId="291" applyNumberFormat="1" applyFont="1" applyFill="1" applyAlignment="1" applyProtection="1">
      <alignment vertical="center" shrinkToFit="1"/>
      <protection locked="0"/>
    </xf>
    <xf numFmtId="179" fontId="7" fillId="13" borderId="0" xfId="0" applyFont="1" applyFill="1" applyAlignment="1" applyProtection="1">
      <alignment horizontal="center" vertical="center"/>
      <protection locked="0"/>
    </xf>
    <xf numFmtId="43" fontId="7" fillId="13" borderId="0" xfId="0" applyNumberFormat="1" applyFont="1" applyFill="1" applyAlignment="1" applyProtection="1">
      <alignment vertical="center" shrinkToFit="1"/>
    </xf>
    <xf numFmtId="179" fontId="7" fillId="4" borderId="1" xfId="291" applyFont="1" applyFill="1" applyBorder="1" applyAlignment="1" applyProtection="1">
      <alignment horizontal="center" vertical="center" shrinkToFit="1"/>
      <protection locked="0"/>
    </xf>
    <xf numFmtId="43" fontId="27" fillId="4" borderId="1" xfId="377" applyFont="1" applyFill="1" applyBorder="1" applyAlignment="1" applyProtection="1">
      <alignment vertical="center" wrapText="1"/>
      <protection locked="0"/>
    </xf>
    <xf numFmtId="43" fontId="19" fillId="4" borderId="1" xfId="15" applyFont="1" applyFill="1" applyBorder="1" applyAlignment="1" applyProtection="1">
      <alignment horizontal="center" vertical="center" shrinkToFit="1"/>
      <protection locked="0"/>
    </xf>
    <xf numFmtId="179" fontId="7" fillId="4" borderId="0" xfId="291" applyFont="1" applyFill="1" applyBorder="1" applyAlignment="1" applyProtection="1">
      <alignment horizontal="center" vertical="center" shrinkToFit="1"/>
      <protection locked="0"/>
    </xf>
    <xf numFmtId="179" fontId="19" fillId="13" borderId="1" xfId="0" applyFont="1" applyFill="1" applyBorder="1" applyAlignment="1" applyProtection="1">
      <alignment vertical="center"/>
      <protection locked="0"/>
    </xf>
    <xf numFmtId="179" fontId="7" fillId="13" borderId="1" xfId="0" applyFont="1" applyFill="1" applyBorder="1" applyAlignment="1" applyProtection="1">
      <alignment vertical="center"/>
      <protection locked="0"/>
    </xf>
    <xf numFmtId="179" fontId="7" fillId="13" borderId="1" xfId="0" applyFont="1" applyFill="1" applyBorder="1" applyAlignment="1" applyProtection="1">
      <alignment horizontal="center" vertical="center" shrinkToFit="1"/>
      <protection locked="0"/>
    </xf>
    <xf numFmtId="179" fontId="7" fillId="4" borderId="1" xfId="291" applyFont="1" applyFill="1" applyBorder="1" applyAlignment="1" applyProtection="1">
      <alignment vertical="center" shrinkToFit="1"/>
    </xf>
    <xf numFmtId="179" fontId="7" fillId="4" borderId="1" xfId="291" applyFont="1" applyFill="1" applyBorder="1" applyAlignment="1" applyProtection="1">
      <alignment vertical="center" shrinkToFit="1"/>
      <protection locked="0"/>
    </xf>
    <xf numFmtId="43" fontId="7" fillId="4" borderId="1" xfId="15" applyFont="1" applyFill="1" applyBorder="1" applyAlignment="1" applyProtection="1">
      <alignment vertical="center" shrinkToFit="1"/>
    </xf>
    <xf numFmtId="179" fontId="26" fillId="4" borderId="0" xfId="291" applyFont="1" applyFill="1" applyAlignment="1" applyProtection="1">
      <alignment vertical="center" shrinkToFit="1"/>
      <protection locked="0"/>
    </xf>
    <xf numFmtId="43" fontId="7" fillId="13" borderId="1" xfId="377" applyFont="1" applyFill="1" applyBorder="1" applyAlignment="1" applyProtection="1">
      <alignment vertical="center" shrinkToFit="1"/>
    </xf>
    <xf numFmtId="43" fontId="7" fillId="4" borderId="1" xfId="377" applyFont="1" applyFill="1" applyBorder="1" applyAlignment="1" applyProtection="1">
      <alignment vertical="center" shrinkToFit="1"/>
      <protection locked="0"/>
    </xf>
    <xf numFmtId="43" fontId="19" fillId="14" borderId="1" xfId="377" applyFont="1" applyFill="1" applyBorder="1" applyAlignment="1" applyProtection="1">
      <alignment vertical="center" shrinkToFit="1"/>
      <protection locked="0"/>
    </xf>
    <xf numFmtId="43" fontId="19" fillId="14" borderId="1" xfId="15" applyFont="1" applyFill="1" applyBorder="1" applyAlignment="1" applyProtection="1">
      <alignment vertical="center" shrinkToFit="1"/>
    </xf>
    <xf numFmtId="179" fontId="7" fillId="4" borderId="16" xfId="291" applyFont="1" applyFill="1" applyBorder="1" applyAlignment="1" applyProtection="1">
      <alignment vertical="center" shrinkToFit="1"/>
    </xf>
    <xf numFmtId="43" fontId="7" fillId="5" borderId="0" xfId="377" applyFont="1" applyFill="1" applyAlignment="1" applyProtection="1">
      <alignment vertical="center" shrinkToFit="1"/>
      <protection locked="0"/>
    </xf>
    <xf numFmtId="43" fontId="7" fillId="5" borderId="0" xfId="15" applyFont="1" applyFill="1" applyAlignment="1" applyProtection="1">
      <alignment vertical="center" shrinkToFit="1"/>
    </xf>
    <xf numFmtId="179" fontId="7" fillId="4" borderId="0" xfId="291" applyFont="1" applyFill="1" applyBorder="1" applyAlignment="1" applyProtection="1">
      <alignment vertical="center" shrinkToFit="1"/>
      <protection locked="0"/>
    </xf>
    <xf numFmtId="43" fontId="7" fillId="4" borderId="0" xfId="15" applyFont="1" applyFill="1" applyAlignment="1" applyProtection="1">
      <alignment vertical="center" shrinkToFit="1"/>
    </xf>
    <xf numFmtId="43" fontId="7" fillId="4" borderId="0" xfId="377" applyFont="1" applyFill="1" applyAlignment="1" applyProtection="1">
      <alignment vertical="center" shrinkToFit="1"/>
      <protection locked="0"/>
    </xf>
    <xf numFmtId="179" fontId="26" fillId="13" borderId="0" xfId="0" applyFont="1" applyFill="1" applyAlignment="1" applyProtection="1">
      <alignment vertical="center"/>
      <protection locked="0"/>
    </xf>
    <xf numFmtId="43" fontId="26" fillId="13" borderId="0" xfId="377" applyFont="1" applyFill="1" applyAlignment="1" applyProtection="1">
      <alignment vertical="center" shrinkToFit="1"/>
      <protection locked="0"/>
    </xf>
    <xf numFmtId="179" fontId="0" fillId="13" borderId="0" xfId="0" applyFill="1" applyAlignment="1" applyProtection="1">
      <alignment vertical="center"/>
      <protection locked="0"/>
    </xf>
    <xf numFmtId="179" fontId="7" fillId="13" borderId="0" xfId="291" applyFont="1" applyFill="1" applyBorder="1" applyAlignment="1" applyProtection="1">
      <alignment vertical="center"/>
      <protection locked="0"/>
    </xf>
    <xf numFmtId="179" fontId="28" fillId="12" borderId="1" xfId="0" applyFont="1" applyFill="1" applyBorder="1" applyAlignment="1" applyProtection="1">
      <alignment horizontal="center" vertical="center"/>
      <protection locked="0"/>
    </xf>
    <xf numFmtId="179" fontId="7" fillId="12" borderId="1" xfId="0" applyFont="1" applyFill="1" applyBorder="1" applyAlignment="1" applyProtection="1">
      <alignment horizontal="center" vertical="center"/>
      <protection locked="0"/>
    </xf>
    <xf numFmtId="179" fontId="7" fillId="5" borderId="14" xfId="0" applyFont="1" applyFill="1" applyBorder="1" applyAlignment="1" applyProtection="1">
      <alignment horizontal="left" vertical="center"/>
      <protection locked="0"/>
    </xf>
    <xf numFmtId="179" fontId="7" fillId="13" borderId="1" xfId="0" applyFont="1" applyFill="1" applyBorder="1" applyAlignment="1" applyProtection="1">
      <alignment horizontal="center" vertical="center"/>
      <protection locked="0"/>
    </xf>
    <xf numFmtId="179" fontId="7" fillId="13" borderId="1" xfId="291" applyFont="1" applyFill="1" applyBorder="1" applyAlignment="1" applyProtection="1">
      <alignment horizontal="center" vertical="center"/>
      <protection locked="0"/>
    </xf>
    <xf numFmtId="10" fontId="7" fillId="13" borderId="1" xfId="175" applyNumberFormat="1" applyFont="1" applyFill="1" applyBorder="1" applyProtection="1">
      <alignment vertical="center"/>
      <protection locked="0"/>
    </xf>
    <xf numFmtId="179" fontId="7" fillId="4" borderId="1" xfId="0" applyFont="1" applyFill="1" applyBorder="1" applyAlignment="1" applyProtection="1">
      <alignment vertical="center"/>
      <protection locked="0"/>
    </xf>
    <xf numFmtId="43" fontId="7" fillId="13" borderId="1" xfId="377" applyFont="1" applyFill="1" applyBorder="1" applyProtection="1">
      <alignment vertical="center"/>
    </xf>
    <xf numFmtId="179" fontId="15" fillId="13" borderId="1" xfId="0" applyFont="1" applyFill="1" applyBorder="1" applyAlignment="1" applyProtection="1">
      <alignment horizontal="left" vertical="center"/>
      <protection locked="0"/>
    </xf>
    <xf numFmtId="179" fontId="7" fillId="13" borderId="1" xfId="291" applyFont="1" applyFill="1" applyBorder="1" applyAlignment="1" applyProtection="1">
      <alignment vertical="center" shrinkToFit="1"/>
    </xf>
    <xf numFmtId="43" fontId="7" fillId="4" borderId="1" xfId="377" applyFont="1" applyFill="1" applyBorder="1" applyProtection="1">
      <alignment vertical="center"/>
      <protection locked="0"/>
    </xf>
    <xf numFmtId="43" fontId="7" fillId="13" borderId="1" xfId="0" applyNumberFormat="1" applyFont="1" applyFill="1" applyBorder="1" applyAlignment="1" applyProtection="1">
      <alignment vertical="center"/>
      <protection locked="0"/>
    </xf>
    <xf numFmtId="179" fontId="0" fillId="0" borderId="0" xfId="0" applyAlignment="1" applyProtection="1">
      <alignment vertical="center"/>
      <protection locked="0"/>
    </xf>
    <xf numFmtId="43" fontId="7" fillId="4" borderId="1" xfId="409" applyFont="1" applyFill="1" applyBorder="1" applyProtection="1">
      <alignment vertical="center"/>
      <protection locked="0"/>
    </xf>
    <xf numFmtId="179" fontId="0" fillId="13" borderId="1" xfId="0" applyFill="1" applyBorder="1" applyAlignment="1" applyProtection="1">
      <alignment vertical="center"/>
      <protection locked="0"/>
    </xf>
    <xf numFmtId="179" fontId="7" fillId="13" borderId="0" xfId="291" applyFont="1" applyFill="1" applyAlignment="1" applyProtection="1">
      <alignment vertical="center" shrinkToFit="1"/>
      <protection locked="0"/>
    </xf>
    <xf numFmtId="179" fontId="7" fillId="4" borderId="0" xfId="0" applyFont="1" applyFill="1" applyAlignment="1" applyProtection="1">
      <alignment horizontal="center" vertical="center"/>
      <protection locked="0"/>
    </xf>
    <xf numFmtId="179" fontId="7" fillId="13" borderId="0" xfId="0" applyFont="1" applyFill="1" applyAlignment="1" applyProtection="1">
      <alignment vertical="center" shrinkToFit="1"/>
      <protection locked="0"/>
    </xf>
    <xf numFmtId="43" fontId="26" fillId="5" borderId="0" xfId="0" applyNumberFormat="1" applyFont="1" applyFill="1" applyAlignment="1" applyProtection="1">
      <alignment vertical="center" shrinkToFit="1"/>
    </xf>
    <xf numFmtId="43" fontId="7" fillId="4" borderId="1" xfId="377" applyFont="1" applyFill="1" applyBorder="1" applyAlignment="1" applyProtection="1">
      <alignment vertical="center" shrinkToFit="1"/>
    </xf>
    <xf numFmtId="43" fontId="19" fillId="4" borderId="1" xfId="377" applyFont="1" applyFill="1" applyBorder="1" applyAlignment="1" applyProtection="1">
      <alignment vertical="center" shrinkToFit="1"/>
      <protection locked="0"/>
    </xf>
    <xf numFmtId="43" fontId="19" fillId="4" borderId="1" xfId="15" applyFont="1" applyFill="1" applyBorder="1" applyAlignment="1" applyProtection="1">
      <alignment vertical="center" shrinkToFit="1"/>
    </xf>
    <xf numFmtId="179" fontId="7" fillId="4" borderId="0" xfId="291" applyFont="1" applyFill="1" applyBorder="1" applyAlignment="1" applyProtection="1">
      <alignment vertical="center" shrinkToFit="1"/>
    </xf>
    <xf numFmtId="43" fontId="26" fillId="5" borderId="0" xfId="15" applyFont="1" applyFill="1" applyAlignment="1" applyProtection="1">
      <alignment vertical="center" shrinkToFit="1"/>
    </xf>
    <xf numFmtId="43" fontId="7" fillId="4" borderId="0" xfId="377" applyFont="1" applyFill="1" applyBorder="1" applyAlignment="1" applyProtection="1">
      <alignment vertical="center" shrinkToFit="1"/>
      <protection locked="0"/>
    </xf>
    <xf numFmtId="43" fontId="7" fillId="4" borderId="0" xfId="15" applyFont="1" applyFill="1" applyBorder="1" applyAlignment="1" applyProtection="1">
      <alignment vertical="center" shrinkToFit="1"/>
      <protection locked="0"/>
    </xf>
    <xf numFmtId="179" fontId="7" fillId="4" borderId="0" xfId="291" applyFont="1" applyFill="1" applyAlignment="1" applyProtection="1">
      <alignment horizontal="center" vertical="center" shrinkToFit="1"/>
      <protection locked="0"/>
    </xf>
    <xf numFmtId="179" fontId="22" fillId="13" borderId="1" xfId="0" applyFont="1" applyFill="1" applyBorder="1" applyAlignment="1" applyProtection="1">
      <alignment vertical="center"/>
      <protection locked="0"/>
    </xf>
    <xf numFmtId="179" fontId="0" fillId="13" borderId="0" xfId="0" applyFill="1" applyAlignment="1" applyProtection="1">
      <alignment vertical="center" shrinkToFit="1"/>
      <protection locked="0"/>
    </xf>
    <xf numFmtId="179" fontId="0" fillId="13" borderId="0" xfId="0" applyFont="1" applyFill="1" applyAlignment="1" applyProtection="1">
      <alignment vertical="center" shrinkToFit="1"/>
      <protection locked="0"/>
    </xf>
    <xf numFmtId="179" fontId="7" fillId="13" borderId="0" xfId="0" applyFont="1" applyFill="1" applyAlignment="1" applyProtection="1">
      <alignment horizontal="left" vertical="center"/>
      <protection locked="0"/>
    </xf>
    <xf numFmtId="179" fontId="7" fillId="13" borderId="0" xfId="291" applyFont="1" applyFill="1" applyBorder="1" applyAlignment="1" applyProtection="1">
      <alignment horizontal="center" vertical="center" shrinkToFit="1"/>
      <protection locked="0"/>
    </xf>
    <xf numFmtId="179" fontId="7" fillId="13" borderId="1" xfId="0" applyFont="1" applyFill="1" applyBorder="1" applyAlignment="1" applyProtection="1">
      <alignment vertical="center" shrinkToFit="1"/>
      <protection locked="0"/>
    </xf>
    <xf numFmtId="179" fontId="28" fillId="12" borderId="1" xfId="0" applyFont="1" applyFill="1" applyBorder="1" applyAlignment="1" applyProtection="1">
      <alignment horizontal="center" vertical="center" shrinkToFit="1"/>
      <protection locked="0"/>
    </xf>
    <xf numFmtId="179" fontId="7" fillId="12" borderId="1" xfId="0" applyFont="1" applyFill="1" applyBorder="1" applyAlignment="1" applyProtection="1">
      <alignment horizontal="center" vertical="center" shrinkToFit="1"/>
      <protection locked="0"/>
    </xf>
    <xf numFmtId="179" fontId="7" fillId="13" borderId="1" xfId="291" applyFont="1" applyFill="1" applyBorder="1" applyAlignment="1" applyProtection="1">
      <alignment horizontal="center" vertical="center" shrinkToFit="1"/>
      <protection locked="0"/>
    </xf>
    <xf numFmtId="179" fontId="7" fillId="13" borderId="1" xfId="291" applyFont="1" applyFill="1" applyBorder="1" applyAlignment="1" applyProtection="1">
      <alignment horizontal="center" vertical="center" shrinkToFit="1"/>
    </xf>
    <xf numFmtId="10" fontId="7" fillId="13" borderId="1" xfId="175" applyNumberFormat="1" applyFont="1" applyFill="1" applyBorder="1" applyAlignment="1" applyProtection="1">
      <alignment vertical="center" shrinkToFit="1"/>
      <protection locked="0"/>
    </xf>
    <xf numFmtId="179" fontId="7" fillId="4" borderId="1" xfId="0" applyFont="1" applyFill="1" applyBorder="1" applyAlignment="1" applyProtection="1">
      <alignment vertical="center" shrinkToFit="1"/>
      <protection locked="0"/>
    </xf>
    <xf numFmtId="179" fontId="15" fillId="13" borderId="1" xfId="0" applyFont="1" applyFill="1" applyBorder="1" applyAlignment="1" applyProtection="1">
      <alignment horizontal="left" vertical="center"/>
    </xf>
    <xf numFmtId="43" fontId="7" fillId="13" borderId="1" xfId="0" applyNumberFormat="1" applyFont="1" applyFill="1" applyBorder="1" applyAlignment="1" applyProtection="1">
      <alignment horizontal="left" vertical="center"/>
    </xf>
    <xf numFmtId="43" fontId="19" fillId="13" borderId="1" xfId="0" applyNumberFormat="1" applyFont="1" applyFill="1" applyBorder="1" applyAlignment="1" applyProtection="1">
      <alignment horizontal="left" vertical="center"/>
    </xf>
    <xf numFmtId="43" fontId="29" fillId="13" borderId="1" xfId="0" applyNumberFormat="1" applyFont="1" applyFill="1" applyBorder="1" applyAlignment="1" applyProtection="1">
      <alignment horizontal="left" vertical="center"/>
    </xf>
    <xf numFmtId="179" fontId="7" fillId="13" borderId="1" xfId="0" applyFont="1" applyFill="1" applyBorder="1" applyAlignment="1" applyProtection="1">
      <alignment horizontal="left" vertical="center"/>
    </xf>
    <xf numFmtId="43" fontId="26" fillId="13" borderId="0" xfId="377" applyFont="1" applyFill="1" applyProtection="1">
      <alignment vertical="center"/>
      <protection locked="0"/>
    </xf>
    <xf numFmtId="179" fontId="0" fillId="13" borderId="1" xfId="0" applyFill="1" applyBorder="1" applyAlignment="1" applyProtection="1">
      <alignment vertical="center"/>
    </xf>
    <xf numFmtId="179" fontId="1" fillId="0" borderId="0" xfId="0" applyFont="1" applyFill="1"/>
    <xf numFmtId="179" fontId="3" fillId="0" borderId="0" xfId="0" applyFont="1"/>
    <xf numFmtId="179" fontId="1" fillId="0" borderId="0" xfId="0" applyFont="1" applyAlignment="1">
      <alignment wrapText="1"/>
    </xf>
    <xf numFmtId="43" fontId="1" fillId="0" borderId="0" xfId="15" applyFont="1"/>
    <xf numFmtId="43" fontId="1" fillId="0" borderId="0" xfId="0" applyNumberFormat="1" applyFont="1" applyFill="1"/>
    <xf numFmtId="179" fontId="1" fillId="15" borderId="17" xfId="17" applyFont="1" applyFill="1" applyBorder="1" applyAlignment="1" applyProtection="1">
      <alignment horizontal="center" vertical="center"/>
      <protection locked="0"/>
    </xf>
    <xf numFmtId="179" fontId="23" fillId="3" borderId="0" xfId="0" applyFont="1" applyFill="1"/>
    <xf numFmtId="179" fontId="1" fillId="3" borderId="0" xfId="0" applyFont="1" applyFill="1"/>
    <xf numFmtId="179" fontId="21" fillId="0" borderId="0" xfId="0" applyFont="1" applyAlignment="1">
      <alignment wrapText="1"/>
    </xf>
    <xf numFmtId="179" fontId="21" fillId="0" borderId="0" xfId="0" applyFont="1" applyAlignment="1"/>
    <xf numFmtId="179" fontId="1" fillId="0" borderId="0" xfId="0" applyFont="1" applyAlignment="1">
      <alignment horizontal="left" wrapText="1"/>
    </xf>
    <xf numFmtId="43" fontId="1" fillId="16" borderId="0" xfId="0" applyNumberFormat="1" applyFont="1" applyFill="1"/>
    <xf numFmtId="179" fontId="1" fillId="3" borderId="0" xfId="0" applyFont="1" applyFill="1" applyAlignment="1">
      <alignment horizontal="left" wrapText="1"/>
    </xf>
    <xf numFmtId="179" fontId="1" fillId="3" borderId="0" xfId="0" applyFont="1" applyFill="1" applyAlignment="1">
      <alignment wrapText="1"/>
    </xf>
    <xf numFmtId="43" fontId="1" fillId="3" borderId="0" xfId="0" applyNumberFormat="1" applyFont="1" applyFill="1"/>
    <xf numFmtId="43" fontId="1" fillId="0" borderId="0" xfId="15" applyFont="1" applyAlignment="1">
      <alignment horizontal="left"/>
    </xf>
    <xf numFmtId="179" fontId="21" fillId="0" borderId="0" xfId="0" applyFont="1" applyFill="1" applyAlignment="1">
      <alignment vertical="center" wrapText="1"/>
    </xf>
    <xf numFmtId="201" fontId="30" fillId="0" borderId="0" xfId="10" applyNumberFormat="1" applyFont="1" applyFill="1" applyBorder="1" applyAlignment="1">
      <alignment horizontal="center" wrapText="1"/>
    </xf>
    <xf numFmtId="179" fontId="1" fillId="0" borderId="0" xfId="0" applyFont="1" applyFill="1" applyAlignment="1">
      <alignment wrapText="1"/>
    </xf>
    <xf numFmtId="43" fontId="1" fillId="0" borderId="0" xfId="0" applyNumberFormat="1" applyFont="1"/>
    <xf numFmtId="179" fontId="21" fillId="0" borderId="0" xfId="0" applyFont="1" applyFill="1" applyAlignment="1">
      <alignment vertical="center"/>
    </xf>
    <xf numFmtId="179" fontId="21" fillId="0" borderId="0" xfId="0" applyFont="1" applyAlignment="1">
      <alignment horizontal="center"/>
    </xf>
    <xf numFmtId="179" fontId="24" fillId="0" borderId="0" xfId="0" applyFont="1" applyFill="1" applyAlignment="1">
      <alignment vertical="center"/>
    </xf>
    <xf numFmtId="43" fontId="1" fillId="0" borderId="0" xfId="15" applyFont="1" applyFill="1"/>
    <xf numFmtId="179" fontId="21" fillId="0" borderId="0" xfId="0" applyFont="1" applyAlignment="1">
      <alignment horizontal="center" wrapText="1"/>
    </xf>
    <xf numFmtId="43" fontId="1" fillId="0" borderId="0" xfId="0" applyNumberFormat="1" applyFont="1" applyAlignment="1">
      <alignment wrapText="1"/>
    </xf>
    <xf numFmtId="179" fontId="31" fillId="6" borderId="0" xfId="0" applyFont="1" applyFill="1" applyAlignment="1" applyProtection="1"/>
    <xf numFmtId="179" fontId="21" fillId="17" borderId="0" xfId="0" applyFont="1" applyFill="1" applyAlignment="1">
      <alignment horizontal="center"/>
    </xf>
    <xf numFmtId="43" fontId="1" fillId="17" borderId="0" xfId="0" applyNumberFormat="1" applyFont="1" applyFill="1" applyAlignment="1">
      <alignment wrapText="1"/>
    </xf>
    <xf numFmtId="43" fontId="1" fillId="3" borderId="0" xfId="0" applyNumberFormat="1" applyFont="1" applyFill="1" applyAlignment="1">
      <alignment wrapText="1"/>
    </xf>
    <xf numFmtId="179" fontId="21" fillId="17" borderId="0" xfId="0" applyFont="1" applyFill="1" applyAlignment="1">
      <alignment horizontal="center" wrapText="1"/>
    </xf>
    <xf numFmtId="179" fontId="1" fillId="0" borderId="10" xfId="271" applyNumberFormat="1" applyFont="1" applyFill="1" applyBorder="1" applyAlignment="1">
      <alignment horizontal="left" vertical="center" wrapText="1"/>
    </xf>
    <xf numFmtId="179" fontId="1" fillId="3" borderId="12" xfId="248" applyNumberFormat="1" applyFont="1" applyFill="1" applyBorder="1" applyAlignment="1">
      <alignment horizontal="center" vertical="center" wrapText="1"/>
    </xf>
    <xf numFmtId="9" fontId="1" fillId="0" borderId="0" xfId="20" applyFont="1" applyFill="1"/>
    <xf numFmtId="179" fontId="21" fillId="0" borderId="0" xfId="0" applyFont="1" applyFill="1" applyAlignment="1">
      <alignment horizontal="center" wrapText="1"/>
    </xf>
    <xf numFmtId="43" fontId="1" fillId="0" borderId="0" xfId="0" applyNumberFormat="1" applyFont="1" applyFill="1" applyAlignment="1">
      <alignment wrapText="1"/>
    </xf>
    <xf numFmtId="43" fontId="1" fillId="0" borderId="0" xfId="0" applyNumberFormat="1" applyFont="1" applyAlignment="1">
      <alignment horizontal="left" wrapText="1"/>
    </xf>
    <xf numFmtId="179" fontId="13" fillId="0" borderId="0" xfId="12" applyFont="1" applyFill="1" applyAlignment="1">
      <alignment horizontal="center" vertical="center"/>
    </xf>
    <xf numFmtId="179" fontId="21" fillId="0" borderId="0" xfId="0" applyFont="1" applyAlignment="1">
      <alignment horizontal="left" wrapText="1"/>
    </xf>
    <xf numFmtId="179" fontId="31" fillId="0" borderId="0" xfId="0" applyFont="1" applyAlignment="1">
      <alignment wrapText="1"/>
    </xf>
    <xf numFmtId="179" fontId="1" fillId="2" borderId="0" xfId="0" applyFont="1" applyFill="1" applyAlignment="1">
      <alignment wrapText="1"/>
    </xf>
    <xf numFmtId="43" fontId="1" fillId="2" borderId="0" xfId="0" applyNumberFormat="1" applyFont="1" applyFill="1" applyAlignment="1">
      <alignment wrapText="1"/>
    </xf>
    <xf numFmtId="179" fontId="24" fillId="0" borderId="0" xfId="0" applyFont="1" applyAlignment="1">
      <alignment horizontal="left" wrapText="1"/>
    </xf>
    <xf numFmtId="179" fontId="4" fillId="0" borderId="0" xfId="0" applyFont="1" applyAlignment="1"/>
    <xf numFmtId="43" fontId="1" fillId="3" borderId="0" xfId="0" applyNumberFormat="1" applyFont="1" applyFill="1" applyAlignment="1">
      <alignment horizontal="left" wrapText="1"/>
    </xf>
    <xf numFmtId="179" fontId="5" fillId="0" borderId="0" xfId="0" applyFont="1"/>
    <xf numFmtId="179" fontId="21" fillId="2" borderId="0" xfId="0" applyFont="1" applyFill="1" applyAlignment="1">
      <alignment horizontal="center" wrapText="1"/>
    </xf>
    <xf numFmtId="43" fontId="1" fillId="3" borderId="0" xfId="15" applyFont="1" applyFill="1"/>
    <xf numFmtId="179" fontId="24" fillId="0" borderId="0" xfId="0" applyFont="1" applyFill="1" applyAlignment="1"/>
    <xf numFmtId="179" fontId="32" fillId="0" borderId="0" xfId="0" applyFont="1" applyAlignment="1"/>
    <xf numFmtId="179" fontId="1" fillId="0" borderId="0" xfId="0" applyFont="1" applyAlignment="1">
      <alignment horizontal="center" wrapText="1"/>
    </xf>
    <xf numFmtId="179" fontId="1" fillId="3" borderId="0" xfId="0" applyFont="1" applyFill="1" applyAlignment="1">
      <alignment horizontal="center" wrapText="1"/>
    </xf>
    <xf numFmtId="43" fontId="3" fillId="0" borderId="0" xfId="15" applyFont="1"/>
    <xf numFmtId="179" fontId="4" fillId="17" borderId="0" xfId="0" applyFont="1" applyFill="1" applyAlignment="1">
      <alignment horizontal="center" wrapText="1"/>
    </xf>
    <xf numFmtId="179" fontId="21" fillId="0" borderId="0" xfId="0" applyFont="1"/>
    <xf numFmtId="179" fontId="24" fillId="0" borderId="0" xfId="328" applyNumberFormat="1" applyFont="1" applyFill="1" applyAlignment="1" applyProtection="1">
      <alignment horizontal="left" vertical="center" wrapText="1"/>
      <protection locked="0"/>
    </xf>
    <xf numFmtId="179" fontId="1" fillId="5" borderId="0" xfId="0" applyFont="1" applyFill="1"/>
    <xf numFmtId="43" fontId="1" fillId="5" borderId="0" xfId="0" applyNumberFormat="1" applyFont="1" applyFill="1"/>
    <xf numFmtId="43" fontId="1" fillId="6" borderId="0" xfId="15" applyFont="1" applyFill="1"/>
    <xf numFmtId="43" fontId="1" fillId="12" borderId="0" xfId="15" applyFont="1" applyFill="1"/>
    <xf numFmtId="43" fontId="1" fillId="18" borderId="0" xfId="15" applyFont="1" applyFill="1"/>
    <xf numFmtId="43" fontId="1" fillId="19" borderId="0" xfId="0" applyNumberFormat="1" applyFont="1" applyFill="1"/>
    <xf numFmtId="43" fontId="23" fillId="5" borderId="0" xfId="0" applyNumberFormat="1" applyFont="1" applyFill="1"/>
    <xf numFmtId="179" fontId="1" fillId="17" borderId="0" xfId="0" applyFont="1" applyFill="1" applyAlignment="1">
      <alignment wrapText="1"/>
    </xf>
    <xf numFmtId="43" fontId="23" fillId="0" borderId="0" xfId="0" applyNumberFormat="1" applyFont="1" applyFill="1"/>
    <xf numFmtId="43" fontId="1" fillId="5" borderId="0" xfId="15" applyFont="1" applyFill="1"/>
    <xf numFmtId="179" fontId="21" fillId="0" borderId="0" xfId="0" applyFont="1" applyFill="1" applyAlignment="1" applyProtection="1">
      <protection locked="0"/>
    </xf>
    <xf numFmtId="179" fontId="4" fillId="0" borderId="0" xfId="0" applyFont="1" applyAlignment="1">
      <alignment horizontal="center"/>
    </xf>
    <xf numFmtId="179" fontId="3" fillId="0" borderId="0" xfId="0" applyFont="1" applyAlignment="1"/>
    <xf numFmtId="179" fontId="3" fillId="3" borderId="0" xfId="0" applyFont="1" applyFill="1" applyAlignment="1"/>
    <xf numFmtId="179" fontId="21" fillId="0" borderId="0" xfId="0" applyFont="1" applyFill="1" applyAlignment="1"/>
    <xf numFmtId="43" fontId="1" fillId="16" borderId="0" xfId="15" applyFont="1" applyFill="1"/>
    <xf numFmtId="179" fontId="24" fillId="0" borderId="0" xfId="74" applyFont="1" applyFill="1" applyBorder="1" applyAlignment="1">
      <alignment horizontal="left" vertical="center" wrapText="1"/>
    </xf>
    <xf numFmtId="179" fontId="5" fillId="0" borderId="0" xfId="0" applyFont="1" applyAlignment="1"/>
    <xf numFmtId="179" fontId="21" fillId="0" borderId="0" xfId="265" applyFont="1" applyFill="1" applyBorder="1" applyAlignment="1" applyProtection="1">
      <alignment horizontal="left" vertical="center" wrapText="1"/>
      <protection locked="0"/>
    </xf>
    <xf numFmtId="179" fontId="1" fillId="0" borderId="0" xfId="265" applyFont="1" applyFill="1" applyBorder="1" applyAlignment="1" applyProtection="1">
      <alignment horizontal="left" vertical="center" wrapText="1"/>
      <protection locked="0"/>
    </xf>
    <xf numFmtId="179" fontId="1" fillId="3" borderId="0" xfId="265" applyFont="1" applyFill="1" applyBorder="1" applyAlignment="1" applyProtection="1">
      <alignment horizontal="left" vertical="center" wrapText="1"/>
      <protection locked="0"/>
    </xf>
    <xf numFmtId="43" fontId="1" fillId="12" borderId="0" xfId="0" applyNumberFormat="1" applyFont="1" applyFill="1"/>
    <xf numFmtId="179" fontId="1" fillId="12" borderId="0" xfId="0" applyFont="1" applyFill="1"/>
    <xf numFmtId="43" fontId="7" fillId="12" borderId="0" xfId="409" applyFont="1" applyFill="1" applyBorder="1" applyAlignment="1" applyProtection="1">
      <alignment horizontal="center" vertical="center"/>
    </xf>
    <xf numFmtId="43" fontId="7" fillId="12" borderId="0" xfId="409" applyFont="1" applyFill="1" applyBorder="1" applyProtection="1">
      <alignment vertical="center"/>
    </xf>
    <xf numFmtId="43" fontId="7" fillId="12" borderId="0" xfId="409" applyFont="1" applyFill="1" applyBorder="1" applyProtection="1">
      <alignment vertical="center"/>
      <protection locked="0"/>
    </xf>
    <xf numFmtId="179" fontId="21" fillId="0" borderId="18" xfId="0" applyFont="1" applyFill="1" applyBorder="1" applyAlignment="1">
      <alignment horizontal="center" vertical="center" wrapText="1"/>
    </xf>
    <xf numFmtId="179" fontId="24" fillId="0" borderId="0" xfId="0" applyFont="1" applyAlignment="1">
      <alignment wrapText="1"/>
    </xf>
    <xf numFmtId="179" fontId="20" fillId="6" borderId="0" xfId="126" applyFont="1" applyFill="1" applyAlignment="1" applyProtection="1">
      <alignment vertical="center"/>
      <protection locked="0"/>
    </xf>
    <xf numFmtId="179" fontId="20" fillId="6" borderId="0" xfId="332" applyFont="1" applyFill="1" applyAlignment="1" applyProtection="1">
      <alignment vertical="center"/>
      <protection locked="0"/>
    </xf>
    <xf numFmtId="179" fontId="20" fillId="6" borderId="0" xfId="342" applyFont="1" applyFill="1" applyAlignment="1" applyProtection="1">
      <alignment vertical="center"/>
      <protection locked="0"/>
    </xf>
    <xf numFmtId="179" fontId="20" fillId="6" borderId="0" xfId="343" applyFont="1" applyFill="1" applyAlignment="1" applyProtection="1">
      <alignment vertical="center"/>
      <protection locked="0"/>
    </xf>
    <xf numFmtId="179" fontId="20" fillId="6" borderId="0" xfId="31" applyFont="1" applyFill="1" applyAlignment="1" applyProtection="1">
      <alignment vertical="center"/>
      <protection locked="0"/>
    </xf>
    <xf numFmtId="179" fontId="20" fillId="6" borderId="0" xfId="36" applyFont="1" applyFill="1" applyAlignment="1" applyProtection="1">
      <alignment vertical="center"/>
      <protection locked="0"/>
    </xf>
    <xf numFmtId="179" fontId="20" fillId="6" borderId="0" xfId="58" applyFont="1" applyFill="1" applyAlignment="1" applyProtection="1">
      <alignment vertical="center"/>
      <protection locked="0"/>
    </xf>
    <xf numFmtId="179" fontId="20" fillId="6" borderId="0" xfId="344" applyFont="1" applyFill="1" applyAlignment="1" applyProtection="1">
      <alignment vertical="center"/>
      <protection locked="0"/>
    </xf>
    <xf numFmtId="179" fontId="20" fillId="6" borderId="0" xfId="123" applyFont="1" applyFill="1" applyAlignment="1" applyProtection="1">
      <alignment vertical="center"/>
      <protection locked="0"/>
    </xf>
    <xf numFmtId="179" fontId="13" fillId="6" borderId="0" xfId="37" applyFont="1" applyFill="1" applyAlignment="1" applyProtection="1">
      <alignment vertical="center"/>
      <protection locked="0"/>
    </xf>
    <xf numFmtId="179" fontId="20" fillId="6" borderId="0" xfId="65" applyFont="1" applyFill="1" applyAlignment="1" applyProtection="1">
      <alignment vertical="center"/>
      <protection locked="0"/>
    </xf>
    <xf numFmtId="179" fontId="20" fillId="6" borderId="0" xfId="330" applyFont="1" applyFill="1" applyAlignment="1" applyProtection="1">
      <alignment vertical="center"/>
      <protection locked="0"/>
    </xf>
    <xf numFmtId="179" fontId="20" fillId="6" borderId="0" xfId="28" applyFont="1" applyFill="1" applyAlignment="1" applyProtection="1">
      <alignment vertical="center"/>
      <protection locked="0"/>
    </xf>
    <xf numFmtId="179" fontId="25" fillId="6" borderId="0" xfId="28" applyFont="1" applyFill="1" applyAlignment="1" applyProtection="1">
      <alignment vertical="center"/>
      <protection locked="0"/>
    </xf>
    <xf numFmtId="179" fontId="20" fillId="6" borderId="0" xfId="341" applyFont="1" applyFill="1" applyAlignment="1" applyProtection="1">
      <alignment vertical="center"/>
      <protection locked="0"/>
    </xf>
    <xf numFmtId="179" fontId="20" fillId="6" borderId="0" xfId="216" applyFont="1" applyFill="1" applyAlignment="1" applyProtection="1">
      <alignment vertical="center"/>
      <protection locked="0"/>
    </xf>
    <xf numFmtId="179" fontId="20" fillId="6" borderId="0" xfId="156" applyFont="1" applyFill="1" applyAlignment="1" applyProtection="1">
      <alignment vertical="center"/>
      <protection locked="0"/>
    </xf>
    <xf numFmtId="179" fontId="20" fillId="6" borderId="0" xfId="346" applyFont="1" applyFill="1" applyAlignment="1" applyProtection="1">
      <alignment vertical="center"/>
      <protection locked="0"/>
    </xf>
    <xf numFmtId="179" fontId="20" fillId="6" borderId="0" xfId="334" applyFont="1" applyFill="1" applyAlignment="1" applyProtection="1">
      <alignment vertical="center"/>
      <protection locked="0"/>
    </xf>
    <xf numFmtId="179" fontId="20" fillId="6" borderId="0" xfId="335" applyFont="1" applyFill="1" applyAlignment="1" applyProtection="1">
      <alignment vertical="center"/>
      <protection locked="0"/>
    </xf>
    <xf numFmtId="179" fontId="20" fillId="6" borderId="0" xfId="336" applyFont="1" applyFill="1" applyAlignment="1" applyProtection="1">
      <alignment vertical="center"/>
      <protection locked="0"/>
    </xf>
    <xf numFmtId="179" fontId="20" fillId="6" borderId="0" xfId="349" applyFont="1" applyFill="1" applyAlignment="1" applyProtection="1">
      <alignment vertical="center"/>
      <protection locked="0"/>
    </xf>
    <xf numFmtId="179" fontId="20" fillId="6" borderId="0" xfId="339" applyFont="1" applyFill="1" applyAlignment="1" applyProtection="1">
      <alignment vertical="center"/>
      <protection locked="0"/>
    </xf>
    <xf numFmtId="179" fontId="20" fillId="6" borderId="0" xfId="81" applyFont="1" applyFill="1" applyAlignment="1" applyProtection="1">
      <alignment vertical="center"/>
      <protection locked="0"/>
    </xf>
    <xf numFmtId="179" fontId="20" fillId="6" borderId="0" xfId="340" applyFont="1" applyFill="1" applyAlignment="1" applyProtection="1">
      <alignment vertical="center"/>
      <protection locked="0"/>
    </xf>
    <xf numFmtId="179" fontId="20" fillId="20" borderId="0" xfId="52" applyFont="1" applyFill="1" applyAlignment="1" applyProtection="1">
      <alignment vertical="center"/>
      <protection locked="0"/>
    </xf>
    <xf numFmtId="179" fontId="33" fillId="6" borderId="0" xfId="52" applyFont="1" applyFill="1" applyAlignment="1" applyProtection="1">
      <alignment horizontal="left" vertical="center" shrinkToFit="1"/>
      <protection locked="0" hidden="1"/>
    </xf>
    <xf numFmtId="179" fontId="33" fillId="6" borderId="0" xfId="52" applyFont="1" applyFill="1" applyAlignment="1" applyProtection="1">
      <alignment vertical="center" shrinkToFit="1"/>
      <protection locked="0" hidden="1"/>
    </xf>
    <xf numFmtId="179" fontId="34" fillId="6" borderId="0" xfId="52" applyFont="1" applyFill="1" applyAlignment="1" applyProtection="1">
      <alignment horizontal="left" vertical="center" shrinkToFit="1"/>
      <protection locked="0" hidden="1"/>
    </xf>
    <xf numFmtId="179" fontId="33" fillId="6" borderId="0" xfId="52" applyFont="1" applyFill="1" applyAlignment="1" applyProtection="1">
      <alignment horizontal="right" vertical="center" shrinkToFit="1"/>
      <protection locked="0" hidden="1"/>
    </xf>
    <xf numFmtId="179" fontId="20" fillId="6" borderId="0" xfId="52" applyFont="1" applyFill="1" applyAlignment="1" applyProtection="1">
      <alignment horizontal="right" vertical="center"/>
      <protection locked="0"/>
    </xf>
    <xf numFmtId="188" fontId="20" fillId="0" borderId="1" xfId="15" applyNumberFormat="1" applyFont="1" applyFill="1" applyBorder="1" applyAlignment="1" applyProtection="1">
      <alignment vertical="center" shrinkToFit="1"/>
    </xf>
    <xf numFmtId="179" fontId="1" fillId="15" borderId="0" xfId="17" applyFont="1" applyFill="1" applyAlignment="1" applyProtection="1">
      <alignment horizontal="left" vertical="center"/>
      <protection locked="0"/>
    </xf>
    <xf numFmtId="179" fontId="33" fillId="6" borderId="0" xfId="269" applyFont="1" applyFill="1" applyAlignment="1" applyProtection="1">
      <alignment horizontal="left" vertical="center" shrinkToFit="1"/>
      <protection locked="0" hidden="1"/>
    </xf>
    <xf numFmtId="179" fontId="33" fillId="6" borderId="0" xfId="126" applyFont="1" applyFill="1" applyAlignment="1" applyProtection="1">
      <alignment vertical="center" shrinkToFit="1"/>
    </xf>
    <xf numFmtId="43" fontId="34" fillId="6" borderId="0" xfId="126" applyNumberFormat="1" applyFont="1" applyFill="1" applyAlignment="1" applyProtection="1">
      <alignment horizontal="left" vertical="center" shrinkToFit="1"/>
      <protection locked="0" hidden="1"/>
    </xf>
    <xf numFmtId="179" fontId="13" fillId="6" borderId="1" xfId="269" applyFont="1" applyFill="1" applyBorder="1" applyAlignment="1" applyProtection="1">
      <alignment horizontal="center" vertical="center"/>
      <protection locked="0"/>
    </xf>
    <xf numFmtId="179" fontId="20" fillId="6" borderId="1" xfId="126" applyNumberFormat="1" applyFont="1" applyFill="1" applyBorder="1" applyAlignment="1" applyProtection="1">
      <alignment horizontal="center" vertical="center" wrapText="1"/>
      <protection locked="0"/>
    </xf>
    <xf numFmtId="179" fontId="20" fillId="6" borderId="1" xfId="269" applyFont="1" applyFill="1" applyBorder="1" applyAlignment="1" applyProtection="1">
      <alignment horizontal="left" vertical="center"/>
      <protection locked="0"/>
    </xf>
    <xf numFmtId="179" fontId="1" fillId="6" borderId="1" xfId="269" applyFont="1" applyFill="1" applyBorder="1" applyAlignment="1" applyProtection="1">
      <alignment horizontal="left" vertical="center"/>
      <protection locked="0"/>
    </xf>
    <xf numFmtId="43" fontId="20" fillId="6" borderId="1" xfId="15" applyFont="1" applyFill="1" applyBorder="1" applyAlignment="1" applyProtection="1">
      <alignment vertical="center" shrinkToFit="1"/>
    </xf>
    <xf numFmtId="179" fontId="1" fillId="6" borderId="1" xfId="269" applyFont="1" applyFill="1" applyBorder="1" applyAlignment="1" applyProtection="1">
      <alignment horizontal="right" vertical="center"/>
      <protection locked="0"/>
    </xf>
    <xf numFmtId="204" fontId="20" fillId="6" borderId="1" xfId="15" applyNumberFormat="1" applyFont="1" applyFill="1" applyBorder="1" applyAlignment="1" applyProtection="1">
      <alignment vertical="center" shrinkToFit="1"/>
    </xf>
    <xf numFmtId="204" fontId="20" fillId="10" borderId="1" xfId="15" applyNumberFormat="1" applyFont="1" applyFill="1" applyBorder="1" applyAlignment="1" applyProtection="1">
      <alignment vertical="center" shrinkToFit="1"/>
      <protection locked="0"/>
    </xf>
    <xf numFmtId="179" fontId="20" fillId="6" borderId="1" xfId="269" applyFont="1" applyFill="1" applyBorder="1" applyAlignment="1" applyProtection="1">
      <alignment horizontal="right" vertical="center"/>
      <protection locked="0"/>
    </xf>
    <xf numFmtId="204" fontId="20" fillId="0" borderId="1" xfId="15" applyNumberFormat="1" applyFont="1" applyFill="1" applyBorder="1" applyAlignment="1" applyProtection="1">
      <alignment vertical="center" shrinkToFit="1"/>
      <protection locked="0"/>
    </xf>
    <xf numFmtId="179" fontId="15" fillId="6" borderId="1" xfId="269" applyFont="1" applyFill="1" applyBorder="1" applyAlignment="1" applyProtection="1">
      <alignment horizontal="right" vertical="center"/>
      <protection locked="0"/>
    </xf>
    <xf numFmtId="179" fontId="35" fillId="6" borderId="1" xfId="269" applyFont="1" applyFill="1" applyBorder="1" applyAlignment="1" applyProtection="1">
      <alignment horizontal="right" vertical="center"/>
      <protection locked="0"/>
    </xf>
    <xf numFmtId="179" fontId="13" fillId="6" borderId="19" xfId="269" applyFont="1" applyFill="1" applyBorder="1" applyAlignment="1" applyProtection="1">
      <alignment horizontal="center" vertical="center"/>
      <protection locked="0"/>
    </xf>
    <xf numFmtId="179" fontId="20" fillId="6" borderId="0" xfId="315" applyFont="1" applyFill="1" applyBorder="1" applyAlignment="1" applyProtection="1">
      <alignment horizontal="left" vertical="center" wrapText="1"/>
      <protection locked="0"/>
    </xf>
    <xf numFmtId="43" fontId="20" fillId="6" borderId="0" xfId="15" applyFont="1" applyFill="1" applyBorder="1" applyAlignment="1" applyProtection="1">
      <alignment vertical="center" shrinkToFit="1"/>
      <protection locked="0"/>
    </xf>
    <xf numFmtId="43" fontId="20" fillId="6" borderId="0" xfId="15" applyFont="1" applyFill="1" applyBorder="1" applyAlignment="1" applyProtection="1">
      <alignment vertical="center" shrinkToFit="1"/>
    </xf>
    <xf numFmtId="179" fontId="20" fillId="6" borderId="0" xfId="329" applyFont="1" applyFill="1" applyBorder="1" applyAlignment="1" applyProtection="1">
      <alignment horizontal="left" vertical="center"/>
      <protection locked="0"/>
    </xf>
    <xf numFmtId="179" fontId="34" fillId="6" borderId="0" xfId="269" applyFont="1" applyFill="1" applyAlignment="1" applyProtection="1">
      <alignment horizontal="left" vertical="center" shrinkToFit="1"/>
      <protection locked="0" hidden="1"/>
    </xf>
    <xf numFmtId="179" fontId="20" fillId="6" borderId="0" xfId="269" applyFont="1" applyFill="1" applyBorder="1" applyAlignment="1" applyProtection="1">
      <alignment horizontal="left" vertical="center"/>
      <protection locked="0"/>
    </xf>
    <xf numFmtId="43" fontId="20" fillId="6" borderId="0" xfId="15" applyFont="1" applyFill="1" applyBorder="1" applyAlignment="1" applyProtection="1">
      <alignment horizontal="center" vertical="center" shrinkToFit="1"/>
      <protection locked="0"/>
    </xf>
    <xf numFmtId="43" fontId="20" fillId="6" borderId="0" xfId="15" applyNumberFormat="1" applyFont="1" applyFill="1" applyBorder="1" applyAlignment="1" applyProtection="1">
      <alignment horizontal="right" vertical="center" shrinkToFit="1"/>
      <protection locked="0"/>
    </xf>
    <xf numFmtId="179" fontId="20" fillId="6" borderId="1" xfId="269" applyFont="1" applyFill="1" applyBorder="1" applyAlignment="1" applyProtection="1">
      <alignment horizontal="center" vertical="center"/>
      <protection locked="0"/>
    </xf>
    <xf numFmtId="179" fontId="1" fillId="6" borderId="1" xfId="269" applyFont="1" applyFill="1" applyBorder="1" applyAlignment="1" applyProtection="1">
      <alignment horizontal="center" vertical="center"/>
      <protection locked="0"/>
    </xf>
    <xf numFmtId="43" fontId="20" fillId="0" borderId="1" xfId="15" applyFont="1" applyFill="1" applyBorder="1" applyAlignment="1" applyProtection="1">
      <alignment horizontal="center" vertical="center" shrinkToFit="1"/>
      <protection locked="0"/>
    </xf>
    <xf numFmtId="43" fontId="20" fillId="0" borderId="16" xfId="15" applyFont="1" applyFill="1" applyBorder="1" applyAlignment="1" applyProtection="1">
      <alignment horizontal="center" vertical="center" shrinkToFit="1"/>
      <protection locked="0"/>
    </xf>
    <xf numFmtId="43" fontId="20" fillId="0" borderId="1" xfId="15" applyNumberFormat="1" applyFont="1" applyFill="1" applyBorder="1" applyAlignment="1" applyProtection="1">
      <alignment horizontal="right" vertical="center" shrinkToFit="1"/>
      <protection locked="0"/>
    </xf>
    <xf numFmtId="179" fontId="20" fillId="6" borderId="14" xfId="126" applyFont="1" applyFill="1" applyBorder="1" applyAlignment="1" applyProtection="1">
      <alignment horizontal="left" vertical="center"/>
      <protection locked="0"/>
    </xf>
    <xf numFmtId="179" fontId="20" fillId="6" borderId="0" xfId="126" applyFont="1" applyFill="1" applyBorder="1" applyAlignment="1" applyProtection="1">
      <alignment horizontal="left" vertical="center"/>
      <protection locked="0"/>
    </xf>
    <xf numFmtId="179" fontId="1" fillId="6" borderId="1" xfId="126" applyFont="1" applyFill="1" applyBorder="1" applyAlignment="1" applyProtection="1">
      <alignment horizontal="center" vertical="center"/>
      <protection locked="0"/>
    </xf>
    <xf numFmtId="179" fontId="20" fillId="6" borderId="1" xfId="126" applyFont="1" applyFill="1" applyBorder="1" applyAlignment="1" applyProtection="1">
      <alignment horizontal="center" vertical="center"/>
      <protection locked="0"/>
    </xf>
    <xf numFmtId="179" fontId="20" fillId="6" borderId="1" xfId="126" applyFont="1" applyFill="1" applyBorder="1" applyAlignment="1" applyProtection="1">
      <alignment horizontal="left" vertical="center"/>
      <protection locked="0"/>
    </xf>
    <xf numFmtId="43" fontId="20" fillId="0" borderId="19" xfId="15" applyFont="1" applyFill="1" applyBorder="1" applyAlignment="1" applyProtection="1">
      <alignment horizontal="center" vertical="center" shrinkToFit="1"/>
      <protection locked="0"/>
    </xf>
    <xf numFmtId="43" fontId="20" fillId="0" borderId="19" xfId="15" applyNumberFormat="1" applyFont="1" applyFill="1" applyBorder="1" applyAlignment="1" applyProtection="1">
      <alignment horizontal="right" vertical="center" shrinkToFit="1"/>
      <protection locked="0"/>
    </xf>
    <xf numFmtId="179" fontId="1" fillId="0" borderId="1" xfId="269" applyFont="1" applyFill="1" applyBorder="1" applyAlignment="1" applyProtection="1">
      <protection locked="0"/>
    </xf>
    <xf numFmtId="179" fontId="20" fillId="0" borderId="1" xfId="269" applyFont="1" applyFill="1" applyBorder="1" applyAlignment="1" applyProtection="1">
      <alignment horizontal="left" vertical="center"/>
      <protection locked="0"/>
    </xf>
    <xf numFmtId="179" fontId="20" fillId="6" borderId="1" xfId="269" applyFont="1" applyFill="1" applyBorder="1" applyAlignment="1" applyProtection="1">
      <protection locked="0"/>
    </xf>
    <xf numFmtId="49" fontId="1" fillId="0" borderId="1" xfId="15" applyNumberFormat="1" applyFont="1" applyFill="1" applyBorder="1" applyAlignment="1" applyProtection="1">
      <alignment horizontal="left" vertical="center"/>
      <protection locked="0"/>
    </xf>
    <xf numFmtId="179" fontId="36" fillId="6" borderId="0" xfId="269" applyFont="1" applyFill="1" applyBorder="1" applyAlignment="1" applyProtection="1">
      <alignment horizontal="left" vertical="center"/>
      <protection locked="0"/>
    </xf>
    <xf numFmtId="43" fontId="20" fillId="0" borderId="0" xfId="15" applyFont="1" applyFill="1" applyBorder="1" applyAlignment="1" applyProtection="1">
      <alignment horizontal="left" vertical="center"/>
      <protection locked="0"/>
    </xf>
    <xf numFmtId="43" fontId="20" fillId="0" borderId="0" xfId="15" applyFont="1" applyFill="1" applyBorder="1" applyAlignment="1" applyProtection="1">
      <alignment horizontal="center" vertical="center" shrinkToFit="1"/>
      <protection locked="0"/>
    </xf>
    <xf numFmtId="43" fontId="20" fillId="0" borderId="0" xfId="15" applyNumberFormat="1" applyFont="1" applyFill="1" applyBorder="1" applyAlignment="1" applyProtection="1">
      <alignment horizontal="right" vertical="center" shrinkToFit="1"/>
      <protection locked="0"/>
    </xf>
    <xf numFmtId="179" fontId="33" fillId="6" borderId="0" xfId="126" applyNumberFormat="1" applyFont="1" applyFill="1" applyAlignment="1" applyProtection="1">
      <alignment horizontal="left" vertical="center" shrinkToFit="1"/>
      <protection locked="0" hidden="1"/>
    </xf>
    <xf numFmtId="179" fontId="34" fillId="6" borderId="0" xfId="166" applyFont="1" applyFill="1" applyAlignment="1" applyProtection="1">
      <alignment horizontal="left" vertical="center" shrinkToFit="1"/>
      <protection locked="0" hidden="1"/>
    </xf>
    <xf numFmtId="179" fontId="20" fillId="6" borderId="1" xfId="148" applyFont="1" applyFill="1" applyBorder="1" applyAlignment="1" applyProtection="1">
      <alignment horizontal="center" vertical="center" wrapText="1"/>
      <protection locked="0"/>
    </xf>
    <xf numFmtId="179" fontId="20" fillId="10" borderId="1" xfId="148" applyFont="1" applyFill="1" applyBorder="1" applyAlignment="1" applyProtection="1">
      <alignment horizontal="center" vertical="center" wrapText="1"/>
      <protection locked="0"/>
    </xf>
    <xf numFmtId="179" fontId="37" fillId="6" borderId="1" xfId="148" applyFont="1" applyFill="1" applyBorder="1" applyAlignment="1" applyProtection="1">
      <alignment horizontal="justify" vertical="center" wrapText="1"/>
      <protection locked="0"/>
    </xf>
    <xf numFmtId="43" fontId="20" fillId="10" borderId="1" xfId="15" applyFont="1" applyFill="1" applyBorder="1" applyAlignment="1" applyProtection="1">
      <alignment horizontal="right" vertical="center" shrinkToFit="1"/>
    </xf>
    <xf numFmtId="179" fontId="37" fillId="6" borderId="1" xfId="148" applyFont="1" applyFill="1" applyBorder="1" applyAlignment="1" applyProtection="1">
      <alignment horizontal="justify" vertical="center"/>
      <protection locked="0"/>
    </xf>
    <xf numFmtId="179" fontId="33" fillId="6" borderId="0" xfId="126" applyFont="1" applyFill="1" applyAlignment="1" applyProtection="1">
      <alignment vertical="center" shrinkToFit="1"/>
      <protection locked="0" hidden="1"/>
    </xf>
    <xf numFmtId="43" fontId="20" fillId="6" borderId="1" xfId="148" applyNumberFormat="1" applyFont="1" applyFill="1" applyBorder="1" applyAlignment="1" applyProtection="1">
      <alignment horizontal="right" vertical="center" shrinkToFit="1"/>
    </xf>
    <xf numFmtId="43" fontId="20" fillId="6" borderId="0" xfId="148" applyNumberFormat="1" applyFont="1" applyFill="1" applyBorder="1" applyAlignment="1" applyProtection="1">
      <alignment horizontal="right" vertical="center" shrinkToFit="1"/>
    </xf>
    <xf numFmtId="179" fontId="31" fillId="6" borderId="0" xfId="332" applyFont="1" applyFill="1" applyAlignment="1" applyProtection="1">
      <alignment vertical="center"/>
      <protection locked="0"/>
    </xf>
    <xf numFmtId="179" fontId="20" fillId="0" borderId="0" xfId="332" applyFont="1" applyFill="1" applyAlignment="1" applyProtection="1">
      <alignment horizontal="center" vertical="center"/>
      <protection locked="0"/>
    </xf>
    <xf numFmtId="179" fontId="34" fillId="6" borderId="0" xfId="269" applyFont="1" applyFill="1" applyAlignment="1" applyProtection="1">
      <alignment horizontal="left" shrinkToFit="1"/>
      <protection locked="0" hidden="1"/>
    </xf>
    <xf numFmtId="179" fontId="20" fillId="6" borderId="0" xfId="269" applyFont="1" applyFill="1" applyProtection="1">
      <protection locked="0"/>
    </xf>
    <xf numFmtId="179" fontId="13" fillId="0" borderId="1" xfId="269" applyFont="1" applyFill="1" applyBorder="1" applyAlignment="1" applyProtection="1">
      <alignment horizontal="center" vertical="top" wrapText="1"/>
      <protection locked="0"/>
    </xf>
    <xf numFmtId="179" fontId="20" fillId="0" borderId="1" xfId="269" applyFont="1" applyFill="1" applyBorder="1" applyAlignment="1" applyProtection="1">
      <protection locked="0"/>
    </xf>
    <xf numFmtId="179" fontId="38" fillId="5" borderId="0" xfId="52" applyFont="1" applyFill="1" applyAlignment="1" applyProtection="1">
      <alignment vertical="center"/>
      <protection locked="0"/>
    </xf>
    <xf numFmtId="179" fontId="20" fillId="5" borderId="0" xfId="52" applyFont="1" applyFill="1" applyAlignment="1" applyProtection="1">
      <alignment vertical="center"/>
      <protection locked="0"/>
    </xf>
    <xf numFmtId="179" fontId="20" fillId="6" borderId="1" xfId="126" applyFont="1" applyFill="1" applyBorder="1" applyAlignment="1" applyProtection="1">
      <alignment vertical="center"/>
      <protection locked="0"/>
    </xf>
    <xf numFmtId="179" fontId="20" fillId="5" borderId="0" xfId="126" applyFont="1" applyFill="1" applyAlignment="1" applyProtection="1">
      <alignment vertical="center"/>
      <protection locked="0"/>
    </xf>
    <xf numFmtId="179" fontId="20" fillId="6" borderId="1" xfId="126" applyNumberFormat="1" applyFont="1" applyFill="1" applyBorder="1" applyAlignment="1" applyProtection="1">
      <alignment horizontal="centerContinuous" vertical="center" wrapText="1"/>
      <protection locked="0"/>
    </xf>
    <xf numFmtId="179" fontId="20" fillId="6" borderId="1" xfId="126" applyFont="1" applyFill="1" applyBorder="1" applyAlignment="1" applyProtection="1">
      <alignment horizontal="centerContinuous" vertical="center"/>
      <protection locked="0"/>
    </xf>
    <xf numFmtId="43" fontId="20" fillId="10" borderId="1" xfId="15" applyFont="1" applyFill="1" applyBorder="1" applyAlignment="1" applyProtection="1">
      <alignment vertical="center" shrinkToFit="1"/>
    </xf>
    <xf numFmtId="211" fontId="20" fillId="10" borderId="1" xfId="15" applyNumberFormat="1" applyFont="1" applyFill="1" applyBorder="1" applyAlignment="1" applyProtection="1">
      <alignment vertical="center" shrinkToFit="1"/>
    </xf>
    <xf numFmtId="43" fontId="20" fillId="4" borderId="1" xfId="15" applyFont="1" applyFill="1" applyBorder="1" applyAlignment="1" applyProtection="1">
      <alignment vertical="center"/>
      <protection locked="0"/>
    </xf>
    <xf numFmtId="211" fontId="20" fillId="6" borderId="1" xfId="15" applyNumberFormat="1" applyFont="1" applyFill="1" applyBorder="1" applyAlignment="1" applyProtection="1">
      <alignment vertical="center" shrinkToFit="1"/>
      <protection locked="0"/>
    </xf>
    <xf numFmtId="179" fontId="20" fillId="6" borderId="0" xfId="126" applyFont="1" applyFill="1" applyBorder="1" applyAlignment="1" applyProtection="1">
      <alignment vertical="center"/>
      <protection locked="0"/>
    </xf>
    <xf numFmtId="179" fontId="20" fillId="6" borderId="0" xfId="166" applyFont="1" applyFill="1" applyAlignment="1" applyProtection="1">
      <alignment vertical="center"/>
      <protection locked="0"/>
    </xf>
    <xf numFmtId="43" fontId="20" fillId="6" borderId="0" xfId="332" applyNumberFormat="1" applyFont="1" applyFill="1" applyAlignment="1" applyProtection="1">
      <alignment vertical="center"/>
      <protection locked="0"/>
    </xf>
    <xf numFmtId="179" fontId="20" fillId="20" borderId="0" xfId="52" applyFont="1" applyFill="1" applyAlignment="1" applyProtection="1">
      <alignment vertical="center"/>
    </xf>
    <xf numFmtId="179" fontId="20" fillId="0" borderId="0" xfId="269" applyFont="1" applyFill="1" applyAlignment="1" applyProtection="1">
      <protection locked="0"/>
    </xf>
    <xf numFmtId="179" fontId="39" fillId="6" borderId="0" xfId="280" applyFont="1" applyFill="1" applyAlignment="1" applyProtection="1">
      <alignment horizontal="left" vertical="center" shrinkToFit="1"/>
      <protection locked="0" hidden="1"/>
    </xf>
    <xf numFmtId="179" fontId="34" fillId="6" borderId="0" xfId="280" applyFont="1" applyFill="1" applyAlignment="1" applyProtection="1">
      <alignment horizontal="left" vertical="center" shrinkToFit="1"/>
      <protection locked="0" hidden="1"/>
    </xf>
    <xf numFmtId="179" fontId="20" fillId="6" borderId="0" xfId="280" applyFont="1" applyFill="1" applyAlignment="1" applyProtection="1">
      <alignment horizontal="justify" vertical="center"/>
      <protection locked="0"/>
    </xf>
    <xf numFmtId="179" fontId="20" fillId="6" borderId="0" xfId="280" applyFont="1" applyFill="1" applyAlignment="1" applyProtection="1">
      <alignment vertical="center"/>
      <protection locked="0"/>
    </xf>
    <xf numFmtId="179" fontId="40" fillId="6" borderId="0" xfId="269" applyFont="1" applyFill="1" applyProtection="1"/>
    <xf numFmtId="179" fontId="20" fillId="6" borderId="1" xfId="280" applyFont="1" applyFill="1" applyBorder="1" applyAlignment="1" applyProtection="1">
      <alignment horizontal="center" vertical="center" wrapText="1"/>
      <protection locked="0"/>
    </xf>
    <xf numFmtId="179" fontId="20" fillId="6" borderId="1" xfId="269" applyFont="1" applyFill="1" applyBorder="1" applyAlignment="1" applyProtection="1">
      <alignment horizontal="center"/>
    </xf>
    <xf numFmtId="179" fontId="20" fillId="6" borderId="1" xfId="280" applyFont="1" applyFill="1" applyBorder="1" applyAlignment="1" applyProtection="1">
      <alignment horizontal="left" vertical="center" wrapText="1"/>
      <protection locked="0"/>
    </xf>
    <xf numFmtId="43" fontId="20" fillId="0" borderId="1" xfId="15" applyFont="1" applyFill="1" applyBorder="1" applyAlignment="1" applyProtection="1"/>
    <xf numFmtId="179" fontId="20" fillId="0" borderId="1" xfId="269" applyFont="1" applyFill="1" applyBorder="1" applyAlignment="1" applyProtection="1"/>
    <xf numFmtId="43" fontId="20" fillId="6" borderId="1" xfId="420" applyNumberFormat="1" applyFont="1" applyFill="1" applyBorder="1" applyAlignment="1" applyProtection="1">
      <alignment horizontal="right" vertical="center" shrinkToFit="1"/>
    </xf>
    <xf numFmtId="43" fontId="20" fillId="6" borderId="1" xfId="15" applyFont="1" applyFill="1" applyBorder="1" applyAlignment="1" applyProtection="1"/>
    <xf numFmtId="179" fontId="20" fillId="6" borderId="0" xfId="269" applyFont="1" applyFill="1" applyAlignment="1" applyProtection="1">
      <alignment vertical="center"/>
      <protection locked="0"/>
    </xf>
    <xf numFmtId="43" fontId="39" fillId="6" borderId="0" xfId="280" applyNumberFormat="1" applyFont="1" applyFill="1" applyAlignment="1" applyProtection="1">
      <alignment horizontal="left" vertical="center" shrinkToFit="1"/>
      <protection locked="0" hidden="1"/>
    </xf>
    <xf numFmtId="43" fontId="20" fillId="6" borderId="1" xfId="280" applyNumberFormat="1" applyFont="1" applyFill="1" applyBorder="1" applyAlignment="1" applyProtection="1">
      <alignment horizontal="right" vertical="center" shrinkToFit="1"/>
    </xf>
    <xf numFmtId="179" fontId="20" fillId="6" borderId="1" xfId="280" applyNumberFormat="1" applyFont="1" applyFill="1" applyBorder="1" applyAlignment="1" applyProtection="1">
      <alignment horizontal="left" vertical="center" wrapText="1"/>
      <protection locked="0"/>
    </xf>
    <xf numFmtId="43" fontId="20" fillId="6" borderId="1" xfId="420" applyNumberFormat="1" applyFont="1" applyFill="1" applyBorder="1" applyAlignment="1" applyProtection="1">
      <alignment horizontal="right" vertical="center" shrinkToFit="1"/>
      <protection locked="0"/>
    </xf>
    <xf numFmtId="179" fontId="41" fillId="6" borderId="0" xfId="280" applyFont="1" applyFill="1" applyAlignment="1" applyProtection="1">
      <alignment horizontal="justify" vertical="center"/>
      <protection locked="0"/>
    </xf>
    <xf numFmtId="179" fontId="20" fillId="6" borderId="1" xfId="269" applyFont="1" applyFill="1" applyBorder="1" applyAlignment="1" applyProtection="1">
      <alignment horizontal="justify" vertical="top" wrapText="1"/>
      <protection locked="0"/>
    </xf>
    <xf numFmtId="43" fontId="20" fillId="6" borderId="1" xfId="15" applyFont="1" applyFill="1" applyBorder="1" applyAlignment="1" applyProtection="1">
      <alignment horizontal="justify" vertical="top" wrapText="1"/>
    </xf>
    <xf numFmtId="179" fontId="20" fillId="6" borderId="1" xfId="269" applyFont="1" applyFill="1" applyBorder="1" applyProtection="1">
      <protection locked="0"/>
    </xf>
    <xf numFmtId="179" fontId="20" fillId="6" borderId="1" xfId="280" applyFont="1" applyFill="1" applyBorder="1" applyAlignment="1" applyProtection="1">
      <alignment horizontal="center" vertical="center"/>
      <protection locked="0"/>
    </xf>
    <xf numFmtId="179" fontId="20" fillId="6" borderId="1" xfId="280" applyFont="1" applyFill="1" applyBorder="1" applyAlignment="1" applyProtection="1">
      <alignment vertical="center"/>
      <protection locked="0"/>
    </xf>
    <xf numFmtId="43" fontId="20" fillId="6" borderId="1" xfId="280" applyNumberFormat="1" applyFont="1" applyFill="1" applyBorder="1" applyAlignment="1" applyProtection="1">
      <alignment vertical="center"/>
    </xf>
    <xf numFmtId="179" fontId="25" fillId="6" borderId="0" xfId="280" applyFont="1" applyFill="1" applyAlignment="1" applyProtection="1">
      <alignment horizontal="justify" vertical="center"/>
      <protection locked="0"/>
    </xf>
    <xf numFmtId="179" fontId="40" fillId="6" borderId="0" xfId="269" applyFont="1" applyFill="1" applyProtection="1">
      <protection locked="0"/>
    </xf>
    <xf numFmtId="179" fontId="20" fillId="0" borderId="0" xfId="280" applyFont="1" applyFill="1" applyAlignment="1" applyProtection="1">
      <alignment vertical="center"/>
      <protection locked="0"/>
    </xf>
    <xf numFmtId="179" fontId="33" fillId="6" borderId="0" xfId="280" applyFont="1" applyFill="1" applyAlignment="1" applyProtection="1">
      <alignment horizontal="left" vertical="center" shrinkToFit="1"/>
      <protection locked="0" hidden="1"/>
    </xf>
    <xf numFmtId="179" fontId="20" fillId="6" borderId="0" xfId="320" applyFont="1" applyFill="1" applyAlignment="1" applyProtection="1">
      <alignment horizontal="justify" vertical="center"/>
      <protection locked="0"/>
    </xf>
    <xf numFmtId="179" fontId="20" fillId="6" borderId="0" xfId="320" applyFont="1" applyFill="1" applyAlignment="1" applyProtection="1">
      <alignment vertical="center"/>
      <protection locked="0"/>
    </xf>
    <xf numFmtId="179" fontId="20" fillId="6" borderId="1" xfId="320" applyFont="1" applyFill="1" applyBorder="1" applyAlignment="1" applyProtection="1">
      <alignment horizontal="center" vertical="center"/>
      <protection locked="0"/>
    </xf>
    <xf numFmtId="43" fontId="20" fillId="6" borderId="1" xfId="15" applyFont="1" applyFill="1" applyBorder="1" applyAlignment="1" applyProtection="1">
      <alignment vertical="center"/>
    </xf>
    <xf numFmtId="179" fontId="20" fillId="0" borderId="1" xfId="332" applyFont="1" applyFill="1" applyBorder="1" applyAlignment="1" applyProtection="1">
      <alignment horizontal="left" vertical="center"/>
      <protection locked="0"/>
    </xf>
    <xf numFmtId="179" fontId="20" fillId="0" borderId="1" xfId="332" applyFont="1" applyFill="1" applyBorder="1" applyAlignment="1" applyProtection="1">
      <alignment vertical="center"/>
      <protection locked="0"/>
    </xf>
    <xf numFmtId="179" fontId="20" fillId="0" borderId="1" xfId="280" applyFont="1" applyFill="1" applyBorder="1" applyAlignment="1" applyProtection="1">
      <alignment horizontal="justify" vertical="center"/>
      <protection locked="0"/>
    </xf>
    <xf numFmtId="179" fontId="20" fillId="6" borderId="0" xfId="269" applyFont="1" applyFill="1" applyAlignment="1" applyProtection="1"/>
    <xf numFmtId="179" fontId="20" fillId="6" borderId="1" xfId="269" applyFont="1" applyFill="1" applyBorder="1" applyAlignment="1" applyProtection="1"/>
    <xf numFmtId="43" fontId="20" fillId="6" borderId="1" xfId="320" applyNumberFormat="1" applyFont="1" applyFill="1" applyBorder="1" applyAlignment="1" applyProtection="1">
      <alignment horizontal="center" vertical="center"/>
    </xf>
    <xf numFmtId="43" fontId="20" fillId="0" borderId="1" xfId="15" applyFont="1" applyFill="1" applyBorder="1" applyAlignment="1" applyProtection="1">
      <alignment horizontal="justify" vertical="center"/>
      <protection locked="0"/>
    </xf>
    <xf numFmtId="43" fontId="20" fillId="6" borderId="1" xfId="332" applyNumberFormat="1" applyFont="1" applyFill="1" applyBorder="1" applyAlignment="1" applyProtection="1">
      <alignment vertical="center"/>
    </xf>
    <xf numFmtId="43" fontId="20" fillId="6" borderId="0" xfId="413" applyNumberFormat="1" applyFont="1" applyFill="1" applyBorder="1" applyAlignment="1" applyProtection="1">
      <alignment horizontal="right" vertical="center" shrinkToFit="1"/>
    </xf>
    <xf numFmtId="179" fontId="39" fillId="6" borderId="0" xfId="320" applyFont="1" applyFill="1" applyAlignment="1" applyProtection="1">
      <alignment horizontal="left" vertical="center" shrinkToFit="1"/>
      <protection locked="0" hidden="1"/>
    </xf>
    <xf numFmtId="179" fontId="20" fillId="0" borderId="0" xfId="280" applyFont="1" applyFill="1" applyAlignment="1" applyProtection="1">
      <alignment horizontal="justify" vertical="center"/>
      <protection locked="0"/>
    </xf>
    <xf numFmtId="188" fontId="33" fillId="6" borderId="0" xfId="126" applyNumberFormat="1" applyFont="1" applyFill="1" applyAlignment="1" applyProtection="1">
      <alignment vertical="center" shrinkToFit="1"/>
    </xf>
    <xf numFmtId="43" fontId="20" fillId="0" borderId="1" xfId="15" applyFont="1" applyFill="1" applyBorder="1" applyAlignment="1" applyProtection="1">
      <alignment vertical="center"/>
      <protection locked="0"/>
    </xf>
    <xf numFmtId="179" fontId="20" fillId="0" borderId="1" xfId="320" applyFont="1" applyFill="1" applyBorder="1" applyAlignment="1" applyProtection="1">
      <alignment horizontal="center" vertical="center"/>
      <protection locked="0"/>
    </xf>
    <xf numFmtId="43" fontId="20" fillId="6" borderId="0" xfId="15" applyFont="1" applyFill="1" applyBorder="1" applyAlignment="1" applyProtection="1">
      <alignment horizontal="right" vertical="center" shrinkToFit="1"/>
    </xf>
    <xf numFmtId="43" fontId="20" fillId="6" borderId="0" xfId="15" applyFont="1" applyFill="1" applyAlignment="1" applyProtection="1">
      <alignment horizontal="justify" vertical="center"/>
      <protection locked="0"/>
    </xf>
    <xf numFmtId="43" fontId="39" fillId="6" borderId="0" xfId="14" applyNumberFormat="1" applyFont="1" applyFill="1" applyAlignment="1" applyProtection="1">
      <alignment horizontal="left" vertical="center" shrinkToFit="1"/>
      <protection locked="0" hidden="1"/>
    </xf>
    <xf numFmtId="179" fontId="20" fillId="0" borderId="1" xfId="329" applyFont="1" applyFill="1" applyBorder="1" applyAlignment="1" applyProtection="1">
      <alignment horizontal="left" vertical="center"/>
      <protection locked="0"/>
    </xf>
    <xf numFmtId="43" fontId="20" fillId="6" borderId="1" xfId="15" applyFont="1" applyFill="1" applyBorder="1" applyAlignment="1" applyProtection="1">
      <alignment horizontal="center" vertical="center"/>
    </xf>
    <xf numFmtId="179" fontId="20" fillId="6" borderId="1" xfId="332" applyFont="1" applyFill="1" applyBorder="1" applyAlignment="1" applyProtection="1">
      <alignment vertical="center"/>
      <protection locked="0"/>
    </xf>
    <xf numFmtId="179" fontId="39" fillId="6" borderId="0" xfId="14" applyFont="1" applyFill="1" applyAlignment="1" applyProtection="1">
      <alignment horizontal="left" vertical="center" shrinkToFit="1"/>
      <protection locked="0" hidden="1"/>
    </xf>
    <xf numFmtId="179" fontId="20" fillId="6" borderId="0" xfId="14" applyFont="1" applyFill="1" applyBorder="1" applyAlignment="1" applyProtection="1">
      <alignment vertical="center"/>
      <protection locked="0"/>
    </xf>
    <xf numFmtId="179" fontId="20" fillId="0" borderId="0" xfId="14" applyFont="1" applyFill="1" applyBorder="1" applyAlignment="1" applyProtection="1">
      <alignment vertical="center"/>
      <protection locked="0"/>
    </xf>
    <xf numFmtId="179" fontId="39" fillId="6" borderId="0" xfId="308" applyFont="1" applyFill="1" applyAlignment="1" applyProtection="1">
      <alignment horizontal="left" vertical="center" shrinkToFit="1"/>
      <protection locked="0" hidden="1"/>
    </xf>
    <xf numFmtId="179" fontId="20" fillId="6" borderId="0" xfId="308" applyFont="1" applyFill="1" applyBorder="1" applyAlignment="1" applyProtection="1">
      <alignment vertical="center"/>
      <protection locked="0"/>
    </xf>
    <xf numFmtId="179" fontId="20" fillId="6" borderId="0" xfId="308" applyFont="1" applyFill="1" applyAlignment="1" applyProtection="1">
      <alignment vertical="center"/>
      <protection locked="0"/>
    </xf>
    <xf numFmtId="179" fontId="20" fillId="6" borderId="1" xfId="308" applyFont="1" applyFill="1" applyBorder="1" applyAlignment="1" applyProtection="1">
      <alignment horizontal="center" vertical="center"/>
      <protection locked="0"/>
    </xf>
    <xf numFmtId="179" fontId="1" fillId="6" borderId="1" xfId="308" applyFont="1" applyFill="1" applyBorder="1" applyAlignment="1" applyProtection="1">
      <alignment horizontal="center" vertical="center"/>
      <protection locked="0"/>
    </xf>
    <xf numFmtId="10" fontId="20" fillId="6" borderId="1" xfId="308" applyNumberFormat="1" applyFont="1" applyFill="1" applyBorder="1" applyAlignment="1" applyProtection="1">
      <alignment horizontal="center" vertical="center" shrinkToFit="1"/>
    </xf>
    <xf numFmtId="43" fontId="20" fillId="6" borderId="1" xfId="15" applyNumberFormat="1" applyFont="1" applyFill="1" applyBorder="1" applyAlignment="1" applyProtection="1">
      <alignment horizontal="right" vertical="center" shrinkToFit="1"/>
      <protection locked="0"/>
    </xf>
    <xf numFmtId="43" fontId="20" fillId="6" borderId="1" xfId="15" applyNumberFormat="1" applyFont="1" applyFill="1" applyBorder="1" applyAlignment="1" applyProtection="1">
      <alignment horizontal="right" vertical="center" shrinkToFit="1"/>
    </xf>
    <xf numFmtId="43" fontId="20" fillId="6" borderId="0" xfId="15" applyNumberFormat="1" applyFont="1" applyFill="1" applyBorder="1" applyAlignment="1" applyProtection="1">
      <alignment horizontal="right" vertical="center" shrinkToFit="1"/>
    </xf>
    <xf numFmtId="10" fontId="20" fillId="11" borderId="0" xfId="15" applyNumberFormat="1" applyFont="1" applyFill="1" applyBorder="1" applyAlignment="1" applyProtection="1">
      <alignment horizontal="center" vertical="center" shrinkToFit="1"/>
    </xf>
    <xf numFmtId="10" fontId="20" fillId="6" borderId="0" xfId="15" applyNumberFormat="1" applyFont="1" applyFill="1" applyBorder="1" applyAlignment="1" applyProtection="1">
      <alignment horizontal="center" vertical="center" shrinkToFit="1"/>
      <protection locked="0"/>
    </xf>
    <xf numFmtId="179" fontId="18" fillId="6" borderId="1" xfId="308" applyFont="1" applyFill="1" applyBorder="1" applyAlignment="1" applyProtection="1">
      <alignment horizontal="left" vertical="center" wrapText="1"/>
      <protection locked="0"/>
    </xf>
    <xf numFmtId="10" fontId="20" fillId="6" borderId="1" xfId="20" applyNumberFormat="1" applyFont="1" applyFill="1" applyBorder="1" applyAlignment="1" applyProtection="1">
      <alignment horizontal="center" vertical="center" shrinkToFit="1"/>
    </xf>
    <xf numFmtId="179" fontId="18" fillId="6" borderId="0" xfId="308" applyFont="1" applyFill="1" applyBorder="1" applyAlignment="1" applyProtection="1">
      <alignment horizontal="left" vertical="center"/>
      <protection locked="0"/>
    </xf>
    <xf numFmtId="10" fontId="20" fillId="6" borderId="0" xfId="20" applyNumberFormat="1" applyFont="1" applyFill="1" applyBorder="1" applyAlignment="1" applyProtection="1">
      <alignment horizontal="center" vertical="center" shrinkToFit="1"/>
      <protection locked="0"/>
    </xf>
    <xf numFmtId="179" fontId="23" fillId="6" borderId="0" xfId="308" applyFont="1" applyFill="1" applyBorder="1" applyAlignment="1" applyProtection="1">
      <alignment horizontal="left" vertical="center"/>
      <protection locked="0"/>
    </xf>
    <xf numFmtId="10" fontId="20" fillId="0" borderId="0" xfId="20" applyNumberFormat="1" applyFont="1" applyFill="1" applyBorder="1" applyAlignment="1" applyProtection="1">
      <alignment horizontal="center" vertical="center" shrinkToFit="1"/>
      <protection locked="0"/>
    </xf>
    <xf numFmtId="179" fontId="33" fillId="6" borderId="0" xfId="269" applyFont="1" applyFill="1" applyAlignment="1" applyProtection="1">
      <alignment horizontal="left" vertical="center" shrinkToFit="1"/>
      <protection locked="0"/>
    </xf>
    <xf numFmtId="179" fontId="39" fillId="6" borderId="0" xfId="308" applyFont="1" applyFill="1" applyAlignment="1" applyProtection="1">
      <alignment horizontal="left" vertical="center" shrinkToFit="1"/>
      <protection locked="0"/>
    </xf>
    <xf numFmtId="179" fontId="1" fillId="6" borderId="0" xfId="342" applyFont="1" applyFill="1" applyAlignment="1" applyProtection="1">
      <alignment vertical="center"/>
      <protection locked="0"/>
    </xf>
    <xf numFmtId="179" fontId="33" fillId="6" borderId="0" xfId="126" applyFont="1" applyFill="1" applyAlignment="1" applyProtection="1">
      <alignment vertical="center" shrinkToFit="1"/>
      <protection locked="0"/>
    </xf>
    <xf numFmtId="43" fontId="34" fillId="6" borderId="0" xfId="308" applyNumberFormat="1" applyFont="1" applyFill="1" applyAlignment="1" applyProtection="1">
      <alignment horizontal="left" vertical="center" shrinkToFit="1"/>
      <protection locked="0"/>
    </xf>
    <xf numFmtId="43" fontId="1" fillId="6" borderId="0" xfId="15" applyNumberFormat="1" applyFont="1" applyFill="1" applyBorder="1" applyAlignment="1" applyProtection="1">
      <alignment horizontal="right" vertical="center" shrinkToFit="1"/>
      <protection locked="0"/>
    </xf>
    <xf numFmtId="179" fontId="13" fillId="6" borderId="1" xfId="269" applyFont="1" applyFill="1" applyBorder="1" applyAlignment="1" applyProtection="1">
      <alignment horizontal="center" wrapText="1"/>
      <protection locked="0"/>
    </xf>
    <xf numFmtId="179" fontId="31" fillId="21" borderId="1" xfId="308" applyFont="1" applyFill="1" applyBorder="1" applyAlignment="1" applyProtection="1">
      <alignment horizontal="left" vertical="center"/>
      <protection locked="0"/>
    </xf>
    <xf numFmtId="179" fontId="20" fillId="21" borderId="1" xfId="342" applyFont="1" applyFill="1" applyBorder="1" applyAlignment="1" applyProtection="1">
      <alignment vertical="center"/>
      <protection locked="0"/>
    </xf>
    <xf numFmtId="43" fontId="20" fillId="21" borderId="1" xfId="15" applyFont="1" applyFill="1" applyBorder="1" applyAlignment="1" applyProtection="1">
      <alignment horizontal="right" vertical="center" shrinkToFit="1"/>
    </xf>
    <xf numFmtId="179" fontId="20" fillId="0" borderId="1" xfId="308" applyFont="1" applyFill="1" applyBorder="1" applyAlignment="1" applyProtection="1">
      <alignment horizontal="center" vertical="center"/>
      <protection locked="0"/>
    </xf>
    <xf numFmtId="179" fontId="20" fillId="0" borderId="1" xfId="342" applyFont="1" applyFill="1" applyBorder="1" applyAlignment="1" applyProtection="1">
      <alignment vertical="center"/>
      <protection locked="0"/>
    </xf>
    <xf numFmtId="10" fontId="20" fillId="0" borderId="1" xfId="15" applyNumberFormat="1" applyFont="1" applyFill="1" applyBorder="1" applyAlignment="1" applyProtection="1">
      <alignment horizontal="center" vertical="center" shrinkToFit="1"/>
      <protection locked="0"/>
    </xf>
    <xf numFmtId="179" fontId="20" fillId="11" borderId="0" xfId="342" applyFont="1" applyFill="1" applyAlignment="1" applyProtection="1">
      <alignment vertical="center"/>
      <protection locked="0"/>
    </xf>
    <xf numFmtId="179" fontId="20" fillId="11" borderId="0" xfId="308" applyFont="1" applyFill="1" applyAlignment="1" applyProtection="1">
      <alignment horizontal="center" vertical="center" wrapText="1"/>
      <protection locked="0"/>
    </xf>
    <xf numFmtId="179" fontId="1" fillId="11" borderId="0" xfId="342" applyFont="1" applyFill="1" applyAlignment="1" applyProtection="1">
      <alignment vertical="center"/>
      <protection locked="0"/>
    </xf>
    <xf numFmtId="179" fontId="20" fillId="11" borderId="0" xfId="308" applyFont="1" applyFill="1" applyAlignment="1" applyProtection="1">
      <alignment vertical="center"/>
      <protection locked="0"/>
    </xf>
    <xf numFmtId="10" fontId="20" fillId="0" borderId="0" xfId="20" applyNumberFormat="1" applyFont="1" applyFill="1" applyAlignment="1" applyProtection="1">
      <alignment vertical="center"/>
      <protection locked="0"/>
    </xf>
    <xf numFmtId="179" fontId="20" fillId="0" borderId="0" xfId="342" applyFont="1" applyFill="1" applyAlignment="1" applyProtection="1">
      <alignment vertical="center"/>
      <protection locked="0"/>
    </xf>
    <xf numFmtId="179" fontId="20" fillId="11" borderId="0" xfId="308" applyFont="1" applyFill="1" applyAlignment="1" applyProtection="1">
      <alignment vertical="center"/>
    </xf>
    <xf numFmtId="179" fontId="1" fillId="11" borderId="1" xfId="308" applyFont="1" applyFill="1" applyBorder="1" applyAlignment="1" applyProtection="1">
      <alignment vertical="center"/>
      <protection locked="0"/>
    </xf>
    <xf numFmtId="179" fontId="20" fillId="11" borderId="1" xfId="342" applyFont="1" applyFill="1" applyBorder="1" applyAlignment="1" applyProtection="1">
      <alignment vertical="center"/>
      <protection locked="0"/>
    </xf>
    <xf numFmtId="179" fontId="20" fillId="11" borderId="1" xfId="308" applyFont="1" applyFill="1" applyBorder="1" applyAlignment="1" applyProtection="1">
      <alignment horizontal="center" vertical="center"/>
      <protection locked="0"/>
    </xf>
    <xf numFmtId="10" fontId="20" fillId="0" borderId="1" xfId="20" applyNumberFormat="1" applyFont="1" applyFill="1" applyBorder="1" applyAlignment="1" applyProtection="1">
      <alignment vertical="center"/>
      <protection locked="0"/>
    </xf>
    <xf numFmtId="10" fontId="20" fillId="6" borderId="0" xfId="308" applyNumberFormat="1" applyFont="1" applyFill="1" applyBorder="1" applyAlignment="1" applyProtection="1">
      <alignment horizontal="center" vertical="center" shrinkToFit="1"/>
      <protection locked="0"/>
    </xf>
    <xf numFmtId="10" fontId="20" fillId="0" borderId="0" xfId="308" applyNumberFormat="1" applyFont="1" applyFill="1" applyBorder="1" applyAlignment="1" applyProtection="1">
      <alignment horizontal="center" vertical="center" shrinkToFit="1"/>
      <protection locked="0"/>
    </xf>
    <xf numFmtId="179" fontId="20" fillId="0" borderId="0" xfId="308" applyFont="1" applyFill="1" applyAlignment="1" applyProtection="1">
      <alignment vertical="center"/>
      <protection locked="0"/>
    </xf>
    <xf numFmtId="10" fontId="20" fillId="6" borderId="1" xfId="15" applyNumberFormat="1" applyFont="1" applyFill="1" applyBorder="1" applyAlignment="1" applyProtection="1">
      <alignment horizontal="center" vertical="center" shrinkToFit="1"/>
      <protection locked="0"/>
    </xf>
    <xf numFmtId="179" fontId="20" fillId="6" borderId="1" xfId="308" applyFont="1" applyFill="1" applyBorder="1" applyAlignment="1" applyProtection="1">
      <alignment vertical="center"/>
      <protection locked="0"/>
    </xf>
    <xf numFmtId="179" fontId="20" fillId="6" borderId="1" xfId="342" applyFont="1" applyFill="1" applyBorder="1" applyAlignment="1" applyProtection="1">
      <alignment vertical="center"/>
      <protection locked="0"/>
    </xf>
    <xf numFmtId="10" fontId="20" fillId="21" borderId="1" xfId="308" applyNumberFormat="1" applyFont="1" applyFill="1" applyBorder="1" applyAlignment="1" applyProtection="1">
      <alignment horizontal="center" vertical="center" shrinkToFit="1"/>
    </xf>
    <xf numFmtId="10" fontId="20" fillId="21" borderId="1" xfId="15" applyNumberFormat="1" applyFont="1" applyFill="1" applyBorder="1" applyAlignment="1" applyProtection="1">
      <alignment horizontal="center" vertical="center" shrinkToFit="1"/>
      <protection locked="0"/>
    </xf>
    <xf numFmtId="179" fontId="20" fillId="11" borderId="0" xfId="342" applyFont="1" applyFill="1" applyAlignment="1" applyProtection="1">
      <alignment horizontal="center" vertical="center" wrapText="1"/>
      <protection locked="0"/>
    </xf>
    <xf numFmtId="43" fontId="20" fillId="11" borderId="0" xfId="342" applyNumberFormat="1" applyFont="1" applyFill="1" applyAlignment="1" applyProtection="1">
      <alignment vertical="center"/>
    </xf>
    <xf numFmtId="200" fontId="20" fillId="11" borderId="0" xfId="342" applyNumberFormat="1" applyFont="1" applyFill="1" applyAlignment="1" applyProtection="1">
      <alignment vertical="center"/>
    </xf>
    <xf numFmtId="179" fontId="20" fillId="11" borderId="0" xfId="308" applyFont="1" applyFill="1" applyAlignment="1" applyProtection="1">
      <alignment horizontal="center" vertical="center"/>
    </xf>
    <xf numFmtId="43" fontId="20" fillId="11" borderId="1" xfId="342" applyNumberFormat="1" applyFont="1" applyFill="1" applyBorder="1" applyAlignment="1" applyProtection="1">
      <alignment vertical="center"/>
    </xf>
    <xf numFmtId="179" fontId="31" fillId="6" borderId="0" xfId="269" applyFont="1" applyFill="1" applyAlignment="1" applyProtection="1">
      <protection locked="0"/>
    </xf>
    <xf numFmtId="179" fontId="21" fillId="6" borderId="1" xfId="269" applyFont="1" applyFill="1" applyBorder="1" applyAlignment="1" applyProtection="1">
      <alignment horizontal="center" wrapText="1"/>
      <protection locked="0"/>
    </xf>
    <xf numFmtId="179" fontId="20" fillId="6" borderId="16" xfId="308" applyFont="1" applyFill="1" applyBorder="1" applyAlignment="1" applyProtection="1">
      <alignment horizontal="center" vertical="center"/>
      <protection locked="0"/>
    </xf>
    <xf numFmtId="179" fontId="20" fillId="6" borderId="19" xfId="308" applyFont="1" applyFill="1" applyBorder="1" applyAlignment="1" applyProtection="1">
      <alignment horizontal="center" vertical="center"/>
      <protection locked="0"/>
    </xf>
    <xf numFmtId="179" fontId="34" fillId="6" borderId="0" xfId="308" applyFont="1" applyFill="1" applyAlignment="1" applyProtection="1">
      <alignment horizontal="left" vertical="center" shrinkToFit="1"/>
      <protection locked="0"/>
    </xf>
    <xf numFmtId="179" fontId="13" fillId="6" borderId="2" xfId="308" applyFont="1" applyFill="1" applyBorder="1" applyAlignment="1" applyProtection="1">
      <alignment vertical="center"/>
      <protection locked="0"/>
    </xf>
    <xf numFmtId="179" fontId="13" fillId="6" borderId="0" xfId="308" applyFont="1" applyFill="1" applyAlignment="1" applyProtection="1">
      <alignment vertical="center"/>
      <protection locked="0"/>
    </xf>
    <xf numFmtId="43" fontId="20" fillId="0" borderId="0" xfId="15" applyFont="1" applyFill="1" applyAlignment="1" applyProtection="1">
      <alignment vertical="center"/>
      <protection locked="0"/>
    </xf>
    <xf numFmtId="179" fontId="13" fillId="6" borderId="0" xfId="308" applyFont="1" applyFill="1" applyBorder="1" applyAlignment="1" applyProtection="1">
      <alignment horizontal="left" vertical="center"/>
      <protection locked="0"/>
    </xf>
    <xf numFmtId="179" fontId="20" fillId="6" borderId="0" xfId="308" applyFont="1" applyFill="1" applyBorder="1" applyAlignment="1" applyProtection="1">
      <alignment horizontal="center" vertical="center"/>
      <protection locked="0"/>
    </xf>
    <xf numFmtId="43" fontId="20" fillId="11" borderId="0" xfId="15" applyNumberFormat="1" applyFont="1" applyFill="1" applyBorder="1" applyAlignment="1" applyProtection="1">
      <alignment horizontal="right" vertical="center" shrinkToFit="1"/>
      <protection locked="0"/>
    </xf>
    <xf numFmtId="43" fontId="20" fillId="11" borderId="0" xfId="15" applyNumberFormat="1" applyFont="1" applyFill="1" applyBorder="1" applyAlignment="1" applyProtection="1">
      <alignment horizontal="center" vertical="center" shrinkToFit="1"/>
      <protection locked="0"/>
    </xf>
    <xf numFmtId="179" fontId="1" fillId="6" borderId="0" xfId="269" applyFont="1" applyFill="1" applyAlignment="1" applyProtection="1">
      <protection locked="0"/>
    </xf>
    <xf numFmtId="203" fontId="20" fillId="0" borderId="0" xfId="20" applyNumberFormat="1" applyFont="1" applyFill="1" applyAlignment="1" applyProtection="1">
      <alignment vertical="center"/>
      <protection locked="0"/>
    </xf>
    <xf numFmtId="43" fontId="20" fillId="6" borderId="1" xfId="15" applyNumberFormat="1" applyFont="1" applyFill="1" applyBorder="1" applyAlignment="1" applyProtection="1">
      <alignment horizontal="center" vertical="center" shrinkToFit="1"/>
      <protection locked="0"/>
    </xf>
    <xf numFmtId="10" fontId="36" fillId="6" borderId="0" xfId="15" applyNumberFormat="1" applyFont="1" applyFill="1" applyBorder="1" applyAlignment="1" applyProtection="1">
      <alignment horizontal="center" vertical="center" shrinkToFit="1"/>
      <protection locked="0"/>
    </xf>
    <xf numFmtId="179" fontId="23" fillId="6" borderId="0" xfId="269" applyFont="1" applyFill="1" applyAlignment="1" applyProtection="1">
      <alignment horizontal="center"/>
      <protection locked="0"/>
    </xf>
    <xf numFmtId="10" fontId="20" fillId="0" borderId="0" xfId="15" applyNumberFormat="1" applyFont="1" applyFill="1" applyBorder="1" applyAlignment="1" applyProtection="1">
      <alignment horizontal="center" vertical="center" shrinkToFit="1"/>
      <protection locked="0"/>
    </xf>
    <xf numFmtId="179" fontId="20" fillId="6" borderId="2" xfId="308" applyFont="1" applyFill="1" applyBorder="1" applyAlignment="1" applyProtection="1">
      <alignment vertical="center"/>
      <protection locked="0"/>
    </xf>
    <xf numFmtId="179" fontId="37" fillId="6" borderId="1" xfId="308" applyFont="1" applyFill="1" applyBorder="1" applyAlignment="1" applyProtection="1">
      <alignment horizontal="center" vertical="center" wrapText="1"/>
      <protection locked="0"/>
    </xf>
    <xf numFmtId="179" fontId="18" fillId="6" borderId="1" xfId="308" applyFont="1" applyFill="1" applyBorder="1" applyAlignment="1" applyProtection="1">
      <alignment horizontal="center" vertical="center" wrapText="1"/>
      <protection locked="0"/>
    </xf>
    <xf numFmtId="179" fontId="20" fillId="6" borderId="1" xfId="308" applyFont="1" applyFill="1" applyBorder="1" applyAlignment="1" applyProtection="1">
      <alignment horizontal="center" vertical="center" wrapText="1"/>
      <protection locked="0"/>
    </xf>
    <xf numFmtId="43" fontId="20" fillId="6" borderId="1" xfId="15" applyFont="1" applyFill="1" applyBorder="1" applyAlignment="1" applyProtection="1">
      <alignment horizontal="center" vertical="center" wrapText="1"/>
      <protection locked="0"/>
    </xf>
    <xf numFmtId="179" fontId="20" fillId="0" borderId="1" xfId="308" applyFont="1" applyFill="1" applyBorder="1" applyAlignment="1" applyProtection="1">
      <alignment horizontal="center" vertical="center" wrapText="1"/>
      <protection locked="0"/>
    </xf>
    <xf numFmtId="43" fontId="20" fillId="6" borderId="1" xfId="15" applyFont="1" applyFill="1" applyBorder="1" applyAlignment="1" applyProtection="1">
      <alignment horizontal="center" vertical="center" wrapText="1"/>
    </xf>
    <xf numFmtId="179" fontId="31" fillId="6" borderId="0" xfId="308" applyFont="1" applyFill="1" applyBorder="1" applyAlignment="1" applyProtection="1">
      <alignment horizontal="left" vertical="center" wrapText="1"/>
      <protection locked="0"/>
    </xf>
    <xf numFmtId="179" fontId="20" fillId="6" borderId="0" xfId="308" applyFont="1" applyFill="1" applyBorder="1" applyAlignment="1" applyProtection="1">
      <alignment horizontal="center" vertical="center" wrapText="1"/>
      <protection locked="0"/>
    </xf>
    <xf numFmtId="43" fontId="20" fillId="6" borderId="1" xfId="308" applyNumberFormat="1" applyFont="1" applyFill="1" applyBorder="1" applyAlignment="1" applyProtection="1">
      <alignment horizontal="right" vertical="center" shrinkToFit="1"/>
      <protection locked="0"/>
    </xf>
    <xf numFmtId="179" fontId="20" fillId="6" borderId="0" xfId="308" applyFont="1" applyFill="1" applyBorder="1" applyAlignment="1" applyProtection="1">
      <alignment horizontal="left" vertical="center" wrapText="1"/>
      <protection locked="0"/>
    </xf>
    <xf numFmtId="179" fontId="34" fillId="6" borderId="0" xfId="308" applyFont="1" applyFill="1" applyAlignment="1" applyProtection="1">
      <alignment horizontal="left" vertical="center" shrinkToFit="1"/>
      <protection locked="0" hidden="1"/>
    </xf>
    <xf numFmtId="179" fontId="20" fillId="0" borderId="1" xfId="308" applyFont="1" applyFill="1" applyBorder="1" applyAlignment="1" applyProtection="1">
      <alignment vertical="center"/>
      <protection locked="0"/>
    </xf>
    <xf numFmtId="179" fontId="1" fillId="6" borderId="0" xfId="308" applyFont="1" applyFill="1" applyAlignment="1" applyProtection="1">
      <alignment vertical="center"/>
      <protection locked="0"/>
    </xf>
    <xf numFmtId="43" fontId="20" fillId="0" borderId="1" xfId="15" applyFont="1" applyFill="1" applyBorder="1" applyAlignment="1" applyProtection="1">
      <protection locked="0"/>
    </xf>
    <xf numFmtId="179" fontId="25" fillId="6" borderId="0" xfId="308" applyFont="1" applyFill="1" applyAlignment="1" applyProtection="1">
      <alignment vertical="center"/>
      <protection locked="0"/>
    </xf>
    <xf numFmtId="179" fontId="20" fillId="6" borderId="14" xfId="308" applyFont="1" applyFill="1" applyBorder="1" applyAlignment="1" applyProtection="1">
      <alignment horizontal="center" vertical="center"/>
      <protection locked="0"/>
    </xf>
    <xf numFmtId="10" fontId="20" fillId="6" borderId="1" xfId="20" applyNumberFormat="1" applyFont="1" applyFill="1" applyBorder="1" applyAlignment="1" applyProtection="1">
      <alignment horizontal="right" vertical="center"/>
    </xf>
    <xf numFmtId="10" fontId="20" fillId="11" borderId="0" xfId="20" applyNumberFormat="1" applyFont="1" applyFill="1" applyBorder="1" applyAlignment="1" applyProtection="1">
      <alignment horizontal="right" vertical="center" shrinkToFit="1"/>
    </xf>
    <xf numFmtId="179" fontId="20" fillId="6" borderId="1" xfId="269" applyFont="1" applyFill="1" applyBorder="1" applyAlignment="1" applyProtection="1">
      <alignment horizontal="center"/>
      <protection locked="0"/>
    </xf>
    <xf numFmtId="179" fontId="25" fillId="6" borderId="0" xfId="269" applyFont="1" applyFill="1" applyAlignment="1" applyProtection="1">
      <alignment horizontal="left" indent="2"/>
      <protection locked="0"/>
    </xf>
    <xf numFmtId="179" fontId="13" fillId="0" borderId="1" xfId="269" applyFont="1" applyFill="1" applyBorder="1" applyAlignment="1" applyProtection="1">
      <protection locked="0"/>
    </xf>
    <xf numFmtId="43" fontId="13" fillId="0" borderId="1" xfId="15" applyFont="1" applyFill="1" applyBorder="1" applyAlignment="1" applyProtection="1">
      <protection locked="0"/>
    </xf>
    <xf numFmtId="10" fontId="20" fillId="6" borderId="1" xfId="20" applyNumberFormat="1" applyFont="1" applyFill="1" applyBorder="1" applyAlignment="1" applyProtection="1">
      <alignment horizontal="center" vertical="center"/>
    </xf>
    <xf numFmtId="179" fontId="20" fillId="6" borderId="0" xfId="269" applyFont="1" applyFill="1" applyBorder="1" applyAlignment="1" applyProtection="1">
      <alignment horizontal="center"/>
      <protection locked="0"/>
    </xf>
    <xf numFmtId="43" fontId="1" fillId="6" borderId="0" xfId="15" applyFont="1" applyFill="1" applyBorder="1" applyAlignment="1" applyProtection="1">
      <alignment vertical="center"/>
      <protection locked="0"/>
    </xf>
    <xf numFmtId="10" fontId="20" fillId="11" borderId="0" xfId="20" applyNumberFormat="1" applyFont="1" applyFill="1" applyBorder="1" applyAlignment="1" applyProtection="1">
      <alignment horizontal="center" vertical="center" shrinkToFit="1"/>
    </xf>
    <xf numFmtId="179" fontId="20" fillId="6" borderId="8" xfId="308" applyFont="1" applyFill="1" applyBorder="1" applyAlignment="1" applyProtection="1">
      <alignment horizontal="center" vertical="center"/>
      <protection locked="0"/>
    </xf>
    <xf numFmtId="179" fontId="20" fillId="6" borderId="0" xfId="269" applyFont="1" applyFill="1" applyBorder="1" applyAlignment="1" applyProtection="1">
      <protection locked="0"/>
    </xf>
    <xf numFmtId="179" fontId="20" fillId="6" borderId="1" xfId="269" applyFont="1" applyFill="1" applyBorder="1" applyAlignment="1" applyProtection="1">
      <alignment horizontal="justify" wrapText="1"/>
      <protection locked="0"/>
    </xf>
    <xf numFmtId="43" fontId="20" fillId="6" borderId="1" xfId="15" applyFont="1" applyFill="1" applyBorder="1" applyAlignment="1" applyProtection="1">
      <alignment horizontal="center" vertical="top" wrapText="1"/>
      <protection locked="0"/>
    </xf>
    <xf numFmtId="43" fontId="20" fillId="6" borderId="1" xfId="15" applyFont="1" applyFill="1" applyBorder="1" applyAlignment="1" applyProtection="1">
      <alignment vertical="center"/>
      <protection locked="0"/>
    </xf>
    <xf numFmtId="179" fontId="34" fillId="6" borderId="0" xfId="319" applyFont="1" applyFill="1" applyAlignment="1" applyProtection="1">
      <alignment horizontal="left" vertical="center" shrinkToFit="1"/>
      <protection locked="0" hidden="1"/>
    </xf>
    <xf numFmtId="179" fontId="20" fillId="6" borderId="0" xfId="319" applyFont="1" applyFill="1" applyAlignment="1" applyProtection="1">
      <alignment horizontal="left" vertical="center"/>
      <protection locked="0"/>
    </xf>
    <xf numFmtId="179" fontId="20" fillId="6" borderId="1" xfId="319" applyFont="1" applyFill="1" applyBorder="1" applyAlignment="1" applyProtection="1">
      <alignment horizontal="center" vertical="center" wrapText="1"/>
      <protection locked="0"/>
    </xf>
    <xf numFmtId="179" fontId="20" fillId="6" borderId="1" xfId="319" applyFont="1" applyFill="1" applyBorder="1" applyAlignment="1" applyProtection="1">
      <alignment horizontal="left" vertical="center" wrapText="1"/>
      <protection locked="0"/>
    </xf>
    <xf numFmtId="10" fontId="20" fillId="6" borderId="1" xfId="15" applyNumberFormat="1" applyFont="1" applyFill="1" applyBorder="1" applyAlignment="1" applyProtection="1">
      <alignment horizontal="center" vertical="center" shrinkToFit="1"/>
    </xf>
    <xf numFmtId="201" fontId="20" fillId="6" borderId="1" xfId="20" applyNumberFormat="1" applyFont="1" applyFill="1" applyBorder="1" applyAlignment="1" applyProtection="1">
      <alignment horizontal="right" vertical="center" shrinkToFit="1"/>
    </xf>
    <xf numFmtId="43" fontId="20" fillId="6" borderId="1" xfId="319" applyNumberFormat="1" applyFont="1" applyFill="1" applyBorder="1" applyAlignment="1" applyProtection="1">
      <alignment horizontal="right" vertical="center" shrinkToFit="1"/>
    </xf>
    <xf numFmtId="179" fontId="20" fillId="6" borderId="0" xfId="319" applyFont="1" applyFill="1" applyBorder="1" applyAlignment="1" applyProtection="1">
      <alignment horizontal="center" vertical="center" wrapText="1"/>
      <protection locked="0"/>
    </xf>
    <xf numFmtId="201" fontId="20" fillId="6" borderId="0" xfId="20" applyNumberFormat="1" applyFont="1" applyFill="1" applyBorder="1" applyAlignment="1" applyProtection="1">
      <alignment horizontal="right" vertical="center" shrinkToFit="1"/>
    </xf>
    <xf numFmtId="43" fontId="20" fillId="6" borderId="0" xfId="319" applyNumberFormat="1" applyFont="1" applyFill="1" applyBorder="1" applyAlignment="1" applyProtection="1">
      <alignment horizontal="right" vertical="center" shrinkToFit="1"/>
    </xf>
    <xf numFmtId="9" fontId="20" fillId="6" borderId="0" xfId="20" applyFont="1" applyFill="1" applyBorder="1" applyAlignment="1" applyProtection="1">
      <alignment horizontal="center" vertical="center" shrinkToFit="1"/>
      <protection locked="0"/>
    </xf>
    <xf numFmtId="179" fontId="39" fillId="6" borderId="0" xfId="319" applyFont="1" applyFill="1" applyAlignment="1" applyProtection="1">
      <alignment horizontal="left" vertical="center" shrinkToFit="1"/>
      <protection locked="0" hidden="1"/>
    </xf>
    <xf numFmtId="179" fontId="20" fillId="0" borderId="1" xfId="319" applyFont="1" applyFill="1" applyBorder="1" applyAlignment="1" applyProtection="1">
      <alignment horizontal="left" vertical="center" wrapText="1"/>
      <protection locked="0"/>
    </xf>
    <xf numFmtId="43" fontId="20" fillId="0" borderId="1" xfId="15" applyFont="1" applyFill="1" applyBorder="1" applyAlignment="1" applyProtection="1">
      <alignment horizontal="left" vertical="center" wrapText="1"/>
      <protection locked="0"/>
    </xf>
    <xf numFmtId="179" fontId="20" fillId="6" borderId="0" xfId="319" applyFont="1" applyFill="1" applyAlignment="1" applyProtection="1">
      <alignment vertical="center"/>
      <protection locked="0"/>
    </xf>
    <xf numFmtId="179" fontId="1" fillId="11" borderId="3" xfId="319" applyFont="1" applyFill="1" applyBorder="1" applyAlignment="1" applyProtection="1">
      <alignment horizontal="center" vertical="center"/>
      <protection locked="0"/>
    </xf>
    <xf numFmtId="179" fontId="1" fillId="11" borderId="5" xfId="319" applyFont="1" applyFill="1" applyBorder="1" applyAlignment="1" applyProtection="1">
      <alignment horizontal="center" vertical="center"/>
      <protection locked="0"/>
    </xf>
    <xf numFmtId="179" fontId="20" fillId="6" borderId="0" xfId="319" applyFont="1" applyFill="1" applyAlignment="1" applyProtection="1">
      <alignment horizontal="center" vertical="center"/>
      <protection locked="0"/>
    </xf>
    <xf numFmtId="179" fontId="20" fillId="11" borderId="6" xfId="319" applyFont="1" applyFill="1" applyBorder="1" applyAlignment="1" applyProtection="1">
      <alignment vertical="center"/>
      <protection locked="0"/>
    </xf>
    <xf numFmtId="179" fontId="1" fillId="11" borderId="7" xfId="319" applyFont="1" applyFill="1" applyBorder="1" applyAlignment="1" applyProtection="1">
      <alignment horizontal="center" vertical="center"/>
      <protection locked="0"/>
    </xf>
    <xf numFmtId="179" fontId="20" fillId="11" borderId="1" xfId="308" applyFont="1" applyFill="1" applyBorder="1" applyAlignment="1" applyProtection="1">
      <alignment vertical="center"/>
    </xf>
    <xf numFmtId="179" fontId="20" fillId="0" borderId="1" xfId="319" applyFont="1" applyFill="1" applyBorder="1" applyAlignment="1" applyProtection="1">
      <alignment vertical="center"/>
      <protection locked="0"/>
    </xf>
    <xf numFmtId="179" fontId="1" fillId="21" borderId="1" xfId="319" applyFont="1" applyFill="1" applyBorder="1" applyAlignment="1" applyProtection="1">
      <alignment horizontal="left" vertical="center" wrapText="1"/>
      <protection locked="0"/>
    </xf>
    <xf numFmtId="179" fontId="20" fillId="21" borderId="1" xfId="319" applyFont="1" applyFill="1" applyBorder="1" applyAlignment="1" applyProtection="1">
      <alignment horizontal="left" vertical="center" wrapText="1"/>
      <protection locked="0"/>
    </xf>
    <xf numFmtId="43" fontId="20" fillId="21" borderId="1" xfId="15" applyFont="1" applyFill="1" applyBorder="1" applyAlignment="1" applyProtection="1">
      <alignment horizontal="left" vertical="center" wrapText="1"/>
    </xf>
    <xf numFmtId="179" fontId="20" fillId="6" borderId="0" xfId="319" applyFont="1" applyFill="1" applyBorder="1" applyAlignment="1" applyProtection="1">
      <alignment horizontal="left" vertical="center" wrapText="1"/>
      <protection locked="0"/>
    </xf>
    <xf numFmtId="43" fontId="20" fillId="6" borderId="0" xfId="15" applyFont="1" applyFill="1" applyBorder="1" applyAlignment="1" applyProtection="1">
      <alignment horizontal="left" vertical="center" wrapText="1"/>
      <protection locked="0"/>
    </xf>
    <xf numFmtId="179" fontId="25" fillId="6" borderId="0" xfId="319" applyFont="1" applyFill="1" applyAlignment="1" applyProtection="1">
      <alignment horizontal="left" vertical="center"/>
      <protection locked="0"/>
    </xf>
    <xf numFmtId="179" fontId="20" fillId="0" borderId="0" xfId="319" applyFont="1" applyFill="1" applyAlignment="1" applyProtection="1">
      <alignment horizontal="left" vertical="center"/>
      <protection locked="0"/>
    </xf>
    <xf numFmtId="179" fontId="1" fillId="6" borderId="0" xfId="319" applyFont="1" applyFill="1" applyAlignment="1" applyProtection="1">
      <alignment horizontal="left" vertical="center"/>
      <protection locked="0"/>
    </xf>
    <xf numFmtId="201" fontId="20" fillId="6" borderId="0" xfId="20" applyNumberFormat="1" applyFont="1" applyFill="1" applyBorder="1" applyAlignment="1" applyProtection="1">
      <alignment horizontal="right" vertical="center" shrinkToFit="1"/>
      <protection locked="0"/>
    </xf>
    <xf numFmtId="43" fontId="20" fillId="6" borderId="0" xfId="319" applyNumberFormat="1" applyFont="1" applyFill="1" applyBorder="1" applyAlignment="1" applyProtection="1">
      <alignment horizontal="right" vertical="center" shrinkToFit="1"/>
      <protection locked="0"/>
    </xf>
    <xf numFmtId="179" fontId="34" fillId="6" borderId="0" xfId="321" applyFont="1" applyFill="1" applyAlignment="1" applyProtection="1">
      <alignment horizontal="left" vertical="center" shrinkToFit="1"/>
      <protection locked="0" hidden="1"/>
    </xf>
    <xf numFmtId="179" fontId="20" fillId="6" borderId="0" xfId="321" applyFont="1" applyFill="1" applyBorder="1" applyAlignment="1" applyProtection="1">
      <alignment vertical="center"/>
      <protection locked="0"/>
    </xf>
    <xf numFmtId="179" fontId="20" fillId="6" borderId="1" xfId="321" applyNumberFormat="1" applyFont="1" applyFill="1" applyBorder="1" applyAlignment="1" applyProtection="1">
      <alignment horizontal="center" vertical="center" wrapText="1"/>
      <protection locked="0"/>
    </xf>
    <xf numFmtId="179" fontId="20" fillId="6" borderId="1" xfId="308" applyNumberFormat="1" applyFont="1" applyFill="1" applyBorder="1" applyAlignment="1" applyProtection="1">
      <alignment horizontal="left" vertical="center" wrapText="1"/>
      <protection locked="0"/>
    </xf>
    <xf numFmtId="201" fontId="20" fillId="6" borderId="1" xfId="20" applyNumberFormat="1" applyFont="1" applyFill="1" applyBorder="1" applyAlignment="1" applyProtection="1">
      <alignment horizontal="right" vertical="center" shrinkToFit="1"/>
      <protection locked="0"/>
    </xf>
    <xf numFmtId="43" fontId="20" fillId="6" borderId="1" xfId="15" applyNumberFormat="1" applyFont="1" applyFill="1" applyBorder="1" applyAlignment="1" applyProtection="1">
      <alignment horizontal="center" vertical="center" shrinkToFit="1"/>
    </xf>
    <xf numFmtId="43" fontId="20" fillId="6" borderId="0" xfId="15" applyNumberFormat="1" applyFont="1" applyFill="1" applyBorder="1" applyAlignment="1" applyProtection="1">
      <alignment horizontal="center" vertical="center" shrinkToFit="1"/>
    </xf>
    <xf numFmtId="179" fontId="39" fillId="6" borderId="0" xfId="321" applyFont="1" applyFill="1" applyAlignment="1" applyProtection="1">
      <alignment horizontal="left" vertical="center" shrinkToFit="1"/>
      <protection locked="0" hidden="1"/>
    </xf>
    <xf numFmtId="179" fontId="1" fillId="6" borderId="0" xfId="321" applyNumberFormat="1" applyFont="1" applyFill="1" applyAlignment="1" applyProtection="1">
      <alignment horizontal="left" vertical="center" wrapText="1"/>
      <protection locked="0"/>
    </xf>
    <xf numFmtId="179" fontId="20" fillId="6" borderId="0" xfId="321" applyFont="1" applyFill="1" applyAlignment="1" applyProtection="1">
      <alignment vertical="center"/>
      <protection locked="0"/>
    </xf>
    <xf numFmtId="9" fontId="20" fillId="0" borderId="1" xfId="20" applyFont="1" applyFill="1" applyBorder="1" applyAlignment="1" applyProtection="1">
      <alignment horizontal="center" vertical="center"/>
      <protection locked="0"/>
    </xf>
    <xf numFmtId="9" fontId="20" fillId="6" borderId="1" xfId="20" applyFont="1" applyFill="1" applyBorder="1" applyAlignment="1" applyProtection="1">
      <alignment horizontal="center" vertical="center"/>
      <protection locked="0"/>
    </xf>
    <xf numFmtId="179" fontId="20" fillId="0" borderId="0" xfId="319" applyFont="1" applyFill="1" applyAlignment="1" applyProtection="1">
      <alignment vertical="center"/>
      <protection locked="0"/>
    </xf>
    <xf numFmtId="179" fontId="20" fillId="11" borderId="16" xfId="342" applyFont="1" applyFill="1" applyBorder="1" applyAlignment="1" applyProtection="1">
      <alignment vertical="center"/>
      <protection locked="0"/>
    </xf>
    <xf numFmtId="179" fontId="20" fillId="11" borderId="16" xfId="308" applyFont="1" applyFill="1" applyBorder="1" applyAlignment="1" applyProtection="1">
      <alignment horizontal="center" vertical="center" wrapText="1"/>
      <protection locked="0"/>
    </xf>
    <xf numFmtId="179" fontId="1" fillId="11" borderId="16" xfId="342" applyFont="1" applyFill="1" applyBorder="1" applyAlignment="1" applyProtection="1">
      <alignment vertical="center"/>
      <protection locked="0"/>
    </xf>
    <xf numFmtId="179" fontId="20" fillId="11" borderId="19" xfId="342" applyFont="1" applyFill="1" applyBorder="1" applyAlignment="1" applyProtection="1">
      <alignment vertical="center"/>
      <protection locked="0"/>
    </xf>
    <xf numFmtId="179" fontId="20" fillId="11" borderId="19" xfId="308" applyFont="1" applyFill="1" applyBorder="1" applyAlignment="1" applyProtection="1">
      <alignment vertical="center"/>
      <protection locked="0"/>
    </xf>
    <xf numFmtId="179" fontId="1" fillId="6" borderId="1" xfId="321" applyNumberFormat="1" applyFont="1" applyFill="1" applyBorder="1" applyAlignment="1" applyProtection="1">
      <alignment horizontal="center" vertical="center" wrapText="1"/>
      <protection locked="0"/>
    </xf>
    <xf numFmtId="179" fontId="20" fillId="11" borderId="5" xfId="342" applyFont="1" applyFill="1" applyBorder="1" applyAlignment="1" applyProtection="1">
      <alignment horizontal="center" vertical="center" wrapText="1"/>
      <protection locked="0"/>
    </xf>
    <xf numFmtId="179" fontId="20" fillId="11" borderId="7" xfId="342" applyFont="1" applyFill="1" applyBorder="1" applyAlignment="1" applyProtection="1">
      <alignment vertical="center"/>
      <protection locked="0"/>
    </xf>
    <xf numFmtId="179" fontId="18" fillId="6" borderId="1" xfId="308" applyNumberFormat="1" applyFont="1" applyFill="1" applyBorder="1" applyAlignment="1" applyProtection="1">
      <alignment horizontal="left" vertical="center" wrapText="1"/>
      <protection locked="0"/>
    </xf>
    <xf numFmtId="179" fontId="37" fillId="6" borderId="1" xfId="308" applyNumberFormat="1" applyFont="1" applyFill="1" applyBorder="1" applyAlignment="1" applyProtection="1">
      <alignment horizontal="left" vertical="center" wrapText="1"/>
      <protection locked="0"/>
    </xf>
    <xf numFmtId="179" fontId="31" fillId="6" borderId="0" xfId="269" applyFont="1" applyFill="1" applyProtection="1">
      <protection locked="0"/>
    </xf>
    <xf numFmtId="179" fontId="24" fillId="6" borderId="0" xfId="269" applyFont="1" applyFill="1" applyProtection="1">
      <protection locked="0"/>
    </xf>
    <xf numFmtId="43" fontId="20" fillId="0" borderId="0" xfId="15" applyFont="1" applyFill="1" applyBorder="1" applyAlignment="1" applyProtection="1">
      <alignment horizontal="right" vertical="center" shrinkToFit="1"/>
      <protection locked="0"/>
    </xf>
    <xf numFmtId="179" fontId="1" fillId="6" borderId="0" xfId="308" applyFont="1" applyFill="1" applyBorder="1" applyAlignment="1" applyProtection="1">
      <alignment horizontal="center" vertical="center"/>
      <protection locked="0"/>
    </xf>
    <xf numFmtId="43" fontId="20" fillId="11" borderId="0" xfId="15" applyFont="1" applyFill="1" applyBorder="1" applyAlignment="1" applyProtection="1">
      <alignment horizontal="center" vertical="center" shrinkToFit="1"/>
    </xf>
    <xf numFmtId="43" fontId="34" fillId="6" borderId="0" xfId="308" applyNumberFormat="1" applyFont="1" applyFill="1" applyAlignment="1" applyProtection="1">
      <alignment horizontal="left" vertical="center" shrinkToFit="1"/>
      <protection locked="0" hidden="1"/>
    </xf>
    <xf numFmtId="179" fontId="31" fillId="21" borderId="14" xfId="308" applyFont="1" applyFill="1" applyBorder="1" applyAlignment="1" applyProtection="1">
      <alignment vertical="center"/>
      <protection locked="0"/>
    </xf>
    <xf numFmtId="10" fontId="20" fillId="21" borderId="1" xfId="15" applyNumberFormat="1" applyFont="1" applyFill="1" applyBorder="1" applyAlignment="1" applyProtection="1">
      <alignment horizontal="right" vertical="center" shrinkToFit="1"/>
    </xf>
    <xf numFmtId="10" fontId="20" fillId="6" borderId="1" xfId="15" applyNumberFormat="1" applyFont="1" applyFill="1" applyBorder="1" applyAlignment="1" applyProtection="1">
      <alignment horizontal="right" vertical="center" shrinkToFit="1"/>
    </xf>
    <xf numFmtId="10" fontId="20" fillId="6" borderId="1" xfId="321" applyNumberFormat="1" applyFont="1" applyFill="1" applyBorder="1" applyAlignment="1" applyProtection="1">
      <alignment horizontal="center" vertical="center" shrinkToFit="1"/>
    </xf>
    <xf numFmtId="179" fontId="20" fillId="6" borderId="0" xfId="321" applyNumberFormat="1" applyFont="1" applyFill="1" applyBorder="1" applyAlignment="1" applyProtection="1">
      <alignment horizontal="left" vertical="center" wrapText="1"/>
      <protection locked="0"/>
    </xf>
    <xf numFmtId="179" fontId="23" fillId="6" borderId="0" xfId="321" applyNumberFormat="1" applyFont="1" applyFill="1" applyBorder="1" applyAlignment="1" applyProtection="1">
      <alignment horizontal="center" vertical="center" wrapText="1"/>
      <protection locked="0"/>
    </xf>
    <xf numFmtId="43" fontId="20" fillId="0" borderId="0" xfId="15" applyFont="1" applyFill="1" applyBorder="1" applyAlignment="1" applyProtection="1">
      <alignment horizontal="left" vertical="center" wrapText="1"/>
      <protection locked="0"/>
    </xf>
    <xf numFmtId="179" fontId="20" fillId="0" borderId="1" xfId="321" applyFont="1" applyFill="1" applyBorder="1" applyAlignment="1" applyProtection="1">
      <alignment horizontal="left" vertical="center" wrapText="1"/>
      <protection locked="0"/>
    </xf>
    <xf numFmtId="43" fontId="20" fillId="0" borderId="1" xfId="395" applyFont="1" applyFill="1" applyBorder="1" applyAlignment="1" applyProtection="1">
      <alignment horizontal="right" vertical="center" shrinkToFit="1"/>
      <protection locked="0"/>
    </xf>
    <xf numFmtId="43" fontId="20" fillId="0" borderId="1" xfId="15" applyFont="1" applyFill="1" applyBorder="1" applyAlignment="1" applyProtection="1">
      <alignment horizontal="center" vertical="center" wrapText="1"/>
      <protection locked="0"/>
    </xf>
    <xf numFmtId="179" fontId="20" fillId="6" borderId="1" xfId="321" applyFont="1" applyFill="1" applyBorder="1" applyAlignment="1" applyProtection="1">
      <alignment horizontal="center" vertical="center" wrapText="1"/>
      <protection locked="0"/>
    </xf>
    <xf numFmtId="43" fontId="20" fillId="6" borderId="1" xfId="395" applyNumberFormat="1" applyFont="1" applyFill="1" applyBorder="1" applyAlignment="1" applyProtection="1">
      <alignment horizontal="right" vertical="center" shrinkToFit="1"/>
    </xf>
    <xf numFmtId="43" fontId="20" fillId="6" borderId="0" xfId="395" applyNumberFormat="1" applyFont="1" applyFill="1" applyBorder="1" applyAlignment="1" applyProtection="1">
      <alignment horizontal="right" vertical="center" shrinkToFit="1"/>
      <protection locked="0"/>
    </xf>
    <xf numFmtId="179" fontId="1" fillId="6" borderId="0" xfId="321" applyFont="1" applyFill="1" applyAlignment="1" applyProtection="1">
      <alignment vertical="center"/>
      <protection locked="0"/>
    </xf>
    <xf numFmtId="179" fontId="20" fillId="6" borderId="0" xfId="321" applyNumberFormat="1" applyFont="1" applyFill="1" applyAlignment="1" applyProtection="1">
      <alignment vertical="center" wrapText="1"/>
      <protection locked="0"/>
    </xf>
    <xf numFmtId="179" fontId="20" fillId="6" borderId="0" xfId="321" applyFont="1" applyFill="1" applyAlignment="1" applyProtection="1">
      <alignment horizontal="justify" vertical="center"/>
      <protection locked="0"/>
    </xf>
    <xf numFmtId="179" fontId="20" fillId="0" borderId="1" xfId="321" applyNumberFormat="1" applyFont="1" applyFill="1" applyBorder="1" applyAlignment="1" applyProtection="1">
      <alignment horizontal="left" vertical="center" wrapText="1"/>
      <protection locked="0"/>
    </xf>
    <xf numFmtId="179" fontId="20" fillId="0" borderId="1" xfId="321" applyFont="1" applyFill="1" applyBorder="1" applyAlignment="1" applyProtection="1">
      <alignment horizontal="center" vertical="center"/>
      <protection locked="0"/>
    </xf>
    <xf numFmtId="43" fontId="20" fillId="6" borderId="1" xfId="15" applyFont="1" applyFill="1" applyBorder="1" applyAlignment="1" applyProtection="1">
      <alignment horizontal="center" vertical="center"/>
      <protection locked="0"/>
    </xf>
    <xf numFmtId="43" fontId="20" fillId="6" borderId="1" xfId="15" applyFont="1" applyFill="1" applyBorder="1" applyAlignment="1" applyProtection="1">
      <alignment horizontal="center" vertical="center" shrinkToFit="1"/>
      <protection locked="0"/>
    </xf>
    <xf numFmtId="179" fontId="20" fillId="0" borderId="1" xfId="321" applyFont="1" applyFill="1" applyBorder="1" applyAlignment="1" applyProtection="1">
      <alignment vertical="center" wrapText="1"/>
      <protection locked="0"/>
    </xf>
    <xf numFmtId="179" fontId="20" fillId="6" borderId="1" xfId="321" applyFont="1" applyFill="1" applyBorder="1" applyAlignment="1" applyProtection="1">
      <alignment vertical="center" wrapText="1"/>
      <protection locked="0"/>
    </xf>
    <xf numFmtId="179" fontId="20" fillId="6" borderId="0" xfId="321" applyFont="1" applyFill="1" applyBorder="1" applyAlignment="1" applyProtection="1">
      <alignment vertical="center" wrapText="1"/>
      <protection locked="0"/>
    </xf>
    <xf numFmtId="10" fontId="20" fillId="6" borderId="0" xfId="227" applyNumberFormat="1" applyFont="1" applyFill="1" applyAlignment="1" applyProtection="1">
      <alignment vertical="center"/>
      <protection locked="0"/>
    </xf>
    <xf numFmtId="10" fontId="20" fillId="6" borderId="0" xfId="15" applyNumberFormat="1" applyFont="1" applyFill="1" applyBorder="1" applyAlignment="1" applyProtection="1">
      <alignment horizontal="right" vertical="center" shrinkToFit="1"/>
      <protection locked="0"/>
    </xf>
    <xf numFmtId="179" fontId="20" fillId="6" borderId="0" xfId="269" applyFont="1" applyFill="1" applyAlignment="1" applyProtection="1">
      <alignment horizontal="left" indent="2"/>
      <protection locked="0"/>
    </xf>
    <xf numFmtId="10" fontId="1" fillId="6" borderId="0" xfId="15" applyNumberFormat="1" applyFont="1" applyFill="1" applyBorder="1" applyAlignment="1" applyProtection="1">
      <alignment horizontal="center" vertical="center" shrinkToFit="1"/>
      <protection locked="0"/>
    </xf>
    <xf numFmtId="43" fontId="39" fillId="6" borderId="0" xfId="308" applyNumberFormat="1" applyFont="1" applyFill="1" applyAlignment="1" applyProtection="1">
      <alignment horizontal="left" vertical="center" shrinkToFit="1"/>
      <protection locked="0" hidden="1"/>
    </xf>
    <xf numFmtId="179" fontId="36" fillId="6" borderId="0" xfId="269" applyFont="1" applyFill="1" applyAlignment="1" applyProtection="1">
      <alignment horizontal="left" indent="2"/>
      <protection locked="0"/>
    </xf>
    <xf numFmtId="43" fontId="39" fillId="6" borderId="0" xfId="308" applyNumberFormat="1" applyFont="1" applyFill="1" applyAlignment="1" applyProtection="1">
      <alignment horizontal="left" vertical="center" shrinkToFit="1"/>
      <protection locked="0"/>
    </xf>
    <xf numFmtId="179" fontId="1" fillId="11" borderId="1" xfId="308" applyFont="1" applyFill="1" applyBorder="1" applyAlignment="1" applyProtection="1">
      <alignment horizontal="center" vertical="center"/>
      <protection locked="0"/>
    </xf>
    <xf numFmtId="179" fontId="1" fillId="6" borderId="1" xfId="308" applyFont="1" applyFill="1" applyBorder="1" applyAlignment="1" applyProtection="1">
      <alignment horizontal="center" vertical="center" wrapText="1"/>
      <protection locked="0"/>
    </xf>
    <xf numFmtId="179" fontId="20" fillId="0" borderId="1" xfId="269" applyFont="1" applyFill="1" applyBorder="1" applyAlignment="1" applyProtection="1">
      <alignment horizontal="left" indent="2"/>
      <protection locked="0"/>
    </xf>
    <xf numFmtId="43" fontId="39" fillId="6" borderId="0" xfId="321" applyNumberFormat="1" applyFont="1" applyFill="1" applyAlignment="1" applyProtection="1">
      <alignment horizontal="left" vertical="center" shrinkToFit="1"/>
      <protection locked="0" hidden="1"/>
    </xf>
    <xf numFmtId="179" fontId="20" fillId="6" borderId="0" xfId="321" applyNumberFormat="1" applyFont="1" applyFill="1" applyBorder="1" applyAlignment="1" applyProtection="1">
      <alignment horizontal="center" vertical="center" wrapText="1"/>
      <protection locked="0"/>
    </xf>
    <xf numFmtId="10" fontId="20" fillId="6" borderId="0" xfId="321" applyNumberFormat="1" applyFont="1" applyFill="1" applyBorder="1" applyAlignment="1" applyProtection="1">
      <alignment horizontal="center" vertical="center" shrinkToFit="1"/>
      <protection locked="0"/>
    </xf>
    <xf numFmtId="179" fontId="34" fillId="6" borderId="0" xfId="325" applyFont="1" applyFill="1" applyAlignment="1" applyProtection="1">
      <alignment horizontal="left" vertical="center" shrinkToFit="1"/>
      <protection locked="0" hidden="1"/>
    </xf>
    <xf numFmtId="179" fontId="20" fillId="6" borderId="0" xfId="325" applyFont="1" applyFill="1" applyAlignment="1" applyProtection="1">
      <alignment vertical="center"/>
      <protection locked="0"/>
    </xf>
    <xf numFmtId="179" fontId="20" fillId="6" borderId="1" xfId="325" applyNumberFormat="1" applyFont="1" applyFill="1" applyBorder="1" applyAlignment="1" applyProtection="1">
      <alignment horizontal="center" vertical="center" wrapText="1"/>
      <protection locked="0"/>
    </xf>
    <xf numFmtId="43" fontId="20" fillId="6" borderId="1" xfId="15" applyFont="1" applyFill="1" applyBorder="1" applyAlignment="1" applyProtection="1">
      <alignment horizontal="left" vertical="center" wrapText="1"/>
    </xf>
    <xf numFmtId="43" fontId="20" fillId="6" borderId="1" xfId="15" applyFont="1" applyFill="1" applyBorder="1" applyAlignment="1" applyProtection="1">
      <alignment horizontal="left" vertical="center" shrinkToFit="1"/>
      <protection locked="0"/>
    </xf>
    <xf numFmtId="179" fontId="20" fillId="6" borderId="0" xfId="329" applyNumberFormat="1" applyFont="1" applyFill="1" applyBorder="1" applyAlignment="1" applyProtection="1">
      <alignment horizontal="left" vertical="center" wrapText="1"/>
      <protection locked="0"/>
    </xf>
    <xf numFmtId="43" fontId="20" fillId="6" borderId="0" xfId="325" applyNumberFormat="1" applyFont="1" applyFill="1" applyBorder="1" applyAlignment="1" applyProtection="1">
      <alignment horizontal="right" vertical="center" shrinkToFit="1"/>
      <protection locked="0"/>
    </xf>
    <xf numFmtId="43" fontId="20" fillId="6" borderId="0" xfId="15" applyFont="1" applyFill="1" applyBorder="1" applyAlignment="1" applyProtection="1">
      <alignment horizontal="center" vertical="center" shrinkToFit="1"/>
    </xf>
    <xf numFmtId="43" fontId="13" fillId="6" borderId="0" xfId="325" applyNumberFormat="1" applyFont="1" applyFill="1" applyBorder="1" applyAlignment="1" applyProtection="1">
      <alignment horizontal="right" vertical="center" shrinkToFit="1"/>
      <protection locked="0"/>
    </xf>
    <xf numFmtId="179" fontId="20" fillId="6" borderId="1" xfId="329" applyNumberFormat="1" applyFont="1" applyFill="1" applyBorder="1" applyAlignment="1" applyProtection="1">
      <alignment horizontal="left" vertical="center" wrapText="1"/>
    </xf>
    <xf numFmtId="43" fontId="20" fillId="6" borderId="1" xfId="325" applyNumberFormat="1" applyFont="1" applyFill="1" applyBorder="1" applyAlignment="1" applyProtection="1">
      <alignment horizontal="right" vertical="center" shrinkToFit="1"/>
    </xf>
    <xf numFmtId="179" fontId="20" fillId="0" borderId="1" xfId="325" applyNumberFormat="1" applyFont="1" applyFill="1" applyBorder="1" applyAlignment="1" applyProtection="1">
      <alignment horizontal="center" vertical="center" wrapText="1"/>
      <protection locked="0"/>
    </xf>
    <xf numFmtId="43" fontId="20" fillId="0" borderId="1" xfId="325" applyNumberFormat="1" applyFont="1" applyFill="1" applyBorder="1" applyAlignment="1" applyProtection="1">
      <alignment horizontal="right" vertical="center" shrinkToFit="1"/>
    </xf>
    <xf numFmtId="43" fontId="20" fillId="6" borderId="0" xfId="15" applyFont="1" applyFill="1" applyAlignment="1" applyProtection="1">
      <alignment vertical="center"/>
      <protection locked="0"/>
    </xf>
    <xf numFmtId="179" fontId="20" fillId="6" borderId="0" xfId="325" applyFont="1" applyFill="1" applyAlignment="1" applyProtection="1">
      <alignment horizontal="justify" vertical="center"/>
      <protection locked="0"/>
    </xf>
    <xf numFmtId="179" fontId="1" fillId="6" borderId="0" xfId="325" applyNumberFormat="1" applyFont="1" applyFill="1" applyBorder="1" applyAlignment="1" applyProtection="1">
      <alignment horizontal="center" vertical="center" wrapText="1"/>
      <protection locked="0"/>
    </xf>
    <xf numFmtId="43" fontId="34" fillId="6" borderId="0" xfId="325" applyNumberFormat="1" applyFont="1" applyFill="1" applyAlignment="1" applyProtection="1">
      <alignment horizontal="left" vertical="center" shrinkToFit="1"/>
      <protection locked="0" hidden="1"/>
    </xf>
    <xf numFmtId="179" fontId="20" fillId="6" borderId="1" xfId="269" applyFont="1" applyFill="1" applyBorder="1" applyAlignment="1" applyProtection="1">
      <alignment horizontal="left" wrapText="1"/>
    </xf>
    <xf numFmtId="179" fontId="13" fillId="0" borderId="1" xfId="269" applyFont="1" applyFill="1" applyBorder="1" applyAlignment="1" applyProtection="1">
      <alignment horizontal="center" wrapText="1"/>
      <protection locked="0"/>
    </xf>
    <xf numFmtId="179" fontId="13" fillId="0" borderId="1" xfId="269" applyFont="1" applyFill="1" applyBorder="1" applyAlignment="1" applyProtection="1">
      <alignment wrapText="1"/>
      <protection locked="0"/>
    </xf>
    <xf numFmtId="179" fontId="20" fillId="6" borderId="1" xfId="269" applyFont="1" applyFill="1" applyBorder="1" applyAlignment="1" applyProtection="1">
      <alignment horizontal="left"/>
    </xf>
    <xf numFmtId="43" fontId="20" fillId="0" borderId="1" xfId="325" applyNumberFormat="1" applyFont="1" applyFill="1" applyBorder="1" applyAlignment="1" applyProtection="1">
      <alignment horizontal="right" vertical="center" shrinkToFit="1"/>
      <protection locked="0"/>
    </xf>
    <xf numFmtId="179" fontId="20" fillId="0" borderId="1" xfId="325" applyFont="1" applyFill="1" applyBorder="1" applyAlignment="1" applyProtection="1">
      <alignment vertical="center"/>
      <protection locked="0"/>
    </xf>
    <xf numFmtId="43" fontId="20" fillId="6" borderId="1" xfId="15" applyFont="1" applyFill="1" applyBorder="1" applyAlignment="1" applyProtection="1">
      <alignment horizontal="left"/>
    </xf>
    <xf numFmtId="43" fontId="20" fillId="0" borderId="0" xfId="325" applyNumberFormat="1" applyFont="1" applyFill="1" applyBorder="1" applyAlignment="1" applyProtection="1">
      <alignment horizontal="right" vertical="center" shrinkToFit="1"/>
      <protection locked="0"/>
    </xf>
    <xf numFmtId="179" fontId="20" fillId="0" borderId="0" xfId="325" applyFont="1" applyFill="1" applyAlignment="1" applyProtection="1">
      <alignment vertical="center"/>
      <protection locked="0"/>
    </xf>
    <xf numFmtId="179" fontId="20" fillId="6" borderId="0" xfId="325" applyNumberFormat="1" applyFont="1" applyFill="1" applyBorder="1" applyAlignment="1" applyProtection="1">
      <alignment horizontal="center" vertical="center" wrapText="1"/>
      <protection locked="0"/>
    </xf>
    <xf numFmtId="43" fontId="25" fillId="6" borderId="0" xfId="325" applyNumberFormat="1" applyFont="1" applyFill="1" applyBorder="1" applyAlignment="1" applyProtection="1">
      <alignment horizontal="right" vertical="center" shrinkToFit="1"/>
      <protection locked="0"/>
    </xf>
    <xf numFmtId="43" fontId="20" fillId="6" borderId="1" xfId="15" applyFont="1" applyFill="1" applyBorder="1" applyAlignment="1" applyProtection="1">
      <alignment horizontal="center" vertical="center" shrinkToFit="1"/>
    </xf>
    <xf numFmtId="179" fontId="20" fillId="6" borderId="0" xfId="322" applyNumberFormat="1" applyFont="1" applyFill="1" applyBorder="1" applyAlignment="1" applyProtection="1">
      <alignment horizontal="left" vertical="center" wrapText="1"/>
      <protection locked="0"/>
    </xf>
    <xf numFmtId="43" fontId="39" fillId="6" borderId="0" xfId="325" applyNumberFormat="1" applyFont="1" applyFill="1" applyAlignment="1" applyProtection="1">
      <alignment horizontal="left" vertical="center" shrinkToFit="1"/>
      <protection locked="0" hidden="1"/>
    </xf>
    <xf numFmtId="179" fontId="34" fillId="6" borderId="0" xfId="297" applyFont="1" applyFill="1" applyAlignment="1" applyProtection="1">
      <alignment horizontal="left" vertical="center" shrinkToFit="1"/>
      <protection locked="0" hidden="1"/>
    </xf>
    <xf numFmtId="179" fontId="20" fillId="6" borderId="0" xfId="297" applyFont="1" applyFill="1" applyAlignment="1" applyProtection="1">
      <alignment horizontal="left" vertical="center"/>
      <protection locked="0"/>
    </xf>
    <xf numFmtId="179" fontId="20" fillId="6" borderId="1" xfId="297" applyNumberFormat="1" applyFont="1" applyFill="1" applyBorder="1" applyAlignment="1" applyProtection="1">
      <alignment horizontal="center" vertical="center" wrapText="1"/>
      <protection locked="0"/>
    </xf>
    <xf numFmtId="179" fontId="1" fillId="6" borderId="1" xfId="297" applyNumberFormat="1" applyFont="1" applyFill="1" applyBorder="1" applyAlignment="1" applyProtection="1">
      <alignment horizontal="center" vertical="center" wrapText="1"/>
      <protection locked="0"/>
    </xf>
    <xf numFmtId="179" fontId="20" fillId="6" borderId="0" xfId="297" applyFont="1" applyFill="1" applyAlignment="1" applyProtection="1">
      <alignment horizontal="left" vertical="center" shrinkToFit="1"/>
      <protection locked="0"/>
    </xf>
    <xf numFmtId="179" fontId="20" fillId="6" borderId="1" xfId="297" applyNumberFormat="1" applyFont="1" applyFill="1" applyBorder="1" applyAlignment="1" applyProtection="1">
      <alignment horizontal="left" vertical="center" wrapText="1"/>
      <protection locked="0"/>
    </xf>
    <xf numFmtId="43" fontId="20" fillId="6" borderId="1" xfId="297" applyNumberFormat="1" applyFont="1" applyFill="1" applyBorder="1" applyAlignment="1" applyProtection="1">
      <alignment horizontal="right" vertical="center" shrinkToFit="1"/>
    </xf>
    <xf numFmtId="43" fontId="20" fillId="6" borderId="0" xfId="297" applyNumberFormat="1" applyFont="1" applyFill="1" applyBorder="1" applyAlignment="1" applyProtection="1">
      <alignment horizontal="right" vertical="center" shrinkToFit="1"/>
    </xf>
    <xf numFmtId="43" fontId="20" fillId="6" borderId="0" xfId="297" applyNumberFormat="1" applyFont="1" applyFill="1" applyBorder="1" applyAlignment="1" applyProtection="1">
      <alignment horizontal="right" vertical="center" shrinkToFit="1"/>
      <protection locked="0"/>
    </xf>
    <xf numFmtId="43" fontId="20" fillId="0" borderId="0" xfId="297" applyNumberFormat="1" applyFont="1" applyFill="1" applyBorder="1" applyAlignment="1" applyProtection="1">
      <alignment horizontal="right" vertical="center" shrinkToFit="1"/>
      <protection locked="0"/>
    </xf>
    <xf numFmtId="179" fontId="39" fillId="6" borderId="0" xfId="297" applyFont="1" applyFill="1" applyAlignment="1" applyProtection="1">
      <alignment horizontal="left" vertical="center" shrinkToFit="1"/>
      <protection locked="0" hidden="1"/>
    </xf>
    <xf numFmtId="179" fontId="20" fillId="6" borderId="2" xfId="297" applyNumberFormat="1" applyFont="1" applyFill="1" applyBorder="1" applyAlignment="1" applyProtection="1">
      <alignment vertical="center" wrapText="1"/>
      <protection locked="0"/>
    </xf>
    <xf numFmtId="179" fontId="20" fillId="6" borderId="0" xfId="297" applyFont="1" applyFill="1" applyAlignment="1" applyProtection="1">
      <alignment vertical="center"/>
      <protection locked="0"/>
    </xf>
    <xf numFmtId="179" fontId="20" fillId="0" borderId="1" xfId="297" applyFont="1" applyFill="1" applyBorder="1" applyAlignment="1" applyProtection="1">
      <alignment vertical="center" shrinkToFit="1"/>
      <protection locked="0"/>
    </xf>
    <xf numFmtId="179" fontId="20" fillId="0" borderId="1" xfId="297" applyNumberFormat="1" applyFont="1" applyFill="1" applyBorder="1" applyAlignment="1" applyProtection="1">
      <alignment horizontal="center" vertical="center" wrapText="1"/>
      <protection locked="0"/>
    </xf>
    <xf numFmtId="43" fontId="20" fillId="0" borderId="1" xfId="297" applyNumberFormat="1" applyFont="1" applyFill="1" applyBorder="1" applyAlignment="1" applyProtection="1">
      <alignment horizontal="right" vertical="center" shrinkToFit="1"/>
      <protection locked="0"/>
    </xf>
    <xf numFmtId="179" fontId="20" fillId="0" borderId="1" xfId="297" applyNumberFormat="1" applyFont="1" applyFill="1" applyBorder="1" applyAlignment="1" applyProtection="1">
      <alignment horizontal="left" vertical="center" wrapText="1"/>
      <protection locked="0"/>
    </xf>
    <xf numFmtId="43" fontId="20" fillId="0" borderId="1" xfId="395" applyNumberFormat="1" applyFont="1" applyFill="1" applyBorder="1" applyAlignment="1" applyProtection="1">
      <alignment horizontal="right" vertical="center" shrinkToFit="1"/>
      <protection locked="0"/>
    </xf>
    <xf numFmtId="194" fontId="20" fillId="0" borderId="1" xfId="297" applyNumberFormat="1" applyFont="1" applyFill="1" applyBorder="1" applyAlignment="1" applyProtection="1">
      <alignment horizontal="center" vertical="center" shrinkToFit="1"/>
      <protection locked="0"/>
    </xf>
    <xf numFmtId="179" fontId="20" fillId="6" borderId="0" xfId="297" applyNumberFormat="1" applyFont="1" applyFill="1" applyBorder="1" applyAlignment="1" applyProtection="1">
      <alignment horizontal="center" vertical="center" wrapText="1"/>
      <protection locked="0"/>
    </xf>
    <xf numFmtId="43" fontId="34" fillId="6" borderId="0" xfId="297" applyNumberFormat="1" applyFont="1" applyFill="1" applyAlignment="1" applyProtection="1">
      <alignment horizontal="left" vertical="center" shrinkToFit="1"/>
      <protection locked="0" hidden="1"/>
    </xf>
    <xf numFmtId="43" fontId="1" fillId="6" borderId="1" xfId="15" applyFont="1" applyFill="1" applyBorder="1" applyAlignment="1" applyProtection="1">
      <alignment horizontal="center" vertical="center" shrinkToFit="1"/>
      <protection locked="0"/>
    </xf>
    <xf numFmtId="43" fontId="20" fillId="6" borderId="1" xfId="297" applyNumberFormat="1" applyFont="1" applyFill="1" applyBorder="1" applyAlignment="1" applyProtection="1">
      <alignment horizontal="right" vertical="center" shrinkToFit="1"/>
      <protection locked="0"/>
    </xf>
    <xf numFmtId="179" fontId="25" fillId="6" borderId="0" xfId="269" applyFont="1" applyFill="1" applyAlignment="1" applyProtection="1">
      <protection locked="0"/>
    </xf>
    <xf numFmtId="179" fontId="34" fillId="6" borderId="0" xfId="298" applyFont="1" applyFill="1" applyBorder="1" applyAlignment="1" applyProtection="1">
      <alignment horizontal="left" vertical="center" shrinkToFit="1"/>
      <protection locked="0" hidden="1"/>
    </xf>
    <xf numFmtId="179" fontId="20" fillId="6" borderId="0" xfId="298" applyFont="1" applyFill="1" applyAlignment="1" applyProtection="1">
      <alignment vertical="center"/>
      <protection locked="0"/>
    </xf>
    <xf numFmtId="179" fontId="20" fillId="6" borderId="1" xfId="298" applyFont="1" applyFill="1" applyBorder="1" applyAlignment="1" applyProtection="1">
      <alignment horizontal="center" vertical="center" wrapText="1"/>
      <protection locked="0"/>
    </xf>
    <xf numFmtId="179" fontId="20" fillId="6" borderId="1" xfId="298" applyNumberFormat="1" applyFont="1" applyFill="1" applyBorder="1" applyAlignment="1" applyProtection="1">
      <alignment horizontal="center" vertical="center" wrapText="1"/>
      <protection locked="0"/>
    </xf>
    <xf numFmtId="179" fontId="20" fillId="6" borderId="1" xfId="298" applyNumberFormat="1" applyFont="1" applyFill="1" applyBorder="1" applyAlignment="1" applyProtection="1">
      <alignment horizontal="left" vertical="center" wrapText="1"/>
      <protection locked="0"/>
    </xf>
    <xf numFmtId="179" fontId="20" fillId="6" borderId="4" xfId="322" applyNumberFormat="1" applyFont="1" applyFill="1" applyBorder="1" applyAlignment="1" applyProtection="1">
      <alignment vertical="center" wrapText="1"/>
      <protection locked="0"/>
    </xf>
    <xf numFmtId="43" fontId="20" fillId="6" borderId="0" xfId="322" applyNumberFormat="1" applyFont="1" applyFill="1" applyBorder="1" applyAlignment="1" applyProtection="1">
      <alignment vertical="center" wrapText="1"/>
    </xf>
    <xf numFmtId="179" fontId="20" fillId="6" borderId="0" xfId="322" applyNumberFormat="1" applyFont="1" applyFill="1" applyBorder="1" applyAlignment="1" applyProtection="1">
      <alignment vertical="center" wrapText="1"/>
      <protection locked="0"/>
    </xf>
    <xf numFmtId="179" fontId="20" fillId="6" borderId="0" xfId="298" applyNumberFormat="1" applyFont="1" applyFill="1" applyBorder="1" applyAlignment="1" applyProtection="1">
      <alignment horizontal="center" vertical="center" wrapText="1"/>
      <protection locked="0"/>
    </xf>
    <xf numFmtId="43" fontId="20" fillId="6" borderId="0" xfId="15" applyFont="1" applyFill="1" applyAlignment="1" applyProtection="1">
      <alignment horizontal="left" vertical="center" shrinkToFit="1"/>
      <protection locked="0"/>
    </xf>
    <xf numFmtId="179" fontId="20" fillId="6" borderId="0" xfId="297" applyFont="1" applyFill="1" applyAlignment="1" applyProtection="1">
      <alignment vertical="center" shrinkToFit="1"/>
      <protection locked="0"/>
    </xf>
    <xf numFmtId="176" fontId="20" fillId="0" borderId="1" xfId="297" applyNumberFormat="1" applyFont="1" applyFill="1" applyBorder="1" applyAlignment="1" applyProtection="1">
      <alignment horizontal="center" vertical="center" shrinkToFit="1"/>
      <protection locked="0"/>
    </xf>
    <xf numFmtId="179" fontId="13" fillId="6" borderId="1" xfId="269" applyFont="1" applyFill="1" applyBorder="1" applyAlignment="1" applyProtection="1">
      <alignment horizontal="left" wrapText="1"/>
      <protection locked="0"/>
    </xf>
    <xf numFmtId="179" fontId="13" fillId="6" borderId="1" xfId="269" applyFont="1" applyFill="1" applyBorder="1" applyAlignment="1" applyProtection="1">
      <alignment wrapText="1"/>
      <protection locked="0"/>
    </xf>
    <xf numFmtId="179" fontId="20" fillId="6" borderId="1" xfId="344" applyFont="1" applyFill="1" applyBorder="1" applyAlignment="1" applyProtection="1">
      <alignment vertical="center"/>
      <protection locked="0"/>
    </xf>
    <xf numFmtId="179" fontId="25" fillId="0" borderId="0" xfId="269" applyFont="1" applyFill="1" applyAlignment="1" applyProtection="1">
      <protection locked="0"/>
    </xf>
    <xf numFmtId="179" fontId="20" fillId="0" borderId="0" xfId="344" applyFont="1" applyFill="1" applyAlignment="1" applyProtection="1">
      <alignment vertical="center"/>
      <protection locked="0"/>
    </xf>
    <xf numFmtId="179" fontId="20" fillId="6" borderId="0" xfId="299" applyFont="1" applyFill="1" applyBorder="1" applyAlignment="1" applyProtection="1">
      <alignment horizontal="left" vertical="center"/>
      <protection locked="0"/>
    </xf>
    <xf numFmtId="179" fontId="20" fillId="6" borderId="1" xfId="299" applyFont="1" applyFill="1" applyBorder="1" applyAlignment="1" applyProtection="1">
      <alignment horizontal="center" vertical="center" wrapText="1"/>
      <protection locked="0"/>
    </xf>
    <xf numFmtId="179" fontId="18" fillId="6" borderId="1" xfId="299" applyFont="1" applyFill="1" applyBorder="1" applyAlignment="1" applyProtection="1">
      <alignment horizontal="center" vertical="center" wrapText="1"/>
      <protection locked="0"/>
    </xf>
    <xf numFmtId="179" fontId="20" fillId="0" borderId="1" xfId="299" applyFont="1" applyFill="1" applyBorder="1" applyAlignment="1" applyProtection="1">
      <alignment horizontal="justify" vertical="center" wrapText="1"/>
      <protection locked="0"/>
    </xf>
    <xf numFmtId="43" fontId="20" fillId="0" borderId="1" xfId="15" applyFont="1" applyFill="1" applyBorder="1" applyAlignment="1" applyProtection="1">
      <alignment horizontal="right" vertical="center" wrapText="1"/>
      <protection locked="0"/>
    </xf>
    <xf numFmtId="43" fontId="20" fillId="6" borderId="0" xfId="299" applyNumberFormat="1" applyFont="1" applyFill="1" applyBorder="1" applyAlignment="1" applyProtection="1">
      <alignment horizontal="right" vertical="center" shrinkToFit="1"/>
      <protection locked="0"/>
    </xf>
    <xf numFmtId="43" fontId="20" fillId="6" borderId="0" xfId="299" applyNumberFormat="1" applyFont="1" applyFill="1" applyBorder="1" applyAlignment="1" applyProtection="1">
      <alignment horizontal="right" vertical="center" shrinkToFit="1"/>
    </xf>
    <xf numFmtId="179" fontId="20" fillId="6" borderId="0" xfId="299" applyFont="1" applyFill="1" applyBorder="1" applyAlignment="1" applyProtection="1">
      <alignment horizontal="center" vertical="center" wrapText="1"/>
      <protection locked="0"/>
    </xf>
    <xf numFmtId="179" fontId="20" fillId="6" borderId="0" xfId="299" applyFont="1" applyFill="1" applyAlignment="1" applyProtection="1">
      <alignment horizontal="justify" vertical="center"/>
      <protection locked="0"/>
    </xf>
    <xf numFmtId="179" fontId="20" fillId="6" borderId="0" xfId="299" applyFont="1" applyFill="1" applyAlignment="1" applyProtection="1">
      <alignment vertical="center"/>
      <protection locked="0"/>
    </xf>
    <xf numFmtId="179" fontId="34" fillId="6" borderId="0" xfId="299" applyFont="1" applyFill="1" applyAlignment="1" applyProtection="1">
      <alignment horizontal="left" vertical="center" shrinkToFit="1"/>
      <protection locked="0" hidden="1"/>
    </xf>
    <xf numFmtId="179" fontId="20" fillId="6" borderId="0" xfId="299" applyFont="1" applyFill="1" applyAlignment="1" applyProtection="1">
      <alignment horizontal="left" vertical="center"/>
      <protection locked="0"/>
    </xf>
    <xf numFmtId="201" fontId="20" fillId="0" borderId="1" xfId="299" applyNumberFormat="1" applyFont="1" applyFill="1" applyBorder="1" applyAlignment="1" applyProtection="1">
      <alignment horizontal="right" vertical="center" wrapText="1"/>
      <protection locked="0"/>
    </xf>
    <xf numFmtId="179" fontId="20" fillId="0" borderId="1" xfId="299" applyFont="1" applyFill="1" applyBorder="1" applyAlignment="1" applyProtection="1">
      <alignment horizontal="right" vertical="center" wrapText="1"/>
      <protection locked="0"/>
    </xf>
    <xf numFmtId="43" fontId="20" fillId="10" borderId="1" xfId="15" applyFont="1" applyFill="1" applyBorder="1" applyAlignment="1" applyProtection="1">
      <alignment horizontal="right" vertical="center" wrapText="1"/>
    </xf>
    <xf numFmtId="179" fontId="20" fillId="0" borderId="1" xfId="299" applyFont="1" applyFill="1" applyBorder="1" applyAlignment="1" applyProtection="1">
      <alignment horizontal="center" vertical="center" wrapText="1"/>
      <protection locked="0"/>
    </xf>
    <xf numFmtId="179" fontId="20" fillId="0" borderId="1" xfId="299" applyFont="1" applyFill="1" applyBorder="1" applyAlignment="1" applyProtection="1">
      <alignment vertical="center"/>
      <protection locked="0"/>
    </xf>
    <xf numFmtId="179" fontId="20" fillId="0" borderId="1" xfId="344" applyFont="1" applyFill="1" applyBorder="1" applyAlignment="1" applyProtection="1">
      <alignment vertical="center"/>
      <protection locked="0"/>
    </xf>
    <xf numFmtId="201" fontId="20" fillId="0" borderId="1" xfId="299" applyNumberFormat="1" applyFont="1" applyFill="1" applyBorder="1" applyAlignment="1" applyProtection="1">
      <alignment horizontal="center" vertical="center" wrapText="1"/>
      <protection locked="0"/>
    </xf>
    <xf numFmtId="179" fontId="34" fillId="6" borderId="0" xfId="136" applyFont="1" applyFill="1" applyAlignment="1" applyProtection="1">
      <alignment horizontal="left" vertical="center" shrinkToFit="1"/>
      <protection locked="0" hidden="1"/>
    </xf>
    <xf numFmtId="179" fontId="14" fillId="22" borderId="0" xfId="17" applyFont="1" applyFill="1" applyAlignment="1" applyProtection="1">
      <alignment horizontal="left" vertical="center"/>
      <protection locked="0"/>
    </xf>
    <xf numFmtId="179" fontId="20" fillId="6" borderId="0" xfId="136" applyFont="1" applyFill="1" applyAlignment="1" applyProtection="1">
      <alignment vertical="center"/>
      <protection locked="0"/>
    </xf>
    <xf numFmtId="179" fontId="13" fillId="6" borderId="0" xfId="136" applyFont="1" applyFill="1" applyAlignment="1" applyProtection="1">
      <alignment horizontal="justify" vertical="center"/>
      <protection locked="0"/>
    </xf>
    <xf numFmtId="179" fontId="20" fillId="6" borderId="1" xfId="136" applyNumberFormat="1" applyFont="1" applyFill="1" applyBorder="1" applyAlignment="1" applyProtection="1">
      <alignment horizontal="center" vertical="center" wrapText="1"/>
      <protection locked="0"/>
    </xf>
    <xf numFmtId="179" fontId="20" fillId="6" borderId="1" xfId="136" applyNumberFormat="1" applyFont="1" applyFill="1" applyBorder="1" applyAlignment="1" applyProtection="1">
      <alignment horizontal="left" vertical="center" wrapText="1"/>
      <protection locked="0"/>
    </xf>
    <xf numFmtId="43" fontId="20" fillId="12" borderId="1" xfId="15" applyFont="1" applyFill="1" applyBorder="1" applyAlignment="1" applyProtection="1">
      <alignment horizontal="right" vertical="center" shrinkToFit="1"/>
    </xf>
    <xf numFmtId="179" fontId="20" fillId="6" borderId="0" xfId="136" applyNumberFormat="1" applyFont="1" applyFill="1" applyAlignment="1" applyProtection="1">
      <alignment horizontal="left" vertical="center" wrapText="1"/>
      <protection locked="0"/>
    </xf>
    <xf numFmtId="43" fontId="20" fillId="6" borderId="1" xfId="15" applyFont="1" applyFill="1" applyBorder="1" applyAlignment="1" applyProtection="1">
      <alignment horizontal="center" wrapText="1"/>
    </xf>
    <xf numFmtId="43" fontId="20" fillId="10" borderId="1" xfId="136" applyNumberFormat="1" applyFont="1" applyFill="1" applyBorder="1" applyAlignment="1" applyProtection="1">
      <alignment vertical="center"/>
    </xf>
    <xf numFmtId="43" fontId="20" fillId="0" borderId="1" xfId="136" applyNumberFormat="1" applyFont="1" applyFill="1" applyBorder="1" applyAlignment="1" applyProtection="1">
      <alignment vertical="center"/>
      <protection locked="0"/>
    </xf>
    <xf numFmtId="43" fontId="20" fillId="10" borderId="1" xfId="15" applyFont="1" applyFill="1" applyBorder="1" applyAlignment="1" applyProtection="1">
      <alignment horizontal="center" wrapText="1"/>
    </xf>
    <xf numFmtId="43" fontId="20" fillId="6" borderId="1" xfId="136" applyNumberFormat="1" applyFont="1" applyFill="1" applyBorder="1" applyAlignment="1" applyProtection="1">
      <alignment vertical="center"/>
    </xf>
    <xf numFmtId="179" fontId="20" fillId="0" borderId="0" xfId="123" applyFont="1" applyFill="1" applyAlignment="1" applyProtection="1">
      <alignment vertical="center"/>
      <protection locked="0"/>
    </xf>
    <xf numFmtId="43" fontId="34" fillId="6" borderId="0" xfId="136" applyNumberFormat="1" applyFont="1" applyFill="1" applyAlignment="1" applyProtection="1">
      <alignment horizontal="left" vertical="center" shrinkToFit="1"/>
      <protection locked="0" hidden="1"/>
    </xf>
    <xf numFmtId="179" fontId="20" fillId="6" borderId="2" xfId="136" applyFont="1" applyFill="1" applyBorder="1" applyAlignment="1" applyProtection="1">
      <alignment horizontal="center" vertical="center" wrapText="1"/>
      <protection locked="0"/>
    </xf>
    <xf numFmtId="43" fontId="20" fillId="6" borderId="2" xfId="136" applyNumberFormat="1" applyFont="1" applyFill="1" applyBorder="1" applyAlignment="1" applyProtection="1">
      <alignment horizontal="right" vertical="center" wrapText="1"/>
      <protection locked="0"/>
    </xf>
    <xf numFmtId="43" fontId="33" fillId="6" borderId="0" xfId="301" applyNumberFormat="1" applyFont="1" applyFill="1" applyAlignment="1" applyProtection="1">
      <alignment horizontal="left" vertical="center" shrinkToFit="1"/>
      <protection locked="0" hidden="1"/>
    </xf>
    <xf numFmtId="179" fontId="34" fillId="6" borderId="0" xfId="301" applyFont="1" applyFill="1" applyAlignment="1" applyProtection="1">
      <alignment horizontal="left" vertical="center" shrinkToFit="1"/>
      <protection locked="0" hidden="1"/>
    </xf>
    <xf numFmtId="179" fontId="14" fillId="22" borderId="0" xfId="17" applyFont="1" applyFill="1" applyAlignment="1" applyProtection="1">
      <alignment horizontal="center" vertical="center"/>
      <protection locked="0"/>
    </xf>
    <xf numFmtId="179" fontId="14" fillId="6" borderId="0" xfId="17" applyFont="1" applyFill="1" applyAlignment="1" applyProtection="1">
      <alignment horizontal="center" vertical="center"/>
      <protection locked="0"/>
    </xf>
    <xf numFmtId="43" fontId="13" fillId="6" borderId="0" xfId="269" applyNumberFormat="1" applyFont="1" applyFill="1" applyAlignment="1" applyProtection="1">
      <alignment vertical="center"/>
      <protection locked="0"/>
    </xf>
    <xf numFmtId="179" fontId="20" fillId="6" borderId="1" xfId="301" applyNumberFormat="1" applyFont="1" applyFill="1" applyBorder="1" applyAlignment="1" applyProtection="1">
      <alignment horizontal="center" vertical="center" wrapText="1"/>
      <protection locked="0"/>
    </xf>
    <xf numFmtId="179" fontId="20" fillId="6" borderId="14" xfId="301" applyNumberFormat="1" applyFont="1" applyFill="1" applyBorder="1" applyAlignment="1" applyProtection="1">
      <alignment horizontal="center" vertical="center" wrapText="1"/>
      <protection locked="0"/>
    </xf>
    <xf numFmtId="179" fontId="20" fillId="6" borderId="20" xfId="301" applyNumberFormat="1" applyFont="1" applyFill="1" applyBorder="1" applyAlignment="1" applyProtection="1">
      <alignment horizontal="center" vertical="center" wrapText="1"/>
      <protection locked="0"/>
    </xf>
    <xf numFmtId="179" fontId="20" fillId="6" borderId="1" xfId="301" applyNumberFormat="1" applyFont="1" applyFill="1" applyBorder="1" applyAlignment="1" applyProtection="1">
      <alignment horizontal="left" vertical="center" wrapText="1"/>
      <protection locked="0"/>
    </xf>
    <xf numFmtId="179" fontId="20" fillId="6" borderId="1" xfId="301" applyNumberFormat="1" applyFont="1" applyFill="1" applyBorder="1" applyAlignment="1" applyProtection="1">
      <alignment horizontal="left" vertical="center" wrapText="1"/>
    </xf>
    <xf numFmtId="43" fontId="37" fillId="6" borderId="1" xfId="15" applyFont="1" applyFill="1" applyBorder="1" applyAlignment="1" applyProtection="1">
      <alignment horizontal="center" vertical="center" shrinkToFit="1"/>
      <protection locked="0"/>
    </xf>
    <xf numFmtId="43" fontId="37" fillId="10" borderId="1" xfId="15" applyFont="1" applyFill="1" applyBorder="1" applyAlignment="1" applyProtection="1">
      <alignment horizontal="center" vertical="center" shrinkToFit="1"/>
      <protection locked="0"/>
    </xf>
    <xf numFmtId="31" fontId="20" fillId="6" borderId="0" xfId="136" applyNumberFormat="1" applyFont="1" applyFill="1" applyAlignment="1" applyProtection="1">
      <alignment vertical="center"/>
      <protection locked="0"/>
    </xf>
    <xf numFmtId="179" fontId="1" fillId="6" borderId="0" xfId="123" applyFont="1" applyFill="1" applyAlignment="1" applyProtection="1">
      <alignment vertical="center"/>
      <protection locked="0"/>
    </xf>
    <xf numFmtId="43" fontId="20" fillId="6" borderId="1" xfId="269" applyNumberFormat="1" applyFont="1" applyFill="1" applyBorder="1" applyAlignment="1" applyProtection="1">
      <alignment horizontal="center" wrapText="1"/>
    </xf>
    <xf numFmtId="43" fontId="20" fillId="0" borderId="1" xfId="123" applyNumberFormat="1" applyFont="1" applyFill="1" applyBorder="1" applyAlignment="1" applyProtection="1">
      <alignment vertical="center"/>
      <protection locked="0"/>
    </xf>
    <xf numFmtId="43" fontId="20" fillId="6" borderId="1" xfId="123" applyNumberFormat="1" applyFont="1" applyFill="1" applyBorder="1" applyAlignment="1" applyProtection="1">
      <alignment vertical="center"/>
    </xf>
    <xf numFmtId="179" fontId="20" fillId="0" borderId="1" xfId="301" applyNumberFormat="1" applyFont="1" applyFill="1" applyBorder="1" applyAlignment="1" applyProtection="1">
      <alignment horizontal="center" vertical="center" wrapText="1"/>
      <protection locked="0"/>
    </xf>
    <xf numFmtId="179" fontId="36" fillId="6" borderId="0" xfId="269" applyFont="1" applyFill="1" applyAlignment="1" applyProtection="1">
      <protection locked="0"/>
    </xf>
    <xf numFmtId="179" fontId="20" fillId="6" borderId="2" xfId="301" applyNumberFormat="1" applyFont="1" applyFill="1" applyBorder="1" applyAlignment="1" applyProtection="1">
      <alignment vertical="center" wrapText="1"/>
      <protection locked="0"/>
    </xf>
    <xf numFmtId="179" fontId="20" fillId="6" borderId="1" xfId="301" applyNumberFormat="1" applyFont="1" applyFill="1" applyBorder="1" applyAlignment="1" applyProtection="1">
      <alignment horizontal="center" vertical="center" wrapText="1"/>
    </xf>
    <xf numFmtId="179" fontId="20" fillId="6" borderId="0" xfId="301" applyNumberFormat="1" applyFont="1" applyFill="1" applyBorder="1" applyAlignment="1" applyProtection="1">
      <alignment vertical="center" wrapText="1"/>
      <protection locked="0"/>
    </xf>
    <xf numFmtId="179" fontId="20" fillId="6" borderId="0" xfId="301" applyFont="1" applyFill="1" applyAlignment="1" applyProtection="1">
      <alignment vertical="center"/>
      <protection locked="0"/>
    </xf>
    <xf numFmtId="179" fontId="20" fillId="6" borderId="0" xfId="301" applyNumberFormat="1" applyFont="1" applyFill="1" applyBorder="1" applyAlignment="1" applyProtection="1">
      <alignment horizontal="left" vertical="center" wrapText="1"/>
      <protection locked="0"/>
    </xf>
    <xf numFmtId="43" fontId="34" fillId="6" borderId="0" xfId="301" applyNumberFormat="1" applyFont="1" applyFill="1" applyAlignment="1" applyProtection="1">
      <alignment horizontal="left" vertical="center" shrinkToFit="1"/>
      <protection locked="0" hidden="1"/>
    </xf>
    <xf numFmtId="179" fontId="20" fillId="6" borderId="0" xfId="301" applyNumberFormat="1" applyFont="1" applyFill="1" applyBorder="1" applyAlignment="1" applyProtection="1">
      <alignment horizontal="center" vertical="center" wrapText="1"/>
      <protection locked="0"/>
    </xf>
    <xf numFmtId="43" fontId="20" fillId="6" borderId="0" xfId="15" applyFont="1" applyFill="1" applyBorder="1" applyAlignment="1" applyProtection="1">
      <alignment horizontal="center" vertical="center" wrapText="1"/>
      <protection locked="0"/>
    </xf>
    <xf numFmtId="43" fontId="20" fillId="0" borderId="1" xfId="15" applyFont="1" applyFill="1" applyBorder="1" applyAlignment="1" applyProtection="1">
      <alignment horizontal="left" vertical="center"/>
      <protection locked="0"/>
    </xf>
    <xf numFmtId="43" fontId="7" fillId="4" borderId="1" xfId="15" applyFont="1" applyFill="1" applyBorder="1" applyAlignment="1" applyProtection="1">
      <alignment vertical="center"/>
      <protection locked="0"/>
    </xf>
    <xf numFmtId="43" fontId="25" fillId="6" borderId="0" xfId="15" applyFont="1" applyFill="1" applyBorder="1" applyAlignment="1" applyProtection="1">
      <alignment horizontal="right" vertical="center" shrinkToFit="1"/>
      <protection locked="0"/>
    </xf>
    <xf numFmtId="43" fontId="20" fillId="4" borderId="1" xfId="15" applyFont="1" applyFill="1" applyBorder="1" applyAlignment="1" applyProtection="1">
      <alignment horizontal="right" vertical="center" shrinkToFit="1"/>
      <protection locked="0"/>
    </xf>
    <xf numFmtId="179" fontId="20" fillId="0" borderId="1" xfId="301" applyNumberFormat="1" applyFont="1" applyFill="1" applyBorder="1" applyAlignment="1" applyProtection="1">
      <alignment horizontal="left" vertical="center" wrapText="1"/>
      <protection locked="0"/>
    </xf>
    <xf numFmtId="43" fontId="13" fillId="6" borderId="1" xfId="15" applyFont="1" applyFill="1" applyBorder="1" applyAlignment="1" applyProtection="1">
      <alignment horizontal="right" vertical="center" shrinkToFit="1"/>
    </xf>
    <xf numFmtId="179" fontId="34" fillId="6" borderId="0" xfId="303" applyFont="1" applyFill="1" applyAlignment="1" applyProtection="1">
      <alignment horizontal="left" vertical="center" shrinkToFit="1"/>
      <protection locked="0" hidden="1"/>
    </xf>
    <xf numFmtId="179" fontId="20" fillId="6" borderId="0" xfId="303" applyNumberFormat="1" applyFont="1" applyFill="1" applyAlignment="1" applyProtection="1">
      <alignment horizontal="left" vertical="center" wrapText="1"/>
      <protection locked="0"/>
    </xf>
    <xf numFmtId="179" fontId="20" fillId="6" borderId="0" xfId="303" applyFont="1" applyFill="1" applyAlignment="1" applyProtection="1">
      <alignment vertical="center"/>
      <protection locked="0"/>
    </xf>
    <xf numFmtId="179" fontId="20" fillId="6" borderId="1" xfId="303" applyNumberFormat="1" applyFont="1" applyFill="1" applyBorder="1" applyAlignment="1" applyProtection="1">
      <alignment horizontal="center" vertical="center" wrapText="1"/>
      <protection locked="0"/>
    </xf>
    <xf numFmtId="179" fontId="1" fillId="0" borderId="1" xfId="303" applyNumberFormat="1" applyFont="1" applyFill="1" applyBorder="1" applyAlignment="1" applyProtection="1">
      <alignment horizontal="center" vertical="center" wrapText="1"/>
      <protection locked="0"/>
    </xf>
    <xf numFmtId="179" fontId="20" fillId="0" borderId="1" xfId="303" applyNumberFormat="1" applyFont="1" applyFill="1" applyBorder="1" applyAlignment="1" applyProtection="1">
      <alignment horizontal="center" vertical="center" wrapText="1"/>
      <protection locked="0"/>
    </xf>
    <xf numFmtId="179" fontId="20" fillId="0" borderId="1" xfId="303" applyNumberFormat="1" applyFont="1" applyFill="1" applyBorder="1" applyAlignment="1" applyProtection="1">
      <alignment horizontal="left" vertical="center" wrapText="1"/>
      <protection locked="0"/>
    </xf>
    <xf numFmtId="43" fontId="20" fillId="6" borderId="1" xfId="395" applyNumberFormat="1" applyFont="1" applyFill="1" applyBorder="1" applyAlignment="1" applyProtection="1">
      <alignment horizontal="right" vertical="center" shrinkToFit="1"/>
      <protection locked="0"/>
    </xf>
    <xf numFmtId="179" fontId="20" fillId="0" borderId="1" xfId="37" applyFont="1" applyFill="1" applyBorder="1" applyAlignment="1" applyProtection="1">
      <alignment vertical="center"/>
      <protection locked="0"/>
    </xf>
    <xf numFmtId="179" fontId="20" fillId="6" borderId="1" xfId="37" applyFont="1" applyFill="1" applyBorder="1" applyAlignment="1" applyProtection="1">
      <alignment vertical="center"/>
      <protection locked="0"/>
    </xf>
    <xf numFmtId="43" fontId="20" fillId="6" borderId="1" xfId="37" applyNumberFormat="1" applyFont="1" applyFill="1" applyBorder="1" applyAlignment="1" applyProtection="1">
      <alignment vertical="center"/>
    </xf>
    <xf numFmtId="179" fontId="33" fillId="6" borderId="0" xfId="301" applyNumberFormat="1" applyFont="1" applyFill="1" applyBorder="1" applyAlignment="1" applyProtection="1">
      <alignment horizontal="left" vertical="center" shrinkToFit="1"/>
      <protection locked="0" hidden="1"/>
    </xf>
    <xf numFmtId="179" fontId="13" fillId="6" borderId="0" xfId="269" applyFont="1" applyFill="1" applyProtection="1">
      <protection locked="0"/>
    </xf>
    <xf numFmtId="43" fontId="20" fillId="6" borderId="1" xfId="15" applyFont="1" applyFill="1" applyBorder="1" applyAlignment="1" applyProtection="1">
      <alignment horizontal="center"/>
      <protection locked="0"/>
    </xf>
    <xf numFmtId="43" fontId="39" fillId="6" borderId="0" xfId="301" applyNumberFormat="1" applyFont="1" applyFill="1" applyAlignment="1" applyProtection="1">
      <alignment horizontal="left" vertical="center" shrinkToFit="1"/>
      <protection locked="0" hidden="1"/>
    </xf>
    <xf numFmtId="179" fontId="20" fillId="6" borderId="1" xfId="303" applyNumberFormat="1" applyFont="1" applyFill="1" applyBorder="1" applyAlignment="1" applyProtection="1">
      <alignment horizontal="left" vertical="center" wrapText="1"/>
      <protection locked="0"/>
    </xf>
    <xf numFmtId="43" fontId="20" fillId="10" borderId="1" xfId="15" applyFont="1" applyFill="1" applyBorder="1" applyAlignment="1" applyProtection="1">
      <alignment horizontal="center" vertical="center" wrapText="1"/>
    </xf>
    <xf numFmtId="43" fontId="20" fillId="6" borderId="0" xfId="15" applyFont="1" applyFill="1" applyBorder="1" applyAlignment="1" applyProtection="1">
      <alignment horizontal="center" vertical="center" wrapText="1"/>
    </xf>
    <xf numFmtId="43" fontId="20" fillId="6" borderId="1" xfId="15" applyFont="1" applyFill="1" applyBorder="1" applyAlignment="1" applyProtection="1">
      <alignment horizontal="left" vertical="center" wrapText="1"/>
      <protection locked="0"/>
    </xf>
    <xf numFmtId="179" fontId="33" fillId="6" borderId="0" xfId="269" applyFont="1" applyFill="1" applyAlignment="1" applyProtection="1">
      <alignment horizontal="left" shrinkToFit="1"/>
      <protection locked="0" hidden="1"/>
    </xf>
    <xf numFmtId="179" fontId="34" fillId="6" borderId="0" xfId="304" applyFont="1" applyFill="1" applyAlignment="1" applyProtection="1">
      <alignment horizontal="left" vertical="center" shrinkToFit="1"/>
      <protection locked="0" hidden="1"/>
    </xf>
    <xf numFmtId="179" fontId="13" fillId="6" borderId="0" xfId="304" applyNumberFormat="1" applyFont="1" applyFill="1" applyAlignment="1" applyProtection="1">
      <alignment horizontal="left" vertical="center" wrapText="1"/>
      <protection locked="0"/>
    </xf>
    <xf numFmtId="179" fontId="20" fillId="6" borderId="0" xfId="304" applyFont="1" applyFill="1" applyAlignment="1" applyProtection="1">
      <alignment vertical="center"/>
      <protection locked="0"/>
    </xf>
    <xf numFmtId="179" fontId="20" fillId="6" borderId="1" xfId="304" applyNumberFormat="1" applyFont="1" applyFill="1" applyBorder="1" applyAlignment="1" applyProtection="1">
      <alignment horizontal="center" vertical="center" wrapText="1"/>
      <protection locked="0"/>
    </xf>
    <xf numFmtId="43" fontId="20" fillId="6" borderId="1" xfId="395" applyFont="1" applyFill="1" applyBorder="1" applyAlignment="1" applyProtection="1">
      <alignment horizontal="left" vertical="center" shrinkToFit="1"/>
      <protection locked="0"/>
    </xf>
    <xf numFmtId="43" fontId="20" fillId="6" borderId="1" xfId="395" applyFont="1" applyFill="1" applyBorder="1" applyAlignment="1" applyProtection="1">
      <alignment horizontal="right" vertical="center" shrinkToFit="1"/>
    </xf>
    <xf numFmtId="43" fontId="20" fillId="10" borderId="1" xfId="395" applyFont="1" applyFill="1" applyBorder="1" applyAlignment="1" applyProtection="1">
      <alignment horizontal="left" vertical="center" shrinkToFit="1"/>
    </xf>
    <xf numFmtId="43" fontId="20" fillId="12" borderId="1" xfId="395" applyFont="1" applyFill="1" applyBorder="1" applyAlignment="1" applyProtection="1">
      <alignment horizontal="right" vertical="center" shrinkToFit="1"/>
    </xf>
    <xf numFmtId="43" fontId="36" fillId="0" borderId="1" xfId="395" applyFont="1" applyFill="1" applyBorder="1" applyAlignment="1" applyProtection="1">
      <alignment horizontal="left" vertical="center" shrinkToFit="1"/>
      <protection locked="0"/>
    </xf>
    <xf numFmtId="43" fontId="20" fillId="10" borderId="1" xfId="395" applyFont="1" applyFill="1" applyBorder="1" applyAlignment="1" applyProtection="1">
      <alignment horizontal="right" vertical="center" shrinkToFit="1"/>
    </xf>
    <xf numFmtId="43" fontId="20" fillId="0" borderId="1" xfId="395" applyFont="1" applyFill="1" applyBorder="1" applyAlignment="1" applyProtection="1">
      <alignment horizontal="left" vertical="center" shrinkToFit="1"/>
      <protection locked="0"/>
    </xf>
    <xf numFmtId="179" fontId="20" fillId="6" borderId="1" xfId="304" applyNumberFormat="1" applyFont="1" applyFill="1" applyBorder="1" applyAlignment="1" applyProtection="1">
      <alignment horizontal="left" vertical="center" wrapText="1"/>
      <protection locked="0"/>
    </xf>
    <xf numFmtId="43" fontId="20" fillId="6" borderId="1" xfId="304" applyNumberFormat="1" applyFont="1" applyFill="1" applyBorder="1" applyAlignment="1" applyProtection="1">
      <alignment horizontal="left" vertical="center" wrapText="1"/>
    </xf>
    <xf numFmtId="43" fontId="20" fillId="6" borderId="1" xfId="422" applyNumberFormat="1" applyFont="1" applyFill="1" applyBorder="1" applyAlignment="1" applyProtection="1">
      <alignment horizontal="right" vertical="center" shrinkToFit="1"/>
    </xf>
    <xf numFmtId="43" fontId="20" fillId="6" borderId="1" xfId="422" applyNumberFormat="1" applyFont="1" applyFill="1" applyBorder="1" applyAlignment="1" applyProtection="1">
      <alignment horizontal="right" vertical="center" shrinkToFit="1"/>
      <protection locked="0"/>
    </xf>
    <xf numFmtId="43" fontId="20" fillId="6" borderId="1" xfId="395" applyFont="1" applyFill="1" applyBorder="1" applyAlignment="1" applyProtection="1">
      <alignment horizontal="right" vertical="center" shrinkToFit="1"/>
      <protection locked="0"/>
    </xf>
    <xf numFmtId="179" fontId="20" fillId="6" borderId="0" xfId="269" applyFont="1" applyFill="1" applyAlignment="1" applyProtection="1">
      <alignment horizontal="center"/>
      <protection locked="0"/>
    </xf>
    <xf numFmtId="179" fontId="13" fillId="6" borderId="0" xfId="269" applyFont="1" applyFill="1" applyAlignment="1" applyProtection="1">
      <protection locked="0"/>
    </xf>
    <xf numFmtId="179" fontId="13" fillId="6" borderId="1" xfId="269" applyFont="1" applyFill="1" applyBorder="1" applyAlignment="1" applyProtection="1">
      <alignment horizontal="center"/>
      <protection locked="0"/>
    </xf>
    <xf numFmtId="179" fontId="1" fillId="6" borderId="1" xfId="269" applyFont="1" applyFill="1" applyBorder="1" applyAlignment="1" applyProtection="1">
      <alignment horizontal="justify" vertical="top" wrapText="1"/>
      <protection locked="0"/>
    </xf>
    <xf numFmtId="43" fontId="20" fillId="10" borderId="1" xfId="15" applyFont="1" applyFill="1" applyBorder="1" applyAlignment="1" applyProtection="1">
      <alignment horizontal="justify" vertical="top" wrapText="1"/>
    </xf>
    <xf numFmtId="43" fontId="20" fillId="0" borderId="1" xfId="15" applyFont="1" applyFill="1" applyBorder="1" applyAlignment="1" applyProtection="1">
      <alignment horizontal="justify" vertical="top" wrapText="1"/>
      <protection locked="0"/>
    </xf>
    <xf numFmtId="43" fontId="20" fillId="0" borderId="1" xfId="15" applyFont="1" applyFill="1" applyBorder="1" applyAlignment="1" applyProtection="1">
      <alignment horizontal="center" vertical="top" wrapText="1"/>
      <protection locked="0"/>
    </xf>
    <xf numFmtId="43" fontId="20" fillId="10" borderId="1" xfId="15" applyFont="1" applyFill="1" applyBorder="1" applyAlignment="1" applyProtection="1">
      <alignment horizontal="center" vertical="top" wrapText="1"/>
    </xf>
    <xf numFmtId="179" fontId="42" fillId="6" borderId="1" xfId="269" applyFont="1" applyFill="1" applyBorder="1" applyAlignment="1" applyProtection="1">
      <alignment horizontal="center" vertical="top" wrapText="1"/>
      <protection locked="0"/>
    </xf>
    <xf numFmtId="43" fontId="20" fillId="6" borderId="1" xfId="15" applyFont="1" applyFill="1" applyBorder="1" applyAlignment="1" applyProtection="1">
      <alignment horizontal="center" vertical="top" wrapText="1"/>
    </xf>
    <xf numFmtId="179" fontId="1" fillId="6" borderId="0" xfId="269" applyFont="1" applyFill="1" applyBorder="1" applyAlignment="1" applyProtection="1">
      <alignment horizontal="center" vertical="top" wrapText="1"/>
      <protection locked="0"/>
    </xf>
    <xf numFmtId="179" fontId="1" fillId="0" borderId="1" xfId="269" applyFont="1" applyFill="1" applyBorder="1" applyAlignment="1" applyProtection="1">
      <alignment horizontal="justify" vertical="top" wrapText="1"/>
      <protection locked="0"/>
    </xf>
    <xf numFmtId="43" fontId="13" fillId="0" borderId="1" xfId="15" applyFont="1" applyFill="1" applyBorder="1" applyAlignment="1" applyProtection="1">
      <alignment horizontal="right" vertical="top" wrapText="1"/>
      <protection locked="0"/>
    </xf>
    <xf numFmtId="179" fontId="20" fillId="0" borderId="1" xfId="269" applyFont="1" applyFill="1" applyBorder="1" applyAlignment="1" applyProtection="1">
      <alignment horizontal="justify" vertical="top" wrapText="1"/>
      <protection locked="0"/>
    </xf>
    <xf numFmtId="179" fontId="13" fillId="0" borderId="1" xfId="269" applyFont="1" applyFill="1" applyBorder="1" applyAlignment="1" applyProtection="1">
      <alignment horizontal="right" vertical="top" wrapText="1"/>
      <protection locked="0"/>
    </xf>
    <xf numFmtId="43" fontId="20" fillId="6" borderId="0" xfId="15" applyFont="1" applyFill="1" applyBorder="1" applyAlignment="1" applyProtection="1">
      <alignment horizontal="center" vertical="top" wrapText="1"/>
      <protection locked="0"/>
    </xf>
    <xf numFmtId="43" fontId="13" fillId="6" borderId="1" xfId="15" applyFont="1" applyFill="1" applyBorder="1" applyAlignment="1" applyProtection="1">
      <alignment horizontal="right" vertical="top" wrapText="1"/>
    </xf>
    <xf numFmtId="179" fontId="39" fillId="6" borderId="0" xfId="305" applyFont="1" applyFill="1" applyBorder="1" applyAlignment="1" applyProtection="1">
      <alignment horizontal="left" vertical="center" shrinkToFit="1"/>
      <protection locked="0" hidden="1"/>
    </xf>
    <xf numFmtId="179" fontId="20" fillId="6" borderId="0" xfId="305" applyNumberFormat="1" applyFont="1" applyFill="1" applyAlignment="1" applyProtection="1">
      <alignment horizontal="left" vertical="center" wrapText="1"/>
      <protection locked="0"/>
    </xf>
    <xf numFmtId="179" fontId="20" fillId="6" borderId="0" xfId="305" applyFont="1" applyFill="1" applyAlignment="1" applyProtection="1">
      <alignment vertical="center"/>
      <protection locked="0"/>
    </xf>
    <xf numFmtId="179" fontId="20" fillId="6" borderId="1" xfId="305" applyNumberFormat="1" applyFont="1" applyFill="1" applyBorder="1" applyAlignment="1" applyProtection="1">
      <alignment horizontal="center" vertical="center" wrapText="1"/>
      <protection locked="0"/>
    </xf>
    <xf numFmtId="179" fontId="20" fillId="0" borderId="1" xfId="305" applyFont="1" applyFill="1" applyBorder="1" applyAlignment="1" applyProtection="1">
      <alignment horizontal="justify" vertical="center" wrapText="1"/>
      <protection locked="0"/>
    </xf>
    <xf numFmtId="43" fontId="20" fillId="0" borderId="1" xfId="305" applyNumberFormat="1" applyFont="1" applyFill="1" applyBorder="1" applyAlignment="1" applyProtection="1">
      <alignment horizontal="right" vertical="center" shrinkToFit="1"/>
      <protection locked="0"/>
    </xf>
    <xf numFmtId="179" fontId="20" fillId="6" borderId="1" xfId="305" applyFont="1" applyFill="1" applyBorder="1" applyAlignment="1" applyProtection="1">
      <alignment horizontal="justify" vertical="center" wrapText="1"/>
      <protection locked="0"/>
    </xf>
    <xf numFmtId="179" fontId="20" fillId="6" borderId="1" xfId="305" applyFont="1" applyFill="1" applyBorder="1" applyAlignment="1" applyProtection="1">
      <alignment horizontal="center" vertical="center" wrapText="1"/>
      <protection locked="0"/>
    </xf>
    <xf numFmtId="43" fontId="20" fillId="6" borderId="1" xfId="305" applyNumberFormat="1" applyFont="1" applyFill="1" applyBorder="1" applyAlignment="1" applyProtection="1">
      <alignment horizontal="right" vertical="center" shrinkToFit="1"/>
    </xf>
    <xf numFmtId="179" fontId="20" fillId="6" borderId="0" xfId="305" applyFont="1" applyFill="1" applyAlignment="1" applyProtection="1">
      <alignment horizontal="justify" vertical="center"/>
      <protection locked="0"/>
    </xf>
    <xf numFmtId="179" fontId="34" fillId="6" borderId="0" xfId="305" applyNumberFormat="1" applyFont="1" applyFill="1" applyAlignment="1" applyProtection="1">
      <alignment horizontal="left" vertical="center" shrinkToFit="1"/>
      <protection locked="0" hidden="1"/>
    </xf>
    <xf numFmtId="179" fontId="20" fillId="0" borderId="1" xfId="305" applyNumberFormat="1" applyFont="1" applyFill="1" applyBorder="1" applyAlignment="1" applyProtection="1">
      <alignment horizontal="center" vertical="center" wrapText="1"/>
      <protection locked="0"/>
    </xf>
    <xf numFmtId="179" fontId="20" fillId="0" borderId="1" xfId="305" applyFont="1" applyFill="1" applyBorder="1" applyAlignment="1" applyProtection="1">
      <alignment horizontal="center" vertical="center" wrapText="1"/>
      <protection locked="0"/>
    </xf>
    <xf numFmtId="179" fontId="34" fillId="6" borderId="0" xfId="305" applyFont="1" applyFill="1" applyAlignment="1" applyProtection="1">
      <alignment horizontal="left" vertical="center" shrinkToFit="1"/>
      <protection locked="0" hidden="1"/>
    </xf>
    <xf numFmtId="43" fontId="20" fillId="6" borderId="1" xfId="269" applyNumberFormat="1" applyFont="1" applyFill="1" applyBorder="1" applyAlignment="1" applyProtection="1">
      <alignment horizontal="center" vertical="center" shrinkToFit="1"/>
      <protection locked="0"/>
    </xf>
    <xf numFmtId="43" fontId="20" fillId="0" borderId="1" xfId="269" applyNumberFormat="1" applyFont="1" applyFill="1" applyBorder="1" applyAlignment="1" applyProtection="1">
      <alignment horizontal="right" vertical="center" shrinkToFit="1"/>
      <protection locked="0"/>
    </xf>
    <xf numFmtId="43" fontId="20" fillId="6" borderId="1" xfId="269" applyNumberFormat="1" applyFont="1" applyFill="1" applyBorder="1" applyAlignment="1" applyProtection="1">
      <alignment horizontal="right" vertical="center" shrinkToFit="1"/>
      <protection locked="0"/>
    </xf>
    <xf numFmtId="43" fontId="20" fillId="6" borderId="1" xfId="269" applyNumberFormat="1" applyFont="1" applyFill="1" applyBorder="1" applyAlignment="1" applyProtection="1">
      <alignment horizontal="right" vertical="center" shrinkToFit="1"/>
    </xf>
    <xf numFmtId="179" fontId="39" fillId="6" borderId="0" xfId="269" applyFont="1" applyFill="1" applyAlignment="1" applyProtection="1">
      <alignment horizontal="left" vertical="center" shrinkToFit="1"/>
      <protection locked="0" hidden="1"/>
    </xf>
    <xf numFmtId="179" fontId="20" fillId="6" borderId="2" xfId="269" applyNumberFormat="1" applyFont="1" applyFill="1" applyBorder="1" applyAlignment="1" applyProtection="1">
      <alignment horizontal="left" vertical="center" wrapText="1"/>
      <protection locked="0"/>
    </xf>
    <xf numFmtId="179" fontId="21" fillId="5" borderId="2" xfId="269" applyFont="1" applyFill="1" applyBorder="1" applyAlignment="1" applyProtection="1">
      <alignment horizontal="center" vertical="center"/>
      <protection locked="0"/>
    </xf>
    <xf numFmtId="10" fontId="20" fillId="0" borderId="0" xfId="269" applyNumberFormat="1" applyFont="1" applyFill="1" applyAlignment="1" applyProtection="1">
      <alignment vertical="center"/>
      <protection locked="0"/>
    </xf>
    <xf numFmtId="43" fontId="43" fillId="6" borderId="0" xfId="37" applyNumberFormat="1" applyFont="1" applyFill="1" applyAlignment="1" applyProtection="1">
      <alignment vertical="center"/>
      <protection locked="0"/>
    </xf>
    <xf numFmtId="9" fontId="20" fillId="0" borderId="0" xfId="20" applyFont="1" applyFill="1" applyAlignment="1" applyProtection="1">
      <alignment vertical="center"/>
      <protection locked="0"/>
    </xf>
    <xf numFmtId="179" fontId="20" fillId="6" borderId="1" xfId="269" applyNumberFormat="1" applyFont="1" applyFill="1" applyBorder="1" applyAlignment="1" applyProtection="1">
      <alignment horizontal="center" vertical="center" wrapText="1"/>
      <protection locked="0"/>
    </xf>
    <xf numFmtId="179" fontId="1" fillId="6" borderId="1" xfId="269" applyNumberFormat="1" applyFont="1" applyFill="1" applyBorder="1" applyAlignment="1" applyProtection="1">
      <alignment horizontal="center" vertical="center" wrapText="1"/>
      <protection locked="0"/>
    </xf>
    <xf numFmtId="179" fontId="13" fillId="6" borderId="1" xfId="269" applyNumberFormat="1" applyFont="1" applyFill="1" applyBorder="1" applyAlignment="1" applyProtection="1">
      <alignment horizontal="left" vertical="center" wrapText="1"/>
      <protection locked="0"/>
    </xf>
    <xf numFmtId="43" fontId="20" fillId="6" borderId="1" xfId="269" applyNumberFormat="1" applyFont="1" applyFill="1" applyBorder="1" applyAlignment="1" applyProtection="1">
      <alignment horizontal="left" vertical="center" shrinkToFit="1"/>
      <protection locked="0"/>
    </xf>
    <xf numFmtId="43" fontId="20" fillId="10" borderId="1" xfId="269" applyNumberFormat="1" applyFont="1" applyFill="1" applyBorder="1" applyAlignment="1" applyProtection="1">
      <alignment horizontal="right" vertical="center" shrinkToFit="1"/>
    </xf>
    <xf numFmtId="43" fontId="20" fillId="0" borderId="1" xfId="413" applyNumberFormat="1" applyFont="1" applyFill="1" applyBorder="1" applyAlignment="1" applyProtection="1">
      <alignment horizontal="right" vertical="center" shrinkToFit="1"/>
      <protection locked="0"/>
    </xf>
    <xf numFmtId="43" fontId="20" fillId="10" borderId="1" xfId="413" applyNumberFormat="1" applyFont="1" applyFill="1" applyBorder="1" applyAlignment="1" applyProtection="1">
      <alignment horizontal="right" vertical="center" shrinkToFit="1"/>
    </xf>
    <xf numFmtId="179" fontId="20" fillId="6" borderId="1" xfId="269" applyNumberFormat="1" applyFont="1" applyFill="1" applyBorder="1" applyAlignment="1" applyProtection="1">
      <alignment horizontal="left" vertical="center" wrapText="1"/>
      <protection locked="0"/>
    </xf>
    <xf numFmtId="43" fontId="20" fillId="6" borderId="1" xfId="413" applyNumberFormat="1" applyFont="1" applyFill="1" applyBorder="1" applyAlignment="1" applyProtection="1">
      <alignment horizontal="right" vertical="center" shrinkToFit="1"/>
    </xf>
    <xf numFmtId="179" fontId="20" fillId="0" borderId="1" xfId="269" applyNumberFormat="1" applyFont="1" applyFill="1" applyBorder="1" applyAlignment="1" applyProtection="1">
      <alignment horizontal="left" vertical="center" wrapText="1"/>
      <protection locked="0"/>
    </xf>
    <xf numFmtId="43" fontId="20" fillId="6" borderId="1" xfId="15" applyFont="1" applyFill="1" applyBorder="1" applyAlignment="1" applyProtection="1">
      <alignment vertical="center" wrapText="1"/>
      <protection locked="0"/>
    </xf>
    <xf numFmtId="43" fontId="13" fillId="10" borderId="1" xfId="15" applyFont="1" applyFill="1" applyBorder="1" applyAlignment="1" applyProtection="1">
      <alignment horizontal="center" wrapText="1"/>
      <protection locked="0"/>
    </xf>
    <xf numFmtId="43" fontId="20" fillId="6" borderId="1" xfId="15" applyFont="1" applyFill="1" applyBorder="1" applyAlignment="1" applyProtection="1">
      <alignment vertical="center" wrapText="1"/>
    </xf>
    <xf numFmtId="43" fontId="13" fillId="0" borderId="1" xfId="15" applyFont="1" applyFill="1" applyBorder="1" applyAlignment="1" applyProtection="1">
      <alignment horizontal="center" wrapText="1"/>
      <protection locked="0"/>
    </xf>
    <xf numFmtId="43" fontId="20" fillId="0" borderId="1" xfId="15" applyFont="1" applyFill="1" applyBorder="1" applyAlignment="1" applyProtection="1">
      <alignment vertical="center" wrapText="1"/>
      <protection locked="0"/>
    </xf>
    <xf numFmtId="43" fontId="20" fillId="10" borderId="1" xfId="15" applyFont="1" applyFill="1" applyBorder="1" applyAlignment="1" applyProtection="1">
      <alignment vertical="center" wrapText="1"/>
      <protection locked="0"/>
    </xf>
    <xf numFmtId="179" fontId="20" fillId="6" borderId="1" xfId="322" applyNumberFormat="1" applyFont="1" applyFill="1" applyBorder="1" applyAlignment="1" applyProtection="1">
      <alignment horizontal="center" vertical="center" wrapText="1"/>
      <protection locked="0"/>
    </xf>
    <xf numFmtId="179" fontId="20" fillId="6" borderId="0" xfId="322" applyNumberFormat="1" applyFont="1" applyFill="1" applyBorder="1" applyAlignment="1" applyProtection="1">
      <alignment horizontal="center" vertical="center" wrapText="1"/>
      <protection locked="0"/>
    </xf>
    <xf numFmtId="43" fontId="20" fillId="6" borderId="0" xfId="15" applyFont="1" applyFill="1" applyBorder="1" applyAlignment="1" applyProtection="1">
      <alignment vertical="center" wrapText="1"/>
      <protection locked="0"/>
    </xf>
    <xf numFmtId="179" fontId="20" fillId="6" borderId="1" xfId="269" applyFont="1" applyFill="1" applyBorder="1" applyAlignment="1" applyProtection="1">
      <alignment horizontal="center" vertical="top" wrapText="1"/>
    </xf>
    <xf numFmtId="43" fontId="20" fillId="0" borderId="1" xfId="15" applyFont="1" applyFill="1" applyBorder="1" applyAlignment="1" applyProtection="1">
      <alignment horizontal="center" wrapText="1"/>
      <protection locked="0"/>
    </xf>
    <xf numFmtId="43" fontId="20" fillId="10" borderId="1" xfId="15" applyFont="1" applyFill="1" applyBorder="1" applyAlignment="1" applyProtection="1">
      <alignment horizontal="center" wrapText="1"/>
      <protection locked="0"/>
    </xf>
    <xf numFmtId="179" fontId="20" fillId="0" borderId="1" xfId="269" applyFont="1" applyFill="1" applyBorder="1" applyAlignment="1" applyProtection="1">
      <alignment horizontal="center" wrapText="1"/>
      <protection locked="0"/>
    </xf>
    <xf numFmtId="43" fontId="13" fillId="6" borderId="1" xfId="15" applyFont="1" applyFill="1" applyBorder="1" applyAlignment="1" applyProtection="1">
      <alignment horizontal="center" wrapText="1"/>
      <protection locked="0"/>
    </xf>
    <xf numFmtId="179" fontId="37" fillId="6" borderId="1" xfId="269" applyFont="1" applyFill="1" applyBorder="1" applyAlignment="1" applyProtection="1">
      <alignment horizontal="center" vertical="top" wrapText="1"/>
      <protection locked="0"/>
    </xf>
    <xf numFmtId="179" fontId="1" fillId="11" borderId="0" xfId="37" applyFont="1" applyFill="1" applyAlignment="1" applyProtection="1">
      <alignment horizontal="center" vertical="center"/>
      <protection locked="0"/>
    </xf>
    <xf numFmtId="43" fontId="20" fillId="11" borderId="0" xfId="37" applyNumberFormat="1" applyFont="1" applyFill="1" applyAlignment="1" applyProtection="1">
      <alignment vertical="center"/>
    </xf>
    <xf numFmtId="179" fontId="20" fillId="0" borderId="0" xfId="37" applyFont="1" applyFill="1" applyAlignment="1" applyProtection="1">
      <alignment vertical="center"/>
      <protection locked="0"/>
    </xf>
    <xf numFmtId="43" fontId="13" fillId="6" borderId="0" xfId="15" applyFont="1" applyFill="1" applyBorder="1" applyAlignment="1" applyProtection="1">
      <alignment vertical="center" wrapText="1"/>
      <protection locked="0"/>
    </xf>
    <xf numFmtId="179" fontId="13" fillId="6" borderId="0" xfId="322" applyNumberFormat="1" applyFont="1" applyFill="1" applyBorder="1" applyAlignment="1" applyProtection="1">
      <alignment vertical="center" wrapText="1"/>
      <protection locked="0"/>
    </xf>
    <xf numFmtId="179" fontId="31" fillId="6" borderId="1" xfId="269" applyFont="1" applyFill="1" applyBorder="1" applyAlignment="1" applyProtection="1">
      <alignment horizontal="center" wrapText="1"/>
      <protection locked="0"/>
    </xf>
    <xf numFmtId="179" fontId="13" fillId="6" borderId="1" xfId="322" applyNumberFormat="1" applyFont="1" applyFill="1" applyBorder="1" applyAlignment="1" applyProtection="1">
      <alignment horizontal="left" vertical="center" wrapText="1"/>
    </xf>
    <xf numFmtId="179" fontId="20" fillId="6" borderId="1" xfId="322" applyNumberFormat="1" applyFont="1" applyFill="1" applyBorder="1" applyAlignment="1" applyProtection="1">
      <alignment horizontal="left" vertical="center" wrapText="1"/>
    </xf>
    <xf numFmtId="43" fontId="20" fillId="10" borderId="1" xfId="15" applyFont="1" applyFill="1" applyBorder="1" applyAlignment="1" applyProtection="1">
      <alignment vertical="center" wrapText="1"/>
    </xf>
    <xf numFmtId="179" fontId="20" fillId="0" borderId="1" xfId="322" applyNumberFormat="1" applyFont="1" applyFill="1" applyBorder="1" applyAlignment="1" applyProtection="1">
      <alignment horizontal="center" vertical="center" wrapText="1"/>
      <protection locked="0"/>
    </xf>
    <xf numFmtId="43" fontId="20" fillId="0" borderId="0" xfId="15" applyFont="1" applyFill="1" applyBorder="1" applyAlignment="1" applyProtection="1">
      <alignment vertical="center" wrapText="1"/>
      <protection locked="0"/>
    </xf>
    <xf numFmtId="179" fontId="1" fillId="6" borderId="1" xfId="301" applyNumberFormat="1" applyFont="1" applyFill="1" applyBorder="1" applyAlignment="1" applyProtection="1">
      <alignment horizontal="center" vertical="center" wrapText="1"/>
      <protection locked="0"/>
    </xf>
    <xf numFmtId="179" fontId="1" fillId="11" borderId="3" xfId="37" applyFont="1" applyFill="1" applyBorder="1" applyAlignment="1" applyProtection="1">
      <alignment horizontal="center" vertical="center" wrapText="1"/>
      <protection locked="0"/>
    </xf>
    <xf numFmtId="179" fontId="1" fillId="11" borderId="16" xfId="37" applyFont="1" applyFill="1" applyBorder="1" applyAlignment="1" applyProtection="1">
      <alignment horizontal="center" vertical="center" wrapText="1"/>
      <protection locked="0"/>
    </xf>
    <xf numFmtId="43" fontId="1" fillId="6" borderId="1" xfId="15" applyFont="1" applyFill="1" applyBorder="1" applyAlignment="1" applyProtection="1">
      <alignment horizontal="left" vertical="center" shrinkToFit="1"/>
      <protection locked="0"/>
    </xf>
    <xf numFmtId="179" fontId="20" fillId="6" borderId="0" xfId="329" applyNumberFormat="1" applyFont="1" applyFill="1" applyAlignment="1" applyProtection="1">
      <alignment horizontal="left" vertical="center" wrapText="1"/>
      <protection locked="0"/>
    </xf>
    <xf numFmtId="179" fontId="13" fillId="6" borderId="0" xfId="329" applyNumberFormat="1" applyFont="1" applyFill="1" applyAlignment="1" applyProtection="1">
      <alignment horizontal="left" vertical="center" wrapText="1"/>
      <protection locked="0"/>
    </xf>
    <xf numFmtId="179" fontId="13" fillId="6" borderId="1" xfId="269" applyFont="1" applyFill="1" applyBorder="1" applyAlignment="1" applyProtection="1">
      <alignment horizontal="center" vertical="top"/>
      <protection locked="0"/>
    </xf>
    <xf numFmtId="179" fontId="20" fillId="6" borderId="1" xfId="269" applyFont="1" applyFill="1" applyBorder="1" applyAlignment="1" applyProtection="1">
      <alignment horizontal="justify"/>
      <protection locked="0"/>
    </xf>
    <xf numFmtId="43" fontId="20" fillId="6" borderId="1" xfId="15" applyFont="1" applyFill="1" applyBorder="1" applyAlignment="1" applyProtection="1">
      <alignment horizontal="center"/>
    </xf>
    <xf numFmtId="43" fontId="20" fillId="0" borderId="1" xfId="15" applyFont="1" applyFill="1" applyBorder="1" applyAlignment="1" applyProtection="1">
      <alignment horizontal="center"/>
      <protection locked="0"/>
    </xf>
    <xf numFmtId="179" fontId="20" fillId="0" borderId="1" xfId="269" applyFont="1" applyFill="1" applyBorder="1" applyAlignment="1" applyProtection="1">
      <alignment horizontal="justify"/>
      <protection locked="0"/>
    </xf>
    <xf numFmtId="179" fontId="20" fillId="0" borderId="1" xfId="269" applyFont="1" applyFill="1" applyBorder="1" applyAlignment="1" applyProtection="1">
      <alignment horizontal="left"/>
      <protection locked="0"/>
    </xf>
    <xf numFmtId="43" fontId="20" fillId="0" borderId="1" xfId="15" applyFont="1" applyFill="1" applyBorder="1" applyAlignment="1" applyProtection="1">
      <alignment horizontal="left"/>
      <protection locked="0"/>
    </xf>
    <xf numFmtId="179" fontId="20" fillId="6" borderId="1" xfId="269" applyFont="1" applyFill="1" applyBorder="1" applyAlignment="1" applyProtection="1">
      <alignment horizontal="left"/>
      <protection locked="0"/>
    </xf>
    <xf numFmtId="179" fontId="42" fillId="6" borderId="1" xfId="269" applyFont="1" applyFill="1" applyBorder="1" applyAlignment="1" applyProtection="1">
      <alignment horizontal="center" vertical="top"/>
      <protection locked="0"/>
    </xf>
    <xf numFmtId="179" fontId="20" fillId="0" borderId="0" xfId="322" applyNumberFormat="1" applyFont="1" applyFill="1" applyBorder="1" applyAlignment="1" applyProtection="1">
      <alignment vertical="center" wrapText="1"/>
      <protection locked="0"/>
    </xf>
    <xf numFmtId="179" fontId="34" fillId="6" borderId="0" xfId="7" applyFont="1" applyFill="1" applyBorder="1" applyAlignment="1" applyProtection="1">
      <alignment horizontal="left" vertical="center" shrinkToFit="1"/>
      <protection locked="0" hidden="1"/>
    </xf>
    <xf numFmtId="179" fontId="20" fillId="6" borderId="0" xfId="7" applyFont="1" applyFill="1" applyAlignment="1" applyProtection="1">
      <alignment vertical="center"/>
      <protection locked="0"/>
    </xf>
    <xf numFmtId="179" fontId="20" fillId="6" borderId="0" xfId="7" applyFont="1" applyFill="1" applyBorder="1" applyAlignment="1" applyProtection="1">
      <alignment vertical="center"/>
      <protection locked="0"/>
    </xf>
    <xf numFmtId="179" fontId="20" fillId="6" borderId="1" xfId="7" applyFont="1" applyFill="1" applyBorder="1" applyAlignment="1" applyProtection="1">
      <alignment horizontal="center" vertical="center" wrapText="1"/>
      <protection locked="0"/>
    </xf>
    <xf numFmtId="179" fontId="20" fillId="6" borderId="1" xfId="7" applyNumberFormat="1" applyFont="1" applyFill="1" applyBorder="1" applyAlignment="1" applyProtection="1">
      <alignment horizontal="left" vertical="center" wrapText="1"/>
      <protection locked="0"/>
    </xf>
    <xf numFmtId="179" fontId="20" fillId="6" borderId="0" xfId="7" applyFont="1" applyFill="1" applyBorder="1" applyAlignment="1" applyProtection="1">
      <alignment horizontal="left" vertical="center" wrapText="1"/>
      <protection locked="0"/>
    </xf>
    <xf numFmtId="179" fontId="20" fillId="6" borderId="0" xfId="7" applyFont="1" applyFill="1" applyBorder="1" applyAlignment="1" applyProtection="1">
      <alignment vertical="center" wrapText="1"/>
      <protection locked="0"/>
    </xf>
    <xf numFmtId="179" fontId="20" fillId="6" borderId="0" xfId="7" applyNumberFormat="1" applyFont="1" applyFill="1" applyAlignment="1" applyProtection="1">
      <alignment horizontal="left" vertical="center" wrapText="1"/>
      <protection locked="0"/>
    </xf>
    <xf numFmtId="179" fontId="20" fillId="0" borderId="1" xfId="7" applyNumberFormat="1" applyFont="1" applyFill="1" applyBorder="1" applyAlignment="1" applyProtection="1">
      <alignment horizontal="left" vertical="center" wrapText="1"/>
      <protection locked="0"/>
    </xf>
    <xf numFmtId="43" fontId="20" fillId="0" borderId="1" xfId="7" applyNumberFormat="1" applyFont="1" applyFill="1" applyBorder="1" applyAlignment="1" applyProtection="1">
      <alignment horizontal="right" vertical="center" shrinkToFit="1"/>
      <protection locked="0"/>
    </xf>
    <xf numFmtId="194" fontId="20" fillId="0" borderId="1" xfId="7" applyNumberFormat="1" applyFont="1" applyFill="1" applyBorder="1" applyAlignment="1" applyProtection="1">
      <alignment horizontal="center" vertical="center" shrinkToFit="1"/>
      <protection locked="0"/>
    </xf>
    <xf numFmtId="179" fontId="20" fillId="6" borderId="1" xfId="7" applyNumberFormat="1" applyFont="1" applyFill="1" applyBorder="1" applyAlignment="1" applyProtection="1">
      <alignment horizontal="center" vertical="center" wrapText="1"/>
      <protection locked="0"/>
    </xf>
    <xf numFmtId="43" fontId="20" fillId="6" borderId="1" xfId="7" applyNumberFormat="1" applyFont="1" applyFill="1" applyBorder="1" applyAlignment="1" applyProtection="1">
      <alignment horizontal="right" vertical="center" shrinkToFit="1"/>
    </xf>
    <xf numFmtId="194" fontId="20" fillId="6" borderId="1" xfId="7" applyNumberFormat="1" applyFont="1" applyFill="1" applyBorder="1" applyAlignment="1" applyProtection="1">
      <alignment horizontal="center" vertical="center" shrinkToFit="1"/>
      <protection locked="0"/>
    </xf>
    <xf numFmtId="179" fontId="20" fillId="6" borderId="0" xfId="7" applyNumberFormat="1" applyFont="1" applyFill="1" applyBorder="1" applyAlignment="1" applyProtection="1">
      <alignment horizontal="left" vertical="center" wrapText="1"/>
      <protection locked="0"/>
    </xf>
    <xf numFmtId="43" fontId="20" fillId="6" borderId="0" xfId="7" applyNumberFormat="1" applyFont="1" applyFill="1" applyBorder="1" applyAlignment="1" applyProtection="1">
      <alignment horizontal="right" vertical="center" shrinkToFit="1"/>
      <protection locked="0"/>
    </xf>
    <xf numFmtId="194" fontId="20" fillId="6" borderId="0" xfId="7" applyNumberFormat="1" applyFont="1" applyFill="1" applyBorder="1" applyAlignment="1" applyProtection="1">
      <alignment horizontal="center" vertical="center" shrinkToFit="1"/>
      <protection locked="0"/>
    </xf>
    <xf numFmtId="43" fontId="20" fillId="0" borderId="0" xfId="7" applyNumberFormat="1" applyFont="1" applyFill="1" applyBorder="1" applyAlignment="1" applyProtection="1">
      <alignment horizontal="right" vertical="center" shrinkToFit="1"/>
      <protection locked="0"/>
    </xf>
    <xf numFmtId="194" fontId="20" fillId="0" borderId="0" xfId="7" applyNumberFormat="1" applyFont="1" applyFill="1" applyBorder="1" applyAlignment="1" applyProtection="1">
      <alignment horizontal="center" vertical="center" shrinkToFit="1"/>
      <protection locked="0"/>
    </xf>
    <xf numFmtId="179" fontId="20" fillId="0" borderId="0" xfId="7" applyNumberFormat="1" applyFont="1" applyFill="1" applyBorder="1" applyAlignment="1" applyProtection="1">
      <alignment horizontal="left" vertical="center" wrapText="1"/>
      <protection locked="0"/>
    </xf>
    <xf numFmtId="176" fontId="20" fillId="0" borderId="1" xfId="7" applyNumberFormat="1" applyFont="1" applyFill="1" applyBorder="1" applyAlignment="1" applyProtection="1">
      <alignment horizontal="center" vertical="center" shrinkToFit="1"/>
      <protection locked="0"/>
    </xf>
    <xf numFmtId="176" fontId="20" fillId="6" borderId="1" xfId="7" applyNumberFormat="1" applyFont="1" applyFill="1" applyBorder="1" applyAlignment="1" applyProtection="1">
      <alignment horizontal="center" vertical="center" shrinkToFit="1"/>
      <protection locked="0"/>
    </xf>
    <xf numFmtId="176" fontId="20" fillId="6" borderId="0" xfId="7" applyNumberFormat="1" applyFont="1" applyFill="1" applyBorder="1" applyAlignment="1" applyProtection="1">
      <alignment horizontal="center" vertical="center" shrinkToFit="1"/>
      <protection locked="0"/>
    </xf>
    <xf numFmtId="179" fontId="1" fillId="11" borderId="6" xfId="37" applyFont="1" applyFill="1" applyBorder="1" applyAlignment="1" applyProtection="1">
      <alignment horizontal="center" vertical="center" wrapText="1"/>
      <protection locked="0"/>
    </xf>
    <xf numFmtId="179" fontId="1" fillId="11" borderId="19" xfId="37" applyFont="1" applyFill="1" applyBorder="1" applyAlignment="1" applyProtection="1">
      <alignment horizontal="center" vertical="center" wrapText="1"/>
      <protection locked="0"/>
    </xf>
    <xf numFmtId="179" fontId="20" fillId="11" borderId="1" xfId="37" applyFont="1" applyFill="1" applyBorder="1" applyAlignment="1" applyProtection="1">
      <alignment vertical="center"/>
    </xf>
    <xf numFmtId="179" fontId="20" fillId="0" borderId="0" xfId="7" applyFont="1" applyFill="1" applyAlignment="1" applyProtection="1">
      <alignment vertical="center"/>
      <protection locked="0"/>
    </xf>
    <xf numFmtId="179" fontId="34" fillId="6" borderId="0" xfId="306" applyFont="1" applyFill="1" applyAlignment="1" applyProtection="1">
      <alignment horizontal="left" vertical="center" shrinkToFit="1"/>
      <protection locked="0" hidden="1"/>
    </xf>
    <xf numFmtId="179" fontId="20" fillId="6" borderId="0" xfId="306" applyFont="1" applyFill="1" applyAlignment="1" applyProtection="1">
      <alignment vertical="center"/>
      <protection locked="0"/>
    </xf>
    <xf numFmtId="179" fontId="20" fillId="6" borderId="1" xfId="306" applyFont="1" applyFill="1" applyBorder="1" applyAlignment="1" applyProtection="1">
      <alignment horizontal="center" vertical="center" wrapText="1"/>
      <protection locked="0"/>
    </xf>
    <xf numFmtId="179" fontId="20" fillId="6" borderId="1" xfId="306" applyFont="1" applyFill="1" applyBorder="1" applyAlignment="1" applyProtection="1">
      <alignment horizontal="justify" vertical="center" wrapText="1"/>
      <protection locked="0"/>
    </xf>
    <xf numFmtId="179" fontId="20" fillId="6" borderId="0" xfId="278" applyFont="1" applyFill="1" applyAlignment="1" applyProtection="1">
      <alignment vertical="center"/>
      <protection locked="0"/>
    </xf>
    <xf numFmtId="179" fontId="20" fillId="6" borderId="0" xfId="306" applyFont="1" applyFill="1" applyBorder="1" applyAlignment="1" applyProtection="1">
      <alignment horizontal="center" vertical="center" wrapText="1"/>
      <protection locked="0"/>
    </xf>
    <xf numFmtId="43" fontId="25" fillId="0" borderId="0" xfId="55" applyNumberFormat="1" applyFont="1" applyFill="1" applyBorder="1" applyAlignment="1" applyProtection="1">
      <alignment vertical="center" shrinkToFit="1"/>
      <protection locked="0"/>
    </xf>
    <xf numFmtId="179" fontId="34" fillId="6" borderId="0" xfId="55" applyFont="1" applyFill="1" applyAlignment="1" applyProtection="1">
      <alignment horizontal="left" vertical="center" shrinkToFit="1"/>
      <protection locked="0" hidden="1"/>
    </xf>
    <xf numFmtId="179" fontId="20" fillId="6" borderId="2" xfId="55" applyFont="1" applyFill="1" applyBorder="1" applyAlignment="1" applyProtection="1">
      <alignment vertical="center" wrapText="1"/>
      <protection locked="0"/>
    </xf>
    <xf numFmtId="179" fontId="20" fillId="6" borderId="1" xfId="55" applyNumberFormat="1" applyFont="1" applyFill="1" applyBorder="1" applyAlignment="1" applyProtection="1">
      <alignment horizontal="center" vertical="center" wrapText="1"/>
      <protection locked="0"/>
    </xf>
    <xf numFmtId="179" fontId="20" fillId="6" borderId="1" xfId="55" applyNumberFormat="1" applyFont="1" applyFill="1" applyBorder="1" applyAlignment="1" applyProtection="1">
      <alignment horizontal="left" vertical="center" wrapText="1"/>
      <protection locked="0"/>
    </xf>
    <xf numFmtId="43" fontId="20" fillId="6" borderId="1" xfId="55" applyNumberFormat="1" applyFont="1" applyFill="1" applyBorder="1" applyAlignment="1" applyProtection="1">
      <alignment horizontal="right" vertical="center" shrinkToFit="1"/>
    </xf>
    <xf numFmtId="43" fontId="20" fillId="6" borderId="0" xfId="55" applyNumberFormat="1" applyFont="1" applyFill="1" applyBorder="1" applyAlignment="1" applyProtection="1">
      <alignment horizontal="right" vertical="center" shrinkToFit="1"/>
    </xf>
    <xf numFmtId="43" fontId="25" fillId="6" borderId="0" xfId="55" applyNumberFormat="1" applyFont="1" applyFill="1" applyBorder="1" applyAlignment="1" applyProtection="1">
      <alignment vertical="center" shrinkToFit="1"/>
      <protection locked="0"/>
    </xf>
    <xf numFmtId="179" fontId="44" fillId="6" borderId="0" xfId="55" applyFont="1" applyFill="1" applyAlignment="1" applyProtection="1">
      <alignment horizontal="left" vertical="center" shrinkToFit="1"/>
      <protection locked="0" hidden="1"/>
    </xf>
    <xf numFmtId="179" fontId="20" fillId="6" borderId="0" xfId="55" applyNumberFormat="1" applyFont="1" applyFill="1" applyBorder="1" applyAlignment="1" applyProtection="1">
      <alignment horizontal="left" vertical="center" wrapText="1"/>
      <protection locked="0"/>
    </xf>
    <xf numFmtId="43" fontId="20" fillId="6" borderId="0" xfId="55" applyNumberFormat="1" applyFont="1" applyFill="1" applyBorder="1" applyAlignment="1" applyProtection="1">
      <alignment horizontal="right" vertical="center" shrinkToFit="1"/>
      <protection locked="0"/>
    </xf>
    <xf numFmtId="179" fontId="33" fillId="6" borderId="0" xfId="342" applyFont="1" applyFill="1" applyAlignment="1" applyProtection="1">
      <alignment horizontal="left" vertical="center" shrinkToFit="1"/>
      <protection locked="0" hidden="1"/>
    </xf>
    <xf numFmtId="179" fontId="34" fillId="6" borderId="0" xfId="342" applyFont="1" applyFill="1" applyAlignment="1" applyProtection="1">
      <alignment horizontal="left" vertical="center" shrinkToFit="1"/>
      <protection locked="0" hidden="1"/>
    </xf>
    <xf numFmtId="179" fontId="1" fillId="11" borderId="1" xfId="52" applyFont="1" applyFill="1" applyBorder="1" applyAlignment="1" applyProtection="1">
      <alignment vertical="center"/>
      <protection locked="0"/>
    </xf>
    <xf numFmtId="179" fontId="34" fillId="6" borderId="0" xfId="308" applyFont="1" applyFill="1" applyBorder="1" applyAlignment="1" applyProtection="1">
      <alignment horizontal="left" vertical="center" shrinkToFit="1"/>
      <protection locked="0" hidden="1"/>
    </xf>
    <xf numFmtId="179" fontId="20" fillId="11" borderId="1" xfId="52" applyFont="1" applyFill="1" applyBorder="1" applyAlignment="1" applyProtection="1">
      <alignment vertical="center"/>
      <protection locked="0"/>
    </xf>
    <xf numFmtId="179" fontId="33" fillId="6" borderId="0" xfId="308" applyFont="1" applyFill="1" applyBorder="1" applyAlignment="1" applyProtection="1">
      <alignment horizontal="left" vertical="center" shrinkToFit="1"/>
      <protection locked="0" hidden="1"/>
    </xf>
    <xf numFmtId="179" fontId="34" fillId="6" borderId="0" xfId="192" applyFont="1" applyFill="1" applyAlignment="1" applyProtection="1">
      <alignment horizontal="left" vertical="center" shrinkToFit="1"/>
      <protection locked="0" hidden="1"/>
    </xf>
    <xf numFmtId="179" fontId="20" fillId="6" borderId="0" xfId="413" applyNumberFormat="1" applyFont="1" applyFill="1" applyBorder="1" applyAlignment="1" applyProtection="1">
      <alignment vertical="center" wrapText="1"/>
      <protection locked="0"/>
    </xf>
    <xf numFmtId="10" fontId="20" fillId="6" borderId="1" xfId="20" applyNumberFormat="1" applyFont="1" applyFill="1" applyBorder="1" applyAlignment="1" applyProtection="1">
      <alignment horizontal="right" vertical="center" shrinkToFit="1"/>
    </xf>
    <xf numFmtId="43" fontId="20" fillId="6" borderId="1" xfId="15" applyFont="1" applyFill="1" applyBorder="1" applyAlignment="1" applyProtection="1">
      <alignment horizontal="center" vertical="center" wrapText="1" shrinkToFit="1"/>
      <protection locked="0"/>
    </xf>
    <xf numFmtId="43" fontId="20" fillId="6" borderId="0" xfId="413" applyFont="1" applyFill="1" applyBorder="1" applyAlignment="1" applyProtection="1">
      <alignment horizontal="left" vertical="center" shrinkToFit="1"/>
      <protection locked="0"/>
    </xf>
    <xf numFmtId="43" fontId="20" fillId="6" borderId="0" xfId="413" applyFont="1" applyFill="1" applyBorder="1" applyAlignment="1" applyProtection="1">
      <alignment vertical="center" shrinkToFit="1"/>
      <protection locked="0"/>
    </xf>
    <xf numFmtId="43" fontId="20" fillId="0" borderId="1" xfId="15" applyFont="1" applyFill="1" applyBorder="1" applyAlignment="1" applyProtection="1">
      <alignment horizontal="right" wrapText="1"/>
      <protection locked="0"/>
    </xf>
    <xf numFmtId="43" fontId="20" fillId="6" borderId="1" xfId="15" applyFont="1" applyFill="1" applyBorder="1" applyAlignment="1" applyProtection="1">
      <protection locked="0"/>
    </xf>
    <xf numFmtId="179" fontId="34" fillId="6" borderId="0" xfId="343" applyFont="1" applyFill="1" applyAlignment="1" applyProtection="1">
      <alignment horizontal="left" vertical="center" shrinkToFit="1"/>
      <protection locked="0" hidden="1"/>
    </xf>
    <xf numFmtId="179" fontId="1" fillId="11" borderId="0" xfId="52" applyFont="1" applyFill="1" applyAlignment="1" applyProtection="1">
      <alignment vertical="center"/>
      <protection locked="0"/>
    </xf>
    <xf numFmtId="179" fontId="20" fillId="11" borderId="0" xfId="52" applyFont="1" applyFill="1" applyAlignment="1" applyProtection="1">
      <alignment vertical="center"/>
      <protection locked="0"/>
    </xf>
    <xf numFmtId="179" fontId="34" fillId="6" borderId="0" xfId="55" applyFont="1" applyFill="1" applyAlignment="1" applyProtection="1">
      <alignment horizontal="left" vertical="center" shrinkToFit="1"/>
      <protection locked="0"/>
    </xf>
    <xf numFmtId="179" fontId="34" fillId="6" borderId="0" xfId="69" applyFont="1" applyFill="1" applyBorder="1" applyAlignment="1" applyProtection="1">
      <alignment horizontal="left" vertical="center" shrinkToFit="1"/>
      <protection locked="0"/>
    </xf>
    <xf numFmtId="179" fontId="20" fillId="6" borderId="0" xfId="69" applyFont="1" applyFill="1" applyBorder="1" applyAlignment="1" applyProtection="1">
      <alignment vertical="center"/>
      <protection locked="0"/>
    </xf>
    <xf numFmtId="179" fontId="20" fillId="6" borderId="0" xfId="69" applyFont="1" applyFill="1" applyAlignment="1" applyProtection="1">
      <alignment horizontal="left" vertical="center"/>
      <protection locked="0"/>
    </xf>
    <xf numFmtId="179" fontId="34" fillId="6" borderId="0" xfId="192" applyFont="1" applyFill="1" applyAlignment="1" applyProtection="1">
      <alignment horizontal="left" vertical="center" shrinkToFit="1"/>
      <protection locked="0"/>
    </xf>
    <xf numFmtId="10" fontId="20" fillId="6" borderId="1" xfId="20" applyNumberFormat="1" applyFont="1" applyFill="1" applyBorder="1" applyAlignment="1" applyProtection="1">
      <alignment vertical="center"/>
    </xf>
    <xf numFmtId="43" fontId="20" fillId="0" borderId="0" xfId="55" applyNumberFormat="1" applyFont="1" applyFill="1" applyBorder="1" applyAlignment="1" applyProtection="1">
      <alignment horizontal="right" vertical="center" shrinkToFit="1"/>
      <protection locked="0"/>
    </xf>
    <xf numFmtId="179" fontId="20" fillId="0" borderId="0" xfId="28" applyFont="1" applyFill="1" applyAlignment="1" applyProtection="1">
      <alignment vertical="center"/>
      <protection locked="0"/>
    </xf>
    <xf numFmtId="179" fontId="34" fillId="6" borderId="0" xfId="342" applyFont="1" applyFill="1" applyAlignment="1" applyProtection="1">
      <alignment horizontal="left" vertical="center" shrinkToFit="1"/>
      <protection locked="0"/>
    </xf>
    <xf numFmtId="179" fontId="34" fillId="6" borderId="0" xfId="307" applyFont="1" applyFill="1" applyAlignment="1" applyProtection="1">
      <alignment horizontal="left" vertical="center" shrinkToFit="1"/>
      <protection locked="0" hidden="1"/>
    </xf>
    <xf numFmtId="179" fontId="13" fillId="6" borderId="0" xfId="307" applyFont="1" applyFill="1" applyBorder="1" applyAlignment="1" applyProtection="1">
      <alignment vertical="center"/>
      <protection locked="0"/>
    </xf>
    <xf numFmtId="179" fontId="20" fillId="6" borderId="1" xfId="15" applyNumberFormat="1" applyFont="1" applyFill="1" applyBorder="1" applyAlignment="1" applyProtection="1">
      <alignment horizontal="center" vertical="center" wrapText="1"/>
      <protection locked="0"/>
    </xf>
    <xf numFmtId="179" fontId="21" fillId="6" borderId="1" xfId="307" applyNumberFormat="1" applyFont="1" applyFill="1" applyBorder="1" applyAlignment="1" applyProtection="1">
      <alignment horizontal="left" vertical="center" wrapText="1"/>
      <protection locked="0"/>
    </xf>
    <xf numFmtId="43" fontId="20" fillId="10" borderId="1" xfId="15" applyNumberFormat="1" applyFont="1" applyFill="1" applyBorder="1" applyAlignment="1" applyProtection="1">
      <alignment horizontal="right" vertical="center" shrinkToFit="1"/>
    </xf>
    <xf numFmtId="179" fontId="45" fillId="6" borderId="1" xfId="307" applyNumberFormat="1" applyFont="1" applyFill="1" applyBorder="1" applyAlignment="1" applyProtection="1">
      <alignment horizontal="left" vertical="center" wrapText="1"/>
      <protection locked="0"/>
    </xf>
    <xf numFmtId="179" fontId="20" fillId="6" borderId="1" xfId="307" applyNumberFormat="1" applyFont="1" applyFill="1" applyBorder="1" applyAlignment="1" applyProtection="1">
      <alignment horizontal="left" vertical="center" wrapText="1"/>
      <protection locked="0"/>
    </xf>
    <xf numFmtId="179" fontId="1" fillId="6" borderId="1" xfId="307" applyNumberFormat="1" applyFont="1" applyFill="1" applyBorder="1" applyAlignment="1" applyProtection="1">
      <alignment horizontal="left" vertical="center" wrapText="1"/>
      <protection locked="0"/>
    </xf>
    <xf numFmtId="179" fontId="13" fillId="6" borderId="1" xfId="307" applyNumberFormat="1" applyFont="1" applyFill="1" applyBorder="1" applyAlignment="1" applyProtection="1">
      <alignment horizontal="left" vertical="center" wrapText="1"/>
      <protection locked="0"/>
    </xf>
    <xf numFmtId="179" fontId="46" fillId="6" borderId="1" xfId="307" applyNumberFormat="1" applyFont="1" applyFill="1" applyBorder="1" applyAlignment="1" applyProtection="1">
      <alignment horizontal="left" vertical="center" wrapText="1"/>
      <protection locked="0"/>
    </xf>
    <xf numFmtId="43" fontId="20" fillId="6" borderId="1" xfId="307" applyNumberFormat="1" applyFont="1" applyFill="1" applyBorder="1" applyAlignment="1" applyProtection="1">
      <alignment horizontal="right" vertical="center" shrinkToFit="1"/>
    </xf>
    <xf numFmtId="43" fontId="20" fillId="6" borderId="0" xfId="307" applyNumberFormat="1" applyFont="1" applyFill="1" applyBorder="1" applyAlignment="1" applyProtection="1">
      <alignment horizontal="right" vertical="center" shrinkToFit="1"/>
    </xf>
    <xf numFmtId="43" fontId="20" fillId="6" borderId="0" xfId="307" applyNumberFormat="1" applyFont="1" applyFill="1" applyBorder="1" applyAlignment="1" applyProtection="1">
      <alignment horizontal="right" vertical="center" shrinkToFit="1"/>
      <protection locked="0"/>
    </xf>
    <xf numFmtId="179" fontId="36" fillId="6" borderId="0" xfId="269" applyFont="1" applyFill="1" applyAlignment="1" applyProtection="1">
      <alignment horizontal="left" vertical="center" shrinkToFit="1"/>
      <protection locked="0" hidden="1"/>
    </xf>
    <xf numFmtId="179" fontId="36" fillId="6" borderId="0" xfId="126" applyFont="1" applyFill="1" applyAlignment="1" applyProtection="1">
      <alignment vertical="center" shrinkToFit="1"/>
    </xf>
    <xf numFmtId="179" fontId="20" fillId="6" borderId="0" xfId="307" applyNumberFormat="1" applyFont="1" applyFill="1" applyBorder="1" applyAlignment="1" applyProtection="1">
      <alignment horizontal="left" vertical="center" wrapText="1"/>
      <protection locked="0"/>
    </xf>
    <xf numFmtId="179" fontId="36" fillId="6" borderId="0" xfId="341" applyFont="1" applyFill="1" applyAlignment="1" applyProtection="1">
      <alignment vertical="center"/>
      <protection locked="0"/>
    </xf>
    <xf numFmtId="43" fontId="20" fillId="0" borderId="0" xfId="307" applyNumberFormat="1" applyFont="1" applyFill="1" applyBorder="1" applyAlignment="1" applyProtection="1">
      <alignment horizontal="right" vertical="center" shrinkToFit="1"/>
      <protection locked="0"/>
    </xf>
    <xf numFmtId="179" fontId="34" fillId="6" borderId="0" xfId="309" applyFont="1" applyFill="1" applyAlignment="1" applyProtection="1">
      <alignment horizontal="left" vertical="center" shrinkToFit="1"/>
      <protection locked="0" hidden="1"/>
    </xf>
    <xf numFmtId="179" fontId="14" fillId="22" borderId="0" xfId="17" applyFont="1" applyFill="1" applyAlignment="1" applyProtection="1">
      <alignment vertical="center"/>
      <protection locked="0"/>
    </xf>
    <xf numFmtId="179" fontId="20" fillId="6" borderId="0" xfId="309" applyFont="1" applyFill="1" applyAlignment="1" applyProtection="1">
      <alignment vertical="center"/>
      <protection locked="0"/>
    </xf>
    <xf numFmtId="179" fontId="20" fillId="6" borderId="1" xfId="309" applyNumberFormat="1" applyFont="1" applyFill="1" applyBorder="1" applyAlignment="1" applyProtection="1">
      <alignment horizontal="center" vertical="center" wrapText="1"/>
      <protection locked="0"/>
    </xf>
    <xf numFmtId="179" fontId="20" fillId="6" borderId="1" xfId="309" applyNumberFormat="1" applyFont="1" applyFill="1" applyBorder="1" applyAlignment="1" applyProtection="1">
      <alignment horizontal="left" vertical="center" wrapText="1"/>
      <protection locked="0"/>
    </xf>
    <xf numFmtId="179" fontId="20" fillId="0" borderId="1" xfId="309" applyNumberFormat="1" applyFont="1" applyFill="1" applyBorder="1" applyAlignment="1" applyProtection="1">
      <alignment horizontal="left" vertical="center" wrapText="1"/>
      <protection locked="0"/>
    </xf>
    <xf numFmtId="179" fontId="20" fillId="6" borderId="1" xfId="309" applyFont="1" applyFill="1" applyBorder="1" applyAlignment="1" applyProtection="1">
      <alignment horizontal="center" vertical="center" wrapText="1"/>
      <protection locked="0"/>
    </xf>
    <xf numFmtId="43" fontId="20" fillId="6" borderId="1" xfId="309" applyNumberFormat="1" applyFont="1" applyFill="1" applyBorder="1" applyAlignment="1" applyProtection="1">
      <alignment horizontal="right" vertical="center" shrinkToFit="1"/>
    </xf>
    <xf numFmtId="43" fontId="20" fillId="6" borderId="0" xfId="309" applyNumberFormat="1" applyFont="1" applyFill="1" applyBorder="1" applyAlignment="1" applyProtection="1">
      <alignment horizontal="right" vertical="center" shrinkToFit="1"/>
    </xf>
    <xf numFmtId="179" fontId="20" fillId="6" borderId="0" xfId="309" applyFont="1" applyFill="1" applyBorder="1" applyAlignment="1" applyProtection="1">
      <alignment horizontal="center" vertical="center" wrapText="1"/>
      <protection locked="0"/>
    </xf>
    <xf numFmtId="43" fontId="20" fillId="6" borderId="0" xfId="309" applyNumberFormat="1" applyFont="1" applyFill="1" applyBorder="1" applyAlignment="1" applyProtection="1">
      <alignment horizontal="right" vertical="center" shrinkToFit="1"/>
      <protection locked="0"/>
    </xf>
    <xf numFmtId="179" fontId="20" fillId="6" borderId="0" xfId="309" applyFont="1" applyFill="1" applyBorder="1" applyAlignment="1" applyProtection="1">
      <alignment horizontal="left" vertical="center" wrapText="1"/>
      <protection locked="0"/>
    </xf>
    <xf numFmtId="43" fontId="20" fillId="0" borderId="0" xfId="309" applyNumberFormat="1" applyFont="1" applyFill="1" applyBorder="1" applyAlignment="1" applyProtection="1">
      <alignment horizontal="right" vertical="center" shrinkToFit="1"/>
      <protection locked="0"/>
    </xf>
    <xf numFmtId="179" fontId="20" fillId="0" borderId="0" xfId="216" applyFont="1" applyFill="1" applyAlignment="1" applyProtection="1">
      <alignment vertical="center"/>
      <protection locked="0"/>
    </xf>
    <xf numFmtId="179" fontId="39" fillId="6" borderId="0" xfId="309" applyFont="1" applyFill="1" applyAlignment="1" applyProtection="1">
      <alignment horizontal="left" vertical="center" shrinkToFit="1"/>
      <protection locked="0" hidden="1"/>
    </xf>
    <xf numFmtId="179" fontId="20" fillId="6" borderId="1" xfId="269" applyFont="1" applyFill="1" applyBorder="1" applyAlignment="1" applyProtection="1">
      <alignment horizontal="left" vertical="top" wrapText="1"/>
      <protection locked="0"/>
    </xf>
    <xf numFmtId="43" fontId="20" fillId="0" borderId="1" xfId="269" applyNumberFormat="1" applyFont="1" applyFill="1" applyBorder="1" applyAlignment="1" applyProtection="1">
      <alignment horizontal="center" vertical="top" wrapText="1"/>
      <protection locked="0"/>
    </xf>
    <xf numFmtId="179" fontId="20" fillId="0" borderId="1" xfId="269" applyFont="1" applyFill="1" applyBorder="1" applyAlignment="1" applyProtection="1">
      <alignment horizontal="center" vertical="top" wrapText="1"/>
      <protection locked="0"/>
    </xf>
    <xf numFmtId="179" fontId="42" fillId="6" borderId="1" xfId="269" applyFont="1" applyFill="1" applyBorder="1" applyAlignment="1" applyProtection="1">
      <alignment horizontal="center" wrapText="1"/>
      <protection locked="0"/>
    </xf>
    <xf numFmtId="43" fontId="20" fillId="6" borderId="0" xfId="15" applyFont="1" applyFill="1" applyBorder="1" applyAlignment="1" applyProtection="1">
      <alignment horizontal="center" vertical="top" wrapText="1"/>
    </xf>
    <xf numFmtId="43" fontId="25" fillId="6" borderId="0" xfId="309" applyNumberFormat="1" applyFont="1" applyFill="1" applyBorder="1" applyAlignment="1" applyProtection="1">
      <alignment horizontal="right" vertical="center" shrinkToFit="1"/>
      <protection locked="0"/>
    </xf>
    <xf numFmtId="179" fontId="34" fillId="6" borderId="0" xfId="311" applyFont="1" applyFill="1" applyAlignment="1" applyProtection="1">
      <alignment horizontal="left" vertical="center" shrinkToFit="1"/>
      <protection locked="0" hidden="1"/>
    </xf>
    <xf numFmtId="179" fontId="20" fillId="6" borderId="0" xfId="311" applyNumberFormat="1" applyFont="1" applyFill="1" applyAlignment="1" applyProtection="1">
      <alignment horizontal="left" vertical="center" wrapText="1"/>
      <protection locked="0"/>
    </xf>
    <xf numFmtId="179" fontId="20" fillId="6" borderId="0" xfId="311" applyFont="1" applyFill="1" applyAlignment="1" applyProtection="1">
      <alignment vertical="center"/>
      <protection locked="0"/>
    </xf>
    <xf numFmtId="179" fontId="20" fillId="6" borderId="1" xfId="311" applyNumberFormat="1" applyFont="1" applyFill="1" applyBorder="1" applyAlignment="1" applyProtection="1">
      <alignment horizontal="center" vertical="center" wrapText="1"/>
      <protection locked="0"/>
    </xf>
    <xf numFmtId="179" fontId="20" fillId="0" borderId="1" xfId="311" applyNumberFormat="1" applyFont="1" applyFill="1" applyBorder="1" applyAlignment="1" applyProtection="1">
      <alignment horizontal="center" vertical="center" wrapText="1"/>
      <protection locked="0"/>
    </xf>
    <xf numFmtId="179" fontId="1" fillId="0" borderId="1" xfId="311" applyNumberFormat="1" applyFont="1" applyFill="1" applyBorder="1" applyAlignment="1" applyProtection="1">
      <alignment horizontal="center" vertical="center" wrapText="1"/>
      <protection locked="0"/>
    </xf>
    <xf numFmtId="179" fontId="20" fillId="0" borderId="1" xfId="311" applyNumberFormat="1" applyFont="1" applyFill="1" applyBorder="1" applyAlignment="1" applyProtection="1">
      <alignment horizontal="left" vertical="center" wrapText="1"/>
      <protection locked="0"/>
    </xf>
    <xf numFmtId="43" fontId="20" fillId="0" borderId="1" xfId="311" applyNumberFormat="1" applyFont="1" applyFill="1" applyBorder="1" applyAlignment="1" applyProtection="1">
      <alignment horizontal="right" vertical="center" shrinkToFit="1"/>
      <protection locked="0"/>
    </xf>
    <xf numFmtId="43" fontId="20" fillId="6" borderId="1" xfId="311" applyNumberFormat="1" applyFont="1" applyFill="1" applyBorder="1" applyAlignment="1" applyProtection="1">
      <alignment horizontal="right" vertical="center" shrinkToFit="1"/>
    </xf>
    <xf numFmtId="179" fontId="20" fillId="6" borderId="1" xfId="311" applyNumberFormat="1" applyFont="1" applyFill="1" applyBorder="1" applyAlignment="1" applyProtection="1">
      <alignment horizontal="left" vertical="center" wrapText="1"/>
      <protection locked="0"/>
    </xf>
    <xf numFmtId="179" fontId="24" fillId="6" borderId="0" xfId="269" applyFont="1" applyFill="1" applyAlignment="1" applyProtection="1">
      <protection locked="0"/>
    </xf>
    <xf numFmtId="179" fontId="20" fillId="6" borderId="0" xfId="269" applyNumberFormat="1" applyFont="1" applyFill="1" applyBorder="1" applyAlignment="1" applyProtection="1">
      <alignment horizontal="left" vertical="center" wrapText="1"/>
      <protection locked="0"/>
    </xf>
    <xf numFmtId="179" fontId="23" fillId="6" borderId="0" xfId="269" applyFont="1" applyFill="1" applyAlignment="1" applyProtection="1">
      <alignment horizontal="center" vertical="center"/>
      <protection locked="0"/>
    </xf>
    <xf numFmtId="179" fontId="20" fillId="0" borderId="1" xfId="269" applyNumberFormat="1" applyFont="1" applyFill="1" applyBorder="1" applyAlignment="1" applyProtection="1">
      <alignment vertical="center" wrapText="1"/>
      <protection locked="0"/>
    </xf>
    <xf numFmtId="179" fontId="20" fillId="0" borderId="1" xfId="269" applyFont="1" applyFill="1" applyBorder="1" applyAlignment="1" applyProtection="1">
      <alignment vertical="center"/>
      <protection locked="0"/>
    </xf>
    <xf numFmtId="43" fontId="20" fillId="6" borderId="0" xfId="15" applyFont="1" applyFill="1" applyBorder="1" applyAlignment="1" applyProtection="1">
      <alignment horizontal="center" vertical="center"/>
    </xf>
    <xf numFmtId="179" fontId="20" fillId="6" borderId="0" xfId="308" applyFont="1" applyFill="1" applyBorder="1" applyAlignment="1" applyProtection="1">
      <alignment horizontal="left" vertical="center"/>
      <protection locked="0"/>
    </xf>
    <xf numFmtId="43" fontId="20" fillId="0" borderId="1" xfId="269" applyNumberFormat="1" applyFont="1" applyFill="1" applyBorder="1" applyAlignment="1" applyProtection="1">
      <alignment horizontal="right" vertical="top" wrapText="1"/>
      <protection locked="0"/>
    </xf>
    <xf numFmtId="43" fontId="20" fillId="10" borderId="1" xfId="15" applyFont="1" applyFill="1" applyBorder="1" applyAlignment="1" applyProtection="1">
      <alignment horizontal="right" wrapText="1"/>
    </xf>
    <xf numFmtId="179" fontId="20" fillId="6" borderId="1" xfId="269" applyFont="1" applyFill="1" applyBorder="1" applyAlignment="1" applyProtection="1">
      <alignment horizontal="center" vertical="top" wrapText="1"/>
      <protection locked="0"/>
    </xf>
    <xf numFmtId="43" fontId="20" fillId="6" borderId="1" xfId="15" applyFont="1" applyFill="1" applyBorder="1" applyAlignment="1" applyProtection="1">
      <alignment horizontal="right" vertical="top" wrapText="1"/>
    </xf>
    <xf numFmtId="43" fontId="20" fillId="6" borderId="0" xfId="15" applyFont="1" applyFill="1" applyBorder="1" applyAlignment="1" applyProtection="1">
      <alignment horizontal="right" vertical="top" wrapText="1"/>
    </xf>
    <xf numFmtId="179" fontId="34" fillId="6" borderId="0" xfId="65" applyFont="1" applyFill="1" applyAlignment="1" applyProtection="1">
      <alignment horizontal="left" vertical="center" shrinkToFit="1"/>
      <protection locked="0" hidden="1"/>
    </xf>
    <xf numFmtId="43" fontId="20" fillId="6" borderId="1" xfId="100" applyNumberFormat="1" applyFont="1" applyFill="1" applyBorder="1" applyAlignment="1" applyProtection="1">
      <alignment horizontal="right" vertical="center" shrinkToFit="1"/>
      <protection locked="0"/>
    </xf>
    <xf numFmtId="43" fontId="20" fillId="6" borderId="1" xfId="100" applyNumberFormat="1" applyFont="1" applyFill="1" applyBorder="1" applyAlignment="1" applyProtection="1">
      <alignment horizontal="left" vertical="center" shrinkToFit="1"/>
      <protection locked="0"/>
    </xf>
    <xf numFmtId="43" fontId="1" fillId="6" borderId="0" xfId="100" applyNumberFormat="1" applyFont="1" applyFill="1" applyBorder="1" applyAlignment="1" applyProtection="1">
      <alignment horizontal="center" vertical="center" shrinkToFit="1"/>
      <protection locked="0"/>
    </xf>
    <xf numFmtId="179" fontId="20" fillId="0" borderId="0" xfId="269" applyFont="1" applyFill="1" applyProtection="1">
      <protection locked="0"/>
    </xf>
    <xf numFmtId="179" fontId="20" fillId="0" borderId="1" xfId="269" applyFont="1" applyFill="1" applyBorder="1" applyProtection="1">
      <protection locked="0"/>
    </xf>
    <xf numFmtId="179" fontId="20" fillId="6" borderId="1" xfId="269" applyFont="1" applyFill="1" applyBorder="1" applyAlignment="1" applyProtection="1">
      <alignment horizontal="left" indent="2"/>
      <protection locked="0"/>
    </xf>
    <xf numFmtId="179" fontId="1" fillId="6" borderId="0" xfId="269" applyFont="1" applyFill="1" applyAlignment="1" applyProtection="1">
      <alignment horizontal="left" indent="2"/>
      <protection locked="0"/>
    </xf>
    <xf numFmtId="179" fontId="13" fillId="0" borderId="1" xfId="269" applyFont="1" applyFill="1" applyBorder="1" applyAlignment="1" applyProtection="1">
      <alignment horizontal="center" vertical="center" wrapText="1"/>
      <protection locked="0"/>
    </xf>
    <xf numFmtId="179" fontId="20" fillId="0" borderId="1" xfId="269" applyFont="1" applyFill="1" applyBorder="1" applyAlignment="1" applyProtection="1">
      <alignment horizontal="center" vertical="center" wrapText="1"/>
      <protection locked="0"/>
    </xf>
    <xf numFmtId="179" fontId="20" fillId="6" borderId="1" xfId="269" applyFont="1" applyFill="1" applyBorder="1" applyAlignment="1" applyProtection="1">
      <alignment horizontal="center" vertical="center" wrapText="1"/>
      <protection locked="0"/>
    </xf>
    <xf numFmtId="179" fontId="1" fillId="6" borderId="0" xfId="269" applyFont="1" applyFill="1" applyAlignment="1" applyProtection="1">
      <alignment horizontal="center"/>
      <protection locked="0"/>
    </xf>
    <xf numFmtId="179" fontId="13" fillId="0" borderId="1" xfId="269" applyFont="1" applyFill="1" applyBorder="1" applyAlignment="1" applyProtection="1">
      <alignment horizontal="justify" wrapText="1"/>
      <protection locked="0"/>
    </xf>
    <xf numFmtId="43" fontId="20" fillId="0" borderId="1" xfId="15" applyFont="1" applyFill="1" applyBorder="1" applyProtection="1">
      <protection locked="0"/>
    </xf>
    <xf numFmtId="179" fontId="25" fillId="0" borderId="1" xfId="308" applyFont="1" applyFill="1" applyBorder="1" applyAlignment="1" applyProtection="1">
      <alignment vertical="center"/>
      <protection locked="0"/>
    </xf>
    <xf numFmtId="43" fontId="20" fillId="6" borderId="1" xfId="15" applyFont="1" applyFill="1" applyBorder="1" applyProtection="1"/>
    <xf numFmtId="179" fontId="25" fillId="6" borderId="1" xfId="308" applyFont="1" applyFill="1" applyBorder="1" applyAlignment="1" applyProtection="1">
      <alignment vertical="center"/>
      <protection locked="0"/>
    </xf>
    <xf numFmtId="179" fontId="25" fillId="0" borderId="0" xfId="308" applyFont="1" applyFill="1" applyAlignment="1" applyProtection="1">
      <alignment vertical="center"/>
      <protection locked="0"/>
    </xf>
    <xf numFmtId="179" fontId="1" fillId="0" borderId="1" xfId="269" applyFont="1" applyFill="1" applyBorder="1" applyAlignment="1" applyProtection="1">
      <alignment horizontal="center" vertical="center" wrapText="1"/>
      <protection locked="0"/>
    </xf>
    <xf numFmtId="43" fontId="13" fillId="0" borderId="1" xfId="15" applyFont="1" applyFill="1" applyBorder="1" applyAlignment="1" applyProtection="1">
      <alignment horizontal="center" vertical="center" wrapText="1"/>
      <protection locked="0"/>
    </xf>
    <xf numFmtId="179" fontId="34" fillId="6" borderId="0" xfId="197" applyFont="1" applyFill="1" applyAlignment="1" applyProtection="1">
      <alignment horizontal="left" vertical="center" shrinkToFit="1"/>
      <protection locked="0" hidden="1"/>
    </xf>
    <xf numFmtId="179" fontId="20" fillId="6" borderId="0" xfId="197" applyFont="1" applyFill="1" applyAlignment="1" applyProtection="1">
      <alignment vertical="center"/>
      <protection locked="0"/>
    </xf>
    <xf numFmtId="179" fontId="20" fillId="6" borderId="1" xfId="197" applyFont="1" applyFill="1" applyBorder="1" applyAlignment="1" applyProtection="1">
      <alignment horizontal="center" vertical="center" wrapText="1"/>
      <protection locked="0"/>
    </xf>
    <xf numFmtId="179" fontId="20" fillId="6" borderId="1" xfId="197" applyFont="1" applyFill="1" applyBorder="1" applyAlignment="1" applyProtection="1">
      <alignment horizontal="justify" vertical="center" wrapText="1"/>
      <protection locked="0"/>
    </xf>
    <xf numFmtId="179" fontId="20" fillId="6" borderId="1" xfId="197" applyFont="1" applyFill="1" applyBorder="1" applyAlignment="1" applyProtection="1">
      <alignment horizontal="left" vertical="center" wrapText="1"/>
      <protection locked="0"/>
    </xf>
    <xf numFmtId="179" fontId="25" fillId="6" borderId="0" xfId="278" applyFont="1" applyFill="1" applyAlignment="1" applyProtection="1">
      <alignment vertical="center"/>
      <protection locked="0"/>
    </xf>
    <xf numFmtId="179" fontId="20" fillId="6" borderId="0" xfId="197" applyFont="1" applyFill="1" applyBorder="1" applyAlignment="1" applyProtection="1">
      <alignment horizontal="right" vertical="center" wrapText="1"/>
      <protection locked="0"/>
    </xf>
    <xf numFmtId="179" fontId="21" fillId="0" borderId="1" xfId="269" applyFont="1" applyFill="1" applyBorder="1" applyAlignment="1" applyProtection="1">
      <alignment horizontal="center" wrapText="1"/>
      <protection locked="0"/>
    </xf>
    <xf numFmtId="179" fontId="20" fillId="0" borderId="1" xfId="278" applyFont="1" applyFill="1" applyBorder="1" applyAlignment="1" applyProtection="1">
      <alignment vertical="center"/>
      <protection locked="0"/>
    </xf>
    <xf numFmtId="179" fontId="13" fillId="6" borderId="14" xfId="269" applyFont="1" applyFill="1" applyBorder="1" applyAlignment="1" applyProtection="1">
      <alignment wrapText="1"/>
      <protection locked="0"/>
    </xf>
    <xf numFmtId="179" fontId="13" fillId="6" borderId="15" xfId="269" applyFont="1" applyFill="1" applyBorder="1" applyAlignment="1" applyProtection="1">
      <alignment wrapText="1"/>
      <protection locked="0"/>
    </xf>
    <xf numFmtId="179" fontId="13" fillId="6" borderId="20" xfId="269" applyFont="1" applyFill="1" applyBorder="1" applyAlignment="1" applyProtection="1">
      <alignment wrapText="1"/>
      <protection locked="0"/>
    </xf>
    <xf numFmtId="10" fontId="13" fillId="0" borderId="1" xfId="20" applyNumberFormat="1" applyFont="1" applyFill="1" applyBorder="1" applyAlignment="1" applyProtection="1">
      <alignment horizontal="center" wrapText="1"/>
      <protection locked="0"/>
    </xf>
    <xf numFmtId="179" fontId="20" fillId="0" borderId="1" xfId="197" applyFont="1" applyFill="1" applyBorder="1" applyAlignment="1" applyProtection="1">
      <alignment horizontal="right" vertical="center" wrapText="1"/>
      <protection locked="0"/>
    </xf>
    <xf numFmtId="179" fontId="20" fillId="6" borderId="1" xfId="278" applyFont="1" applyFill="1" applyBorder="1" applyAlignment="1" applyProtection="1">
      <alignment horizontal="center" vertical="center"/>
      <protection locked="0"/>
    </xf>
    <xf numFmtId="179" fontId="20" fillId="0" borderId="0" xfId="197" applyFont="1" applyFill="1" applyBorder="1" applyAlignment="1" applyProtection="1">
      <alignment horizontal="right" vertical="center" wrapText="1"/>
      <protection locked="0"/>
    </xf>
    <xf numFmtId="179" fontId="20" fillId="6" borderId="0" xfId="197" applyFont="1" applyFill="1" applyBorder="1" applyAlignment="1" applyProtection="1">
      <alignment horizontal="center" vertical="center" wrapText="1"/>
      <protection locked="0"/>
    </xf>
    <xf numFmtId="179" fontId="34" fillId="6" borderId="0" xfId="314" applyFont="1" applyFill="1" applyAlignment="1" applyProtection="1">
      <alignment horizontal="left" vertical="center" shrinkToFit="1"/>
      <protection locked="0" hidden="1"/>
    </xf>
    <xf numFmtId="179" fontId="20" fillId="6" borderId="4" xfId="314" applyNumberFormat="1" applyFont="1" applyFill="1" applyBorder="1" applyAlignment="1" applyProtection="1">
      <alignment vertical="center" wrapText="1"/>
      <protection locked="0"/>
    </xf>
    <xf numFmtId="179" fontId="20" fillId="0" borderId="1" xfId="314" applyNumberFormat="1" applyFont="1" applyFill="1" applyBorder="1" applyAlignment="1" applyProtection="1">
      <alignment horizontal="center" vertical="center" wrapText="1"/>
      <protection locked="0"/>
    </xf>
    <xf numFmtId="179" fontId="20" fillId="0" borderId="1" xfId="314" applyNumberFormat="1" applyFont="1" applyFill="1" applyBorder="1" applyAlignment="1" applyProtection="1">
      <alignment horizontal="left" vertical="center" wrapText="1"/>
      <protection locked="0"/>
    </xf>
    <xf numFmtId="179" fontId="20" fillId="0" borderId="1" xfId="314" applyFont="1" applyFill="1" applyBorder="1" applyAlignment="1" applyProtection="1">
      <alignment horizontal="center" vertical="center" wrapText="1"/>
      <protection locked="0"/>
    </xf>
    <xf numFmtId="176" fontId="20" fillId="0" borderId="1" xfId="314" applyNumberFormat="1" applyFont="1" applyFill="1" applyBorder="1" applyAlignment="1" applyProtection="1">
      <alignment horizontal="center" vertical="center" shrinkToFit="1"/>
      <protection locked="0"/>
    </xf>
    <xf numFmtId="43" fontId="20" fillId="0" borderId="1" xfId="314" applyNumberFormat="1" applyFont="1" applyFill="1" applyBorder="1" applyAlignment="1" applyProtection="1">
      <alignment horizontal="right" vertical="center" shrinkToFit="1"/>
      <protection locked="0"/>
    </xf>
    <xf numFmtId="179" fontId="20" fillId="6" borderId="1" xfId="314" applyFont="1" applyFill="1" applyBorder="1" applyAlignment="1" applyProtection="1">
      <alignment horizontal="center" vertical="center" wrapText="1"/>
      <protection locked="0"/>
    </xf>
    <xf numFmtId="43" fontId="20" fillId="6" borderId="1" xfId="314" applyNumberFormat="1" applyFont="1" applyFill="1" applyBorder="1" applyAlignment="1" applyProtection="1">
      <alignment horizontal="right" vertical="center" shrinkToFit="1"/>
    </xf>
    <xf numFmtId="176" fontId="20" fillId="6" borderId="1" xfId="314" applyNumberFormat="1" applyFont="1" applyFill="1" applyBorder="1" applyAlignment="1" applyProtection="1">
      <alignment horizontal="center" vertical="center" shrinkToFit="1"/>
      <protection locked="0"/>
    </xf>
    <xf numFmtId="43" fontId="20" fillId="6" borderId="1" xfId="314" applyNumberFormat="1" applyFont="1" applyFill="1" applyBorder="1" applyAlignment="1" applyProtection="1">
      <alignment horizontal="right" vertical="center" shrinkToFit="1"/>
      <protection locked="0"/>
    </xf>
    <xf numFmtId="179" fontId="34" fillId="6" borderId="0" xfId="161" applyFont="1" applyFill="1" applyAlignment="1" applyProtection="1">
      <alignment horizontal="left" vertical="center" shrinkToFit="1"/>
      <protection locked="0" hidden="1"/>
    </xf>
    <xf numFmtId="179" fontId="20" fillId="6" borderId="2" xfId="161" applyNumberFormat="1" applyFont="1" applyFill="1" applyBorder="1" applyAlignment="1" applyProtection="1">
      <alignment vertical="center" wrapText="1"/>
      <protection locked="0"/>
    </xf>
    <xf numFmtId="179" fontId="20" fillId="6" borderId="1" xfId="161" applyNumberFormat="1" applyFont="1" applyFill="1" applyBorder="1" applyAlignment="1" applyProtection="1">
      <alignment horizontal="center" vertical="center" wrapText="1"/>
      <protection locked="0"/>
    </xf>
    <xf numFmtId="179" fontId="1" fillId="0" borderId="1" xfId="161" applyNumberFormat="1" applyFont="1" applyFill="1" applyBorder="1" applyAlignment="1" applyProtection="1">
      <alignment horizontal="center" vertical="center" wrapText="1"/>
      <protection locked="0"/>
    </xf>
    <xf numFmtId="179" fontId="20" fillId="0" borderId="1" xfId="161" applyNumberFormat="1" applyFont="1" applyFill="1" applyBorder="1" applyAlignment="1" applyProtection="1">
      <alignment horizontal="center" vertical="center" wrapText="1"/>
      <protection locked="0"/>
    </xf>
    <xf numFmtId="43" fontId="20" fillId="0" borderId="1" xfId="161" applyNumberFormat="1" applyFont="1" applyFill="1" applyBorder="1" applyAlignment="1" applyProtection="1">
      <alignment horizontal="center" vertical="center" wrapText="1"/>
      <protection locked="0"/>
    </xf>
    <xf numFmtId="200" fontId="20" fillId="0" borderId="1" xfId="161" applyNumberFormat="1" applyFont="1" applyFill="1" applyBorder="1" applyAlignment="1" applyProtection="1">
      <alignment horizontal="center" vertical="center" wrapText="1"/>
      <protection locked="0"/>
    </xf>
    <xf numFmtId="200" fontId="20" fillId="6" borderId="1" xfId="161" applyNumberFormat="1" applyFont="1" applyFill="1" applyBorder="1" applyAlignment="1" applyProtection="1">
      <alignment horizontal="center" vertical="center" wrapText="1"/>
      <protection locked="0"/>
    </xf>
    <xf numFmtId="43" fontId="20" fillId="6" borderId="1" xfId="161" applyNumberFormat="1" applyFont="1" applyFill="1" applyBorder="1" applyAlignment="1" applyProtection="1">
      <alignment horizontal="right" vertical="center" shrinkToFit="1"/>
    </xf>
    <xf numFmtId="179" fontId="20" fillId="6" borderId="1" xfId="197" applyFont="1" applyFill="1" applyBorder="1" applyAlignment="1" applyProtection="1">
      <alignment horizontal="right" vertical="center" wrapText="1"/>
      <protection locked="0"/>
    </xf>
    <xf numFmtId="179" fontId="20" fillId="6" borderId="0" xfId="197" applyFont="1" applyFill="1" applyBorder="1" applyAlignment="1" applyProtection="1">
      <alignment horizontal="left" vertical="center" wrapText="1"/>
      <protection locked="0"/>
    </xf>
    <xf numFmtId="179" fontId="20" fillId="6" borderId="1" xfId="156" applyFont="1" applyFill="1" applyBorder="1" applyAlignment="1" applyProtection="1">
      <alignment vertical="center"/>
      <protection locked="0"/>
    </xf>
    <xf numFmtId="179" fontId="20" fillId="0" borderId="1" xfId="156" applyFont="1" applyFill="1" applyBorder="1" applyAlignment="1" applyProtection="1">
      <alignment vertical="center"/>
      <protection locked="0"/>
    </xf>
    <xf numFmtId="43" fontId="20" fillId="6" borderId="0" xfId="156" applyNumberFormat="1" applyFont="1" applyFill="1" applyAlignment="1" applyProtection="1">
      <alignment vertical="center"/>
    </xf>
    <xf numFmtId="179" fontId="20" fillId="6" borderId="0" xfId="156" applyFont="1" applyFill="1" applyBorder="1" applyAlignment="1" applyProtection="1">
      <alignment vertical="center"/>
      <protection locked="0"/>
    </xf>
    <xf numFmtId="179" fontId="20" fillId="0" borderId="0" xfId="156" applyFont="1" applyFill="1" applyBorder="1" applyAlignment="1" applyProtection="1">
      <alignment vertical="center"/>
      <protection locked="0"/>
    </xf>
    <xf numFmtId="179" fontId="20" fillId="0" borderId="0" xfId="156" applyFont="1" applyFill="1" applyAlignment="1" applyProtection="1">
      <alignment vertical="center"/>
      <protection locked="0"/>
    </xf>
    <xf numFmtId="179" fontId="34" fillId="6" borderId="0" xfId="70" applyFont="1" applyFill="1" applyAlignment="1" applyProtection="1">
      <alignment horizontal="left" vertical="center" shrinkToFit="1"/>
      <protection locked="0" hidden="1"/>
    </xf>
    <xf numFmtId="179" fontId="20" fillId="6" borderId="0" xfId="70" applyFont="1" applyFill="1" applyAlignment="1" applyProtection="1">
      <alignment horizontal="left" vertical="center"/>
      <protection locked="0"/>
    </xf>
    <xf numFmtId="179" fontId="20" fillId="6" borderId="1" xfId="70" applyNumberFormat="1" applyFont="1" applyFill="1" applyBorder="1" applyAlignment="1" applyProtection="1">
      <alignment horizontal="center" vertical="center" wrapText="1"/>
      <protection locked="0"/>
    </xf>
    <xf numFmtId="179" fontId="20" fillId="0" borderId="1" xfId="70" applyNumberFormat="1" applyFont="1" applyFill="1" applyBorder="1" applyAlignment="1" applyProtection="1">
      <alignment horizontal="center" vertical="center" wrapText="1"/>
      <protection locked="0"/>
    </xf>
    <xf numFmtId="179" fontId="20" fillId="0" borderId="1" xfId="70" applyNumberFormat="1" applyFont="1" applyFill="1" applyBorder="1" applyAlignment="1" applyProtection="1">
      <alignment horizontal="left" vertical="center" wrapText="1"/>
      <protection locked="0"/>
    </xf>
    <xf numFmtId="43" fontId="20" fillId="6" borderId="0" xfId="413" applyNumberFormat="1" applyFont="1" applyFill="1" applyAlignment="1" applyProtection="1">
      <alignment horizontal="right" vertical="center" shrinkToFit="1"/>
    </xf>
    <xf numFmtId="179" fontId="33" fillId="6" borderId="0" xfId="197" applyFont="1" applyFill="1" applyBorder="1" applyAlignment="1" applyProtection="1">
      <alignment horizontal="left" vertical="center" shrinkToFit="1"/>
      <protection locked="0" hidden="1"/>
    </xf>
    <xf numFmtId="179" fontId="13" fillId="6" borderId="0" xfId="197" applyFont="1" applyFill="1" applyBorder="1" applyAlignment="1" applyProtection="1">
      <alignment horizontal="left" vertical="center" wrapText="1"/>
      <protection locked="0"/>
    </xf>
    <xf numFmtId="179" fontId="20" fillId="6" borderId="0" xfId="161" applyNumberFormat="1" applyFont="1" applyFill="1" applyBorder="1" applyAlignment="1" applyProtection="1">
      <alignment vertical="center" wrapText="1"/>
      <protection locked="0"/>
    </xf>
    <xf numFmtId="179" fontId="20" fillId="6" borderId="17" xfId="156" applyFont="1" applyFill="1" applyBorder="1" applyAlignment="1" applyProtection="1">
      <alignment vertical="center"/>
      <protection locked="0"/>
    </xf>
    <xf numFmtId="43" fontId="13" fillId="6" borderId="1" xfId="15" applyFont="1" applyFill="1" applyBorder="1" applyAlignment="1" applyProtection="1">
      <alignment horizontal="justify" vertical="top" wrapText="1"/>
      <protection locked="0"/>
    </xf>
    <xf numFmtId="43" fontId="13" fillId="6" borderId="1" xfId="15" applyFont="1" applyFill="1" applyBorder="1" applyAlignment="1" applyProtection="1">
      <alignment horizontal="center" vertical="top" wrapText="1"/>
    </xf>
    <xf numFmtId="43" fontId="20" fillId="6" borderId="1" xfId="15" applyFont="1" applyFill="1" applyBorder="1" applyAlignment="1" applyProtection="1">
      <alignment horizontal="justify" vertical="top" wrapText="1"/>
      <protection locked="0"/>
    </xf>
    <xf numFmtId="43" fontId="47" fillId="6" borderId="1" xfId="15" applyFont="1" applyFill="1" applyBorder="1" applyAlignment="1" applyProtection="1">
      <alignment horizontal="center" vertical="top" wrapText="1"/>
      <protection locked="0"/>
    </xf>
    <xf numFmtId="43" fontId="20" fillId="6" borderId="0" xfId="197" applyNumberFormat="1" applyFont="1" applyFill="1" applyBorder="1" applyAlignment="1" applyProtection="1">
      <alignment horizontal="right" vertical="center" wrapText="1"/>
    </xf>
    <xf numFmtId="43" fontId="20" fillId="6" borderId="0" xfId="197" applyNumberFormat="1" applyFont="1" applyFill="1" applyBorder="1" applyAlignment="1" applyProtection="1">
      <alignment horizontal="right" vertical="center" wrapText="1"/>
      <protection locked="0"/>
    </xf>
    <xf numFmtId="179" fontId="20" fillId="6" borderId="1" xfId="156" applyFont="1" applyFill="1" applyBorder="1" applyAlignment="1" applyProtection="1">
      <alignment horizontal="center" vertical="center"/>
      <protection locked="0"/>
    </xf>
    <xf numFmtId="43" fontId="20" fillId="0" borderId="1" xfId="156" applyNumberFormat="1" applyFont="1" applyFill="1" applyBorder="1" applyAlignment="1" applyProtection="1">
      <alignment vertical="center"/>
      <protection locked="0"/>
    </xf>
    <xf numFmtId="179" fontId="1" fillId="0" borderId="1" xfId="278" applyFont="1" applyFill="1" applyBorder="1" applyAlignment="1" applyProtection="1">
      <alignment vertical="center"/>
      <protection locked="0"/>
    </xf>
    <xf numFmtId="43" fontId="20" fillId="6" borderId="1" xfId="413" applyNumberFormat="1" applyFont="1" applyFill="1" applyBorder="1" applyAlignment="1" applyProtection="1">
      <alignment horizontal="right" vertical="center" shrinkToFit="1"/>
      <protection locked="0"/>
    </xf>
    <xf numFmtId="43" fontId="20" fillId="6" borderId="0" xfId="156" applyNumberFormat="1" applyFont="1" applyFill="1" applyAlignment="1" applyProtection="1">
      <alignment vertical="center"/>
      <protection locked="0"/>
    </xf>
    <xf numFmtId="43" fontId="20" fillId="6" borderId="1" xfId="156" applyNumberFormat="1" applyFont="1" applyFill="1" applyBorder="1" applyAlignment="1" applyProtection="1">
      <alignment vertical="center"/>
    </xf>
    <xf numFmtId="179" fontId="20" fillId="6" borderId="1" xfId="278" applyFont="1" applyFill="1" applyBorder="1" applyAlignment="1" applyProtection="1">
      <alignment vertical="center"/>
      <protection locked="0"/>
    </xf>
    <xf numFmtId="179" fontId="1" fillId="6" borderId="0" xfId="278" applyFont="1" applyFill="1" applyAlignment="1" applyProtection="1">
      <alignment vertical="center"/>
      <protection locked="0"/>
    </xf>
    <xf numFmtId="179" fontId="20" fillId="0" borderId="1" xfId="197" applyFont="1" applyFill="1" applyBorder="1" applyAlignment="1" applyProtection="1">
      <alignment horizontal="left" vertical="center" wrapText="1"/>
      <protection locked="0"/>
    </xf>
    <xf numFmtId="43" fontId="20" fillId="6" borderId="1" xfId="15" applyFont="1" applyFill="1" applyBorder="1" applyAlignment="1" applyProtection="1">
      <alignment horizontal="right" vertical="center" wrapText="1"/>
    </xf>
    <xf numFmtId="43" fontId="20" fillId="11" borderId="0" xfId="15" applyFont="1" applyFill="1" applyBorder="1" applyAlignment="1" applyProtection="1">
      <alignment horizontal="center" vertical="center" shrinkToFit="1"/>
      <protection locked="0"/>
    </xf>
    <xf numFmtId="179" fontId="1" fillId="22" borderId="0" xfId="17" applyFont="1" applyFill="1" applyAlignment="1" applyProtection="1">
      <alignment vertical="center"/>
      <protection locked="0"/>
    </xf>
    <xf numFmtId="179" fontId="34" fillId="6" borderId="0" xfId="288" applyFont="1" applyFill="1" applyAlignment="1" applyProtection="1">
      <alignment horizontal="left" vertical="center" shrinkToFit="1"/>
      <protection locked="0" hidden="1"/>
    </xf>
    <xf numFmtId="179" fontId="20" fillId="6" borderId="1" xfId="282" applyNumberFormat="1" applyFont="1" applyFill="1" applyBorder="1" applyAlignment="1" applyProtection="1">
      <alignment horizontal="center" vertical="center" wrapText="1"/>
      <protection locked="0"/>
    </xf>
    <xf numFmtId="179" fontId="20" fillId="6" borderId="1" xfId="282" applyNumberFormat="1" applyFont="1" applyFill="1" applyBorder="1" applyAlignment="1" applyProtection="1">
      <alignment horizontal="left" vertical="center" wrapText="1"/>
      <protection locked="0"/>
    </xf>
    <xf numFmtId="179" fontId="20" fillId="6" borderId="0" xfId="282" applyNumberFormat="1" applyFont="1" applyFill="1" applyBorder="1" applyAlignment="1" applyProtection="1">
      <alignment horizontal="left" vertical="center" wrapText="1"/>
      <protection locked="0"/>
    </xf>
    <xf numFmtId="179" fontId="20" fillId="6" borderId="0" xfId="282" applyNumberFormat="1" applyFont="1" applyFill="1" applyBorder="1" applyAlignment="1" applyProtection="1">
      <alignment horizontal="center" vertical="center" wrapText="1"/>
      <protection locked="0"/>
    </xf>
    <xf numFmtId="179" fontId="34" fillId="6" borderId="0" xfId="285" applyFont="1" applyFill="1" applyAlignment="1" applyProtection="1">
      <alignment horizontal="left" vertical="center" shrinkToFit="1"/>
      <protection locked="0" hidden="1"/>
    </xf>
    <xf numFmtId="179" fontId="20" fillId="6" borderId="1" xfId="420" applyNumberFormat="1" applyFont="1" applyFill="1" applyBorder="1" applyAlignment="1" applyProtection="1">
      <alignment horizontal="center" vertical="center" wrapText="1"/>
      <protection locked="0"/>
    </xf>
    <xf numFmtId="179" fontId="20" fillId="6" borderId="1" xfId="420" applyNumberFormat="1" applyFont="1" applyFill="1" applyBorder="1" applyAlignment="1" applyProtection="1">
      <alignment horizontal="left" vertical="center" wrapText="1"/>
      <protection locked="0"/>
    </xf>
    <xf numFmtId="43" fontId="20" fillId="6" borderId="0" xfId="420" applyNumberFormat="1" applyFont="1" applyFill="1" applyBorder="1" applyAlignment="1" applyProtection="1">
      <alignment horizontal="right" vertical="center" shrinkToFit="1"/>
    </xf>
    <xf numFmtId="43" fontId="20" fillId="6" borderId="0" xfId="420" applyNumberFormat="1" applyFont="1" applyFill="1" applyBorder="1" applyAlignment="1" applyProtection="1">
      <alignment horizontal="right" vertical="center" shrinkToFit="1"/>
      <protection locked="0"/>
    </xf>
    <xf numFmtId="179" fontId="33" fillId="6" borderId="0" xfId="285" applyFont="1" applyFill="1" applyAlignment="1" applyProtection="1">
      <alignment horizontal="left" vertical="center" shrinkToFit="1"/>
      <protection locked="0" hidden="1"/>
    </xf>
    <xf numFmtId="179" fontId="34" fillId="6" borderId="0" xfId="283" applyFont="1" applyFill="1" applyAlignment="1" applyProtection="1">
      <alignment horizontal="left" vertical="center" shrinkToFit="1"/>
      <protection locked="0" hidden="1"/>
    </xf>
    <xf numFmtId="179" fontId="20" fillId="6" borderId="1" xfId="67" applyFont="1" applyFill="1" applyBorder="1" applyAlignment="1" applyProtection="1">
      <alignment horizontal="center" vertical="center" wrapText="1"/>
      <protection locked="0"/>
    </xf>
    <xf numFmtId="179" fontId="20" fillId="6" borderId="1" xfId="67" applyNumberFormat="1" applyFont="1" applyFill="1" applyBorder="1" applyAlignment="1" applyProtection="1">
      <alignment horizontal="center" vertical="center" wrapText="1"/>
      <protection locked="0"/>
    </xf>
    <xf numFmtId="179" fontId="20" fillId="6" borderId="1" xfId="67" applyNumberFormat="1" applyFont="1" applyFill="1" applyBorder="1" applyAlignment="1" applyProtection="1">
      <alignment horizontal="left" vertical="center" wrapText="1"/>
      <protection locked="0"/>
    </xf>
    <xf numFmtId="43" fontId="20" fillId="0" borderId="1" xfId="420" applyNumberFormat="1" applyFont="1" applyFill="1" applyBorder="1" applyAlignment="1" applyProtection="1">
      <alignment horizontal="right" vertical="center" shrinkToFit="1"/>
      <protection locked="0"/>
    </xf>
    <xf numFmtId="179" fontId="20" fillId="0" borderId="1" xfId="282" applyFont="1" applyFill="1" applyBorder="1" applyAlignment="1" applyProtection="1">
      <alignment horizontal="left" vertical="center" wrapText="1"/>
      <protection locked="0"/>
    </xf>
    <xf numFmtId="179" fontId="20" fillId="6" borderId="1" xfId="282" applyFont="1" applyFill="1" applyBorder="1" applyAlignment="1" applyProtection="1">
      <alignment horizontal="left" vertical="center" wrapText="1"/>
      <protection locked="0"/>
    </xf>
    <xf numFmtId="179" fontId="20" fillId="6" borderId="0" xfId="282" applyFont="1" applyFill="1" applyBorder="1" applyAlignment="1" applyProtection="1">
      <alignment horizontal="left" vertical="center" wrapText="1"/>
      <protection locked="0"/>
    </xf>
    <xf numFmtId="179" fontId="20" fillId="0" borderId="0" xfId="282" applyFont="1" applyFill="1" applyBorder="1" applyAlignment="1" applyProtection="1">
      <alignment horizontal="left" vertical="center" wrapText="1"/>
      <protection locked="0"/>
    </xf>
    <xf numFmtId="43" fontId="20" fillId="6" borderId="0" xfId="282" applyNumberFormat="1" applyFont="1" applyFill="1" applyBorder="1" applyAlignment="1" applyProtection="1">
      <alignment horizontal="right" vertical="center" shrinkToFit="1"/>
      <protection locked="0"/>
    </xf>
    <xf numFmtId="210" fontId="20" fillId="0" borderId="1" xfId="420" applyNumberFormat="1" applyFont="1" applyFill="1" applyBorder="1" applyAlignment="1" applyProtection="1">
      <alignment horizontal="center" vertical="center" wrapText="1"/>
      <protection locked="0"/>
    </xf>
    <xf numFmtId="210" fontId="20" fillId="6" borderId="1" xfId="420" applyNumberFormat="1" applyFont="1" applyFill="1" applyBorder="1" applyAlignment="1" applyProtection="1">
      <alignment horizontal="center" vertical="center" wrapText="1"/>
      <protection locked="0"/>
    </xf>
    <xf numFmtId="210" fontId="20" fillId="6" borderId="0" xfId="420" applyNumberFormat="1" applyFont="1" applyFill="1" applyBorder="1" applyAlignment="1" applyProtection="1">
      <alignment horizontal="center" vertical="center" wrapText="1"/>
      <protection locked="0"/>
    </xf>
    <xf numFmtId="179" fontId="1" fillId="6" borderId="1" xfId="67" applyNumberFormat="1" applyFont="1" applyFill="1" applyBorder="1" applyAlignment="1" applyProtection="1">
      <alignment horizontal="left" vertical="center" wrapText="1"/>
      <protection locked="0"/>
    </xf>
    <xf numFmtId="179" fontId="20" fillId="6" borderId="0" xfId="315" applyFont="1" applyFill="1" applyAlignment="1" applyProtection="1">
      <alignment horizontal="left" vertical="center"/>
      <protection locked="0"/>
    </xf>
    <xf numFmtId="43" fontId="20" fillId="0" borderId="0" xfId="420" applyNumberFormat="1" applyFont="1" applyFill="1" applyBorder="1" applyAlignment="1" applyProtection="1">
      <alignment horizontal="right" vertical="center" shrinkToFit="1"/>
      <protection locked="0"/>
    </xf>
    <xf numFmtId="179" fontId="20" fillId="6" borderId="0" xfId="420" applyNumberFormat="1" applyFont="1" applyFill="1" applyBorder="1" applyAlignment="1" applyProtection="1">
      <alignment horizontal="center" vertical="center" wrapText="1"/>
      <protection locked="0"/>
    </xf>
    <xf numFmtId="179" fontId="34" fillId="6" borderId="0" xfId="315" applyFont="1" applyFill="1" applyBorder="1" applyAlignment="1" applyProtection="1">
      <alignment horizontal="left" vertical="center" shrinkToFit="1"/>
      <protection locked="0" hidden="1"/>
    </xf>
    <xf numFmtId="179" fontId="20" fillId="6" borderId="2" xfId="315" applyFont="1" applyFill="1" applyBorder="1" applyAlignment="1" applyProtection="1">
      <alignment vertical="center"/>
      <protection locked="0"/>
    </xf>
    <xf numFmtId="43" fontId="20" fillId="6" borderId="2" xfId="15" applyFont="1" applyFill="1" applyBorder="1" applyAlignment="1" applyProtection="1">
      <alignment vertical="center" shrinkToFit="1"/>
      <protection locked="0"/>
    </xf>
    <xf numFmtId="179" fontId="20" fillId="6" borderId="1" xfId="315" applyFont="1" applyFill="1" applyBorder="1" applyAlignment="1" applyProtection="1">
      <alignment horizontal="center" vertical="center" wrapText="1"/>
      <protection locked="0"/>
    </xf>
    <xf numFmtId="179" fontId="20" fillId="6" borderId="1" xfId="315" applyFont="1" applyFill="1" applyBorder="1" applyAlignment="1" applyProtection="1">
      <alignment horizontal="justify" vertical="center" wrapText="1"/>
      <protection locked="0"/>
    </xf>
    <xf numFmtId="43" fontId="20" fillId="6" borderId="1" xfId="315" applyNumberFormat="1" applyFont="1" applyFill="1" applyBorder="1" applyAlignment="1" applyProtection="1">
      <alignment horizontal="right" vertical="center" shrinkToFit="1"/>
    </xf>
    <xf numFmtId="43" fontId="20" fillId="6" borderId="0" xfId="315" applyNumberFormat="1" applyFont="1" applyFill="1" applyBorder="1" applyAlignment="1" applyProtection="1">
      <alignment horizontal="right" vertical="center" shrinkToFit="1"/>
    </xf>
    <xf numFmtId="179" fontId="20" fillId="6" borderId="0" xfId="315" applyFont="1" applyFill="1" applyBorder="1" applyAlignment="1" applyProtection="1">
      <alignment horizontal="center" vertical="center" wrapText="1"/>
      <protection locked="0"/>
    </xf>
    <xf numFmtId="43" fontId="20" fillId="6" borderId="0" xfId="315" applyNumberFormat="1" applyFont="1" applyFill="1" applyBorder="1" applyAlignment="1" applyProtection="1">
      <alignment horizontal="right" vertical="center" shrinkToFit="1"/>
      <protection locked="0"/>
    </xf>
    <xf numFmtId="43" fontId="20" fillId="6" borderId="0" xfId="15" applyFont="1" applyFill="1" applyBorder="1" applyAlignment="1" applyProtection="1">
      <alignment horizontal="justify" vertical="center" shrinkToFit="1"/>
      <protection locked="0"/>
    </xf>
    <xf numFmtId="179" fontId="20" fillId="6" borderId="0" xfId="315" applyFont="1" applyFill="1" applyAlignment="1" applyProtection="1">
      <alignment vertical="center"/>
      <protection locked="0"/>
    </xf>
    <xf numFmtId="179" fontId="20" fillId="6" borderId="1" xfId="315" applyFont="1" applyFill="1" applyBorder="1" applyAlignment="1" applyProtection="1">
      <alignment vertical="center"/>
      <protection locked="0"/>
    </xf>
    <xf numFmtId="179" fontId="20" fillId="6" borderId="1" xfId="272" applyFont="1" applyFill="1" applyBorder="1" applyAlignment="1" applyProtection="1">
      <alignment horizontal="left" vertical="center" wrapText="1"/>
      <protection locked="0"/>
    </xf>
    <xf numFmtId="179" fontId="20" fillId="0" borderId="1" xfId="315" applyFont="1" applyFill="1" applyBorder="1" applyAlignment="1" applyProtection="1">
      <alignment vertical="center"/>
      <protection locked="0"/>
    </xf>
    <xf numFmtId="43" fontId="20" fillId="10" borderId="1" xfId="15" applyFont="1" applyFill="1" applyBorder="1" applyAlignment="1" applyProtection="1">
      <alignment horizontal="center" vertical="center" shrinkToFit="1"/>
    </xf>
    <xf numFmtId="179" fontId="1" fillId="6" borderId="0" xfId="315" applyFont="1" applyFill="1" applyBorder="1" applyAlignment="1" applyProtection="1">
      <alignment horizontal="center" vertical="center" wrapText="1"/>
      <protection locked="0"/>
    </xf>
    <xf numFmtId="179" fontId="20" fillId="6" borderId="1" xfId="272" applyFont="1" applyFill="1" applyBorder="1" applyAlignment="1" applyProtection="1">
      <alignment horizontal="center" vertical="center" wrapText="1"/>
      <protection locked="0"/>
    </xf>
    <xf numFmtId="43" fontId="20" fillId="0" borderId="1" xfId="272" applyNumberFormat="1" applyFont="1" applyFill="1" applyBorder="1" applyAlignment="1" applyProtection="1">
      <alignment horizontal="center" vertical="center" wrapText="1"/>
      <protection locked="0"/>
    </xf>
    <xf numFmtId="43" fontId="20" fillId="10" borderId="1" xfId="272" applyNumberFormat="1" applyFont="1" applyFill="1" applyBorder="1" applyAlignment="1" applyProtection="1">
      <alignment horizontal="center" vertical="center" wrapText="1"/>
    </xf>
    <xf numFmtId="179" fontId="20" fillId="6" borderId="0" xfId="315" applyFont="1" applyFill="1" applyBorder="1" applyAlignment="1" applyProtection="1">
      <alignment vertical="center"/>
      <protection locked="0"/>
    </xf>
    <xf numFmtId="179" fontId="1" fillId="6" borderId="0" xfId="335" applyFont="1" applyFill="1" applyAlignment="1" applyProtection="1">
      <alignment vertical="center"/>
      <protection locked="0"/>
    </xf>
    <xf numFmtId="179" fontId="20" fillId="0" borderId="1" xfId="272" applyFont="1" applyFill="1" applyBorder="1" applyAlignment="1" applyProtection="1">
      <alignment horizontal="left" vertical="center" wrapText="1"/>
      <protection locked="0"/>
    </xf>
    <xf numFmtId="179" fontId="20" fillId="0" borderId="1" xfId="272" applyFont="1" applyFill="1" applyBorder="1" applyAlignment="1" applyProtection="1">
      <alignment horizontal="center" vertical="center" wrapText="1"/>
      <protection locked="0"/>
    </xf>
    <xf numFmtId="10" fontId="20" fillId="6" borderId="1" xfId="20" applyNumberFormat="1" applyFont="1" applyFill="1" applyBorder="1" applyAlignment="1" applyProtection="1">
      <alignment horizontal="center" vertical="center" wrapText="1"/>
    </xf>
    <xf numFmtId="179" fontId="20" fillId="6" borderId="0" xfId="272" applyFont="1" applyFill="1" applyBorder="1" applyAlignment="1" applyProtection="1">
      <alignment horizontal="center" vertical="center" wrapText="1"/>
      <protection locked="0"/>
    </xf>
    <xf numFmtId="43" fontId="20" fillId="0" borderId="0" xfId="315" applyNumberFormat="1" applyFont="1" applyFill="1" applyBorder="1" applyAlignment="1" applyProtection="1">
      <alignment horizontal="right" vertical="center" shrinkToFit="1"/>
      <protection locked="0"/>
    </xf>
    <xf numFmtId="43" fontId="20" fillId="0" borderId="0" xfId="15" applyFont="1" applyFill="1" applyBorder="1" applyAlignment="1" applyProtection="1">
      <alignment horizontal="justify" vertical="center" shrinkToFit="1"/>
      <protection locked="0"/>
    </xf>
    <xf numFmtId="179" fontId="34" fillId="6" borderId="0" xfId="316" applyFont="1" applyFill="1" applyAlignment="1" applyProtection="1">
      <alignment horizontal="left" vertical="center" shrinkToFit="1"/>
      <protection locked="0" hidden="1"/>
    </xf>
    <xf numFmtId="179" fontId="20" fillId="6" borderId="0" xfId="316" applyFont="1" applyFill="1" applyAlignment="1" applyProtection="1">
      <alignment vertical="center"/>
      <protection locked="0"/>
    </xf>
    <xf numFmtId="179" fontId="20" fillId="6" borderId="1" xfId="316" applyFont="1" applyFill="1" applyBorder="1" applyAlignment="1" applyProtection="1">
      <alignment horizontal="center" vertical="center" wrapText="1"/>
      <protection locked="0"/>
    </xf>
    <xf numFmtId="179" fontId="20" fillId="6" borderId="1" xfId="336" applyFont="1" applyFill="1" applyBorder="1" applyAlignment="1" applyProtection="1">
      <alignment horizontal="justify" vertical="center" wrapText="1"/>
      <protection locked="0"/>
    </xf>
    <xf numFmtId="179" fontId="20" fillId="0" borderId="0" xfId="315" applyFont="1" applyFill="1" applyBorder="1" applyAlignment="1" applyProtection="1">
      <alignment vertical="center"/>
      <protection locked="0"/>
    </xf>
    <xf numFmtId="43" fontId="20" fillId="6" borderId="1" xfId="316" applyNumberFormat="1" applyFont="1" applyFill="1" applyBorder="1" applyAlignment="1" applyProtection="1">
      <alignment horizontal="right" vertical="center" shrinkToFit="1"/>
    </xf>
    <xf numFmtId="43" fontId="20" fillId="6" borderId="0" xfId="316" applyNumberFormat="1" applyFont="1" applyFill="1" applyBorder="1" applyAlignment="1" applyProtection="1">
      <alignment horizontal="right" vertical="center" shrinkToFit="1"/>
    </xf>
    <xf numFmtId="179" fontId="20" fillId="6" borderId="0" xfId="316" applyFont="1" applyFill="1" applyBorder="1" applyAlignment="1" applyProtection="1">
      <alignment horizontal="center" vertical="center" wrapText="1"/>
      <protection locked="0"/>
    </xf>
    <xf numFmtId="43" fontId="20" fillId="6" borderId="0" xfId="316" applyNumberFormat="1" applyFont="1" applyFill="1" applyBorder="1" applyAlignment="1" applyProtection="1">
      <alignment horizontal="right" vertical="center" shrinkToFit="1"/>
      <protection locked="0"/>
    </xf>
    <xf numFmtId="43" fontId="25" fillId="6" borderId="0" xfId="316" applyNumberFormat="1" applyFont="1" applyFill="1" applyBorder="1" applyAlignment="1" applyProtection="1">
      <alignment horizontal="right" vertical="center" shrinkToFit="1"/>
      <protection locked="0"/>
    </xf>
    <xf numFmtId="179" fontId="34" fillId="6" borderId="0" xfId="272" applyFont="1" applyFill="1" applyAlignment="1" applyProtection="1">
      <alignment horizontal="left" vertical="center" shrinkToFit="1"/>
      <protection locked="0" hidden="1"/>
    </xf>
    <xf numFmtId="179" fontId="20" fillId="6" borderId="0" xfId="272" applyFont="1" applyFill="1" applyAlignment="1" applyProtection="1">
      <alignment horizontal="left" vertical="center"/>
      <protection locked="0"/>
    </xf>
    <xf numFmtId="179" fontId="20" fillId="6" borderId="0" xfId="272" applyFont="1" applyFill="1" applyAlignment="1" applyProtection="1">
      <alignment vertical="center"/>
      <protection locked="0"/>
    </xf>
    <xf numFmtId="179" fontId="20" fillId="0" borderId="1" xfId="272" applyNumberFormat="1" applyFont="1" applyFill="1" applyBorder="1" applyAlignment="1" applyProtection="1">
      <alignment horizontal="left" vertical="center" wrapText="1"/>
      <protection locked="0"/>
    </xf>
    <xf numFmtId="179" fontId="20" fillId="6" borderId="0" xfId="329" applyFont="1" applyFill="1" applyBorder="1" applyAlignment="1" applyProtection="1">
      <alignment vertical="center"/>
      <protection locked="0"/>
    </xf>
    <xf numFmtId="43" fontId="20" fillId="6" borderId="0" xfId="395" applyNumberFormat="1" applyFont="1" applyFill="1" applyBorder="1" applyAlignment="1" applyProtection="1">
      <alignment horizontal="right" vertical="center" shrinkToFit="1"/>
    </xf>
    <xf numFmtId="43" fontId="20" fillId="0" borderId="0" xfId="316" applyNumberFormat="1" applyFont="1" applyFill="1" applyBorder="1" applyAlignment="1" applyProtection="1">
      <alignment horizontal="right" vertical="center" shrinkToFit="1"/>
      <protection locked="0"/>
    </xf>
    <xf numFmtId="179" fontId="34" fillId="6" borderId="0" xfId="150" applyFont="1" applyFill="1" applyAlignment="1" applyProtection="1">
      <alignment horizontal="left" vertical="center" shrinkToFit="1"/>
      <protection locked="0" hidden="1"/>
    </xf>
    <xf numFmtId="179" fontId="20" fillId="6" borderId="0" xfId="150" applyNumberFormat="1" applyFont="1" applyFill="1" applyAlignment="1" applyProtection="1">
      <alignment horizontal="left" vertical="center" wrapText="1"/>
      <protection locked="0"/>
    </xf>
    <xf numFmtId="179" fontId="20" fillId="6" borderId="0" xfId="150" applyFont="1" applyFill="1" applyAlignment="1" applyProtection="1">
      <alignment vertical="center"/>
      <protection locked="0"/>
    </xf>
    <xf numFmtId="179" fontId="20" fillId="6" borderId="1" xfId="150" applyNumberFormat="1" applyFont="1" applyFill="1" applyBorder="1" applyAlignment="1" applyProtection="1">
      <alignment horizontal="center" vertical="center" wrapText="1"/>
      <protection locked="0"/>
    </xf>
    <xf numFmtId="43" fontId="20" fillId="6" borderId="1" xfId="395" applyFont="1" applyFill="1" applyBorder="1" applyAlignment="1" applyProtection="1">
      <alignment horizontal="left" vertical="center" wrapText="1"/>
      <protection locked="0"/>
    </xf>
    <xf numFmtId="43" fontId="20" fillId="10" borderId="1" xfId="15" applyFont="1" applyFill="1" applyBorder="1" applyAlignment="1" applyProtection="1">
      <alignment horizontal="left" vertical="center" wrapText="1"/>
    </xf>
    <xf numFmtId="43" fontId="20" fillId="0" borderId="1" xfId="395" applyFont="1" applyFill="1" applyBorder="1" applyAlignment="1" applyProtection="1">
      <alignment horizontal="left" vertical="center" wrapText="1"/>
      <protection locked="0"/>
    </xf>
    <xf numFmtId="179" fontId="20" fillId="6" borderId="1" xfId="150" applyFont="1" applyFill="1" applyBorder="1" applyAlignment="1" applyProtection="1">
      <alignment horizontal="center" vertical="center" wrapText="1"/>
      <protection locked="0"/>
    </xf>
    <xf numFmtId="43" fontId="20" fillId="6" borderId="1" xfId="395" applyFont="1" applyFill="1" applyBorder="1" applyAlignment="1" applyProtection="1">
      <alignment horizontal="right" vertical="center" wrapText="1"/>
      <protection locked="0"/>
    </xf>
    <xf numFmtId="179" fontId="20" fillId="0" borderId="1" xfId="269" applyFont="1" applyFill="1" applyBorder="1" applyAlignment="1" applyProtection="1">
      <alignment horizontal="justify" wrapText="1"/>
      <protection locked="0"/>
    </xf>
    <xf numFmtId="179" fontId="20" fillId="6" borderId="14" xfId="150" applyNumberFormat="1" applyFont="1" applyFill="1" applyBorder="1" applyAlignment="1" applyProtection="1">
      <alignment horizontal="center" vertical="center" wrapText="1"/>
      <protection locked="0"/>
    </xf>
    <xf numFmtId="179" fontId="20" fillId="6" borderId="20" xfId="150" applyNumberFormat="1" applyFont="1" applyFill="1" applyBorder="1" applyAlignment="1" applyProtection="1">
      <alignment horizontal="center" vertical="center" wrapText="1"/>
      <protection locked="0"/>
    </xf>
    <xf numFmtId="43" fontId="20" fillId="6" borderId="1" xfId="395" applyFont="1" applyFill="1" applyBorder="1" applyAlignment="1" applyProtection="1">
      <alignment horizontal="center" vertical="center" wrapText="1"/>
      <protection locked="0"/>
    </xf>
    <xf numFmtId="43" fontId="20" fillId="6" borderId="1" xfId="395" applyFont="1" applyFill="1" applyBorder="1" applyAlignment="1" applyProtection="1">
      <alignment horizontal="right" vertical="center" wrapText="1"/>
    </xf>
    <xf numFmtId="179" fontId="34" fillId="6" borderId="0" xfId="317" applyFont="1" applyFill="1" applyAlignment="1" applyProtection="1">
      <alignment horizontal="left" vertical="center" shrinkToFit="1"/>
      <protection locked="0" hidden="1"/>
    </xf>
    <xf numFmtId="179" fontId="20" fillId="6" borderId="0" xfId="317" applyNumberFormat="1" applyFont="1" applyFill="1" applyAlignment="1" applyProtection="1">
      <alignment horizontal="left" vertical="center" wrapText="1"/>
      <protection locked="0"/>
    </xf>
    <xf numFmtId="179" fontId="20" fillId="6" borderId="0" xfId="317" applyFont="1" applyFill="1" applyAlignment="1" applyProtection="1">
      <alignment horizontal="left" vertical="center"/>
      <protection locked="0"/>
    </xf>
    <xf numFmtId="179" fontId="20" fillId="6" borderId="1" xfId="317" applyNumberFormat="1" applyFont="1" applyFill="1" applyBorder="1" applyAlignment="1" applyProtection="1">
      <alignment horizontal="center" vertical="center" wrapText="1"/>
      <protection locked="0"/>
    </xf>
    <xf numFmtId="179" fontId="20" fillId="11" borderId="0" xfId="317" applyFont="1" applyFill="1" applyAlignment="1" applyProtection="1">
      <alignment horizontal="left" vertical="center"/>
      <protection locked="0"/>
    </xf>
    <xf numFmtId="179" fontId="20" fillId="6" borderId="1" xfId="317" applyNumberFormat="1" applyFont="1" applyFill="1" applyBorder="1" applyAlignment="1" applyProtection="1">
      <alignment horizontal="left" vertical="center" wrapText="1"/>
      <protection locked="0"/>
    </xf>
    <xf numFmtId="179" fontId="20" fillId="11" borderId="0" xfId="317" applyFont="1" applyFill="1" applyAlignment="1" applyProtection="1">
      <alignment horizontal="left" vertical="center"/>
    </xf>
    <xf numFmtId="179" fontId="20" fillId="6" borderId="0" xfId="317" applyNumberFormat="1" applyFont="1" applyFill="1" applyBorder="1" applyAlignment="1" applyProtection="1">
      <alignment horizontal="center" vertical="center" wrapText="1"/>
      <protection locked="0"/>
    </xf>
    <xf numFmtId="43" fontId="20" fillId="6" borderId="1" xfId="100" applyNumberFormat="1" applyFont="1" applyFill="1" applyBorder="1" applyAlignment="1" applyProtection="1">
      <alignment horizontal="center" vertical="center" shrinkToFit="1"/>
      <protection locked="0"/>
    </xf>
    <xf numFmtId="43" fontId="20" fillId="0" borderId="1" xfId="100" applyNumberFormat="1" applyFont="1" applyFill="1" applyBorder="1" applyAlignment="1" applyProtection="1">
      <alignment horizontal="left" vertical="center" shrinkToFit="1"/>
      <protection locked="0"/>
    </xf>
    <xf numFmtId="43" fontId="20" fillId="6" borderId="1" xfId="100" applyNumberFormat="1" applyFont="1" applyFill="1" applyBorder="1" applyAlignment="1" applyProtection="1">
      <alignment horizontal="right" vertical="center" shrinkToFit="1"/>
    </xf>
    <xf numFmtId="43" fontId="20" fillId="6" borderId="0" xfId="100" applyNumberFormat="1" applyFont="1" applyFill="1" applyBorder="1" applyAlignment="1" applyProtection="1">
      <alignment horizontal="right" vertical="center" shrinkToFit="1"/>
    </xf>
    <xf numFmtId="43" fontId="20" fillId="6" borderId="0" xfId="100" applyNumberFormat="1" applyFont="1" applyFill="1" applyBorder="1" applyAlignment="1" applyProtection="1">
      <alignment horizontal="left" vertical="center" shrinkToFit="1"/>
      <protection locked="0"/>
    </xf>
    <xf numFmtId="43" fontId="20" fillId="6" borderId="0" xfId="100" applyNumberFormat="1" applyFont="1" applyFill="1" applyBorder="1" applyAlignment="1" applyProtection="1">
      <alignment horizontal="right" vertical="center" shrinkToFit="1"/>
      <protection locked="0"/>
    </xf>
    <xf numFmtId="179" fontId="48" fillId="6" borderId="0" xfId="52" applyFont="1" applyFill="1" applyAlignment="1" applyProtection="1">
      <alignment horizontal="left" vertical="center" shrinkToFit="1"/>
      <protection locked="0" hidden="1"/>
    </xf>
    <xf numFmtId="179" fontId="49" fillId="5" borderId="0" xfId="17" applyFill="1" applyAlignment="1" applyProtection="1">
      <protection locked="0"/>
    </xf>
    <xf numFmtId="43" fontId="1" fillId="6" borderId="1" xfId="100" applyNumberFormat="1" applyFont="1" applyFill="1" applyBorder="1" applyAlignment="1" applyProtection="1">
      <alignment horizontal="center" vertical="center" shrinkToFit="1"/>
      <protection locked="0"/>
    </xf>
    <xf numFmtId="43" fontId="20" fillId="4" borderId="1" xfId="100" applyNumberFormat="1" applyFont="1" applyFill="1" applyBorder="1" applyAlignment="1" applyProtection="1">
      <alignment horizontal="center" vertical="center" shrinkToFit="1"/>
      <protection locked="0"/>
    </xf>
    <xf numFmtId="179" fontId="1" fillId="6" borderId="1" xfId="269" applyFont="1" applyFill="1" applyBorder="1" applyAlignment="1" applyProtection="1">
      <protection locked="0"/>
    </xf>
    <xf numFmtId="43" fontId="20" fillId="12" borderId="1" xfId="15" applyNumberFormat="1" applyFont="1" applyFill="1" applyBorder="1" applyAlignment="1" applyProtection="1">
      <alignment horizontal="right" vertical="center" shrinkToFit="1"/>
    </xf>
    <xf numFmtId="43" fontId="20" fillId="6" borderId="1" xfId="15" applyFont="1" applyFill="1" applyBorder="1" applyAlignment="1" applyProtection="1">
      <alignment horizontal="left" vertical="center"/>
    </xf>
    <xf numFmtId="43" fontId="20" fillId="0" borderId="1" xfId="15" applyNumberFormat="1" applyFont="1" applyFill="1" applyBorder="1" applyAlignment="1" applyProtection="1">
      <alignment horizontal="left" vertical="center" shrinkToFit="1"/>
      <protection locked="0"/>
    </xf>
    <xf numFmtId="179" fontId="24" fillId="21" borderId="1" xfId="269" applyFont="1" applyFill="1" applyBorder="1" applyAlignment="1" applyProtection="1">
      <alignment horizontal="left"/>
      <protection locked="0"/>
    </xf>
    <xf numFmtId="43" fontId="37" fillId="6" borderId="1" xfId="15" applyFont="1" applyFill="1" applyBorder="1" applyAlignment="1" applyProtection="1">
      <alignment horizontal="left" vertical="center"/>
    </xf>
    <xf numFmtId="43" fontId="20" fillId="12" borderId="1" xfId="15" applyFont="1" applyFill="1" applyBorder="1" applyAlignment="1" applyProtection="1">
      <alignment horizontal="left" vertical="center"/>
    </xf>
    <xf numFmtId="179" fontId="20" fillId="0" borderId="1" xfId="317" applyFont="1" applyFill="1" applyBorder="1" applyAlignment="1" applyProtection="1">
      <alignment horizontal="left" vertical="center"/>
      <protection locked="0"/>
    </xf>
    <xf numFmtId="179" fontId="20" fillId="6" borderId="0" xfId="317" applyFont="1" applyFill="1" applyAlignment="1" applyProtection="1">
      <alignment horizontal="left" vertical="center"/>
    </xf>
    <xf numFmtId="43" fontId="13" fillId="6" borderId="1" xfId="15" applyFont="1" applyFill="1" applyBorder="1" applyAlignment="1" applyProtection="1">
      <alignment horizontal="center" vertical="center"/>
      <protection locked="0"/>
    </xf>
    <xf numFmtId="43" fontId="20" fillId="6" borderId="0" xfId="15" applyFont="1" applyFill="1" applyBorder="1" applyAlignment="1" applyProtection="1">
      <alignment horizontal="left" vertical="center"/>
    </xf>
    <xf numFmtId="43" fontId="20" fillId="6" borderId="0" xfId="15" applyFont="1" applyFill="1" applyBorder="1" applyAlignment="1" applyProtection="1">
      <alignment horizontal="left" vertical="center"/>
      <protection locked="0"/>
    </xf>
    <xf numFmtId="179" fontId="39" fillId="6" borderId="0" xfId="317" applyFont="1" applyFill="1" applyAlignment="1" applyProtection="1">
      <alignment horizontal="left" vertical="center" shrinkToFit="1"/>
      <protection locked="0" hidden="1"/>
    </xf>
    <xf numFmtId="179" fontId="14" fillId="5" borderId="0" xfId="17" applyFont="1" applyFill="1" applyAlignment="1" applyProtection="1">
      <protection locked="0"/>
    </xf>
    <xf numFmtId="179" fontId="1" fillId="6" borderId="1" xfId="269" applyFont="1" applyFill="1" applyBorder="1" applyAlignment="1" applyProtection="1">
      <alignment horizontal="left"/>
      <protection locked="0"/>
    </xf>
    <xf numFmtId="179" fontId="21" fillId="21" borderId="1" xfId="269" applyFont="1" applyFill="1" applyBorder="1" applyAlignment="1" applyProtection="1">
      <alignment horizontal="left"/>
      <protection locked="0"/>
    </xf>
    <xf numFmtId="43" fontId="20" fillId="21" borderId="1" xfId="15" applyNumberFormat="1" applyFont="1" applyFill="1" applyBorder="1" applyAlignment="1" applyProtection="1">
      <alignment horizontal="right" vertical="center" shrinkToFit="1"/>
    </xf>
    <xf numFmtId="179" fontId="1" fillId="0" borderId="1" xfId="269" applyFont="1" applyFill="1" applyBorder="1" applyAlignment="1" applyProtection="1">
      <alignment horizontal="left"/>
      <protection locked="0"/>
    </xf>
    <xf numFmtId="179" fontId="21" fillId="0" borderId="1" xfId="269" applyFont="1" applyFill="1" applyBorder="1" applyAlignment="1" applyProtection="1">
      <alignment horizontal="center"/>
      <protection locked="0"/>
    </xf>
    <xf numFmtId="179" fontId="20" fillId="6" borderId="1" xfId="317" applyFont="1" applyFill="1" applyBorder="1" applyAlignment="1" applyProtection="1">
      <alignment horizontal="left" vertical="center"/>
      <protection locked="0"/>
    </xf>
    <xf numFmtId="10" fontId="20" fillId="6" borderId="0" xfId="20" applyNumberFormat="1" applyFont="1" applyFill="1" applyBorder="1" applyAlignment="1" applyProtection="1">
      <alignment horizontal="center" vertical="center"/>
      <protection locked="0"/>
    </xf>
    <xf numFmtId="179" fontId="20" fillId="6" borderId="0" xfId="317" applyFont="1" applyFill="1" applyBorder="1" applyAlignment="1" applyProtection="1">
      <alignment horizontal="left" vertical="center"/>
      <protection locked="0"/>
    </xf>
    <xf numFmtId="179" fontId="23" fillId="6" borderId="1" xfId="269" applyFont="1" applyFill="1" applyBorder="1" applyAlignment="1" applyProtection="1">
      <protection locked="0"/>
    </xf>
    <xf numFmtId="43" fontId="20" fillId="0" borderId="1" xfId="15" applyNumberFormat="1" applyFont="1" applyFill="1" applyBorder="1" applyAlignment="1" applyProtection="1">
      <alignment horizontal="center" vertical="center" shrinkToFit="1"/>
      <protection locked="0"/>
    </xf>
    <xf numFmtId="43" fontId="21" fillId="6" borderId="0" xfId="15" applyFont="1" applyFill="1" applyBorder="1" applyAlignment="1" applyProtection="1">
      <alignment horizontal="left" vertical="center"/>
      <protection locked="0"/>
    </xf>
    <xf numFmtId="43" fontId="1" fillId="6" borderId="0" xfId="15" applyFont="1" applyFill="1" applyBorder="1" applyAlignment="1" applyProtection="1">
      <alignment horizontal="left" vertical="center"/>
      <protection locked="0"/>
    </xf>
    <xf numFmtId="179" fontId="34" fillId="6" borderId="0" xfId="286" applyFont="1" applyFill="1" applyAlignment="1" applyProtection="1">
      <alignment horizontal="left" vertical="center" shrinkToFit="1"/>
      <protection locked="0" hidden="1"/>
    </xf>
    <xf numFmtId="179" fontId="20" fillId="6" borderId="0" xfId="318" applyFont="1" applyFill="1" applyAlignment="1" applyProtection="1">
      <alignment vertical="center"/>
      <protection locked="0"/>
    </xf>
    <xf numFmtId="179" fontId="20" fillId="6" borderId="1" xfId="318" applyNumberFormat="1" applyFont="1" applyFill="1" applyBorder="1" applyAlignment="1" applyProtection="1">
      <alignment horizontal="center" vertical="center" wrapText="1"/>
      <protection locked="0"/>
    </xf>
    <xf numFmtId="179" fontId="23" fillId="6" borderId="0" xfId="339" applyFont="1" applyFill="1" applyAlignment="1" applyProtection="1">
      <alignment horizontal="left" vertical="center" shrinkToFit="1"/>
      <protection locked="0"/>
    </xf>
    <xf numFmtId="179" fontId="20" fillId="6" borderId="1" xfId="318" applyNumberFormat="1" applyFont="1" applyFill="1" applyBorder="1" applyAlignment="1" applyProtection="1">
      <alignment horizontal="left" vertical="center" wrapText="1"/>
      <protection locked="0"/>
    </xf>
    <xf numFmtId="179" fontId="20" fillId="6" borderId="0" xfId="318" applyNumberFormat="1" applyFont="1" applyFill="1" applyBorder="1" applyAlignment="1" applyProtection="1">
      <alignment horizontal="center" vertical="center" wrapText="1"/>
      <protection locked="0"/>
    </xf>
    <xf numFmtId="179" fontId="34" fillId="6" borderId="0" xfId="100" applyFont="1" applyFill="1" applyAlignment="1" applyProtection="1">
      <alignment horizontal="left" vertical="center" shrinkToFit="1"/>
      <protection locked="0" hidden="1"/>
    </xf>
    <xf numFmtId="179" fontId="21" fillId="6" borderId="0" xfId="269" applyFont="1" applyFill="1" applyAlignment="1" applyProtection="1">
      <alignment vertical="center"/>
      <protection locked="0"/>
    </xf>
    <xf numFmtId="179" fontId="20" fillId="0" borderId="1" xfId="269" applyFont="1" applyFill="1" applyBorder="1" applyAlignment="1" applyProtection="1">
      <alignment horizontal="left" vertical="center" wrapText="1"/>
      <protection locked="0"/>
    </xf>
    <xf numFmtId="43" fontId="20" fillId="4" borderId="1" xfId="15" applyFont="1" applyFill="1" applyBorder="1" applyAlignment="1" applyProtection="1">
      <alignment horizontal="left" vertical="center" wrapText="1"/>
      <protection locked="0"/>
    </xf>
    <xf numFmtId="179" fontId="20" fillId="6" borderId="0" xfId="100" applyFont="1" applyFill="1" applyAlignment="1" applyProtection="1">
      <alignment vertical="center"/>
      <protection locked="0"/>
    </xf>
    <xf numFmtId="43" fontId="20" fillId="6" borderId="0" xfId="269" applyNumberFormat="1" applyFont="1" applyFill="1" applyBorder="1" applyAlignment="1" applyProtection="1">
      <alignment horizontal="center" vertical="center" wrapText="1"/>
    </xf>
    <xf numFmtId="179" fontId="20" fillId="6" borderId="0" xfId="269" applyFont="1" applyFill="1" applyBorder="1" applyAlignment="1" applyProtection="1">
      <alignment horizontal="center" vertical="center" wrapText="1"/>
      <protection locked="0"/>
    </xf>
    <xf numFmtId="179" fontId="20" fillId="6" borderId="0" xfId="269" applyFont="1" applyFill="1" applyAlignment="1" applyProtection="1">
      <alignment horizontal="center" vertical="top" wrapText="1"/>
      <protection locked="0"/>
    </xf>
    <xf numFmtId="179" fontId="23" fillId="6" borderId="0" xfId="269" applyFont="1" applyFill="1" applyAlignment="1" applyProtection="1">
      <protection locked="0"/>
    </xf>
    <xf numFmtId="179" fontId="20" fillId="0" borderId="0" xfId="100" applyFont="1" applyFill="1" applyAlignment="1" applyProtection="1">
      <alignment vertical="center"/>
      <protection locked="0"/>
    </xf>
    <xf numFmtId="179" fontId="20" fillId="0" borderId="0" xfId="339" applyFont="1" applyFill="1" applyAlignment="1" applyProtection="1">
      <alignment vertical="center"/>
      <protection locked="0"/>
    </xf>
    <xf numFmtId="179" fontId="34" fillId="6" borderId="0" xfId="287" applyFont="1" applyFill="1" applyAlignment="1" applyProtection="1">
      <alignment horizontal="left" vertical="center" shrinkToFit="1"/>
      <protection locked="0" hidden="1"/>
    </xf>
    <xf numFmtId="179" fontId="20" fillId="6" borderId="0" xfId="181" applyFont="1" applyFill="1" applyAlignment="1" applyProtection="1">
      <alignment vertical="center"/>
      <protection locked="0"/>
    </xf>
    <xf numFmtId="179" fontId="20" fillId="6" borderId="1" xfId="181" applyFont="1" applyFill="1" applyBorder="1" applyAlignment="1" applyProtection="1">
      <alignment horizontal="center" vertical="center" wrapText="1"/>
      <protection locked="0"/>
    </xf>
    <xf numFmtId="179" fontId="20" fillId="6" borderId="1" xfId="181" applyFont="1" applyFill="1" applyBorder="1" applyAlignment="1" applyProtection="1">
      <alignment horizontal="left" vertical="center" wrapText="1"/>
      <protection locked="0"/>
    </xf>
    <xf numFmtId="179" fontId="20" fillId="6" borderId="1" xfId="100" applyFont="1" applyFill="1" applyBorder="1" applyAlignment="1" applyProtection="1">
      <alignment horizontal="center" vertical="center" wrapText="1"/>
      <protection locked="0"/>
    </xf>
    <xf numFmtId="179" fontId="20" fillId="6" borderId="1" xfId="100" applyNumberFormat="1" applyFont="1" applyFill="1" applyBorder="1" applyAlignment="1" applyProtection="1">
      <alignment horizontal="left" vertical="center" wrapText="1"/>
      <protection locked="0"/>
    </xf>
    <xf numFmtId="43" fontId="36" fillId="0" borderId="1" xfId="15" applyFont="1" applyFill="1" applyBorder="1" applyAlignment="1" applyProtection="1">
      <alignment horizontal="right" vertical="center" shrinkToFit="1"/>
      <protection locked="0"/>
    </xf>
    <xf numFmtId="179" fontId="20" fillId="6" borderId="0" xfId="100" applyNumberFormat="1" applyFont="1" applyFill="1" applyBorder="1" applyAlignment="1" applyProtection="1">
      <alignment horizontal="left" vertical="center" wrapText="1"/>
      <protection locked="0"/>
    </xf>
    <xf numFmtId="43" fontId="13" fillId="6" borderId="1" xfId="15" applyFont="1" applyFill="1" applyBorder="1" applyAlignment="1" applyProtection="1">
      <alignment horizontal="center" vertical="center" shrinkToFit="1"/>
      <protection locked="0"/>
    </xf>
    <xf numFmtId="179" fontId="50" fillId="6" borderId="1" xfId="269" applyFont="1" applyFill="1" applyBorder="1" applyAlignment="1" applyProtection="1">
      <alignment horizontal="justify"/>
      <protection locked="0"/>
    </xf>
    <xf numFmtId="179" fontId="51" fillId="6" borderId="1" xfId="269" applyFont="1" applyFill="1" applyBorder="1" applyAlignment="1" applyProtection="1">
      <alignment horizontal="justify"/>
      <protection locked="0"/>
    </xf>
    <xf numFmtId="179" fontId="1" fillId="6" borderId="0" xfId="100" applyFont="1" applyFill="1" applyAlignment="1" applyProtection="1">
      <alignment vertical="center"/>
      <protection locked="0"/>
    </xf>
    <xf numFmtId="179" fontId="51" fillId="0" borderId="1" xfId="269" applyFont="1" applyFill="1" applyBorder="1" applyAlignment="1" applyProtection="1">
      <alignment horizontal="justify"/>
      <protection locked="0"/>
    </xf>
    <xf numFmtId="43" fontId="20" fillId="0" borderId="0" xfId="15" applyFont="1" applyFill="1" applyAlignment="1" applyProtection="1">
      <alignment vertical="center"/>
    </xf>
    <xf numFmtId="43" fontId="20" fillId="6" borderId="0" xfId="100" applyNumberFormat="1" applyFont="1" applyFill="1" applyAlignment="1" applyProtection="1">
      <alignment vertical="center"/>
      <protection locked="0"/>
    </xf>
    <xf numFmtId="179" fontId="34" fillId="6" borderId="0" xfId="126" applyFont="1" applyFill="1" applyAlignment="1" applyProtection="1">
      <alignment vertical="center" shrinkToFit="1"/>
    </xf>
    <xf numFmtId="179" fontId="50" fillId="6" borderId="1" xfId="269" applyFont="1" applyFill="1" applyBorder="1" applyAlignment="1" applyProtection="1">
      <alignment horizontal="left"/>
      <protection locked="0"/>
    </xf>
    <xf numFmtId="9" fontId="20" fillId="0" borderId="1" xfId="20" applyFont="1" applyFill="1" applyBorder="1" applyAlignment="1" applyProtection="1">
      <alignment horizontal="right" vertical="center" shrinkToFit="1"/>
      <protection locked="0"/>
    </xf>
    <xf numFmtId="179" fontId="13" fillId="6" borderId="1" xfId="81" applyFont="1" applyFill="1" applyBorder="1" applyAlignment="1" applyProtection="1">
      <alignment vertical="center"/>
      <protection locked="0"/>
    </xf>
    <xf numFmtId="43" fontId="21" fillId="6" borderId="1" xfId="15" applyFont="1" applyFill="1" applyBorder="1" applyAlignment="1" applyProtection="1">
      <alignment horizontal="left" vertical="center" shrinkToFit="1"/>
      <protection locked="0"/>
    </xf>
    <xf numFmtId="9" fontId="20" fillId="0" borderId="1" xfId="15" applyNumberFormat="1" applyFont="1" applyFill="1" applyBorder="1" applyAlignment="1" applyProtection="1">
      <alignment horizontal="right" vertical="center" shrinkToFit="1"/>
      <protection locked="0"/>
    </xf>
    <xf numFmtId="179" fontId="52" fillId="6" borderId="1" xfId="269" applyFont="1" applyFill="1" applyBorder="1" applyAlignment="1" applyProtection="1">
      <alignment horizontal="justify"/>
      <protection locked="0"/>
    </xf>
    <xf numFmtId="179" fontId="1" fillId="6" borderId="1" xfId="81" applyFont="1" applyFill="1" applyBorder="1" applyAlignment="1" applyProtection="1">
      <alignment vertical="center"/>
      <protection locked="0"/>
    </xf>
    <xf numFmtId="179" fontId="50" fillId="6" borderId="0" xfId="269" applyFont="1" applyFill="1" applyBorder="1" applyAlignment="1" applyProtection="1">
      <alignment horizontal="justify"/>
      <protection locked="0"/>
    </xf>
    <xf numFmtId="179" fontId="51" fillId="6" borderId="0" xfId="269" applyFont="1" applyFill="1" applyBorder="1" applyAlignment="1" applyProtection="1">
      <alignment horizontal="justify"/>
      <protection locked="0"/>
    </xf>
    <xf numFmtId="43" fontId="51" fillId="6" borderId="0" xfId="15" applyFont="1" applyFill="1" applyBorder="1" applyAlignment="1" applyProtection="1">
      <alignment horizontal="justify"/>
      <protection locked="0"/>
    </xf>
    <xf numFmtId="43" fontId="51" fillId="6" borderId="0" xfId="15" applyFont="1" applyFill="1" applyBorder="1" applyAlignment="1" applyProtection="1">
      <protection locked="0"/>
    </xf>
    <xf numFmtId="179" fontId="1" fillId="6" borderId="0" xfId="100" applyFont="1" applyFill="1" applyAlignment="1" applyProtection="1">
      <alignment vertical="center"/>
    </xf>
    <xf numFmtId="43" fontId="20" fillId="6" borderId="0" xfId="81" applyNumberFormat="1" applyFont="1" applyFill="1" applyAlignment="1" applyProtection="1">
      <alignment vertical="center"/>
      <protection locked="0"/>
    </xf>
    <xf numFmtId="43" fontId="51" fillId="6" borderId="0" xfId="269" applyNumberFormat="1" applyFont="1" applyFill="1" applyBorder="1" applyAlignment="1" applyProtection="1">
      <alignment horizontal="justify"/>
      <protection locked="0"/>
    </xf>
    <xf numFmtId="179" fontId="53" fillId="6" borderId="21" xfId="326" applyFont="1" applyFill="1" applyBorder="1" applyAlignment="1" applyProtection="1">
      <alignment horizontal="center" vertical="center" wrapText="1"/>
      <protection locked="0"/>
    </xf>
    <xf numFmtId="179" fontId="53" fillId="6" borderId="22" xfId="326" applyFont="1" applyFill="1" applyBorder="1" applyAlignment="1" applyProtection="1">
      <alignment horizontal="center" vertical="center" wrapText="1"/>
      <protection locked="0"/>
    </xf>
    <xf numFmtId="179" fontId="53" fillId="6" borderId="23" xfId="326" applyFont="1" applyFill="1" applyBorder="1" applyAlignment="1" applyProtection="1">
      <alignment horizontal="center" vertical="center" wrapText="1"/>
      <protection locked="0"/>
    </xf>
    <xf numFmtId="179" fontId="53" fillId="6" borderId="24" xfId="326" applyFont="1" applyFill="1" applyBorder="1" applyAlignment="1" applyProtection="1">
      <alignment horizontal="center" vertical="center" wrapText="1"/>
      <protection locked="0"/>
    </xf>
    <xf numFmtId="179" fontId="53" fillId="6" borderId="25" xfId="326" applyFont="1" applyFill="1" applyBorder="1" applyAlignment="1" applyProtection="1">
      <alignment horizontal="center" vertical="center" wrapText="1"/>
      <protection locked="0"/>
    </xf>
    <xf numFmtId="179" fontId="53" fillId="6" borderId="1" xfId="326" applyFont="1" applyFill="1" applyBorder="1" applyAlignment="1" applyProtection="1">
      <alignment horizontal="center" vertical="center" wrapText="1"/>
      <protection locked="0"/>
    </xf>
    <xf numFmtId="179" fontId="53" fillId="6" borderId="26" xfId="326" applyFont="1" applyFill="1" applyBorder="1" applyAlignment="1" applyProtection="1">
      <alignment horizontal="center" vertical="center" wrapText="1"/>
      <protection locked="0"/>
    </xf>
    <xf numFmtId="179" fontId="53" fillId="6" borderId="19" xfId="326" applyFont="1" applyFill="1" applyBorder="1" applyAlignment="1" applyProtection="1">
      <alignment horizontal="center" vertical="center" wrapText="1"/>
      <protection locked="0"/>
    </xf>
    <xf numFmtId="179" fontId="53" fillId="6" borderId="27" xfId="326" applyFont="1" applyFill="1" applyBorder="1" applyAlignment="1" applyProtection="1">
      <alignment horizontal="center" vertical="center" wrapText="1"/>
      <protection locked="0"/>
    </xf>
    <xf numFmtId="179" fontId="53" fillId="6" borderId="1" xfId="326" applyFont="1" applyFill="1" applyBorder="1" applyAlignment="1" applyProtection="1">
      <alignment horizontal="center" vertical="center"/>
      <protection locked="0"/>
    </xf>
    <xf numFmtId="4" fontId="53" fillId="14" borderId="1" xfId="326" applyNumberFormat="1" applyFont="1" applyFill="1" applyBorder="1" applyAlignment="1" applyProtection="1">
      <alignment horizontal="right" vertical="center"/>
      <protection locked="0"/>
    </xf>
    <xf numFmtId="179" fontId="53" fillId="6" borderId="28" xfId="326" applyFont="1" applyFill="1" applyBorder="1" applyAlignment="1" applyProtection="1">
      <alignment horizontal="left" vertical="center" wrapText="1"/>
      <protection locked="0"/>
    </xf>
    <xf numFmtId="179" fontId="53" fillId="6" borderId="29" xfId="326" applyFont="1" applyFill="1" applyBorder="1" applyAlignment="1" applyProtection="1">
      <alignment horizontal="left" vertical="center" wrapText="1"/>
      <protection locked="0"/>
    </xf>
    <xf numFmtId="179" fontId="20" fillId="6" borderId="1" xfId="269" applyFont="1" applyFill="1" applyBorder="1" applyAlignment="1" applyProtection="1">
      <alignment horizontal="left" vertical="center" wrapText="1"/>
      <protection locked="0"/>
    </xf>
    <xf numFmtId="179" fontId="54" fillId="6" borderId="1" xfId="269" applyFont="1" applyFill="1" applyBorder="1" applyAlignment="1" applyProtection="1">
      <alignment horizontal="center" vertical="top" wrapText="1"/>
      <protection locked="0"/>
    </xf>
    <xf numFmtId="179" fontId="21" fillId="6" borderId="0" xfId="269" applyFont="1" applyFill="1" applyAlignment="1" applyProtection="1">
      <protection locked="0"/>
    </xf>
    <xf numFmtId="179" fontId="25" fillId="6" borderId="0" xfId="269" applyFont="1" applyFill="1" applyProtection="1">
      <protection locked="0"/>
    </xf>
    <xf numFmtId="179" fontId="46" fillId="6" borderId="14" xfId="100" applyFont="1" applyFill="1" applyBorder="1" applyAlignment="1" applyProtection="1">
      <alignment horizontal="center" vertical="center"/>
      <protection locked="0"/>
    </xf>
    <xf numFmtId="179" fontId="13" fillId="6" borderId="1" xfId="100" applyFont="1" applyFill="1" applyBorder="1" applyAlignment="1" applyProtection="1">
      <alignment horizontal="center" vertical="center"/>
      <protection locked="0"/>
    </xf>
    <xf numFmtId="179" fontId="1" fillId="0" borderId="1" xfId="100" applyFont="1" applyFill="1" applyBorder="1" applyAlignment="1" applyProtection="1">
      <alignment vertical="center"/>
      <protection locked="0"/>
    </xf>
    <xf numFmtId="179" fontId="20" fillId="0" borderId="1" xfId="100" applyFont="1" applyFill="1" applyBorder="1" applyAlignment="1" applyProtection="1">
      <alignment vertical="center"/>
      <protection locked="0"/>
    </xf>
    <xf numFmtId="179" fontId="1" fillId="6" borderId="1" xfId="269" applyFont="1" applyFill="1" applyBorder="1" applyAlignment="1" applyProtection="1">
      <alignment horizontal="center" vertical="center" wrapText="1"/>
      <protection locked="0"/>
    </xf>
    <xf numFmtId="179" fontId="53" fillId="6" borderId="30" xfId="326" applyFont="1" applyFill="1" applyBorder="1" applyAlignment="1" applyProtection="1">
      <alignment horizontal="center" vertical="center" wrapText="1"/>
      <protection locked="0"/>
    </xf>
    <xf numFmtId="179" fontId="53" fillId="6" borderId="31" xfId="326" applyFont="1" applyFill="1" applyBorder="1" applyAlignment="1" applyProtection="1">
      <alignment horizontal="center" vertical="center" wrapText="1"/>
      <protection locked="0"/>
    </xf>
    <xf numFmtId="179" fontId="53" fillId="6" borderId="14" xfId="326" applyFont="1" applyFill="1" applyBorder="1" applyAlignment="1" applyProtection="1">
      <alignment horizontal="center" vertical="center" wrapText="1"/>
      <protection locked="0"/>
    </xf>
    <xf numFmtId="179" fontId="53" fillId="6" borderId="32" xfId="326" applyFont="1" applyFill="1" applyBorder="1" applyAlignment="1" applyProtection="1">
      <alignment horizontal="center" vertical="center" wrapText="1"/>
      <protection locked="0"/>
    </xf>
    <xf numFmtId="179" fontId="20" fillId="6" borderId="32" xfId="81" applyFont="1" applyFill="1" applyBorder="1" applyAlignment="1" applyProtection="1">
      <alignment vertical="center"/>
      <protection locked="0"/>
    </xf>
    <xf numFmtId="43" fontId="55" fillId="9" borderId="1" xfId="411" applyFont="1" applyFill="1" applyBorder="1" applyAlignment="1" applyProtection="1">
      <alignment horizontal="center" vertical="center"/>
    </xf>
    <xf numFmtId="43" fontId="55" fillId="9" borderId="1" xfId="411" applyFont="1" applyFill="1" applyBorder="1" applyAlignment="1" applyProtection="1">
      <alignment horizontal="right" vertical="center"/>
    </xf>
    <xf numFmtId="179" fontId="56" fillId="6" borderId="1" xfId="326" applyFont="1" applyFill="1" applyBorder="1" applyAlignment="1" applyProtection="1">
      <alignment horizontal="center" vertical="center"/>
      <protection locked="0"/>
    </xf>
    <xf numFmtId="179" fontId="20" fillId="0" borderId="32" xfId="81" applyFont="1" applyFill="1" applyBorder="1" applyAlignment="1" applyProtection="1">
      <alignment vertical="center"/>
      <protection locked="0"/>
    </xf>
    <xf numFmtId="4" fontId="53" fillId="6" borderId="1" xfId="326" applyNumberFormat="1" applyFont="1" applyFill="1" applyBorder="1" applyAlignment="1" applyProtection="1">
      <alignment horizontal="right" vertical="center"/>
      <protection locked="0"/>
    </xf>
    <xf numFmtId="179" fontId="53" fillId="6" borderId="1" xfId="326" applyFont="1" applyFill="1" applyBorder="1" applyAlignment="1" applyProtection="1">
      <alignment horizontal="left" vertical="center"/>
      <protection locked="0"/>
    </xf>
    <xf numFmtId="4" fontId="53" fillId="6" borderId="33" xfId="326" applyNumberFormat="1" applyFont="1" applyFill="1" applyBorder="1" applyAlignment="1" applyProtection="1">
      <alignment horizontal="right" vertical="center"/>
    </xf>
    <xf numFmtId="179" fontId="20" fillId="0" borderId="34" xfId="81" applyFont="1" applyFill="1" applyBorder="1" applyAlignment="1" applyProtection="1">
      <alignment vertical="center"/>
      <protection locked="0"/>
    </xf>
    <xf numFmtId="179" fontId="46" fillId="6" borderId="20" xfId="100" applyFont="1" applyFill="1" applyBorder="1" applyAlignment="1" applyProtection="1">
      <alignment horizontal="center" vertical="center"/>
      <protection locked="0"/>
    </xf>
    <xf numFmtId="179" fontId="46" fillId="6" borderId="14" xfId="100" applyFont="1" applyFill="1" applyBorder="1" applyAlignment="1" applyProtection="1">
      <alignment horizontal="centerContinuous" vertical="center"/>
      <protection locked="0"/>
    </xf>
    <xf numFmtId="179" fontId="24" fillId="6" borderId="20" xfId="100" applyFont="1" applyFill="1" applyBorder="1" applyAlignment="1" applyProtection="1">
      <alignment horizontal="centerContinuous" vertical="center"/>
      <protection locked="0"/>
    </xf>
    <xf numFmtId="43" fontId="20" fillId="0" borderId="1" xfId="15" applyFont="1" applyFill="1" applyBorder="1" applyAlignment="1" applyProtection="1">
      <alignment horizontal="left" vertical="top" wrapText="1"/>
      <protection locked="0"/>
    </xf>
    <xf numFmtId="43" fontId="20" fillId="0" borderId="1" xfId="15" applyFont="1" applyFill="1" applyBorder="1" applyAlignment="1" applyProtection="1">
      <alignment horizontal="left" vertical="top" wrapText="1" indent="3"/>
      <protection locked="0"/>
    </xf>
    <xf numFmtId="179" fontId="46" fillId="6" borderId="1" xfId="100" applyFont="1" applyFill="1" applyBorder="1" applyAlignment="1" applyProtection="1">
      <alignment horizontal="center" vertical="center"/>
      <protection locked="0"/>
    </xf>
    <xf numFmtId="179" fontId="21" fillId="6" borderId="1" xfId="100" applyFont="1" applyFill="1" applyBorder="1" applyAlignment="1" applyProtection="1">
      <alignment horizontal="center" vertical="center"/>
      <protection locked="0"/>
    </xf>
    <xf numFmtId="179" fontId="20" fillId="6" borderId="0" xfId="269" applyFont="1" applyFill="1" applyBorder="1" applyAlignment="1" applyProtection="1">
      <alignment horizontal="center" vertical="center"/>
      <protection locked="0"/>
    </xf>
    <xf numFmtId="179" fontId="20" fillId="6" borderId="0" xfId="100" applyFont="1" applyFill="1" applyAlignment="1" applyProtection="1">
      <alignment horizontal="right" vertical="center"/>
      <protection locked="0"/>
    </xf>
    <xf numFmtId="43" fontId="20" fillId="6" borderId="0" xfId="15" applyFont="1" applyFill="1" applyBorder="1" applyAlignment="1" applyProtection="1">
      <alignment horizontal="center" vertical="center"/>
      <protection locked="0"/>
    </xf>
    <xf numFmtId="179" fontId="13" fillId="0" borderId="1" xfId="269" applyFont="1" applyFill="1" applyBorder="1" applyAlignment="1" applyProtection="1">
      <alignment horizontal="center" vertical="center"/>
      <protection locked="0"/>
    </xf>
    <xf numFmtId="43" fontId="20" fillId="0" borderId="1" xfId="15" applyFont="1" applyFill="1" applyBorder="1" applyAlignment="1" applyProtection="1">
      <alignment horizontal="center" vertical="center"/>
      <protection locked="0"/>
    </xf>
    <xf numFmtId="179" fontId="20" fillId="0" borderId="0" xfId="269" applyFont="1" applyFill="1" applyBorder="1" applyAlignment="1" applyProtection="1">
      <alignment horizontal="center" vertical="center"/>
      <protection locked="0"/>
    </xf>
    <xf numFmtId="179" fontId="20" fillId="6" borderId="0" xfId="100" applyFont="1" applyFill="1" applyAlignment="1" applyProtection="1">
      <alignment horizontal="center" vertical="center"/>
      <protection locked="0"/>
    </xf>
    <xf numFmtId="179" fontId="20" fillId="6" borderId="0" xfId="81" applyFont="1" applyFill="1" applyAlignment="1" applyProtection="1">
      <alignment horizontal="center" vertical="center"/>
      <protection locked="0"/>
    </xf>
    <xf numFmtId="179" fontId="1" fillId="0" borderId="0" xfId="100" applyFont="1" applyFill="1" applyAlignment="1" applyProtection="1">
      <alignment vertical="center"/>
      <protection locked="0"/>
    </xf>
    <xf numFmtId="43" fontId="20" fillId="6" borderId="0" xfId="15" applyFont="1" applyFill="1" applyBorder="1" applyAlignment="1" applyProtection="1">
      <alignment vertical="center"/>
    </xf>
    <xf numFmtId="179" fontId="20" fillId="0" borderId="1" xfId="269" applyFont="1" applyFill="1" applyBorder="1" applyAlignment="1" applyProtection="1">
      <alignment horizontal="center"/>
      <protection locked="0"/>
    </xf>
    <xf numFmtId="179" fontId="13" fillId="6" borderId="0" xfId="269" applyFont="1" applyFill="1" applyAlignment="1" applyProtection="1">
      <alignment horizontal="justify"/>
      <protection locked="0"/>
    </xf>
    <xf numFmtId="179" fontId="20" fillId="6" borderId="0" xfId="269" applyFont="1" applyFill="1" applyBorder="1" applyAlignment="1" applyProtection="1">
      <alignment horizontal="left" indent="2"/>
      <protection locked="0"/>
    </xf>
    <xf numFmtId="179" fontId="20" fillId="6" borderId="0" xfId="269" applyFont="1" applyFill="1" applyBorder="1" applyProtection="1">
      <protection locked="0"/>
    </xf>
    <xf numFmtId="43" fontId="34" fillId="6" borderId="0" xfId="52" applyNumberFormat="1" applyFont="1" applyFill="1" applyAlignment="1" applyProtection="1">
      <alignment horizontal="left" vertical="center" shrinkToFit="1"/>
      <protection locked="0" hidden="1"/>
    </xf>
    <xf numFmtId="43" fontId="13" fillId="6" borderId="1" xfId="15" applyFont="1" applyFill="1" applyBorder="1" applyAlignment="1" applyProtection="1">
      <alignment wrapText="1"/>
      <protection locked="0"/>
    </xf>
    <xf numFmtId="43" fontId="20" fillId="6" borderId="1" xfId="15" applyFont="1" applyFill="1" applyBorder="1" applyAlignment="1" applyProtection="1">
      <alignment horizontal="justify" wrapText="1"/>
      <protection locked="0"/>
    </xf>
    <xf numFmtId="43" fontId="20" fillId="0" borderId="1" xfId="15" applyFont="1" applyFill="1" applyBorder="1" applyAlignment="1" applyProtection="1">
      <alignment horizontal="justify" wrapText="1"/>
      <protection locked="0"/>
    </xf>
    <xf numFmtId="43" fontId="20" fillId="0" borderId="1" xfId="15" applyFont="1" applyFill="1" applyBorder="1" applyAlignment="1" applyProtection="1">
      <alignment horizontal="left" indent="2"/>
      <protection locked="0"/>
    </xf>
    <xf numFmtId="179" fontId="50" fillId="6" borderId="1" xfId="269" applyFont="1" applyFill="1" applyBorder="1" applyAlignment="1" applyProtection="1">
      <alignment horizontal="center" wrapText="1"/>
      <protection locked="0"/>
    </xf>
    <xf numFmtId="179" fontId="51" fillId="0" borderId="1" xfId="269" applyFont="1" applyFill="1" applyBorder="1" applyAlignment="1" applyProtection="1">
      <alignment horizontal="center" wrapText="1"/>
      <protection locked="0"/>
    </xf>
    <xf numFmtId="179" fontId="13" fillId="6" borderId="0" xfId="269" applyFont="1" applyFill="1" applyAlignment="1" applyProtection="1">
      <alignment horizontal="left" indent="2"/>
      <protection locked="0"/>
    </xf>
    <xf numFmtId="179" fontId="20" fillId="6" borderId="0" xfId="269" applyFont="1" applyFill="1" applyAlignment="1" applyProtection="1">
      <alignment horizontal="right" indent="15"/>
      <protection locked="0"/>
    </xf>
    <xf numFmtId="179" fontId="41" fillId="6" borderId="1" xfId="269" applyFont="1" applyFill="1" applyBorder="1" applyAlignment="1" applyProtection="1">
      <alignment horizontal="center" wrapText="1"/>
      <protection locked="0"/>
    </xf>
    <xf numFmtId="179" fontId="37" fillId="6" borderId="1" xfId="269" applyFont="1" applyFill="1" applyBorder="1" applyAlignment="1" applyProtection="1">
      <alignment horizontal="left" indent="2"/>
      <protection locked="0"/>
    </xf>
    <xf numFmtId="179" fontId="20" fillId="6" borderId="0" xfId="269" applyFont="1" applyFill="1" applyAlignment="1" applyProtection="1">
      <alignment horizontal="center" wrapText="1"/>
      <protection locked="0"/>
    </xf>
    <xf numFmtId="179" fontId="18" fillId="6" borderId="1" xfId="269" applyFont="1" applyFill="1" applyBorder="1" applyAlignment="1" applyProtection="1">
      <alignment horizontal="left" indent="2"/>
      <protection locked="0"/>
    </xf>
    <xf numFmtId="179" fontId="20" fillId="6" borderId="0" xfId="269" applyFont="1" applyFill="1" applyAlignment="1" applyProtection="1">
      <alignment horizontal="justify"/>
      <protection locked="0"/>
    </xf>
    <xf numFmtId="179" fontId="41" fillId="6" borderId="0" xfId="269" applyFont="1" applyFill="1" applyAlignment="1" applyProtection="1">
      <alignment horizontal="left" indent="2"/>
      <protection locked="0"/>
    </xf>
    <xf numFmtId="179" fontId="20" fillId="0" borderId="0" xfId="269" applyFont="1" applyFill="1" applyAlignment="1" applyProtection="1">
      <alignment horizontal="left" indent="2"/>
      <protection locked="0"/>
    </xf>
    <xf numFmtId="179" fontId="20" fillId="0" borderId="0" xfId="269" applyFont="1" applyFill="1" applyBorder="1" applyAlignment="1" applyProtection="1">
      <alignment horizontal="justify" wrapText="1"/>
      <protection locked="0"/>
    </xf>
    <xf numFmtId="179" fontId="20" fillId="0" borderId="0" xfId="269" applyFont="1" applyFill="1" applyBorder="1" applyAlignment="1" applyProtection="1">
      <alignment horizontal="center" wrapText="1"/>
      <protection locked="0"/>
    </xf>
    <xf numFmtId="179" fontId="20" fillId="0" borderId="1" xfId="269" applyFont="1" applyFill="1" applyBorder="1" applyAlignment="1" applyProtection="1">
      <alignment horizontal="right" vertical="top" wrapText="1"/>
      <protection locked="0"/>
    </xf>
    <xf numFmtId="179" fontId="20" fillId="0" borderId="0" xfId="269" applyFont="1" applyFill="1" applyBorder="1" applyAlignment="1" applyProtection="1">
      <alignment horizontal="center" vertical="top" wrapText="1"/>
      <protection locked="0"/>
    </xf>
    <xf numFmtId="179" fontId="31" fillId="6" borderId="0" xfId="269" applyFont="1" applyFill="1" applyAlignment="1" applyProtection="1">
      <alignment horizontal="left" indent="2"/>
      <protection locked="0"/>
    </xf>
    <xf numFmtId="179" fontId="13" fillId="6" borderId="0" xfId="269" applyFont="1" applyFill="1" applyAlignment="1" applyProtection="1">
      <alignment horizontal="center"/>
      <protection locked="0"/>
    </xf>
    <xf numFmtId="179" fontId="20" fillId="6" borderId="1" xfId="269" applyFont="1" applyFill="1" applyBorder="1" applyAlignment="1" applyProtection="1">
      <alignment horizontal="left" wrapText="1"/>
      <protection locked="0"/>
    </xf>
    <xf numFmtId="179" fontId="42" fillId="6" borderId="1" xfId="269" applyFont="1" applyFill="1" applyBorder="1" applyAlignment="1" applyProtection="1">
      <alignment horizontal="center"/>
      <protection locked="0"/>
    </xf>
    <xf numFmtId="179" fontId="20" fillId="4" borderId="1" xfId="269" applyFont="1" applyFill="1" applyBorder="1" applyAlignment="1" applyProtection="1">
      <alignment horizontal="center" wrapText="1"/>
      <protection locked="0"/>
    </xf>
    <xf numFmtId="179" fontId="20" fillId="4" borderId="1" xfId="269" applyFont="1" applyFill="1" applyBorder="1" applyAlignment="1" applyProtection="1">
      <alignment horizontal="center" vertical="top" wrapText="1"/>
      <protection locked="0"/>
    </xf>
    <xf numFmtId="179" fontId="20" fillId="4" borderId="1" xfId="269" applyFont="1" applyFill="1" applyBorder="1" applyAlignment="1" applyProtection="1">
      <alignment horizontal="justify" vertical="top" wrapText="1"/>
      <protection locked="0"/>
    </xf>
    <xf numFmtId="179" fontId="40" fillId="4" borderId="1" xfId="269" applyFont="1" applyFill="1" applyBorder="1" applyAlignment="1" applyProtection="1">
      <alignment horizontal="center" vertical="top" wrapText="1"/>
      <protection locked="0"/>
    </xf>
    <xf numFmtId="179" fontId="40" fillId="4" borderId="1" xfId="269" applyFont="1" applyFill="1" applyBorder="1" applyAlignment="1" applyProtection="1">
      <alignment horizontal="justify" vertical="top" wrapText="1"/>
      <protection locked="0"/>
    </xf>
    <xf numFmtId="179" fontId="40" fillId="6" borderId="1" xfId="269" applyFont="1" applyFill="1" applyBorder="1" applyAlignment="1" applyProtection="1">
      <alignment horizontal="center" vertical="top" wrapText="1"/>
      <protection locked="0"/>
    </xf>
    <xf numFmtId="43" fontId="40" fillId="6" borderId="1" xfId="15" applyFont="1" applyFill="1" applyBorder="1" applyAlignment="1" applyProtection="1">
      <alignment horizontal="center" vertical="top" wrapText="1"/>
    </xf>
    <xf numFmtId="179" fontId="13" fillId="6" borderId="0" xfId="269" applyFont="1" applyFill="1" applyBorder="1" applyAlignment="1" applyProtection="1">
      <alignment horizontal="center" vertical="top" wrapText="1"/>
      <protection locked="0"/>
    </xf>
    <xf numFmtId="179" fontId="13" fillId="6" borderId="35" xfId="269" applyFont="1" applyFill="1" applyBorder="1" applyAlignment="1" applyProtection="1">
      <alignment horizontal="center" vertical="top" wrapText="1"/>
      <protection locked="0"/>
    </xf>
    <xf numFmtId="179" fontId="20" fillId="6" borderId="0" xfId="269" applyFont="1" applyFill="1" applyAlignment="1" applyProtection="1">
      <alignment horizontal="justify" vertical="top" wrapText="1"/>
      <protection locked="0"/>
    </xf>
    <xf numFmtId="179" fontId="20" fillId="0" borderId="0" xfId="269" applyFont="1" applyFill="1" applyAlignment="1" applyProtection="1">
      <alignment horizontal="center" vertical="top" wrapText="1"/>
      <protection locked="0"/>
    </xf>
    <xf numFmtId="179" fontId="13" fillId="6" borderId="0" xfId="269" applyFont="1" applyFill="1" applyAlignment="1" applyProtection="1">
      <alignment horizontal="center" wrapText="1"/>
      <protection locked="0"/>
    </xf>
    <xf numFmtId="179" fontId="13" fillId="6" borderId="35" xfId="269" applyFont="1" applyFill="1" applyBorder="1" applyAlignment="1" applyProtection="1">
      <alignment horizontal="center" wrapText="1"/>
      <protection locked="0"/>
    </xf>
    <xf numFmtId="179" fontId="20" fillId="0" borderId="0" xfId="269" applyFont="1" applyFill="1" applyAlignment="1" applyProtection="1">
      <alignment horizontal="justify" vertical="top" wrapText="1"/>
      <protection locked="0"/>
    </xf>
    <xf numFmtId="179" fontId="33" fillId="20" borderId="0" xfId="52" applyFont="1" applyFill="1" applyAlignment="1" applyProtection="1">
      <alignment horizontal="left" vertical="center" shrinkToFit="1"/>
      <protection locked="0" hidden="1"/>
    </xf>
    <xf numFmtId="179" fontId="57" fillId="20" borderId="0" xfId="52" applyFont="1" applyFill="1" applyAlignment="1" applyProtection="1">
      <alignment vertical="center" shrinkToFit="1"/>
      <protection locked="0" hidden="1"/>
    </xf>
    <xf numFmtId="179" fontId="34" fillId="20" borderId="0" xfId="52" applyFont="1" applyFill="1" applyAlignment="1" applyProtection="1">
      <alignment horizontal="left" vertical="center" shrinkToFit="1"/>
      <protection locked="0" hidden="1"/>
    </xf>
    <xf numFmtId="179" fontId="34" fillId="6" borderId="0" xfId="52" applyFont="1" applyFill="1" applyAlignment="1" applyProtection="1">
      <alignment vertical="center"/>
      <protection locked="0"/>
    </xf>
    <xf numFmtId="4" fontId="16" fillId="23" borderId="1" xfId="0" applyNumberFormat="1" applyFont="1" applyFill="1" applyBorder="1" applyAlignment="1" applyProtection="1">
      <alignment horizontal="right" vertical="center" wrapText="1"/>
      <protection locked="0"/>
    </xf>
    <xf numFmtId="179" fontId="16" fillId="23" borderId="1" xfId="0" applyFont="1" applyFill="1" applyBorder="1" applyAlignment="1" applyProtection="1">
      <alignment horizontal="right" vertical="center" wrapText="1"/>
      <protection locked="0"/>
    </xf>
    <xf numFmtId="43" fontId="16" fillId="6" borderId="1" xfId="15" applyFont="1" applyFill="1" applyBorder="1" applyAlignment="1" applyProtection="1">
      <alignment horizontal="right" vertical="center" wrapText="1"/>
    </xf>
    <xf numFmtId="179" fontId="16" fillId="0" borderId="1" xfId="0" applyFont="1" applyFill="1" applyBorder="1" applyAlignment="1" applyProtection="1">
      <alignment horizontal="right" vertical="center" wrapText="1"/>
      <protection locked="0"/>
    </xf>
    <xf numFmtId="43" fontId="16" fillId="0" borderId="1" xfId="15" applyFont="1" applyFill="1" applyBorder="1" applyAlignment="1" applyProtection="1">
      <alignment horizontal="right" vertical="center" wrapText="1"/>
      <protection locked="0"/>
    </xf>
    <xf numFmtId="179" fontId="1" fillId="6" borderId="0" xfId="52" applyFont="1" applyFill="1" applyAlignment="1" applyProtection="1">
      <alignment horizontal="center" vertical="center"/>
      <protection locked="0"/>
    </xf>
    <xf numFmtId="179" fontId="1" fillId="6" borderId="0" xfId="322" applyNumberFormat="1" applyFont="1" applyFill="1" applyBorder="1" applyAlignment="1" applyProtection="1">
      <alignment vertical="center" wrapText="1"/>
      <protection locked="0"/>
    </xf>
    <xf numFmtId="43" fontId="7" fillId="0" borderId="1" xfId="0" applyNumberFormat="1" applyFont="1" applyFill="1" applyBorder="1" applyAlignment="1" applyProtection="1">
      <alignment vertical="center"/>
      <protection locked="0"/>
    </xf>
    <xf numFmtId="43" fontId="7" fillId="0" borderId="1" xfId="0" applyNumberFormat="1" applyFont="1" applyBorder="1" applyAlignment="1" applyProtection="1">
      <alignment vertical="center"/>
      <protection locked="0"/>
    </xf>
    <xf numFmtId="179" fontId="7" fillId="0" borderId="1" xfId="0" applyFont="1" applyBorder="1" applyAlignment="1" applyProtection="1">
      <alignment vertical="center"/>
      <protection locked="0"/>
    </xf>
    <xf numFmtId="43" fontId="7" fillId="0" borderId="1" xfId="15" applyFont="1" applyFill="1" applyBorder="1" applyAlignment="1" applyProtection="1">
      <alignment vertical="center"/>
      <protection locked="0"/>
    </xf>
    <xf numFmtId="43" fontId="7" fillId="0" borderId="1" xfId="15" applyFont="1" applyBorder="1" applyAlignment="1" applyProtection="1">
      <alignment vertical="center"/>
      <protection locked="0"/>
    </xf>
    <xf numFmtId="43" fontId="7" fillId="10" borderId="1" xfId="15" applyFont="1" applyFill="1" applyBorder="1" applyAlignment="1" applyProtection="1">
      <alignment vertical="center"/>
    </xf>
    <xf numFmtId="43" fontId="17" fillId="6" borderId="1" xfId="15" applyFont="1" applyFill="1" applyBorder="1" applyAlignment="1" applyProtection="1">
      <alignment horizontal="right" vertical="center" wrapText="1"/>
    </xf>
    <xf numFmtId="182" fontId="16" fillId="23" borderId="1" xfId="0" applyNumberFormat="1" applyFont="1" applyFill="1" applyBorder="1" applyAlignment="1" applyProtection="1">
      <alignment horizontal="right" vertical="center" wrapText="1"/>
      <protection locked="0"/>
    </xf>
    <xf numFmtId="182" fontId="16" fillId="0" borderId="1" xfId="0" applyNumberFormat="1" applyFont="1" applyFill="1" applyBorder="1" applyAlignment="1" applyProtection="1">
      <alignment horizontal="right" vertical="center" wrapText="1"/>
      <protection locked="0"/>
    </xf>
    <xf numFmtId="179" fontId="13" fillId="6" borderId="0" xfId="52" applyFont="1" applyFill="1" applyAlignment="1" applyProtection="1">
      <alignment vertical="center"/>
      <protection locked="0"/>
    </xf>
    <xf numFmtId="179" fontId="20" fillId="0" borderId="0" xfId="52" applyFont="1" applyFill="1" applyAlignment="1" applyProtection="1">
      <alignment horizontal="left" vertical="center"/>
      <protection locked="0"/>
    </xf>
    <xf numFmtId="179" fontId="20" fillId="0" borderId="0" xfId="52" applyFont="1" applyFill="1" applyAlignment="1" applyProtection="1">
      <alignment horizontal="centerContinuous" vertical="center"/>
      <protection locked="0"/>
    </xf>
    <xf numFmtId="179" fontId="58" fillId="6" borderId="0" xfId="126" applyFont="1" applyFill="1" applyAlignment="1" applyProtection="1">
      <alignment vertical="center" shrinkToFit="1"/>
    </xf>
    <xf numFmtId="43" fontId="20" fillId="6" borderId="16" xfId="15" applyFont="1" applyFill="1" applyBorder="1" applyAlignment="1" applyProtection="1">
      <alignment horizontal="center" vertical="center"/>
      <protection locked="0"/>
    </xf>
    <xf numFmtId="43" fontId="20" fillId="6" borderId="19" xfId="15" applyFont="1" applyFill="1" applyBorder="1" applyAlignment="1" applyProtection="1">
      <alignment horizontal="center" vertical="center"/>
      <protection locked="0"/>
    </xf>
    <xf numFmtId="43" fontId="1" fillId="6" borderId="1" xfId="15" applyFont="1" applyFill="1" applyBorder="1" applyAlignment="1" applyProtection="1">
      <alignment vertical="center"/>
      <protection locked="0"/>
    </xf>
    <xf numFmtId="179" fontId="15" fillId="0" borderId="1" xfId="0" applyFont="1" applyBorder="1" applyAlignment="1">
      <alignment horizontal="justify" vertical="center" wrapText="1"/>
    </xf>
    <xf numFmtId="179" fontId="15" fillId="0" borderId="1" xfId="0" applyFont="1" applyBorder="1" applyAlignment="1">
      <alignment horizontal="left" vertical="center" wrapText="1"/>
    </xf>
    <xf numFmtId="179" fontId="15" fillId="0" borderId="1" xfId="0" applyFont="1" applyBorder="1" applyAlignment="1">
      <alignment vertical="center" wrapText="1"/>
    </xf>
    <xf numFmtId="179" fontId="15" fillId="0" borderId="1" xfId="0" applyFont="1" applyBorder="1" applyAlignment="1">
      <alignment horizontal="center" vertical="center" wrapText="1"/>
    </xf>
    <xf numFmtId="179" fontId="15" fillId="0" borderId="1" xfId="0" applyFont="1" applyFill="1" applyBorder="1" applyAlignment="1">
      <alignment horizontal="justify" vertical="center" wrapText="1"/>
    </xf>
    <xf numFmtId="179" fontId="15" fillId="0" borderId="1" xfId="0" applyFont="1" applyFill="1" applyBorder="1" applyAlignment="1">
      <alignment horizontal="left" vertical="center" wrapText="1"/>
    </xf>
    <xf numFmtId="179" fontId="15" fillId="0" borderId="1" xfId="0" applyFont="1" applyFill="1" applyBorder="1" applyAlignment="1">
      <alignment horizontal="center" vertical="center" wrapText="1"/>
    </xf>
    <xf numFmtId="179" fontId="20" fillId="6" borderId="20" xfId="52" applyFont="1" applyFill="1" applyBorder="1" applyAlignment="1" applyProtection="1">
      <alignment horizontal="centerContinuous" vertical="center"/>
      <protection locked="0"/>
    </xf>
    <xf numFmtId="179" fontId="20" fillId="6" borderId="1" xfId="52" applyFont="1" applyFill="1" applyBorder="1" applyAlignment="1" applyProtection="1">
      <alignment horizontal="centerContinuous" vertical="center"/>
      <protection locked="0"/>
    </xf>
    <xf numFmtId="179" fontId="21" fillId="6" borderId="1" xfId="52" applyFont="1" applyFill="1" applyBorder="1" applyAlignment="1" applyProtection="1">
      <alignment horizontal="left" vertical="center"/>
      <protection locked="0"/>
    </xf>
    <xf numFmtId="179" fontId="20" fillId="6" borderId="20" xfId="15" applyNumberFormat="1" applyFont="1" applyFill="1" applyBorder="1" applyAlignment="1" applyProtection="1">
      <alignment horizontal="center" vertical="center"/>
      <protection locked="0"/>
    </xf>
    <xf numFmtId="179" fontId="20" fillId="6" borderId="1" xfId="15" applyNumberFormat="1" applyFont="1" applyFill="1" applyBorder="1" applyAlignment="1" applyProtection="1">
      <alignment horizontal="center" vertical="center"/>
      <protection locked="0"/>
    </xf>
    <xf numFmtId="179" fontId="20" fillId="6" borderId="1" xfId="52" applyFont="1" applyFill="1" applyBorder="1" applyAlignment="1" applyProtection="1">
      <alignment horizontal="left" vertical="center"/>
      <protection locked="0"/>
    </xf>
    <xf numFmtId="9" fontId="20" fillId="4" borderId="1" xfId="20" applyFont="1" applyFill="1" applyBorder="1" applyAlignment="1" applyProtection="1">
      <alignment vertical="center"/>
      <protection locked="0"/>
    </xf>
    <xf numFmtId="179" fontId="37" fillId="6" borderId="1" xfId="52" applyFont="1" applyFill="1" applyBorder="1" applyAlignment="1" applyProtection="1">
      <alignment horizontal="left" vertical="center"/>
      <protection locked="0"/>
    </xf>
    <xf numFmtId="43" fontId="37" fillId="6" borderId="1" xfId="15" applyFont="1" applyFill="1" applyBorder="1" applyAlignment="1" applyProtection="1">
      <alignment vertical="center"/>
      <protection locked="0"/>
    </xf>
    <xf numFmtId="43" fontId="20" fillId="6" borderId="0" xfId="52" applyNumberFormat="1" applyFont="1" applyFill="1" applyAlignment="1" applyProtection="1">
      <alignment vertical="center"/>
    </xf>
    <xf numFmtId="43" fontId="20" fillId="6" borderId="14" xfId="15" applyFont="1" applyFill="1" applyBorder="1" applyAlignment="1" applyProtection="1">
      <alignment horizontal="center" vertical="center"/>
      <protection locked="0"/>
    </xf>
    <xf numFmtId="43" fontId="20" fillId="6" borderId="20" xfId="15" applyFont="1" applyFill="1" applyBorder="1" applyAlignment="1" applyProtection="1">
      <alignment horizontal="center" vertical="center"/>
      <protection locked="0"/>
    </xf>
    <xf numFmtId="43" fontId="20" fillId="6" borderId="16" xfId="15" applyFont="1" applyFill="1" applyBorder="1" applyAlignment="1" applyProtection="1">
      <alignment horizontal="center" vertical="center" wrapText="1"/>
      <protection locked="0"/>
    </xf>
    <xf numFmtId="43" fontId="20" fillId="6" borderId="19" xfId="15" applyFont="1" applyFill="1" applyBorder="1" applyAlignment="1" applyProtection="1">
      <alignment horizontal="center" vertical="center" wrapText="1"/>
      <protection locked="0"/>
    </xf>
    <xf numFmtId="179" fontId="15" fillId="0" borderId="1" xfId="0" applyFont="1" applyFill="1" applyBorder="1" applyAlignment="1">
      <alignment horizontal="right" vertical="center" wrapText="1"/>
    </xf>
    <xf numFmtId="179" fontId="1" fillId="6" borderId="1" xfId="52" applyFont="1" applyFill="1" applyBorder="1" applyAlignment="1" applyProtection="1">
      <alignment horizontal="center" vertical="center"/>
      <protection locked="0"/>
    </xf>
    <xf numFmtId="43" fontId="36" fillId="6" borderId="1" xfId="15" applyFont="1" applyFill="1" applyBorder="1" applyAlignment="1" applyProtection="1">
      <alignment vertical="center"/>
      <protection locked="0"/>
    </xf>
    <xf numFmtId="179" fontId="36" fillId="4" borderId="1" xfId="52" applyFont="1" applyFill="1" applyBorder="1" applyAlignment="1" applyProtection="1">
      <alignment vertical="center"/>
      <protection locked="0"/>
    </xf>
    <xf numFmtId="179" fontId="20" fillId="6" borderId="16" xfId="52" applyFont="1" applyFill="1" applyBorder="1" applyAlignment="1" applyProtection="1">
      <alignment horizontal="center" vertical="center"/>
      <protection locked="0"/>
    </xf>
    <xf numFmtId="179" fontId="20" fillId="4" borderId="1" xfId="52" applyFont="1" applyFill="1" applyBorder="1" applyAlignment="1" applyProtection="1">
      <alignment vertical="center"/>
      <protection locked="0"/>
    </xf>
    <xf numFmtId="179" fontId="1" fillId="4" borderId="1" xfId="52" applyFont="1" applyFill="1" applyBorder="1" applyAlignment="1" applyProtection="1">
      <alignment vertical="center"/>
      <protection locked="0"/>
    </xf>
    <xf numFmtId="179" fontId="20" fillId="4" borderId="14" xfId="52" applyFont="1" applyFill="1" applyBorder="1" applyAlignment="1" applyProtection="1">
      <alignment horizontal="center" vertical="center" wrapText="1"/>
      <protection locked="0"/>
    </xf>
    <xf numFmtId="179" fontId="20" fillId="4" borderId="15" xfId="52" applyFont="1" applyFill="1" applyBorder="1" applyAlignment="1" applyProtection="1">
      <alignment horizontal="center" vertical="center" wrapText="1"/>
      <protection locked="0"/>
    </xf>
    <xf numFmtId="179" fontId="20" fillId="6" borderId="14" xfId="52" applyFont="1" applyFill="1" applyBorder="1" applyAlignment="1" applyProtection="1">
      <alignment horizontal="center" vertical="center"/>
      <protection locked="0"/>
    </xf>
    <xf numFmtId="179" fontId="20" fillId="6" borderId="15" xfId="52" applyFont="1" applyFill="1" applyBorder="1" applyAlignment="1" applyProtection="1">
      <alignment horizontal="center" vertical="center"/>
      <protection locked="0"/>
    </xf>
    <xf numFmtId="179" fontId="59" fillId="0" borderId="1" xfId="0" applyFont="1" applyFill="1" applyBorder="1" applyAlignment="1">
      <alignment horizontal="right" vertical="center" wrapText="1"/>
    </xf>
    <xf numFmtId="43" fontId="59" fillId="0" borderId="1" xfId="15" applyFont="1" applyFill="1" applyBorder="1" applyAlignment="1">
      <alignment horizontal="right" vertical="center" wrapText="1"/>
    </xf>
    <xf numFmtId="179" fontId="1" fillId="6" borderId="0" xfId="52" applyFont="1" applyFill="1" applyAlignment="1" applyProtection="1">
      <alignment vertical="center"/>
      <protection locked="0"/>
    </xf>
    <xf numFmtId="179" fontId="1" fillId="0" borderId="14" xfId="52" applyFont="1" applyFill="1" applyBorder="1" applyAlignment="1" applyProtection="1">
      <alignment horizontal="left" vertical="center"/>
      <protection locked="0"/>
    </xf>
    <xf numFmtId="179" fontId="1" fillId="0" borderId="15" xfId="52" applyFont="1" applyFill="1" applyBorder="1" applyAlignment="1" applyProtection="1">
      <alignment horizontal="left" vertical="center"/>
      <protection locked="0"/>
    </xf>
    <xf numFmtId="43" fontId="21" fillId="6" borderId="1" xfId="15" applyFont="1" applyFill="1" applyBorder="1" applyAlignment="1" applyProtection="1">
      <alignment horizontal="center" vertical="center" shrinkToFit="1"/>
      <protection locked="0"/>
    </xf>
    <xf numFmtId="179" fontId="20" fillId="4" borderId="20" xfId="52" applyFont="1" applyFill="1" applyBorder="1" applyAlignment="1" applyProtection="1">
      <alignment horizontal="center" vertical="center" wrapText="1"/>
      <protection locked="0"/>
    </xf>
    <xf numFmtId="179" fontId="20" fillId="6" borderId="36" xfId="52" applyFont="1" applyFill="1" applyBorder="1" applyAlignment="1" applyProtection="1">
      <alignment horizontal="center" vertical="center"/>
      <protection locked="0"/>
    </xf>
    <xf numFmtId="179" fontId="20" fillId="6" borderId="5" xfId="52" applyFont="1" applyFill="1" applyBorder="1" applyAlignment="1" applyProtection="1">
      <alignment horizontal="center" vertical="center"/>
      <protection locked="0"/>
    </xf>
    <xf numFmtId="179" fontId="20" fillId="6" borderId="7" xfId="52" applyFont="1" applyFill="1" applyBorder="1" applyAlignment="1" applyProtection="1">
      <alignment horizontal="center" vertical="center"/>
      <protection locked="0"/>
    </xf>
    <xf numFmtId="43" fontId="20" fillId="6" borderId="20" xfId="15" applyFont="1" applyFill="1" applyBorder="1" applyAlignment="1" applyProtection="1">
      <alignment vertical="center"/>
      <protection locked="0"/>
    </xf>
    <xf numFmtId="179" fontId="1" fillId="0" borderId="20" xfId="52" applyFont="1" applyFill="1" applyBorder="1" applyAlignment="1" applyProtection="1">
      <alignment horizontal="left" vertical="center"/>
      <protection locked="0"/>
    </xf>
    <xf numFmtId="179" fontId="13" fillId="6" borderId="1" xfId="282" applyNumberFormat="1" applyFont="1" applyFill="1" applyBorder="1" applyAlignment="1" applyProtection="1">
      <alignment horizontal="center" vertical="center" wrapText="1"/>
      <protection locked="0"/>
    </xf>
    <xf numFmtId="179" fontId="0" fillId="0" borderId="0" xfId="275" applyFill="1" applyAlignment="1" applyProtection="1">
      <alignment vertical="center"/>
      <protection locked="0"/>
    </xf>
    <xf numFmtId="179" fontId="60" fillId="0" borderId="0" xfId="275" applyFont="1" applyFill="1" applyAlignment="1" applyProtection="1">
      <alignment vertical="center"/>
      <protection locked="0"/>
    </xf>
    <xf numFmtId="179" fontId="0" fillId="0" borderId="0" xfId="275" applyFont="1" applyFill="1" applyAlignment="1" applyProtection="1">
      <alignment vertical="center"/>
      <protection locked="0"/>
    </xf>
    <xf numFmtId="201" fontId="0" fillId="0" borderId="0" xfId="275" applyNumberFormat="1" applyFont="1" applyFill="1" applyAlignment="1" applyProtection="1">
      <alignment vertical="center"/>
      <protection locked="0"/>
    </xf>
    <xf numFmtId="201" fontId="0" fillId="24" borderId="0" xfId="275" applyNumberFormat="1" applyFont="1" applyFill="1" applyAlignment="1" applyProtection="1">
      <alignment vertical="center"/>
      <protection locked="0"/>
    </xf>
    <xf numFmtId="179" fontId="61" fillId="24" borderId="0" xfId="275" applyFont="1" applyFill="1" applyAlignment="1" applyProtection="1">
      <alignment horizontal="center" vertical="center"/>
      <protection locked="0"/>
    </xf>
    <xf numFmtId="179" fontId="62" fillId="24" borderId="0" xfId="275" applyFont="1" applyFill="1" applyBorder="1" applyAlignment="1" applyProtection="1">
      <alignment horizontal="left" vertical="center" shrinkToFit="1"/>
      <protection locked="0"/>
    </xf>
    <xf numFmtId="179" fontId="62" fillId="24" borderId="0" xfId="275" applyFont="1" applyFill="1" applyBorder="1" applyAlignment="1" applyProtection="1">
      <alignment horizontal="left" vertical="center"/>
      <protection locked="0"/>
    </xf>
    <xf numFmtId="179" fontId="3" fillId="24" borderId="0" xfId="275" applyFont="1" applyFill="1" applyAlignment="1" applyProtection="1">
      <alignment vertical="center"/>
      <protection locked="0"/>
    </xf>
    <xf numFmtId="179" fontId="62" fillId="24" borderId="2" xfId="275" applyFont="1" applyFill="1" applyBorder="1" applyAlignment="1" applyProtection="1">
      <alignment horizontal="left" vertical="center"/>
      <protection locked="0"/>
    </xf>
    <xf numFmtId="179" fontId="62" fillId="24" borderId="2" xfId="275" applyFont="1" applyFill="1" applyBorder="1" applyAlignment="1" applyProtection="1">
      <alignment horizontal="left" vertical="center" shrinkToFit="1"/>
      <protection locked="0"/>
    </xf>
    <xf numFmtId="43" fontId="63" fillId="24" borderId="37" xfId="400" applyFont="1" applyFill="1" applyBorder="1" applyAlignment="1" applyProtection="1">
      <alignment horizontal="center" vertical="center" shrinkToFit="1"/>
      <protection locked="0"/>
    </xf>
    <xf numFmtId="201" fontId="63" fillId="24" borderId="38" xfId="275" applyNumberFormat="1" applyFont="1" applyFill="1" applyBorder="1" applyAlignment="1" applyProtection="1">
      <alignment horizontal="center" vertical="center"/>
      <protection locked="0"/>
    </xf>
    <xf numFmtId="179" fontId="63" fillId="24" borderId="39" xfId="275" applyFont="1" applyFill="1" applyBorder="1" applyAlignment="1" applyProtection="1">
      <alignment horizontal="center" vertical="center" wrapText="1"/>
      <protection locked="0"/>
    </xf>
    <xf numFmtId="179" fontId="63" fillId="24" borderId="38" xfId="275" applyFont="1" applyFill="1" applyBorder="1" applyAlignment="1" applyProtection="1">
      <alignment horizontal="center" vertical="center"/>
      <protection locked="0"/>
    </xf>
    <xf numFmtId="179" fontId="63" fillId="24" borderId="4" xfId="275" applyFont="1" applyFill="1" applyBorder="1" applyAlignment="1" applyProtection="1">
      <alignment horizontal="center" vertical="center"/>
      <protection locked="0"/>
    </xf>
    <xf numFmtId="179" fontId="63" fillId="24" borderId="5" xfId="275" applyFont="1" applyFill="1" applyBorder="1" applyAlignment="1" applyProtection="1">
      <alignment horizontal="center" vertical="center"/>
      <protection locked="0"/>
    </xf>
    <xf numFmtId="179" fontId="60" fillId="0" borderId="0" xfId="275" applyFont="1" applyFill="1" applyAlignment="1" applyProtection="1">
      <alignment horizontal="center" vertical="center"/>
      <protection locked="0"/>
    </xf>
    <xf numFmtId="43" fontId="63" fillId="24" borderId="40" xfId="400" applyFont="1" applyFill="1" applyBorder="1" applyAlignment="1" applyProtection="1">
      <alignment horizontal="center" vertical="center" shrinkToFit="1"/>
      <protection locked="0"/>
    </xf>
    <xf numFmtId="201" fontId="63" fillId="24" borderId="41" xfId="275" applyNumberFormat="1" applyFont="1" applyFill="1" applyBorder="1" applyAlignment="1" applyProtection="1">
      <alignment horizontal="center" vertical="center"/>
      <protection locked="0"/>
    </xf>
    <xf numFmtId="179" fontId="63" fillId="24" borderId="42" xfId="275" applyFont="1" applyFill="1" applyBorder="1" applyAlignment="1" applyProtection="1">
      <alignment horizontal="center" vertical="center" wrapText="1"/>
      <protection locked="0"/>
    </xf>
    <xf numFmtId="179" fontId="63" fillId="24" borderId="43" xfId="275" applyFont="1" applyFill="1" applyBorder="1" applyAlignment="1" applyProtection="1">
      <alignment vertical="center"/>
      <protection locked="0"/>
    </xf>
    <xf numFmtId="179" fontId="63" fillId="24" borderId="43" xfId="275" applyFont="1" applyFill="1" applyBorder="1" applyAlignment="1" applyProtection="1">
      <alignment horizontal="center" vertical="center" wrapText="1"/>
      <protection locked="0"/>
    </xf>
    <xf numFmtId="179" fontId="63" fillId="24" borderId="11" xfId="275" applyFont="1" applyFill="1" applyBorder="1" applyAlignment="1" applyProtection="1">
      <alignment horizontal="center" vertical="center" wrapText="1"/>
      <protection locked="0"/>
    </xf>
    <xf numFmtId="43" fontId="63" fillId="24" borderId="44" xfId="400" applyFont="1" applyFill="1" applyBorder="1" applyAlignment="1" applyProtection="1">
      <alignment horizontal="center" vertical="center" shrinkToFit="1"/>
      <protection locked="0"/>
    </xf>
    <xf numFmtId="49" fontId="64" fillId="24" borderId="45" xfId="400" applyNumberFormat="1" applyFont="1" applyFill="1" applyBorder="1" applyAlignment="1" applyProtection="1">
      <alignment horizontal="center" vertical="center"/>
      <protection locked="0"/>
    </xf>
    <xf numFmtId="49" fontId="64" fillId="24" borderId="13" xfId="400" applyNumberFormat="1" applyFont="1" applyFill="1" applyBorder="1" applyAlignment="1" applyProtection="1">
      <alignment horizontal="center" vertical="center"/>
      <protection locked="0"/>
    </xf>
    <xf numFmtId="43" fontId="65" fillId="24" borderId="17" xfId="400" applyFont="1" applyFill="1" applyBorder="1" applyAlignment="1" applyProtection="1">
      <alignment horizontal="left" vertical="center" shrinkToFit="1"/>
      <protection locked="0"/>
    </xf>
    <xf numFmtId="43" fontId="64" fillId="24" borderId="46" xfId="400" applyFont="1" applyFill="1" applyBorder="1" applyAlignment="1" applyProtection="1">
      <alignment horizontal="right" vertical="center"/>
      <protection locked="0"/>
    </xf>
    <xf numFmtId="43" fontId="64" fillId="24" borderId="47" xfId="400" applyFont="1" applyFill="1" applyBorder="1" applyAlignment="1" applyProtection="1">
      <alignment horizontal="right" vertical="center"/>
      <protection locked="0"/>
    </xf>
    <xf numFmtId="179" fontId="66" fillId="0" borderId="0" xfId="275" applyFont="1" applyFill="1" applyAlignment="1" applyProtection="1">
      <alignment horizontal="center" vertical="center"/>
      <protection locked="0"/>
    </xf>
    <xf numFmtId="43" fontId="64" fillId="24" borderId="48" xfId="400" applyFont="1" applyFill="1" applyBorder="1" applyAlignment="1" applyProtection="1">
      <alignment horizontal="left" vertical="center" shrinkToFit="1"/>
      <protection locked="0"/>
    </xf>
    <xf numFmtId="43" fontId="64" fillId="24" borderId="49" xfId="400" applyFont="1" applyFill="1" applyBorder="1" applyAlignment="1" applyProtection="1">
      <alignment horizontal="right" vertical="center" shrinkToFit="1"/>
      <protection locked="0"/>
    </xf>
    <xf numFmtId="10" fontId="64" fillId="24" borderId="49" xfId="20" applyNumberFormat="1" applyFont="1" applyFill="1" applyBorder="1" applyAlignment="1" applyProtection="1">
      <alignment horizontal="right" vertical="center" shrinkToFit="1"/>
      <protection locked="0"/>
    </xf>
    <xf numFmtId="43" fontId="64" fillId="24" borderId="49" xfId="400" applyFont="1" applyFill="1" applyBorder="1" applyAlignment="1" applyProtection="1">
      <alignment horizontal="right" vertical="center" shrinkToFit="1"/>
    </xf>
    <xf numFmtId="10" fontId="64" fillId="24" borderId="49" xfId="20" applyNumberFormat="1" applyFont="1" applyFill="1" applyBorder="1" applyAlignment="1" applyProtection="1">
      <alignment horizontal="right" vertical="center"/>
      <protection hidden="1"/>
    </xf>
    <xf numFmtId="10" fontId="67" fillId="4" borderId="50" xfId="400" applyNumberFormat="1" applyFont="1" applyFill="1" applyBorder="1" applyAlignment="1" applyProtection="1">
      <alignment horizontal="left" vertical="center" wrapText="1"/>
      <protection locked="0"/>
    </xf>
    <xf numFmtId="179" fontId="66" fillId="0" borderId="0" xfId="275" applyFont="1" applyFill="1" applyAlignment="1" applyProtection="1">
      <alignment vertical="center"/>
      <protection locked="0"/>
    </xf>
    <xf numFmtId="43" fontId="64" fillId="4" borderId="50" xfId="400" applyFont="1" applyFill="1" applyBorder="1" applyAlignment="1" applyProtection="1">
      <alignment horizontal="left" vertical="center" wrapText="1"/>
      <protection locked="0"/>
    </xf>
    <xf numFmtId="43" fontId="67" fillId="24" borderId="48" xfId="400" applyFont="1" applyFill="1" applyBorder="1" applyAlignment="1" applyProtection="1">
      <alignment horizontal="left" vertical="center" shrinkToFit="1"/>
      <protection locked="0"/>
    </xf>
    <xf numFmtId="43" fontId="65" fillId="24" borderId="48" xfId="400" applyFont="1" applyFill="1" applyBorder="1" applyAlignment="1" applyProtection="1">
      <alignment horizontal="left" vertical="center" shrinkToFit="1"/>
      <protection locked="0"/>
    </xf>
    <xf numFmtId="43" fontId="67" fillId="24" borderId="48" xfId="400" applyFont="1" applyFill="1" applyBorder="1" applyAlignment="1" applyProtection="1">
      <alignment horizontal="center" vertical="center" shrinkToFit="1"/>
      <protection locked="0"/>
    </xf>
    <xf numFmtId="43" fontId="64" fillId="4" borderId="13" xfId="400" applyFont="1" applyFill="1" applyBorder="1" applyAlignment="1" applyProtection="1">
      <alignment horizontal="left" vertical="center" wrapText="1"/>
      <protection locked="0"/>
    </xf>
    <xf numFmtId="43" fontId="64" fillId="4" borderId="47" xfId="400" applyFont="1" applyFill="1" applyBorder="1" applyAlignment="1" applyProtection="1">
      <alignment horizontal="left" vertical="center" wrapText="1"/>
      <protection locked="0"/>
    </xf>
    <xf numFmtId="43" fontId="64" fillId="24" borderId="51" xfId="400" applyFont="1" applyFill="1" applyBorder="1" applyAlignment="1" applyProtection="1">
      <alignment horizontal="left" vertical="center" shrinkToFit="1"/>
      <protection locked="0"/>
    </xf>
    <xf numFmtId="43" fontId="64" fillId="24" borderId="45" xfId="400" applyFont="1" applyFill="1" applyBorder="1" applyAlignment="1" applyProtection="1">
      <alignment horizontal="right" vertical="center" shrinkToFit="1"/>
      <protection locked="0"/>
    </xf>
    <xf numFmtId="10" fontId="64" fillId="24" borderId="45" xfId="20" applyNumberFormat="1" applyFont="1" applyFill="1" applyBorder="1" applyAlignment="1" applyProtection="1">
      <alignment horizontal="right" vertical="center" shrinkToFit="1"/>
      <protection locked="0"/>
    </xf>
    <xf numFmtId="10" fontId="64" fillId="24" borderId="45" xfId="20" applyNumberFormat="1" applyFont="1" applyFill="1" applyBorder="1" applyAlignment="1" applyProtection="1">
      <alignment horizontal="right" vertical="center"/>
      <protection locked="0"/>
    </xf>
    <xf numFmtId="43" fontId="64" fillId="4" borderId="13" xfId="400" applyFont="1" applyFill="1" applyBorder="1" applyAlignment="1" applyProtection="1">
      <alignment horizontal="right" vertical="center"/>
      <protection locked="0"/>
    </xf>
    <xf numFmtId="43" fontId="67" fillId="24" borderId="14" xfId="400" applyFont="1" applyFill="1" applyBorder="1" applyAlignment="1" applyProtection="1">
      <alignment horizontal="center" vertical="center"/>
      <protection locked="0"/>
    </xf>
    <xf numFmtId="43" fontId="67" fillId="24" borderId="52" xfId="400" applyFont="1" applyFill="1" applyBorder="1" applyAlignment="1" applyProtection="1">
      <alignment horizontal="center" vertical="center"/>
      <protection locked="0"/>
    </xf>
    <xf numFmtId="43" fontId="4" fillId="24" borderId="52" xfId="400" applyFont="1" applyFill="1" applyBorder="1" applyAlignment="1" applyProtection="1">
      <alignment horizontal="center" vertical="center"/>
      <protection locked="0"/>
    </xf>
    <xf numFmtId="43" fontId="67" fillId="24" borderId="53" xfId="400" applyFont="1" applyFill="1" applyBorder="1" applyAlignment="1" applyProtection="1">
      <alignment horizontal="center" vertical="center"/>
      <protection locked="0"/>
    </xf>
    <xf numFmtId="43" fontId="67" fillId="24" borderId="17" xfId="400" applyFont="1" applyFill="1" applyBorder="1" applyAlignment="1" applyProtection="1">
      <alignment horizontal="left" vertical="center"/>
      <protection locked="0"/>
    </xf>
    <xf numFmtId="43" fontId="67" fillId="24" borderId="48" xfId="400" applyFont="1" applyFill="1" applyBorder="1" applyAlignment="1" applyProtection="1">
      <alignment horizontal="left" vertical="center"/>
      <protection locked="0"/>
    </xf>
    <xf numFmtId="43" fontId="64" fillId="24" borderId="49" xfId="400" applyFont="1" applyFill="1" applyBorder="1" applyAlignment="1" applyProtection="1">
      <alignment horizontal="left" vertical="center" shrinkToFit="1"/>
      <protection locked="0"/>
    </xf>
    <xf numFmtId="43" fontId="64" fillId="24" borderId="50" xfId="400" applyFont="1" applyFill="1" applyBorder="1" applyAlignment="1" applyProtection="1">
      <alignment horizontal="right" vertical="center"/>
      <protection locked="0"/>
    </xf>
    <xf numFmtId="43" fontId="68" fillId="24" borderId="49" xfId="400" applyFont="1" applyFill="1" applyBorder="1" applyAlignment="1" applyProtection="1">
      <alignment horizontal="left" vertical="center" wrapText="1"/>
      <protection locked="0"/>
    </xf>
    <xf numFmtId="43" fontId="64" fillId="24" borderId="49" xfId="15" applyFont="1" applyFill="1" applyBorder="1" applyAlignment="1" applyProtection="1">
      <alignment horizontal="right" vertical="center" shrinkToFit="1"/>
      <protection locked="0"/>
    </xf>
    <xf numFmtId="43" fontId="67" fillId="24" borderId="51" xfId="400" applyFont="1" applyFill="1" applyBorder="1" applyAlignment="1" applyProtection="1">
      <alignment horizontal="left" vertical="center"/>
      <protection locked="0"/>
    </xf>
    <xf numFmtId="43" fontId="64" fillId="24" borderId="45" xfId="400" applyFont="1" applyFill="1" applyBorder="1" applyAlignment="1" applyProtection="1">
      <alignment horizontal="left" vertical="center" shrinkToFit="1"/>
      <protection locked="0"/>
    </xf>
    <xf numFmtId="43" fontId="64" fillId="24" borderId="13" xfId="400" applyFont="1" applyFill="1" applyBorder="1" applyAlignment="1" applyProtection="1">
      <alignment horizontal="right" vertical="center"/>
      <protection locked="0"/>
    </xf>
    <xf numFmtId="179" fontId="3" fillId="24" borderId="4" xfId="0" applyFont="1" applyFill="1" applyBorder="1" applyAlignment="1" applyProtection="1">
      <alignment vertical="center" wrapText="1"/>
      <protection locked="0"/>
    </xf>
    <xf numFmtId="179" fontId="3" fillId="24" borderId="4" xfId="0" applyFont="1" applyFill="1" applyBorder="1" applyAlignment="1" applyProtection="1">
      <alignment vertical="center"/>
      <protection locked="0"/>
    </xf>
    <xf numFmtId="179" fontId="20" fillId="11" borderId="0" xfId="0" applyFont="1" applyFill="1"/>
    <xf numFmtId="179" fontId="20" fillId="21" borderId="0" xfId="0" applyFont="1" applyFill="1"/>
    <xf numFmtId="179" fontId="20" fillId="21" borderId="0" xfId="0" applyFont="1" applyFill="1" applyAlignment="1">
      <alignment wrapText="1"/>
    </xf>
    <xf numFmtId="179" fontId="24" fillId="21" borderId="0" xfId="0" applyFont="1" applyFill="1" applyAlignment="1">
      <alignment wrapText="1"/>
    </xf>
    <xf numFmtId="179" fontId="21" fillId="21" borderId="0" xfId="0" applyFont="1" applyFill="1" applyAlignment="1">
      <alignment horizontal="center"/>
    </xf>
    <xf numFmtId="179" fontId="13" fillId="21" borderId="0" xfId="0" applyFont="1" applyFill="1" applyAlignment="1">
      <alignment wrapText="1"/>
    </xf>
    <xf numFmtId="179" fontId="1" fillId="21" borderId="0" xfId="0" applyFont="1" applyFill="1" applyAlignment="1">
      <alignment wrapText="1"/>
    </xf>
    <xf numFmtId="179" fontId="20" fillId="21" borderId="0" xfId="0" applyFont="1" applyFill="1" applyAlignment="1">
      <alignment horizontal="center" wrapText="1"/>
    </xf>
    <xf numFmtId="179" fontId="20" fillId="0" borderId="0" xfId="0" applyFont="1" applyFill="1" applyProtection="1">
      <protection locked="0"/>
    </xf>
    <xf numFmtId="179" fontId="1" fillId="21" borderId="0" xfId="0" applyFont="1" applyFill="1" applyAlignment="1">
      <alignment horizontal="center" wrapText="1"/>
    </xf>
    <xf numFmtId="179" fontId="20" fillId="21" borderId="0" xfId="0" applyFont="1" applyFill="1" applyAlignment="1">
      <alignment horizontal="left" wrapText="1"/>
    </xf>
    <xf numFmtId="10" fontId="20" fillId="21" borderId="0" xfId="0" applyNumberFormat="1" applyFont="1" applyFill="1"/>
    <xf numFmtId="179" fontId="21" fillId="21" borderId="0" xfId="0" applyFont="1" applyFill="1" applyAlignment="1">
      <alignment wrapText="1"/>
    </xf>
    <xf numFmtId="179" fontId="1" fillId="0" borderId="0" xfId="0" applyFont="1" applyFill="1" applyProtection="1">
      <protection locked="0"/>
    </xf>
    <xf numFmtId="43" fontId="20" fillId="21" borderId="0" xfId="0" applyNumberFormat="1" applyFont="1" applyFill="1"/>
    <xf numFmtId="43" fontId="20" fillId="21" borderId="0" xfId="0" applyNumberFormat="1" applyFont="1" applyFill="1" applyAlignment="1">
      <alignment wrapText="1"/>
    </xf>
    <xf numFmtId="43" fontId="20" fillId="21" borderId="0" xfId="15" applyFont="1" applyFill="1"/>
    <xf numFmtId="179" fontId="20" fillId="11" borderId="0" xfId="0" applyFont="1" applyFill="1" applyAlignment="1">
      <alignment wrapText="1"/>
    </xf>
    <xf numFmtId="179" fontId="3" fillId="3" borderId="0" xfId="0" applyFont="1" applyFill="1" applyProtection="1">
      <protection locked="0"/>
    </xf>
    <xf numFmtId="179" fontId="69" fillId="25" borderId="0" xfId="0" applyFont="1" applyFill="1" applyProtection="1">
      <protection locked="0"/>
    </xf>
    <xf numFmtId="179" fontId="69" fillId="25" borderId="0" xfId="0" applyFont="1" applyFill="1" applyAlignment="1" applyProtection="1">
      <alignment shrinkToFit="1"/>
      <protection locked="0"/>
    </xf>
    <xf numFmtId="179" fontId="3" fillId="0" borderId="0" xfId="0" applyFont="1" applyProtection="1">
      <protection locked="0"/>
    </xf>
    <xf numFmtId="43" fontId="3" fillId="0" borderId="0" xfId="15" applyFont="1" applyProtection="1">
      <protection locked="0"/>
    </xf>
    <xf numFmtId="179" fontId="1" fillId="0" borderId="17" xfId="17" applyFont="1" applyFill="1" applyBorder="1" applyAlignment="1" applyProtection="1">
      <alignment horizontal="center" vertical="center"/>
      <protection locked="0"/>
    </xf>
    <xf numFmtId="179" fontId="3" fillId="0" borderId="0" xfId="269" applyFont="1" applyProtection="1">
      <protection locked="0"/>
    </xf>
    <xf numFmtId="179" fontId="1" fillId="26" borderId="0" xfId="17" applyFont="1" applyFill="1" applyAlignment="1" applyProtection="1">
      <alignment horizontal="center" vertical="center"/>
      <protection locked="0"/>
    </xf>
    <xf numFmtId="179" fontId="1" fillId="0" borderId="0" xfId="17" applyFont="1" applyFill="1" applyAlignment="1" applyProtection="1">
      <alignment horizontal="center" vertical="center"/>
      <protection locked="0"/>
    </xf>
    <xf numFmtId="179" fontId="5" fillId="2" borderId="0" xfId="269" applyFont="1" applyFill="1" applyAlignment="1">
      <alignment horizontal="center"/>
    </xf>
    <xf numFmtId="43" fontId="4" fillId="0" borderId="0" xfId="15" applyFont="1" applyAlignment="1" applyProtection="1">
      <alignment horizontal="center"/>
      <protection locked="0"/>
    </xf>
    <xf numFmtId="179" fontId="4" fillId="3" borderId="0" xfId="0" applyFont="1" applyFill="1" applyAlignment="1" applyProtection="1">
      <alignment horizontal="center"/>
      <protection locked="0"/>
    </xf>
    <xf numFmtId="43" fontId="4" fillId="21" borderId="0" xfId="0" applyNumberFormat="1" applyFont="1" applyFill="1" applyBorder="1" applyAlignment="1" applyProtection="1">
      <alignment vertical="center" shrinkToFit="1"/>
      <protection locked="0"/>
    </xf>
    <xf numFmtId="43" fontId="3" fillId="21" borderId="0" xfId="0" applyNumberFormat="1" applyFont="1" applyFill="1" applyBorder="1" applyAlignment="1" applyProtection="1">
      <alignment vertical="center" shrinkToFit="1"/>
      <protection locked="0"/>
    </xf>
    <xf numFmtId="43" fontId="3" fillId="2" borderId="0" xfId="15" applyFont="1" applyFill="1" applyProtection="1"/>
    <xf numFmtId="179" fontId="4" fillId="21" borderId="0" xfId="0" applyFont="1" applyFill="1" applyBorder="1" applyAlignment="1" applyProtection="1">
      <alignment shrinkToFit="1"/>
      <protection locked="0"/>
    </xf>
    <xf numFmtId="179" fontId="3" fillId="21" borderId="0" xfId="0" applyFont="1" applyFill="1" applyBorder="1" applyAlignment="1" applyProtection="1">
      <alignment vertical="center" shrinkToFit="1"/>
      <protection locked="0"/>
    </xf>
    <xf numFmtId="43" fontId="5" fillId="21" borderId="0" xfId="15" applyFont="1" applyFill="1" applyBorder="1" applyAlignment="1" applyProtection="1">
      <alignment shrinkToFit="1"/>
      <protection locked="0"/>
    </xf>
    <xf numFmtId="179" fontId="3" fillId="0" borderId="0" xfId="0" applyFont="1" applyAlignment="1" applyProtection="1">
      <alignment horizontal="left"/>
      <protection locked="0"/>
    </xf>
    <xf numFmtId="43" fontId="2" fillId="0" borderId="0" xfId="15" applyFont="1" applyProtection="1"/>
    <xf numFmtId="43" fontId="3" fillId="18" borderId="0" xfId="15" applyFont="1" applyFill="1" applyProtection="1">
      <protection locked="0"/>
    </xf>
    <xf numFmtId="43" fontId="3" fillId="18" borderId="0" xfId="15" applyFont="1" applyFill="1" applyBorder="1" applyAlignment="1" applyProtection="1">
      <alignment wrapText="1"/>
      <protection locked="0"/>
    </xf>
    <xf numFmtId="43" fontId="3" fillId="18" borderId="0" xfId="15" applyFont="1" applyFill="1" applyBorder="1" applyAlignment="1" applyProtection="1">
      <alignment shrinkToFit="1"/>
      <protection locked="0"/>
    </xf>
    <xf numFmtId="179" fontId="3" fillId="21" borderId="0" xfId="0" applyFont="1" applyFill="1" applyBorder="1" applyAlignment="1" applyProtection="1">
      <alignment horizontal="center" vertical="center" shrinkToFit="1"/>
      <protection locked="0"/>
    </xf>
    <xf numFmtId="43" fontId="3" fillId="0" borderId="0" xfId="15" applyFont="1" applyBorder="1" applyAlignment="1" applyProtection="1">
      <alignment shrinkToFit="1"/>
      <protection locked="0"/>
    </xf>
    <xf numFmtId="179" fontId="3" fillId="18" borderId="0" xfId="269" applyFont="1" applyFill="1" applyProtection="1">
      <protection locked="0"/>
    </xf>
    <xf numFmtId="43" fontId="3" fillId="21" borderId="0" xfId="15" applyFont="1" applyFill="1" applyBorder="1" applyAlignment="1" applyProtection="1">
      <alignment vertical="center" shrinkToFit="1"/>
      <protection locked="0"/>
    </xf>
    <xf numFmtId="43" fontId="4" fillId="21" borderId="0" xfId="15" applyFont="1" applyFill="1" applyBorder="1" applyAlignment="1" applyProtection="1">
      <alignment shrinkToFit="1"/>
      <protection locked="0"/>
    </xf>
    <xf numFmtId="179" fontId="5" fillId="2" borderId="0" xfId="0" applyFont="1" applyFill="1" applyAlignment="1" applyProtection="1">
      <alignment horizontal="center"/>
      <protection locked="0"/>
    </xf>
    <xf numFmtId="43" fontId="3" fillId="21" borderId="0" xfId="15" applyFont="1" applyFill="1" applyBorder="1" applyAlignment="1" applyProtection="1">
      <alignment shrinkToFit="1"/>
      <protection locked="0"/>
    </xf>
    <xf numFmtId="43" fontId="3" fillId="0" borderId="0" xfId="15" applyFont="1" applyProtection="1"/>
    <xf numFmtId="43" fontId="3" fillId="21" borderId="0" xfId="15" applyFont="1" applyFill="1" applyBorder="1" applyAlignment="1" applyProtection="1">
      <alignment horizontal="center" vertical="center" shrinkToFit="1"/>
      <protection locked="0"/>
    </xf>
    <xf numFmtId="43" fontId="3" fillId="3" borderId="0" xfId="15" applyFont="1" applyFill="1" applyProtection="1">
      <protection locked="0"/>
    </xf>
    <xf numFmtId="179" fontId="60" fillId="0" borderId="0" xfId="275" applyFont="1" applyFill="1" applyAlignment="1">
      <alignment vertical="center"/>
    </xf>
    <xf numFmtId="179" fontId="0" fillId="0" borderId="0" xfId="275" applyFont="1" applyFill="1" applyAlignment="1">
      <alignment vertical="center"/>
    </xf>
    <xf numFmtId="201" fontId="0" fillId="0" borderId="0" xfId="275" applyNumberFormat="1" applyFont="1" applyFill="1" applyAlignment="1">
      <alignment vertical="center"/>
    </xf>
    <xf numFmtId="179" fontId="1" fillId="0" borderId="0" xfId="275" applyFont="1" applyFill="1" applyAlignment="1">
      <alignment vertical="center"/>
    </xf>
    <xf numFmtId="10" fontId="67" fillId="24" borderId="16" xfId="20" applyNumberFormat="1" applyFont="1" applyFill="1" applyBorder="1" applyAlignment="1">
      <alignment horizontal="center" vertical="center" shrinkToFit="1"/>
    </xf>
    <xf numFmtId="10" fontId="67" fillId="24" borderId="16" xfId="20" applyNumberFormat="1" applyFont="1" applyFill="1" applyBorder="1" applyAlignment="1">
      <alignment horizontal="center" vertical="center" wrapText="1" shrinkToFit="1"/>
    </xf>
    <xf numFmtId="10" fontId="67" fillId="24" borderId="1" xfId="20" applyNumberFormat="1" applyFont="1" applyFill="1" applyBorder="1" applyAlignment="1">
      <alignment horizontal="right" vertical="center" shrinkToFit="1"/>
    </xf>
    <xf numFmtId="10" fontId="67" fillId="24" borderId="3" xfId="20" applyNumberFormat="1" applyFont="1" applyFill="1" applyBorder="1" applyAlignment="1">
      <alignment horizontal="center" vertical="center" shrinkToFit="1"/>
    </xf>
    <xf numFmtId="10" fontId="67" fillId="24" borderId="19" xfId="20" applyNumberFormat="1" applyFont="1" applyFill="1" applyBorder="1" applyAlignment="1">
      <alignment horizontal="center" vertical="center" shrinkToFit="1"/>
    </xf>
    <xf numFmtId="10" fontId="67" fillId="24" borderId="19" xfId="20" applyNumberFormat="1" applyFont="1" applyFill="1" applyBorder="1" applyAlignment="1">
      <alignment horizontal="center" vertical="center" wrapText="1" shrinkToFit="1"/>
    </xf>
    <xf numFmtId="10" fontId="67" fillId="24" borderId="6" xfId="20" applyNumberFormat="1" applyFont="1" applyFill="1" applyBorder="1" applyAlignment="1">
      <alignment horizontal="center" vertical="center" shrinkToFit="1"/>
    </xf>
    <xf numFmtId="179" fontId="1" fillId="15" borderId="14" xfId="17" applyFont="1" applyFill="1" applyBorder="1" applyAlignment="1" applyProtection="1">
      <alignment horizontal="center" vertical="center"/>
      <protection locked="0"/>
    </xf>
    <xf numFmtId="179" fontId="64" fillId="24" borderId="1" xfId="15" applyNumberFormat="1" applyFont="1" applyFill="1" applyBorder="1" applyAlignment="1">
      <alignment horizontal="center" vertical="center" shrinkToFit="1"/>
    </xf>
    <xf numFmtId="179" fontId="64" fillId="24" borderId="1" xfId="20" applyNumberFormat="1" applyFont="1" applyFill="1" applyBorder="1" applyAlignment="1">
      <alignment horizontal="center" vertical="center" shrinkToFit="1"/>
    </xf>
    <xf numFmtId="43" fontId="65" fillId="24" borderId="1" xfId="400" applyFont="1" applyFill="1" applyBorder="1" applyAlignment="1">
      <alignment horizontal="left" vertical="center" shrinkToFit="1"/>
    </xf>
    <xf numFmtId="10" fontId="67" fillId="0" borderId="1" xfId="20" applyNumberFormat="1" applyFont="1" applyFill="1" applyBorder="1" applyAlignment="1">
      <alignment horizontal="right" vertical="center" shrinkToFit="1"/>
    </xf>
    <xf numFmtId="43" fontId="64" fillId="0" borderId="1" xfId="400" applyFont="1" applyFill="1" applyBorder="1" applyAlignment="1">
      <alignment horizontal="right" vertical="center"/>
    </xf>
    <xf numFmtId="179" fontId="1" fillId="0" borderId="1" xfId="275" applyFont="1" applyFill="1" applyBorder="1" applyAlignment="1">
      <alignment horizontal="center" vertical="center"/>
    </xf>
    <xf numFmtId="43" fontId="64" fillId="24" borderId="1" xfId="400" applyFont="1" applyFill="1" applyBorder="1" applyAlignment="1">
      <alignment horizontal="left" vertical="center" shrinkToFit="1"/>
    </xf>
    <xf numFmtId="43" fontId="64" fillId="24" borderId="1" xfId="400" applyFont="1" applyFill="1" applyBorder="1" applyAlignment="1" applyProtection="1">
      <alignment horizontal="right" vertical="center" shrinkToFit="1"/>
      <protection locked="0"/>
    </xf>
    <xf numFmtId="10" fontId="64" fillId="24" borderId="1" xfId="20" applyNumberFormat="1" applyFont="1" applyFill="1" applyBorder="1" applyAlignment="1">
      <alignment horizontal="right" vertical="center" shrinkToFit="1"/>
    </xf>
    <xf numFmtId="43" fontId="64" fillId="24" borderId="1" xfId="400" applyFont="1" applyFill="1" applyBorder="1" applyAlignment="1">
      <alignment horizontal="right" vertical="center" shrinkToFit="1"/>
    </xf>
    <xf numFmtId="10" fontId="64" fillId="24" borderId="1" xfId="20" applyNumberFormat="1" applyFont="1" applyFill="1" applyBorder="1" applyAlignment="1">
      <alignment horizontal="right" vertical="center"/>
    </xf>
    <xf numFmtId="43" fontId="64" fillId="4" borderId="1" xfId="400" applyFont="1" applyFill="1" applyBorder="1" applyAlignment="1">
      <alignment horizontal="left" vertical="center" wrapText="1"/>
    </xf>
    <xf numFmtId="179" fontId="3" fillId="3" borderId="1" xfId="0" applyFont="1" applyFill="1" applyBorder="1" applyAlignment="1" applyProtection="1">
      <alignment vertical="center"/>
    </xf>
    <xf numFmtId="43" fontId="67" fillId="24" borderId="1" xfId="400" applyFont="1" applyFill="1" applyBorder="1" applyAlignment="1">
      <alignment horizontal="left" vertical="center" shrinkToFit="1"/>
    </xf>
    <xf numFmtId="179" fontId="3" fillId="21" borderId="1" xfId="0" applyFont="1" applyFill="1" applyBorder="1" applyAlignment="1" applyProtection="1">
      <alignment vertical="center"/>
    </xf>
    <xf numFmtId="179" fontId="3" fillId="3" borderId="1" xfId="0" applyFont="1" applyFill="1" applyBorder="1" applyAlignment="1" applyProtection="1">
      <alignment horizontal="left" vertical="center"/>
    </xf>
    <xf numFmtId="43" fontId="67" fillId="24" borderId="1" xfId="400" applyFont="1" applyFill="1" applyBorder="1" applyAlignment="1">
      <alignment horizontal="center" vertical="center" shrinkToFit="1"/>
    </xf>
    <xf numFmtId="10" fontId="67" fillId="24" borderId="5" xfId="20" applyNumberFormat="1" applyFont="1" applyFill="1" applyBorder="1" applyAlignment="1">
      <alignment horizontal="center" vertical="center" shrinkToFit="1"/>
    </xf>
    <xf numFmtId="10" fontId="13" fillId="24" borderId="16" xfId="20" applyNumberFormat="1" applyFont="1" applyFill="1" applyBorder="1" applyAlignment="1">
      <alignment horizontal="center" vertical="center" shrinkToFit="1"/>
    </xf>
    <xf numFmtId="179" fontId="60" fillId="0" borderId="0" xfId="275" applyFont="1" applyFill="1" applyAlignment="1">
      <alignment horizontal="center" vertical="center"/>
    </xf>
    <xf numFmtId="10" fontId="67" fillId="24" borderId="7" xfId="20" applyNumberFormat="1" applyFont="1" applyFill="1" applyBorder="1" applyAlignment="1">
      <alignment horizontal="center" vertical="center" shrinkToFit="1"/>
    </xf>
    <xf numFmtId="10" fontId="13" fillId="24" borderId="19" xfId="20" applyNumberFormat="1" applyFont="1" applyFill="1" applyBorder="1" applyAlignment="1">
      <alignment horizontal="center" vertical="center" shrinkToFit="1"/>
    </xf>
    <xf numFmtId="179" fontId="20" fillId="24" borderId="1" xfId="20" applyNumberFormat="1" applyFont="1" applyFill="1" applyBorder="1" applyAlignment="1">
      <alignment horizontal="center" vertical="center" shrinkToFit="1"/>
    </xf>
    <xf numFmtId="179" fontId="1" fillId="0" borderId="14" xfId="275" applyFont="1" applyFill="1" applyBorder="1" applyAlignment="1">
      <alignment horizontal="center" vertical="center"/>
    </xf>
    <xf numFmtId="179" fontId="66" fillId="0" borderId="0" xfId="275" applyFont="1" applyFill="1" applyAlignment="1">
      <alignment horizontal="center" vertical="center"/>
    </xf>
    <xf numFmtId="179" fontId="14" fillId="0" borderId="54" xfId="17" applyFont="1" applyFill="1" applyBorder="1" applyAlignment="1" applyProtection="1">
      <alignment horizontal="center" vertical="center" shrinkToFit="1"/>
      <protection hidden="1"/>
    </xf>
    <xf numFmtId="179" fontId="66" fillId="0" borderId="0" xfId="275" applyFont="1" applyFill="1" applyAlignment="1">
      <alignment vertical="center"/>
    </xf>
    <xf numFmtId="179" fontId="14" fillId="27" borderId="54" xfId="17" applyFont="1" applyFill="1" applyBorder="1" applyAlignment="1" applyProtection="1">
      <alignment horizontal="center" vertical="center" shrinkToFit="1"/>
      <protection hidden="1"/>
    </xf>
    <xf numFmtId="179" fontId="59" fillId="0" borderId="54" xfId="0" applyFont="1" applyFill="1" applyBorder="1" applyAlignment="1" applyProtection="1">
      <alignment horizontal="center" vertical="center" shrinkToFit="1"/>
      <protection hidden="1"/>
    </xf>
    <xf numFmtId="179" fontId="59" fillId="0" borderId="54" xfId="0" applyFont="1" applyFill="1" applyBorder="1" applyAlignment="1" applyProtection="1">
      <alignment vertical="center" shrinkToFit="1"/>
      <protection hidden="1"/>
    </xf>
    <xf numFmtId="179" fontId="14" fillId="0" borderId="55" xfId="17" applyFont="1" applyFill="1" applyBorder="1" applyAlignment="1" applyProtection="1">
      <alignment horizontal="center" vertical="center" shrinkToFit="1"/>
      <protection hidden="1"/>
    </xf>
    <xf numFmtId="179" fontId="66" fillId="0" borderId="0" xfId="275" applyFont="1" applyFill="1" applyBorder="1" applyAlignment="1">
      <alignment vertical="center"/>
    </xf>
    <xf numFmtId="179" fontId="14" fillId="0" borderId="0" xfId="17" applyFont="1" applyFill="1" applyBorder="1" applyAlignment="1" applyProtection="1">
      <alignment horizontal="center" vertical="center" shrinkToFit="1"/>
      <protection hidden="1"/>
    </xf>
    <xf numFmtId="43" fontId="1" fillId="0" borderId="0" xfId="275" applyNumberFormat="1" applyFont="1" applyFill="1" applyBorder="1" applyAlignment="1">
      <alignment vertical="center"/>
    </xf>
    <xf numFmtId="179" fontId="1" fillId="0" borderId="0" xfId="275" applyFont="1" applyFill="1" applyBorder="1" applyAlignment="1">
      <alignment vertical="center"/>
    </xf>
    <xf numFmtId="43" fontId="66" fillId="0" borderId="0" xfId="275" applyNumberFormat="1" applyFont="1" applyFill="1" applyAlignment="1">
      <alignment vertical="center"/>
    </xf>
    <xf numFmtId="179" fontId="1" fillId="0" borderId="1" xfId="275" applyFont="1" applyFill="1" applyBorder="1" applyAlignment="1">
      <alignment vertical="center"/>
    </xf>
    <xf numFmtId="179" fontId="3" fillId="3" borderId="14" xfId="0" applyFont="1" applyFill="1" applyBorder="1" applyAlignment="1" applyProtection="1">
      <alignment vertical="center"/>
    </xf>
    <xf numFmtId="201" fontId="59" fillId="0" borderId="54" xfId="0" applyNumberFormat="1" applyFont="1" applyFill="1" applyBorder="1" applyAlignment="1" applyProtection="1">
      <alignment horizontal="left" vertical="center" shrinkToFit="1"/>
      <protection hidden="1"/>
    </xf>
    <xf numFmtId="43" fontId="64" fillId="28" borderId="1" xfId="400" applyFont="1" applyFill="1" applyBorder="1" applyAlignment="1">
      <alignment horizontal="left" vertical="center" shrinkToFit="1"/>
    </xf>
    <xf numFmtId="43" fontId="67" fillId="28" borderId="1" xfId="400" applyFont="1" applyFill="1" applyBorder="1" applyAlignment="1">
      <alignment horizontal="left" vertical="center" shrinkToFit="1"/>
    </xf>
    <xf numFmtId="179" fontId="3" fillId="3" borderId="1" xfId="269" applyFont="1" applyFill="1" applyBorder="1" applyAlignment="1" applyProtection="1">
      <alignment vertical="center"/>
    </xf>
    <xf numFmtId="179" fontId="3" fillId="24" borderId="4" xfId="0" applyFont="1" applyFill="1" applyBorder="1" applyAlignment="1">
      <alignment vertical="center" wrapText="1"/>
    </xf>
    <xf numFmtId="179" fontId="3" fillId="24" borderId="4" xfId="0" applyFont="1" applyFill="1" applyBorder="1" applyAlignment="1">
      <alignment vertical="center"/>
    </xf>
    <xf numFmtId="43" fontId="64" fillId="24" borderId="1" xfId="400" applyFont="1" applyFill="1" applyBorder="1" applyAlignment="1">
      <alignment horizontal="center" vertical="center" shrinkToFit="1"/>
    </xf>
    <xf numFmtId="43" fontId="3" fillId="24" borderId="1" xfId="400" applyFont="1" applyFill="1" applyBorder="1" applyAlignment="1" applyProtection="1">
      <alignment horizontal="center" vertical="center" shrinkToFit="1"/>
      <protection locked="0"/>
    </xf>
    <xf numFmtId="179" fontId="1" fillId="3" borderId="1" xfId="17" applyFont="1" applyFill="1" applyBorder="1" applyAlignment="1" applyProtection="1">
      <alignment vertical="center"/>
    </xf>
    <xf numFmtId="179" fontId="70" fillId="0" borderId="54" xfId="17" applyFont="1" applyFill="1" applyBorder="1" applyAlignment="1" applyProtection="1">
      <alignment horizontal="center" vertical="center" shrinkToFit="1"/>
      <protection hidden="1"/>
    </xf>
    <xf numFmtId="179" fontId="14" fillId="0" borderId="1" xfId="17" applyFont="1" applyFill="1" applyBorder="1" applyAlignment="1" applyProtection="1">
      <alignment horizontal="center" vertical="center" shrinkToFit="1"/>
      <protection hidden="1"/>
    </xf>
    <xf numFmtId="179" fontId="71" fillId="0" borderId="1" xfId="17" applyFont="1" applyFill="1" applyBorder="1" applyAlignment="1" applyProtection="1">
      <alignment vertical="center"/>
    </xf>
    <xf numFmtId="179" fontId="14" fillId="0" borderId="1" xfId="17" applyFont="1" applyFill="1" applyBorder="1" applyAlignment="1" applyProtection="1">
      <alignment horizontal="center" vertical="center" shrinkToFit="1"/>
      <protection locked="0"/>
    </xf>
    <xf numFmtId="179" fontId="59" fillId="0" borderId="1" xfId="0" applyFont="1" applyFill="1" applyBorder="1" applyAlignment="1" applyProtection="1">
      <alignment vertical="center" shrinkToFit="1"/>
      <protection hidden="1"/>
    </xf>
    <xf numFmtId="179" fontId="59" fillId="0" borderId="1" xfId="0" applyFont="1" applyFill="1" applyBorder="1" applyAlignment="1" applyProtection="1">
      <alignment horizontal="center" vertical="center" shrinkToFit="1"/>
      <protection locked="0"/>
    </xf>
    <xf numFmtId="179" fontId="0" fillId="4" borderId="0" xfId="0" applyFill="1"/>
    <xf numFmtId="179" fontId="72" fillId="27" borderId="0" xfId="0" applyFont="1" applyFill="1" applyAlignment="1" applyProtection="1">
      <alignment horizontal="center" vertical="center"/>
      <protection hidden="1"/>
    </xf>
    <xf numFmtId="179" fontId="73" fillId="27" borderId="0" xfId="0" applyFont="1" applyFill="1" applyAlignment="1" applyProtection="1">
      <alignment vertical="center" shrinkToFit="1"/>
      <protection hidden="1"/>
    </xf>
    <xf numFmtId="201" fontId="73" fillId="27" borderId="0" xfId="0" applyNumberFormat="1" applyFont="1" applyFill="1" applyAlignment="1" applyProtection="1">
      <alignment vertical="center" shrinkToFit="1"/>
      <protection hidden="1"/>
    </xf>
    <xf numFmtId="179" fontId="3" fillId="27" borderId="0" xfId="0" applyFont="1" applyFill="1" applyAlignment="1" applyProtection="1">
      <alignment horizontal="right" vertical="center"/>
      <protection hidden="1"/>
    </xf>
    <xf numFmtId="179" fontId="3" fillId="27" borderId="0" xfId="0" applyFont="1" applyFill="1" applyAlignment="1" applyProtection="1">
      <alignment vertical="center" shrinkToFit="1"/>
      <protection hidden="1"/>
    </xf>
    <xf numFmtId="179" fontId="55" fillId="27" borderId="0" xfId="0" applyFont="1" applyFill="1" applyAlignment="1" applyProtection="1">
      <alignment vertical="center"/>
      <protection hidden="1"/>
    </xf>
    <xf numFmtId="179" fontId="3" fillId="27" borderId="56" xfId="0" applyFont="1" applyFill="1" applyBorder="1" applyAlignment="1" applyProtection="1">
      <alignment horizontal="center" vertical="center" wrapText="1"/>
      <protection hidden="1"/>
    </xf>
    <xf numFmtId="179" fontId="3" fillId="27" borderId="57" xfId="0" applyFont="1" applyFill="1" applyBorder="1" applyAlignment="1" applyProtection="1">
      <alignment horizontal="center" vertical="center" wrapText="1"/>
      <protection locked="0" hidden="1"/>
    </xf>
    <xf numFmtId="179" fontId="3" fillId="27" borderId="58" xfId="0" applyFont="1" applyFill="1" applyBorder="1" applyAlignment="1" applyProtection="1">
      <alignment horizontal="center" vertical="center" wrapText="1"/>
      <protection locked="0" hidden="1"/>
    </xf>
    <xf numFmtId="179" fontId="3" fillId="27" borderId="59" xfId="0" applyFont="1" applyFill="1" applyBorder="1" applyAlignment="1" applyProtection="1">
      <alignment horizontal="center" vertical="center" wrapText="1"/>
      <protection locked="0" hidden="1"/>
    </xf>
    <xf numFmtId="179" fontId="55" fillId="27" borderId="60" xfId="0" applyFont="1" applyFill="1" applyBorder="1" applyAlignment="1" applyProtection="1">
      <alignment horizontal="center" vertical="center" wrapText="1"/>
      <protection hidden="1"/>
    </xf>
    <xf numFmtId="179" fontId="3" fillId="27" borderId="6" xfId="0" applyFont="1" applyFill="1" applyBorder="1" applyAlignment="1" applyProtection="1">
      <alignment horizontal="center" vertical="center" wrapText="1"/>
      <protection locked="0" hidden="1"/>
    </xf>
    <xf numFmtId="179" fontId="3" fillId="27" borderId="2" xfId="0" applyFont="1" applyFill="1" applyBorder="1" applyAlignment="1" applyProtection="1">
      <alignment horizontal="center" vertical="center" wrapText="1"/>
      <protection locked="0" hidden="1"/>
    </xf>
    <xf numFmtId="179" fontId="3" fillId="27" borderId="61" xfId="0" applyFont="1" applyFill="1" applyBorder="1" applyAlignment="1" applyProtection="1">
      <alignment horizontal="center" vertical="center" wrapText="1"/>
      <protection locked="0" hidden="1"/>
    </xf>
    <xf numFmtId="179" fontId="3" fillId="27" borderId="1" xfId="0" applyFont="1" applyFill="1" applyBorder="1" applyAlignment="1" applyProtection="1">
      <alignment horizontal="center" vertical="center" wrapText="1"/>
      <protection hidden="1"/>
    </xf>
    <xf numFmtId="179" fontId="3" fillId="27" borderId="62" xfId="0" applyFont="1" applyFill="1" applyBorder="1" applyAlignment="1" applyProtection="1">
      <alignment horizontal="center" vertical="center" wrapText="1"/>
      <protection hidden="1"/>
    </xf>
    <xf numFmtId="179" fontId="4" fillId="27" borderId="60" xfId="0" applyFont="1" applyFill="1" applyBorder="1" applyAlignment="1" applyProtection="1">
      <alignment vertical="center" shrinkToFit="1"/>
      <protection hidden="1"/>
    </xf>
    <xf numFmtId="201" fontId="55" fillId="0" borderId="1" xfId="0" applyNumberFormat="1" applyFont="1" applyBorder="1" applyAlignment="1" applyProtection="1">
      <alignment horizontal="right" vertical="center" shrinkToFit="1"/>
      <protection locked="0"/>
    </xf>
    <xf numFmtId="43" fontId="74" fillId="27" borderId="63" xfId="0" applyNumberFormat="1" applyFont="1" applyFill="1" applyBorder="1" applyAlignment="1" applyProtection="1">
      <alignment horizontal="right" vertical="center" shrinkToFit="1"/>
      <protection hidden="1"/>
    </xf>
    <xf numFmtId="179" fontId="3" fillId="27" borderId="60" xfId="0" applyFont="1" applyFill="1" applyBorder="1" applyAlignment="1" applyProtection="1">
      <alignment vertical="center" shrinkToFit="1"/>
      <protection hidden="1"/>
    </xf>
    <xf numFmtId="201" fontId="55" fillId="27" borderId="1" xfId="0" applyNumberFormat="1" applyFont="1" applyFill="1" applyBorder="1" applyAlignment="1" applyProtection="1">
      <alignment horizontal="right" vertical="center" shrinkToFit="1"/>
      <protection hidden="1"/>
    </xf>
    <xf numFmtId="179" fontId="55" fillId="27" borderId="60" xfId="0" applyFont="1" applyFill="1" applyBorder="1" applyAlignment="1" applyProtection="1">
      <alignment vertical="center" shrinkToFit="1"/>
      <protection hidden="1"/>
    </xf>
    <xf numFmtId="179" fontId="4" fillId="27" borderId="64" xfId="0" applyFont="1" applyFill="1" applyBorder="1" applyAlignment="1" applyProtection="1">
      <alignment vertical="center" shrinkToFit="1"/>
      <protection hidden="1"/>
    </xf>
    <xf numFmtId="201" fontId="55" fillId="27" borderId="65" xfId="0" applyNumberFormat="1" applyFont="1" applyFill="1" applyBorder="1" applyAlignment="1" applyProtection="1">
      <alignment horizontal="right" vertical="center" shrinkToFit="1"/>
      <protection hidden="1"/>
    </xf>
    <xf numFmtId="43" fontId="74" fillId="27" borderId="66" xfId="0" applyNumberFormat="1" applyFont="1" applyFill="1" applyBorder="1" applyAlignment="1" applyProtection="1">
      <alignment horizontal="right" vertical="center" shrinkToFit="1"/>
      <protection hidden="1"/>
    </xf>
    <xf numFmtId="179" fontId="3" fillId="27" borderId="57" xfId="0" applyFont="1" applyFill="1" applyBorder="1" applyAlignment="1" applyProtection="1">
      <alignment horizontal="center" vertical="center" wrapText="1"/>
      <protection hidden="1"/>
    </xf>
    <xf numFmtId="179" fontId="3" fillId="27" borderId="58" xfId="0" applyFont="1" applyFill="1" applyBorder="1" applyAlignment="1" applyProtection="1">
      <alignment horizontal="center" vertical="center" wrapText="1"/>
      <protection hidden="1"/>
    </xf>
    <xf numFmtId="179" fontId="3" fillId="27" borderId="59" xfId="0" applyFont="1" applyFill="1" applyBorder="1" applyAlignment="1" applyProtection="1">
      <alignment horizontal="center" vertical="center" wrapText="1"/>
      <protection hidden="1"/>
    </xf>
    <xf numFmtId="179" fontId="3" fillId="27" borderId="6" xfId="0" applyFont="1" applyFill="1" applyBorder="1" applyAlignment="1" applyProtection="1">
      <alignment horizontal="center" vertical="center" wrapText="1"/>
      <protection hidden="1"/>
    </xf>
    <xf numFmtId="179" fontId="3" fillId="27" borderId="2" xfId="0" applyFont="1" applyFill="1" applyBorder="1" applyAlignment="1" applyProtection="1">
      <alignment horizontal="center" vertical="center" wrapText="1"/>
      <protection hidden="1"/>
    </xf>
    <xf numFmtId="179" fontId="3" fillId="27" borderId="61" xfId="0" applyFont="1" applyFill="1" applyBorder="1" applyAlignment="1" applyProtection="1">
      <alignment horizontal="center" vertical="center" wrapText="1"/>
      <protection hidden="1"/>
    </xf>
    <xf numFmtId="179" fontId="72" fillId="27" borderId="0" xfId="0" applyFont="1" applyFill="1" applyAlignment="1" applyProtection="1">
      <alignment horizontal="center" vertical="center" shrinkToFit="1"/>
      <protection hidden="1"/>
    </xf>
    <xf numFmtId="179" fontId="75" fillId="27" borderId="0" xfId="0" applyFont="1" applyFill="1" applyAlignment="1" applyProtection="1">
      <alignment horizontal="center" vertical="center" shrinkToFit="1"/>
      <protection hidden="1"/>
    </xf>
    <xf numFmtId="179" fontId="55" fillId="27" borderId="0" xfId="0" applyFont="1" applyFill="1" applyAlignment="1" applyProtection="1">
      <alignment vertical="center" shrinkToFit="1"/>
      <protection hidden="1"/>
    </xf>
    <xf numFmtId="201" fontId="55" fillId="27" borderId="0" xfId="0" applyNumberFormat="1" applyFont="1" applyFill="1" applyAlignment="1" applyProtection="1">
      <alignment horizontal="right" vertical="center" shrinkToFit="1"/>
      <protection hidden="1"/>
    </xf>
    <xf numFmtId="179" fontId="55" fillId="27" borderId="0" xfId="0" applyFont="1" applyFill="1" applyAlignment="1" applyProtection="1">
      <alignment horizontal="left" vertical="center"/>
      <protection hidden="1"/>
    </xf>
    <xf numFmtId="201" fontId="55" fillId="27" borderId="0" xfId="0" applyNumberFormat="1" applyFont="1" applyFill="1" applyAlignment="1" applyProtection="1">
      <alignment horizontal="centerContinuous" vertical="center" shrinkToFit="1"/>
      <protection hidden="1"/>
    </xf>
    <xf numFmtId="201" fontId="55" fillId="27" borderId="0" xfId="0" applyNumberFormat="1" applyFont="1" applyFill="1" applyAlignment="1" applyProtection="1">
      <alignment horizontal="right" vertical="center"/>
      <protection hidden="1"/>
    </xf>
    <xf numFmtId="179" fontId="3" fillId="27" borderId="56" xfId="0" applyFont="1" applyFill="1" applyBorder="1" applyAlignment="1" applyProtection="1">
      <alignment horizontal="center" vertical="center" shrinkToFit="1"/>
      <protection hidden="1"/>
    </xf>
    <xf numFmtId="179" fontId="3" fillId="27" borderId="67" xfId="0" applyFont="1" applyFill="1" applyBorder="1" applyAlignment="1" applyProtection="1">
      <alignment horizontal="center" vertical="center" shrinkToFit="1"/>
      <protection hidden="1"/>
    </xf>
    <xf numFmtId="201" fontId="3" fillId="27" borderId="67" xfId="0" applyNumberFormat="1" applyFont="1" applyFill="1" applyBorder="1" applyAlignment="1" applyProtection="1">
      <alignment horizontal="center" vertical="center" shrinkToFit="1"/>
      <protection hidden="1"/>
    </xf>
    <xf numFmtId="201" fontId="3" fillId="27" borderId="68" xfId="0" applyNumberFormat="1" applyFont="1" applyFill="1" applyBorder="1" applyAlignment="1" applyProtection="1">
      <alignment horizontal="center" vertical="center" shrinkToFit="1"/>
      <protection hidden="1"/>
    </xf>
    <xf numFmtId="179" fontId="3" fillId="27" borderId="60" xfId="0" applyFont="1" applyFill="1" applyBorder="1" applyAlignment="1" applyProtection="1">
      <alignment horizontal="center" vertical="center" shrinkToFit="1"/>
      <protection hidden="1"/>
    </xf>
    <xf numFmtId="179" fontId="3" fillId="27" borderId="1" xfId="0" applyFont="1" applyFill="1" applyBorder="1" applyAlignment="1" applyProtection="1">
      <alignment horizontal="center" vertical="center" shrinkToFit="1"/>
      <protection hidden="1"/>
    </xf>
    <xf numFmtId="201" fontId="3" fillId="27" borderId="1" xfId="0" applyNumberFormat="1" applyFont="1" applyFill="1" applyBorder="1" applyAlignment="1" applyProtection="1">
      <alignment horizontal="center" vertical="center" shrinkToFit="1"/>
      <protection hidden="1"/>
    </xf>
    <xf numFmtId="201" fontId="3" fillId="27" borderId="63" xfId="0" applyNumberFormat="1" applyFont="1" applyFill="1" applyBorder="1" applyAlignment="1" applyProtection="1">
      <alignment horizontal="center" vertical="center" shrinkToFit="1"/>
      <protection hidden="1"/>
    </xf>
    <xf numFmtId="43" fontId="4" fillId="27" borderId="60" xfId="0" applyNumberFormat="1" applyFont="1" applyFill="1" applyBorder="1" applyAlignment="1" applyProtection="1">
      <alignment vertical="center" shrinkToFit="1"/>
      <protection hidden="1"/>
    </xf>
    <xf numFmtId="179" fontId="55" fillId="27" borderId="1" xfId="0" applyFont="1" applyFill="1" applyBorder="1" applyAlignment="1" applyProtection="1">
      <alignment vertical="center" shrinkToFit="1"/>
      <protection hidden="1"/>
    </xf>
    <xf numFmtId="201" fontId="55" fillId="27" borderId="1" xfId="0" applyNumberFormat="1" applyFont="1" applyFill="1" applyBorder="1" applyAlignment="1" applyProtection="1">
      <alignment vertical="center" shrinkToFit="1"/>
      <protection hidden="1"/>
    </xf>
    <xf numFmtId="201" fontId="55" fillId="27" borderId="63" xfId="0" applyNumberFormat="1" applyFont="1" applyFill="1" applyBorder="1" applyAlignment="1" applyProtection="1">
      <alignment vertical="center" shrinkToFit="1"/>
      <protection hidden="1"/>
    </xf>
    <xf numFmtId="43" fontId="3" fillId="27" borderId="60" xfId="0" applyNumberFormat="1" applyFont="1" applyFill="1" applyBorder="1" applyAlignment="1" applyProtection="1">
      <alignment vertical="center" shrinkToFit="1"/>
      <protection hidden="1"/>
    </xf>
    <xf numFmtId="179" fontId="55" fillId="0" borderId="1" xfId="0" applyFont="1" applyFill="1" applyBorder="1" applyAlignment="1" applyProtection="1">
      <alignment horizontal="center" vertical="center" shrinkToFit="1"/>
      <protection locked="0"/>
    </xf>
    <xf numFmtId="43" fontId="4" fillId="27" borderId="60" xfId="0" applyNumberFormat="1" applyFont="1" applyFill="1" applyBorder="1" applyAlignment="1" applyProtection="1">
      <alignment horizontal="left" vertical="center" shrinkToFit="1"/>
      <protection hidden="1"/>
    </xf>
    <xf numFmtId="201" fontId="74" fillId="27" borderId="1" xfId="0" applyNumberFormat="1" applyFont="1" applyFill="1" applyBorder="1" applyAlignment="1" applyProtection="1">
      <alignment vertical="center" shrinkToFit="1"/>
      <protection hidden="1"/>
    </xf>
    <xf numFmtId="201" fontId="74" fillId="27" borderId="63" xfId="0" applyNumberFormat="1" applyFont="1" applyFill="1" applyBorder="1" applyAlignment="1" applyProtection="1">
      <alignment vertical="center" shrinkToFit="1"/>
      <protection hidden="1"/>
    </xf>
    <xf numFmtId="43" fontId="73" fillId="27" borderId="60" xfId="0" applyNumberFormat="1" applyFont="1" applyFill="1" applyBorder="1" applyAlignment="1" applyProtection="1">
      <alignment horizontal="center" vertical="center" shrinkToFit="1"/>
      <protection hidden="1"/>
    </xf>
    <xf numFmtId="179" fontId="49" fillId="0" borderId="1" xfId="17" applyFill="1" applyBorder="1" applyAlignment="1" applyProtection="1">
      <alignment horizontal="center" vertical="center" shrinkToFit="1"/>
      <protection locked="0"/>
    </xf>
    <xf numFmtId="43" fontId="73" fillId="27" borderId="60" xfId="0" applyNumberFormat="1" applyFont="1" applyFill="1" applyBorder="1" applyAlignment="1" applyProtection="1">
      <alignment horizontal="left" vertical="center" shrinkToFit="1"/>
      <protection hidden="1"/>
    </xf>
    <xf numFmtId="201" fontId="55" fillId="0" borderId="63" xfId="0" applyNumberFormat="1" applyFont="1" applyFill="1" applyBorder="1" applyAlignment="1" applyProtection="1">
      <alignment vertical="center" shrinkToFit="1"/>
      <protection locked="0"/>
    </xf>
    <xf numFmtId="43" fontId="4" fillId="27" borderId="64" xfId="0" applyNumberFormat="1" applyFont="1" applyFill="1" applyBorder="1" applyAlignment="1" applyProtection="1">
      <alignment vertical="center" shrinkToFit="1"/>
      <protection hidden="1"/>
    </xf>
    <xf numFmtId="179" fontId="55" fillId="27" borderId="65" xfId="0" applyFont="1" applyFill="1" applyBorder="1" applyAlignment="1" applyProtection="1">
      <alignment vertical="center" shrinkToFit="1"/>
      <protection hidden="1"/>
    </xf>
    <xf numFmtId="201" fontId="74" fillId="27" borderId="65" xfId="0" applyNumberFormat="1" applyFont="1" applyFill="1" applyBorder="1" applyAlignment="1" applyProtection="1">
      <alignment vertical="center" shrinkToFit="1"/>
      <protection hidden="1"/>
    </xf>
    <xf numFmtId="201" fontId="74" fillId="27" borderId="66" xfId="0" applyNumberFormat="1" applyFont="1" applyFill="1" applyBorder="1" applyAlignment="1" applyProtection="1">
      <alignment vertical="center" shrinkToFit="1"/>
      <protection hidden="1"/>
    </xf>
    <xf numFmtId="179" fontId="55" fillId="4" borderId="0" xfId="0" applyFont="1" applyFill="1" applyAlignment="1" applyProtection="1">
      <alignment vertical="center" shrinkToFit="1"/>
      <protection hidden="1"/>
    </xf>
    <xf numFmtId="201" fontId="55" fillId="4" borderId="0" xfId="0" applyNumberFormat="1" applyFont="1" applyFill="1" applyAlignment="1" applyProtection="1">
      <alignment vertical="center" shrinkToFit="1"/>
      <protection hidden="1"/>
    </xf>
    <xf numFmtId="179" fontId="73" fillId="4" borderId="0" xfId="0" applyFont="1" applyFill="1" applyAlignment="1" applyProtection="1">
      <alignment vertical="center" shrinkToFit="1"/>
      <protection hidden="1"/>
    </xf>
    <xf numFmtId="201" fontId="73" fillId="4" borderId="0" xfId="0" applyNumberFormat="1" applyFont="1" applyFill="1" applyAlignment="1" applyProtection="1">
      <alignment vertical="center" shrinkToFit="1"/>
      <protection hidden="1"/>
    </xf>
    <xf numFmtId="179" fontId="0" fillId="27" borderId="0" xfId="0" applyFont="1" applyFill="1" applyAlignment="1" applyProtection="1">
      <alignment vertical="center" shrinkToFit="1"/>
      <protection hidden="1"/>
    </xf>
    <xf numFmtId="179" fontId="76" fillId="27" borderId="0" xfId="0" applyFont="1" applyFill="1" applyAlignment="1" applyProtection="1">
      <alignment vertical="center" shrinkToFit="1"/>
      <protection hidden="1"/>
    </xf>
    <xf numFmtId="179" fontId="0" fillId="27" borderId="0" xfId="0" applyFill="1" applyAlignment="1" applyProtection="1">
      <alignment horizontal="right" vertical="center" shrinkToFit="1"/>
      <protection hidden="1"/>
    </xf>
    <xf numFmtId="179" fontId="76" fillId="27" borderId="0" xfId="0" applyFont="1" applyFill="1" applyAlignment="1" applyProtection="1">
      <alignment vertical="center"/>
      <protection hidden="1"/>
    </xf>
    <xf numFmtId="179" fontId="76" fillId="27" borderId="0" xfId="0" applyFont="1" applyFill="1" applyAlignment="1" applyProtection="1">
      <alignment horizontal="right" vertical="center"/>
      <protection hidden="1"/>
    </xf>
    <xf numFmtId="179" fontId="0" fillId="27" borderId="56" xfId="0" applyFont="1" applyFill="1" applyBorder="1" applyAlignment="1" applyProtection="1">
      <alignment horizontal="center" vertical="center" shrinkToFit="1"/>
      <protection hidden="1"/>
    </xf>
    <xf numFmtId="179" fontId="0" fillId="27" borderId="67" xfId="0" applyFont="1" applyFill="1" applyBorder="1" applyAlignment="1" applyProtection="1">
      <alignment horizontal="center" vertical="center" shrinkToFit="1"/>
      <protection hidden="1"/>
    </xf>
    <xf numFmtId="179" fontId="0" fillId="27" borderId="68" xfId="0" applyFont="1" applyFill="1" applyBorder="1" applyAlignment="1" applyProtection="1">
      <alignment horizontal="center" vertical="center" shrinkToFit="1"/>
      <protection hidden="1"/>
    </xf>
    <xf numFmtId="179" fontId="0" fillId="27" borderId="60" xfId="0" applyFont="1" applyFill="1" applyBorder="1" applyAlignment="1" applyProtection="1">
      <alignment horizontal="center" vertical="center" shrinkToFit="1"/>
      <protection hidden="1"/>
    </xf>
    <xf numFmtId="179" fontId="0" fillId="27" borderId="1" xfId="0" applyFont="1" applyFill="1" applyBorder="1" applyAlignment="1" applyProtection="1">
      <alignment horizontal="center" vertical="center" shrinkToFit="1"/>
      <protection hidden="1"/>
    </xf>
    <xf numFmtId="179" fontId="0" fillId="27" borderId="63" xfId="0" applyFont="1" applyFill="1" applyBorder="1" applyAlignment="1" applyProtection="1">
      <alignment horizontal="center" vertical="center" shrinkToFit="1"/>
      <protection hidden="1"/>
    </xf>
    <xf numFmtId="179" fontId="77" fillId="27" borderId="60" xfId="0" applyNumberFormat="1" applyFont="1" applyFill="1" applyBorder="1" applyAlignment="1" applyProtection="1">
      <alignment vertical="center" shrinkToFit="1"/>
      <protection hidden="1"/>
    </xf>
    <xf numFmtId="179" fontId="78" fillId="27" borderId="1" xfId="0" applyFont="1" applyFill="1" applyBorder="1" applyAlignment="1" applyProtection="1">
      <alignment horizontal="center" vertical="center" shrinkToFit="1"/>
      <protection hidden="1"/>
    </xf>
    <xf numFmtId="201" fontId="76" fillId="27" borderId="1" xfId="0" applyNumberFormat="1" applyFont="1" applyFill="1" applyBorder="1" applyAlignment="1" applyProtection="1">
      <alignment horizontal="right" vertical="center" shrinkToFit="1"/>
      <protection hidden="1"/>
    </xf>
    <xf numFmtId="201" fontId="76" fillId="27" borderId="63" xfId="0" applyNumberFormat="1" applyFont="1" applyFill="1" applyBorder="1" applyAlignment="1" applyProtection="1">
      <alignment horizontal="right" vertical="center" shrinkToFit="1"/>
      <protection hidden="1"/>
    </xf>
    <xf numFmtId="179" fontId="0" fillId="27" borderId="60" xfId="0" applyNumberFormat="1" applyFont="1" applyFill="1" applyBorder="1" applyAlignment="1" applyProtection="1">
      <alignment vertical="center" shrinkToFit="1"/>
      <protection hidden="1"/>
    </xf>
    <xf numFmtId="201" fontId="76" fillId="0" borderId="1" xfId="0" applyNumberFormat="1" applyFont="1" applyFill="1" applyBorder="1" applyAlignment="1" applyProtection="1">
      <alignment horizontal="right" vertical="center" shrinkToFit="1"/>
      <protection locked="0"/>
    </xf>
    <xf numFmtId="201" fontId="76" fillId="0" borderId="63" xfId="0" applyNumberFormat="1" applyFont="1" applyFill="1" applyBorder="1" applyAlignment="1" applyProtection="1">
      <alignment horizontal="right" vertical="center" shrinkToFit="1"/>
      <protection locked="0"/>
    </xf>
    <xf numFmtId="179" fontId="3" fillId="27" borderId="69" xfId="0" applyNumberFormat="1" applyFont="1" applyFill="1" applyBorder="1" applyAlignment="1" applyProtection="1">
      <alignment vertical="center" shrinkToFit="1"/>
      <protection hidden="1"/>
    </xf>
    <xf numFmtId="179" fontId="76" fillId="27" borderId="1" xfId="0" applyFont="1" applyFill="1" applyBorder="1" applyAlignment="1" applyProtection="1">
      <alignment vertical="center" shrinkToFit="1"/>
      <protection hidden="1"/>
    </xf>
    <xf numFmtId="201" fontId="79" fillId="27" borderId="1" xfId="0" applyNumberFormat="1" applyFont="1" applyFill="1" applyBorder="1" applyAlignment="1" applyProtection="1">
      <alignment vertical="center" shrinkToFit="1"/>
      <protection hidden="1"/>
    </xf>
    <xf numFmtId="201" fontId="79" fillId="27" borderId="63" xfId="0" applyNumberFormat="1" applyFont="1" applyFill="1" applyBorder="1" applyAlignment="1" applyProtection="1">
      <alignment vertical="center" shrinkToFit="1"/>
      <protection hidden="1"/>
    </xf>
    <xf numFmtId="201" fontId="76" fillId="0" borderId="1" xfId="0" applyNumberFormat="1" applyFont="1" applyFill="1" applyBorder="1" applyAlignment="1" applyProtection="1">
      <alignment vertical="center" shrinkToFit="1"/>
      <protection locked="0"/>
    </xf>
    <xf numFmtId="201" fontId="76" fillId="0" borderId="63" xfId="0" applyNumberFormat="1" applyFont="1" applyFill="1" applyBorder="1" applyAlignment="1" applyProtection="1">
      <alignment vertical="center" shrinkToFit="1"/>
      <protection locked="0"/>
    </xf>
    <xf numFmtId="179" fontId="76" fillId="0" borderId="1" xfId="0" applyFont="1" applyFill="1" applyBorder="1" applyAlignment="1" applyProtection="1">
      <alignment vertical="center" shrinkToFit="1"/>
      <protection hidden="1"/>
    </xf>
    <xf numFmtId="201" fontId="76" fillId="0" borderId="1" xfId="0" applyNumberFormat="1" applyFont="1" applyFill="1" applyBorder="1" applyAlignment="1" applyProtection="1">
      <alignment vertical="center" shrinkToFit="1"/>
      <protection hidden="1"/>
    </xf>
    <xf numFmtId="201" fontId="76" fillId="0" borderId="63" xfId="0" applyNumberFormat="1" applyFont="1" applyFill="1" applyBorder="1" applyAlignment="1" applyProtection="1">
      <alignment vertical="center" shrinkToFit="1"/>
      <protection hidden="1"/>
    </xf>
    <xf numFmtId="201" fontId="76" fillId="27" borderId="1" xfId="0" applyNumberFormat="1" applyFont="1" applyFill="1" applyBorder="1" applyAlignment="1" applyProtection="1">
      <alignment vertical="center" shrinkToFit="1"/>
      <protection hidden="1"/>
    </xf>
    <xf numFmtId="201" fontId="76" fillId="27" borderId="63" xfId="0" applyNumberFormat="1" applyFont="1" applyFill="1" applyBorder="1" applyAlignment="1" applyProtection="1">
      <alignment vertical="center" shrinkToFit="1"/>
      <protection hidden="1"/>
    </xf>
    <xf numFmtId="179" fontId="76" fillId="0" borderId="1" xfId="0" applyFont="1" applyFill="1" applyBorder="1" applyAlignment="1" applyProtection="1">
      <alignment horizontal="center" vertical="center" shrinkToFit="1"/>
      <protection locked="0"/>
    </xf>
    <xf numFmtId="179" fontId="0" fillId="27" borderId="64" xfId="0" applyNumberFormat="1" applyFont="1" applyFill="1" applyBorder="1" applyAlignment="1" applyProtection="1">
      <alignment vertical="center" shrinkToFit="1"/>
      <protection hidden="1"/>
    </xf>
    <xf numFmtId="179" fontId="76" fillId="0" borderId="65" xfId="0" applyFont="1" applyFill="1" applyBorder="1" applyAlignment="1" applyProtection="1">
      <alignment horizontal="center" vertical="center" shrinkToFit="1"/>
      <protection locked="0"/>
    </xf>
    <xf numFmtId="201" fontId="76" fillId="0" borderId="65" xfId="0" applyNumberFormat="1" applyFont="1" applyFill="1" applyBorder="1" applyAlignment="1" applyProtection="1">
      <alignment vertical="center" shrinkToFit="1"/>
      <protection locked="0"/>
    </xf>
    <xf numFmtId="201" fontId="76" fillId="0" borderId="66" xfId="0" applyNumberFormat="1" applyFont="1" applyFill="1" applyBorder="1" applyAlignment="1" applyProtection="1">
      <alignment vertical="center" shrinkToFit="1"/>
      <protection locked="0"/>
    </xf>
    <xf numFmtId="179" fontId="75" fillId="27" borderId="0" xfId="0" applyFont="1" applyFill="1" applyAlignment="1" applyProtection="1">
      <alignment horizontal="center" vertical="center"/>
      <protection hidden="1"/>
    </xf>
    <xf numFmtId="179" fontId="73" fillId="27" borderId="0" xfId="0" applyFont="1" applyFill="1" applyAlignment="1" applyProtection="1">
      <alignment horizontal="center" vertical="center" shrinkToFit="1"/>
      <protection hidden="1"/>
    </xf>
    <xf numFmtId="201" fontId="55" fillId="27" borderId="0" xfId="0" applyNumberFormat="1" applyFont="1" applyFill="1" applyAlignment="1" applyProtection="1">
      <alignment vertical="center" shrinkToFit="1"/>
      <protection hidden="1"/>
    </xf>
    <xf numFmtId="201" fontId="3" fillId="27" borderId="0" xfId="0" applyNumberFormat="1" applyFont="1" applyFill="1" applyAlignment="1" applyProtection="1">
      <alignment horizontal="right" vertical="center" shrinkToFit="1"/>
      <protection hidden="1"/>
    </xf>
    <xf numFmtId="179" fontId="3" fillId="27" borderId="70" xfId="0" applyFont="1" applyFill="1" applyBorder="1" applyAlignment="1" applyProtection="1">
      <alignment horizontal="left" vertical="center" shrinkToFit="1"/>
      <protection hidden="1"/>
    </xf>
    <xf numFmtId="31" fontId="55" fillId="27" borderId="0" xfId="0" applyNumberFormat="1" applyFont="1" applyFill="1" applyAlignment="1" applyProtection="1">
      <alignment horizontal="left" vertical="center"/>
      <protection hidden="1"/>
    </xf>
    <xf numFmtId="201" fontId="3" fillId="27" borderId="0" xfId="0" applyNumberFormat="1" applyFont="1" applyFill="1" applyAlignment="1" applyProtection="1">
      <alignment horizontal="right" vertical="center"/>
      <protection hidden="1"/>
    </xf>
    <xf numFmtId="179" fontId="3" fillId="27" borderId="71" xfId="0" applyFont="1" applyFill="1" applyBorder="1" applyAlignment="1" applyProtection="1">
      <alignment horizontal="center" vertical="center" shrinkToFit="1"/>
      <protection hidden="1"/>
    </xf>
    <xf numFmtId="179" fontId="3" fillId="27" borderId="72" xfId="0" applyFont="1" applyFill="1" applyBorder="1" applyAlignment="1" applyProtection="1">
      <alignment horizontal="center" vertical="center" shrinkToFit="1"/>
      <protection hidden="1"/>
    </xf>
    <xf numFmtId="201" fontId="3" fillId="27" borderId="72" xfId="0" applyNumberFormat="1" applyFont="1" applyFill="1" applyBorder="1" applyAlignment="1" applyProtection="1">
      <alignment horizontal="center" vertical="center" shrinkToFit="1"/>
      <protection hidden="1"/>
    </xf>
    <xf numFmtId="201" fontId="3" fillId="27" borderId="73" xfId="0" applyNumberFormat="1" applyFont="1" applyFill="1" applyBorder="1" applyAlignment="1" applyProtection="1">
      <alignment horizontal="center" vertical="center" shrinkToFit="1"/>
      <protection hidden="1"/>
    </xf>
    <xf numFmtId="179" fontId="3" fillId="27" borderId="69" xfId="0" applyFont="1" applyFill="1" applyBorder="1" applyAlignment="1" applyProtection="1">
      <alignment horizontal="center" vertical="center" shrinkToFit="1"/>
      <protection hidden="1"/>
    </xf>
    <xf numFmtId="179" fontId="3" fillId="27" borderId="54" xfId="0" applyFont="1" applyFill="1" applyBorder="1" applyAlignment="1" applyProtection="1">
      <alignment horizontal="center" vertical="center" shrinkToFit="1"/>
      <protection hidden="1"/>
    </xf>
    <xf numFmtId="201" fontId="3" fillId="27" borderId="54" xfId="0" applyNumberFormat="1" applyFont="1" applyFill="1" applyBorder="1" applyAlignment="1" applyProtection="1">
      <alignment horizontal="center" vertical="center" shrinkToFit="1"/>
      <protection hidden="1"/>
    </xf>
    <xf numFmtId="201" fontId="3" fillId="27" borderId="74" xfId="0" applyNumberFormat="1" applyFont="1" applyFill="1" applyBorder="1" applyAlignment="1" applyProtection="1">
      <alignment horizontal="center" vertical="center" shrinkToFit="1"/>
      <protection hidden="1"/>
    </xf>
    <xf numFmtId="179" fontId="80" fillId="27" borderId="69" xfId="0" applyFont="1" applyFill="1" applyBorder="1" applyAlignment="1" applyProtection="1">
      <alignment vertical="center" shrinkToFit="1"/>
      <protection hidden="1"/>
    </xf>
    <xf numFmtId="179" fontId="81" fillId="27" borderId="54" xfId="0" applyFont="1" applyFill="1" applyBorder="1" applyAlignment="1" applyProtection="1">
      <alignment vertical="center" shrinkToFit="1"/>
      <protection hidden="1"/>
    </xf>
    <xf numFmtId="201" fontId="55" fillId="27" borderId="54" xfId="0" applyNumberFormat="1" applyFont="1" applyFill="1" applyBorder="1" applyAlignment="1" applyProtection="1">
      <alignment horizontal="justify" vertical="center" shrinkToFit="1"/>
      <protection hidden="1"/>
    </xf>
    <xf numFmtId="201" fontId="55" fillId="27" borderId="54" xfId="0" applyNumberFormat="1" applyFont="1" applyFill="1" applyBorder="1" applyAlignment="1" applyProtection="1">
      <alignment horizontal="right" vertical="center" shrinkToFit="1"/>
      <protection hidden="1"/>
    </xf>
    <xf numFmtId="201" fontId="81" fillId="27" borderId="54" xfId="0" applyNumberFormat="1" applyFont="1" applyFill="1" applyBorder="1" applyAlignment="1" applyProtection="1">
      <alignment horizontal="left" vertical="center" shrinkToFit="1"/>
      <protection hidden="1"/>
    </xf>
    <xf numFmtId="193" fontId="81" fillId="27" borderId="54" xfId="0" applyNumberFormat="1" applyFont="1" applyFill="1" applyBorder="1" applyAlignment="1" applyProtection="1">
      <alignment vertical="center" shrinkToFit="1"/>
      <protection hidden="1"/>
    </xf>
    <xf numFmtId="193" fontId="55" fillId="27" borderId="74" xfId="0" applyNumberFormat="1" applyFont="1" applyFill="1" applyBorder="1" applyAlignment="1" applyProtection="1">
      <alignment horizontal="justify" vertical="center" shrinkToFit="1"/>
      <protection hidden="1"/>
    </xf>
    <xf numFmtId="43" fontId="3" fillId="27" borderId="69" xfId="0" applyNumberFormat="1" applyFont="1" applyFill="1" applyBorder="1" applyAlignment="1" applyProtection="1">
      <alignment vertical="center" shrinkToFit="1"/>
      <protection hidden="1"/>
    </xf>
    <xf numFmtId="179" fontId="78" fillId="27" borderId="54" xfId="0" applyFont="1" applyFill="1" applyBorder="1" applyAlignment="1" applyProtection="1">
      <alignment horizontal="center" vertical="center" shrinkToFit="1"/>
      <protection hidden="1"/>
    </xf>
    <xf numFmtId="43" fontId="3" fillId="27" borderId="54" xfId="0" applyNumberFormat="1" applyFont="1" applyFill="1" applyBorder="1" applyAlignment="1" applyProtection="1">
      <alignment vertical="center" shrinkToFit="1"/>
      <protection hidden="1"/>
    </xf>
    <xf numFmtId="201" fontId="55" fillId="27" borderId="74" xfId="0" applyNumberFormat="1" applyFont="1" applyFill="1" applyBorder="1" applyAlignment="1" applyProtection="1">
      <alignment horizontal="right" vertical="center" shrinkToFit="1"/>
      <protection hidden="1"/>
    </xf>
    <xf numFmtId="201" fontId="55" fillId="27" borderId="54" xfId="15" applyNumberFormat="1" applyFont="1" applyFill="1" applyBorder="1" applyAlignment="1" applyProtection="1">
      <alignment horizontal="right" vertical="center" shrinkToFit="1"/>
      <protection hidden="1"/>
    </xf>
    <xf numFmtId="179" fontId="4" fillId="27" borderId="69" xfId="0" applyFont="1" applyFill="1" applyBorder="1" applyAlignment="1" applyProtection="1">
      <alignment horizontal="center" vertical="center" shrinkToFit="1"/>
      <protection hidden="1"/>
    </xf>
    <xf numFmtId="179" fontId="73" fillId="27" borderId="54" xfId="0" applyFont="1" applyFill="1" applyBorder="1" applyAlignment="1" applyProtection="1">
      <alignment horizontal="center" vertical="center" shrinkToFit="1"/>
      <protection hidden="1"/>
    </xf>
    <xf numFmtId="179" fontId="55" fillId="27" borderId="69" xfId="0" applyFont="1" applyFill="1" applyBorder="1" applyAlignment="1" applyProtection="1">
      <alignment vertical="center" shrinkToFit="1"/>
      <protection hidden="1"/>
    </xf>
    <xf numFmtId="179" fontId="55" fillId="27" borderId="54" xfId="0" applyFont="1" applyFill="1" applyBorder="1" applyAlignment="1" applyProtection="1">
      <alignment vertical="center" shrinkToFit="1"/>
      <protection hidden="1"/>
    </xf>
    <xf numFmtId="179" fontId="4" fillId="27" borderId="54" xfId="0" applyFont="1" applyFill="1" applyBorder="1" applyAlignment="1" applyProtection="1">
      <alignment horizontal="center" vertical="center" shrinkToFit="1"/>
      <protection hidden="1"/>
    </xf>
    <xf numFmtId="201" fontId="74" fillId="27" borderId="54" xfId="0" applyNumberFormat="1" applyFont="1" applyFill="1" applyBorder="1" applyAlignment="1" applyProtection="1">
      <alignment horizontal="right" vertical="center" shrinkToFit="1"/>
      <protection hidden="1"/>
    </xf>
    <xf numFmtId="201" fontId="74" fillId="27" borderId="74" xfId="0" applyNumberFormat="1" applyFont="1" applyFill="1" applyBorder="1" applyAlignment="1" applyProtection="1">
      <alignment horizontal="right" vertical="center" shrinkToFit="1"/>
      <protection hidden="1"/>
    </xf>
    <xf numFmtId="201" fontId="55" fillId="27" borderId="54" xfId="0" applyNumberFormat="1" applyFont="1" applyFill="1" applyBorder="1" applyAlignment="1" applyProtection="1">
      <alignment horizontal="left" vertical="center" shrinkToFit="1"/>
      <protection hidden="1"/>
    </xf>
    <xf numFmtId="201" fontId="73" fillId="27" borderId="54" xfId="0" applyNumberFormat="1" applyFont="1" applyFill="1" applyBorder="1" applyAlignment="1" applyProtection="1">
      <alignment horizontal="right" vertical="center" shrinkToFit="1"/>
      <protection hidden="1"/>
    </xf>
    <xf numFmtId="201" fontId="81" fillId="27" borderId="54" xfId="0" applyNumberFormat="1" applyFont="1" applyFill="1" applyBorder="1" applyAlignment="1" applyProtection="1">
      <alignment horizontal="right" vertical="center" shrinkToFit="1"/>
      <protection hidden="1"/>
    </xf>
    <xf numFmtId="201" fontId="73" fillId="27" borderId="54" xfId="0" applyNumberFormat="1" applyFont="1" applyFill="1" applyBorder="1" applyAlignment="1" applyProtection="1">
      <alignment horizontal="center" vertical="center" shrinkToFit="1"/>
      <protection hidden="1"/>
    </xf>
    <xf numFmtId="201" fontId="80" fillId="27" borderId="54" xfId="0" applyNumberFormat="1" applyFont="1" applyFill="1" applyBorder="1" applyAlignment="1" applyProtection="1">
      <alignment horizontal="left" vertical="center" shrinkToFit="1"/>
      <protection hidden="1"/>
    </xf>
    <xf numFmtId="179" fontId="3" fillId="27" borderId="69" xfId="0" applyFont="1" applyFill="1" applyBorder="1" applyAlignment="1" applyProtection="1">
      <alignment vertical="center" shrinkToFit="1"/>
      <protection hidden="1"/>
    </xf>
    <xf numFmtId="201" fontId="55" fillId="0" borderId="54" xfId="0" applyNumberFormat="1" applyFont="1" applyFill="1" applyBorder="1" applyAlignment="1" applyProtection="1">
      <alignment horizontal="left" vertical="center" shrinkToFit="1"/>
      <protection hidden="1"/>
    </xf>
    <xf numFmtId="201" fontId="55" fillId="0" borderId="54" xfId="0" applyNumberFormat="1" applyFont="1" applyFill="1" applyBorder="1" applyAlignment="1" applyProtection="1">
      <alignment horizontal="right" vertical="center" shrinkToFit="1"/>
      <protection hidden="1"/>
    </xf>
    <xf numFmtId="201" fontId="55" fillId="0" borderId="74" xfId="0" applyNumberFormat="1" applyFont="1" applyFill="1" applyBorder="1" applyAlignment="1" applyProtection="1">
      <alignment horizontal="right" vertical="center" shrinkToFit="1"/>
      <protection hidden="1"/>
    </xf>
    <xf numFmtId="179" fontId="4" fillId="27" borderId="75" xfId="0" applyFont="1" applyFill="1" applyBorder="1" applyAlignment="1" applyProtection="1">
      <alignment horizontal="center" vertical="center" shrinkToFit="1"/>
      <protection hidden="1"/>
    </xf>
    <xf numFmtId="179" fontId="73" fillId="27" borderId="76" xfId="0" applyFont="1" applyFill="1" applyBorder="1" applyAlignment="1" applyProtection="1">
      <alignment horizontal="center" vertical="center" shrinkToFit="1"/>
      <protection hidden="1"/>
    </xf>
    <xf numFmtId="201" fontId="74" fillId="27" borderId="76" xfId="0" applyNumberFormat="1" applyFont="1" applyFill="1" applyBorder="1" applyAlignment="1" applyProtection="1">
      <alignment horizontal="right" vertical="center" shrinkToFit="1"/>
      <protection hidden="1"/>
    </xf>
    <xf numFmtId="201" fontId="73" fillId="27" borderId="76" xfId="0" applyNumberFormat="1" applyFont="1" applyFill="1" applyBorder="1" applyAlignment="1" applyProtection="1">
      <alignment horizontal="center" vertical="center" shrinkToFit="1"/>
      <protection hidden="1"/>
    </xf>
    <xf numFmtId="201" fontId="74" fillId="27" borderId="77" xfId="0" applyNumberFormat="1" applyFont="1" applyFill="1" applyBorder="1" applyAlignment="1" applyProtection="1">
      <alignment horizontal="right" vertical="center" shrinkToFit="1"/>
      <protection hidden="1"/>
    </xf>
    <xf numFmtId="179" fontId="1" fillId="17" borderId="0" xfId="0" applyFont="1" applyFill="1" applyProtection="1">
      <protection locked="0"/>
    </xf>
    <xf numFmtId="179" fontId="1" fillId="0" borderId="0" xfId="0" applyFont="1" applyProtection="1">
      <protection locked="0"/>
    </xf>
    <xf numFmtId="179" fontId="1" fillId="0" borderId="0" xfId="0" applyFont="1" applyAlignment="1" applyProtection="1">
      <alignment wrapText="1"/>
      <protection locked="0"/>
    </xf>
    <xf numFmtId="43" fontId="1" fillId="0" borderId="0" xfId="15" applyFont="1" applyProtection="1">
      <protection locked="0"/>
    </xf>
    <xf numFmtId="43" fontId="1" fillId="0" borderId="0" xfId="15" applyFont="1" applyAlignment="1" applyProtection="1">
      <alignment horizontal="center"/>
    </xf>
    <xf numFmtId="179" fontId="23" fillId="3" borderId="0" xfId="0" applyFont="1" applyFill="1" applyProtection="1">
      <protection locked="0"/>
    </xf>
    <xf numFmtId="179" fontId="1" fillId="3" borderId="0" xfId="0" applyFont="1" applyFill="1" applyProtection="1">
      <protection locked="0"/>
    </xf>
    <xf numFmtId="179" fontId="21" fillId="0" borderId="0" xfId="0" applyFont="1" applyAlignment="1" applyProtection="1">
      <alignment wrapText="1"/>
      <protection locked="0"/>
    </xf>
    <xf numFmtId="43" fontId="21" fillId="0" borderId="0" xfId="15" applyFont="1" applyAlignment="1" applyProtection="1">
      <protection locked="0"/>
    </xf>
    <xf numFmtId="179" fontId="1" fillId="0" borderId="0" xfId="0" applyFont="1" applyAlignment="1" applyProtection="1">
      <alignment horizontal="left" wrapText="1"/>
      <protection locked="0"/>
    </xf>
    <xf numFmtId="43" fontId="1" fillId="3" borderId="0" xfId="15" applyFont="1" applyFill="1" applyProtection="1"/>
    <xf numFmtId="179" fontId="1" fillId="5" borderId="0" xfId="0" applyFont="1" applyFill="1" applyProtection="1">
      <protection locked="0"/>
    </xf>
    <xf numFmtId="179" fontId="1" fillId="3" borderId="0" xfId="0" applyFont="1" applyFill="1" applyAlignment="1" applyProtection="1">
      <alignment horizontal="left" wrapText="1"/>
      <protection locked="0"/>
    </xf>
    <xf numFmtId="179" fontId="1" fillId="3" borderId="0" xfId="0" applyFont="1" applyFill="1" applyAlignment="1" applyProtection="1">
      <alignment wrapText="1"/>
      <protection locked="0"/>
    </xf>
    <xf numFmtId="179" fontId="21" fillId="0" borderId="0" xfId="0" applyFont="1" applyFill="1" applyAlignment="1" applyProtection="1">
      <alignment vertical="center" wrapText="1"/>
      <protection locked="0"/>
    </xf>
    <xf numFmtId="201" fontId="30" fillId="0" borderId="0" xfId="10" applyNumberFormat="1" applyFont="1" applyFill="1" applyBorder="1" applyAlignment="1" applyProtection="1">
      <alignment horizontal="center" wrapText="1"/>
      <protection locked="0"/>
    </xf>
    <xf numFmtId="179" fontId="1" fillId="17" borderId="0" xfId="0" applyFont="1" applyFill="1" applyAlignment="1" applyProtection="1">
      <alignment wrapText="1"/>
      <protection locked="0"/>
    </xf>
    <xf numFmtId="43" fontId="1" fillId="17" borderId="0" xfId="15" applyFont="1" applyFill="1" applyProtection="1"/>
    <xf numFmtId="43" fontId="1" fillId="17" borderId="0" xfId="15" applyFont="1" applyFill="1" applyProtection="1">
      <protection locked="0"/>
    </xf>
    <xf numFmtId="179" fontId="21" fillId="0" borderId="0" xfId="0" applyFont="1" applyFill="1" applyAlignment="1" applyProtection="1">
      <alignment vertical="center"/>
      <protection locked="0"/>
    </xf>
    <xf numFmtId="179" fontId="21" fillId="0" borderId="0" xfId="0" applyFont="1" applyAlignment="1" applyProtection="1">
      <alignment horizontal="center"/>
      <protection locked="0"/>
    </xf>
    <xf numFmtId="179" fontId="24" fillId="0" borderId="0" xfId="0" applyFont="1" applyFill="1" applyAlignment="1" applyProtection="1">
      <alignment vertical="center"/>
      <protection locked="0"/>
    </xf>
    <xf numFmtId="179" fontId="21" fillId="0" borderId="0" xfId="0" applyFont="1" applyAlignment="1" applyProtection="1">
      <alignment horizontal="center" wrapText="1"/>
      <protection locked="0"/>
    </xf>
    <xf numFmtId="43" fontId="1" fillId="0" borderId="0" xfId="0" applyNumberFormat="1" applyFont="1" applyAlignment="1" applyProtection="1">
      <alignment wrapText="1"/>
      <protection locked="0"/>
    </xf>
    <xf numFmtId="179" fontId="31" fillId="6" borderId="0" xfId="0" applyFont="1" applyFill="1" applyAlignment="1" applyProtection="1">
      <protection locked="0"/>
    </xf>
    <xf numFmtId="179" fontId="21" fillId="17" borderId="0" xfId="0" applyFont="1" applyFill="1" applyAlignment="1" applyProtection="1">
      <alignment horizontal="center"/>
      <protection locked="0"/>
    </xf>
    <xf numFmtId="43" fontId="1" fillId="17" borderId="0" xfId="0" applyNumberFormat="1" applyFont="1" applyFill="1" applyAlignment="1" applyProtection="1">
      <alignment wrapText="1"/>
      <protection locked="0"/>
    </xf>
    <xf numFmtId="43" fontId="1" fillId="3" borderId="0" xfId="0" applyNumberFormat="1" applyFont="1" applyFill="1" applyAlignment="1" applyProtection="1">
      <alignment wrapText="1"/>
      <protection locked="0"/>
    </xf>
    <xf numFmtId="179" fontId="21" fillId="17" borderId="0" xfId="0" applyFont="1" applyFill="1" applyAlignment="1" applyProtection="1">
      <alignment horizontal="center" wrapText="1"/>
      <protection locked="0"/>
    </xf>
    <xf numFmtId="179" fontId="1" fillId="0" borderId="10" xfId="271" applyNumberFormat="1" applyFont="1" applyFill="1" applyBorder="1" applyAlignment="1" applyProtection="1">
      <alignment horizontal="left" vertical="center" wrapText="1"/>
      <protection locked="0"/>
    </xf>
    <xf numFmtId="179" fontId="1" fillId="3" borderId="12" xfId="248" applyNumberFormat="1" applyFont="1" applyFill="1" applyBorder="1" applyAlignment="1" applyProtection="1">
      <alignment horizontal="center" vertical="center" wrapText="1"/>
      <protection locked="0"/>
    </xf>
    <xf numFmtId="179" fontId="21" fillId="0" borderId="0" xfId="0" applyFont="1" applyFill="1" applyAlignment="1" applyProtection="1">
      <alignment horizontal="center" wrapText="1"/>
      <protection locked="0"/>
    </xf>
    <xf numFmtId="43" fontId="1" fillId="0" borderId="0" xfId="15" applyFont="1" applyFill="1" applyProtection="1">
      <protection locked="0"/>
    </xf>
    <xf numFmtId="43" fontId="1" fillId="0" borderId="0" xfId="0" applyNumberFormat="1" applyFont="1" applyFill="1" applyAlignment="1" applyProtection="1">
      <alignment wrapText="1"/>
      <protection locked="0"/>
    </xf>
    <xf numFmtId="43" fontId="1" fillId="0" borderId="0" xfId="0" applyNumberFormat="1" applyFont="1" applyAlignment="1" applyProtection="1">
      <alignment horizontal="left" wrapText="1"/>
      <protection locked="0"/>
    </xf>
    <xf numFmtId="179" fontId="13" fillId="0" borderId="0" xfId="12" applyFont="1" applyFill="1" applyAlignment="1" applyProtection="1">
      <alignment horizontal="center" vertical="center"/>
      <protection locked="0"/>
    </xf>
    <xf numFmtId="179" fontId="21" fillId="0" borderId="0" xfId="0" applyFont="1" applyAlignment="1" applyProtection="1">
      <alignment horizontal="left" wrapText="1"/>
      <protection locked="0"/>
    </xf>
    <xf numFmtId="179" fontId="31" fillId="0" borderId="0" xfId="0" applyFont="1" applyAlignment="1" applyProtection="1">
      <alignment wrapText="1"/>
      <protection locked="0"/>
    </xf>
    <xf numFmtId="43" fontId="1" fillId="3" borderId="0" xfId="15" applyFont="1" applyFill="1" applyProtection="1">
      <protection locked="0"/>
    </xf>
    <xf numFmtId="179" fontId="1" fillId="2" borderId="0" xfId="0" applyFont="1" applyFill="1" applyAlignment="1" applyProtection="1">
      <alignment wrapText="1"/>
      <protection locked="0"/>
    </xf>
    <xf numFmtId="43" fontId="1" fillId="2" borderId="0" xfId="0" applyNumberFormat="1" applyFont="1" applyFill="1" applyAlignment="1" applyProtection="1">
      <alignment wrapText="1"/>
      <protection locked="0"/>
    </xf>
    <xf numFmtId="179" fontId="24" fillId="0" borderId="0" xfId="0" applyFont="1" applyAlignment="1" applyProtection="1">
      <alignment horizontal="left" wrapText="1"/>
      <protection locked="0"/>
    </xf>
    <xf numFmtId="179" fontId="4" fillId="0" borderId="0" xfId="0" applyFont="1" applyAlignment="1" applyProtection="1">
      <protection locked="0"/>
    </xf>
    <xf numFmtId="43" fontId="1" fillId="3" borderId="0" xfId="0" applyNumberFormat="1" applyFont="1" applyFill="1" applyAlignment="1" applyProtection="1">
      <alignment horizontal="left" wrapText="1"/>
      <protection locked="0"/>
    </xf>
    <xf numFmtId="179" fontId="5" fillId="0" borderId="0" xfId="0" applyFont="1" applyProtection="1">
      <protection locked="0"/>
    </xf>
    <xf numFmtId="179" fontId="21" fillId="2" borderId="0" xfId="0" applyFont="1" applyFill="1" applyAlignment="1" applyProtection="1">
      <alignment horizontal="center" wrapText="1"/>
      <protection locked="0"/>
    </xf>
    <xf numFmtId="179" fontId="24" fillId="0" borderId="0" xfId="0" applyFont="1" applyFill="1" applyAlignment="1" applyProtection="1">
      <protection locked="0"/>
    </xf>
    <xf numFmtId="179" fontId="32" fillId="0" borderId="0" xfId="0" applyFont="1" applyAlignment="1" applyProtection="1">
      <protection locked="0"/>
    </xf>
    <xf numFmtId="179" fontId="1" fillId="0" borderId="0" xfId="0" applyFont="1" applyAlignment="1" applyProtection="1">
      <alignment horizontal="center" wrapText="1"/>
      <protection locked="0"/>
    </xf>
    <xf numFmtId="179" fontId="1" fillId="3" borderId="0" xfId="0" applyFont="1" applyFill="1" applyAlignment="1" applyProtection="1">
      <alignment horizontal="center" wrapText="1"/>
      <protection locked="0"/>
    </xf>
    <xf numFmtId="179" fontId="4" fillId="17" borderId="0" xfId="0" applyFont="1" applyFill="1" applyAlignment="1" applyProtection="1">
      <alignment horizontal="center" wrapText="1"/>
      <protection locked="0"/>
    </xf>
    <xf numFmtId="179" fontId="21" fillId="0" borderId="0" xfId="0" applyFont="1" applyProtection="1">
      <protection locked="0"/>
    </xf>
    <xf numFmtId="179" fontId="4" fillId="0" borderId="0" xfId="0" applyFont="1" applyAlignment="1" applyProtection="1">
      <alignment horizontal="center"/>
      <protection locked="0"/>
    </xf>
    <xf numFmtId="179" fontId="3" fillId="0" borderId="0" xfId="0" applyFont="1" applyAlignment="1" applyProtection="1">
      <protection locked="0"/>
    </xf>
    <xf numFmtId="179" fontId="3" fillId="3" borderId="0" xfId="0" applyFont="1" applyFill="1" applyAlignment="1" applyProtection="1">
      <protection locked="0"/>
    </xf>
    <xf numFmtId="179" fontId="24" fillId="0" borderId="0" xfId="74" applyFont="1" applyFill="1" applyBorder="1" applyAlignment="1" applyProtection="1">
      <alignment horizontal="left" vertical="center" wrapText="1"/>
      <protection locked="0"/>
    </xf>
    <xf numFmtId="179" fontId="5" fillId="0" borderId="0" xfId="0" applyFont="1" applyAlignment="1" applyProtection="1">
      <protection locked="0"/>
    </xf>
    <xf numFmtId="179" fontId="1" fillId="0" borderId="0" xfId="0" applyFont="1" applyFill="1" applyAlignment="1" applyProtection="1">
      <alignment wrapText="1"/>
      <protection locked="0"/>
    </xf>
    <xf numFmtId="179" fontId="21" fillId="0" borderId="18" xfId="0" applyFont="1" applyFill="1" applyBorder="1" applyAlignment="1" applyProtection="1">
      <alignment horizontal="center" vertical="center" wrapText="1"/>
      <protection locked="0"/>
    </xf>
    <xf numFmtId="179" fontId="24" fillId="0" borderId="0" xfId="0" applyFont="1" applyAlignment="1" applyProtection="1">
      <alignment wrapText="1"/>
      <protection locked="0"/>
    </xf>
    <xf numFmtId="43" fontId="21" fillId="3" borderId="0" xfId="15" applyFont="1" applyFill="1" applyProtection="1"/>
    <xf numFmtId="43" fontId="21" fillId="0" borderId="0" xfId="15" applyFont="1" applyAlignment="1" applyProtection="1">
      <alignment wrapText="1"/>
      <protection locked="0"/>
    </xf>
    <xf numFmtId="43" fontId="1" fillId="0" borderId="0" xfId="15" applyFont="1" applyAlignment="1" applyProtection="1">
      <alignment wrapText="1"/>
      <protection locked="0"/>
    </xf>
    <xf numFmtId="43" fontId="1" fillId="3" borderId="0" xfId="15" applyFont="1" applyFill="1" applyAlignment="1" applyProtection="1">
      <alignment wrapText="1"/>
      <protection locked="0"/>
    </xf>
    <xf numFmtId="43" fontId="1" fillId="0" borderId="0" xfId="15" applyFont="1" applyProtection="1"/>
    <xf numFmtId="43" fontId="1" fillId="3" borderId="0" xfId="15" applyFont="1" applyFill="1" applyAlignment="1" applyProtection="1">
      <alignment wrapText="1"/>
    </xf>
    <xf numFmtId="43" fontId="21" fillId="0" borderId="0" xfId="0" applyNumberFormat="1" applyFont="1" applyAlignment="1" applyProtection="1">
      <alignment wrapText="1"/>
      <protection locked="0"/>
    </xf>
    <xf numFmtId="43" fontId="1" fillId="3" borderId="0" xfId="15" applyFont="1" applyFill="1" applyAlignment="1" applyProtection="1">
      <alignment horizontal="center"/>
    </xf>
    <xf numFmtId="179" fontId="21" fillId="0" borderId="0" xfId="0" applyFont="1" applyAlignment="1" applyProtection="1">
      <protection locked="0"/>
    </xf>
    <xf numFmtId="43" fontId="1" fillId="0" borderId="0" xfId="15" applyFont="1" applyFill="1" applyProtection="1"/>
    <xf numFmtId="43" fontId="1" fillId="0" borderId="0" xfId="15" applyFont="1" applyFill="1" applyAlignment="1" applyProtection="1">
      <alignment wrapText="1"/>
      <protection locked="0"/>
    </xf>
    <xf numFmtId="43" fontId="1" fillId="0" borderId="0" xfId="15" applyFont="1" applyFill="1" applyAlignment="1" applyProtection="1">
      <alignment horizontal="center"/>
    </xf>
    <xf numFmtId="179" fontId="21" fillId="0" borderId="0" xfId="0" applyFont="1" applyFill="1" applyAlignment="1" applyProtection="1">
      <alignment wrapText="1"/>
      <protection locked="0"/>
    </xf>
    <xf numFmtId="43" fontId="1" fillId="0" borderId="0" xfId="15" applyFont="1" applyAlignment="1" applyProtection="1">
      <alignment horizontal="right"/>
    </xf>
    <xf numFmtId="43" fontId="1" fillId="3" borderId="0" xfId="15" applyFont="1" applyFill="1" applyAlignment="1" applyProtection="1">
      <alignment horizontal="right"/>
    </xf>
    <xf numFmtId="179" fontId="1" fillId="0" borderId="0" xfId="0" applyFont="1" applyAlignment="1" applyProtection="1">
      <alignment horizontal="center"/>
      <protection locked="0"/>
    </xf>
    <xf numFmtId="43" fontId="1" fillId="3" borderId="0" xfId="15" applyFont="1" applyFill="1" applyAlignment="1" applyProtection="1">
      <alignment horizontal="left"/>
    </xf>
    <xf numFmtId="43" fontId="21" fillId="3" borderId="0" xfId="0" applyNumberFormat="1" applyFont="1" applyFill="1" applyAlignment="1" applyProtection="1">
      <alignment wrapText="1"/>
      <protection locked="0"/>
    </xf>
    <xf numFmtId="43" fontId="21" fillId="0" borderId="0" xfId="0" applyNumberFormat="1" applyFont="1" applyFill="1" applyAlignment="1" applyProtection="1">
      <alignment wrapText="1"/>
      <protection locked="0"/>
    </xf>
    <xf numFmtId="43" fontId="21" fillId="3" borderId="0" xfId="15" applyFont="1" applyFill="1" applyAlignment="1" applyProtection="1">
      <alignment wrapText="1"/>
      <protection locked="0"/>
    </xf>
    <xf numFmtId="179" fontId="21" fillId="5" borderId="0" xfId="0" applyFont="1" applyFill="1" applyAlignment="1" applyProtection="1">
      <alignment wrapText="1"/>
      <protection locked="0"/>
    </xf>
    <xf numFmtId="43" fontId="1" fillId="5" borderId="0" xfId="15" applyFont="1" applyFill="1" applyProtection="1">
      <protection locked="0"/>
    </xf>
    <xf numFmtId="43" fontId="1" fillId="5" borderId="0" xfId="15" applyFont="1" applyFill="1" applyAlignment="1" applyProtection="1">
      <alignment wrapText="1"/>
      <protection locked="0"/>
    </xf>
    <xf numFmtId="179" fontId="55" fillId="0" borderId="0" xfId="0" applyFont="1" applyAlignment="1" applyProtection="1">
      <alignment horizontal="center" vertical="center" shrinkToFit="1"/>
      <protection hidden="1"/>
    </xf>
    <xf numFmtId="179" fontId="55" fillId="0" borderId="0" xfId="0" applyFont="1" applyAlignment="1" applyProtection="1">
      <alignment vertical="center" shrinkToFit="1"/>
      <protection hidden="1"/>
    </xf>
    <xf numFmtId="179" fontId="76" fillId="0" borderId="0" xfId="0" applyFont="1" applyAlignment="1" applyProtection="1">
      <alignment vertical="center" shrinkToFit="1"/>
      <protection hidden="1"/>
    </xf>
    <xf numFmtId="179" fontId="55" fillId="0" borderId="0" xfId="0" applyFont="1" applyAlignment="1" applyProtection="1">
      <alignment vertical="center"/>
      <protection hidden="1"/>
    </xf>
    <xf numFmtId="201" fontId="55" fillId="0" borderId="0" xfId="0" applyNumberFormat="1" applyFont="1" applyAlignment="1" applyProtection="1">
      <alignment vertical="center" shrinkToFit="1"/>
      <protection hidden="1"/>
    </xf>
    <xf numFmtId="179" fontId="4" fillId="27" borderId="0" xfId="0" applyFont="1" applyFill="1" applyAlignment="1" applyProtection="1">
      <alignment horizontal="center" vertical="center" shrinkToFit="1"/>
      <protection hidden="1"/>
    </xf>
    <xf numFmtId="201" fontId="55" fillId="27" borderId="0" xfId="0" applyNumberFormat="1" applyFont="1" applyFill="1" applyAlignment="1" applyProtection="1">
      <alignment horizontal="center" vertical="center" shrinkToFit="1"/>
      <protection hidden="1"/>
    </xf>
    <xf numFmtId="179" fontId="3" fillId="27" borderId="0" xfId="0" applyFont="1" applyFill="1" applyAlignment="1" applyProtection="1">
      <alignment vertical="center"/>
      <protection hidden="1"/>
    </xf>
    <xf numFmtId="179" fontId="55" fillId="27" borderId="0" xfId="0" applyFont="1" applyFill="1" applyAlignment="1" applyProtection="1">
      <alignment horizontal="left" vertical="center" shrinkToFit="1"/>
      <protection hidden="1"/>
    </xf>
    <xf numFmtId="201" fontId="3" fillId="27" borderId="78" xfId="0" applyNumberFormat="1" applyFont="1" applyFill="1" applyBorder="1" applyAlignment="1" applyProtection="1">
      <alignment horizontal="center" vertical="center" wrapText="1" shrinkToFit="1"/>
      <protection hidden="1"/>
    </xf>
    <xf numFmtId="201" fontId="3" fillId="27" borderId="79" xfId="0" applyNumberFormat="1" applyFont="1" applyFill="1" applyBorder="1" applyAlignment="1" applyProtection="1">
      <alignment horizontal="center" vertical="center" shrinkToFit="1"/>
      <protection hidden="1"/>
    </xf>
    <xf numFmtId="201" fontId="3" fillId="27" borderId="80" xfId="0" applyNumberFormat="1" applyFont="1" applyFill="1" applyBorder="1" applyAlignment="1" applyProtection="1">
      <alignment horizontal="center" vertical="center" shrinkToFit="1"/>
      <protection hidden="1"/>
    </xf>
    <xf numFmtId="201" fontId="3" fillId="27" borderId="81" xfId="0" applyNumberFormat="1" applyFont="1" applyFill="1" applyBorder="1" applyAlignment="1" applyProtection="1">
      <alignment horizontal="center" vertical="center" wrapText="1" shrinkToFit="1"/>
      <protection hidden="1"/>
    </xf>
    <xf numFmtId="201" fontId="81" fillId="27" borderId="54" xfId="0" applyNumberFormat="1" applyFont="1" applyFill="1" applyBorder="1" applyAlignment="1" applyProtection="1">
      <alignment vertical="center" shrinkToFit="1"/>
      <protection hidden="1"/>
    </xf>
    <xf numFmtId="43" fontId="74" fillId="27" borderId="54" xfId="0" applyNumberFormat="1" applyFont="1" applyFill="1" applyBorder="1" applyAlignment="1" applyProtection="1">
      <alignment horizontal="right" vertical="center" shrinkToFit="1"/>
      <protection hidden="1"/>
    </xf>
    <xf numFmtId="43" fontId="74" fillId="27" borderId="76" xfId="0" applyNumberFormat="1" applyFont="1" applyFill="1" applyBorder="1" applyAlignment="1" applyProtection="1">
      <alignment horizontal="right" vertical="center" shrinkToFit="1"/>
      <protection hidden="1"/>
    </xf>
    <xf numFmtId="201" fontId="55" fillId="27" borderId="76" xfId="0" applyNumberFormat="1" applyFont="1" applyFill="1" applyBorder="1" applyAlignment="1" applyProtection="1">
      <alignment horizontal="right" vertical="center" shrinkToFit="1"/>
      <protection hidden="1"/>
    </xf>
    <xf numFmtId="201" fontId="81" fillId="27" borderId="69" xfId="0" applyNumberFormat="1" applyFont="1" applyFill="1" applyBorder="1" applyAlignment="1" applyProtection="1">
      <alignment horizontal="left" vertical="center" shrinkToFit="1"/>
      <protection hidden="1"/>
    </xf>
    <xf numFmtId="201" fontId="81" fillId="27" borderId="55" xfId="0" applyNumberFormat="1" applyFont="1" applyFill="1" applyBorder="1" applyAlignment="1" applyProtection="1">
      <alignment vertical="center" shrinkToFit="1"/>
      <protection hidden="1"/>
    </xf>
    <xf numFmtId="201" fontId="55" fillId="27" borderId="55" xfId="0" applyNumberFormat="1" applyFont="1" applyFill="1" applyBorder="1" applyAlignment="1" applyProtection="1">
      <alignment horizontal="justify" vertical="center" shrinkToFit="1"/>
      <protection hidden="1"/>
    </xf>
    <xf numFmtId="201" fontId="55" fillId="27" borderId="55" xfId="0" applyNumberFormat="1" applyFont="1" applyFill="1" applyBorder="1" applyAlignment="1" applyProtection="1">
      <alignment horizontal="right" vertical="center" shrinkToFit="1"/>
      <protection hidden="1"/>
    </xf>
    <xf numFmtId="179" fontId="3" fillId="0" borderId="0" xfId="0" applyFont="1" applyAlignment="1" applyProtection="1">
      <alignment vertical="center"/>
      <protection hidden="1"/>
    </xf>
    <xf numFmtId="201" fontId="3" fillId="27" borderId="82" xfId="0" applyNumberFormat="1" applyFont="1" applyFill="1" applyBorder="1" applyAlignment="1" applyProtection="1">
      <alignment horizontal="center" vertical="center" wrapText="1" shrinkToFit="1"/>
      <protection hidden="1"/>
    </xf>
    <xf numFmtId="201" fontId="3" fillId="27" borderId="83" xfId="0" applyNumberFormat="1" applyFont="1" applyFill="1" applyBorder="1" applyAlignment="1" applyProtection="1">
      <alignment horizontal="center" vertical="center" wrapText="1" shrinkToFit="1"/>
      <protection hidden="1"/>
    </xf>
    <xf numFmtId="201" fontId="55" fillId="27" borderId="74" xfId="0" applyNumberFormat="1" applyFont="1" applyFill="1" applyBorder="1" applyAlignment="1" applyProtection="1">
      <alignment horizontal="justify" vertical="center" shrinkToFit="1"/>
      <protection hidden="1"/>
    </xf>
    <xf numFmtId="179" fontId="3" fillId="0" borderId="0" xfId="0" applyFont="1" applyAlignment="1" applyProtection="1">
      <alignment vertical="center" shrinkToFit="1"/>
      <protection hidden="1"/>
    </xf>
    <xf numFmtId="10" fontId="55" fillId="27" borderId="74" xfId="0" applyNumberFormat="1" applyFont="1" applyFill="1" applyBorder="1" applyAlignment="1" applyProtection="1">
      <alignment horizontal="center" vertical="center" shrinkToFit="1"/>
      <protection hidden="1"/>
    </xf>
    <xf numFmtId="43" fontId="74" fillId="27" borderId="74" xfId="0" applyNumberFormat="1" applyFont="1" applyFill="1" applyBorder="1" applyAlignment="1" applyProtection="1">
      <alignment horizontal="right" vertical="center" shrinkToFit="1"/>
      <protection hidden="1"/>
    </xf>
    <xf numFmtId="10" fontId="55" fillId="27" borderId="77" xfId="0" applyNumberFormat="1" applyFont="1" applyFill="1" applyBorder="1" applyAlignment="1" applyProtection="1">
      <alignment horizontal="center" vertical="center" shrinkToFit="1"/>
      <protection hidden="1"/>
    </xf>
    <xf numFmtId="201" fontId="55" fillId="27" borderId="69" xfId="0" applyNumberFormat="1" applyFont="1" applyFill="1" applyBorder="1" applyAlignment="1" applyProtection="1">
      <alignment horizontal="left" vertical="center" shrinkToFit="1"/>
      <protection hidden="1"/>
    </xf>
    <xf numFmtId="201" fontId="73" fillId="27" borderId="55" xfId="0" applyNumberFormat="1" applyFont="1" applyFill="1" applyBorder="1" applyAlignment="1" applyProtection="1">
      <alignment horizontal="right" vertical="center" shrinkToFit="1"/>
      <protection hidden="1"/>
    </xf>
    <xf numFmtId="201" fontId="81" fillId="27" borderId="55" xfId="0" applyNumberFormat="1" applyFont="1" applyFill="1" applyBorder="1" applyAlignment="1" applyProtection="1">
      <alignment horizontal="right" vertical="center" shrinkToFit="1"/>
      <protection hidden="1"/>
    </xf>
    <xf numFmtId="201" fontId="73" fillId="27" borderId="69" xfId="0" applyNumberFormat="1" applyFont="1" applyFill="1" applyBorder="1" applyAlignment="1" applyProtection="1">
      <alignment horizontal="center" vertical="center" shrinkToFit="1"/>
      <protection hidden="1"/>
    </xf>
    <xf numFmtId="201" fontId="80" fillId="27" borderId="69" xfId="0" applyNumberFormat="1" applyFont="1" applyFill="1" applyBorder="1" applyAlignment="1" applyProtection="1">
      <alignment horizontal="left" vertical="center" shrinkToFit="1"/>
      <protection hidden="1"/>
    </xf>
    <xf numFmtId="43" fontId="74" fillId="27" borderId="55" xfId="0" applyNumberFormat="1" applyFont="1" applyFill="1" applyBorder="1" applyAlignment="1" applyProtection="1">
      <alignment horizontal="right" vertical="center" shrinkToFit="1"/>
      <protection hidden="1"/>
    </xf>
    <xf numFmtId="201" fontId="73" fillId="27" borderId="75" xfId="0" applyNumberFormat="1" applyFont="1" applyFill="1" applyBorder="1" applyAlignment="1" applyProtection="1">
      <alignment horizontal="center" vertical="center" shrinkToFit="1"/>
      <protection hidden="1"/>
    </xf>
    <xf numFmtId="201" fontId="3" fillId="27" borderId="84" xfId="0" applyNumberFormat="1" applyFont="1" applyFill="1" applyBorder="1" applyAlignment="1" applyProtection="1">
      <alignment horizontal="center" vertical="center" shrinkToFit="1"/>
      <protection hidden="1"/>
    </xf>
    <xf numFmtId="201" fontId="3" fillId="27" borderId="85" xfId="0" applyNumberFormat="1" applyFont="1" applyFill="1" applyBorder="1" applyAlignment="1" applyProtection="1">
      <alignment horizontal="center" vertical="center" shrinkToFit="1"/>
      <protection hidden="1"/>
    </xf>
    <xf numFmtId="201" fontId="3" fillId="27" borderId="86" xfId="0" applyNumberFormat="1" applyFont="1" applyFill="1" applyBorder="1" applyAlignment="1" applyProtection="1">
      <alignment horizontal="center" vertical="center" wrapText="1" shrinkToFit="1"/>
      <protection hidden="1"/>
    </xf>
    <xf numFmtId="43" fontId="74" fillId="27" borderId="1" xfId="0" applyNumberFormat="1" applyFont="1" applyFill="1" applyBorder="1" applyAlignment="1" applyProtection="1">
      <alignment vertical="center" shrinkToFit="1"/>
      <protection hidden="1"/>
    </xf>
    <xf numFmtId="43" fontId="55" fillId="27" borderId="1" xfId="15" applyFont="1" applyFill="1" applyBorder="1" applyAlignment="1" applyProtection="1">
      <alignment vertical="center" shrinkToFit="1"/>
      <protection hidden="1"/>
    </xf>
    <xf numFmtId="43" fontId="55" fillId="27" borderId="55" xfId="15" applyFont="1" applyFill="1" applyBorder="1" applyAlignment="1" applyProtection="1">
      <alignment horizontal="right" vertical="center" shrinkToFit="1"/>
      <protection hidden="1"/>
    </xf>
    <xf numFmtId="43" fontId="55" fillId="27" borderId="54" xfId="15" applyFont="1" applyFill="1" applyBorder="1" applyAlignment="1" applyProtection="1">
      <alignment horizontal="right" vertical="center" shrinkToFit="1"/>
      <protection hidden="1"/>
    </xf>
    <xf numFmtId="43" fontId="74" fillId="27" borderId="65" xfId="0" applyNumberFormat="1" applyFont="1" applyFill="1" applyBorder="1" applyAlignment="1" applyProtection="1">
      <alignment vertical="center" shrinkToFit="1"/>
      <protection hidden="1"/>
    </xf>
    <xf numFmtId="201" fontId="55" fillId="27" borderId="87" xfId="0" applyNumberFormat="1" applyFont="1" applyFill="1" applyBorder="1" applyAlignment="1" applyProtection="1">
      <alignment horizontal="right" vertical="center" shrinkToFit="1"/>
      <protection hidden="1"/>
    </xf>
    <xf numFmtId="201" fontId="3" fillId="27" borderId="88" xfId="0" applyNumberFormat="1" applyFont="1" applyFill="1" applyBorder="1" applyAlignment="1" applyProtection="1">
      <alignment horizontal="center" vertical="center" wrapText="1" shrinkToFit="1"/>
      <protection hidden="1"/>
    </xf>
    <xf numFmtId="43" fontId="55" fillId="27" borderId="74" xfId="15" applyFont="1" applyFill="1" applyBorder="1" applyAlignment="1" applyProtection="1">
      <alignment horizontal="center" vertical="center" shrinkToFit="1"/>
      <protection hidden="1"/>
    </xf>
    <xf numFmtId="10" fontId="55" fillId="27" borderId="89" xfId="0" applyNumberFormat="1" applyFont="1" applyFill="1" applyBorder="1" applyAlignment="1" applyProtection="1">
      <alignment horizontal="center" vertical="center" shrinkToFit="1"/>
      <protection hidden="1"/>
    </xf>
    <xf numFmtId="201" fontId="55" fillId="27" borderId="0" xfId="0" applyNumberFormat="1" applyFont="1" applyFill="1" applyAlignment="1" applyProtection="1">
      <alignment horizontal="left" vertical="center" shrinkToFit="1"/>
      <protection hidden="1"/>
    </xf>
    <xf numFmtId="199" fontId="55" fillId="27" borderId="0" xfId="0" applyNumberFormat="1" applyFont="1" applyFill="1" applyAlignment="1" applyProtection="1">
      <alignment horizontal="left" vertical="center" shrinkToFit="1"/>
      <protection hidden="1"/>
    </xf>
    <xf numFmtId="179" fontId="81" fillId="27" borderId="54" xfId="0" applyFont="1" applyFill="1" applyBorder="1" applyAlignment="1" applyProtection="1">
      <alignment horizontal="center" vertical="center" shrinkToFit="1"/>
      <protection hidden="1"/>
    </xf>
    <xf numFmtId="179" fontId="55" fillId="27" borderId="54" xfId="0" applyFont="1" applyFill="1" applyBorder="1" applyAlignment="1" applyProtection="1">
      <alignment horizontal="center" vertical="center" shrinkToFit="1"/>
      <protection hidden="1"/>
    </xf>
    <xf numFmtId="43" fontId="74" fillId="27" borderId="77" xfId="0" applyNumberFormat="1" applyFont="1" applyFill="1" applyBorder="1" applyAlignment="1" applyProtection="1">
      <alignment horizontal="right" vertical="center" shrinkToFit="1"/>
      <protection hidden="1"/>
    </xf>
    <xf numFmtId="179" fontId="72" fillId="27" borderId="90" xfId="0" applyFont="1" applyFill="1" applyBorder="1" applyAlignment="1" applyProtection="1">
      <alignment horizontal="center" vertical="center"/>
      <protection hidden="1"/>
    </xf>
    <xf numFmtId="201" fontId="81" fillId="27" borderId="54" xfId="0" applyNumberFormat="1" applyFont="1" applyFill="1" applyBorder="1" applyAlignment="1" applyProtection="1">
      <alignment horizontal="center" vertical="center" shrinkToFit="1"/>
      <protection hidden="1"/>
    </xf>
    <xf numFmtId="201" fontId="55" fillId="27" borderId="54" xfId="0" applyNumberFormat="1" applyFont="1" applyFill="1" applyBorder="1" applyAlignment="1" applyProtection="1">
      <alignment horizontal="center" vertical="center" shrinkToFit="1"/>
      <protection hidden="1"/>
    </xf>
    <xf numFmtId="179" fontId="3" fillId="27" borderId="0" xfId="0" applyFont="1" applyFill="1" applyAlignment="1" applyProtection="1">
      <alignment horizontal="right" vertical="center" shrinkToFit="1"/>
      <protection hidden="1"/>
    </xf>
    <xf numFmtId="179" fontId="55" fillId="27" borderId="0" xfId="0" applyFont="1" applyFill="1" applyAlignment="1" applyProtection="1">
      <alignment horizontal="right" vertical="center" shrinkToFit="1"/>
      <protection hidden="1"/>
    </xf>
    <xf numFmtId="179" fontId="3" fillId="27" borderId="68" xfId="0" applyFont="1" applyFill="1" applyBorder="1" applyAlignment="1" applyProtection="1">
      <alignment horizontal="center" vertical="center" shrinkToFit="1"/>
      <protection hidden="1"/>
    </xf>
    <xf numFmtId="179" fontId="55" fillId="27" borderId="1" xfId="0" applyFont="1" applyFill="1" applyBorder="1" applyAlignment="1" applyProtection="1">
      <alignment horizontal="center" vertical="center" shrinkToFit="1"/>
      <protection hidden="1"/>
    </xf>
    <xf numFmtId="43" fontId="74" fillId="27" borderId="63" xfId="0" applyNumberFormat="1" applyFont="1" applyFill="1" applyBorder="1" applyAlignment="1" applyProtection="1">
      <alignment vertical="center" shrinkToFit="1"/>
      <protection hidden="1"/>
    </xf>
    <xf numFmtId="179" fontId="3" fillId="27" borderId="64" xfId="0" applyFont="1" applyFill="1" applyBorder="1" applyAlignment="1" applyProtection="1">
      <alignment vertical="center" shrinkToFit="1"/>
      <protection hidden="1"/>
    </xf>
    <xf numFmtId="179" fontId="55" fillId="27" borderId="65" xfId="0" applyFont="1" applyFill="1" applyBorder="1" applyAlignment="1" applyProtection="1">
      <alignment horizontal="center" vertical="center" shrinkToFit="1"/>
      <protection hidden="1"/>
    </xf>
    <xf numFmtId="201" fontId="55" fillId="27" borderId="65" xfId="0" applyNumberFormat="1" applyFont="1" applyFill="1" applyBorder="1" applyAlignment="1" applyProtection="1">
      <alignment vertical="center" shrinkToFit="1"/>
      <protection hidden="1"/>
    </xf>
    <xf numFmtId="201" fontId="55" fillId="27" borderId="66" xfId="0" applyNumberFormat="1" applyFont="1" applyFill="1" applyBorder="1" applyAlignment="1" applyProtection="1">
      <alignment vertical="center" shrinkToFit="1"/>
      <protection hidden="1"/>
    </xf>
    <xf numFmtId="43" fontId="55" fillId="0" borderId="0" xfId="0" applyNumberFormat="1" applyFont="1" applyAlignment="1" applyProtection="1">
      <alignment horizontal="center" vertical="center" shrinkToFit="1"/>
      <protection hidden="1"/>
    </xf>
    <xf numFmtId="43" fontId="55" fillId="0" borderId="0" xfId="0" applyNumberFormat="1" applyFont="1" applyAlignment="1" applyProtection="1">
      <alignment vertical="center" shrinkToFit="1"/>
      <protection hidden="1"/>
    </xf>
    <xf numFmtId="43" fontId="78" fillId="0" borderId="0" xfId="0" applyNumberFormat="1" applyFont="1" applyAlignment="1" applyProtection="1">
      <alignment vertical="center" shrinkToFit="1"/>
      <protection hidden="1"/>
    </xf>
    <xf numFmtId="43" fontId="72" fillId="27" borderId="0" xfId="0" applyNumberFormat="1" applyFont="1" applyFill="1" applyAlignment="1" applyProtection="1">
      <alignment horizontal="left" vertical="center" shrinkToFit="1"/>
      <protection hidden="1"/>
    </xf>
    <xf numFmtId="43" fontId="78" fillId="0" borderId="0" xfId="0" applyNumberFormat="1" applyFont="1" applyAlignment="1" applyProtection="1">
      <alignment horizontal="left" vertical="center" shrinkToFit="1"/>
      <protection hidden="1"/>
    </xf>
    <xf numFmtId="43" fontId="82" fillId="27" borderId="0" xfId="0" applyNumberFormat="1" applyFont="1" applyFill="1" applyAlignment="1" applyProtection="1">
      <alignment vertical="center" shrinkToFit="1"/>
      <protection hidden="1"/>
    </xf>
    <xf numFmtId="43" fontId="55" fillId="27" borderId="0" xfId="0" applyNumberFormat="1" applyFont="1" applyFill="1" applyAlignment="1" applyProtection="1">
      <alignment vertical="center" shrinkToFit="1"/>
      <protection hidden="1"/>
    </xf>
    <xf numFmtId="43" fontId="83" fillId="27" borderId="0" xfId="0" applyNumberFormat="1" applyFont="1" applyFill="1" applyAlignment="1" applyProtection="1">
      <alignment vertical="center" shrinkToFit="1"/>
      <protection hidden="1"/>
    </xf>
    <xf numFmtId="43" fontId="84" fillId="27" borderId="1" xfId="0" applyNumberFormat="1" applyFont="1" applyFill="1" applyBorder="1" applyAlignment="1" applyProtection="1">
      <alignment horizontal="center" vertical="center" shrinkToFit="1"/>
      <protection hidden="1"/>
    </xf>
    <xf numFmtId="43" fontId="85" fillId="27" borderId="1" xfId="0" applyNumberFormat="1" applyFont="1" applyFill="1" applyBorder="1" applyAlignment="1" applyProtection="1">
      <alignment horizontal="center" vertical="center" shrinkToFit="1"/>
      <protection hidden="1"/>
    </xf>
    <xf numFmtId="43" fontId="84" fillId="27" borderId="1" xfId="0" applyNumberFormat="1" applyFont="1" applyFill="1" applyBorder="1" applyAlignment="1" applyProtection="1">
      <alignment vertical="center" shrinkToFit="1"/>
      <protection hidden="1"/>
    </xf>
    <xf numFmtId="43" fontId="85" fillId="0" borderId="1" xfId="0" applyNumberFormat="1" applyFont="1" applyFill="1" applyBorder="1" applyAlignment="1" applyProtection="1">
      <alignment vertical="center" shrinkToFit="1"/>
      <protection locked="0"/>
    </xf>
    <xf numFmtId="43" fontId="86" fillId="0" borderId="0" xfId="0" applyNumberFormat="1" applyFont="1" applyAlignment="1" applyProtection="1">
      <alignment vertical="center" shrinkToFit="1"/>
      <protection hidden="1"/>
    </xf>
    <xf numFmtId="43" fontId="85" fillId="27" borderId="1" xfId="0" applyNumberFormat="1" applyFont="1" applyFill="1" applyBorder="1" applyAlignment="1" applyProtection="1">
      <alignment vertical="center" shrinkToFit="1"/>
      <protection hidden="1"/>
    </xf>
    <xf numFmtId="43" fontId="4" fillId="27" borderId="0" xfId="0" applyNumberFormat="1" applyFont="1" applyFill="1" applyAlignment="1" applyProtection="1">
      <alignment vertical="center" shrinkToFit="1"/>
      <protection hidden="1"/>
    </xf>
    <xf numFmtId="43" fontId="84" fillId="27" borderId="16" xfId="0" applyNumberFormat="1" applyFont="1" applyFill="1" applyBorder="1" applyAlignment="1" applyProtection="1">
      <alignment horizontal="center" vertical="center" shrinkToFit="1"/>
      <protection hidden="1"/>
    </xf>
    <xf numFmtId="43" fontId="84" fillId="27" borderId="19" xfId="0" applyNumberFormat="1" applyFont="1" applyFill="1" applyBorder="1" applyAlignment="1" applyProtection="1">
      <alignment horizontal="center" vertical="center" shrinkToFit="1"/>
      <protection hidden="1"/>
    </xf>
    <xf numFmtId="43" fontId="84" fillId="27" borderId="19" xfId="0" applyNumberFormat="1" applyFont="1" applyFill="1" applyBorder="1" applyAlignment="1" applyProtection="1">
      <alignment horizontal="left" vertical="center" shrinkToFit="1"/>
      <protection hidden="1"/>
    </xf>
    <xf numFmtId="43" fontId="84" fillId="0" borderId="1" xfId="0" applyNumberFormat="1" applyFont="1" applyFill="1" applyBorder="1" applyAlignment="1" applyProtection="1">
      <alignment vertical="center" shrinkToFit="1"/>
      <protection locked="0"/>
    </xf>
    <xf numFmtId="10" fontId="74" fillId="27" borderId="1" xfId="0" applyNumberFormat="1" applyFont="1" applyFill="1" applyBorder="1" applyAlignment="1" applyProtection="1">
      <alignment horizontal="center" vertical="center" shrinkToFit="1"/>
      <protection hidden="1"/>
    </xf>
    <xf numFmtId="43" fontId="85" fillId="27" borderId="0" xfId="0" applyNumberFormat="1" applyFont="1" applyFill="1" applyBorder="1" applyAlignment="1" applyProtection="1">
      <alignment horizontal="center" vertical="center" shrinkToFit="1"/>
      <protection hidden="1"/>
    </xf>
    <xf numFmtId="43" fontId="55" fillId="27" borderId="0" xfId="0" applyNumberFormat="1" applyFont="1" applyFill="1" applyBorder="1" applyAlignment="1" applyProtection="1">
      <alignment vertical="center" shrinkToFit="1"/>
      <protection hidden="1"/>
    </xf>
    <xf numFmtId="43" fontId="83" fillId="27" borderId="0" xfId="0" applyNumberFormat="1" applyFont="1" applyFill="1" applyAlignment="1" applyProtection="1">
      <alignment vertical="center"/>
      <protection hidden="1"/>
    </xf>
    <xf numFmtId="43" fontId="73" fillId="27" borderId="0" xfId="0" applyNumberFormat="1" applyFont="1" applyFill="1" applyAlignment="1" applyProtection="1">
      <alignment vertical="center" shrinkToFit="1"/>
      <protection hidden="1"/>
    </xf>
    <xf numFmtId="43" fontId="55" fillId="27" borderId="1" xfId="0" applyNumberFormat="1" applyFont="1" applyFill="1" applyBorder="1" applyAlignment="1" applyProtection="1">
      <alignment vertical="center" shrinkToFit="1"/>
      <protection hidden="1"/>
    </xf>
    <xf numFmtId="43" fontId="84" fillId="27" borderId="0" xfId="0" applyNumberFormat="1" applyFont="1" applyFill="1" applyBorder="1" applyAlignment="1" applyProtection="1">
      <alignment horizontal="center" vertical="center" shrinkToFit="1"/>
      <protection hidden="1"/>
    </xf>
    <xf numFmtId="43" fontId="74" fillId="27" borderId="0" xfId="0" applyNumberFormat="1" applyFont="1" applyFill="1" applyBorder="1" applyAlignment="1" applyProtection="1">
      <alignment vertical="center" shrinkToFit="1"/>
      <protection hidden="1"/>
    </xf>
    <xf numFmtId="43" fontId="55" fillId="27" borderId="0" xfId="0" applyNumberFormat="1" applyFont="1" applyFill="1" applyAlignment="1" applyProtection="1">
      <alignment horizontal="left" vertical="center" shrinkToFit="1"/>
      <protection hidden="1"/>
    </xf>
    <xf numFmtId="43" fontId="55" fillId="27" borderId="0" xfId="0" applyNumberFormat="1" applyFont="1" applyFill="1" applyBorder="1" applyAlignment="1" applyProtection="1">
      <alignment horizontal="center" vertical="center" shrinkToFit="1"/>
      <protection hidden="1"/>
    </xf>
    <xf numFmtId="43" fontId="85" fillId="27" borderId="0" xfId="0" applyNumberFormat="1" applyFont="1" applyFill="1" applyAlignment="1" applyProtection="1">
      <alignment vertical="center" shrinkToFit="1"/>
      <protection hidden="1"/>
    </xf>
    <xf numFmtId="43" fontId="4" fillId="27" borderId="0" xfId="0" applyNumberFormat="1" applyFont="1" applyFill="1" applyAlignment="1" applyProtection="1">
      <alignment horizontal="left" vertical="center" shrinkToFit="1"/>
      <protection hidden="1"/>
    </xf>
    <xf numFmtId="43" fontId="84" fillId="27" borderId="0" xfId="0" applyNumberFormat="1" applyFont="1" applyFill="1" applyBorder="1" applyAlignment="1" applyProtection="1">
      <alignment vertical="center" shrinkToFit="1"/>
      <protection hidden="1"/>
    </xf>
    <xf numFmtId="43" fontId="3" fillId="27" borderId="1" xfId="0" applyNumberFormat="1" applyFont="1" applyFill="1" applyBorder="1" applyAlignment="1" applyProtection="1">
      <alignment vertical="center" shrinkToFit="1"/>
      <protection hidden="1"/>
    </xf>
    <xf numFmtId="43" fontId="82" fillId="27" borderId="0" xfId="0" applyNumberFormat="1" applyFont="1" applyFill="1" applyAlignment="1" applyProtection="1">
      <alignment vertical="center"/>
      <protection hidden="1"/>
    </xf>
    <xf numFmtId="43" fontId="3" fillId="27" borderId="1" xfId="0" applyNumberFormat="1" applyFont="1" applyFill="1" applyBorder="1" applyAlignment="1" applyProtection="1">
      <alignment horizontal="center" vertical="center" shrinkToFit="1"/>
      <protection hidden="1"/>
    </xf>
    <xf numFmtId="43" fontId="3" fillId="27" borderId="1" xfId="0" applyNumberFormat="1" applyFont="1" applyFill="1" applyBorder="1" applyAlignment="1" applyProtection="1">
      <alignment horizontal="left" vertical="center" shrinkToFit="1"/>
      <protection hidden="1"/>
    </xf>
    <xf numFmtId="43" fontId="3" fillId="27" borderId="0" xfId="0" applyNumberFormat="1" applyFont="1" applyFill="1" applyAlignment="1" applyProtection="1">
      <alignment vertical="center" shrinkToFit="1"/>
      <protection hidden="1"/>
    </xf>
    <xf numFmtId="10" fontId="85" fillId="0" borderId="1" xfId="0" applyNumberFormat="1" applyFont="1" applyFill="1" applyBorder="1" applyAlignment="1" applyProtection="1">
      <alignment horizontal="center" vertical="center" shrinkToFit="1"/>
      <protection locked="0"/>
    </xf>
    <xf numFmtId="43" fontId="4" fillId="27" borderId="0" xfId="0" applyNumberFormat="1" applyFont="1" applyFill="1" applyAlignment="1" applyProtection="1">
      <alignment vertical="center"/>
      <protection hidden="1"/>
    </xf>
    <xf numFmtId="199" fontId="85" fillId="0" borderId="1" xfId="0" applyNumberFormat="1" applyFont="1" applyFill="1" applyBorder="1" applyAlignment="1" applyProtection="1">
      <alignment horizontal="center" vertical="center" shrinkToFit="1"/>
      <protection locked="0"/>
    </xf>
    <xf numFmtId="43" fontId="84" fillId="27" borderId="14" xfId="0" applyNumberFormat="1" applyFont="1" applyFill="1" applyBorder="1" applyAlignment="1" applyProtection="1">
      <alignment horizontal="center" vertical="center" shrinkToFit="1"/>
      <protection hidden="1"/>
    </xf>
    <xf numFmtId="43" fontId="85" fillId="27" borderId="20" xfId="0" applyNumberFormat="1" applyFont="1" applyFill="1" applyBorder="1" applyAlignment="1" applyProtection="1">
      <alignment horizontal="center" vertical="center" shrinkToFit="1"/>
      <protection hidden="1"/>
    </xf>
    <xf numFmtId="43" fontId="85" fillId="27" borderId="19" xfId="0" applyNumberFormat="1" applyFont="1" applyFill="1" applyBorder="1" applyAlignment="1" applyProtection="1">
      <alignment horizontal="center" vertical="center" shrinkToFit="1"/>
      <protection hidden="1"/>
    </xf>
    <xf numFmtId="10" fontId="55" fillId="27" borderId="1" xfId="0" applyNumberFormat="1" applyFont="1" applyFill="1" applyBorder="1" applyAlignment="1" applyProtection="1">
      <alignment horizontal="center" vertical="center" shrinkToFit="1"/>
      <protection hidden="1"/>
    </xf>
    <xf numFmtId="179" fontId="86" fillId="0" borderId="0" xfId="0" applyNumberFormat="1" applyFont="1" applyAlignment="1" applyProtection="1">
      <alignment horizontal="left" vertical="center" shrinkToFit="1"/>
      <protection hidden="1"/>
    </xf>
    <xf numFmtId="43" fontId="85" fillId="27" borderId="0" xfId="0" applyNumberFormat="1" applyFont="1" applyFill="1" applyBorder="1" applyAlignment="1" applyProtection="1">
      <alignment vertical="center" shrinkToFit="1"/>
      <protection hidden="1"/>
    </xf>
    <xf numFmtId="201" fontId="85" fillId="27" borderId="1" xfId="0" applyNumberFormat="1" applyFont="1" applyFill="1" applyBorder="1" applyAlignment="1" applyProtection="1">
      <alignment vertical="center" shrinkToFit="1"/>
      <protection hidden="1"/>
    </xf>
    <xf numFmtId="10" fontId="85" fillId="27" borderId="1" xfId="0" applyNumberFormat="1" applyFont="1" applyFill="1" applyBorder="1" applyAlignment="1" applyProtection="1">
      <alignment horizontal="center" vertical="center" shrinkToFit="1"/>
      <protection hidden="1"/>
    </xf>
    <xf numFmtId="10" fontId="74" fillId="27" borderId="0" xfId="0" applyNumberFormat="1" applyFont="1" applyFill="1" applyBorder="1" applyAlignment="1" applyProtection="1">
      <alignment horizontal="center" vertical="center" shrinkToFit="1"/>
      <protection hidden="1"/>
    </xf>
    <xf numFmtId="43" fontId="73" fillId="27" borderId="0" xfId="0" applyNumberFormat="1" applyFont="1" applyFill="1" applyAlignment="1" applyProtection="1">
      <alignment vertical="center"/>
      <protection hidden="1"/>
    </xf>
    <xf numFmtId="43" fontId="55" fillId="27" borderId="1" xfId="0" applyNumberFormat="1" applyFont="1" applyFill="1" applyBorder="1" applyAlignment="1" applyProtection="1">
      <alignment horizontal="center" vertical="center" shrinkToFit="1"/>
      <protection hidden="1"/>
    </xf>
    <xf numFmtId="43" fontId="82" fillId="27" borderId="0" xfId="0" applyNumberFormat="1" applyFont="1" applyFill="1" applyAlignment="1" applyProtection="1">
      <alignment horizontal="left" vertical="center"/>
      <protection hidden="1"/>
    </xf>
    <xf numFmtId="43" fontId="55" fillId="27" borderId="0" xfId="0" applyNumberFormat="1" applyFont="1" applyFill="1" applyAlignment="1" applyProtection="1">
      <alignment horizontal="center" vertical="center" shrinkToFit="1"/>
      <protection hidden="1"/>
    </xf>
    <xf numFmtId="43" fontId="83" fillId="27" borderId="0" xfId="0" applyNumberFormat="1" applyFont="1" applyFill="1" applyAlignment="1" applyProtection="1">
      <alignment horizontal="left" vertical="center"/>
      <protection hidden="1"/>
    </xf>
    <xf numFmtId="43" fontId="3" fillId="27" borderId="0" xfId="0" applyNumberFormat="1" applyFont="1" applyFill="1" applyBorder="1" applyAlignment="1" applyProtection="1">
      <alignment horizontal="center" vertical="center" shrinkToFit="1"/>
      <protection hidden="1"/>
    </xf>
    <xf numFmtId="43" fontId="84" fillId="27" borderId="1" xfId="0" applyNumberFormat="1" applyFont="1" applyFill="1" applyBorder="1" applyAlignment="1" applyProtection="1">
      <alignment horizontal="left" vertical="center" shrinkToFit="1"/>
      <protection hidden="1"/>
    </xf>
    <xf numFmtId="10" fontId="55" fillId="27" borderId="0" xfId="0" applyNumberFormat="1" applyFont="1" applyFill="1" applyBorder="1" applyAlignment="1" applyProtection="1">
      <alignment horizontal="center" vertical="center" shrinkToFit="1"/>
      <protection hidden="1"/>
    </xf>
    <xf numFmtId="43" fontId="74" fillId="27" borderId="1" xfId="0" applyNumberFormat="1" applyFont="1" applyFill="1" applyBorder="1" applyAlignment="1" applyProtection="1">
      <alignment horizontal="center" vertical="center" shrinkToFit="1"/>
      <protection hidden="1"/>
    </xf>
    <xf numFmtId="43" fontId="85" fillId="27" borderId="0" xfId="0" applyNumberFormat="1" applyFont="1" applyFill="1" applyBorder="1" applyAlignment="1" applyProtection="1">
      <alignment horizontal="left" vertical="center" shrinkToFit="1"/>
      <protection hidden="1"/>
    </xf>
    <xf numFmtId="43" fontId="83" fillId="27" borderId="0" xfId="0" applyNumberFormat="1" applyFont="1" applyFill="1" applyAlignment="1" applyProtection="1">
      <alignment horizontal="left" vertical="center" shrinkToFit="1"/>
      <protection hidden="1"/>
    </xf>
    <xf numFmtId="43" fontId="82" fillId="27" borderId="0" xfId="0" applyNumberFormat="1" applyFont="1" applyFill="1" applyAlignment="1" applyProtection="1">
      <alignment horizontal="left" vertical="center" shrinkToFit="1"/>
      <protection hidden="1"/>
    </xf>
    <xf numFmtId="43" fontId="86" fillId="0" borderId="0" xfId="0" applyNumberFormat="1" applyFont="1" applyAlignment="1" applyProtection="1">
      <alignment horizontal="left" vertical="center" shrinkToFit="1"/>
      <protection hidden="1"/>
    </xf>
    <xf numFmtId="43" fontId="85" fillId="27" borderId="0" xfId="0" applyNumberFormat="1" applyFont="1" applyFill="1" applyAlignment="1" applyProtection="1">
      <alignment horizontal="center" vertical="center" shrinkToFit="1"/>
      <protection hidden="1"/>
    </xf>
    <xf numFmtId="43" fontId="85" fillId="27" borderId="1" xfId="0" applyNumberFormat="1" applyFont="1" applyFill="1" applyBorder="1" applyAlignment="1" applyProtection="1">
      <alignment horizontal="left" vertical="center" shrinkToFit="1"/>
      <protection hidden="1"/>
    </xf>
    <xf numFmtId="43" fontId="85" fillId="27" borderId="0" xfId="0" applyNumberFormat="1" applyFont="1" applyFill="1" applyAlignment="1" applyProtection="1">
      <alignment vertical="center"/>
      <protection hidden="1"/>
    </xf>
    <xf numFmtId="201" fontId="85" fillId="27" borderId="1" xfId="0" applyNumberFormat="1" applyFont="1" applyFill="1" applyBorder="1" applyAlignment="1" applyProtection="1">
      <alignment horizontal="right" vertical="center" shrinkToFit="1"/>
      <protection hidden="1"/>
    </xf>
    <xf numFmtId="43" fontId="85" fillId="27" borderId="0" xfId="0" applyNumberFormat="1" applyFont="1" applyFill="1" applyAlignment="1" applyProtection="1">
      <alignment horizontal="left" vertical="center"/>
      <protection hidden="1"/>
    </xf>
    <xf numFmtId="179" fontId="78" fillId="0" borderId="0" xfId="0" applyNumberFormat="1" applyFont="1" applyAlignment="1" applyProtection="1">
      <alignment horizontal="left" vertical="center" shrinkToFit="1"/>
      <protection hidden="1"/>
    </xf>
    <xf numFmtId="187" fontId="85" fillId="0" borderId="1" xfId="0" applyNumberFormat="1" applyFont="1" applyFill="1" applyBorder="1" applyAlignment="1" applyProtection="1">
      <alignment horizontal="center" vertical="center" shrinkToFit="1"/>
      <protection locked="0"/>
    </xf>
    <xf numFmtId="43" fontId="84" fillId="27" borderId="0" xfId="0" applyNumberFormat="1" applyFont="1" applyFill="1" applyAlignment="1" applyProtection="1">
      <alignment horizontal="left" vertical="center"/>
      <protection hidden="1"/>
    </xf>
    <xf numFmtId="187" fontId="84" fillId="0" borderId="1" xfId="0" applyNumberFormat="1" applyFont="1" applyFill="1" applyBorder="1" applyAlignment="1" applyProtection="1">
      <alignment vertical="center" shrinkToFit="1"/>
      <protection locked="0"/>
    </xf>
    <xf numFmtId="43" fontId="84" fillId="27" borderId="0" xfId="0" applyNumberFormat="1" applyFont="1" applyFill="1" applyBorder="1" applyAlignment="1" applyProtection="1">
      <alignment horizontal="left" vertical="center" shrinkToFit="1"/>
      <protection hidden="1"/>
    </xf>
    <xf numFmtId="43" fontId="87" fillId="27" borderId="0" xfId="0" applyNumberFormat="1" applyFont="1" applyFill="1" applyAlignment="1" applyProtection="1">
      <alignment horizontal="left" vertical="center" shrinkToFit="1"/>
      <protection hidden="1"/>
    </xf>
    <xf numFmtId="43" fontId="3" fillId="27" borderId="16" xfId="0" applyNumberFormat="1" applyFont="1" applyFill="1" applyBorder="1" applyAlignment="1" applyProtection="1">
      <alignment horizontal="center" vertical="center" shrinkToFit="1"/>
      <protection hidden="1"/>
    </xf>
    <xf numFmtId="43" fontId="3" fillId="27" borderId="19" xfId="0" applyNumberFormat="1" applyFont="1" applyFill="1" applyBorder="1" applyAlignment="1" applyProtection="1">
      <alignment horizontal="center" vertical="center" shrinkToFit="1"/>
      <protection hidden="1"/>
    </xf>
    <xf numFmtId="186" fontId="55" fillId="27" borderId="1" xfId="0" applyNumberFormat="1" applyFont="1" applyFill="1" applyBorder="1" applyAlignment="1" applyProtection="1">
      <alignment horizontal="center" vertical="center" shrinkToFit="1"/>
      <protection hidden="1"/>
    </xf>
    <xf numFmtId="43" fontId="55" fillId="0" borderId="1" xfId="0" applyNumberFormat="1" applyFont="1" applyBorder="1" applyAlignment="1" applyProtection="1">
      <alignment vertical="center" shrinkToFit="1"/>
      <protection locked="0"/>
    </xf>
    <xf numFmtId="43" fontId="55" fillId="27" borderId="1" xfId="0" applyNumberFormat="1" applyFont="1" applyFill="1" applyBorder="1" applyAlignment="1" applyProtection="1">
      <alignment horizontal="left" vertical="center" shrinkToFit="1"/>
      <protection hidden="1"/>
    </xf>
    <xf numFmtId="186" fontId="55" fillId="0" borderId="1" xfId="0" applyNumberFormat="1" applyFont="1" applyBorder="1" applyAlignment="1" applyProtection="1">
      <alignment horizontal="center" vertical="center" shrinkToFit="1"/>
      <protection locked="0"/>
    </xf>
    <xf numFmtId="41" fontId="84" fillId="0" borderId="1" xfId="0" applyNumberFormat="1" applyFont="1" applyFill="1" applyBorder="1" applyAlignment="1" applyProtection="1">
      <alignment vertical="center" shrinkToFit="1"/>
      <protection locked="0"/>
    </xf>
    <xf numFmtId="43" fontId="84" fillId="27" borderId="15" xfId="0" applyNumberFormat="1" applyFont="1" applyFill="1" applyBorder="1" applyAlignment="1" applyProtection="1">
      <alignment horizontal="center" vertical="center" shrinkToFit="1"/>
      <protection hidden="1"/>
    </xf>
    <xf numFmtId="43" fontId="84" fillId="27" borderId="20" xfId="0" applyNumberFormat="1" applyFont="1" applyFill="1" applyBorder="1" applyAlignment="1" applyProtection="1">
      <alignment horizontal="center" vertical="center" shrinkToFit="1"/>
      <protection hidden="1"/>
    </xf>
    <xf numFmtId="179" fontId="85" fillId="0" borderId="1" xfId="0" applyNumberFormat="1" applyFont="1" applyFill="1" applyBorder="1" applyAlignment="1" applyProtection="1">
      <alignment horizontal="center" vertical="center" shrinkToFit="1"/>
      <protection locked="0"/>
    </xf>
    <xf numFmtId="179" fontId="55" fillId="0" borderId="0" xfId="0" applyFont="1" applyAlignment="1" applyProtection="1">
      <alignment horizontal="center" vertical="center" wrapText="1"/>
      <protection hidden="1"/>
    </xf>
    <xf numFmtId="43" fontId="74" fillId="27" borderId="66" xfId="0" applyNumberFormat="1" applyFont="1" applyFill="1" applyBorder="1" applyAlignment="1" applyProtection="1">
      <alignment vertical="center" shrinkToFit="1"/>
      <protection hidden="1"/>
    </xf>
    <xf numFmtId="179" fontId="88" fillId="27" borderId="0" xfId="0" applyFont="1" applyFill="1" applyAlignment="1" applyProtection="1">
      <alignment vertical="center"/>
      <protection hidden="1"/>
    </xf>
    <xf numFmtId="179" fontId="88" fillId="27" borderId="0" xfId="0" applyFont="1" applyFill="1" applyAlignment="1" applyProtection="1">
      <alignment vertical="center" shrinkToFit="1"/>
      <protection hidden="1"/>
    </xf>
    <xf numFmtId="179" fontId="55" fillId="27" borderId="56" xfId="0" applyFont="1" applyFill="1" applyBorder="1" applyAlignment="1" applyProtection="1">
      <alignment horizontal="center" vertical="center" shrinkToFit="1"/>
      <protection hidden="1"/>
    </xf>
    <xf numFmtId="201" fontId="55" fillId="27" borderId="67" xfId="0" applyNumberFormat="1" applyFont="1" applyFill="1" applyBorder="1" applyAlignment="1" applyProtection="1">
      <alignment horizontal="center" vertical="center" shrinkToFit="1"/>
      <protection hidden="1"/>
    </xf>
    <xf numFmtId="201" fontId="55" fillId="27" borderId="68" xfId="0" applyNumberFormat="1" applyFont="1" applyFill="1" applyBorder="1" applyAlignment="1" applyProtection="1">
      <alignment horizontal="center" vertical="center" shrinkToFit="1"/>
      <protection hidden="1"/>
    </xf>
    <xf numFmtId="179" fontId="73" fillId="27" borderId="60" xfId="0" applyFont="1" applyFill="1" applyBorder="1" applyAlignment="1" applyProtection="1">
      <alignment vertical="center" shrinkToFit="1"/>
      <protection hidden="1"/>
    </xf>
    <xf numFmtId="43" fontId="55" fillId="27" borderId="60" xfId="0" applyNumberFormat="1" applyFont="1" applyFill="1" applyBorder="1" applyAlignment="1" applyProtection="1">
      <alignment vertical="center" shrinkToFit="1"/>
      <protection hidden="1"/>
    </xf>
    <xf numFmtId="43" fontId="73" fillId="27" borderId="60" xfId="0" applyNumberFormat="1" applyFont="1" applyFill="1" applyBorder="1" applyAlignment="1" applyProtection="1">
      <alignment vertical="center" shrinkToFit="1"/>
      <protection hidden="1"/>
    </xf>
    <xf numFmtId="43" fontId="55" fillId="27" borderId="63" xfId="0" applyNumberFormat="1" applyFont="1" applyFill="1" applyBorder="1" applyAlignment="1" applyProtection="1">
      <alignment vertical="center" shrinkToFit="1"/>
      <protection hidden="1"/>
    </xf>
    <xf numFmtId="201" fontId="55" fillId="0" borderId="1" xfId="0" applyNumberFormat="1" applyFont="1" applyFill="1" applyBorder="1" applyAlignment="1" applyProtection="1">
      <alignment horizontal="right" vertical="center" shrinkToFit="1"/>
      <protection locked="0"/>
    </xf>
    <xf numFmtId="201" fontId="55" fillId="0" borderId="63" xfId="0" applyNumberFormat="1" applyFont="1" applyFill="1" applyBorder="1" applyAlignment="1" applyProtection="1">
      <alignment horizontal="right" vertical="center" shrinkToFit="1"/>
      <protection locked="0"/>
    </xf>
    <xf numFmtId="43" fontId="55" fillId="27" borderId="64" xfId="0" applyNumberFormat="1" applyFont="1" applyFill="1" applyBorder="1" applyAlignment="1" applyProtection="1">
      <alignment vertical="center" shrinkToFit="1"/>
      <protection hidden="1"/>
    </xf>
    <xf numFmtId="43" fontId="55" fillId="27" borderId="65" xfId="0" applyNumberFormat="1" applyFont="1" applyFill="1" applyBorder="1" applyAlignment="1" applyProtection="1">
      <alignment vertical="center" shrinkToFit="1"/>
      <protection hidden="1"/>
    </xf>
    <xf numFmtId="179" fontId="55" fillId="27" borderId="0" xfId="0" applyFont="1" applyFill="1" applyAlignment="1" applyProtection="1">
      <alignment horizontal="right" vertical="center"/>
      <protection hidden="1"/>
    </xf>
    <xf numFmtId="179" fontId="3" fillId="27" borderId="63" xfId="0" applyFont="1" applyFill="1" applyBorder="1" applyAlignment="1" applyProtection="1">
      <alignment horizontal="center" vertical="center" shrinkToFit="1"/>
      <protection hidden="1"/>
    </xf>
    <xf numFmtId="201" fontId="55" fillId="27" borderId="63" xfId="0" applyNumberFormat="1" applyFont="1" applyFill="1" applyBorder="1" applyAlignment="1" applyProtection="1">
      <alignment horizontal="right" vertical="center" shrinkToFit="1"/>
      <protection hidden="1"/>
    </xf>
    <xf numFmtId="179" fontId="89" fillId="27" borderId="54" xfId="17" applyFont="1" applyFill="1" applyBorder="1" applyAlignment="1" applyProtection="1">
      <alignment horizontal="center" vertical="center" shrinkToFit="1"/>
      <protection hidden="1"/>
    </xf>
    <xf numFmtId="43" fontId="55" fillId="27" borderId="63" xfId="15" applyFont="1" applyFill="1" applyBorder="1" applyAlignment="1" applyProtection="1">
      <alignment horizontal="right" vertical="center" shrinkToFit="1"/>
      <protection hidden="1"/>
    </xf>
    <xf numFmtId="43" fontId="74" fillId="27" borderId="1" xfId="15" applyFont="1" applyFill="1" applyBorder="1" applyAlignment="1" applyProtection="1">
      <alignment vertical="center" shrinkToFit="1"/>
      <protection hidden="1"/>
    </xf>
    <xf numFmtId="43" fontId="74" fillId="27" borderId="63" xfId="15" applyFont="1" applyFill="1" applyBorder="1" applyAlignment="1" applyProtection="1">
      <alignment vertical="center" shrinkToFit="1"/>
      <protection hidden="1"/>
    </xf>
    <xf numFmtId="179" fontId="55" fillId="0" borderId="1" xfId="0" applyFont="1" applyFill="1" applyBorder="1" applyAlignment="1" applyProtection="1">
      <alignment vertical="center" shrinkToFit="1"/>
      <protection hidden="1"/>
    </xf>
    <xf numFmtId="201" fontId="55" fillId="0" borderId="1" xfId="0" applyNumberFormat="1" applyFont="1" applyFill="1" applyBorder="1" applyAlignment="1" applyProtection="1">
      <alignment vertical="center" shrinkToFit="1"/>
      <protection hidden="1"/>
    </xf>
    <xf numFmtId="201" fontId="55" fillId="0" borderId="63" xfId="0" applyNumberFormat="1" applyFont="1" applyFill="1" applyBorder="1" applyAlignment="1" applyProtection="1">
      <alignment vertical="center" shrinkToFit="1"/>
      <protection hidden="1"/>
    </xf>
    <xf numFmtId="179" fontId="49" fillId="27" borderId="54" xfId="17" applyFill="1" applyBorder="1" applyAlignment="1" applyProtection="1">
      <alignment horizontal="center" vertical="center" shrinkToFit="1"/>
      <protection hidden="1"/>
    </xf>
    <xf numFmtId="43" fontId="55" fillId="27" borderId="63" xfId="15" applyFont="1" applyFill="1" applyBorder="1" applyAlignment="1" applyProtection="1">
      <alignment vertical="center" shrinkToFit="1"/>
      <protection hidden="1"/>
    </xf>
    <xf numFmtId="201" fontId="55" fillId="0" borderId="1" xfId="0" applyNumberFormat="1" applyFont="1" applyFill="1" applyBorder="1" applyAlignment="1" applyProtection="1">
      <alignment vertical="center" shrinkToFit="1"/>
      <protection locked="0"/>
    </xf>
    <xf numFmtId="179" fontId="55" fillId="0" borderId="65" xfId="0" applyFont="1" applyFill="1" applyBorder="1" applyAlignment="1" applyProtection="1">
      <alignment horizontal="center" vertical="center" shrinkToFit="1"/>
      <protection locked="0"/>
    </xf>
    <xf numFmtId="201" fontId="55" fillId="0" borderId="65" xfId="0" applyNumberFormat="1" applyFont="1" applyFill="1" applyBorder="1" applyAlignment="1" applyProtection="1">
      <alignment vertical="center" shrinkToFit="1"/>
      <protection locked="0"/>
    </xf>
    <xf numFmtId="201" fontId="55" fillId="0" borderId="66" xfId="0" applyNumberFormat="1" applyFont="1" applyFill="1" applyBorder="1" applyAlignment="1" applyProtection="1">
      <alignment vertical="center" shrinkToFit="1"/>
      <protection locked="0"/>
    </xf>
    <xf numFmtId="179" fontId="90" fillId="27" borderId="0" xfId="0" applyFont="1" applyFill="1" applyAlignment="1" applyProtection="1">
      <alignment vertical="center"/>
      <protection hidden="1"/>
    </xf>
    <xf numFmtId="179" fontId="0" fillId="27" borderId="56" xfId="0" applyFont="1" applyFill="1" applyBorder="1" applyAlignment="1" applyProtection="1">
      <alignment vertical="center"/>
      <protection hidden="1"/>
    </xf>
    <xf numFmtId="179" fontId="76" fillId="27" borderId="67" xfId="0" applyFont="1" applyFill="1" applyBorder="1" applyAlignment="1" applyProtection="1">
      <alignment vertical="center" shrinkToFit="1"/>
      <protection hidden="1"/>
    </xf>
    <xf numFmtId="43" fontId="79" fillId="27" borderId="67" xfId="0" applyNumberFormat="1" applyFont="1" applyFill="1" applyBorder="1" applyAlignment="1" applyProtection="1">
      <alignment vertical="center" shrinkToFit="1"/>
      <protection hidden="1"/>
    </xf>
    <xf numFmtId="43" fontId="79" fillId="27" borderId="68" xfId="0" applyNumberFormat="1" applyFont="1" applyFill="1" applyBorder="1" applyAlignment="1" applyProtection="1">
      <alignment vertical="center" shrinkToFit="1"/>
      <protection hidden="1"/>
    </xf>
    <xf numFmtId="179" fontId="0" fillId="27" borderId="60" xfId="0" applyFont="1" applyFill="1" applyBorder="1" applyAlignment="1" applyProtection="1">
      <alignment vertical="center" shrinkToFit="1"/>
      <protection hidden="1"/>
    </xf>
    <xf numFmtId="201" fontId="79" fillId="27" borderId="63" xfId="0" applyNumberFormat="1" applyFont="1" applyFill="1" applyBorder="1" applyAlignment="1" applyProtection="1">
      <alignment horizontal="right" vertical="center" shrinkToFit="1"/>
      <protection hidden="1"/>
    </xf>
    <xf numFmtId="201" fontId="79" fillId="27" borderId="1" xfId="0" applyNumberFormat="1" applyFont="1" applyFill="1" applyBorder="1" applyAlignment="1" applyProtection="1">
      <alignment horizontal="right" vertical="center" shrinkToFit="1"/>
      <protection hidden="1"/>
    </xf>
    <xf numFmtId="179" fontId="0" fillId="27" borderId="64" xfId="0" applyFont="1" applyFill="1" applyBorder="1" applyAlignment="1" applyProtection="1">
      <alignment vertical="center" shrinkToFit="1"/>
      <protection hidden="1"/>
    </xf>
    <xf numFmtId="179" fontId="76" fillId="27" borderId="65" xfId="0" applyFont="1" applyFill="1" applyBorder="1" applyAlignment="1" applyProtection="1">
      <alignment vertical="center" shrinkToFit="1"/>
      <protection hidden="1"/>
    </xf>
    <xf numFmtId="201" fontId="79" fillId="27" borderId="65" xfId="0" applyNumberFormat="1" applyFont="1" applyFill="1" applyBorder="1" applyAlignment="1" applyProtection="1">
      <alignment vertical="center" shrinkToFit="1"/>
      <protection hidden="1"/>
    </xf>
    <xf numFmtId="201" fontId="79" fillId="27" borderId="66" xfId="0" applyNumberFormat="1" applyFont="1" applyFill="1" applyBorder="1" applyAlignment="1" applyProtection="1">
      <alignment vertical="center" shrinkToFit="1"/>
      <protection hidden="1"/>
    </xf>
    <xf numFmtId="179" fontId="3" fillId="0" borderId="0" xfId="0" applyFont="1" applyAlignment="1" applyProtection="1">
      <alignment horizontal="left" vertical="center"/>
      <protection hidden="1"/>
    </xf>
    <xf numFmtId="179" fontId="3" fillId="0" borderId="0" xfId="0" applyFont="1" applyAlignment="1" applyProtection="1">
      <alignment horizontal="left" vertical="center" shrinkToFit="1"/>
      <protection hidden="1"/>
    </xf>
    <xf numFmtId="179" fontId="55" fillId="0" borderId="0" xfId="0" applyFont="1" applyAlignment="1">
      <alignment vertical="center"/>
    </xf>
    <xf numFmtId="179" fontId="3" fillId="0" borderId="0" xfId="0" applyFont="1" applyAlignment="1">
      <alignment vertical="center"/>
    </xf>
    <xf numFmtId="179" fontId="3" fillId="0" borderId="0" xfId="0" applyFont="1" applyAlignment="1" applyProtection="1">
      <alignment vertical="center"/>
      <protection locked="0"/>
    </xf>
    <xf numFmtId="179" fontId="55" fillId="0" borderId="0" xfId="0" applyFont="1" applyAlignment="1" applyProtection="1">
      <alignment vertical="center"/>
      <protection locked="0"/>
    </xf>
    <xf numFmtId="216" fontId="3" fillId="29" borderId="17" xfId="0" applyNumberFormat="1" applyFont="1" applyFill="1" applyBorder="1" applyAlignment="1" applyProtection="1">
      <alignment horizontal="center" vertical="center" shrinkToFit="1"/>
      <protection hidden="1"/>
    </xf>
    <xf numFmtId="216" fontId="55" fillId="29" borderId="0" xfId="0" applyNumberFormat="1" applyFont="1" applyFill="1" applyBorder="1" applyAlignment="1" applyProtection="1">
      <alignment horizontal="center" vertical="center" shrinkToFit="1"/>
      <protection hidden="1"/>
    </xf>
    <xf numFmtId="216" fontId="55" fillId="29" borderId="2" xfId="0" applyNumberFormat="1" applyFont="1" applyFill="1" applyBorder="1" applyAlignment="1" applyProtection="1">
      <alignment horizontal="center" vertical="center" shrinkToFit="1"/>
      <protection hidden="1"/>
    </xf>
    <xf numFmtId="43" fontId="81" fillId="29" borderId="0" xfId="0" applyNumberFormat="1" applyFont="1" applyFill="1" applyBorder="1" applyAlignment="1" applyProtection="1">
      <alignment horizontal="center" vertical="center" shrinkToFit="1"/>
      <protection hidden="1"/>
    </xf>
    <xf numFmtId="201" fontId="3" fillId="29" borderId="0" xfId="0" applyNumberFormat="1" applyFont="1" applyFill="1" applyBorder="1" applyAlignment="1" applyProtection="1">
      <alignment horizontal="center" vertical="center" shrinkToFit="1"/>
      <protection hidden="1"/>
    </xf>
    <xf numFmtId="43" fontId="91" fillId="29" borderId="15" xfId="0" applyNumberFormat="1" applyFont="1" applyFill="1" applyBorder="1" applyAlignment="1" applyProtection="1">
      <alignment horizontal="center" vertical="center" shrinkToFit="1"/>
      <protection hidden="1"/>
    </xf>
    <xf numFmtId="43" fontId="92" fillId="29" borderId="15" xfId="0" applyNumberFormat="1" applyFont="1" applyFill="1" applyBorder="1" applyAlignment="1" applyProtection="1">
      <alignment horizontal="center" vertical="center" shrinkToFit="1"/>
      <protection hidden="1"/>
    </xf>
    <xf numFmtId="43" fontId="3" fillId="29" borderId="0" xfId="0" applyNumberFormat="1" applyFont="1" applyFill="1" applyBorder="1" applyAlignment="1" applyProtection="1">
      <alignment horizontal="right" vertical="center" shrinkToFit="1"/>
      <protection hidden="1"/>
    </xf>
    <xf numFmtId="201" fontId="55" fillId="29" borderId="0" xfId="0" applyNumberFormat="1" applyFont="1" applyFill="1" applyBorder="1" applyAlignment="1" applyProtection="1">
      <alignment horizontal="center" vertical="center" shrinkToFit="1"/>
      <protection hidden="1"/>
    </xf>
    <xf numFmtId="201" fontId="55" fillId="0" borderId="0" xfId="0" applyNumberFormat="1" applyFont="1" applyFill="1" applyBorder="1" applyAlignment="1" applyProtection="1">
      <alignment horizontal="center" vertical="center" shrinkToFit="1"/>
      <protection locked="0"/>
    </xf>
    <xf numFmtId="43" fontId="55" fillId="29" borderId="15" xfId="0" applyNumberFormat="1" applyFont="1" applyFill="1" applyBorder="1" applyAlignment="1" applyProtection="1">
      <alignment horizontal="center" vertical="center" shrinkToFit="1"/>
      <protection hidden="1"/>
    </xf>
    <xf numFmtId="43" fontId="93" fillId="29" borderId="0" xfId="0" applyNumberFormat="1" applyFont="1" applyFill="1" applyAlignment="1" applyProtection="1">
      <alignment horizontal="center" vertical="center"/>
      <protection hidden="1"/>
    </xf>
    <xf numFmtId="179" fontId="94" fillId="29" borderId="0" xfId="0" applyNumberFormat="1" applyFont="1" applyFill="1" applyAlignment="1" applyProtection="1">
      <alignment horizontal="left" vertical="center"/>
      <protection hidden="1"/>
    </xf>
    <xf numFmtId="43" fontId="55" fillId="29" borderId="0" xfId="0" applyNumberFormat="1" applyFont="1" applyFill="1" applyAlignment="1" applyProtection="1">
      <alignment horizontal="center" vertical="center" shrinkToFit="1"/>
      <protection hidden="1"/>
    </xf>
    <xf numFmtId="43" fontId="74" fillId="29" borderId="0" xfId="0" applyNumberFormat="1" applyFont="1" applyFill="1" applyAlignment="1" applyProtection="1">
      <alignment horizontal="center" vertical="center" shrinkToFit="1"/>
      <protection hidden="1"/>
    </xf>
    <xf numFmtId="43" fontId="55" fillId="29" borderId="0" xfId="0" applyNumberFormat="1" applyFont="1" applyFill="1" applyBorder="1" applyAlignment="1" applyProtection="1">
      <alignment horizontal="center" vertical="center" shrinkToFit="1"/>
      <protection hidden="1"/>
    </xf>
    <xf numFmtId="179" fontId="93" fillId="29" borderId="0" xfId="0" applyNumberFormat="1" applyFont="1" applyFill="1" applyAlignment="1" applyProtection="1">
      <alignment horizontal="left" vertical="center"/>
      <protection hidden="1"/>
    </xf>
    <xf numFmtId="201" fontId="55" fillId="29" borderId="2" xfId="0" applyNumberFormat="1" applyFont="1" applyFill="1" applyBorder="1" applyAlignment="1" applyProtection="1">
      <alignment horizontal="center" vertical="center" shrinkToFit="1"/>
      <protection hidden="1"/>
    </xf>
    <xf numFmtId="216" fontId="3" fillId="29" borderId="1" xfId="0" applyNumberFormat="1" applyFont="1" applyFill="1" applyBorder="1" applyAlignment="1" applyProtection="1">
      <alignment horizontal="center" vertical="center" wrapText="1" shrinkToFit="1"/>
      <protection hidden="1"/>
    </xf>
    <xf numFmtId="43" fontId="3" fillId="29" borderId="1" xfId="0" applyNumberFormat="1" applyFont="1" applyFill="1" applyBorder="1" applyAlignment="1" applyProtection="1">
      <alignment horizontal="center" vertical="center" shrinkToFit="1"/>
      <protection hidden="1"/>
    </xf>
    <xf numFmtId="43" fontId="55" fillId="29" borderId="1" xfId="0" applyNumberFormat="1" applyFont="1" applyFill="1" applyBorder="1" applyAlignment="1" applyProtection="1">
      <alignment horizontal="center" vertical="center" shrinkToFit="1"/>
      <protection hidden="1"/>
    </xf>
    <xf numFmtId="201" fontId="3" fillId="29" borderId="1" xfId="0" applyNumberFormat="1" applyFont="1" applyFill="1" applyBorder="1" applyAlignment="1" applyProtection="1">
      <alignment horizontal="center" vertical="center" shrinkToFit="1"/>
      <protection hidden="1"/>
    </xf>
    <xf numFmtId="201" fontId="55" fillId="29" borderId="1" xfId="0" applyNumberFormat="1" applyFont="1" applyFill="1" applyBorder="1" applyAlignment="1" applyProtection="1">
      <alignment horizontal="center" vertical="center" shrinkToFit="1"/>
      <protection hidden="1"/>
    </xf>
    <xf numFmtId="216" fontId="55" fillId="29" borderId="1" xfId="0" applyNumberFormat="1" applyFont="1" applyFill="1" applyBorder="1" applyAlignment="1" applyProtection="1">
      <alignment horizontal="center" vertical="center" wrapText="1" shrinkToFit="1"/>
      <protection hidden="1"/>
    </xf>
    <xf numFmtId="43" fontId="3" fillId="29" borderId="1" xfId="0" applyNumberFormat="1" applyFont="1" applyFill="1" applyBorder="1" applyAlignment="1" applyProtection="1">
      <alignment horizontal="center" vertical="center"/>
      <protection hidden="1"/>
    </xf>
    <xf numFmtId="49" fontId="74" fillId="29" borderId="1" xfId="0" applyNumberFormat="1" applyFont="1" applyFill="1" applyBorder="1" applyAlignment="1" applyProtection="1">
      <alignment horizontal="center" vertical="center" shrinkToFit="1"/>
      <protection hidden="1"/>
    </xf>
    <xf numFmtId="201" fontId="3" fillId="29" borderId="1" xfId="0" applyNumberFormat="1" applyFont="1" applyFill="1" applyBorder="1" applyAlignment="1" applyProtection="1">
      <alignment horizontal="center" vertical="center" wrapText="1" shrinkToFit="1"/>
      <protection hidden="1"/>
    </xf>
    <xf numFmtId="43" fontId="3" fillId="29" borderId="14" xfId="0" applyNumberFormat="1" applyFont="1" applyFill="1" applyBorder="1" applyAlignment="1" applyProtection="1">
      <alignment horizontal="center" vertical="center"/>
      <protection hidden="1"/>
    </xf>
    <xf numFmtId="43" fontId="55" fillId="29" borderId="15" xfId="0" applyNumberFormat="1" applyFont="1" applyFill="1" applyBorder="1" applyAlignment="1" applyProtection="1">
      <alignment horizontal="center" vertical="center"/>
      <protection hidden="1"/>
    </xf>
    <xf numFmtId="43" fontId="55" fillId="29" borderId="20" xfId="0" applyNumberFormat="1" applyFont="1" applyFill="1" applyBorder="1" applyAlignment="1" applyProtection="1">
      <alignment horizontal="center" vertical="center"/>
      <protection hidden="1"/>
    </xf>
    <xf numFmtId="43" fontId="94" fillId="29" borderId="1" xfId="0" applyNumberFormat="1" applyFont="1" applyFill="1" applyBorder="1" applyAlignment="1" applyProtection="1">
      <alignment horizontal="center" vertical="center" shrinkToFit="1"/>
      <protection hidden="1"/>
    </xf>
    <xf numFmtId="201" fontId="55" fillId="29" borderId="1" xfId="15" applyNumberFormat="1" applyFont="1" applyFill="1" applyBorder="1" applyAlignment="1" applyProtection="1">
      <alignment vertical="center" shrinkToFit="1"/>
      <protection hidden="1"/>
    </xf>
    <xf numFmtId="179" fontId="55" fillId="0" borderId="1" xfId="0" applyFont="1" applyBorder="1" applyAlignment="1" applyProtection="1">
      <alignment horizontal="center" vertical="center" shrinkToFit="1"/>
      <protection locked="0"/>
    </xf>
    <xf numFmtId="179" fontId="55" fillId="0" borderId="1" xfId="0" applyFont="1" applyBorder="1" applyAlignment="1" applyProtection="1">
      <alignment horizontal="left" vertical="center" shrinkToFit="1"/>
      <protection locked="0"/>
    </xf>
    <xf numFmtId="179" fontId="4" fillId="0" borderId="1" xfId="0" applyFont="1" applyBorder="1" applyAlignment="1" applyProtection="1">
      <alignment vertical="center" shrinkToFit="1"/>
      <protection locked="0"/>
    </xf>
    <xf numFmtId="179" fontId="73" fillId="0" borderId="1" xfId="0" applyFont="1" applyBorder="1" applyAlignment="1" applyProtection="1">
      <alignment vertical="center" shrinkToFit="1"/>
      <protection locked="0"/>
    </xf>
    <xf numFmtId="201" fontId="81" fillId="29" borderId="0" xfId="0" applyNumberFormat="1" applyFont="1" applyFill="1" applyBorder="1" applyAlignment="1" applyProtection="1">
      <alignment horizontal="center" vertical="center" shrinkToFit="1"/>
      <protection hidden="1"/>
    </xf>
    <xf numFmtId="201" fontId="81" fillId="29" borderId="0" xfId="0" applyNumberFormat="1" applyFont="1" applyFill="1" applyBorder="1" applyAlignment="1" applyProtection="1">
      <alignment horizontal="left" vertical="center" shrinkToFit="1"/>
      <protection hidden="1"/>
    </xf>
    <xf numFmtId="201" fontId="3" fillId="29" borderId="16" xfId="0" applyNumberFormat="1" applyFont="1" applyFill="1" applyBorder="1" applyAlignment="1" applyProtection="1">
      <alignment horizontal="center" vertical="center" wrapText="1" shrinkToFit="1"/>
      <protection hidden="1"/>
    </xf>
    <xf numFmtId="201" fontId="55" fillId="29" borderId="19" xfId="0" applyNumberFormat="1" applyFont="1" applyFill="1" applyBorder="1" applyAlignment="1" applyProtection="1">
      <alignment horizontal="center" vertical="center" wrapText="1" shrinkToFit="1"/>
      <protection hidden="1"/>
    </xf>
    <xf numFmtId="201" fontId="73" fillId="29" borderId="1" xfId="0" applyNumberFormat="1" applyFont="1" applyFill="1" applyBorder="1" applyAlignment="1" applyProtection="1">
      <alignment horizontal="center" vertical="center" shrinkToFit="1"/>
      <protection hidden="1"/>
    </xf>
    <xf numFmtId="179" fontId="95" fillId="0" borderId="1" xfId="0" applyFont="1" applyBorder="1" applyAlignment="1" applyProtection="1">
      <alignment horizontal="center" vertical="center" shrinkToFit="1"/>
      <protection locked="0"/>
    </xf>
    <xf numFmtId="179" fontId="96" fillId="30" borderId="0" xfId="0" applyFont="1" applyFill="1" applyAlignment="1" applyProtection="1">
      <alignment horizontal="left" vertical="center"/>
      <protection hidden="1"/>
    </xf>
    <xf numFmtId="179" fontId="55" fillId="30" borderId="0" xfId="0" applyFont="1" applyFill="1" applyAlignment="1" applyProtection="1">
      <alignment vertical="center"/>
      <protection hidden="1"/>
    </xf>
    <xf numFmtId="179" fontId="97" fillId="30" borderId="0" xfId="0" applyFont="1" applyFill="1" applyAlignment="1" applyProtection="1">
      <alignment vertical="center"/>
      <protection hidden="1"/>
    </xf>
    <xf numFmtId="179" fontId="55" fillId="31" borderId="0" xfId="0" applyFont="1" applyFill="1" applyAlignment="1" applyProtection="1">
      <alignment horizontal="center" vertical="center"/>
      <protection hidden="1"/>
    </xf>
    <xf numFmtId="179" fontId="55" fillId="31" borderId="0" xfId="0" applyFont="1" applyFill="1" applyAlignment="1" applyProtection="1">
      <alignment vertical="center"/>
      <protection hidden="1"/>
    </xf>
    <xf numFmtId="179" fontId="98" fillId="30" borderId="0" xfId="0" applyFont="1" applyFill="1" applyAlignment="1" applyProtection="1">
      <alignment vertical="center"/>
      <protection hidden="1"/>
    </xf>
    <xf numFmtId="179" fontId="55" fillId="0" borderId="0" xfId="0" applyFont="1" applyAlignment="1">
      <alignment horizontal="center" vertical="center"/>
    </xf>
    <xf numFmtId="43" fontId="55" fillId="0" borderId="0" xfId="15" applyFont="1" applyAlignment="1">
      <alignment vertical="center"/>
    </xf>
    <xf numFmtId="179" fontId="55" fillId="0" borderId="0" xfId="0" applyFont="1" applyAlignment="1" applyProtection="1">
      <alignment horizontal="center" vertical="center"/>
      <protection locked="0"/>
    </xf>
    <xf numFmtId="49" fontId="55" fillId="0" borderId="17" xfId="0" applyNumberFormat="1" applyFont="1" applyFill="1" applyBorder="1" applyAlignment="1" applyProtection="1">
      <alignment horizontal="center" vertical="center" shrinkToFit="1"/>
      <protection locked="0"/>
    </xf>
    <xf numFmtId="179" fontId="55" fillId="0" borderId="0" xfId="0" applyFont="1" applyFill="1" applyBorder="1" applyAlignment="1" applyProtection="1">
      <alignment vertical="center"/>
      <protection locked="0"/>
    </xf>
    <xf numFmtId="179" fontId="55" fillId="0" borderId="0" xfId="0" applyFont="1" applyFill="1" applyBorder="1" applyAlignment="1" applyProtection="1">
      <alignment vertical="center" shrinkToFit="1"/>
      <protection locked="0"/>
    </xf>
    <xf numFmtId="179" fontId="74" fillId="0" borderId="0" xfId="0" applyFont="1" applyFill="1" applyBorder="1" applyAlignment="1" applyProtection="1">
      <alignment horizontal="center" vertical="center" shrinkToFit="1"/>
      <protection locked="0"/>
    </xf>
    <xf numFmtId="179" fontId="55" fillId="0" borderId="0" xfId="0" applyFont="1" applyFill="1" applyBorder="1" applyAlignment="1" applyProtection="1">
      <alignment horizontal="left" vertical="center" shrinkToFit="1"/>
      <protection locked="0"/>
    </xf>
    <xf numFmtId="179" fontId="55" fillId="0" borderId="0" xfId="0" applyFont="1" applyFill="1" applyBorder="1" applyAlignment="1" applyProtection="1">
      <alignment horizontal="center" vertical="center" shrinkToFit="1"/>
      <protection locked="0"/>
    </xf>
    <xf numFmtId="201" fontId="55" fillId="0" borderId="0" xfId="0" applyNumberFormat="1" applyFont="1" applyFill="1" applyBorder="1" applyAlignment="1" applyProtection="1">
      <alignment vertical="center" shrinkToFit="1"/>
      <protection locked="0"/>
    </xf>
    <xf numFmtId="179" fontId="55" fillId="0" borderId="0" xfId="0" applyFont="1" applyFill="1" applyAlignment="1" applyProtection="1">
      <alignment horizontal="left" vertical="center"/>
      <protection locked="0"/>
    </xf>
    <xf numFmtId="49" fontId="55" fillId="0" borderId="0" xfId="0" applyNumberFormat="1" applyFont="1" applyFill="1" applyBorder="1" applyAlignment="1" applyProtection="1">
      <alignment horizontal="center" vertical="center" shrinkToFit="1"/>
      <protection locked="0"/>
    </xf>
    <xf numFmtId="179" fontId="55" fillId="0" borderId="0" xfId="0" applyNumberFormat="1" applyFont="1" applyFill="1" applyBorder="1" applyAlignment="1" applyProtection="1">
      <alignment vertical="center" shrinkToFit="1"/>
      <protection locked="0"/>
    </xf>
    <xf numFmtId="179" fontId="3" fillId="0" borderId="0" xfId="0" applyFont="1" applyFill="1" applyBorder="1" applyAlignment="1" applyProtection="1">
      <alignment vertical="center" shrinkToFit="1"/>
      <protection locked="0"/>
    </xf>
    <xf numFmtId="43" fontId="55" fillId="0" borderId="0" xfId="15" applyFont="1" applyAlignment="1" applyProtection="1">
      <alignment vertical="center"/>
      <protection locked="0"/>
    </xf>
    <xf numFmtId="201" fontId="94" fillId="0" borderId="0" xfId="0" applyNumberFormat="1" applyFont="1" applyFill="1" applyBorder="1" applyAlignment="1" applyProtection="1">
      <alignment horizontal="center" vertical="center" shrinkToFit="1"/>
      <protection locked="0"/>
    </xf>
    <xf numFmtId="179" fontId="55" fillId="0" borderId="0" xfId="0" applyFont="1" applyBorder="1" applyAlignment="1" applyProtection="1">
      <alignment vertical="center"/>
      <protection locked="0"/>
    </xf>
    <xf numFmtId="179" fontId="3" fillId="0" borderId="0" xfId="0" applyFont="1" applyAlignment="1" applyProtection="1">
      <alignment horizontal="left" vertical="center"/>
      <protection locked="0"/>
    </xf>
    <xf numFmtId="179" fontId="3" fillId="0" borderId="0" xfId="0" applyFont="1" applyFill="1" applyBorder="1" applyAlignment="1" applyProtection="1">
      <alignment horizontal="center" vertical="center" shrinkToFit="1"/>
      <protection locked="0"/>
    </xf>
    <xf numFmtId="179" fontId="3" fillId="0" borderId="0" xfId="0" applyFont="1" applyAlignment="1" applyProtection="1">
      <alignment horizontal="center" vertical="center"/>
      <protection locked="0"/>
    </xf>
    <xf numFmtId="43" fontId="55" fillId="0" borderId="0" xfId="0" applyNumberFormat="1" applyFont="1" applyAlignment="1" applyProtection="1">
      <alignment vertical="center"/>
      <protection locked="0"/>
    </xf>
    <xf numFmtId="179" fontId="55" fillId="0" borderId="0" xfId="0" applyFont="1" applyAlignment="1" applyProtection="1">
      <alignment horizontal="left" vertical="center"/>
      <protection locked="0"/>
    </xf>
    <xf numFmtId="216" fontId="3" fillId="29" borderId="0" xfId="0" applyNumberFormat="1" applyFont="1" applyFill="1" applyBorder="1" applyAlignment="1" applyProtection="1">
      <alignment horizontal="center" vertical="center" shrinkToFit="1"/>
      <protection hidden="1"/>
    </xf>
    <xf numFmtId="201" fontId="3" fillId="29" borderId="14" xfId="0" applyNumberFormat="1" applyFont="1" applyFill="1" applyBorder="1" applyAlignment="1" applyProtection="1">
      <alignment horizontal="center" vertical="center" shrinkToFit="1"/>
      <protection hidden="1"/>
    </xf>
    <xf numFmtId="201" fontId="55" fillId="29" borderId="20" xfId="0" applyNumberFormat="1" applyFont="1" applyFill="1" applyBorder="1" applyAlignment="1" applyProtection="1">
      <alignment horizontal="center" vertical="center" shrinkToFit="1"/>
      <protection hidden="1"/>
    </xf>
    <xf numFmtId="179" fontId="55" fillId="0" borderId="1" xfId="0" applyFont="1" applyBorder="1" applyAlignment="1" applyProtection="1">
      <alignment horizontal="center" vertical="center"/>
      <protection locked="0"/>
    </xf>
    <xf numFmtId="179" fontId="55" fillId="0" borderId="1" xfId="0" applyFont="1" applyBorder="1" applyAlignment="1" applyProtection="1">
      <alignment vertical="center"/>
      <protection locked="0"/>
    </xf>
    <xf numFmtId="179" fontId="73" fillId="0" borderId="1" xfId="0" applyFont="1" applyFill="1" applyBorder="1" applyAlignment="1" applyProtection="1">
      <alignment horizontal="left" vertical="center" shrinkToFit="1"/>
      <protection locked="0"/>
    </xf>
    <xf numFmtId="179" fontId="3" fillId="0" borderId="1" xfId="0" applyFont="1" applyBorder="1" applyAlignment="1" applyProtection="1">
      <alignment horizontal="left" vertical="center"/>
      <protection locked="0"/>
    </xf>
    <xf numFmtId="179" fontId="4" fillId="0" borderId="1" xfId="0" applyFont="1" applyFill="1" applyBorder="1" applyAlignment="1" applyProtection="1">
      <alignment horizontal="left" vertical="center" shrinkToFit="1"/>
      <protection locked="0"/>
    </xf>
    <xf numFmtId="179" fontId="55" fillId="0" borderId="1" xfId="0" applyFont="1" applyBorder="1" applyAlignment="1" applyProtection="1">
      <alignment vertical="center" shrinkToFit="1"/>
      <protection locked="0"/>
    </xf>
    <xf numFmtId="179" fontId="55" fillId="0" borderId="1" xfId="0" applyFont="1" applyBorder="1" applyAlignment="1" applyProtection="1">
      <alignment horizontal="left" vertical="center"/>
      <protection locked="0"/>
    </xf>
    <xf numFmtId="179" fontId="3" fillId="0" borderId="1" xfId="0" applyFont="1" applyBorder="1" applyAlignment="1" applyProtection="1">
      <alignment vertical="center" shrinkToFit="1"/>
      <protection locked="0"/>
    </xf>
    <xf numFmtId="179" fontId="55" fillId="0" borderId="1" xfId="0" applyFont="1" applyFill="1" applyBorder="1" applyAlignment="1" applyProtection="1">
      <alignment horizontal="left" vertical="center"/>
      <protection locked="0"/>
    </xf>
    <xf numFmtId="179" fontId="55" fillId="0" borderId="1" xfId="0" applyFont="1" applyFill="1" applyBorder="1" applyAlignment="1" applyProtection="1">
      <alignment vertical="center" shrinkToFit="1"/>
      <protection locked="0"/>
    </xf>
    <xf numFmtId="179" fontId="3" fillId="0" borderId="1" xfId="0" applyFont="1" applyFill="1" applyBorder="1" applyAlignment="1" applyProtection="1">
      <alignment vertical="center" wrapText="1" shrinkToFit="1"/>
      <protection locked="0"/>
    </xf>
    <xf numFmtId="179" fontId="3" fillId="0" borderId="1" xfId="0" applyFont="1" applyFill="1" applyBorder="1" applyAlignment="1" applyProtection="1">
      <alignment horizontal="left" vertical="center" shrinkToFit="1"/>
      <protection locked="0"/>
    </xf>
    <xf numFmtId="179" fontId="3" fillId="0" borderId="1" xfId="0" applyFont="1" applyFill="1" applyBorder="1" applyAlignment="1" applyProtection="1">
      <alignment vertical="center" shrinkToFit="1"/>
      <protection locked="0"/>
    </xf>
    <xf numFmtId="179" fontId="55" fillId="4" borderId="1" xfId="0" applyFont="1" applyFill="1" applyBorder="1" applyAlignment="1" applyProtection="1">
      <alignment horizontal="center" vertical="center" shrinkToFit="1"/>
      <protection locked="0"/>
    </xf>
    <xf numFmtId="179" fontId="55" fillId="4" borderId="1" xfId="0" applyFont="1" applyFill="1" applyBorder="1" applyAlignment="1" applyProtection="1">
      <alignment horizontal="left" vertical="center"/>
      <protection locked="0"/>
    </xf>
    <xf numFmtId="179" fontId="4" fillId="4" borderId="1" xfId="0" applyFont="1" applyFill="1" applyBorder="1" applyAlignment="1" applyProtection="1">
      <alignment horizontal="left" vertical="center" shrinkToFit="1"/>
      <protection locked="0"/>
    </xf>
    <xf numFmtId="179" fontId="55" fillId="4" borderId="1" xfId="0" applyFont="1" applyFill="1" applyBorder="1" applyAlignment="1" applyProtection="1">
      <alignment vertical="center" shrinkToFit="1"/>
      <protection locked="0"/>
    </xf>
    <xf numFmtId="201" fontId="55" fillId="4" borderId="1" xfId="0" applyNumberFormat="1" applyFont="1" applyFill="1" applyBorder="1" applyAlignment="1" applyProtection="1">
      <alignment horizontal="right" vertical="center" shrinkToFit="1"/>
      <protection locked="0"/>
    </xf>
    <xf numFmtId="179" fontId="73" fillId="4" borderId="1" xfId="0" applyFont="1" applyFill="1" applyBorder="1" applyAlignment="1" applyProtection="1">
      <alignment horizontal="left" vertical="center" shrinkToFit="1"/>
      <protection locked="0"/>
    </xf>
    <xf numFmtId="43" fontId="3" fillId="0" borderId="0" xfId="15" applyFont="1" applyAlignment="1" applyProtection="1">
      <alignment vertical="center"/>
      <protection locked="0"/>
    </xf>
    <xf numFmtId="43" fontId="55" fillId="0" borderId="0" xfId="0" applyNumberFormat="1" applyFont="1" applyAlignment="1" applyProtection="1">
      <alignment vertical="center" shrinkToFit="1"/>
      <protection locked="0"/>
    </xf>
    <xf numFmtId="179" fontId="94" fillId="0" borderId="1" xfId="0" applyFont="1" applyBorder="1" applyAlignment="1" applyProtection="1">
      <alignment horizontal="center" vertical="center"/>
      <protection locked="0"/>
    </xf>
    <xf numFmtId="179" fontId="95" fillId="4" borderId="1" xfId="0" applyFont="1" applyFill="1" applyBorder="1" applyAlignment="1" applyProtection="1">
      <alignment horizontal="center" vertical="center" shrinkToFit="1"/>
      <protection locked="0"/>
    </xf>
    <xf numFmtId="43" fontId="78" fillId="0" borderId="0" xfId="0" applyNumberFormat="1" applyFont="1" applyAlignment="1" applyProtection="1">
      <alignment vertical="center" shrinkToFit="1"/>
      <protection locked="0"/>
    </xf>
    <xf numFmtId="43" fontId="55" fillId="0" borderId="0" xfId="0" applyNumberFormat="1" applyFont="1" applyAlignment="1" applyProtection="1">
      <alignment horizontal="center" vertical="center" shrinkToFit="1"/>
      <protection locked="0"/>
    </xf>
    <xf numFmtId="43" fontId="78" fillId="0" borderId="0" xfId="0" applyNumberFormat="1" applyFont="1" applyAlignment="1" applyProtection="1">
      <alignment horizontal="left" vertical="center" shrinkToFit="1"/>
      <protection locked="0"/>
    </xf>
    <xf numFmtId="179" fontId="78" fillId="0" borderId="0" xfId="0" applyNumberFormat="1" applyFont="1" applyAlignment="1" applyProtection="1">
      <alignment horizontal="left" vertical="center" shrinkToFit="1"/>
      <protection locked="0"/>
    </xf>
    <xf numFmtId="179" fontId="0" fillId="14" borderId="0" xfId="0" applyFill="1" applyProtection="1">
      <protection locked="0"/>
    </xf>
    <xf numFmtId="179" fontId="72" fillId="27" borderId="0" xfId="0" applyFont="1" applyFill="1" applyAlignment="1" applyProtection="1">
      <alignment horizontal="center" vertical="center" shrinkToFit="1"/>
      <protection locked="0"/>
    </xf>
    <xf numFmtId="179" fontId="75" fillId="27" borderId="0" xfId="0" applyFont="1" applyFill="1" applyAlignment="1" applyProtection="1">
      <alignment horizontal="center" vertical="center" shrinkToFit="1"/>
      <protection locked="0"/>
    </xf>
    <xf numFmtId="201" fontId="73" fillId="27" borderId="0" xfId="0" applyNumberFormat="1" applyFont="1" applyFill="1" applyAlignment="1" applyProtection="1">
      <alignment horizontal="right" vertical="center" shrinkToFit="1"/>
      <protection locked="0"/>
    </xf>
    <xf numFmtId="179" fontId="73" fillId="27" borderId="0" xfId="0" applyFont="1" applyFill="1" applyAlignment="1" applyProtection="1">
      <alignment vertical="center" shrinkToFit="1"/>
      <protection locked="0"/>
    </xf>
    <xf numFmtId="179" fontId="55" fillId="27" borderId="0" xfId="0" applyFont="1" applyFill="1" applyAlignment="1" applyProtection="1">
      <alignment vertical="center" shrinkToFit="1"/>
      <protection locked="0"/>
    </xf>
    <xf numFmtId="43" fontId="73" fillId="27" borderId="0" xfId="15" applyFont="1" applyFill="1" applyAlignment="1" applyProtection="1">
      <alignment horizontal="right" vertical="center" shrinkToFit="1"/>
      <protection locked="0"/>
    </xf>
    <xf numFmtId="179" fontId="3" fillId="27" borderId="0" xfId="0" applyFont="1" applyFill="1" applyAlignment="1" applyProtection="1">
      <alignment vertical="center" shrinkToFit="1"/>
    </xf>
    <xf numFmtId="179" fontId="55" fillId="27" borderId="0" xfId="0" applyFont="1" applyFill="1" applyAlignment="1" applyProtection="1">
      <alignment vertical="center"/>
      <protection locked="0"/>
    </xf>
    <xf numFmtId="201" fontId="55" fillId="27" borderId="0" xfId="0" applyNumberFormat="1" applyFont="1" applyFill="1" applyAlignment="1" applyProtection="1">
      <alignment vertical="center" shrinkToFit="1"/>
      <protection locked="0"/>
    </xf>
    <xf numFmtId="43" fontId="55" fillId="27" borderId="0" xfId="15" applyFont="1" applyFill="1" applyAlignment="1" applyProtection="1">
      <alignment vertical="center" shrinkToFit="1"/>
      <protection locked="0"/>
    </xf>
    <xf numFmtId="179" fontId="3" fillId="27" borderId="91" xfId="0" applyFont="1" applyFill="1" applyBorder="1" applyAlignment="1" applyProtection="1">
      <alignment horizontal="center" vertical="center" shrinkToFit="1"/>
    </xf>
    <xf numFmtId="179" fontId="3" fillId="27" borderId="92" xfId="0" applyFont="1" applyFill="1" applyBorder="1" applyAlignment="1" applyProtection="1">
      <alignment vertical="center" shrinkToFit="1"/>
      <protection locked="0"/>
    </xf>
    <xf numFmtId="201" fontId="3" fillId="27" borderId="67" xfId="0" applyNumberFormat="1" applyFont="1" applyFill="1" applyBorder="1" applyAlignment="1" applyProtection="1">
      <alignment horizontal="center" vertical="center" shrinkToFit="1"/>
      <protection locked="0"/>
    </xf>
    <xf numFmtId="201" fontId="3" fillId="27" borderId="68" xfId="0" applyNumberFormat="1" applyFont="1" applyFill="1" applyBorder="1" applyAlignment="1" applyProtection="1">
      <alignment horizontal="center" vertical="center" shrinkToFit="1"/>
      <protection locked="0"/>
    </xf>
    <xf numFmtId="43" fontId="3" fillId="27" borderId="67" xfId="15" applyFont="1" applyFill="1" applyBorder="1" applyAlignment="1" applyProtection="1">
      <alignment horizontal="center" vertical="center" shrinkToFit="1"/>
    </xf>
    <xf numFmtId="201" fontId="3" fillId="27" borderId="67" xfId="0" applyNumberFormat="1" applyFont="1" applyFill="1" applyBorder="1" applyAlignment="1" applyProtection="1">
      <alignment horizontal="center" vertical="center" shrinkToFit="1"/>
    </xf>
    <xf numFmtId="179" fontId="3" fillId="27" borderId="93" xfId="0" applyFont="1" applyFill="1" applyBorder="1" applyAlignment="1" applyProtection="1">
      <alignment vertical="center" shrinkToFit="1"/>
    </xf>
    <xf numFmtId="179" fontId="3" fillId="27" borderId="19" xfId="0" applyFont="1" applyFill="1" applyBorder="1" applyAlignment="1" applyProtection="1">
      <alignment vertical="center" shrinkToFit="1"/>
      <protection locked="0"/>
    </xf>
    <xf numFmtId="201" fontId="3" fillId="27" borderId="1" xfId="0" applyNumberFormat="1" applyFont="1" applyFill="1" applyBorder="1" applyAlignment="1" applyProtection="1">
      <alignment horizontal="center" vertical="center" shrinkToFit="1"/>
      <protection locked="0"/>
    </xf>
    <xf numFmtId="201" fontId="99" fillId="27" borderId="63" xfId="0" applyNumberFormat="1" applyFont="1" applyFill="1" applyBorder="1" applyAlignment="1" applyProtection="1">
      <alignment horizontal="center" vertical="center" shrinkToFit="1"/>
      <protection locked="0"/>
    </xf>
    <xf numFmtId="43" fontId="3" fillId="27" borderId="1" xfId="15" applyFont="1" applyFill="1" applyBorder="1" applyAlignment="1" applyProtection="1">
      <alignment horizontal="center" vertical="center" shrinkToFit="1"/>
      <protection locked="0"/>
    </xf>
    <xf numFmtId="201" fontId="3" fillId="27" borderId="1" xfId="0" applyNumberFormat="1" applyFont="1" applyFill="1" applyBorder="1" applyAlignment="1" applyProtection="1">
      <alignment horizontal="center" vertical="center" shrinkToFit="1"/>
    </xf>
    <xf numFmtId="43" fontId="4" fillId="27" borderId="60" xfId="0" applyNumberFormat="1" applyFont="1" applyFill="1" applyBorder="1" applyAlignment="1" applyProtection="1">
      <alignment vertical="center" shrinkToFit="1"/>
    </xf>
    <xf numFmtId="179" fontId="55" fillId="27" borderId="1" xfId="0" applyFont="1" applyFill="1" applyBorder="1" applyAlignment="1" applyProtection="1">
      <alignment horizontal="center" vertical="center" shrinkToFit="1"/>
      <protection locked="0"/>
    </xf>
    <xf numFmtId="201" fontId="55" fillId="27" borderId="1" xfId="0" applyNumberFormat="1" applyFont="1" applyFill="1" applyBorder="1" applyAlignment="1" applyProtection="1">
      <alignment vertical="center" shrinkToFit="1"/>
      <protection locked="0"/>
    </xf>
    <xf numFmtId="201" fontId="55" fillId="27" borderId="63" xfId="0" applyNumberFormat="1" applyFont="1" applyFill="1" applyBorder="1" applyAlignment="1" applyProtection="1">
      <alignment vertical="center" shrinkToFit="1"/>
      <protection locked="0"/>
    </xf>
    <xf numFmtId="43" fontId="55" fillId="27" borderId="1" xfId="15" applyFont="1" applyFill="1" applyBorder="1" applyAlignment="1" applyProtection="1">
      <alignment vertical="center" shrinkToFit="1"/>
      <protection locked="0"/>
    </xf>
    <xf numFmtId="43" fontId="3" fillId="27" borderId="60" xfId="0" applyNumberFormat="1" applyFont="1" applyFill="1" applyBorder="1" applyAlignment="1" applyProtection="1">
      <alignment vertical="center" shrinkToFit="1"/>
    </xf>
    <xf numFmtId="43" fontId="55" fillId="27" borderId="1" xfId="15" applyFont="1" applyFill="1" applyBorder="1" applyAlignment="1" applyProtection="1">
      <alignment vertical="center" shrinkToFit="1"/>
    </xf>
    <xf numFmtId="43" fontId="55" fillId="4" borderId="1" xfId="413" applyFont="1" applyFill="1" applyBorder="1" applyAlignment="1" applyProtection="1">
      <alignment horizontal="right" vertical="center" shrinkToFit="1"/>
      <protection locked="0"/>
    </xf>
    <xf numFmtId="43" fontId="55" fillId="0" borderId="63" xfId="15" applyFont="1" applyFill="1" applyBorder="1" applyAlignment="1" applyProtection="1">
      <alignment vertical="center" shrinkToFit="1"/>
    </xf>
    <xf numFmtId="43" fontId="55" fillId="27" borderId="1" xfId="413" applyFont="1" applyFill="1" applyBorder="1" applyAlignment="1" applyProtection="1">
      <alignment horizontal="right" vertical="center" shrinkToFit="1"/>
    </xf>
    <xf numFmtId="43" fontId="4" fillId="27" borderId="60" xfId="0" applyNumberFormat="1" applyFont="1" applyFill="1" applyBorder="1" applyAlignment="1" applyProtection="1">
      <alignment horizontal="left" vertical="center" shrinkToFit="1"/>
    </xf>
    <xf numFmtId="179" fontId="55" fillId="27" borderId="1" xfId="0" applyFont="1" applyFill="1" applyBorder="1" applyAlignment="1" applyProtection="1">
      <alignment vertical="center" shrinkToFit="1"/>
      <protection locked="0" hidden="1"/>
    </xf>
    <xf numFmtId="43" fontId="74" fillId="27" borderId="1" xfId="15" applyFont="1" applyFill="1" applyBorder="1" applyAlignment="1" applyProtection="1">
      <alignment vertical="center" shrinkToFit="1"/>
      <protection locked="0"/>
    </xf>
    <xf numFmtId="43" fontId="74" fillId="27" borderId="1" xfId="0" applyNumberFormat="1" applyFont="1" applyFill="1" applyBorder="1" applyAlignment="1" applyProtection="1">
      <alignment vertical="center" shrinkToFit="1"/>
      <protection locked="0"/>
    </xf>
    <xf numFmtId="43" fontId="74" fillId="27" borderId="1" xfId="0" applyNumberFormat="1" applyFont="1" applyFill="1" applyBorder="1" applyAlignment="1" applyProtection="1">
      <alignment vertical="center" shrinkToFit="1"/>
    </xf>
    <xf numFmtId="43" fontId="74" fillId="27" borderId="63" xfId="0" applyNumberFormat="1" applyFont="1" applyFill="1" applyBorder="1" applyAlignment="1" applyProtection="1">
      <alignment vertical="center" shrinkToFit="1"/>
    </xf>
    <xf numFmtId="43" fontId="74" fillId="27" borderId="1" xfId="15" applyFont="1" applyFill="1" applyBorder="1" applyAlignment="1" applyProtection="1">
      <alignment vertical="center" shrinkToFit="1"/>
    </xf>
    <xf numFmtId="43" fontId="73" fillId="27" borderId="60" xfId="0" applyNumberFormat="1" applyFont="1" applyFill="1" applyBorder="1" applyAlignment="1" applyProtection="1">
      <alignment horizontal="center" vertical="center" shrinkToFit="1"/>
    </xf>
    <xf numFmtId="43" fontId="73" fillId="27" borderId="60" xfId="0" applyNumberFormat="1" applyFont="1" applyFill="1" applyBorder="1" applyAlignment="1" applyProtection="1">
      <alignment horizontal="left" vertical="center" shrinkToFit="1"/>
    </xf>
    <xf numFmtId="179" fontId="55" fillId="27" borderId="1" xfId="0" applyFont="1" applyFill="1" applyBorder="1" applyAlignment="1" applyProtection="1">
      <alignment vertical="center" shrinkToFit="1"/>
      <protection locked="0"/>
    </xf>
    <xf numFmtId="43" fontId="55" fillId="0" borderId="63" xfId="15" applyFont="1" applyFill="1" applyBorder="1" applyAlignment="1" applyProtection="1">
      <alignment vertical="center" shrinkToFit="1"/>
      <protection locked="0"/>
    </xf>
    <xf numFmtId="43" fontId="4" fillId="27" borderId="64" xfId="0" applyNumberFormat="1" applyFont="1" applyFill="1" applyBorder="1" applyAlignment="1" applyProtection="1">
      <alignment vertical="center" shrinkToFit="1"/>
    </xf>
    <xf numFmtId="179" fontId="55" fillId="27" borderId="65" xfId="0" applyFont="1" applyFill="1" applyBorder="1" applyAlignment="1" applyProtection="1">
      <alignment vertical="center" shrinkToFit="1"/>
      <protection locked="0"/>
    </xf>
    <xf numFmtId="43" fontId="74" fillId="27" borderId="65" xfId="15" applyFont="1" applyFill="1" applyBorder="1" applyAlignment="1" applyProtection="1">
      <alignment vertical="center" shrinkToFit="1"/>
    </xf>
    <xf numFmtId="43" fontId="74" fillId="27" borderId="65" xfId="0" applyNumberFormat="1" applyFont="1" applyFill="1" applyBorder="1" applyAlignment="1" applyProtection="1">
      <alignment vertical="center" shrinkToFit="1"/>
      <protection locked="0"/>
    </xf>
    <xf numFmtId="43" fontId="74" fillId="27" borderId="65" xfId="0" applyNumberFormat="1" applyFont="1" applyFill="1" applyBorder="1" applyAlignment="1" applyProtection="1">
      <alignment vertical="center" shrinkToFit="1"/>
    </xf>
    <xf numFmtId="43" fontId="74" fillId="27" borderId="66" xfId="0" applyNumberFormat="1" applyFont="1" applyFill="1" applyBorder="1" applyAlignment="1" applyProtection="1">
      <alignment vertical="center" shrinkToFit="1"/>
    </xf>
    <xf numFmtId="179" fontId="55" fillId="27" borderId="0" xfId="0" applyFont="1" applyFill="1" applyAlignment="1" applyProtection="1">
      <alignment vertical="center" shrinkToFit="1"/>
    </xf>
    <xf numFmtId="179" fontId="73" fillId="27" borderId="0" xfId="0" applyFont="1" applyFill="1" applyAlignment="1" applyProtection="1">
      <alignment vertical="center" shrinkToFit="1"/>
    </xf>
    <xf numFmtId="43" fontId="73" fillId="27" borderId="0" xfId="15" applyFont="1" applyFill="1" applyAlignment="1" applyProtection="1">
      <alignment vertical="center" shrinkToFit="1"/>
    </xf>
    <xf numFmtId="201" fontId="73" fillId="27" borderId="0" xfId="0" applyNumberFormat="1" applyFont="1" applyFill="1" applyAlignment="1" applyProtection="1">
      <alignment vertical="center" shrinkToFit="1"/>
      <protection locked="0"/>
    </xf>
    <xf numFmtId="179" fontId="88" fillId="27" borderId="0" xfId="0" applyFont="1" applyFill="1" applyAlignment="1" applyProtection="1">
      <alignment vertical="center" shrinkToFit="1"/>
    </xf>
    <xf numFmtId="179" fontId="55" fillId="27" borderId="91" xfId="0" applyFont="1" applyFill="1" applyBorder="1" applyAlignment="1" applyProtection="1">
      <alignment horizontal="center" vertical="center" shrinkToFit="1"/>
    </xf>
    <xf numFmtId="179" fontId="3" fillId="27" borderId="92" xfId="0" applyFont="1" applyFill="1" applyBorder="1" applyAlignment="1" applyProtection="1">
      <alignment horizontal="center" vertical="center" shrinkToFit="1"/>
      <protection locked="0"/>
    </xf>
    <xf numFmtId="201" fontId="3" fillId="27" borderId="68" xfId="0" applyNumberFormat="1" applyFont="1" applyFill="1" applyBorder="1" applyAlignment="1" applyProtection="1">
      <alignment horizontal="center" vertical="center" shrinkToFit="1"/>
    </xf>
    <xf numFmtId="179" fontId="55" fillId="27" borderId="93" xfId="0" applyFont="1" applyFill="1" applyBorder="1" applyAlignment="1" applyProtection="1">
      <alignment horizontal="center" vertical="center" shrinkToFit="1"/>
    </xf>
    <xf numFmtId="179" fontId="3" fillId="27" borderId="19" xfId="0" applyFont="1" applyFill="1" applyBorder="1" applyAlignment="1" applyProtection="1">
      <alignment horizontal="center" vertical="center" shrinkToFit="1"/>
      <protection locked="0"/>
    </xf>
    <xf numFmtId="201" fontId="100" fillId="27" borderId="1" xfId="0" applyNumberFormat="1" applyFont="1" applyFill="1" applyBorder="1" applyAlignment="1" applyProtection="1">
      <alignment horizontal="center" vertical="center" shrinkToFit="1"/>
      <protection locked="0"/>
    </xf>
    <xf numFmtId="201" fontId="3" fillId="27" borderId="63" xfId="0" applyNumberFormat="1" applyFont="1" applyFill="1" applyBorder="1" applyAlignment="1" applyProtection="1">
      <alignment horizontal="center" vertical="center" shrinkToFit="1"/>
      <protection locked="0"/>
    </xf>
    <xf numFmtId="201" fontId="100" fillId="27" borderId="1" xfId="0" applyNumberFormat="1" applyFont="1" applyFill="1" applyBorder="1" applyAlignment="1" applyProtection="1">
      <alignment horizontal="center" vertical="center" shrinkToFit="1"/>
    </xf>
    <xf numFmtId="179" fontId="73" fillId="27" borderId="60" xfId="0" applyFont="1" applyFill="1" applyBorder="1" applyAlignment="1" applyProtection="1">
      <alignment vertical="center" shrinkToFit="1"/>
    </xf>
    <xf numFmtId="43" fontId="55" fillId="27" borderId="60" xfId="0" applyNumberFormat="1" applyFont="1" applyFill="1" applyBorder="1" applyAlignment="1" applyProtection="1">
      <alignment vertical="center" shrinkToFit="1"/>
    </xf>
    <xf numFmtId="43" fontId="55" fillId="27" borderId="1" xfId="0" applyNumberFormat="1" applyFont="1" applyFill="1" applyBorder="1" applyAlignment="1" applyProtection="1">
      <alignment vertical="center" shrinkToFit="1"/>
      <protection locked="0"/>
    </xf>
    <xf numFmtId="43" fontId="55" fillId="27" borderId="63" xfId="15" applyFont="1" applyFill="1" applyBorder="1" applyAlignment="1" applyProtection="1">
      <alignment vertical="center" shrinkToFit="1"/>
    </xf>
    <xf numFmtId="201" fontId="99" fillId="27" borderId="63" xfId="0" applyNumberFormat="1" applyFont="1" applyFill="1" applyBorder="1" applyAlignment="1" applyProtection="1">
      <alignment horizontal="center" vertical="center" shrinkToFit="1"/>
    </xf>
    <xf numFmtId="201" fontId="3" fillId="27" borderId="63" xfId="0" applyNumberFormat="1" applyFont="1" applyFill="1" applyBorder="1" applyAlignment="1" applyProtection="1">
      <alignment horizontal="center" vertical="center" shrinkToFit="1"/>
    </xf>
    <xf numFmtId="43" fontId="73" fillId="27" borderId="60" xfId="0" applyNumberFormat="1" applyFont="1" applyFill="1" applyBorder="1" applyAlignment="1" applyProtection="1">
      <alignment vertical="center" shrinkToFit="1"/>
    </xf>
    <xf numFmtId="43" fontId="55" fillId="27" borderId="63" xfId="0" applyNumberFormat="1" applyFont="1" applyFill="1" applyBorder="1" applyAlignment="1" applyProtection="1">
      <alignment vertical="center" shrinkToFit="1"/>
      <protection locked="0"/>
    </xf>
    <xf numFmtId="43" fontId="55" fillId="27" borderId="63" xfId="15" applyFont="1" applyFill="1" applyBorder="1" applyAlignment="1" applyProtection="1">
      <alignment vertical="center" shrinkToFit="1"/>
      <protection locked="0"/>
    </xf>
    <xf numFmtId="43" fontId="55" fillId="4" borderId="1" xfId="15" applyFont="1" applyFill="1" applyBorder="1" applyAlignment="1" applyProtection="1">
      <alignment vertical="center" shrinkToFit="1"/>
      <protection locked="0"/>
    </xf>
    <xf numFmtId="43" fontId="55" fillId="27" borderId="64" xfId="0" applyNumberFormat="1" applyFont="1" applyFill="1" applyBorder="1" applyAlignment="1" applyProtection="1">
      <alignment vertical="center" shrinkToFit="1"/>
    </xf>
    <xf numFmtId="43" fontId="55" fillId="27" borderId="65" xfId="0" applyNumberFormat="1" applyFont="1" applyFill="1" applyBorder="1" applyAlignment="1" applyProtection="1">
      <alignment vertical="center" shrinkToFit="1"/>
      <protection locked="0"/>
    </xf>
    <xf numFmtId="43" fontId="55" fillId="4" borderId="0" xfId="0" applyNumberFormat="1" applyFont="1" applyFill="1" applyBorder="1" applyAlignment="1" applyProtection="1">
      <alignment vertical="center" shrinkToFit="1"/>
    </xf>
    <xf numFmtId="43" fontId="55" fillId="4" borderId="0" xfId="0" applyNumberFormat="1" applyFont="1" applyFill="1" applyBorder="1" applyAlignment="1" applyProtection="1">
      <alignment vertical="center" shrinkToFit="1"/>
      <protection locked="0"/>
    </xf>
    <xf numFmtId="43" fontId="74" fillId="4" borderId="0" xfId="0" applyNumberFormat="1" applyFont="1" applyFill="1" applyBorder="1" applyAlignment="1" applyProtection="1">
      <alignment vertical="center" shrinkToFit="1"/>
      <protection locked="0"/>
    </xf>
    <xf numFmtId="179" fontId="0" fillId="4" borderId="0" xfId="0" applyFill="1" applyProtection="1">
      <protection locked="0"/>
    </xf>
    <xf numFmtId="43" fontId="55" fillId="4" borderId="63" xfId="15" applyFont="1" applyFill="1" applyBorder="1" applyAlignment="1" applyProtection="1">
      <alignment vertical="center" shrinkToFit="1"/>
      <protection locked="0"/>
    </xf>
    <xf numFmtId="179" fontId="3" fillId="14" borderId="0" xfId="0" applyFont="1" applyFill="1" applyProtection="1">
      <protection locked="0"/>
    </xf>
    <xf numFmtId="179" fontId="101" fillId="27" borderId="0" xfId="0" applyFont="1" applyFill="1" applyAlignment="1" applyProtection="1">
      <alignment vertical="center" shrinkToFit="1"/>
      <protection locked="0"/>
    </xf>
    <xf numFmtId="179" fontId="72" fillId="27" borderId="0" xfId="0" applyFont="1" applyFill="1" applyAlignment="1" applyProtection="1">
      <alignment vertical="center" shrinkToFit="1"/>
      <protection locked="0"/>
    </xf>
    <xf numFmtId="179" fontId="59" fillId="27" borderId="0" xfId="0" applyFont="1" applyFill="1" applyAlignment="1" applyProtection="1">
      <alignment vertical="center" shrinkToFit="1"/>
      <protection locked="0"/>
    </xf>
    <xf numFmtId="179" fontId="0" fillId="27" borderId="0" xfId="0" applyFont="1" applyFill="1" applyAlignment="1" applyProtection="1">
      <alignment vertical="center" shrinkToFit="1"/>
      <protection locked="0"/>
    </xf>
    <xf numFmtId="179" fontId="76" fillId="27" borderId="0" xfId="0" applyFont="1" applyFill="1" applyAlignment="1" applyProtection="1">
      <alignment vertical="center" shrinkToFit="1"/>
      <protection locked="0"/>
    </xf>
    <xf numFmtId="179" fontId="0" fillId="27" borderId="0" xfId="0" applyFill="1" applyAlignment="1" applyProtection="1">
      <alignment horizontal="right" vertical="center" shrinkToFit="1"/>
      <protection locked="0"/>
    </xf>
    <xf numFmtId="179" fontId="3" fillId="27" borderId="0" xfId="0" applyFont="1" applyFill="1" applyAlignment="1" applyProtection="1">
      <alignment vertical="center" shrinkToFit="1"/>
      <protection locked="0"/>
    </xf>
    <xf numFmtId="179" fontId="55" fillId="27" borderId="0" xfId="0" applyFont="1" applyFill="1" applyAlignment="1" applyProtection="1">
      <alignment horizontal="center" vertical="center"/>
      <protection locked="0"/>
    </xf>
    <xf numFmtId="179" fontId="55" fillId="27" borderId="0" xfId="0" applyFont="1" applyFill="1" applyAlignment="1" applyProtection="1">
      <alignment horizontal="right" vertical="center"/>
      <protection locked="0"/>
    </xf>
    <xf numFmtId="179" fontId="3" fillId="27" borderId="56" xfId="0" applyFont="1" applyFill="1" applyBorder="1" applyAlignment="1" applyProtection="1">
      <alignment horizontal="center" vertical="center" shrinkToFit="1"/>
    </xf>
    <xf numFmtId="179" fontId="3" fillId="27" borderId="67" xfId="0" applyFont="1" applyFill="1" applyBorder="1" applyAlignment="1" applyProtection="1">
      <alignment horizontal="center" vertical="center" shrinkToFit="1"/>
      <protection locked="0"/>
    </xf>
    <xf numFmtId="179" fontId="102" fillId="27" borderId="67" xfId="0" applyFont="1" applyFill="1" applyBorder="1" applyAlignment="1" applyProtection="1">
      <alignment horizontal="center" vertical="center" shrinkToFit="1"/>
      <protection locked="0"/>
    </xf>
    <xf numFmtId="179" fontId="102" fillId="27" borderId="68" xfId="0" applyFont="1" applyFill="1" applyBorder="1" applyAlignment="1" applyProtection="1">
      <alignment horizontal="center" vertical="center" shrinkToFit="1"/>
      <protection locked="0"/>
    </xf>
    <xf numFmtId="179" fontId="1" fillId="27" borderId="67" xfId="0" applyFont="1" applyFill="1" applyBorder="1" applyAlignment="1" applyProtection="1">
      <alignment horizontal="center" vertical="center" shrinkToFit="1"/>
    </xf>
    <xf numFmtId="179" fontId="3" fillId="27" borderId="60" xfId="0" applyFont="1" applyFill="1" applyBorder="1" applyAlignment="1" applyProtection="1">
      <alignment vertical="center" shrinkToFit="1"/>
    </xf>
    <xf numFmtId="179" fontId="3" fillId="27" borderId="1" xfId="0" applyFont="1" applyFill="1" applyBorder="1" applyAlignment="1" applyProtection="1">
      <alignment vertical="center" shrinkToFit="1"/>
      <protection locked="0"/>
    </xf>
    <xf numFmtId="179" fontId="102" fillId="27" borderId="1" xfId="0" applyFont="1" applyFill="1" applyBorder="1" applyAlignment="1" applyProtection="1">
      <alignment horizontal="center" vertical="center" shrinkToFit="1"/>
      <protection locked="0"/>
    </xf>
    <xf numFmtId="179" fontId="99" fillId="27" borderId="63" xfId="0" applyFont="1" applyFill="1" applyBorder="1" applyAlignment="1" applyProtection="1">
      <alignment horizontal="center" vertical="center" shrinkToFit="1"/>
      <protection locked="0"/>
    </xf>
    <xf numFmtId="179" fontId="1" fillId="27" borderId="1" xfId="0" applyFont="1" applyFill="1" applyBorder="1" applyAlignment="1" applyProtection="1">
      <alignment horizontal="center" vertical="center" shrinkToFit="1"/>
      <protection locked="0"/>
    </xf>
    <xf numFmtId="179" fontId="4" fillId="27" borderId="60" xfId="0" applyFont="1" applyFill="1" applyBorder="1" applyAlignment="1" applyProtection="1">
      <alignment vertical="center" shrinkToFit="1"/>
    </xf>
    <xf numFmtId="179" fontId="78" fillId="27" borderId="1" xfId="0" applyFont="1" applyFill="1" applyBorder="1" applyAlignment="1" applyProtection="1">
      <alignment horizontal="center" vertical="center" shrinkToFit="1"/>
      <protection locked="0" hidden="1"/>
    </xf>
    <xf numFmtId="43" fontId="55" fillId="27" borderId="1" xfId="413" applyFont="1" applyFill="1" applyBorder="1" applyAlignment="1" applyProtection="1">
      <alignment horizontal="right" vertical="center" shrinkToFit="1"/>
      <protection locked="0"/>
    </xf>
    <xf numFmtId="43" fontId="55" fillId="4" borderId="63" xfId="413" applyFont="1" applyFill="1" applyBorder="1" applyAlignment="1" applyProtection="1">
      <alignment horizontal="right" vertical="center" shrinkToFit="1"/>
    </xf>
    <xf numFmtId="43" fontId="55" fillId="27" borderId="63" xfId="413" applyFont="1" applyFill="1" applyBorder="1" applyAlignment="1" applyProtection="1">
      <alignment horizontal="right" vertical="center" shrinkToFit="1"/>
      <protection locked="0"/>
    </xf>
    <xf numFmtId="43" fontId="74" fillId="27" borderId="1" xfId="413" applyFont="1" applyFill="1" applyBorder="1" applyAlignment="1" applyProtection="1">
      <alignment vertical="center" shrinkToFit="1"/>
    </xf>
    <xf numFmtId="43" fontId="74" fillId="27" borderId="1" xfId="413" applyFont="1" applyFill="1" applyBorder="1" applyAlignment="1" applyProtection="1">
      <alignment vertical="center" shrinkToFit="1"/>
      <protection locked="0"/>
    </xf>
    <xf numFmtId="43" fontId="74" fillId="27" borderId="63" xfId="413" applyFont="1" applyFill="1" applyBorder="1" applyAlignment="1" applyProtection="1">
      <alignment vertical="center" shrinkToFit="1"/>
    </xf>
    <xf numFmtId="43" fontId="55" fillId="0" borderId="1" xfId="413" applyFont="1" applyFill="1" applyBorder="1" applyAlignment="1" applyProtection="1">
      <alignment vertical="center" shrinkToFit="1"/>
      <protection locked="0"/>
    </xf>
    <xf numFmtId="43" fontId="55" fillId="4" borderId="1" xfId="413" applyFont="1" applyFill="1" applyBorder="1" applyAlignment="1" applyProtection="1">
      <alignment vertical="center" shrinkToFit="1"/>
      <protection locked="0"/>
    </xf>
    <xf numFmtId="43" fontId="55" fillId="27" borderId="1" xfId="413" applyFont="1" applyFill="1" applyBorder="1" applyAlignment="1" applyProtection="1">
      <alignment vertical="center" shrinkToFit="1"/>
      <protection locked="0"/>
    </xf>
    <xf numFmtId="43" fontId="55" fillId="27" borderId="63" xfId="413" applyFont="1" applyFill="1" applyBorder="1" applyAlignment="1" applyProtection="1">
      <alignment vertical="center" shrinkToFit="1"/>
      <protection locked="0"/>
    </xf>
    <xf numFmtId="43" fontId="55" fillId="0" borderId="63" xfId="413" applyFont="1" applyFill="1" applyBorder="1" applyAlignment="1" applyProtection="1">
      <alignment vertical="center" shrinkToFit="1"/>
      <protection locked="0"/>
    </xf>
    <xf numFmtId="179" fontId="3" fillId="27" borderId="64" xfId="0" applyFont="1" applyFill="1" applyBorder="1" applyAlignment="1" applyProtection="1">
      <alignment vertical="center" shrinkToFit="1"/>
    </xf>
    <xf numFmtId="43" fontId="74" fillId="27" borderId="65" xfId="413" applyFont="1" applyFill="1" applyBorder="1" applyAlignment="1" applyProtection="1">
      <alignment vertical="center" shrinkToFit="1"/>
      <protection locked="0"/>
    </xf>
    <xf numFmtId="43" fontId="55" fillId="0" borderId="65" xfId="413" applyFont="1" applyFill="1" applyBorder="1" applyAlignment="1" applyProtection="1">
      <alignment vertical="center" shrinkToFit="1"/>
      <protection locked="0"/>
    </xf>
    <xf numFmtId="43" fontId="55" fillId="0" borderId="66" xfId="413" applyFont="1" applyFill="1" applyBorder="1" applyAlignment="1" applyProtection="1">
      <alignment vertical="center" shrinkToFit="1"/>
      <protection locked="0"/>
    </xf>
    <xf numFmtId="179" fontId="55" fillId="27" borderId="0" xfId="0" applyFont="1" applyFill="1" applyBorder="1" applyAlignment="1" applyProtection="1">
      <alignment vertical="center" shrinkToFit="1"/>
    </xf>
    <xf numFmtId="179" fontId="55" fillId="27" borderId="0" xfId="0" applyFont="1" applyFill="1" applyBorder="1" applyAlignment="1" applyProtection="1">
      <alignment vertical="center" shrinkToFit="1"/>
      <protection locked="0"/>
    </xf>
    <xf numFmtId="43" fontId="55" fillId="27" borderId="0" xfId="413" applyFont="1" applyFill="1" applyBorder="1" applyAlignment="1" applyProtection="1">
      <alignment vertical="center" shrinkToFit="1"/>
      <protection locked="0"/>
    </xf>
    <xf numFmtId="179" fontId="59" fillId="27" borderId="0" xfId="0" applyFont="1" applyFill="1" applyBorder="1" applyAlignment="1" applyProtection="1">
      <alignment vertical="center" shrinkToFit="1"/>
      <protection locked="0"/>
    </xf>
    <xf numFmtId="43" fontId="59" fillId="27" borderId="0" xfId="0" applyNumberFormat="1" applyFont="1" applyFill="1" applyBorder="1" applyAlignment="1" applyProtection="1">
      <alignment vertical="center" shrinkToFit="1"/>
      <protection locked="0"/>
    </xf>
    <xf numFmtId="179" fontId="88" fillId="27" borderId="0" xfId="0" applyFont="1" applyFill="1" applyBorder="1" applyAlignment="1" applyProtection="1">
      <alignment vertical="center"/>
    </xf>
    <xf numFmtId="179" fontId="1" fillId="27" borderId="0" xfId="0" applyFont="1" applyFill="1" applyBorder="1" applyAlignment="1" applyProtection="1">
      <alignment vertical="center" shrinkToFit="1"/>
      <protection locked="0"/>
    </xf>
    <xf numFmtId="179" fontId="3" fillId="27" borderId="56" xfId="0" applyFont="1" applyFill="1" applyBorder="1" applyAlignment="1" applyProtection="1">
      <alignment vertical="center"/>
    </xf>
    <xf numFmtId="179" fontId="55" fillId="27" borderId="67" xfId="0" applyFont="1" applyFill="1" applyBorder="1" applyAlignment="1" applyProtection="1">
      <alignment vertical="center" shrinkToFit="1"/>
      <protection locked="0"/>
    </xf>
    <xf numFmtId="43" fontId="74" fillId="27" borderId="67" xfId="413" applyFont="1" applyFill="1" applyBorder="1" applyAlignment="1" applyProtection="1">
      <alignment vertical="center" shrinkToFit="1"/>
    </xf>
    <xf numFmtId="43" fontId="74" fillId="27" borderId="67" xfId="413" applyFont="1" applyFill="1" applyBorder="1" applyAlignment="1" applyProtection="1">
      <alignment vertical="center" shrinkToFit="1"/>
      <protection locked="0"/>
    </xf>
    <xf numFmtId="43" fontId="74" fillId="27" borderId="68" xfId="413" applyFont="1" applyFill="1" applyBorder="1" applyAlignment="1" applyProtection="1">
      <alignment vertical="center" shrinkToFit="1"/>
    </xf>
    <xf numFmtId="43" fontId="55" fillId="27" borderId="63" xfId="413" applyFont="1" applyFill="1" applyBorder="1" applyAlignment="1" applyProtection="1">
      <alignment horizontal="right" vertical="center" shrinkToFit="1"/>
    </xf>
    <xf numFmtId="43" fontId="74" fillId="27" borderId="65" xfId="413" applyFont="1" applyFill="1" applyBorder="1" applyAlignment="1" applyProtection="1">
      <alignment vertical="center" shrinkToFit="1"/>
    </xf>
    <xf numFmtId="43" fontId="74" fillId="27" borderId="66" xfId="413" applyFont="1" applyFill="1" applyBorder="1" applyAlignment="1" applyProtection="1">
      <alignment vertical="center" shrinkToFit="1"/>
    </xf>
    <xf numFmtId="179" fontId="1" fillId="27" borderId="68" xfId="0" applyFont="1" applyFill="1" applyBorder="1" applyAlignment="1" applyProtection="1">
      <alignment horizontal="center" vertical="center" shrinkToFit="1"/>
    </xf>
    <xf numFmtId="43" fontId="55" fillId="4" borderId="63" xfId="413" applyFont="1" applyFill="1" applyBorder="1" applyAlignment="1" applyProtection="1">
      <alignment horizontal="right" vertical="center" shrinkToFit="1"/>
      <protection locked="0"/>
    </xf>
    <xf numFmtId="43" fontId="55" fillId="4" borderId="63" xfId="413" applyFont="1" applyFill="1" applyBorder="1" applyAlignment="1" applyProtection="1">
      <alignment vertical="center" shrinkToFit="1"/>
      <protection locked="0"/>
    </xf>
    <xf numFmtId="43" fontId="74" fillId="27" borderId="68" xfId="413" applyFont="1" applyFill="1" applyBorder="1" applyAlignment="1" applyProtection="1">
      <alignment vertical="center" shrinkToFit="1"/>
      <protection locked="0"/>
    </xf>
    <xf numFmtId="43" fontId="55" fillId="0" borderId="1" xfId="0" applyNumberFormat="1" applyFont="1" applyFill="1" applyBorder="1" applyAlignment="1" applyProtection="1">
      <alignment vertical="center" shrinkToFit="1"/>
      <protection locked="0"/>
    </xf>
    <xf numFmtId="43" fontId="55" fillId="0" borderId="63" xfId="0" applyNumberFormat="1" applyFont="1" applyFill="1" applyBorder="1" applyAlignment="1" applyProtection="1">
      <alignment vertical="center" shrinkToFit="1"/>
      <protection locked="0"/>
    </xf>
    <xf numFmtId="201" fontId="76" fillId="27" borderId="0" xfId="0" applyNumberFormat="1" applyFont="1" applyFill="1" applyAlignment="1" applyProtection="1">
      <alignment vertical="center" shrinkToFit="1"/>
      <protection hidden="1"/>
    </xf>
    <xf numFmtId="201" fontId="76" fillId="27" borderId="0" xfId="0" applyNumberFormat="1" applyFont="1" applyFill="1" applyAlignment="1" applyProtection="1">
      <alignment horizontal="right" vertical="center" shrinkToFit="1"/>
      <protection hidden="1"/>
    </xf>
    <xf numFmtId="179" fontId="77" fillId="27" borderId="60" xfId="0" applyFont="1" applyFill="1" applyBorder="1" applyAlignment="1" applyProtection="1">
      <alignment vertical="center" shrinkToFit="1"/>
      <protection hidden="1"/>
    </xf>
    <xf numFmtId="179" fontId="76" fillId="27" borderId="1" xfId="0" applyFont="1" applyFill="1" applyBorder="1" applyAlignment="1" applyProtection="1">
      <alignment horizontal="center" vertical="center" shrinkToFit="1"/>
      <protection hidden="1"/>
    </xf>
    <xf numFmtId="43" fontId="79" fillId="27" borderId="1" xfId="0" applyNumberFormat="1" applyFont="1" applyFill="1" applyBorder="1" applyAlignment="1" applyProtection="1">
      <alignment vertical="center" shrinkToFit="1"/>
      <protection hidden="1"/>
    </xf>
    <xf numFmtId="43" fontId="79" fillId="27" borderId="63" xfId="0" applyNumberFormat="1" applyFont="1" applyFill="1" applyBorder="1" applyAlignment="1" applyProtection="1">
      <alignment vertical="center" shrinkToFit="1"/>
      <protection hidden="1"/>
    </xf>
    <xf numFmtId="179" fontId="0" fillId="27" borderId="60" xfId="0" applyFont="1" applyFill="1" applyBorder="1" applyAlignment="1" applyProtection="1">
      <alignment vertical="center" shrinkToFit="1"/>
      <protection locked="0"/>
    </xf>
    <xf numFmtId="43" fontId="76" fillId="0" borderId="1" xfId="15" applyFont="1" applyFill="1" applyBorder="1" applyAlignment="1" applyProtection="1">
      <alignment vertical="center" shrinkToFit="1"/>
      <protection locked="0"/>
    </xf>
    <xf numFmtId="43" fontId="76" fillId="0" borderId="63" xfId="15" applyFont="1" applyFill="1" applyBorder="1" applyAlignment="1" applyProtection="1">
      <alignment vertical="center" shrinkToFit="1"/>
      <protection locked="0"/>
    </xf>
    <xf numFmtId="43" fontId="76" fillId="27" borderId="1" xfId="15" applyFont="1" applyFill="1" applyBorder="1" applyAlignment="1" applyProtection="1">
      <alignment vertical="center" shrinkToFit="1"/>
      <protection hidden="1"/>
    </xf>
    <xf numFmtId="31" fontId="55" fillId="27" borderId="0" xfId="0" applyNumberFormat="1" applyFont="1" applyFill="1" applyAlignment="1" applyProtection="1">
      <alignment horizontal="left" vertical="center" shrinkToFit="1"/>
      <protection hidden="1"/>
    </xf>
    <xf numFmtId="179" fontId="55" fillId="0" borderId="54" xfId="0" applyFont="1" applyFill="1" applyBorder="1" applyAlignment="1" applyProtection="1">
      <alignment horizontal="center" vertical="center" shrinkToFit="1"/>
      <protection locked="0"/>
    </xf>
    <xf numFmtId="201" fontId="55" fillId="0" borderId="54" xfId="0" applyNumberFormat="1" applyFont="1" applyFill="1" applyBorder="1" applyAlignment="1" applyProtection="1">
      <alignment horizontal="right" vertical="center" shrinkToFit="1"/>
      <protection locked="0"/>
    </xf>
    <xf numFmtId="201" fontId="55" fillId="0" borderId="54" xfId="0" applyNumberFormat="1" applyFont="1" applyFill="1" applyBorder="1" applyAlignment="1" applyProtection="1">
      <alignment horizontal="center" vertical="center" shrinkToFit="1"/>
      <protection locked="0"/>
    </xf>
    <xf numFmtId="201" fontId="55" fillId="0" borderId="74" xfId="0" applyNumberFormat="1" applyFont="1" applyFill="1" applyBorder="1" applyAlignment="1" applyProtection="1">
      <alignment horizontal="right" vertical="center" shrinkToFit="1"/>
      <protection locked="0"/>
    </xf>
    <xf numFmtId="181" fontId="15" fillId="0" borderId="1" xfId="0" applyNumberFormat="1" applyFont="1" applyBorder="1" applyAlignment="1" applyProtection="1">
      <alignment horizontal="right" vertical="center"/>
      <protection locked="0"/>
    </xf>
    <xf numFmtId="43" fontId="3" fillId="0" borderId="54" xfId="0" applyNumberFormat="1" applyFont="1" applyFill="1" applyBorder="1" applyAlignment="1" applyProtection="1">
      <alignment vertical="center" shrinkToFit="1"/>
      <protection locked="0"/>
    </xf>
    <xf numFmtId="43" fontId="3" fillId="0" borderId="69" xfId="0" applyNumberFormat="1" applyFont="1" applyFill="1" applyBorder="1" applyAlignment="1" applyProtection="1">
      <alignment vertical="center" shrinkToFit="1"/>
      <protection locked="0"/>
    </xf>
    <xf numFmtId="201" fontId="55" fillId="0" borderId="54" xfId="0" applyNumberFormat="1" applyFont="1" applyFill="1" applyBorder="1" applyAlignment="1" applyProtection="1">
      <alignment horizontal="center" vertical="center" shrinkToFit="1"/>
      <protection hidden="1"/>
    </xf>
    <xf numFmtId="201" fontId="103" fillId="27" borderId="1" xfId="0" applyNumberFormat="1" applyFont="1" applyFill="1" applyBorder="1" applyAlignment="1" applyProtection="1">
      <alignment horizontal="center" vertical="center" shrinkToFit="1"/>
      <protection locked="0"/>
    </xf>
    <xf numFmtId="43" fontId="74" fillId="27" borderId="65" xfId="15" applyFont="1" applyFill="1" applyBorder="1" applyAlignment="1" applyProtection="1">
      <alignment vertical="center" shrinkToFit="1"/>
      <protection locked="0"/>
    </xf>
    <xf numFmtId="43" fontId="73" fillId="27" borderId="0" xfId="15" applyFont="1" applyFill="1" applyAlignment="1" applyProtection="1">
      <alignment vertical="center" shrinkToFit="1"/>
      <protection locked="0"/>
    </xf>
    <xf numFmtId="43" fontId="3" fillId="27" borderId="67" xfId="15" applyFont="1" applyFill="1" applyBorder="1" applyAlignment="1" applyProtection="1">
      <alignment horizontal="center" vertical="center" shrinkToFit="1"/>
      <protection locked="0"/>
    </xf>
    <xf numFmtId="43" fontId="74" fillId="27" borderId="63" xfId="0" applyNumberFormat="1" applyFont="1" applyFill="1" applyBorder="1" applyAlignment="1" applyProtection="1">
      <alignment vertical="center" shrinkToFit="1"/>
      <protection locked="0"/>
    </xf>
    <xf numFmtId="43" fontId="74" fillId="27" borderId="66" xfId="0" applyNumberFormat="1" applyFont="1" applyFill="1" applyBorder="1" applyAlignment="1" applyProtection="1">
      <alignment vertical="center" shrinkToFit="1"/>
      <protection locked="0"/>
    </xf>
    <xf numFmtId="43" fontId="55" fillId="27" borderId="0" xfId="0" applyNumberFormat="1" applyFont="1" applyFill="1" applyBorder="1" applyAlignment="1" applyProtection="1">
      <alignment vertical="center" shrinkToFit="1"/>
    </xf>
    <xf numFmtId="43" fontId="55" fillId="27" borderId="0" xfId="0" applyNumberFormat="1" applyFont="1" applyFill="1" applyBorder="1" applyAlignment="1" applyProtection="1">
      <alignment vertical="center" shrinkToFit="1"/>
      <protection locked="0"/>
    </xf>
    <xf numFmtId="43" fontId="74" fillId="27" borderId="0" xfId="0" applyNumberFormat="1" applyFont="1" applyFill="1" applyBorder="1" applyAlignment="1" applyProtection="1">
      <alignment vertical="center" shrinkToFit="1"/>
      <protection locked="0"/>
    </xf>
    <xf numFmtId="179" fontId="72" fillId="27" borderId="0" xfId="0" applyFont="1" applyFill="1" applyAlignment="1" applyProtection="1">
      <alignment horizontal="center" vertical="center" shrinkToFit="1"/>
    </xf>
    <xf numFmtId="179" fontId="3" fillId="27" borderId="60" xfId="0" applyFont="1" applyFill="1" applyBorder="1" applyAlignment="1" applyProtection="1">
      <alignment horizontal="center" vertical="center" shrinkToFit="1"/>
    </xf>
    <xf numFmtId="179" fontId="3" fillId="27" borderId="1" xfId="0" applyFont="1" applyFill="1" applyBorder="1" applyAlignment="1" applyProtection="1">
      <alignment horizontal="center" vertical="center" shrinkToFit="1"/>
      <protection locked="0"/>
    </xf>
    <xf numFmtId="179" fontId="55" fillId="27" borderId="65" xfId="0" applyFont="1" applyFill="1" applyBorder="1" applyAlignment="1" applyProtection="1">
      <alignment horizontal="center" vertical="center" shrinkToFit="1"/>
      <protection locked="0"/>
    </xf>
    <xf numFmtId="179" fontId="88" fillId="27" borderId="0" xfId="0" applyFont="1" applyFill="1" applyAlignment="1" applyProtection="1">
      <alignment vertical="center"/>
    </xf>
    <xf numFmtId="179" fontId="55" fillId="27" borderId="56" xfId="0" applyFont="1" applyFill="1" applyBorder="1" applyAlignment="1" applyProtection="1">
      <alignment horizontal="center" vertical="center" shrinkToFit="1"/>
    </xf>
    <xf numFmtId="179" fontId="55" fillId="27" borderId="60" xfId="0" applyFont="1" applyFill="1" applyBorder="1" applyAlignment="1" applyProtection="1">
      <alignment horizontal="center" vertical="center" shrinkToFit="1"/>
    </xf>
    <xf numFmtId="179" fontId="99" fillId="27" borderId="1" xfId="0" applyFont="1" applyFill="1" applyBorder="1" applyAlignment="1" applyProtection="1">
      <alignment horizontal="center" vertical="center" shrinkToFit="1"/>
      <protection locked="0"/>
    </xf>
    <xf numFmtId="179" fontId="101" fillId="27" borderId="0" xfId="0" applyFont="1" applyFill="1" applyAlignment="1" applyProtection="1">
      <alignment horizontal="center" vertical="center" shrinkToFit="1"/>
      <protection locked="0"/>
    </xf>
    <xf numFmtId="43" fontId="101" fillId="27" borderId="0" xfId="0" applyNumberFormat="1" applyFont="1" applyFill="1" applyAlignment="1" applyProtection="1">
      <alignment horizontal="center" vertical="center" shrinkToFit="1"/>
      <protection locked="0"/>
    </xf>
    <xf numFmtId="179" fontId="1" fillId="27" borderId="0" xfId="0" applyFont="1" applyFill="1" applyAlignment="1" applyProtection="1">
      <alignment vertical="center" shrinkToFit="1"/>
    </xf>
    <xf numFmtId="179" fontId="1" fillId="27" borderId="56" xfId="0" applyFont="1" applyFill="1" applyBorder="1" applyAlignment="1" applyProtection="1">
      <alignment horizontal="center" vertical="center" shrinkToFit="1"/>
    </xf>
    <xf numFmtId="179" fontId="1" fillId="27" borderId="67" xfId="0" applyFont="1" applyFill="1" applyBorder="1" applyAlignment="1" applyProtection="1">
      <alignment horizontal="center" vertical="center" shrinkToFit="1"/>
      <protection locked="0"/>
    </xf>
    <xf numFmtId="179" fontId="1" fillId="27" borderId="60" xfId="0" applyFont="1" applyFill="1" applyBorder="1" applyAlignment="1" applyProtection="1">
      <alignment horizontal="center" vertical="center" shrinkToFit="1"/>
    </xf>
    <xf numFmtId="179" fontId="21" fillId="27" borderId="60" xfId="0" applyFont="1" applyFill="1" applyBorder="1" applyAlignment="1" applyProtection="1">
      <alignment vertical="center" shrinkToFit="1"/>
    </xf>
    <xf numFmtId="43" fontId="55" fillId="27" borderId="1" xfId="413" applyFont="1" applyFill="1" applyBorder="1" applyAlignment="1" applyProtection="1">
      <alignment horizontal="right" vertical="center" shrinkToFit="1"/>
      <protection hidden="1"/>
    </xf>
    <xf numFmtId="179" fontId="1" fillId="27" borderId="60" xfId="0" applyFont="1" applyFill="1" applyBorder="1" applyAlignment="1" applyProtection="1">
      <alignment vertical="center" shrinkToFit="1"/>
    </xf>
    <xf numFmtId="179" fontId="1" fillId="27" borderId="60" xfId="0" applyFont="1" applyFill="1" applyBorder="1" applyAlignment="1" applyProtection="1">
      <alignment horizontal="left" vertical="center" shrinkToFit="1"/>
    </xf>
    <xf numFmtId="43" fontId="74" fillId="27" borderId="63" xfId="413" applyFont="1" applyFill="1" applyBorder="1" applyAlignment="1" applyProtection="1">
      <alignment vertical="center" shrinkToFit="1"/>
      <protection locked="0"/>
    </xf>
    <xf numFmtId="43" fontId="74" fillId="27" borderId="66" xfId="413" applyFont="1" applyFill="1" applyBorder="1" applyAlignment="1" applyProtection="1">
      <alignment vertical="center" shrinkToFit="1"/>
      <protection locked="0"/>
    </xf>
    <xf numFmtId="179" fontId="1" fillId="27" borderId="68" xfId="0" applyFont="1" applyFill="1" applyBorder="1" applyAlignment="1" applyProtection="1">
      <alignment horizontal="center" vertical="center" shrinkToFit="1"/>
      <protection locked="0"/>
    </xf>
    <xf numFmtId="179" fontId="1" fillId="27" borderId="64" xfId="0" applyFont="1" applyFill="1" applyBorder="1" applyAlignment="1" applyProtection="1">
      <alignment vertical="center" shrinkToFit="1"/>
    </xf>
    <xf numFmtId="179" fontId="1" fillId="27" borderId="0" xfId="0" applyFont="1" applyFill="1" applyBorder="1" applyAlignment="1" applyProtection="1">
      <alignment vertical="center" shrinkToFit="1"/>
    </xf>
    <xf numFmtId="179" fontId="1" fillId="27" borderId="56" xfId="0" applyFont="1" applyFill="1" applyBorder="1" applyAlignment="1" applyProtection="1">
      <alignment horizontal="left" vertical="center" shrinkToFit="1"/>
    </xf>
    <xf numFmtId="179" fontId="55" fillId="27" borderId="67" xfId="0" applyFont="1" applyFill="1" applyBorder="1" applyAlignment="1" applyProtection="1">
      <alignment horizontal="center" vertical="center" shrinkToFit="1"/>
      <protection locked="0"/>
    </xf>
    <xf numFmtId="43" fontId="74" fillId="4" borderId="1" xfId="413" applyFont="1" applyFill="1" applyBorder="1" applyAlignment="1" applyProtection="1">
      <alignment vertical="center" shrinkToFit="1"/>
      <protection locked="0"/>
    </xf>
    <xf numFmtId="43" fontId="74" fillId="4" borderId="1" xfId="413" applyFont="1" applyFill="1" applyBorder="1" applyAlignment="1" applyProtection="1">
      <alignment horizontal="right" vertical="center" shrinkToFit="1"/>
      <protection locked="0"/>
    </xf>
    <xf numFmtId="179" fontId="1" fillId="27" borderId="64" xfId="0" applyFont="1" applyFill="1" applyBorder="1" applyAlignment="1" applyProtection="1">
      <alignment horizontal="left" vertical="center" shrinkToFit="1"/>
    </xf>
    <xf numFmtId="43" fontId="74" fillId="4" borderId="63" xfId="413" applyFont="1" applyFill="1" applyBorder="1" applyAlignment="1" applyProtection="1">
      <alignment vertical="center" shrinkToFit="1"/>
      <protection locked="0"/>
    </xf>
    <xf numFmtId="43" fontId="74" fillId="4" borderId="63" xfId="413" applyFont="1" applyFill="1" applyBorder="1" applyAlignment="1" applyProtection="1">
      <alignment horizontal="right" vertical="center" shrinkToFit="1"/>
      <protection locked="0"/>
    </xf>
    <xf numFmtId="179" fontId="104" fillId="30" borderId="0" xfId="0" applyFont="1" applyFill="1" applyAlignment="1" applyProtection="1">
      <alignment horizontal="center" vertical="center"/>
      <protection hidden="1"/>
    </xf>
    <xf numFmtId="179" fontId="105" fillId="30" borderId="0" xfId="0" applyFont="1" applyFill="1" applyAlignment="1" applyProtection="1">
      <alignment horizontal="center" vertical="center"/>
      <protection hidden="1"/>
    </xf>
    <xf numFmtId="179" fontId="3" fillId="30" borderId="56" xfId="0" applyFont="1" applyFill="1" applyBorder="1" applyAlignment="1" applyProtection="1">
      <alignment vertical="center"/>
      <protection hidden="1"/>
    </xf>
    <xf numFmtId="179" fontId="3" fillId="0" borderId="67" xfId="0" applyFont="1" applyFill="1" applyBorder="1" applyAlignment="1" applyProtection="1">
      <alignment horizontal="left" vertical="center" shrinkToFit="1"/>
      <protection locked="0"/>
    </xf>
    <xf numFmtId="179" fontId="55" fillId="0" borderId="67" xfId="0" applyFont="1" applyFill="1" applyBorder="1" applyAlignment="1" applyProtection="1">
      <alignment horizontal="left" vertical="center" shrinkToFit="1"/>
      <protection locked="0"/>
    </xf>
    <xf numFmtId="179" fontId="55" fillId="0" borderId="68" xfId="0" applyFont="1" applyFill="1" applyBorder="1" applyAlignment="1" applyProtection="1">
      <alignment horizontal="left" vertical="center" shrinkToFit="1"/>
      <protection locked="0"/>
    </xf>
    <xf numFmtId="179" fontId="3" fillId="30" borderId="60" xfId="0" applyFont="1" applyFill="1" applyBorder="1" applyAlignment="1" applyProtection="1">
      <alignment vertical="center"/>
      <protection hidden="1"/>
    </xf>
    <xf numFmtId="179" fontId="55" fillId="0" borderId="1" xfId="0" applyFont="1" applyFill="1" applyBorder="1" applyAlignment="1" applyProtection="1">
      <alignment horizontal="left" vertical="center" shrinkToFit="1"/>
      <protection locked="0"/>
    </xf>
    <xf numFmtId="179" fontId="3" fillId="30" borderId="1" xfId="0" applyFont="1" applyFill="1" applyBorder="1" applyAlignment="1" applyProtection="1">
      <alignment vertical="center"/>
      <protection hidden="1"/>
    </xf>
    <xf numFmtId="179" fontId="3" fillId="30" borderId="14" xfId="0" applyFont="1" applyFill="1" applyBorder="1" applyAlignment="1" applyProtection="1">
      <alignment horizontal="center" vertical="center" shrinkToFit="1"/>
      <protection hidden="1"/>
    </xf>
    <xf numFmtId="179" fontId="55" fillId="30" borderId="94" xfId="0" applyFont="1" applyFill="1" applyBorder="1" applyAlignment="1" applyProtection="1">
      <alignment horizontal="center" vertical="center" shrinkToFit="1"/>
      <protection hidden="1"/>
    </xf>
    <xf numFmtId="179" fontId="55" fillId="0" borderId="63" xfId="0" applyFont="1" applyFill="1" applyBorder="1" applyAlignment="1" applyProtection="1">
      <alignment horizontal="left" vertical="center" shrinkToFit="1"/>
      <protection locked="0"/>
    </xf>
    <xf numFmtId="179" fontId="3" fillId="30" borderId="60" xfId="0" applyFont="1" applyFill="1" applyBorder="1" applyAlignment="1" applyProtection="1">
      <alignment horizontal="left" vertical="center"/>
      <protection hidden="1"/>
    </xf>
    <xf numFmtId="179" fontId="3" fillId="30" borderId="1" xfId="0" applyFont="1" applyFill="1" applyBorder="1" applyAlignment="1" applyProtection="1">
      <alignment horizontal="center" vertical="center"/>
      <protection hidden="1"/>
    </xf>
    <xf numFmtId="179" fontId="3" fillId="0" borderId="65" xfId="0" applyFont="1" applyFill="1" applyBorder="1" applyAlignment="1" applyProtection="1">
      <alignment horizontal="left" vertical="center" shrinkToFit="1"/>
      <protection locked="0"/>
    </xf>
    <xf numFmtId="179" fontId="3" fillId="30" borderId="1" xfId="0" applyFont="1" applyFill="1" applyBorder="1" applyAlignment="1" applyProtection="1">
      <alignment horizontal="left" vertical="center"/>
      <protection hidden="1"/>
    </xf>
    <xf numFmtId="31" fontId="3" fillId="0" borderId="66" xfId="0" applyNumberFormat="1" applyFont="1" applyFill="1" applyBorder="1" applyAlignment="1" applyProtection="1">
      <alignment horizontal="left" vertical="center" shrinkToFit="1"/>
      <protection locked="0"/>
    </xf>
    <xf numFmtId="179" fontId="55" fillId="30" borderId="64" xfId="0" applyFont="1" applyFill="1" applyBorder="1" applyAlignment="1" applyProtection="1">
      <alignment horizontal="left" vertical="center"/>
      <protection hidden="1"/>
    </xf>
    <xf numFmtId="179" fontId="3" fillId="30" borderId="65" xfId="0" applyFont="1" applyFill="1" applyBorder="1" applyAlignment="1" applyProtection="1">
      <alignment horizontal="center" vertical="center"/>
      <protection hidden="1"/>
    </xf>
    <xf numFmtId="179" fontId="55" fillId="30" borderId="65" xfId="0" applyFont="1" applyFill="1" applyBorder="1" applyAlignment="1" applyProtection="1">
      <alignment horizontal="left" vertical="center"/>
      <protection hidden="1"/>
    </xf>
    <xf numFmtId="179" fontId="55" fillId="30" borderId="0" xfId="0" applyFont="1" applyFill="1" applyBorder="1" applyAlignment="1" applyProtection="1">
      <alignment vertical="center"/>
      <protection hidden="1"/>
    </xf>
    <xf numFmtId="179" fontId="3" fillId="30" borderId="95" xfId="0" applyFont="1" applyFill="1" applyBorder="1" applyAlignment="1" applyProtection="1">
      <alignment vertical="center"/>
      <protection hidden="1"/>
    </xf>
    <xf numFmtId="179" fontId="3" fillId="0" borderId="16" xfId="0" applyFont="1" applyFill="1" applyBorder="1" applyAlignment="1" applyProtection="1">
      <alignment horizontal="left" vertical="center" shrinkToFit="1"/>
      <protection locked="0"/>
    </xf>
    <xf numFmtId="179" fontId="55" fillId="0" borderId="16" xfId="0" applyFont="1" applyFill="1" applyBorder="1" applyAlignment="1" applyProtection="1">
      <alignment horizontal="left" vertical="center" shrinkToFit="1"/>
      <protection locked="0"/>
    </xf>
    <xf numFmtId="179" fontId="3" fillId="30" borderId="16" xfId="0" applyFont="1" applyFill="1" applyBorder="1" applyAlignment="1" applyProtection="1">
      <alignment horizontal="left" vertical="center"/>
      <protection hidden="1"/>
    </xf>
    <xf numFmtId="179" fontId="3" fillId="0" borderId="3" xfId="0" applyFont="1" applyFill="1" applyBorder="1" applyAlignment="1" applyProtection="1">
      <alignment horizontal="left" vertical="center"/>
      <protection locked="0"/>
    </xf>
    <xf numFmtId="179" fontId="55" fillId="0" borderId="96" xfId="0" applyFont="1" applyFill="1" applyBorder="1" applyAlignment="1" applyProtection="1">
      <alignment horizontal="left" vertical="center"/>
      <protection locked="0"/>
    </xf>
    <xf numFmtId="179" fontId="3" fillId="30" borderId="64" xfId="0" applyFont="1" applyFill="1" applyBorder="1" applyAlignment="1" applyProtection="1">
      <alignment vertical="center"/>
      <protection hidden="1"/>
    </xf>
    <xf numFmtId="179" fontId="3" fillId="0" borderId="97" xfId="0" applyFont="1" applyFill="1" applyBorder="1" applyAlignment="1" applyProtection="1">
      <alignment horizontal="left" vertical="center"/>
      <protection locked="0"/>
    </xf>
    <xf numFmtId="179" fontId="55" fillId="0" borderId="98" xfId="0" applyFont="1" applyFill="1" applyBorder="1" applyAlignment="1" applyProtection="1">
      <alignment horizontal="left" vertical="center"/>
      <protection locked="0"/>
    </xf>
    <xf numFmtId="179" fontId="55" fillId="30" borderId="65" xfId="0" applyFont="1" applyFill="1" applyBorder="1" applyAlignment="1" applyProtection="1">
      <alignment horizontal="center" vertical="center"/>
      <protection hidden="1"/>
    </xf>
    <xf numFmtId="179" fontId="55" fillId="30" borderId="66" xfId="0" applyFont="1" applyFill="1" applyBorder="1" applyAlignment="1" applyProtection="1">
      <alignment horizontal="center" vertical="center"/>
      <protection hidden="1"/>
    </xf>
    <xf numFmtId="179" fontId="106" fillId="30" borderId="0" xfId="0" applyFont="1" applyFill="1" applyAlignment="1" applyProtection="1">
      <alignment vertical="center"/>
      <protection hidden="1"/>
    </xf>
    <xf numFmtId="179" fontId="107" fillId="30" borderId="0" xfId="0" applyFont="1" applyFill="1" applyAlignment="1" applyProtection="1">
      <alignment vertical="center"/>
      <protection hidden="1"/>
    </xf>
    <xf numFmtId="179" fontId="108" fillId="30" borderId="0" xfId="0" applyFont="1" applyFill="1" applyAlignment="1" applyProtection="1">
      <alignment vertical="center"/>
      <protection hidden="1"/>
    </xf>
    <xf numFmtId="179" fontId="109" fillId="30" borderId="0" xfId="0" applyFont="1" applyFill="1" applyAlignment="1" applyProtection="1">
      <alignment vertical="center"/>
      <protection hidden="1"/>
    </xf>
    <xf numFmtId="179" fontId="110" fillId="30" borderId="0" xfId="0" applyFont="1" applyFill="1" applyAlignment="1" applyProtection="1">
      <alignment vertical="center"/>
      <protection hidden="1"/>
    </xf>
    <xf numFmtId="179" fontId="74" fillId="30" borderId="0" xfId="0" applyFont="1" applyFill="1" applyAlignment="1" applyProtection="1">
      <alignment vertical="center"/>
      <protection hidden="1"/>
    </xf>
    <xf numFmtId="179" fontId="94" fillId="30" borderId="0" xfId="0" applyFont="1" applyFill="1" applyAlignment="1" applyProtection="1">
      <alignment vertical="center"/>
      <protection hidden="1"/>
    </xf>
    <xf numFmtId="179" fontId="93" fillId="30" borderId="0" xfId="0" applyFont="1" applyFill="1" applyAlignment="1" applyProtection="1">
      <alignment vertical="center"/>
      <protection hidden="1"/>
    </xf>
    <xf numFmtId="179" fontId="111" fillId="30" borderId="0" xfId="0" applyFont="1" applyFill="1" applyAlignment="1" applyProtection="1">
      <alignment vertical="center"/>
      <protection hidden="1"/>
    </xf>
    <xf numFmtId="179" fontId="112" fillId="30" borderId="0" xfId="0" applyFont="1" applyFill="1" applyAlignment="1" applyProtection="1">
      <alignment vertical="center"/>
      <protection hidden="1"/>
    </xf>
    <xf numFmtId="179" fontId="113" fillId="30" borderId="0" xfId="0" applyFont="1" applyFill="1" applyAlignment="1" applyProtection="1">
      <alignment vertical="center"/>
      <protection hidden="1"/>
    </xf>
    <xf numFmtId="179" fontId="3" fillId="30" borderId="56" xfId="0" applyFont="1" applyFill="1" applyBorder="1" applyAlignment="1" applyProtection="1">
      <alignment horizontal="center" vertical="center"/>
      <protection hidden="1"/>
    </xf>
    <xf numFmtId="179" fontId="3" fillId="30" borderId="68" xfId="0" applyFont="1" applyFill="1" applyBorder="1" applyAlignment="1" applyProtection="1">
      <alignment horizontal="center" vertical="center"/>
      <protection hidden="1"/>
    </xf>
    <xf numFmtId="179" fontId="114" fillId="32" borderId="63" xfId="17" applyFont="1" applyFill="1" applyBorder="1" applyAlignment="1" applyProtection="1">
      <alignment horizontal="center" vertical="center"/>
      <protection hidden="1"/>
    </xf>
    <xf numFmtId="179" fontId="115" fillId="32" borderId="66" xfId="17" applyFont="1" applyFill="1" applyBorder="1" applyAlignment="1" applyProtection="1">
      <alignment vertical="center"/>
      <protection hidden="1"/>
    </xf>
    <xf numFmtId="179" fontId="20" fillId="0" borderId="0" xfId="52" applyFont="1" applyFill="1" applyAlignment="1" applyProtection="1" quotePrefix="1">
      <alignment horizontal="left" vertical="center"/>
      <protection locked="0"/>
    </xf>
  </cellXfs>
  <cellStyles count="427">
    <cellStyle name="常规" xfId="0" builtinId="0"/>
    <cellStyle name="货币[0]" xfId="1" builtinId="7"/>
    <cellStyle name="だ[0]_Total (2)" xfId="2"/>
    <cellStyle name="输入" xfId="3" builtinId="20"/>
    <cellStyle name="好_49-营业收入（空白模板）" xfId="4"/>
    <cellStyle name="SAPBEXresItem" xfId="5"/>
    <cellStyle name="20% - 强调文字颜色 3" xfId="6" builtinId="38"/>
    <cellStyle name="常规_27-短期借款(空白模板) 2" xfId="7"/>
    <cellStyle name="货币" xfId="8" builtinId="4"/>
    <cellStyle name="Normalny_Arkusz1" xfId="9"/>
    <cellStyle name="千位分隔[0]" xfId="10" builtinId="6"/>
    <cellStyle name="差" xfId="11" builtinId="27"/>
    <cellStyle name="常规_9-存货（空白模板） 2" xfId="12"/>
    <cellStyle name="40% - 强调文字颜色 3" xfId="13" builtinId="39"/>
    <cellStyle name="常规_6-应收利息（空白模板） 2" xfId="14"/>
    <cellStyle name="千位分隔" xfId="15" builtinId="3"/>
    <cellStyle name="60% - 强调文字颜色 3" xfId="16" builtinId="40"/>
    <cellStyle name="超链接" xfId="17" builtinId="8"/>
    <cellStyle name="Currency [0]_ SG&amp;A Bridge " xfId="18"/>
    <cellStyle name="Comma  - Style5" xfId="19"/>
    <cellStyle name="百分比" xfId="20" builtinId="5"/>
    <cellStyle name="已访问的超链接" xfId="21" builtinId="9"/>
    <cellStyle name="注释" xfId="22" builtinId="10"/>
    <cellStyle name="常规 6" xfId="23"/>
    <cellStyle name="entry" xfId="24"/>
    <cellStyle name="标题 4" xfId="25" builtinId="19"/>
    <cellStyle name="好_40-专项应付款(空白模板)" xfId="26"/>
    <cellStyle name="60% - 强调文字颜色 2" xfId="27" builtinId="36"/>
    <cellStyle name="常规_应付票据 2" xfId="28"/>
    <cellStyle name="警告文本" xfId="29" builtinId="11"/>
    <cellStyle name="标题" xfId="30" builtinId="15"/>
    <cellStyle name="常规_其他应收款" xfId="31"/>
    <cellStyle name="常规 5 2" xfId="32"/>
    <cellStyle name="Calc Currency (0)" xfId="33"/>
    <cellStyle name="解释性文本" xfId="34" builtinId="53"/>
    <cellStyle name="百分比 4" xfId="35"/>
    <cellStyle name="常规_存货 2" xfId="36"/>
    <cellStyle name="常规_固定资产 2" xfId="37"/>
    <cellStyle name="标题 1" xfId="38" builtinId="16"/>
    <cellStyle name="0,0_x000d__x000a_NA_x000d__x000a_" xfId="39"/>
    <cellStyle name="0%" xfId="40"/>
    <cellStyle name="标题 2" xfId="41" builtinId="17"/>
    <cellStyle name="60% - 强调文字颜色 1" xfId="42" builtinId="32"/>
    <cellStyle name="好_资产减值损失" xfId="43"/>
    <cellStyle name="桁区切り_１１月価格表" xfId="44"/>
    <cellStyle name="标题 3" xfId="45" builtinId="18"/>
    <cellStyle name="60% - 强调文字颜色 4" xfId="46" builtinId="44"/>
    <cellStyle name="差__dxn_temp空白表页 2" xfId="47"/>
    <cellStyle name="输出" xfId="48" builtinId="21"/>
    <cellStyle name="计算" xfId="49" builtinId="22"/>
    <cellStyle name="好_短期借款" xfId="50"/>
    <cellStyle name="检查单元格" xfId="51" builtinId="23"/>
    <cellStyle name="常规_预计负债 2" xfId="52"/>
    <cellStyle name="20% - 强调文字颜色 6" xfId="53" builtinId="50"/>
    <cellStyle name="强调文字颜色 2" xfId="54" builtinId="33"/>
    <cellStyle name="常规_29-应付票据（空白模板） 2" xfId="55"/>
    <cellStyle name="链接单元格" xfId="56" builtinId="24"/>
    <cellStyle name="差_预收款项" xfId="57"/>
    <cellStyle name="常规_可供出售金融资产" xfId="58"/>
    <cellStyle name="汇总" xfId="59" builtinId="25"/>
    <cellStyle name="好" xfId="60" builtinId="26"/>
    <cellStyle name="适中" xfId="61" builtinId="28"/>
    <cellStyle name="差_40-专项应付款(空白模板) 2" xfId="62"/>
    <cellStyle name="好_G-应收账款" xfId="63"/>
    <cellStyle name="20% - 强调文字颜色 5" xfId="64" builtinId="46"/>
    <cellStyle name="常规_短期借款 2" xfId="65"/>
    <cellStyle name="强调文字颜色 1" xfId="66" builtinId="29"/>
    <cellStyle name="常规_48-未分配利润（空白模板） 2" xfId="67"/>
    <cellStyle name="20% - 强调文字颜色 1" xfId="68" builtinId="30"/>
    <cellStyle name="常规_31-预收账款（空白模板） 2" xfId="69"/>
    <cellStyle name="常规_40-专项应付款(空白模板) 2" xfId="70"/>
    <cellStyle name="40% - 强调文字颜色 1" xfId="71" builtinId="31"/>
    <cellStyle name="0.0%" xfId="72"/>
    <cellStyle name="20% - 强调文字颜色 2" xfId="73" builtinId="34"/>
    <cellStyle name="常规_37-长期借款（空白模板）" xfId="74"/>
    <cellStyle name="40% - 强调文字颜色 2" xfId="75" builtinId="35"/>
    <cellStyle name="强调文字颜色 3" xfId="76" builtinId="37"/>
    <cellStyle name="SAPBEXaggItem" xfId="77"/>
    <cellStyle name="SAPBEXstdItem" xfId="78"/>
    <cellStyle name="昗弨_BOOKSHIP" xfId="79"/>
    <cellStyle name="强调文字颜色 4" xfId="80" builtinId="41"/>
    <cellStyle name="常规_所得税费用" xfId="81"/>
    <cellStyle name="20% - 强调文字颜色 4" xfId="82" builtinId="42"/>
    <cellStyle name="40% - 强调文字颜色 4" xfId="83" builtinId="43"/>
    <cellStyle name="强调文字颜色 5" xfId="84" builtinId="45"/>
    <cellStyle name="40% - 强调文字颜色 5" xfId="85" builtinId="47"/>
    <cellStyle name="SAPBEXHLevel3X" xfId="86"/>
    <cellStyle name="好_1营业成本 2" xfId="87"/>
    <cellStyle name="好_30-应付账款（空白模板） 2" xfId="88"/>
    <cellStyle name="60% - 强调文字颜色 5" xfId="89" builtinId="48"/>
    <cellStyle name="千位[0]_1995" xfId="90"/>
    <cellStyle name="强调文字颜色 6" xfId="91" builtinId="49"/>
    <cellStyle name="だ[0]_PLDT" xfId="92"/>
    <cellStyle name="40% - 强调文字颜色 6" xfId="93" builtinId="51"/>
    <cellStyle name="60% - 强调文字颜色 6" xfId="94" builtinId="52"/>
    <cellStyle name="Comma  - Style1" xfId="95"/>
    <cellStyle name="差_4-应收账款（空白模板）" xfId="96"/>
    <cellStyle name="差_50-营业成本（空白模板） 2" xfId="97"/>
    <cellStyle name="Comma  - Style2" xfId="98"/>
    <cellStyle name="Comma  - Style7" xfId="99"/>
    <cellStyle name="常规_60-所得税费用（空白模板） 2" xfId="100"/>
    <cellStyle name="Col Heads" xfId="101"/>
    <cellStyle name="千位_1995" xfId="102"/>
    <cellStyle name="0% 2" xfId="103"/>
    <cellStyle name="Grey" xfId="104"/>
    <cellStyle name="0.00%" xfId="105"/>
    <cellStyle name="00" xfId="106"/>
    <cellStyle name="Comma  - Style3" xfId="107"/>
    <cellStyle name="category" xfId="108"/>
    <cellStyle name="Comma  - Style4" xfId="109"/>
    <cellStyle name="Comma  - Style6" xfId="110"/>
    <cellStyle name="Comma  - Style8" xfId="111"/>
    <cellStyle name="差_1短期借款" xfId="112"/>
    <cellStyle name="霓付_1202" xfId="113"/>
    <cellStyle name="Comma [0]_ SG&amp;A Bridge " xfId="114"/>
    <cellStyle name="SAPBEXexcCritical4" xfId="115"/>
    <cellStyle name="好_49-营业收入（空白模板） 2" xfId="116"/>
    <cellStyle name="comma zerodec" xfId="117"/>
    <cellStyle name="통화_BOILER-CO1" xfId="118"/>
    <cellStyle name="Comma,0" xfId="119"/>
    <cellStyle name="Comma,1" xfId="120"/>
    <cellStyle name="差_55-资产减值损失（空白模板）" xfId="121"/>
    <cellStyle name="Comma,2" xfId="122"/>
    <cellStyle name="常规_投资性房地产 2" xfId="123"/>
    <cellStyle name="普通_ 白土" xfId="124"/>
    <cellStyle name="Comma_ SG&amp;A Bridge " xfId="125"/>
    <cellStyle name="常规_货币资金 2" xfId="126"/>
    <cellStyle name="Currency,0" xfId="127"/>
    <cellStyle name="Currency,2" xfId="128"/>
    <cellStyle name="Currency_ SG&amp;A Bridge " xfId="129"/>
    <cellStyle name="差_51-营业税金及附加（空白模板）" xfId="130"/>
    <cellStyle name="Currency1" xfId="131"/>
    <cellStyle name="Dollar (zero dec)" xfId="132"/>
    <cellStyle name="entry box" xfId="133"/>
    <cellStyle name="Euro" xfId="134"/>
    <cellStyle name="Euro 2" xfId="135"/>
    <cellStyle name="常规_14-投资性房地产（空白模板） 2" xfId="136"/>
    <cellStyle name="HEADER" xfId="137"/>
    <cellStyle name="千分位_ 白土" xfId="138"/>
    <cellStyle name="Header1" xfId="139"/>
    <cellStyle name="Header2" xfId="140"/>
    <cellStyle name="Input [yellow]" xfId="141"/>
    <cellStyle name="千位分隔 2 2 2" xfId="142"/>
    <cellStyle name="Model" xfId="143"/>
    <cellStyle name="好_1营业收入 2" xfId="144"/>
    <cellStyle name="Normal - Style1" xfId="145"/>
    <cellStyle name="Normal_ SG&amp;A Bridge " xfId="146"/>
    <cellStyle name="Percent [2]" xfId="147"/>
    <cellStyle name="常规_2-交易性金融资产（空白模板） 2" xfId="148"/>
    <cellStyle name="Prefilled" xfId="149"/>
    <cellStyle name="常规_57-投资收益（空白模板） 2" xfId="150"/>
    <cellStyle name="样式 1" xfId="151"/>
    <cellStyle name="price" xfId="152"/>
    <cellStyle name="revised" xfId="153"/>
    <cellStyle name="通貨 [0.00]_１１月価格表" xfId="154"/>
    <cellStyle name="row_def_array" xfId="155"/>
    <cellStyle name="常规_长期借款 2" xfId="156"/>
    <cellStyle name="SAPBEXaggData" xfId="157"/>
    <cellStyle name="SAPBEXstdData" xfId="158"/>
    <cellStyle name="SAPBEXaggDataEmph" xfId="159"/>
    <cellStyle name="SAPBEXstdDataEmph" xfId="160"/>
    <cellStyle name="常规_39-长期应付款（空白模板） 2" xfId="161"/>
    <cellStyle name="SAPBEXaggItemX" xfId="162"/>
    <cellStyle name="SAPBEXstdItemX" xfId="163"/>
    <cellStyle name="SAPBEXchaText" xfId="164"/>
    <cellStyle name="SAPBEXexcBad7" xfId="165"/>
    <cellStyle name="常规 3_货币资金 2" xfId="166"/>
    <cellStyle name="SAPBEXexcBad8" xfId="167"/>
    <cellStyle name="SAPBEXexcBad9" xfId="168"/>
    <cellStyle name="SAPBEXexcCritical5" xfId="169"/>
    <cellStyle name="好_4-应收账款（空白模板）" xfId="170"/>
    <cellStyle name="SAPBEXexcCritical6" xfId="171"/>
    <cellStyle name="差_ZA0货币资金审定表 " xfId="172"/>
    <cellStyle name="SAPBEXexcGood1" xfId="173"/>
    <cellStyle name="SAPBEXexcGood2" xfId="174"/>
    <cellStyle name="百分比 2" xfId="175"/>
    <cellStyle name="SAPBEXexcGood3" xfId="176"/>
    <cellStyle name="百分比 3" xfId="177"/>
    <cellStyle name="SAPBEXfilterDrill" xfId="178"/>
    <cellStyle name="SAPBEXfilterItem" xfId="179"/>
    <cellStyle name="SAPBEXfilterText" xfId="180"/>
    <cellStyle name="常规_59-营业外支出（空白模板） 2" xfId="181"/>
    <cellStyle name="SAPBEXformats" xfId="182"/>
    <cellStyle name="SAPBEXheaderItem" xfId="183"/>
    <cellStyle name="常规 7" xfId="184"/>
    <cellStyle name="好_往来款项函证结果汇总表" xfId="185"/>
    <cellStyle name="SAPBEXheaderText" xfId="186"/>
    <cellStyle name="SAPBEXHLevel0" xfId="187"/>
    <cellStyle name="SAPBEXHLevel0X" xfId="188"/>
    <cellStyle name="SAPBEXHLevel1" xfId="189"/>
    <cellStyle name="SAPBEXHLevel1X" xfId="190"/>
    <cellStyle name="SAPBEXHLevel2" xfId="191"/>
    <cellStyle name="常规_30-应付账款（空白模板） 2" xfId="192"/>
    <cellStyle name="SAPBEXHLevel2X" xfId="193"/>
    <cellStyle name="SAPBEXHLevel3" xfId="194"/>
    <cellStyle name="差_50-营业成本（空白模板）" xfId="195"/>
    <cellStyle name="SAPBEXresData" xfId="196"/>
    <cellStyle name="常规_37-长期借款（空白模板） 2" xfId="197"/>
    <cellStyle name="SAPBEXresDataEmph" xfId="198"/>
    <cellStyle name="SAPBEXresItemX" xfId="199"/>
    <cellStyle name="差_31-预收账款（空白模板）" xfId="200"/>
    <cellStyle name="SAPBEXtitle" xfId="201"/>
    <cellStyle name="千位分隔 3 4" xfId="202"/>
    <cellStyle name="SAPBEXundefined" xfId="203"/>
    <cellStyle name="section" xfId="204"/>
    <cellStyle name="SOR" xfId="205"/>
    <cellStyle name="桁区切り [0.00]_１１月価格表" xfId="206"/>
    <cellStyle name="subhead" xfId="207"/>
    <cellStyle name="差_大信底稿目录" xfId="208"/>
    <cellStyle name="title" xfId="209"/>
    <cellStyle name="常规 2" xfId="210"/>
    <cellStyle name="Tusental (0)_pldt" xfId="211"/>
    <cellStyle name="Tusental_pldt" xfId="212"/>
    <cellStyle name="표준_0N-HANDLING " xfId="213"/>
    <cellStyle name="Valuta (0)_pldt" xfId="214"/>
    <cellStyle name="Valuta_pldt" xfId="215"/>
    <cellStyle name="常规_应交税费 2" xfId="216"/>
    <cellStyle name="パーセント_laroux" xfId="217"/>
    <cellStyle name="好_1专项应付款 2" xfId="218"/>
    <cellStyle name="_PLDT" xfId="219"/>
    <cellStyle name="好_1资产减值损失 2" xfId="220"/>
    <cellStyle name="好_银行函证结果汇总表" xfId="221"/>
    <cellStyle name="_laroux" xfId="222"/>
    <cellStyle name="だ_PLDT" xfId="223"/>
    <cellStyle name="だ_laroux" xfId="224"/>
    <cellStyle name="好_资产减值损失 2" xfId="225"/>
    <cellStyle name="百分比 2 2" xfId="226"/>
    <cellStyle name="百分比 2 2 2" xfId="227"/>
    <cellStyle name="好__dxn_temp空白表页" xfId="228"/>
    <cellStyle name="捠壿 [0.00]_PRODUCT DETAIL Q1" xfId="229"/>
    <cellStyle name="捠壿_PRODUCT DETAIL Q1" xfId="230"/>
    <cellStyle name="標準_１１月価格表" xfId="231"/>
    <cellStyle name="差__dxn_temp空白表页" xfId="232"/>
    <cellStyle name="差_19-无形资产（空白模板）" xfId="233"/>
    <cellStyle name="差_19-无形资产（空白模板） 2" xfId="234"/>
    <cellStyle name="差_1其他应收款" xfId="235"/>
    <cellStyle name="差_1预收款项" xfId="236"/>
    <cellStyle name="好_短期借款 2" xfId="237"/>
    <cellStyle name="千位分隔 5" xfId="238"/>
    <cellStyle name="差_1专项应付款" xfId="239"/>
    <cellStyle name="差_27-短期借款(空白模板)" xfId="240"/>
    <cellStyle name="好_其他应收款" xfId="241"/>
    <cellStyle name="差_27-短期借款(空白模板) 2" xfId="242"/>
    <cellStyle name="差_30-应付账款（空白模板）" xfId="243"/>
    <cellStyle name="差_30-应付账款（空白模板） 2" xfId="244"/>
    <cellStyle name="好_27-短期借款(空白模板)" xfId="245"/>
    <cellStyle name="差_31-预收账款（空白模板） 2" xfId="246"/>
    <cellStyle name="差_40-专项应付款(空白模板)" xfId="247"/>
    <cellStyle name="常规_8-其他应收款（空白模板）" xfId="248"/>
    <cellStyle name="差_49-营业收入（空白模板）" xfId="249"/>
    <cellStyle name="差_49-营业收入（空白模板） 2" xfId="250"/>
    <cellStyle name="差_4-应收账款（空白模板） 2" xfId="251"/>
    <cellStyle name="差_dxn底稿目录" xfId="252"/>
    <cellStyle name="差_51-营业税金及附加（空白模板） 2" xfId="253"/>
    <cellStyle name="貨幣 [0]_SGV" xfId="254"/>
    <cellStyle name="差_54-财务费用（空白模板）" xfId="255"/>
    <cellStyle name="差_54-财务费用（空白模板） 2" xfId="256"/>
    <cellStyle name="差_55-资产减值损失（空白模板） 2" xfId="257"/>
    <cellStyle name="差_底稿设置宏" xfId="258"/>
    <cellStyle name="差_8-其他应收款（空白模板）" xfId="259"/>
    <cellStyle name="差_G-应收账款" xfId="260"/>
    <cellStyle name="差_短期借款" xfId="261"/>
    <cellStyle name="差_其他应收款" xfId="262"/>
    <cellStyle name="差_无形资产" xfId="263"/>
    <cellStyle name="差_应收账款" xfId="264"/>
    <cellStyle name="常规_49-营业收入（空白模板）" xfId="265"/>
    <cellStyle name="差_专项应付款" xfId="266"/>
    <cellStyle name="好_51-营业税金及附加（空白模板）" xfId="267"/>
    <cellStyle name="砯刽 [0]_PLDT" xfId="268"/>
    <cellStyle name="常规 2 2" xfId="269"/>
    <cellStyle name="常规 2 2 2" xfId="270"/>
    <cellStyle name="常规_4-应收账款（空白模板）" xfId="271"/>
    <cellStyle name="常规_56-公允价值损益变动（空白模板） 2" xfId="272"/>
    <cellStyle name="常规 2 3" xfId="273"/>
    <cellStyle name="好_4-应收账款（空白模板） 2" xfId="274"/>
    <cellStyle name="常规 2 4" xfId="275"/>
    <cellStyle name="常规 2_50-营业成本（空白模板）" xfId="276"/>
    <cellStyle name="千位分隔[0] 2 2" xfId="277"/>
    <cellStyle name="常规 2_交易性金融负债 2" xfId="278"/>
    <cellStyle name="常规 3" xfId="279"/>
    <cellStyle name="常规 3 2" xfId="280"/>
    <cellStyle name="常规 3 2 2" xfId="281"/>
    <cellStyle name="常规_46-资本公积（空白模板） 2" xfId="282"/>
    <cellStyle name="常规 3 2 2 2" xfId="283"/>
    <cellStyle name="常规 3 2_盈余公积" xfId="284"/>
    <cellStyle name="常规 3 2_盈余公积 2" xfId="285"/>
    <cellStyle name="常规 3 2_营业外收入 2" xfId="286"/>
    <cellStyle name="常规 3 2_营业外支出 2" xfId="287"/>
    <cellStyle name="常规 3 2_资本公积 2" xfId="288"/>
    <cellStyle name="常规 3 3" xfId="289"/>
    <cellStyle name="常规 3_底稿设置宏" xfId="290"/>
    <cellStyle name="常规 4" xfId="291"/>
    <cellStyle name="常规 4 2" xfId="292"/>
    <cellStyle name="常规 4 2 2" xfId="293"/>
    <cellStyle name="常规 4 3" xfId="294"/>
    <cellStyle name="霓付 [0]_1202" xfId="295"/>
    <cellStyle name="常规 5" xfId="296"/>
    <cellStyle name="常规_10-可供出售金融资产（空白模板） 2 2" xfId="297"/>
    <cellStyle name="常规_12-长期应收款（空白模板） 2" xfId="298"/>
    <cellStyle name="常规_13-长期股权投资（空白模板） 2" xfId="299"/>
    <cellStyle name="好_8-其他应收款（空白模板）" xfId="300"/>
    <cellStyle name="常规_15-固定资产（空白模板） 2 2" xfId="301"/>
    <cellStyle name="超级链接_综合类底稿表格" xfId="302"/>
    <cellStyle name="常规_17-工程物资（空白模板） 2" xfId="303"/>
    <cellStyle name="常规_19-无形资产（空白模板）" xfId="304"/>
    <cellStyle name="常规_21-商誉（空白模板） 2" xfId="305"/>
    <cellStyle name="常规_28-交易性金融负债（空白模板）" xfId="306"/>
    <cellStyle name="常规_32-应付职工薪酬(空白模板) 2" xfId="307"/>
    <cellStyle name="常规_4-应收账款（空白模板） 2 2" xfId="308"/>
    <cellStyle name="常规_33-应交税费（空白模板） 2" xfId="309"/>
    <cellStyle name="好_无形资产 2" xfId="310"/>
    <cellStyle name="常规_35-应付股利（空白模板） 2" xfId="311"/>
    <cellStyle name="好_专项应付款 2" xfId="312"/>
    <cellStyle name="通貨_１１月価格表" xfId="313"/>
    <cellStyle name="常规_38-应付债券（空白模板） 2" xfId="314"/>
    <cellStyle name="常规_49-营业收入（空白模板） 2" xfId="315"/>
    <cellStyle name="常规_51-营业税金及附加（空白模板） 2" xfId="316"/>
    <cellStyle name="常规_55-资产减值损失（空白模板） 2" xfId="317"/>
    <cellStyle name="常规_58-营业外收入（空白模板） 2" xfId="318"/>
    <cellStyle name="常规_5-预付款项（空白模板） 2 2" xfId="319"/>
    <cellStyle name="常规_7-应收股利（空白模板） 2" xfId="320"/>
    <cellStyle name="常规_8-其他应收款（空白模板） 2 2" xfId="321"/>
    <cellStyle name="常规_可供出售金融资产_tmp 2" xfId="322"/>
    <cellStyle name="好_G-应收账款 2" xfId="323"/>
    <cellStyle name="콤마_BOILER-CO1" xfId="324"/>
    <cellStyle name="常规_9-存货（空白模板） 2 2" xfId="325"/>
    <cellStyle name="常规_附件1.非居民企业所得税申报表" xfId="326"/>
    <cellStyle name="好_营业收入 2" xfId="327"/>
    <cellStyle name="常规_货币资金_tmp 2" xfId="328"/>
    <cellStyle name="常规_货币资金_tmp 2 2" xfId="329"/>
    <cellStyle name="常规_交易性金融负债 2" xfId="330"/>
    <cellStyle name="好_专项应付款" xfId="331"/>
    <cellStyle name="常规_交易性金融资产 2" xfId="332"/>
    <cellStyle name="好_19-无形资产（空白模板）" xfId="333"/>
    <cellStyle name="常规_盈余公积 2" xfId="334"/>
    <cellStyle name="常规_营业收入 2" xfId="335"/>
    <cellStyle name="常规_营业税金及附加 2" xfId="336"/>
    <cellStyle name="好_50-营业成本（空白模板）" xfId="337"/>
    <cellStyle name="好_55-资产减值损失（空白模板）" xfId="338"/>
    <cellStyle name="常规_营业外收入 2" xfId="339"/>
    <cellStyle name="常规_营业外支出 2" xfId="340"/>
    <cellStyle name="常规_应付职工薪酬 2" xfId="341"/>
    <cellStyle name="常规_应收账款 2" xfId="342"/>
    <cellStyle name="常规_预付款项 2" xfId="343"/>
    <cellStyle name="常规_长期应收款 2" xfId="344"/>
    <cellStyle name="一般_SGV" xfId="345"/>
    <cellStyle name="常规_资本公积 2" xfId="346"/>
    <cellStyle name="好_财务费用" xfId="347"/>
    <cellStyle name="好_资产负债类底稿模版" xfId="348"/>
    <cellStyle name="常规_资产减值损失" xfId="349"/>
    <cellStyle name="好_1其他应收款" xfId="350"/>
    <cellStyle name="超链接 2" xfId="351"/>
    <cellStyle name="超链接 2 2" xfId="352"/>
    <cellStyle name="寘嬫愗傝_PRODUCT DETAIL Q1" xfId="353"/>
    <cellStyle name="超链接 3" xfId="354"/>
    <cellStyle name="超链接 3 2" xfId="355"/>
    <cellStyle name="超链接 4" xfId="356"/>
    <cellStyle name="超链接 5" xfId="357"/>
    <cellStyle name="好__dxn_temp空白表页 2" xfId="358"/>
    <cellStyle name="好_19-无形资产（空白模板） 2" xfId="359"/>
    <cellStyle name="好_1财务费用" xfId="360"/>
    <cellStyle name="好_1财务费用 2" xfId="361"/>
    <cellStyle name="好_1短期借款" xfId="362"/>
    <cellStyle name="好_1短期借款 2" xfId="363"/>
    <cellStyle name="好_1营业成本" xfId="364"/>
    <cellStyle name="好_30-应付账款（空白模板）" xfId="365"/>
    <cellStyle name="好_1营业收入" xfId="366"/>
    <cellStyle name="好_1预收款项" xfId="367"/>
    <cellStyle name="好_1预收款项 2" xfId="368"/>
    <cellStyle name="好_1专项应付款" xfId="369"/>
    <cellStyle name="好_1资产减值损失" xfId="370"/>
    <cellStyle name="好_27-短期借款(空白模板) 2" xfId="371"/>
    <cellStyle name="통화 [0]_BOILER-CO1" xfId="372"/>
    <cellStyle name="好_31-预收账款（空白模板）" xfId="373"/>
    <cellStyle name="好_银行函证结果汇总表 2" xfId="374"/>
    <cellStyle name="好_31-预收账款（空白模板） 2" xfId="375"/>
    <cellStyle name="好_40-专项应付款(空白模板) 2" xfId="376"/>
    <cellStyle name="千位分隔 3" xfId="377"/>
    <cellStyle name="好_50-营业成本（空白模板） 2" xfId="378"/>
    <cellStyle name="好_55-资产减值损失（空白模板） 2" xfId="379"/>
    <cellStyle name="好_51-营业税金及附加（空白模板） 2" xfId="380"/>
    <cellStyle name="好_54-财务费用（空白模板）" xfId="381"/>
    <cellStyle name="好_54-财务费用（空白模板） 2" xfId="382"/>
    <cellStyle name="好_ZA0货币资金审定表 " xfId="383"/>
    <cellStyle name="好_ZA0货币资金审定表  2" xfId="384"/>
    <cellStyle name="好_财务费用 2" xfId="385"/>
    <cellStyle name="好_资产负债类底稿模版 2" xfId="386"/>
    <cellStyle name="好_大信底稿目录" xfId="387"/>
    <cellStyle name="好_底稿设置宏" xfId="388"/>
    <cellStyle name="砯刽_PLDT" xfId="389"/>
    <cellStyle name="好_底稿设置宏 2" xfId="390"/>
    <cellStyle name="好_底稿设置宏_大信底稿目录" xfId="391"/>
    <cellStyle name="好_无形资产" xfId="392"/>
    <cellStyle name="好_营业收入" xfId="393"/>
    <cellStyle name="好_应收利息" xfId="394"/>
    <cellStyle name="千位分隔 2 2 2 2" xfId="395"/>
    <cellStyle name="好_应收利息 2" xfId="396"/>
    <cellStyle name="好_应收账款" xfId="397"/>
    <cellStyle name="好_预收款项" xfId="398"/>
    <cellStyle name="好_预收款项 2" xfId="399"/>
    <cellStyle name="千位分隔 2 3" xfId="400"/>
    <cellStyle name="好_资产负债标准底稿" xfId="401"/>
    <cellStyle name="好_资产负债标准底稿 2" xfId="402"/>
    <cellStyle name="好_资产负债标准底稿_大信底稿目录" xfId="403"/>
    <cellStyle name="好_资产负债类底稿模版_大信底稿目录" xfId="404"/>
    <cellStyle name="貨幣_SGV" xfId="405"/>
    <cellStyle name="烹拳 [0]_1202" xfId="406"/>
    <cellStyle name="烹拳_1202" xfId="407"/>
    <cellStyle name="千分位[0]_ 白土" xfId="408"/>
    <cellStyle name="千位分隔 10" xfId="409"/>
    <cellStyle name="千位分隔 3 2" xfId="410"/>
    <cellStyle name="千位分隔 10 5" xfId="411"/>
    <cellStyle name="千位分隔 2" xfId="412"/>
    <cellStyle name="千位分隔 2 2" xfId="413"/>
    <cellStyle name="千位分隔 3 2 2" xfId="414"/>
    <cellStyle name="千位分隔 3 3" xfId="415"/>
    <cellStyle name="千位分隔 4" xfId="416"/>
    <cellStyle name="千位分隔 4 2" xfId="417"/>
    <cellStyle name="千位分隔 6" xfId="418"/>
    <cellStyle name="千位分隔[0] 2 2 2" xfId="419"/>
    <cellStyle name="千位分隔[0] 2 2 2 2" xfId="420"/>
    <cellStyle name="千位分隔[0] 2 2 3" xfId="421"/>
    <cellStyle name="千位分隔_19-无形资产（空白模板）" xfId="422"/>
    <cellStyle name="钎霖_(沥焊何巩)岿喊牢盔拌裙" xfId="423"/>
    <cellStyle name="寘嬫愗傝 [0.00]_PRODUCT DETAIL Q1" xfId="424"/>
    <cellStyle name="资产" xfId="425"/>
    <cellStyle name="콤마 [0]_BOILER-CO1" xfId="426"/>
  </cellStyles>
  <dxfs count="15">
    <dxf>
      <font>
        <sz val="9"/>
      </font>
    </dxf>
    <dxf>
      <fill>
        <patternFill patternType="solid">
          <bgColor indexed="10"/>
        </patternFill>
      </fill>
      <border>
        <left style="thin">
          <color auto="1"/>
        </left>
        <right style="thin">
          <color auto="1"/>
        </right>
        <top style="thin">
          <color auto="1"/>
        </top>
        <bottom style="thin">
          <color auto="1"/>
        </bottom>
      </border>
    </dxf>
    <dxf>
      <font>
        <b val="1"/>
        <i val="0"/>
      </font>
      <fill>
        <patternFill patternType="solid">
          <bgColor indexed="10"/>
        </patternFill>
      </fill>
      <border>
        <left style="thin">
          <color auto="1"/>
        </left>
        <right style="thin">
          <color auto="1"/>
        </right>
        <top style="thin">
          <color auto="1"/>
        </top>
        <bottom style="thin">
          <color auto="1"/>
        </bottom>
      </border>
    </dxf>
    <dxf>
      <fill>
        <patternFill patternType="solid">
          <bgColor indexed="13"/>
        </patternFill>
      </fill>
    </dxf>
    <dxf>
      <font>
        <color auto="1"/>
      </font>
      <fill>
        <patternFill patternType="solid">
          <bgColor indexed="10"/>
        </patternFill>
      </fill>
    </dxf>
    <dxf>
      <font>
        <color indexed="12"/>
      </font>
    </dxf>
    <dxf>
      <font>
        <color rgb="FF9C0006"/>
      </font>
    </dxf>
    <dxf>
      <fill>
        <patternFill patternType="solid">
          <bgColor rgb="FFFF0000"/>
        </patternFill>
      </fill>
    </dxf>
    <dxf>
      <fill>
        <patternFill patternType="solid">
          <bgColor rgb="FFFF0000"/>
        </patternFill>
      </fill>
    </dxf>
    <dxf>
      <fill>
        <gradientFill type="path" left="0.5" right="0.5" top="0.5" bottom="0.5">
          <stop position="0">
            <color theme="0"/>
          </stop>
          <stop position="1">
            <color theme="5"/>
          </stop>
        </gradientFill>
      </fill>
    </dxf>
    <dxf>
      <fill>
        <gradientFill type="path" left="0.5" right="0.5" top="0.5" bottom="0.5">
          <stop position="0">
            <color theme="0"/>
          </stop>
          <stop position="1">
            <color rgb="FF92D050"/>
          </stop>
        </gradientFill>
      </fill>
    </dxf>
    <dxf>
      <fill>
        <patternFill patternType="solid">
          <bgColor rgb="FFFF0000"/>
        </patternFill>
      </fill>
    </dxf>
    <dxf>
      <fill>
        <patternFill patternType="solid">
          <bgColor theme="0"/>
        </patternFill>
      </fill>
      <border>
        <left style="thin">
          <color rgb="FFFF0000"/>
        </left>
        <right style="thin">
          <color rgb="FFFF0000"/>
        </right>
        <top style="thin">
          <color rgb="FFFF0000"/>
        </top>
        <bottom style="thin">
          <color rgb="FFFF0000"/>
        </bottom>
      </border>
    </dxf>
    <dxf>
      <fill>
        <patternFill patternType="solid">
          <bgColor rgb="FFFF0000"/>
        </patternFill>
      </fill>
      <border>
        <left style="thin">
          <color rgb="FFFF0000"/>
        </left>
        <right style="thin">
          <color rgb="FFFF0000"/>
        </right>
        <top style="thin">
          <color rgb="FFFF0000"/>
        </top>
        <bottom style="thin">
          <color rgb="FFFF0000"/>
        </bottom>
      </border>
    </dxf>
    <dxf>
      <fill>
        <patternFill patternType="solid">
          <bgColor rgb="FFFF0000"/>
        </patternFill>
      </fill>
      <border>
        <left style="thin">
          <color auto="1"/>
        </left>
        <right style="thin">
          <color auto="1"/>
        </right>
        <top style="thin">
          <color auto="1"/>
        </top>
        <bottom style="thin">
          <color auto="1"/>
        </bottom>
      </border>
    </dxf>
  </dxfs>
  <tableStyles count="0" defaultTableStyle="TableStyleMedium9" defaultPivotStyle="PivotStyleLight16"/>
  <colors>
    <mruColors>
      <color rgb="0099FFCC"/>
      <color rgb="00CCFFFF"/>
      <color rgb="008FD7DF"/>
      <color rgb="00CCC0DA"/>
      <color rgb="0099C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4" Type="http://schemas.openxmlformats.org/officeDocument/2006/relationships/sharedStrings" Target="sharedStrings.xml"/><Relationship Id="rId53" Type="http://schemas.openxmlformats.org/officeDocument/2006/relationships/styles" Target="styles.xml"/><Relationship Id="rId52" Type="http://schemas.openxmlformats.org/officeDocument/2006/relationships/theme" Target="theme/theme1.xml"/><Relationship Id="rId51" Type="http://schemas.openxmlformats.org/officeDocument/2006/relationships/pivotCacheDefinition" Target="pivotCache/pivotCacheDefinition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2.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3.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4.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5.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6.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7.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8.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9.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0.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1.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2.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3.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4.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5.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6.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7.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8.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19.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0.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1.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2.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3.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4.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5.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6.xml.rels><?xml version="1.0" encoding="UTF-8" standalone="yes"?>
<Relationships xmlns="http://schemas.openxmlformats.org/package/2006/relationships"><Relationship Id="rId1" Type="http://schemas.openxmlformats.org/officeDocument/2006/relationships/hyperlink" Target="#&#21442;&#25968;&#34920;!A1"/></Relationships>
</file>

<file path=xl/drawings/_rels/drawing27.xml.rels><?xml version="1.0" encoding="UTF-8" standalone="yes"?>
<Relationships xmlns="http://schemas.openxmlformats.org/package/2006/relationships"><Relationship Id="rId1" Type="http://schemas.openxmlformats.org/officeDocument/2006/relationships/hyperlink" Target="#&#21442;&#25968;&#34920;!A1"/></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76200</xdr:colOff>
      <xdr:row>11</xdr:row>
      <xdr:rowOff>114300</xdr:rowOff>
    </xdr:from>
    <xdr:to>
      <xdr:col>0</xdr:col>
      <xdr:colOff>171450</xdr:colOff>
      <xdr:row>11</xdr:row>
      <xdr:rowOff>114300</xdr:rowOff>
    </xdr:to>
    <xdr:sp>
      <xdr:nvSpPr>
        <xdr:cNvPr id="3092" name="Line 20"/>
        <xdr:cNvSpPr>
          <a:spLocks noChangeShapeType="1"/>
        </xdr:cNvSpPr>
      </xdr:nvSpPr>
      <xdr:spPr>
        <a:xfrm flipH="1">
          <a:off x="76200" y="2514600"/>
          <a:ext cx="95250" cy="0"/>
        </a:xfrm>
        <a:prstGeom prst="line">
          <a:avLst/>
        </a:prstGeom>
        <a:noFill/>
        <a:ln w="19050">
          <a:solidFill>
            <a:srgbClr val="FF00FF"/>
          </a:solidFill>
          <a:round/>
        </a:ln>
      </xdr:spPr>
    </xdr:sp>
    <xdr:clientData/>
  </xdr:twoCellAnchor>
  <xdr:twoCellAnchor>
    <xdr:from>
      <xdr:col>0</xdr:col>
      <xdr:colOff>76200</xdr:colOff>
      <xdr:row>11</xdr:row>
      <xdr:rowOff>114300</xdr:rowOff>
    </xdr:from>
    <xdr:to>
      <xdr:col>0</xdr:col>
      <xdr:colOff>76200</xdr:colOff>
      <xdr:row>19</xdr:row>
      <xdr:rowOff>123825</xdr:rowOff>
    </xdr:to>
    <xdr:sp>
      <xdr:nvSpPr>
        <xdr:cNvPr id="3093" name="Line 21"/>
        <xdr:cNvSpPr>
          <a:spLocks noChangeShapeType="1"/>
        </xdr:cNvSpPr>
      </xdr:nvSpPr>
      <xdr:spPr>
        <a:xfrm>
          <a:off x="76200" y="2514600"/>
          <a:ext cx="0" cy="1609725"/>
        </a:xfrm>
        <a:prstGeom prst="line">
          <a:avLst/>
        </a:prstGeom>
        <a:noFill/>
        <a:ln w="19050">
          <a:solidFill>
            <a:srgbClr val="FF00FF"/>
          </a:solidFill>
          <a:round/>
        </a:ln>
      </xdr:spPr>
    </xdr:sp>
    <xdr:clientData/>
  </xdr:twoCellAnchor>
  <xdr:twoCellAnchor>
    <xdr:from>
      <xdr:col>0</xdr:col>
      <xdr:colOff>76200</xdr:colOff>
      <xdr:row>19</xdr:row>
      <xdr:rowOff>123825</xdr:rowOff>
    </xdr:from>
    <xdr:to>
      <xdr:col>0</xdr:col>
      <xdr:colOff>171450</xdr:colOff>
      <xdr:row>19</xdr:row>
      <xdr:rowOff>123825</xdr:rowOff>
    </xdr:to>
    <xdr:sp>
      <xdr:nvSpPr>
        <xdr:cNvPr id="3094" name="Line 22"/>
        <xdr:cNvSpPr>
          <a:spLocks noChangeShapeType="1"/>
        </xdr:cNvSpPr>
      </xdr:nvSpPr>
      <xdr:spPr>
        <a:xfrm>
          <a:off x="76200" y="4124325"/>
          <a:ext cx="95250" cy="0"/>
        </a:xfrm>
        <a:prstGeom prst="line">
          <a:avLst/>
        </a:prstGeom>
        <a:noFill/>
        <a:ln w="19050">
          <a:solidFill>
            <a:srgbClr val="FF00FF"/>
          </a:solidFill>
          <a:round/>
          <a:tailEnd type="triangle" w="med" len="med"/>
        </a:ln>
      </xdr:spPr>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2" name="AutoShape 1">
          <a:hlinkClick xmlns:r="http://schemas.openxmlformats.org/officeDocument/2006/relationships" r:id="rId1"/>
        </xdr:cNvPr>
        <xdr:cNvSpPr>
          <a:spLocks noChangeArrowheads="1"/>
        </xdr:cNvSpPr>
      </xdr:nvSpPr>
      <xdr:spPr>
        <a:xfrm>
          <a:off x="209550" y="104775"/>
          <a:ext cx="419100" cy="161925"/>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5124"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2058" name="AutoShape 10">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6147" name="AutoShape 3">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7169"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7170" name="AutoShape 2">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2" name="AutoShape 1">
          <a:hlinkClick xmlns:r="http://schemas.openxmlformats.org/officeDocument/2006/relationships" r:id="rId1"/>
        </xdr:cNvPr>
        <xdr:cNvSpPr>
          <a:spLocks noChangeArrowheads="1"/>
        </xdr:cNvSpPr>
      </xdr:nvSpPr>
      <xdr:spPr>
        <a:xfrm>
          <a:off x="209550" y="104775"/>
          <a:ext cx="419100" cy="161925"/>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3313"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4337"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5361"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6385"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17409"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6</xdr:col>
      <xdr:colOff>57150</xdr:colOff>
      <xdr:row>169</xdr:row>
      <xdr:rowOff>0</xdr:rowOff>
    </xdr:from>
    <xdr:to>
      <xdr:col>7</xdr:col>
      <xdr:colOff>0</xdr:colOff>
      <xdr:row>169</xdr:row>
      <xdr:rowOff>0</xdr:rowOff>
    </xdr:to>
    <xdr:sp>
      <xdr:nvSpPr>
        <xdr:cNvPr id="1025" name="Line 1"/>
        <xdr:cNvSpPr>
          <a:spLocks noChangeShapeType="1"/>
        </xdr:cNvSpPr>
      </xdr:nvSpPr>
      <xdr:spPr>
        <a:xfrm flipV="1">
          <a:off x="4600575" y="342900"/>
          <a:ext cx="800100" cy="0"/>
        </a:xfrm>
        <a:prstGeom prst="line">
          <a:avLst/>
        </a:prstGeom>
        <a:noFill/>
        <a:ln w="9525">
          <a:solidFill>
            <a:srgbClr val="000000"/>
          </a:solidFill>
          <a:round/>
        </a:ln>
      </xdr:spPr>
    </xdr:sp>
    <xdr:clientData/>
  </xdr:twoCellAnchor>
  <xdr:twoCellAnchor>
    <xdr:from>
      <xdr:col>7</xdr:col>
      <xdr:colOff>47625</xdr:colOff>
      <xdr:row>170</xdr:row>
      <xdr:rowOff>0</xdr:rowOff>
    </xdr:from>
    <xdr:to>
      <xdr:col>7</xdr:col>
      <xdr:colOff>685800</xdr:colOff>
      <xdr:row>170</xdr:row>
      <xdr:rowOff>0</xdr:rowOff>
    </xdr:to>
    <xdr:sp>
      <xdr:nvSpPr>
        <xdr:cNvPr id="1026" name="Line 2"/>
        <xdr:cNvSpPr>
          <a:spLocks noChangeShapeType="1"/>
        </xdr:cNvSpPr>
      </xdr:nvSpPr>
      <xdr:spPr>
        <a:xfrm flipV="1">
          <a:off x="5448300" y="504825"/>
          <a:ext cx="638175" cy="0"/>
        </a:xfrm>
        <a:prstGeom prst="line">
          <a:avLst/>
        </a:prstGeom>
        <a:noFill/>
        <a:ln w="9525">
          <a:solidFill>
            <a:srgbClr val="000000"/>
          </a:solidFill>
          <a:round/>
        </a:ln>
      </xdr:spPr>
    </xdr:sp>
    <xdr:clientData/>
  </xdr:twoCellAnchor>
  <xdr:twoCellAnchor>
    <xdr:from>
      <xdr:col>7</xdr:col>
      <xdr:colOff>57150</xdr:colOff>
      <xdr:row>168</xdr:row>
      <xdr:rowOff>219075</xdr:rowOff>
    </xdr:from>
    <xdr:to>
      <xdr:col>8</xdr:col>
      <xdr:colOff>0</xdr:colOff>
      <xdr:row>168</xdr:row>
      <xdr:rowOff>219075</xdr:rowOff>
    </xdr:to>
    <xdr:sp>
      <xdr:nvSpPr>
        <xdr:cNvPr id="1027" name="Line 3"/>
        <xdr:cNvSpPr>
          <a:spLocks noChangeShapeType="1"/>
        </xdr:cNvSpPr>
      </xdr:nvSpPr>
      <xdr:spPr>
        <a:xfrm flipV="1">
          <a:off x="5457825" y="342900"/>
          <a:ext cx="800100" cy="0"/>
        </a:xfrm>
        <a:prstGeom prst="line">
          <a:avLst/>
        </a:prstGeom>
        <a:noFill/>
        <a:ln w="9525">
          <a:solidFill>
            <a:srgbClr val="000000"/>
          </a:solidFill>
          <a:round/>
        </a:ln>
      </xdr:spPr>
    </xdr:sp>
    <xdr:clientData/>
  </xdr:twoCellAnchor>
  <xdr:twoCellAnchor>
    <xdr:from>
      <xdr:col>6</xdr:col>
      <xdr:colOff>57150</xdr:colOff>
      <xdr:row>169</xdr:row>
      <xdr:rowOff>219075</xdr:rowOff>
    </xdr:from>
    <xdr:to>
      <xdr:col>7</xdr:col>
      <xdr:colOff>0</xdr:colOff>
      <xdr:row>169</xdr:row>
      <xdr:rowOff>219075</xdr:rowOff>
    </xdr:to>
    <xdr:sp>
      <xdr:nvSpPr>
        <xdr:cNvPr id="1028" name="Line 4"/>
        <xdr:cNvSpPr>
          <a:spLocks noChangeShapeType="1"/>
        </xdr:cNvSpPr>
      </xdr:nvSpPr>
      <xdr:spPr>
        <a:xfrm flipV="1">
          <a:off x="4600575" y="504825"/>
          <a:ext cx="800100" cy="0"/>
        </a:xfrm>
        <a:prstGeom prst="line">
          <a:avLst/>
        </a:prstGeom>
        <a:noFill/>
        <a:ln w="9525">
          <a:solidFill>
            <a:srgbClr val="000000"/>
          </a:solidFill>
          <a:round/>
        </a:ln>
      </xdr:spPr>
    </xdr:sp>
    <xdr:clientData/>
  </xdr:twoCellAnchor>
  <xdr:twoCellAnchor>
    <xdr:from>
      <xdr:col>7</xdr:col>
      <xdr:colOff>57150</xdr:colOff>
      <xdr:row>169</xdr:row>
      <xdr:rowOff>219075</xdr:rowOff>
    </xdr:from>
    <xdr:to>
      <xdr:col>8</xdr:col>
      <xdr:colOff>0</xdr:colOff>
      <xdr:row>169</xdr:row>
      <xdr:rowOff>219075</xdr:rowOff>
    </xdr:to>
    <xdr:sp>
      <xdr:nvSpPr>
        <xdr:cNvPr id="1029" name="Line 5"/>
        <xdr:cNvSpPr>
          <a:spLocks noChangeShapeType="1"/>
        </xdr:cNvSpPr>
      </xdr:nvSpPr>
      <xdr:spPr>
        <a:xfrm flipV="1">
          <a:off x="5457825" y="504825"/>
          <a:ext cx="800100" cy="0"/>
        </a:xfrm>
        <a:prstGeom prst="line">
          <a:avLst/>
        </a:prstGeom>
        <a:noFill/>
        <a:ln w="9525">
          <a:solidFill>
            <a:srgbClr val="000000"/>
          </a:solidFill>
          <a:round/>
        </a:ln>
      </xdr:spPr>
    </xdr:sp>
    <xdr:clientData/>
  </xdr:twoCellAnchor>
  <xdr:twoCellAnchor>
    <xdr:from>
      <xdr:col>1</xdr:col>
      <xdr:colOff>447675</xdr:colOff>
      <xdr:row>167</xdr:row>
      <xdr:rowOff>38100</xdr:rowOff>
    </xdr:from>
    <xdr:to>
      <xdr:col>2</xdr:col>
      <xdr:colOff>219075</xdr:colOff>
      <xdr:row>167</xdr:row>
      <xdr:rowOff>228600</xdr:rowOff>
    </xdr:to>
    <xdr:sp>
      <xdr:nvSpPr>
        <xdr:cNvPr id="1043" name="AutoShape 19">
          <a:hlinkClick xmlns:r="http://schemas.openxmlformats.org/officeDocument/2006/relationships" r:id="rId1"/>
        </xdr:cNvPr>
        <xdr:cNvSpPr>
          <a:spLocks noChangeArrowheads="1"/>
        </xdr:cNvSpPr>
      </xdr:nvSpPr>
      <xdr:spPr>
        <a:xfrm>
          <a:off x="695325" y="38100"/>
          <a:ext cx="266700" cy="123825"/>
        </a:xfrm>
        <a:prstGeom prst="leftArrow">
          <a:avLst>
            <a:gd name="adj1" fmla="val 50000"/>
            <a:gd name="adj2" fmla="val 35000"/>
          </a:avLst>
        </a:prstGeom>
        <a:solidFill>
          <a:srgbClr val="0066CC"/>
        </a:solidFill>
        <a:ln w="9525">
          <a:solidFill>
            <a:srgbClr val="0066CC"/>
          </a:solidFill>
          <a:miter lim="800000"/>
        </a:ln>
      </xdr:spPr>
    </xdr:sp>
    <xdr:clientData fPrintsWithSheet="0"/>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6</xdr:col>
      <xdr:colOff>57150</xdr:colOff>
      <xdr:row>104</xdr:row>
      <xdr:rowOff>0</xdr:rowOff>
    </xdr:from>
    <xdr:to>
      <xdr:col>7</xdr:col>
      <xdr:colOff>0</xdr:colOff>
      <xdr:row>104</xdr:row>
      <xdr:rowOff>0</xdr:rowOff>
    </xdr:to>
    <xdr:sp>
      <xdr:nvSpPr>
        <xdr:cNvPr id="11265" name="Line 1"/>
        <xdr:cNvSpPr>
          <a:spLocks noChangeShapeType="1"/>
        </xdr:cNvSpPr>
      </xdr:nvSpPr>
      <xdr:spPr>
        <a:xfrm flipV="1">
          <a:off x="4733925" y="419100"/>
          <a:ext cx="800100" cy="0"/>
        </a:xfrm>
        <a:prstGeom prst="line">
          <a:avLst/>
        </a:prstGeom>
        <a:noFill/>
        <a:ln w="9525">
          <a:solidFill>
            <a:srgbClr val="000000"/>
          </a:solidFill>
          <a:round/>
        </a:ln>
      </xdr:spPr>
    </xdr:sp>
    <xdr:clientData/>
  </xdr:twoCellAnchor>
  <xdr:twoCellAnchor>
    <xdr:from>
      <xdr:col>7</xdr:col>
      <xdr:colOff>47625</xdr:colOff>
      <xdr:row>105</xdr:row>
      <xdr:rowOff>0</xdr:rowOff>
    </xdr:from>
    <xdr:to>
      <xdr:col>7</xdr:col>
      <xdr:colOff>685800</xdr:colOff>
      <xdr:row>105</xdr:row>
      <xdr:rowOff>0</xdr:rowOff>
    </xdr:to>
    <xdr:sp>
      <xdr:nvSpPr>
        <xdr:cNvPr id="11266" name="Line 2"/>
        <xdr:cNvSpPr>
          <a:spLocks noChangeShapeType="1"/>
        </xdr:cNvSpPr>
      </xdr:nvSpPr>
      <xdr:spPr>
        <a:xfrm flipV="1">
          <a:off x="5581650" y="600075"/>
          <a:ext cx="638175" cy="0"/>
        </a:xfrm>
        <a:prstGeom prst="line">
          <a:avLst/>
        </a:prstGeom>
        <a:noFill/>
        <a:ln w="9525">
          <a:solidFill>
            <a:srgbClr val="000000"/>
          </a:solidFill>
          <a:round/>
        </a:ln>
      </xdr:spPr>
    </xdr:sp>
    <xdr:clientData/>
  </xdr:twoCellAnchor>
  <xdr:twoCellAnchor>
    <xdr:from>
      <xdr:col>7</xdr:col>
      <xdr:colOff>57150</xdr:colOff>
      <xdr:row>103</xdr:row>
      <xdr:rowOff>219075</xdr:rowOff>
    </xdr:from>
    <xdr:to>
      <xdr:col>8</xdr:col>
      <xdr:colOff>0</xdr:colOff>
      <xdr:row>103</xdr:row>
      <xdr:rowOff>219075</xdr:rowOff>
    </xdr:to>
    <xdr:sp>
      <xdr:nvSpPr>
        <xdr:cNvPr id="11267" name="Line 3"/>
        <xdr:cNvSpPr>
          <a:spLocks noChangeShapeType="1"/>
        </xdr:cNvSpPr>
      </xdr:nvSpPr>
      <xdr:spPr>
        <a:xfrm flipV="1">
          <a:off x="5591175" y="419100"/>
          <a:ext cx="800100" cy="0"/>
        </a:xfrm>
        <a:prstGeom prst="line">
          <a:avLst/>
        </a:prstGeom>
        <a:noFill/>
        <a:ln w="9525">
          <a:solidFill>
            <a:srgbClr val="000000"/>
          </a:solidFill>
          <a:round/>
        </a:ln>
      </xdr:spPr>
    </xdr:sp>
    <xdr:clientData/>
  </xdr:twoCellAnchor>
  <xdr:twoCellAnchor>
    <xdr:from>
      <xdr:col>6</xdr:col>
      <xdr:colOff>57150</xdr:colOff>
      <xdr:row>104</xdr:row>
      <xdr:rowOff>219075</xdr:rowOff>
    </xdr:from>
    <xdr:to>
      <xdr:col>7</xdr:col>
      <xdr:colOff>0</xdr:colOff>
      <xdr:row>104</xdr:row>
      <xdr:rowOff>219075</xdr:rowOff>
    </xdr:to>
    <xdr:sp>
      <xdr:nvSpPr>
        <xdr:cNvPr id="11268" name="Line 4"/>
        <xdr:cNvSpPr>
          <a:spLocks noChangeShapeType="1"/>
        </xdr:cNvSpPr>
      </xdr:nvSpPr>
      <xdr:spPr>
        <a:xfrm flipV="1">
          <a:off x="4733925" y="600075"/>
          <a:ext cx="800100" cy="0"/>
        </a:xfrm>
        <a:prstGeom prst="line">
          <a:avLst/>
        </a:prstGeom>
        <a:noFill/>
        <a:ln w="9525">
          <a:solidFill>
            <a:srgbClr val="000000"/>
          </a:solidFill>
          <a:round/>
        </a:ln>
      </xdr:spPr>
    </xdr:sp>
    <xdr:clientData/>
  </xdr:twoCellAnchor>
  <xdr:twoCellAnchor>
    <xdr:from>
      <xdr:col>7</xdr:col>
      <xdr:colOff>57150</xdr:colOff>
      <xdr:row>104</xdr:row>
      <xdr:rowOff>219075</xdr:rowOff>
    </xdr:from>
    <xdr:to>
      <xdr:col>8</xdr:col>
      <xdr:colOff>0</xdr:colOff>
      <xdr:row>104</xdr:row>
      <xdr:rowOff>219075</xdr:rowOff>
    </xdr:to>
    <xdr:sp>
      <xdr:nvSpPr>
        <xdr:cNvPr id="11269" name="Line 5"/>
        <xdr:cNvSpPr>
          <a:spLocks noChangeShapeType="1"/>
        </xdr:cNvSpPr>
      </xdr:nvSpPr>
      <xdr:spPr>
        <a:xfrm flipV="1">
          <a:off x="5591175" y="600075"/>
          <a:ext cx="800100" cy="0"/>
        </a:xfrm>
        <a:prstGeom prst="line">
          <a:avLst/>
        </a:prstGeom>
        <a:noFill/>
        <a:ln w="9525">
          <a:solidFill>
            <a:srgbClr val="000000"/>
          </a:solidFill>
          <a:round/>
        </a:ln>
      </xdr:spPr>
    </xdr:sp>
    <xdr:clientData/>
  </xdr:twoCellAnchor>
  <xdr:twoCellAnchor>
    <xdr:from>
      <xdr:col>1</xdr:col>
      <xdr:colOff>485775</xdr:colOff>
      <xdr:row>102</xdr:row>
      <xdr:rowOff>38100</xdr:rowOff>
    </xdr:from>
    <xdr:to>
      <xdr:col>2</xdr:col>
      <xdr:colOff>257175</xdr:colOff>
      <xdr:row>102</xdr:row>
      <xdr:rowOff>228600</xdr:rowOff>
    </xdr:to>
    <xdr:sp>
      <xdr:nvSpPr>
        <xdr:cNvPr id="11273" name="AutoShape 9">
          <a:hlinkClick xmlns:r="http://schemas.openxmlformats.org/officeDocument/2006/relationships" r:id="rId1"/>
        </xdr:cNvPr>
        <xdr:cNvSpPr>
          <a:spLocks noChangeArrowheads="1"/>
        </xdr:cNvSpPr>
      </xdr:nvSpPr>
      <xdr:spPr>
        <a:xfrm>
          <a:off x="733425" y="38100"/>
          <a:ext cx="266700" cy="190500"/>
        </a:xfrm>
        <a:prstGeom prst="leftArrow">
          <a:avLst>
            <a:gd name="adj1" fmla="val 50000"/>
            <a:gd name="adj2" fmla="val 35000"/>
          </a:avLst>
        </a:prstGeom>
        <a:solidFill>
          <a:srgbClr val="0066CC"/>
        </a:solidFill>
        <a:ln w="9525">
          <a:solidFill>
            <a:srgbClr val="0066CC"/>
          </a:solidFill>
          <a:miter lim="800000"/>
        </a:ln>
      </xdr:spPr>
    </xdr:sp>
    <xdr:clientData fPrintsWithSheet="0"/>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4100"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8193"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9217"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10241"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2" name="AutoShape 2">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3" name="AutoShape 3">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4"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5" name="AutoShape 5">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6" name="AutoShape 6">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0247" name="AutoShape 7">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8433"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19457"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20481"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0</xdr:col>
      <xdr:colOff>133350</xdr:colOff>
      <xdr:row>0</xdr:row>
      <xdr:rowOff>76200</xdr:rowOff>
    </xdr:from>
    <xdr:to>
      <xdr:col>0</xdr:col>
      <xdr:colOff>552450</xdr:colOff>
      <xdr:row>0</xdr:row>
      <xdr:rowOff>266700</xdr:rowOff>
    </xdr:to>
    <xdr:sp>
      <xdr:nvSpPr>
        <xdr:cNvPr id="21505" name="AutoShape 1">
          <a:hlinkClick xmlns:r="http://schemas.openxmlformats.org/officeDocument/2006/relationships" r:id="rId1"/>
        </xdr:cNvPr>
        <xdr:cNvSpPr>
          <a:spLocks noChangeArrowheads="1"/>
        </xdr:cNvSpPr>
      </xdr:nvSpPr>
      <xdr:spPr>
        <a:xfrm>
          <a:off x="133350" y="76200"/>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22529"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12289"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2291" name="AutoShape 3">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twoCellAnchor>
    <xdr:from>
      <xdr:col>0</xdr:col>
      <xdr:colOff>209550</xdr:colOff>
      <xdr:row>0</xdr:row>
      <xdr:rowOff>104775</xdr:rowOff>
    </xdr:from>
    <xdr:to>
      <xdr:col>0</xdr:col>
      <xdr:colOff>628650</xdr:colOff>
      <xdr:row>0</xdr:row>
      <xdr:rowOff>295275</xdr:rowOff>
    </xdr:to>
    <xdr:sp>
      <xdr:nvSpPr>
        <xdr:cNvPr id="12292"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3" name="AutoShape 4">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3"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0</xdr:col>
      <xdr:colOff>209550</xdr:colOff>
      <xdr:row>0</xdr:row>
      <xdr:rowOff>104775</xdr:rowOff>
    </xdr:from>
    <xdr:to>
      <xdr:col>0</xdr:col>
      <xdr:colOff>628650</xdr:colOff>
      <xdr:row>0</xdr:row>
      <xdr:rowOff>295275</xdr:rowOff>
    </xdr:to>
    <xdr:sp>
      <xdr:nvSpPr>
        <xdr:cNvPr id="3" name="AutoShape 1">
          <a:hlinkClick xmlns:r="http://schemas.openxmlformats.org/officeDocument/2006/relationships" r:id="rId1"/>
        </xdr:cNvPr>
        <xdr:cNvSpPr>
          <a:spLocks noChangeArrowheads="1"/>
        </xdr:cNvSpPr>
      </xdr:nvSpPr>
      <xdr:spPr>
        <a:xfrm>
          <a:off x="209550" y="104775"/>
          <a:ext cx="419100" cy="190500"/>
        </a:xfrm>
        <a:prstGeom prst="leftArrow">
          <a:avLst>
            <a:gd name="adj1" fmla="val 50000"/>
            <a:gd name="adj2" fmla="val 55000"/>
          </a:avLst>
        </a:prstGeom>
        <a:solidFill>
          <a:srgbClr val="0066CC"/>
        </a:solidFill>
        <a:ln w="9525">
          <a:solidFill>
            <a:srgbClr val="0066CC"/>
          </a:solidFill>
          <a:miter lim="800000"/>
        </a:ln>
      </xdr:spPr>
    </xdr:sp>
    <xdr:clientData fPrintsWithSheet="0"/>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oneCellAnchor>
    <xdr:from>
      <xdr:col>7</xdr:col>
      <xdr:colOff>1310324</xdr:colOff>
      <xdr:row>0</xdr:row>
      <xdr:rowOff>-305789</xdr:rowOff>
    </xdr:from>
    <xdr:ext cx="1227452" cy="242374"/>
    <xdr:sp>
      <xdr:nvSpPr>
        <xdr:cNvPr id="2" name="矩形 1"/>
        <xdr:cNvSpPr/>
      </xdr:nvSpPr>
      <xdr:spPr>
        <a:xfrm>
          <a:off x="7205980" y="-305435"/>
          <a:ext cx="1227455" cy="242570"/>
        </a:xfrm>
        <a:prstGeom prst="rect">
          <a:avLst/>
        </a:prstGeom>
        <a:noFill/>
      </xdr:spPr>
      <xdr:txBody>
        <a:bodyPr wrap="none" lIns="91440" tIns="45720" rIns="91440" bIns="45720">
          <a:spAutoFit/>
          <a:scene3d>
            <a:camera prst="orthographicFront"/>
            <a:lightRig rig="brightRoom" dir="t"/>
          </a:scene3d>
          <a:sp3d contourW="6350" prstMaterial="plastic">
            <a:bevelT w="20320" h="20320" prst="angle"/>
            <a:contourClr>
              <a:schemeClr val="accent1">
                <a:tint val="100000"/>
                <a:shade val="100000"/>
                <a:hueMod val="100000"/>
                <a:satMod val="100000"/>
              </a:schemeClr>
            </a:contourClr>
          </a:sp3d>
        </a:bodyPr>
        <a:lstStyle/>
        <a:p>
          <a:pPr algn="ctr"/>
          <a:r>
            <a:rPr lang="zh-CN" altLang="en-US" sz="900" b="1" cap="all" spc="0">
              <a:solidFill>
                <a:schemeClr val="accent1"/>
              </a:solidFill>
              <a:effectLst>
                <a:outerShdw blurRad="19685" dist="12700" dir="5400000" algn="tl" rotWithShape="0">
                  <a:schemeClr val="accent1">
                    <a:satMod val="130000"/>
                    <a:alpha val="60000"/>
                  </a:schemeClr>
                </a:outerShdw>
                <a:reflection blurRad="10000" stA="55000" endPos="48000" dist="500" dir="5400000" sy="-100000" algn="bl" rotWithShape="0"/>
              </a:effectLst>
            </a:rPr>
            <a:t>请在此放置您的文字</a:t>
          </a:r>
          <a:endParaRPr lang="zh-CN" altLang="en-US" sz="900" b="1" cap="all" spc="0">
            <a:solidFill>
              <a:schemeClr val="accent1"/>
            </a:solidFill>
            <a:effectLst>
              <a:outerShdw blurRad="19685" dist="12700" dir="5400000" algn="tl" rotWithShape="0">
                <a:schemeClr val="accent1">
                  <a:satMod val="130000"/>
                  <a:alpha val="60000"/>
                </a:schemeClr>
              </a:outerShdw>
              <a:reflection blurRad="10000" stA="55000" endPos="48000" dist="500" dir="5400000" sy="-100000" algn="bl" rotWithShape="0"/>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4" refreshedVersion="4" minRefreshableVersion="3" refreshedDate="42157.5827258102" refreshedBy="作者" recordCount="44">
  <cacheSource type="worksheet">
    <worksheetSource ref="A175:I207" sheet="资负表及利润表调整分录"/>
  </cacheSource>
  <cacheFields count="9">
    <cacheField name="序号" numFmtId="179"/>
    <cacheField name="说明" numFmtId="179"/>
    <cacheField name="报表项目" numFmtId="179">
      <sharedItems containsString="0" containsBlank="1" containsNonDate="0" count="1">
        <m/>
      </sharedItems>
    </cacheField>
    <cacheField name="说明2" numFmtId="179"/>
    <cacheField name="科目或子目" numFmtId="179"/>
    <cacheField name="索引号" numFmtId="179"/>
    <cacheField name="借方" numFmtId="201"/>
    <cacheField name="贷方 " numFmtId="201"/>
    <cacheField name="同意调整" numFmtId="179">
      <sharedItems containsString="0" containsBlank="1" containsNonDate="0" count="1">
        <m/>
      </sharedItems>
    </cacheField>
  </cacheFields>
</pivotCacheDefinition>
</file>

<file path=xl/pivotCache/pivotCacheRecords1.xml><?xml version="1.0" encoding="utf-8"?>
<pivotCacheRecords xmlns="http://schemas.openxmlformats.org/spreadsheetml/2006/main" xmlns:r="http://schemas.openxmlformats.org/officeDocument/2006/relationships" count="44">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r>
    <m/>
    <m/>
    <x v="0"/>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2" cacheId="0" autoFormatId="1" applyNumberFormats="0" applyBorderFormats="0" applyFontFormats="0" applyPatternFormats="0" applyAlignmentFormats="0" applyWidthHeightFormats="1" dataCaption="值" updatedVersion="4" minRefreshableVersion="3" createdVersion="4" useAutoFormatting="1" indent="0" outline="1" outlineData="1" showDrill="1" multipleFieldFilters="0">
  <location ref="A3:C5" firstHeaderRow="0" firstDataRow="1" firstDataCol="1" rowPageCount="1" colPageCount="1"/>
  <pivotFields count="9">
    <pivotField numFmtId="179" showAll="0"/>
    <pivotField numFmtId="179" showAll="0"/>
    <pivotField axis="axisRow" numFmtId="179" showAll="0">
      <items count="2">
        <item x="0"/>
        <item t="default"/>
      </items>
    </pivotField>
    <pivotField numFmtId="179" showAll="0"/>
    <pivotField numFmtId="179" showAll="0"/>
    <pivotField numFmtId="179" showAll="0"/>
    <pivotField dataField="1" numFmtId="179" showAll="0"/>
    <pivotField dataField="1" numFmtId="179" showAll="0"/>
    <pivotField axis="axisPage" multipleItemSelectionAllowed="1" numFmtId="179" showAll="0">
      <items count="2">
        <item x="0"/>
        <item t="default"/>
      </items>
    </pivotField>
  </pivotFields>
  <rowFields count="1">
    <field x="2"/>
  </rowFields>
  <rowItems count="2">
    <i>
      <x/>
    </i>
    <i t="grand">
      <x/>
    </i>
  </rowItems>
  <colFields count="1">
    <field x="-2"/>
  </colFields>
  <colItems count="2">
    <i>
      <x/>
    </i>
    <i i="1">
      <x v="1"/>
    </i>
  </colItems>
  <pageFields count="1">
    <pageField fld="8"/>
  </pageFields>
  <dataFields count="2">
    <dataField name="求和项:借方" fld="6" baseField="2" baseItem="0" numFmtId="182"/>
    <dataField name="求和项:贷方 " fld="7" baseField="2" baseItem="0" numFmtId="182"/>
  </dataFields>
  <formats count="1">
    <format dxfId="0">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comments" Target="../comments4.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6.xml"/><Relationship Id="rId1" Type="http://schemas.openxmlformats.org/officeDocument/2006/relationships/comments" Target="../comments7.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7.xml"/><Relationship Id="rId1" Type="http://schemas.openxmlformats.org/officeDocument/2006/relationships/comments" Target="../comments8.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8.xml"/><Relationship Id="rId1" Type="http://schemas.openxmlformats.org/officeDocument/2006/relationships/comments" Target="../comments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comments" Target="../comments10.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3.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comments" Target="../comments11.xml"/></Relationships>
</file>

<file path=xl/worksheets/_rels/sheet34.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comments" Target="../comments12.xml"/></Relationships>
</file>

<file path=xl/worksheets/_rels/sheet36.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comments" Target="../comments13.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8.xml"/><Relationship Id="rId1" Type="http://schemas.openxmlformats.org/officeDocument/2006/relationships/comments" Target="../comments14.xml"/></Relationships>
</file>

<file path=xl/worksheets/_rels/sheet38.xml.rels><?xml version="1.0" encoding="UTF-8" standalone="yes"?>
<Relationships xmlns="http://schemas.openxmlformats.org/package/2006/relationships"><Relationship Id="rId2" Type="http://schemas.openxmlformats.org/officeDocument/2006/relationships/vmlDrawing" Target="../drawings/vmlDrawing15.vml"/><Relationship Id="rId1" Type="http://schemas.openxmlformats.org/officeDocument/2006/relationships/comments" Target="../comments15.xml"/></Relationships>
</file>

<file path=xl/worksheets/_rels/sheet39.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comments" Target="../comments16.xml"/></Relationships>
</file>

<file path=xl/worksheets/_rels/sheet40.xml.rels><?xml version="1.0" encoding="UTF-8" standalone="yes"?>
<Relationships xmlns="http://schemas.openxmlformats.org/package/2006/relationships"><Relationship Id="rId2" Type="http://schemas.openxmlformats.org/officeDocument/2006/relationships/vmlDrawing" Target="../drawings/vmlDrawing17.vml"/><Relationship Id="rId1" Type="http://schemas.openxmlformats.org/officeDocument/2006/relationships/comments" Target="../comments17.xml"/></Relationships>
</file>

<file path=xl/worksheets/_rels/sheet41.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comments" Target="../comments18.xml"/></Relationships>
</file>

<file path=xl/worksheets/_rels/sheet44.xml.rels><?xml version="1.0" encoding="UTF-8" standalone="yes"?>
<Relationships xmlns="http://schemas.openxmlformats.org/package/2006/relationships"><Relationship Id="rId2" Type="http://schemas.openxmlformats.org/officeDocument/2006/relationships/vmlDrawing" Target="../drawings/vmlDrawing19.vml"/><Relationship Id="rId1" Type="http://schemas.openxmlformats.org/officeDocument/2006/relationships/comments" Target="../comments19.xml"/></Relationships>
</file>

<file path=xl/worksheets/_rels/sheet45.xml.rels><?xml version="1.0" encoding="UTF-8" standalone="yes"?>
<Relationships xmlns="http://schemas.openxmlformats.org/package/2006/relationships"><Relationship Id="rId2" Type="http://schemas.openxmlformats.org/officeDocument/2006/relationships/vmlDrawing" Target="../drawings/vmlDrawing20.vml"/><Relationship Id="rId1" Type="http://schemas.openxmlformats.org/officeDocument/2006/relationships/comments" Target="../comments20.xml"/></Relationships>
</file>

<file path=xl/worksheets/_rels/sheet46.xml.rels><?xml version="1.0" encoding="UTF-8" standalone="yes"?>
<Relationships xmlns="http://schemas.openxmlformats.org/package/2006/relationships"><Relationship Id="rId2" Type="http://schemas.openxmlformats.org/officeDocument/2006/relationships/vmlDrawing" Target="../drawings/vmlDrawing21.vml"/><Relationship Id="rId1" Type="http://schemas.openxmlformats.org/officeDocument/2006/relationships/comments" Target="../comments21.xml"/></Relationships>
</file>

<file path=xl/worksheets/_rels/sheet47.xml.rels><?xml version="1.0" encoding="UTF-8" standalone="yes"?>
<Relationships xmlns="http://schemas.openxmlformats.org/package/2006/relationships"><Relationship Id="rId2" Type="http://schemas.openxmlformats.org/officeDocument/2006/relationships/vmlDrawing" Target="../drawings/vmlDrawing22.vml"/><Relationship Id="rId1" Type="http://schemas.openxmlformats.org/officeDocument/2006/relationships/comments" Target="../comments22.xml"/></Relationships>
</file>

<file path=xl/worksheets/_rels/sheet49.xml.rels><?xml version="1.0" encoding="UTF-8" standalone="yes"?>
<Relationships xmlns="http://schemas.openxmlformats.org/package/2006/relationships"><Relationship Id="rId2" Type="http://schemas.openxmlformats.org/officeDocument/2006/relationships/vmlDrawing" Target="../drawings/vmlDrawing23.vml"/><Relationship Id="rId1" Type="http://schemas.openxmlformats.org/officeDocument/2006/relationships/comments" Target="../comments23.xml"/></Relationships>
</file>

<file path=xl/worksheets/_rels/sheet5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E5" sqref="E5"/>
    </sheetView>
  </sheetViews>
  <sheetFormatPr defaultColWidth="9" defaultRowHeight="14.25"/>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5"/>
  <sheetViews>
    <sheetView showGridLines="0" workbookViewId="0">
      <pane xSplit="10" ySplit="3" topLeftCell="K4" activePane="bottomRight" state="frozen"/>
      <selection/>
      <selection pane="topRight"/>
      <selection pane="bottomLeft"/>
      <selection pane="bottomRight" activeCell="C12" sqref="C12:D12"/>
    </sheetView>
  </sheetViews>
  <sheetFormatPr defaultColWidth="9" defaultRowHeight="12.75"/>
  <cols>
    <col min="1" max="1" width="2.5" style="2012" customWidth="1"/>
    <col min="2" max="2" width="13.125" style="2012" customWidth="1"/>
    <col min="3" max="3" width="6.75" style="2012" customWidth="1"/>
    <col min="4" max="4" width="12" style="2012" customWidth="1"/>
    <col min="5" max="5" width="13.125" style="2012" customWidth="1"/>
    <col min="6" max="6" width="6.75" style="2012" customWidth="1"/>
    <col min="7" max="7" width="12" style="2012" customWidth="1"/>
    <col min="8" max="8" width="2.375" style="2012" customWidth="1"/>
    <col min="9" max="9" width="22.25" style="2012" customWidth="1"/>
    <col min="10" max="10" width="4.75" style="2012" customWidth="1"/>
    <col min="11" max="11" width="2.75" style="2012" customWidth="1"/>
    <col min="12" max="13" width="9" style="2012" hidden="1" customWidth="1"/>
    <col min="14" max="16384" width="9" style="2012"/>
  </cols>
  <sheetData>
    <row r="1" ht="33.75" spans="1:11">
      <c r="A1" s="2502" t="s">
        <v>0</v>
      </c>
      <c r="B1" s="2503"/>
      <c r="C1" s="2503"/>
      <c r="D1" s="2503"/>
      <c r="E1" s="2503"/>
      <c r="F1" s="2503"/>
      <c r="G1" s="2503"/>
      <c r="H1" s="2503"/>
      <c r="I1" s="2503"/>
      <c r="J1" s="2503"/>
      <c r="K1" s="2503"/>
    </row>
    <row r="2" ht="13.5" spans="1:13">
      <c r="A2" s="2249"/>
      <c r="B2" s="2249" t="s">
        <v>1</v>
      </c>
      <c r="C2" s="2249"/>
      <c r="D2" s="2249"/>
      <c r="E2" s="2249"/>
      <c r="F2" s="2249"/>
      <c r="G2" s="2249"/>
      <c r="H2" s="2249"/>
      <c r="I2" s="2249"/>
      <c r="J2" s="2249"/>
      <c r="K2" s="2249"/>
      <c r="L2" s="2030"/>
      <c r="M2" s="2030" t="s">
        <v>2</v>
      </c>
    </row>
    <row r="3" ht="15.75" customHeight="1" spans="1:13">
      <c r="A3" s="2249"/>
      <c r="B3" s="2504" t="s">
        <v>3</v>
      </c>
      <c r="C3" s="2505" t="s">
        <v>4</v>
      </c>
      <c r="D3" s="2506"/>
      <c r="E3" s="2506"/>
      <c r="F3" s="2506"/>
      <c r="G3" s="2507"/>
      <c r="H3" s="2249"/>
      <c r="I3" s="2545" t="s">
        <v>5</v>
      </c>
      <c r="J3" s="2546" t="s">
        <v>6</v>
      </c>
      <c r="K3" s="2249"/>
      <c r="L3" s="2030"/>
      <c r="M3" s="2030" t="s">
        <v>7</v>
      </c>
    </row>
    <row r="4" ht="15.75" customHeight="1" spans="1:11">
      <c r="A4" s="2249"/>
      <c r="B4" s="2508" t="s">
        <v>8</v>
      </c>
      <c r="C4" s="2290" t="s">
        <v>9</v>
      </c>
      <c r="D4" s="2509"/>
      <c r="E4" s="2510" t="s">
        <v>10</v>
      </c>
      <c r="F4" s="2511" t="s">
        <v>11</v>
      </c>
      <c r="G4" s="2512"/>
      <c r="H4" s="2249"/>
      <c r="I4" s="2508" t="s">
        <v>12</v>
      </c>
      <c r="J4" s="2547" t="s">
        <v>13</v>
      </c>
      <c r="K4" s="2249"/>
    </row>
    <row r="5" ht="15.75" customHeight="1" spans="1:11">
      <c r="A5" s="2249"/>
      <c r="B5" s="2508" t="s">
        <v>14</v>
      </c>
      <c r="C5" s="2290" t="s">
        <v>15</v>
      </c>
      <c r="D5" s="2509"/>
      <c r="E5" s="2510" t="s">
        <v>16</v>
      </c>
      <c r="F5" s="2290" t="s">
        <v>17</v>
      </c>
      <c r="G5" s="2513"/>
      <c r="H5" s="2249"/>
      <c r="I5" s="2508" t="s">
        <v>18</v>
      </c>
      <c r="J5" s="2547" t="s">
        <v>13</v>
      </c>
      <c r="K5" s="2249"/>
    </row>
    <row r="6" ht="15.75" customHeight="1" spans="1:11">
      <c r="A6" s="2249"/>
      <c r="B6" s="2514" t="s">
        <v>19</v>
      </c>
      <c r="C6" s="2515" t="s">
        <v>20</v>
      </c>
      <c r="D6" s="2516"/>
      <c r="E6" s="2517" t="s">
        <v>21</v>
      </c>
      <c r="F6" s="2515" t="s">
        <v>20</v>
      </c>
      <c r="G6" s="2518"/>
      <c r="H6" s="2249"/>
      <c r="I6" s="2508" t="s">
        <v>22</v>
      </c>
      <c r="J6" s="2547" t="s">
        <v>13</v>
      </c>
      <c r="K6" s="2249"/>
    </row>
    <row r="7" ht="15.75" customHeight="1" spans="1:11">
      <c r="A7" s="2249"/>
      <c r="B7" s="2519"/>
      <c r="C7" s="2520" t="s">
        <v>23</v>
      </c>
      <c r="D7" s="2516" t="s">
        <v>24</v>
      </c>
      <c r="E7" s="2521"/>
      <c r="F7" s="2520" t="s">
        <v>23</v>
      </c>
      <c r="G7" s="2518">
        <v>42735</v>
      </c>
      <c r="H7" s="2249"/>
      <c r="I7" s="2508" t="s">
        <v>25</v>
      </c>
      <c r="J7" s="2547" t="s">
        <v>13</v>
      </c>
      <c r="K7" s="2249"/>
    </row>
    <row r="8" ht="15.75" customHeight="1" spans="1:11">
      <c r="A8" s="2249"/>
      <c r="B8" s="2522"/>
      <c r="C8" s="2522"/>
      <c r="D8" s="2522"/>
      <c r="E8" s="2522"/>
      <c r="F8" s="2522"/>
      <c r="G8" s="2522"/>
      <c r="H8" s="2249"/>
      <c r="I8" s="2508" t="s">
        <v>26</v>
      </c>
      <c r="J8" s="2547" t="s">
        <v>13</v>
      </c>
      <c r="K8" s="2249"/>
    </row>
    <row r="9" ht="15.75" customHeight="1" spans="1:11">
      <c r="A9" s="2249"/>
      <c r="B9" s="2504" t="s">
        <v>27</v>
      </c>
      <c r="C9" s="2505"/>
      <c r="D9" s="2506"/>
      <c r="E9" s="2506"/>
      <c r="F9" s="2506"/>
      <c r="G9" s="2507"/>
      <c r="H9" s="2249"/>
      <c r="I9" s="2508" t="s">
        <v>28</v>
      </c>
      <c r="J9" s="2547" t="s">
        <v>13</v>
      </c>
      <c r="K9" s="2249"/>
    </row>
    <row r="10" ht="15.75" customHeight="1" spans="1:11">
      <c r="A10" s="2249"/>
      <c r="B10" s="2508" t="s">
        <v>29</v>
      </c>
      <c r="C10" s="2290"/>
      <c r="D10" s="2509"/>
      <c r="E10" s="2510" t="s">
        <v>30</v>
      </c>
      <c r="F10" s="2290"/>
      <c r="G10" s="2513"/>
      <c r="H10" s="2249"/>
      <c r="I10" s="2508" t="s">
        <v>31</v>
      </c>
      <c r="J10" s="2547" t="s">
        <v>13</v>
      </c>
      <c r="K10" s="2249"/>
    </row>
    <row r="11" ht="15.75" customHeight="1" spans="1:11">
      <c r="A11" s="2249"/>
      <c r="B11" s="2523" t="s">
        <v>32</v>
      </c>
      <c r="C11" s="2524"/>
      <c r="D11" s="2525"/>
      <c r="E11" s="2526" t="s">
        <v>33</v>
      </c>
      <c r="F11" s="2527" t="s">
        <v>34</v>
      </c>
      <c r="G11" s="2528"/>
      <c r="H11" s="2249"/>
      <c r="I11" s="2508" t="s">
        <v>35</v>
      </c>
      <c r="J11" s="2547" t="s">
        <v>13</v>
      </c>
      <c r="K11" s="2249"/>
    </row>
    <row r="12" ht="15.75" customHeight="1" spans="1:11">
      <c r="A12" s="2249"/>
      <c r="B12" s="2529" t="s">
        <v>36</v>
      </c>
      <c r="C12" s="2530" t="s">
        <v>2</v>
      </c>
      <c r="D12" s="2531"/>
      <c r="E12" s="2532"/>
      <c r="F12" s="2532"/>
      <c r="G12" s="2533"/>
      <c r="H12" s="2249"/>
      <c r="I12" s="2508" t="s">
        <v>37</v>
      </c>
      <c r="J12" s="2547" t="s">
        <v>13</v>
      </c>
      <c r="K12" s="2249"/>
    </row>
    <row r="13" ht="15.75" customHeight="1" spans="1:11">
      <c r="A13" s="2249"/>
      <c r="B13" s="2534"/>
      <c r="C13" s="2534"/>
      <c r="D13" s="2534"/>
      <c r="E13" s="2534"/>
      <c r="F13" s="2535"/>
      <c r="G13" s="2535"/>
      <c r="H13" s="2249"/>
      <c r="I13" s="2508" t="s">
        <v>38</v>
      </c>
      <c r="J13" s="2547" t="s">
        <v>13</v>
      </c>
      <c r="K13" s="2249"/>
    </row>
    <row r="14" ht="15.75" customHeight="1" spans="1:11">
      <c r="A14" s="2249"/>
      <c r="B14" s="2536" t="s">
        <v>39</v>
      </c>
      <c r="C14" s="2536" t="s">
        <v>40</v>
      </c>
      <c r="D14" s="2537"/>
      <c r="E14" s="2536" t="s">
        <v>41</v>
      </c>
      <c r="F14" s="2538"/>
      <c r="G14" s="2539"/>
      <c r="H14" s="2249"/>
      <c r="I14" s="2508" t="s">
        <v>42</v>
      </c>
      <c r="J14" s="2547" t="s">
        <v>13</v>
      </c>
      <c r="K14" s="2249"/>
    </row>
    <row r="15" ht="15.75" customHeight="1" spans="1:11">
      <c r="A15" s="2249"/>
      <c r="B15" s="2540"/>
      <c r="C15" s="2540"/>
      <c r="D15" s="2540"/>
      <c r="E15" s="2541"/>
      <c r="F15" s="2539"/>
      <c r="G15" s="2539"/>
      <c r="H15" s="2249"/>
      <c r="I15" s="2508" t="s">
        <v>43</v>
      </c>
      <c r="J15" s="2547" t="s">
        <v>13</v>
      </c>
      <c r="K15" s="2249"/>
    </row>
    <row r="16" ht="15.75" customHeight="1" spans="1:11">
      <c r="A16" s="2249"/>
      <c r="B16" s="2542" t="s">
        <v>44</v>
      </c>
      <c r="C16" s="2540"/>
      <c r="D16" s="2540"/>
      <c r="E16" s="2541"/>
      <c r="F16" s="2539"/>
      <c r="G16" s="2539"/>
      <c r="H16" s="2249"/>
      <c r="I16" s="2508" t="s">
        <v>45</v>
      </c>
      <c r="J16" s="2547" t="s">
        <v>13</v>
      </c>
      <c r="K16" s="2249"/>
    </row>
    <row r="17" ht="15.75" customHeight="1" spans="1:11">
      <c r="A17" s="2249"/>
      <c r="B17" s="2540" t="s">
        <v>46</v>
      </c>
      <c r="C17" s="2540"/>
      <c r="D17" s="2540"/>
      <c r="E17" s="2541"/>
      <c r="F17" s="2539"/>
      <c r="G17" s="2539"/>
      <c r="H17" s="2249"/>
      <c r="I17" s="2508" t="s">
        <v>47</v>
      </c>
      <c r="J17" s="2547" t="s">
        <v>13</v>
      </c>
      <c r="K17" s="2249"/>
    </row>
    <row r="18" ht="15.75" customHeight="1" spans="1:11">
      <c r="A18" s="2249"/>
      <c r="B18" s="2540" t="s">
        <v>48</v>
      </c>
      <c r="C18" s="2540"/>
      <c r="D18" s="2540"/>
      <c r="E18" s="2541"/>
      <c r="F18" s="2539"/>
      <c r="G18" s="2539"/>
      <c r="H18" s="2249"/>
      <c r="I18" s="2508" t="s">
        <v>49</v>
      </c>
      <c r="J18" s="2547" t="s">
        <v>13</v>
      </c>
      <c r="K18" s="2249"/>
    </row>
    <row r="19" ht="15.75" customHeight="1" spans="1:11">
      <c r="A19" s="2249"/>
      <c r="B19" s="2540" t="s">
        <v>50</v>
      </c>
      <c r="C19" s="2540"/>
      <c r="D19" s="2540"/>
      <c r="E19" s="2541"/>
      <c r="F19" s="2539"/>
      <c r="G19" s="2539"/>
      <c r="H19" s="2249"/>
      <c r="I19" s="2508" t="s">
        <v>51</v>
      </c>
      <c r="J19" s="2547" t="s">
        <v>13</v>
      </c>
      <c r="K19" s="2249"/>
    </row>
    <row r="20" ht="15.75" customHeight="1" spans="1:11">
      <c r="A20" s="2249"/>
      <c r="B20" s="2543" t="s">
        <v>52</v>
      </c>
      <c r="C20" s="2540"/>
      <c r="D20" s="2540"/>
      <c r="E20" s="2541"/>
      <c r="F20" s="2539"/>
      <c r="G20" s="2539"/>
      <c r="H20" s="2249"/>
      <c r="I20" s="2508" t="s">
        <v>53</v>
      </c>
      <c r="J20" s="2547" t="s">
        <v>13</v>
      </c>
      <c r="K20" s="2249"/>
    </row>
    <row r="21" ht="15.75" customHeight="1" spans="1:11">
      <c r="A21" s="2249"/>
      <c r="B21" s="2543" t="s">
        <v>54</v>
      </c>
      <c r="C21" s="2544"/>
      <c r="D21" s="2544"/>
      <c r="E21" s="2539"/>
      <c r="F21" s="2539"/>
      <c r="G21" s="2539"/>
      <c r="H21" s="2249"/>
      <c r="I21" s="2508" t="s">
        <v>55</v>
      </c>
      <c r="J21" s="2547" t="s">
        <v>13</v>
      </c>
      <c r="K21" s="2249"/>
    </row>
    <row r="22" ht="15.75" customHeight="1" spans="1:11">
      <c r="A22" s="2249"/>
      <c r="B22" s="2539"/>
      <c r="C22" s="2539"/>
      <c r="D22" s="2539"/>
      <c r="E22" s="2539"/>
      <c r="F22" s="2539"/>
      <c r="G22" s="2539"/>
      <c r="H22" s="2249"/>
      <c r="I22" s="2508" t="s">
        <v>56</v>
      </c>
      <c r="J22" s="2547" t="s">
        <v>13</v>
      </c>
      <c r="K22" s="2249"/>
    </row>
    <row r="23" ht="15.75" customHeight="1" spans="1:11">
      <c r="A23" s="2249"/>
      <c r="B23" s="2539"/>
      <c r="C23" s="2539"/>
      <c r="D23" s="2539"/>
      <c r="E23" s="2539"/>
      <c r="F23" s="2539"/>
      <c r="G23" s="2539"/>
      <c r="H23" s="2249"/>
      <c r="I23" s="2508" t="s">
        <v>57</v>
      </c>
      <c r="J23" s="2547" t="s">
        <v>13</v>
      </c>
      <c r="K23" s="2249"/>
    </row>
    <row r="24" ht="15.75" customHeight="1" spans="1:11">
      <c r="A24" s="2249"/>
      <c r="B24" s="2539"/>
      <c r="C24" s="2539"/>
      <c r="D24" s="2539"/>
      <c r="E24" s="2539"/>
      <c r="F24" s="2539"/>
      <c r="G24" s="2539"/>
      <c r="H24" s="2249"/>
      <c r="I24" s="2529"/>
      <c r="J24" s="2548" t="s">
        <v>58</v>
      </c>
      <c r="K24" s="2249"/>
    </row>
    <row r="25" ht="13.5" spans="1:11">
      <c r="A25" s="2249"/>
      <c r="B25" s="2539"/>
      <c r="C25" s="2539"/>
      <c r="D25" s="2539"/>
      <c r="E25" s="2539"/>
      <c r="F25" s="2539"/>
      <c r="G25" s="2539"/>
      <c r="H25" s="2249"/>
      <c r="I25" s="2249"/>
      <c r="J25" s="2249"/>
      <c r="K25" s="2249"/>
    </row>
  </sheetData>
  <mergeCells count="15">
    <mergeCell ref="A1:K1"/>
    <mergeCell ref="C3:G3"/>
    <mergeCell ref="C4:D4"/>
    <mergeCell ref="F4:G4"/>
    <mergeCell ref="C5:D5"/>
    <mergeCell ref="F5:G5"/>
    <mergeCell ref="C9:G9"/>
    <mergeCell ref="C10:D10"/>
    <mergeCell ref="F10:G10"/>
    <mergeCell ref="C11:D11"/>
    <mergeCell ref="F11:G11"/>
    <mergeCell ref="C12:D12"/>
    <mergeCell ref="E12:G12"/>
    <mergeCell ref="B6:B7"/>
    <mergeCell ref="E6:E7"/>
  </mergeCells>
  <dataValidations count="1">
    <dataValidation type="list" allowBlank="1" showInputMessage="1" showErrorMessage="1" sqref="C12:D12">
      <formula1>$M$2:$M$3</formula1>
    </dataValidation>
  </dataValidations>
  <hyperlinks>
    <hyperlink ref="J5" location="未审利润表!A1" display="@"/>
    <hyperlink ref="J6" location="未审现流表!A1" display="@"/>
    <hyperlink ref="J7" location="未审权益表!A1" display="@"/>
    <hyperlink ref="J13" location="审定现流表!A1" display="@"/>
    <hyperlink ref="J14" location="审定权益表!A1" display="@"/>
    <hyperlink ref="J15" location="'财务报表分析（审计总结）'!A1" display="@"/>
    <hyperlink ref="J16" location="试算平衡表!A1" display="@"/>
    <hyperlink ref="J17" location="税项及变更!A1" display="@"/>
    <hyperlink ref="J18" location="报表附注!A1" display="@"/>
    <hyperlink ref="J24" location="试算平衡表!A1" display="."/>
    <hyperlink ref="J8" location="'财务报表分析（风险评估）'!A1" display="@"/>
    <hyperlink ref="J9" location="资负表及利润表调整分录!A1" display="@"/>
    <hyperlink ref="J10" location="现流表调整分录!A1" display="@"/>
    <hyperlink ref="J11" location="审定资负表!A1" display="@"/>
    <hyperlink ref="J12" location="审定利润表!A1" display="@"/>
    <hyperlink ref="J19" location="报表附注合并用!A1" display="@"/>
    <hyperlink ref="J20" location="报表附注其他核对!A1" display="@"/>
    <hyperlink ref="J21" location="现金流量表勾稽核对!A1" display="@"/>
    <hyperlink ref="J22" location="内部事项数据!A1" display="@"/>
    <hyperlink ref="J23" location="非经常损益情况表!A1" display="@"/>
    <hyperlink ref="J4" location="未审资负表!A1" display="@"/>
  </hyperlinks>
  <pageMargins left="0.75" right="0.75" top="1" bottom="1" header="0.5" footer="0.5"/>
  <pageSetup paperSize="9" orientation="portrait" blackAndWhite="1"/>
  <headerFooter alignWithMargins="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7"/>
  <sheetViews>
    <sheetView workbookViewId="0">
      <pane xSplit="3" ySplit="5" topLeftCell="E6" activePane="bottomRight" state="frozen"/>
      <selection/>
      <selection pane="topRight"/>
      <selection pane="bottomLeft"/>
      <selection pane="bottomRight" activeCell="C7" sqref="C7"/>
    </sheetView>
  </sheetViews>
  <sheetFormatPr defaultColWidth="9" defaultRowHeight="14.25"/>
  <cols>
    <col min="1" max="1" width="31.875" style="2306" customWidth="1"/>
    <col min="2" max="2" width="6.375" style="2386" customWidth="1"/>
    <col min="3" max="3" width="15.5" style="2306" customWidth="1"/>
    <col min="4" max="4" width="12" style="2306" hidden="1" customWidth="1"/>
    <col min="5" max="16" width="15" style="2306" customWidth="1"/>
    <col min="17" max="16384" width="9" style="2306"/>
  </cols>
  <sheetData>
    <row r="1" ht="25.5" spans="1:16">
      <c r="A1" s="2307" t="s">
        <v>59</v>
      </c>
      <c r="B1" s="2387"/>
      <c r="C1" s="2388"/>
      <c r="D1" s="2388"/>
      <c r="E1" s="2388"/>
      <c r="F1" s="2388"/>
      <c r="G1" s="2388"/>
      <c r="H1" s="2388"/>
      <c r="I1" s="2388"/>
      <c r="J1" s="2388"/>
      <c r="K1" s="2388"/>
      <c r="L1" s="2388"/>
      <c r="M1" s="2388"/>
      <c r="N1" s="2388"/>
      <c r="O1" s="2388"/>
      <c r="P1" s="2388"/>
    </row>
    <row r="2" ht="15.75" spans="1:16">
      <c r="A2" s="2390"/>
      <c r="B2" s="2311"/>
      <c r="C2" s="2391"/>
      <c r="D2" s="2391"/>
      <c r="E2" s="2391"/>
      <c r="F2" s="2391"/>
      <c r="G2" s="2392"/>
      <c r="H2" s="2392"/>
      <c r="I2" s="2392"/>
      <c r="J2" s="2392"/>
      <c r="K2" s="2392"/>
      <c r="L2" s="2392"/>
      <c r="M2" s="2392"/>
      <c r="N2" s="2392"/>
      <c r="O2" s="2392"/>
      <c r="P2" s="2392"/>
    </row>
    <row r="3" ht="15" spans="1:16">
      <c r="A3" s="2393" t="str">
        <f>未审资负表!A3</f>
        <v>编制单位：石嘴山市深阳蓝光市政工程有限公司</v>
      </c>
      <c r="B3" s="2314"/>
      <c r="C3" s="2394" t="str">
        <f>审定利润表!B3</f>
        <v>2016年度</v>
      </c>
      <c r="D3" s="2394"/>
      <c r="E3" s="2311"/>
      <c r="F3" s="2311"/>
      <c r="G3" s="2395"/>
      <c r="H3" s="2395"/>
      <c r="I3" s="2395"/>
      <c r="J3" s="2395"/>
      <c r="K3" s="2395"/>
      <c r="L3" s="2395"/>
      <c r="M3" s="2395"/>
      <c r="N3" s="2395"/>
      <c r="O3" s="2395"/>
      <c r="P3" s="2395"/>
    </row>
    <row r="4" ht="15" spans="1:16">
      <c r="A4" s="2396" t="s">
        <v>60</v>
      </c>
      <c r="B4" s="2397" t="s">
        <v>61</v>
      </c>
      <c r="C4" s="2398" t="s">
        <v>62</v>
      </c>
      <c r="D4" s="2398"/>
      <c r="E4" s="2398" t="s">
        <v>62</v>
      </c>
      <c r="F4" s="2398" t="s">
        <v>62</v>
      </c>
      <c r="G4" s="2398" t="s">
        <v>62</v>
      </c>
      <c r="H4" s="2398" t="s">
        <v>62</v>
      </c>
      <c r="I4" s="2398" t="s">
        <v>62</v>
      </c>
      <c r="J4" s="2398" t="s">
        <v>62</v>
      </c>
      <c r="K4" s="2398" t="s">
        <v>62</v>
      </c>
      <c r="L4" s="2398" t="s">
        <v>62</v>
      </c>
      <c r="M4" s="2398" t="s">
        <v>62</v>
      </c>
      <c r="N4" s="2398" t="s">
        <v>62</v>
      </c>
      <c r="O4" s="2398" t="s">
        <v>62</v>
      </c>
      <c r="P4" s="2399" t="s">
        <v>62</v>
      </c>
    </row>
    <row r="5" spans="1:16">
      <c r="A5" s="2401"/>
      <c r="B5" s="2402"/>
      <c r="C5" s="2403" t="s">
        <v>63</v>
      </c>
      <c r="D5" s="2403"/>
      <c r="E5" s="2403" t="s">
        <v>64</v>
      </c>
      <c r="F5" s="2403" t="s">
        <v>65</v>
      </c>
      <c r="G5" s="2479" t="s">
        <v>66</v>
      </c>
      <c r="H5" s="2403" t="s">
        <v>67</v>
      </c>
      <c r="I5" s="2403" t="s">
        <v>68</v>
      </c>
      <c r="J5" s="2479" t="s">
        <v>69</v>
      </c>
      <c r="K5" s="2403" t="s">
        <v>70</v>
      </c>
      <c r="L5" s="2403" t="s">
        <v>71</v>
      </c>
      <c r="M5" s="2479" t="s">
        <v>72</v>
      </c>
      <c r="N5" s="2403" t="s">
        <v>73</v>
      </c>
      <c r="O5" s="2403" t="s">
        <v>74</v>
      </c>
      <c r="P5" s="2404" t="s">
        <v>75</v>
      </c>
    </row>
    <row r="6" spans="1:16">
      <c r="A6" s="2406" t="s">
        <v>76</v>
      </c>
      <c r="B6" s="2330" t="s">
        <v>77</v>
      </c>
      <c r="C6" s="2408">
        <f>审定利润表!C6</f>
        <v>0</v>
      </c>
      <c r="D6" s="2408"/>
      <c r="E6" s="2336">
        <f>$C6-SUM($D6:D6)</f>
        <v>0</v>
      </c>
      <c r="F6" s="2336">
        <f>$C6-SUM($D6:E6)</f>
        <v>0</v>
      </c>
      <c r="G6" s="2336">
        <f>$C6-SUM($D6:F6)</f>
        <v>0</v>
      </c>
      <c r="H6" s="2336">
        <f>$C6-SUM($D6:G6)</f>
        <v>0</v>
      </c>
      <c r="I6" s="2336">
        <f>$C6-SUM($D6:H6)</f>
        <v>0</v>
      </c>
      <c r="J6" s="2336">
        <f>$C6-SUM($D6:I6)</f>
        <v>0</v>
      </c>
      <c r="K6" s="2336">
        <f>$C6-SUM($D6:J6)</f>
        <v>0</v>
      </c>
      <c r="L6" s="2336">
        <f>$C6-SUM($D6:K6)</f>
        <v>0</v>
      </c>
      <c r="M6" s="2336">
        <f>$C6-SUM($D6:L6)</f>
        <v>0</v>
      </c>
      <c r="N6" s="2336">
        <f>$C6-SUM($D6:M6)</f>
        <v>0</v>
      </c>
      <c r="O6" s="2336">
        <f>$C6-SUM($D6:N6)</f>
        <v>0</v>
      </c>
      <c r="P6" s="2439">
        <f>$C6-SUM($D6:O6)</f>
        <v>0</v>
      </c>
    </row>
    <row r="7" spans="1:16">
      <c r="A7" s="2401" t="s">
        <v>78</v>
      </c>
      <c r="B7" s="2330" t="s">
        <v>77</v>
      </c>
      <c r="C7" s="2408">
        <f>审定利润表!C7</f>
        <v>0</v>
      </c>
      <c r="D7" s="2408"/>
      <c r="E7" s="2336">
        <f>$C7-SUM($D7:D7)</f>
        <v>0</v>
      </c>
      <c r="F7" s="2336">
        <f>$C7-SUM($D7:E7)</f>
        <v>0</v>
      </c>
      <c r="G7" s="2336">
        <f>$C7-SUM($D7:F7)</f>
        <v>0</v>
      </c>
      <c r="H7" s="2336">
        <f>$C7-SUM($D7:G7)</f>
        <v>0</v>
      </c>
      <c r="I7" s="2336">
        <f>$C7-SUM($D7:H7)</f>
        <v>0</v>
      </c>
      <c r="J7" s="2336">
        <f>$C7-SUM($D7:I7)</f>
        <v>0</v>
      </c>
      <c r="K7" s="2336">
        <f>$C7-SUM($D7:J7)</f>
        <v>0</v>
      </c>
      <c r="L7" s="2336">
        <f>$C7-SUM($D7:K7)</f>
        <v>0</v>
      </c>
      <c r="M7" s="2336">
        <f>$C7-SUM($D7:L7)</f>
        <v>0</v>
      </c>
      <c r="N7" s="2336">
        <f>$C7-SUM($D7:M7)</f>
        <v>0</v>
      </c>
      <c r="O7" s="2336">
        <f>$C7-SUM($D7:N7)</f>
        <v>0</v>
      </c>
      <c r="P7" s="2439">
        <f>$C7-SUM($D7:O7)</f>
        <v>0</v>
      </c>
    </row>
    <row r="8" spans="1:16">
      <c r="A8" s="2401" t="s">
        <v>79</v>
      </c>
      <c r="B8" s="2330" t="s">
        <v>80</v>
      </c>
      <c r="C8" s="2408">
        <f>审定利润表!C8</f>
        <v>0</v>
      </c>
      <c r="D8" s="2408"/>
      <c r="E8" s="2336">
        <f>$C8-SUM($D8:D8)</f>
        <v>0</v>
      </c>
      <c r="F8" s="2336">
        <f>$C8-SUM($D8:E8)</f>
        <v>0</v>
      </c>
      <c r="G8" s="2336">
        <f>$C8-SUM($D8:F8)</f>
        <v>0</v>
      </c>
      <c r="H8" s="2336">
        <f>$C8-SUM($D8:G8)</f>
        <v>0</v>
      </c>
      <c r="I8" s="2336">
        <f>$C8-SUM($D8:H8)</f>
        <v>0</v>
      </c>
      <c r="J8" s="2336">
        <f>$C8-SUM($D8:I8)</f>
        <v>0</v>
      </c>
      <c r="K8" s="2336">
        <f>$C8-SUM($D8:J8)</f>
        <v>0</v>
      </c>
      <c r="L8" s="2336">
        <f>$C8-SUM($D8:K8)</f>
        <v>0</v>
      </c>
      <c r="M8" s="2336">
        <f>$C8-SUM($D8:L8)</f>
        <v>0</v>
      </c>
      <c r="N8" s="2336">
        <f>$C8-SUM($D8:M8)</f>
        <v>0</v>
      </c>
      <c r="O8" s="2336">
        <f>$C8-SUM($D8:N8)</f>
        <v>0</v>
      </c>
      <c r="P8" s="2439">
        <f>$C8-SUM($D8:O8)</f>
        <v>0</v>
      </c>
    </row>
    <row r="9" spans="1:16">
      <c r="A9" s="2401" t="s">
        <v>81</v>
      </c>
      <c r="B9" s="2330" t="s">
        <v>82</v>
      </c>
      <c r="C9" s="2408">
        <f>审定利润表!C9</f>
        <v>0</v>
      </c>
      <c r="D9" s="2408"/>
      <c r="E9" s="2336">
        <f>$C9-SUM($D9:D9)</f>
        <v>0</v>
      </c>
      <c r="F9" s="2336">
        <f>$C9-SUM($D9:E9)</f>
        <v>0</v>
      </c>
      <c r="G9" s="2336">
        <f>$C9-SUM($D9:F9)</f>
        <v>0</v>
      </c>
      <c r="H9" s="2336">
        <f>$C9-SUM($D9:G9)</f>
        <v>0</v>
      </c>
      <c r="I9" s="2336">
        <f>$C9-SUM($D9:H9)</f>
        <v>0</v>
      </c>
      <c r="J9" s="2336">
        <f>$C9-SUM($D9:I9)</f>
        <v>0</v>
      </c>
      <c r="K9" s="2336">
        <f>$C9-SUM($D9:J9)</f>
        <v>0</v>
      </c>
      <c r="L9" s="2336">
        <f>$C9-SUM($D9:K9)</f>
        <v>0</v>
      </c>
      <c r="M9" s="2336">
        <f>$C9-SUM($D9:L9)</f>
        <v>0</v>
      </c>
      <c r="N9" s="2336">
        <f>$C9-SUM($D9:M9)</f>
        <v>0</v>
      </c>
      <c r="O9" s="2336">
        <f>$C9-SUM($D9:N9)</f>
        <v>0</v>
      </c>
      <c r="P9" s="2439">
        <f>$C9-SUM($D9:O9)</f>
        <v>0</v>
      </c>
    </row>
    <row r="10" spans="1:16">
      <c r="A10" s="2401" t="s">
        <v>83</v>
      </c>
      <c r="B10" s="2330" t="s">
        <v>82</v>
      </c>
      <c r="C10" s="2408">
        <f>审定利润表!C10</f>
        <v>0</v>
      </c>
      <c r="D10" s="2408"/>
      <c r="E10" s="2336">
        <f>$C10-SUM($D10:D10)</f>
        <v>0</v>
      </c>
      <c r="F10" s="2336">
        <f>$C10-SUM($D10:E10)</f>
        <v>0</v>
      </c>
      <c r="G10" s="2336">
        <f>$C10-SUM($D10:F10)</f>
        <v>0</v>
      </c>
      <c r="H10" s="2336">
        <f>$C10-SUM($D10:G10)</f>
        <v>0</v>
      </c>
      <c r="I10" s="2336">
        <f>$C10-SUM($D10:H10)</f>
        <v>0</v>
      </c>
      <c r="J10" s="2336">
        <f>$C10-SUM($D10:I10)</f>
        <v>0</v>
      </c>
      <c r="K10" s="2336">
        <f>$C10-SUM($D10:J10)</f>
        <v>0</v>
      </c>
      <c r="L10" s="2336">
        <f>$C10-SUM($D10:K10)</f>
        <v>0</v>
      </c>
      <c r="M10" s="2336">
        <f>$C10-SUM($D10:L10)</f>
        <v>0</v>
      </c>
      <c r="N10" s="2336">
        <f>$C10-SUM($D10:M10)</f>
        <v>0</v>
      </c>
      <c r="O10" s="2336">
        <f>$C10-SUM($D10:N10)</f>
        <v>0</v>
      </c>
      <c r="P10" s="2439">
        <f>$C10-SUM($D10:O10)</f>
        <v>0</v>
      </c>
    </row>
    <row r="11" spans="1:16">
      <c r="A11" s="2401" t="s">
        <v>84</v>
      </c>
      <c r="B11" s="2330" t="s">
        <v>82</v>
      </c>
      <c r="C11" s="2408">
        <f>审定利润表!C11</f>
        <v>0</v>
      </c>
      <c r="D11" s="2408"/>
      <c r="E11" s="2336">
        <f>$C11-SUM($D11:D11)</f>
        <v>0</v>
      </c>
      <c r="F11" s="2336">
        <f>$C11-SUM($D11:E11)</f>
        <v>0</v>
      </c>
      <c r="G11" s="2336">
        <f>$C11-SUM($D11:F11)</f>
        <v>0</v>
      </c>
      <c r="H11" s="2336">
        <f>$C11-SUM($D11:G11)</f>
        <v>0</v>
      </c>
      <c r="I11" s="2336">
        <f>$C11-SUM($D11:H11)</f>
        <v>0</v>
      </c>
      <c r="J11" s="2336">
        <f>$C11-SUM($D11:I11)</f>
        <v>0</v>
      </c>
      <c r="K11" s="2336">
        <f>$C11-SUM($D11:J11)</f>
        <v>0</v>
      </c>
      <c r="L11" s="2336">
        <f>$C11-SUM($D11:K11)</f>
        <v>0</v>
      </c>
      <c r="M11" s="2336">
        <f>$C11-SUM($D11:L11)</f>
        <v>0</v>
      </c>
      <c r="N11" s="2336">
        <f>$C11-SUM($D11:M11)</f>
        <v>0</v>
      </c>
      <c r="O11" s="2336">
        <f>$C11-SUM($D11:N11)</f>
        <v>0</v>
      </c>
      <c r="P11" s="2439">
        <f>$C11-SUM($D11:O11)</f>
        <v>0</v>
      </c>
    </row>
    <row r="12" spans="1:16">
      <c r="A12" s="2401" t="s">
        <v>85</v>
      </c>
      <c r="B12" s="2330" t="s">
        <v>86</v>
      </c>
      <c r="C12" s="2408">
        <f>审定利润表!C12</f>
        <v>0</v>
      </c>
      <c r="D12" s="2408"/>
      <c r="E12" s="2336">
        <f>$C12-SUM($D12:D12)</f>
        <v>0</v>
      </c>
      <c r="F12" s="2336">
        <f>$C12-SUM($D12:E12)</f>
        <v>0</v>
      </c>
      <c r="G12" s="2336">
        <f>$C12-SUM($D12:F12)</f>
        <v>0</v>
      </c>
      <c r="H12" s="2336">
        <f>$C12-SUM($D12:G12)</f>
        <v>0</v>
      </c>
      <c r="I12" s="2336">
        <f>$C12-SUM($D12:H12)</f>
        <v>0</v>
      </c>
      <c r="J12" s="2336">
        <f>$C12-SUM($D12:I12)</f>
        <v>0</v>
      </c>
      <c r="K12" s="2336">
        <f>$C12-SUM($D12:J12)</f>
        <v>0</v>
      </c>
      <c r="L12" s="2336">
        <f>$C12-SUM($D12:K12)</f>
        <v>0</v>
      </c>
      <c r="M12" s="2336">
        <f>$C12-SUM($D12:L12)</f>
        <v>0</v>
      </c>
      <c r="N12" s="2336">
        <f>$C12-SUM($D12:M12)</f>
        <v>0</v>
      </c>
      <c r="O12" s="2336">
        <f>$C12-SUM($D12:N12)</f>
        <v>0</v>
      </c>
      <c r="P12" s="2439">
        <f>$C12-SUM($D12:O12)</f>
        <v>0</v>
      </c>
    </row>
    <row r="13" spans="1:16">
      <c r="A13" s="2401" t="s">
        <v>87</v>
      </c>
      <c r="B13" s="2330" t="s">
        <v>88</v>
      </c>
      <c r="C13" s="2408">
        <f>审定利润表!C13</f>
        <v>0</v>
      </c>
      <c r="D13" s="2408"/>
      <c r="E13" s="2336">
        <f>$C13-SUM($D13:D13)</f>
        <v>0</v>
      </c>
      <c r="F13" s="2336">
        <f>$C13-SUM($D13:E13)</f>
        <v>0</v>
      </c>
      <c r="G13" s="2336">
        <f>$C13-SUM($D13:F13)</f>
        <v>0</v>
      </c>
      <c r="H13" s="2336">
        <f>$C13-SUM($D13:G13)</f>
        <v>0</v>
      </c>
      <c r="I13" s="2336">
        <f>$C13-SUM($D13:H13)</f>
        <v>0</v>
      </c>
      <c r="J13" s="2336">
        <f>$C13-SUM($D13:I13)</f>
        <v>0</v>
      </c>
      <c r="K13" s="2336">
        <f>$C13-SUM($D13:J13)</f>
        <v>0</v>
      </c>
      <c r="L13" s="2336">
        <f>$C13-SUM($D13:K13)</f>
        <v>0</v>
      </c>
      <c r="M13" s="2336">
        <f>$C13-SUM($D13:L13)</f>
        <v>0</v>
      </c>
      <c r="N13" s="2336">
        <f>$C13-SUM($D13:M13)</f>
        <v>0</v>
      </c>
      <c r="O13" s="2336">
        <f>$C13-SUM($D13:N13)</f>
        <v>0</v>
      </c>
      <c r="P13" s="2439">
        <f>$C13-SUM($D13:O13)</f>
        <v>0</v>
      </c>
    </row>
    <row r="14" spans="1:16">
      <c r="A14" s="2401" t="s">
        <v>89</v>
      </c>
      <c r="B14" s="2330" t="s">
        <v>90</v>
      </c>
      <c r="C14" s="2408">
        <f>审定利润表!C14</f>
        <v>0</v>
      </c>
      <c r="D14" s="2408"/>
      <c r="E14" s="2336">
        <f>$C14-SUM($D14:D14)</f>
        <v>0</v>
      </c>
      <c r="F14" s="2336">
        <f>$C14-SUM($D14:E14)</f>
        <v>0</v>
      </c>
      <c r="G14" s="2336">
        <f>$C14-SUM($D14:F14)</f>
        <v>0</v>
      </c>
      <c r="H14" s="2336">
        <f>$C14-SUM($D14:G14)</f>
        <v>0</v>
      </c>
      <c r="I14" s="2336">
        <f>$C14-SUM($D14:H14)</f>
        <v>0</v>
      </c>
      <c r="J14" s="2336">
        <f>$C14-SUM($D14:I14)</f>
        <v>0</v>
      </c>
      <c r="K14" s="2336">
        <f>$C14-SUM($D14:J14)</f>
        <v>0</v>
      </c>
      <c r="L14" s="2336">
        <f>$C14-SUM($D14:K14)</f>
        <v>0</v>
      </c>
      <c r="M14" s="2336">
        <f>$C14-SUM($D14:L14)</f>
        <v>0</v>
      </c>
      <c r="N14" s="2336">
        <f>$C14-SUM($D14:M14)</f>
        <v>0</v>
      </c>
      <c r="O14" s="2336">
        <f>$C14-SUM($D14:N14)</f>
        <v>0</v>
      </c>
      <c r="P14" s="2439">
        <f>$C14-SUM($D14:O14)</f>
        <v>0</v>
      </c>
    </row>
    <row r="15" spans="1:16">
      <c r="A15" s="2401" t="s">
        <v>91</v>
      </c>
      <c r="B15" s="2330"/>
      <c r="C15" s="2408">
        <f>审定利润表!C15</f>
        <v>0</v>
      </c>
      <c r="D15" s="2408"/>
      <c r="E15" s="2336">
        <f>$C15-SUM($D15:D15)</f>
        <v>0</v>
      </c>
      <c r="F15" s="2336">
        <f>$C15-SUM($D15:E15)</f>
        <v>0</v>
      </c>
      <c r="G15" s="2336">
        <f>$C15-SUM($D15:F15)</f>
        <v>0</v>
      </c>
      <c r="H15" s="2336">
        <f>$C15-SUM($D15:G15)</f>
        <v>0</v>
      </c>
      <c r="I15" s="2336">
        <f>$C15-SUM($D15:H15)</f>
        <v>0</v>
      </c>
      <c r="J15" s="2336">
        <f>$C15-SUM($D15:I15)</f>
        <v>0</v>
      </c>
      <c r="K15" s="2336">
        <f>$C15-SUM($D15:J15)</f>
        <v>0</v>
      </c>
      <c r="L15" s="2336">
        <f>$C15-SUM($D15:K15)</f>
        <v>0</v>
      </c>
      <c r="M15" s="2336">
        <f>$C15-SUM($D15:L15)</f>
        <v>0</v>
      </c>
      <c r="N15" s="2336">
        <f>$C15-SUM($D15:M15)</f>
        <v>0</v>
      </c>
      <c r="O15" s="2336">
        <f>$C15-SUM($D15:N15)</f>
        <v>0</v>
      </c>
      <c r="P15" s="2439">
        <f>$C15-SUM($D15:O15)</f>
        <v>0</v>
      </c>
    </row>
    <row r="16" spans="1:16">
      <c r="A16" s="2401" t="s">
        <v>92</v>
      </c>
      <c r="B16" s="2330"/>
      <c r="C16" s="2408">
        <f>审定利润表!C17</f>
        <v>0</v>
      </c>
      <c r="D16" s="2408"/>
      <c r="E16" s="2336">
        <f>$C16-SUM($D16:D16)</f>
        <v>0</v>
      </c>
      <c r="F16" s="2336">
        <f>$C16-SUM($D16:E16)</f>
        <v>0</v>
      </c>
      <c r="G16" s="2336">
        <f>$C16-SUM($D16:F16)</f>
        <v>0</v>
      </c>
      <c r="H16" s="2336">
        <f>$C16-SUM($D16:G16)</f>
        <v>0</v>
      </c>
      <c r="I16" s="2336">
        <f>$C16-SUM($D16:H16)</f>
        <v>0</v>
      </c>
      <c r="J16" s="2336">
        <f>$C16-SUM($D16:I16)</f>
        <v>0</v>
      </c>
      <c r="K16" s="2336">
        <f>$C16-SUM($D16:J16)</f>
        <v>0</v>
      </c>
      <c r="L16" s="2336">
        <f>$C16-SUM($D16:K16)</f>
        <v>0</v>
      </c>
      <c r="M16" s="2336">
        <f>$C16-SUM($D16:L16)</f>
        <v>0</v>
      </c>
      <c r="N16" s="2336">
        <f>$C16-SUM($D16:M16)</f>
        <v>0</v>
      </c>
      <c r="O16" s="2336">
        <f>$C16-SUM($D16:N16)</f>
        <v>0</v>
      </c>
      <c r="P16" s="2439">
        <f>$C16-SUM($D16:O16)</f>
        <v>0</v>
      </c>
    </row>
    <row r="17" spans="1:16">
      <c r="A17" s="2401"/>
      <c r="B17" s="2330"/>
      <c r="C17" s="2408"/>
      <c r="D17" s="2408"/>
      <c r="E17" s="2408"/>
      <c r="F17" s="2408"/>
      <c r="G17" s="2408"/>
      <c r="H17" s="2408"/>
      <c r="I17" s="2408"/>
      <c r="J17" s="2408"/>
      <c r="K17" s="2408"/>
      <c r="L17" s="2408"/>
      <c r="M17" s="2408"/>
      <c r="N17" s="2408"/>
      <c r="O17" s="2408"/>
      <c r="P17" s="2410"/>
    </row>
    <row r="18" spans="1:16">
      <c r="A18" s="2406" t="s">
        <v>93</v>
      </c>
      <c r="B18" s="2348"/>
      <c r="C18" s="2412">
        <f>审定利润表!C19</f>
        <v>0</v>
      </c>
      <c r="D18" s="2412"/>
      <c r="E18" s="2412">
        <f>ROUND(E6-SUM(E7:E12)+E13+E14+E16,2)</f>
        <v>0</v>
      </c>
      <c r="F18" s="2412">
        <f t="shared" ref="F18:P18" si="0">ROUND(F6-SUM(F7:F12)+F13+F14+F16,2)</f>
        <v>0</v>
      </c>
      <c r="G18" s="2412">
        <f t="shared" si="0"/>
        <v>0</v>
      </c>
      <c r="H18" s="2412">
        <f t="shared" si="0"/>
        <v>0</v>
      </c>
      <c r="I18" s="2412">
        <f t="shared" si="0"/>
        <v>0</v>
      </c>
      <c r="J18" s="2412">
        <f t="shared" si="0"/>
        <v>0</v>
      </c>
      <c r="K18" s="2412">
        <f t="shared" si="0"/>
        <v>0</v>
      </c>
      <c r="L18" s="2412">
        <f t="shared" si="0"/>
        <v>0</v>
      </c>
      <c r="M18" s="2412">
        <f t="shared" si="0"/>
        <v>0</v>
      </c>
      <c r="N18" s="2412">
        <f t="shared" si="0"/>
        <v>0</v>
      </c>
      <c r="O18" s="2412">
        <f t="shared" si="0"/>
        <v>0</v>
      </c>
      <c r="P18" s="2490">
        <f t="shared" si="0"/>
        <v>0</v>
      </c>
    </row>
    <row r="19" spans="1:16">
      <c r="A19" s="2401" t="s">
        <v>94</v>
      </c>
      <c r="B19" s="2330" t="s">
        <v>95</v>
      </c>
      <c r="C19" s="2408">
        <f>审定利润表!C20</f>
        <v>0</v>
      </c>
      <c r="D19" s="2408"/>
      <c r="E19" s="2336">
        <f>$C19-SUM($D19:D19)</f>
        <v>0</v>
      </c>
      <c r="F19" s="2336">
        <f>$C19-SUM($D19:E19)</f>
        <v>0</v>
      </c>
      <c r="G19" s="2336">
        <f>$C19-SUM($D19:F19)</f>
        <v>0</v>
      </c>
      <c r="H19" s="2336">
        <f>$C19-SUM($D19:G19)</f>
        <v>0</v>
      </c>
      <c r="I19" s="2336">
        <f>$C19-SUM($D19:H19)</f>
        <v>0</v>
      </c>
      <c r="J19" s="2336">
        <f>$C19-SUM($D19:I19)</f>
        <v>0</v>
      </c>
      <c r="K19" s="2336">
        <f>$C19-SUM($D19:J19)</f>
        <v>0</v>
      </c>
      <c r="L19" s="2336">
        <f>$C19-SUM($D19:K19)</f>
        <v>0</v>
      </c>
      <c r="M19" s="2336">
        <f>$C19-SUM($D19:L19)</f>
        <v>0</v>
      </c>
      <c r="N19" s="2336">
        <f>$C19-SUM($D19:M19)</f>
        <v>0</v>
      </c>
      <c r="O19" s="2336">
        <f>$C19-SUM($D19:N19)</f>
        <v>0</v>
      </c>
      <c r="P19" s="2439">
        <f>$C19-SUM($D19:O19)</f>
        <v>0</v>
      </c>
    </row>
    <row r="20" spans="1:16">
      <c r="A20" s="2401" t="s">
        <v>96</v>
      </c>
      <c r="B20" s="2330" t="s">
        <v>97</v>
      </c>
      <c r="C20" s="2408">
        <f>审定利润表!C21</f>
        <v>0</v>
      </c>
      <c r="D20" s="2408"/>
      <c r="E20" s="2336">
        <f>$C20-SUM($D20:D20)</f>
        <v>0</v>
      </c>
      <c r="F20" s="2336">
        <f>$C20-SUM($D20:E20)</f>
        <v>0</v>
      </c>
      <c r="G20" s="2336">
        <f>$C20-SUM($D20:F20)</f>
        <v>0</v>
      </c>
      <c r="H20" s="2336">
        <f>$C20-SUM($D20:G20)</f>
        <v>0</v>
      </c>
      <c r="I20" s="2336">
        <f>$C20-SUM($D20:H20)</f>
        <v>0</v>
      </c>
      <c r="J20" s="2336">
        <f>$C20-SUM($D20:I20)</f>
        <v>0</v>
      </c>
      <c r="K20" s="2336">
        <f>$C20-SUM($D20:J20)</f>
        <v>0</v>
      </c>
      <c r="L20" s="2336">
        <f>$C20-SUM($D20:K20)</f>
        <v>0</v>
      </c>
      <c r="M20" s="2336">
        <f>$C20-SUM($D20:L20)</f>
        <v>0</v>
      </c>
      <c r="N20" s="2336">
        <f>$C20-SUM($D20:M20)</f>
        <v>0</v>
      </c>
      <c r="O20" s="2336">
        <f>$C20-SUM($D20:N20)</f>
        <v>0</v>
      </c>
      <c r="P20" s="2439">
        <f>$C20-SUM($D20:O20)</f>
        <v>0</v>
      </c>
    </row>
    <row r="21" spans="1:16">
      <c r="A21" s="2401" t="s">
        <v>98</v>
      </c>
      <c r="B21" s="2330"/>
      <c r="C21" s="2408">
        <f>审定利润表!C27</f>
        <v>0</v>
      </c>
      <c r="D21" s="2408"/>
      <c r="E21" s="2336">
        <f>$C21-SUM($D21:D21)</f>
        <v>0</v>
      </c>
      <c r="F21" s="2336">
        <f>$C21-SUM($D21:E21)</f>
        <v>0</v>
      </c>
      <c r="G21" s="2336">
        <f>$C21-SUM($D21:F21)</f>
        <v>0</v>
      </c>
      <c r="H21" s="2336">
        <f>$C21-SUM($D21:G21)</f>
        <v>0</v>
      </c>
      <c r="I21" s="2336">
        <f>$C21-SUM($D21:H21)</f>
        <v>0</v>
      </c>
      <c r="J21" s="2336">
        <f>$C21-SUM($D21:I21)</f>
        <v>0</v>
      </c>
      <c r="K21" s="2336">
        <f>$C21-SUM($D21:J21)</f>
        <v>0</v>
      </c>
      <c r="L21" s="2336">
        <f>$C21-SUM($D21:K21)</f>
        <v>0</v>
      </c>
      <c r="M21" s="2336">
        <f>$C21-SUM($D21:L21)</f>
        <v>0</v>
      </c>
      <c r="N21" s="2336">
        <f>$C21-SUM($D21:M21)</f>
        <v>0</v>
      </c>
      <c r="O21" s="2336">
        <f>$C21-SUM($D21:N21)</f>
        <v>0</v>
      </c>
      <c r="P21" s="2439">
        <f>$C21-SUM($D21:O21)</f>
        <v>0</v>
      </c>
    </row>
    <row r="22" spans="1:16">
      <c r="A22" s="2401"/>
      <c r="B22" s="2330"/>
      <c r="C22" s="2408"/>
      <c r="D22" s="2408"/>
      <c r="E22" s="2408"/>
      <c r="F22" s="2408"/>
      <c r="G22" s="2408"/>
      <c r="H22" s="2408"/>
      <c r="I22" s="2408"/>
      <c r="J22" s="2408"/>
      <c r="K22" s="2408"/>
      <c r="L22" s="2408"/>
      <c r="M22" s="2408"/>
      <c r="N22" s="2408"/>
      <c r="O22" s="2408"/>
      <c r="P22" s="2410"/>
    </row>
    <row r="23" spans="1:16">
      <c r="A23" s="2406" t="s">
        <v>99</v>
      </c>
      <c r="B23" s="2330"/>
      <c r="C23" s="2412">
        <f>审定利润表!C22</f>
        <v>0</v>
      </c>
      <c r="D23" s="2412"/>
      <c r="E23" s="2412">
        <f>ROUND(E18+E19-E20,2)</f>
        <v>0</v>
      </c>
      <c r="F23" s="2412">
        <f t="shared" ref="F23:P23" si="1">ROUND(F18+F19-F20,2)</f>
        <v>0</v>
      </c>
      <c r="G23" s="2412">
        <f t="shared" si="1"/>
        <v>0</v>
      </c>
      <c r="H23" s="2412">
        <f t="shared" si="1"/>
        <v>0</v>
      </c>
      <c r="I23" s="2412">
        <f t="shared" si="1"/>
        <v>0</v>
      </c>
      <c r="J23" s="2412">
        <f t="shared" si="1"/>
        <v>0</v>
      </c>
      <c r="K23" s="2412">
        <f t="shared" si="1"/>
        <v>0</v>
      </c>
      <c r="L23" s="2412">
        <f t="shared" si="1"/>
        <v>0</v>
      </c>
      <c r="M23" s="2412">
        <f t="shared" si="1"/>
        <v>0</v>
      </c>
      <c r="N23" s="2412">
        <f t="shared" si="1"/>
        <v>0</v>
      </c>
      <c r="O23" s="2412">
        <f t="shared" si="1"/>
        <v>0</v>
      </c>
      <c r="P23" s="2490">
        <f t="shared" si="1"/>
        <v>0</v>
      </c>
    </row>
    <row r="24" spans="1:16">
      <c r="A24" s="2401" t="s">
        <v>100</v>
      </c>
      <c r="B24" s="2330" t="s">
        <v>101</v>
      </c>
      <c r="C24" s="2408">
        <f>审定利润表!C23</f>
        <v>0</v>
      </c>
      <c r="D24" s="2408"/>
      <c r="E24" s="2336">
        <f>$C24-SUM($D24:D24)</f>
        <v>0</v>
      </c>
      <c r="F24" s="2336">
        <f>$C24-SUM($D24:E24)</f>
        <v>0</v>
      </c>
      <c r="G24" s="2336">
        <f>$C24-SUM($D24:F24)</f>
        <v>0</v>
      </c>
      <c r="H24" s="2336">
        <f>$C24-SUM($D24:G24)</f>
        <v>0</v>
      </c>
      <c r="I24" s="2336">
        <f>$C24-SUM($D24:H24)</f>
        <v>0</v>
      </c>
      <c r="J24" s="2336">
        <f>$C24-SUM($D24:I24)</f>
        <v>0</v>
      </c>
      <c r="K24" s="2336">
        <f>$C24-SUM($D24:J24)</f>
        <v>0</v>
      </c>
      <c r="L24" s="2336">
        <f>$C24-SUM($D24:K24)</f>
        <v>0</v>
      </c>
      <c r="M24" s="2336">
        <f>$C24-SUM($D24:L24)</f>
        <v>0</v>
      </c>
      <c r="N24" s="2336">
        <f>$C24-SUM($D24:M24)</f>
        <v>0</v>
      </c>
      <c r="O24" s="2336">
        <f>$C24-SUM($D24:N24)</f>
        <v>0</v>
      </c>
      <c r="P24" s="2439">
        <f>$C24-SUM($D24:O24)</f>
        <v>0</v>
      </c>
    </row>
    <row r="25" spans="1:16">
      <c r="A25" s="2401"/>
      <c r="B25" s="2330"/>
      <c r="C25" s="2408"/>
      <c r="D25" s="2408"/>
      <c r="E25" s="2408"/>
      <c r="F25" s="2408"/>
      <c r="G25" s="2408"/>
      <c r="H25" s="2408"/>
      <c r="I25" s="2408"/>
      <c r="J25" s="2408"/>
      <c r="K25" s="2408"/>
      <c r="L25" s="2408"/>
      <c r="M25" s="2408"/>
      <c r="N25" s="2408"/>
      <c r="O25" s="2408"/>
      <c r="P25" s="2410"/>
    </row>
    <row r="26" spans="1:16">
      <c r="A26" s="2406" t="s">
        <v>102</v>
      </c>
      <c r="B26" s="2348"/>
      <c r="C26" s="2412">
        <f>审定利润表!C24</f>
        <v>0</v>
      </c>
      <c r="D26" s="2412"/>
      <c r="E26" s="2412">
        <f>ROUND(E23-E24,2)</f>
        <v>0</v>
      </c>
      <c r="F26" s="2412">
        <f t="shared" ref="F26:P26" si="2">ROUND(F23-F24,2)</f>
        <v>0</v>
      </c>
      <c r="G26" s="2412">
        <f t="shared" si="2"/>
        <v>0</v>
      </c>
      <c r="H26" s="2412">
        <f t="shared" si="2"/>
        <v>0</v>
      </c>
      <c r="I26" s="2412">
        <f t="shared" si="2"/>
        <v>0</v>
      </c>
      <c r="J26" s="2412">
        <f t="shared" si="2"/>
        <v>0</v>
      </c>
      <c r="K26" s="2412">
        <f t="shared" si="2"/>
        <v>0</v>
      </c>
      <c r="L26" s="2412">
        <f t="shared" si="2"/>
        <v>0</v>
      </c>
      <c r="M26" s="2412">
        <f t="shared" si="2"/>
        <v>0</v>
      </c>
      <c r="N26" s="2412">
        <f t="shared" si="2"/>
        <v>0</v>
      </c>
      <c r="O26" s="2412">
        <f t="shared" si="2"/>
        <v>0</v>
      </c>
      <c r="P26" s="2490">
        <f t="shared" si="2"/>
        <v>0</v>
      </c>
    </row>
    <row r="27" hidden="1" spans="1:16">
      <c r="A27" s="2401" t="s">
        <v>103</v>
      </c>
      <c r="B27" s="2330"/>
      <c r="C27" s="2412">
        <f>审定利润表!C25</f>
        <v>0</v>
      </c>
      <c r="D27" s="2412"/>
      <c r="E27" s="2412">
        <f t="shared" ref="E27:P27" si="3">E26-E28</f>
        <v>0</v>
      </c>
      <c r="F27" s="2412">
        <f t="shared" si="3"/>
        <v>0</v>
      </c>
      <c r="G27" s="2412">
        <f t="shared" si="3"/>
        <v>0</v>
      </c>
      <c r="H27" s="2412">
        <f t="shared" si="3"/>
        <v>0</v>
      </c>
      <c r="I27" s="2412">
        <f t="shared" si="3"/>
        <v>0</v>
      </c>
      <c r="J27" s="2412">
        <f t="shared" si="3"/>
        <v>0</v>
      </c>
      <c r="K27" s="2412">
        <f t="shared" si="3"/>
        <v>0</v>
      </c>
      <c r="L27" s="2412">
        <f t="shared" si="3"/>
        <v>0</v>
      </c>
      <c r="M27" s="2412">
        <f t="shared" si="3"/>
        <v>0</v>
      </c>
      <c r="N27" s="2412">
        <f t="shared" si="3"/>
        <v>0</v>
      </c>
      <c r="O27" s="2412">
        <f t="shared" si="3"/>
        <v>0</v>
      </c>
      <c r="P27" s="2490">
        <f t="shared" si="3"/>
        <v>0</v>
      </c>
    </row>
    <row r="28" hidden="1" spans="1:16">
      <c r="A28" s="2401" t="s">
        <v>104</v>
      </c>
      <c r="B28" s="2330"/>
      <c r="C28" s="2408">
        <f>审定利润表!C26</f>
        <v>0</v>
      </c>
      <c r="D28" s="2408"/>
      <c r="E28" s="2336">
        <f>$C28-SUM($D28:D28)</f>
        <v>0</v>
      </c>
      <c r="F28" s="2336">
        <f>$C28-SUM($D28:E28)</f>
        <v>0</v>
      </c>
      <c r="G28" s="2336">
        <f>$C28-SUM($D28:F28)</f>
        <v>0</v>
      </c>
      <c r="H28" s="2336">
        <f>$C28-SUM($D28:G28)</f>
        <v>0</v>
      </c>
      <c r="I28" s="2336">
        <f>$C28-SUM($D28:H28)</f>
        <v>0</v>
      </c>
      <c r="J28" s="2336">
        <f>$C28-SUM($D28:I28)</f>
        <v>0</v>
      </c>
      <c r="K28" s="2336">
        <f>$C28-SUM($D28:J28)</f>
        <v>0</v>
      </c>
      <c r="L28" s="2336">
        <f>$C28-SUM($D28:K28)</f>
        <v>0</v>
      </c>
      <c r="M28" s="2336">
        <f>$C28-SUM($D28:L28)</f>
        <v>0</v>
      </c>
      <c r="N28" s="2336">
        <f>$C28-SUM($D28:M28)</f>
        <v>0</v>
      </c>
      <c r="O28" s="2336">
        <f>$C28-SUM($D28:N28)</f>
        <v>0</v>
      </c>
      <c r="P28" s="2439">
        <f>$C28-SUM($D28:O28)</f>
        <v>0</v>
      </c>
    </row>
    <row r="29" spans="1:16">
      <c r="A29" s="2401"/>
      <c r="B29" s="2348"/>
      <c r="C29" s="2416"/>
      <c r="D29" s="2416"/>
      <c r="E29" s="2416"/>
      <c r="F29" s="2416"/>
      <c r="G29" s="2416"/>
      <c r="H29" s="2416"/>
      <c r="I29" s="2416"/>
      <c r="J29" s="2416"/>
      <c r="K29" s="2416"/>
      <c r="L29" s="2416"/>
      <c r="M29" s="2416"/>
      <c r="N29" s="2416"/>
      <c r="O29" s="2416"/>
      <c r="P29" s="2417"/>
    </row>
    <row r="30" spans="1:16">
      <c r="A30" s="2406" t="s">
        <v>105</v>
      </c>
      <c r="B30" s="2348"/>
      <c r="C30" s="2416"/>
      <c r="D30" s="2416"/>
      <c r="E30" s="2416"/>
      <c r="F30" s="2416"/>
      <c r="G30" s="2416"/>
      <c r="H30" s="2416"/>
      <c r="I30" s="2416"/>
      <c r="J30" s="2416"/>
      <c r="K30" s="2416"/>
      <c r="L30" s="2416"/>
      <c r="M30" s="2416"/>
      <c r="N30" s="2416"/>
      <c r="O30" s="2416"/>
      <c r="P30" s="2417"/>
    </row>
    <row r="31" spans="1:16">
      <c r="A31" s="2401" t="s">
        <v>106</v>
      </c>
      <c r="B31" s="2348"/>
      <c r="C31" s="2414"/>
      <c r="D31" s="2414"/>
      <c r="E31" s="2414"/>
      <c r="F31" s="2414"/>
      <c r="G31" s="2414"/>
      <c r="H31" s="2414"/>
      <c r="I31" s="2414"/>
      <c r="J31" s="2414"/>
      <c r="K31" s="2414"/>
      <c r="L31" s="2414"/>
      <c r="M31" s="2414"/>
      <c r="N31" s="2414"/>
      <c r="O31" s="2414"/>
      <c r="P31" s="2418"/>
    </row>
    <row r="32" ht="15" spans="1:16">
      <c r="A32" s="2419" t="s">
        <v>107</v>
      </c>
      <c r="B32" s="2420"/>
      <c r="C32" s="2421"/>
      <c r="D32" s="2421"/>
      <c r="E32" s="2421"/>
      <c r="F32" s="2421"/>
      <c r="G32" s="2421"/>
      <c r="H32" s="2421"/>
      <c r="I32" s="2421"/>
      <c r="J32" s="2421"/>
      <c r="K32" s="2421"/>
      <c r="L32" s="2421"/>
      <c r="M32" s="2421"/>
      <c r="N32" s="2421"/>
      <c r="O32" s="2421"/>
      <c r="P32" s="2422"/>
    </row>
    <row r="33" ht="15" spans="1:16">
      <c r="A33" s="2423"/>
      <c r="B33" s="2424"/>
      <c r="C33" s="2425"/>
      <c r="D33" s="2425"/>
      <c r="E33" s="2425"/>
      <c r="F33" s="2425"/>
      <c r="G33" s="2425"/>
      <c r="H33" s="2425"/>
      <c r="I33" s="2425"/>
      <c r="J33" s="2425"/>
      <c r="K33" s="2425"/>
      <c r="L33" s="2425"/>
      <c r="M33" s="2425"/>
      <c r="N33" s="2425"/>
      <c r="O33" s="2425"/>
      <c r="P33" s="2425"/>
    </row>
    <row r="34" ht="15" spans="1:16">
      <c r="A34" s="2428" t="s">
        <v>108</v>
      </c>
      <c r="B34" s="2424"/>
      <c r="C34" s="2425"/>
      <c r="D34" s="2425"/>
      <c r="E34" s="2425"/>
      <c r="F34" s="2425"/>
      <c r="G34" s="2425"/>
      <c r="H34" s="2425"/>
      <c r="I34" s="2425"/>
      <c r="J34" s="2425"/>
      <c r="K34" s="2425"/>
      <c r="L34" s="2425"/>
      <c r="M34" s="2425"/>
      <c r="N34" s="2425"/>
      <c r="O34" s="2425"/>
      <c r="P34" s="2425"/>
    </row>
    <row r="35" ht="15" spans="1:16">
      <c r="A35" s="2430" t="s">
        <v>109</v>
      </c>
      <c r="B35" s="2431"/>
      <c r="C35" s="2433">
        <f>审定利润表!C36</f>
        <v>0</v>
      </c>
      <c r="D35" s="2433"/>
      <c r="E35" s="2433">
        <f t="shared" ref="E35:P35" si="4">E27</f>
        <v>0</v>
      </c>
      <c r="F35" s="2433">
        <f t="shared" si="4"/>
        <v>0</v>
      </c>
      <c r="G35" s="2433">
        <f t="shared" si="4"/>
        <v>0</v>
      </c>
      <c r="H35" s="2433">
        <f t="shared" si="4"/>
        <v>0</v>
      </c>
      <c r="I35" s="2433">
        <f t="shared" si="4"/>
        <v>0</v>
      </c>
      <c r="J35" s="2433">
        <f t="shared" si="4"/>
        <v>0</v>
      </c>
      <c r="K35" s="2433">
        <f t="shared" si="4"/>
        <v>0</v>
      </c>
      <c r="L35" s="2433">
        <f t="shared" si="4"/>
        <v>0</v>
      </c>
      <c r="M35" s="2433">
        <f t="shared" si="4"/>
        <v>0</v>
      </c>
      <c r="N35" s="2433">
        <f t="shared" si="4"/>
        <v>0</v>
      </c>
      <c r="O35" s="2433">
        <f t="shared" si="4"/>
        <v>0</v>
      </c>
      <c r="P35" s="2441">
        <f t="shared" si="4"/>
        <v>0</v>
      </c>
    </row>
    <row r="36" spans="1:16">
      <c r="A36" s="2401" t="s">
        <v>110</v>
      </c>
      <c r="B36" s="2348"/>
      <c r="C36" s="2408">
        <f>审定利润表!C37</f>
        <v>0</v>
      </c>
      <c r="D36" s="2408"/>
      <c r="E36" s="2336">
        <f>$C36-SUM($D36:D36)</f>
        <v>0</v>
      </c>
      <c r="F36" s="2336">
        <f>$C36-SUM($D36:E36)</f>
        <v>0</v>
      </c>
      <c r="G36" s="2336">
        <f>$C36-SUM($D36:F36)</f>
        <v>0</v>
      </c>
      <c r="H36" s="2336">
        <f>$C36-SUM($D36:G36)</f>
        <v>0</v>
      </c>
      <c r="I36" s="2336">
        <f>$C36-SUM($D36:H36)</f>
        <v>0</v>
      </c>
      <c r="J36" s="2336">
        <f>$C36-SUM($D36:I36)</f>
        <v>0</v>
      </c>
      <c r="K36" s="2336">
        <f>$C36-SUM($D36:J36)</f>
        <v>0</v>
      </c>
      <c r="L36" s="2336">
        <f>$C36-SUM($D36:K36)</f>
        <v>0</v>
      </c>
      <c r="M36" s="2336">
        <f>$C36-SUM($D36:L36)</f>
        <v>0</v>
      </c>
      <c r="N36" s="2336">
        <f>$C36-SUM($D36:M36)</f>
        <v>0</v>
      </c>
      <c r="O36" s="2336">
        <f>$C36-SUM($D36:N36)</f>
        <v>0</v>
      </c>
      <c r="P36" s="2439">
        <f>$C36-SUM($D36:O36)</f>
        <v>0</v>
      </c>
    </row>
    <row r="37" spans="1:16">
      <c r="A37" s="2401" t="s">
        <v>111</v>
      </c>
      <c r="B37" s="2348"/>
      <c r="C37" s="2408">
        <f>审定利润表!C38</f>
        <v>0</v>
      </c>
      <c r="D37" s="2408"/>
      <c r="E37" s="2336">
        <f>$C37-SUM($D37:D37)</f>
        <v>0</v>
      </c>
      <c r="F37" s="2336">
        <f>$C37-SUM($D37:E37)</f>
        <v>0</v>
      </c>
      <c r="G37" s="2336">
        <f>$C37-SUM($D37:F37)</f>
        <v>0</v>
      </c>
      <c r="H37" s="2336">
        <f>$C37-SUM($D37:G37)</f>
        <v>0</v>
      </c>
      <c r="I37" s="2336">
        <f>$C37-SUM($D37:H37)</f>
        <v>0</v>
      </c>
      <c r="J37" s="2336">
        <f>$C37-SUM($D37:I37)</f>
        <v>0</v>
      </c>
      <c r="K37" s="2336">
        <f>$C37-SUM($D37:J37)</f>
        <v>0</v>
      </c>
      <c r="L37" s="2336">
        <f>$C37-SUM($D37:K37)</f>
        <v>0</v>
      </c>
      <c r="M37" s="2336">
        <f>$C37-SUM($D37:L37)</f>
        <v>0</v>
      </c>
      <c r="N37" s="2336">
        <f>$C37-SUM($D37:M37)</f>
        <v>0</v>
      </c>
      <c r="O37" s="2336">
        <f>$C37-SUM($D37:N37)</f>
        <v>0</v>
      </c>
      <c r="P37" s="2439">
        <f>$C37-SUM($D37:O37)</f>
        <v>0</v>
      </c>
    </row>
    <row r="38" ht="15" spans="1:16">
      <c r="A38" s="2419" t="s">
        <v>112</v>
      </c>
      <c r="B38" s="2351"/>
      <c r="C38" s="2420">
        <f>审定利润表!C39</f>
        <v>0</v>
      </c>
      <c r="D38" s="2420"/>
      <c r="E38" s="2420">
        <f>ROUND(E35+E36-E37,2)</f>
        <v>0</v>
      </c>
      <c r="F38" s="2420">
        <f t="shared" ref="F38:P38" si="5">ROUND(F35+F36-F37,2)</f>
        <v>0</v>
      </c>
      <c r="G38" s="2420">
        <f t="shared" si="5"/>
        <v>0</v>
      </c>
      <c r="H38" s="2420">
        <f t="shared" si="5"/>
        <v>0</v>
      </c>
      <c r="I38" s="2420">
        <f t="shared" si="5"/>
        <v>0</v>
      </c>
      <c r="J38" s="2420">
        <f t="shared" si="5"/>
        <v>0</v>
      </c>
      <c r="K38" s="2420">
        <f t="shared" si="5"/>
        <v>0</v>
      </c>
      <c r="L38" s="2420">
        <f t="shared" si="5"/>
        <v>0</v>
      </c>
      <c r="M38" s="2420">
        <f t="shared" si="5"/>
        <v>0</v>
      </c>
      <c r="N38" s="2420">
        <f t="shared" si="5"/>
        <v>0</v>
      </c>
      <c r="O38" s="2420">
        <f t="shared" si="5"/>
        <v>0</v>
      </c>
      <c r="P38" s="2491">
        <f t="shared" si="5"/>
        <v>0</v>
      </c>
    </row>
    <row r="39" ht="20.25" customHeight="1" spans="1:16">
      <c r="A39" s="2472" t="s">
        <v>59</v>
      </c>
      <c r="B39" s="2480"/>
      <c r="C39" s="2480"/>
      <c r="D39" s="2480"/>
      <c r="E39" s="2481"/>
      <c r="F39" s="2481"/>
      <c r="G39" s="2481"/>
      <c r="H39" s="2481"/>
      <c r="I39" s="2481"/>
      <c r="J39" s="2481"/>
      <c r="K39" s="2481"/>
      <c r="L39" s="2481"/>
      <c r="M39" s="2481"/>
      <c r="N39" s="2481"/>
      <c r="O39" s="2481"/>
      <c r="P39" s="2481"/>
    </row>
    <row r="40" spans="1:16">
      <c r="A40" s="2482"/>
      <c r="B40" s="2311"/>
      <c r="C40" s="2389"/>
      <c r="D40" s="2389"/>
      <c r="E40" s="2389"/>
      <c r="F40" s="2389"/>
      <c r="G40" s="2389"/>
      <c r="H40" s="2389"/>
      <c r="I40" s="2389"/>
      <c r="J40" s="2389"/>
      <c r="K40" s="2389"/>
      <c r="L40" s="2389"/>
      <c r="M40" s="2389"/>
      <c r="N40" s="2389"/>
      <c r="O40" s="2389"/>
      <c r="P40" s="2389"/>
    </row>
    <row r="41" ht="15" spans="1:16">
      <c r="A41" s="2482" t="str">
        <f>A3</f>
        <v>编制单位：石嘴山市深阳蓝光市政工程有限公司</v>
      </c>
      <c r="B41" s="2314"/>
      <c r="C41" s="2389"/>
      <c r="D41" s="2389"/>
      <c r="E41" s="2389"/>
      <c r="F41" s="2389"/>
      <c r="G41" s="2389"/>
      <c r="H41" s="2389"/>
      <c r="I41" s="2389"/>
      <c r="J41" s="2389"/>
      <c r="K41" s="2389"/>
      <c r="L41" s="2389"/>
      <c r="M41" s="2389"/>
      <c r="N41" s="2389"/>
      <c r="O41" s="2389"/>
      <c r="P41" s="2389"/>
    </row>
    <row r="42" ht="15" spans="1:16">
      <c r="A42" s="2483" t="s">
        <v>60</v>
      </c>
      <c r="B42" s="2397" t="s">
        <v>61</v>
      </c>
      <c r="C42" s="2484" t="str">
        <f>IF(参数表!$C$12="本期间为特定年","上年金额","上期金额")</f>
        <v>上年金额</v>
      </c>
      <c r="D42" s="2484"/>
      <c r="E42" s="2484" t="str">
        <f>IF(参数表!$C$12="本期间为特定年","上年金额","上期金额")</f>
        <v>上年金额</v>
      </c>
      <c r="F42" s="2484" t="str">
        <f>IF(参数表!$C$12="本期间为特定年","上年金额","上期金额")</f>
        <v>上年金额</v>
      </c>
      <c r="G42" s="2484" t="str">
        <f>IF(参数表!$C$12="本期间为特定年","上年金额","上期金额")</f>
        <v>上年金额</v>
      </c>
      <c r="H42" s="2484" t="str">
        <f>IF(参数表!$C$12="本期间为特定年","上年金额","上期金额")</f>
        <v>上年金额</v>
      </c>
      <c r="I42" s="2484" t="str">
        <f>IF(参数表!$C$12="本期间为特定年","上年金额","上期金额")</f>
        <v>上年金额</v>
      </c>
      <c r="J42" s="2484" t="str">
        <f>IF(参数表!$C$12="本期间为特定年","上年金额","上期金额")</f>
        <v>上年金额</v>
      </c>
      <c r="K42" s="2484" t="str">
        <f>IF(参数表!$C$12="本期间为特定年","上年金额","上期金额")</f>
        <v>上年金额</v>
      </c>
      <c r="L42" s="2484" t="str">
        <f>IF(参数表!$C$12="本期间为特定年","上年金额","上期金额")</f>
        <v>上年金额</v>
      </c>
      <c r="M42" s="2484" t="str">
        <f>IF(参数表!$C$12="本期间为特定年","上年金额","上期金额")</f>
        <v>上年金额</v>
      </c>
      <c r="N42" s="2484" t="str">
        <f>IF(参数表!$C$12="本期间为特定年","上年金额","上期金额")</f>
        <v>上年金额</v>
      </c>
      <c r="O42" s="2484" t="str">
        <f>IF(参数表!$C$12="本期间为特定年","上年金额","上期金额")</f>
        <v>上年金额</v>
      </c>
      <c r="P42" s="2492" t="str">
        <f>IF(参数表!$C$12="本期间为特定年","上年金额","上期金额")</f>
        <v>上年金额</v>
      </c>
    </row>
    <row r="43" spans="1:16">
      <c r="A43" s="2485"/>
      <c r="B43" s="2474"/>
      <c r="C43" s="2405" t="s">
        <v>113</v>
      </c>
      <c r="D43" s="2405"/>
      <c r="E43" s="2403" t="s">
        <v>64</v>
      </c>
      <c r="F43" s="2403" t="s">
        <v>65</v>
      </c>
      <c r="G43" s="2479" t="s">
        <v>66</v>
      </c>
      <c r="H43" s="2403" t="s">
        <v>67</v>
      </c>
      <c r="I43" s="2403" t="s">
        <v>68</v>
      </c>
      <c r="J43" s="2479" t="s">
        <v>69</v>
      </c>
      <c r="K43" s="2403" t="s">
        <v>70</v>
      </c>
      <c r="L43" s="2403" t="s">
        <v>71</v>
      </c>
      <c r="M43" s="2479" t="s">
        <v>72</v>
      </c>
      <c r="N43" s="2403" t="s">
        <v>73</v>
      </c>
      <c r="O43" s="2403" t="s">
        <v>74</v>
      </c>
      <c r="P43" s="2404" t="s">
        <v>75</v>
      </c>
    </row>
    <row r="44" spans="1:16">
      <c r="A44" s="2486" t="s">
        <v>76</v>
      </c>
      <c r="B44" s="2330" t="s">
        <v>77</v>
      </c>
      <c r="C44" s="2487">
        <f>ROUND(SUM(D44:P44),2)</f>
        <v>0</v>
      </c>
      <c r="D44" s="2408"/>
      <c r="E44" s="2336"/>
      <c r="F44" s="2336"/>
      <c r="G44" s="2336"/>
      <c r="H44" s="2336"/>
      <c r="I44" s="2336"/>
      <c r="J44" s="2336"/>
      <c r="K44" s="2336"/>
      <c r="L44" s="2336"/>
      <c r="M44" s="2336"/>
      <c r="N44" s="2336"/>
      <c r="O44" s="2336"/>
      <c r="P44" s="2439"/>
    </row>
    <row r="45" spans="1:16">
      <c r="A45" s="2488" t="s">
        <v>78</v>
      </c>
      <c r="B45" s="2330" t="s">
        <v>77</v>
      </c>
      <c r="C45" s="2487">
        <f t="shared" ref="C45:C54" si="6">ROUND(SUM(D45:P45),2)</f>
        <v>0</v>
      </c>
      <c r="D45" s="2408"/>
      <c r="E45" s="2336"/>
      <c r="F45" s="2336"/>
      <c r="G45" s="2336"/>
      <c r="H45" s="2336"/>
      <c r="I45" s="2336"/>
      <c r="J45" s="2336"/>
      <c r="K45" s="2336"/>
      <c r="L45" s="2336"/>
      <c r="M45" s="2336"/>
      <c r="N45" s="2336"/>
      <c r="O45" s="2336"/>
      <c r="P45" s="2439"/>
    </row>
    <row r="46" spans="1:16">
      <c r="A46" s="2488" t="s">
        <v>79</v>
      </c>
      <c r="B46" s="2330" t="s">
        <v>80</v>
      </c>
      <c r="C46" s="2487">
        <f t="shared" si="6"/>
        <v>0</v>
      </c>
      <c r="D46" s="2408"/>
      <c r="E46" s="2336"/>
      <c r="F46" s="2336"/>
      <c r="G46" s="2336"/>
      <c r="H46" s="2336"/>
      <c r="I46" s="2336"/>
      <c r="J46" s="2336"/>
      <c r="K46" s="2336"/>
      <c r="L46" s="2336"/>
      <c r="M46" s="2336"/>
      <c r="N46" s="2336"/>
      <c r="O46" s="2336"/>
      <c r="P46" s="2439"/>
    </row>
    <row r="47" spans="1:16">
      <c r="A47" s="2488" t="s">
        <v>81</v>
      </c>
      <c r="B47" s="2330" t="s">
        <v>82</v>
      </c>
      <c r="C47" s="2487">
        <f t="shared" si="6"/>
        <v>0</v>
      </c>
      <c r="D47" s="2408"/>
      <c r="E47" s="2336"/>
      <c r="F47" s="2336"/>
      <c r="G47" s="2336"/>
      <c r="H47" s="2336"/>
      <c r="I47" s="2336"/>
      <c r="J47" s="2336"/>
      <c r="K47" s="2336"/>
      <c r="L47" s="2336"/>
      <c r="M47" s="2336"/>
      <c r="N47" s="2336"/>
      <c r="O47" s="2336"/>
      <c r="P47" s="2439"/>
    </row>
    <row r="48" spans="1:16">
      <c r="A48" s="2488" t="s">
        <v>83</v>
      </c>
      <c r="B48" s="2330" t="s">
        <v>82</v>
      </c>
      <c r="C48" s="2487">
        <f t="shared" si="6"/>
        <v>0</v>
      </c>
      <c r="D48" s="2408"/>
      <c r="E48" s="2336"/>
      <c r="F48" s="2336"/>
      <c r="G48" s="2336"/>
      <c r="H48" s="2336"/>
      <c r="I48" s="2336"/>
      <c r="J48" s="2336"/>
      <c r="K48" s="2336"/>
      <c r="L48" s="2336"/>
      <c r="M48" s="2336"/>
      <c r="N48" s="2336"/>
      <c r="O48" s="2336"/>
      <c r="P48" s="2439"/>
    </row>
    <row r="49" spans="1:16">
      <c r="A49" s="2488" t="s">
        <v>84</v>
      </c>
      <c r="B49" s="2330" t="s">
        <v>82</v>
      </c>
      <c r="C49" s="2487">
        <f t="shared" si="6"/>
        <v>0</v>
      </c>
      <c r="D49" s="2408"/>
      <c r="E49" s="2336"/>
      <c r="F49" s="2336"/>
      <c r="G49" s="2336"/>
      <c r="H49" s="2336"/>
      <c r="I49" s="2336"/>
      <c r="J49" s="2336"/>
      <c r="K49" s="2336"/>
      <c r="L49" s="2336"/>
      <c r="M49" s="2336"/>
      <c r="N49" s="2336"/>
      <c r="O49" s="2336"/>
      <c r="P49" s="2439"/>
    </row>
    <row r="50" spans="1:16">
      <c r="A50" s="2488" t="s">
        <v>85</v>
      </c>
      <c r="B50" s="2330" t="s">
        <v>86</v>
      </c>
      <c r="C50" s="2487">
        <f t="shared" si="6"/>
        <v>0</v>
      </c>
      <c r="D50" s="2408"/>
      <c r="E50" s="2336"/>
      <c r="F50" s="2336"/>
      <c r="G50" s="2336"/>
      <c r="H50" s="2336"/>
      <c r="I50" s="2336"/>
      <c r="J50" s="2336"/>
      <c r="K50" s="2336"/>
      <c r="L50" s="2336"/>
      <c r="M50" s="2336"/>
      <c r="N50" s="2336"/>
      <c r="O50" s="2336"/>
      <c r="P50" s="2439"/>
    </row>
    <row r="51" spans="1:16">
      <c r="A51" s="2488" t="s">
        <v>87</v>
      </c>
      <c r="B51" s="2330" t="s">
        <v>88</v>
      </c>
      <c r="C51" s="2487">
        <f t="shared" si="6"/>
        <v>0</v>
      </c>
      <c r="D51" s="2408"/>
      <c r="E51" s="2336"/>
      <c r="F51" s="2336"/>
      <c r="G51" s="2336"/>
      <c r="H51" s="2336"/>
      <c r="I51" s="2336"/>
      <c r="J51" s="2336"/>
      <c r="K51" s="2336"/>
      <c r="L51" s="2336"/>
      <c r="M51" s="2336"/>
      <c r="N51" s="2336"/>
      <c r="O51" s="2336"/>
      <c r="P51" s="2439"/>
    </row>
    <row r="52" spans="1:16">
      <c r="A52" s="2488" t="s">
        <v>89</v>
      </c>
      <c r="B52" s="2330" t="s">
        <v>90</v>
      </c>
      <c r="C52" s="2487">
        <f t="shared" si="6"/>
        <v>0</v>
      </c>
      <c r="D52" s="2408"/>
      <c r="E52" s="2336"/>
      <c r="F52" s="2336"/>
      <c r="G52" s="2336"/>
      <c r="H52" s="2336"/>
      <c r="I52" s="2336"/>
      <c r="J52" s="2336"/>
      <c r="K52" s="2336"/>
      <c r="L52" s="2336"/>
      <c r="M52" s="2336"/>
      <c r="N52" s="2336"/>
      <c r="O52" s="2336"/>
      <c r="P52" s="2439"/>
    </row>
    <row r="53" spans="1:16">
      <c r="A53" s="2488" t="s">
        <v>91</v>
      </c>
      <c r="B53" s="2330"/>
      <c r="C53" s="2487">
        <f t="shared" si="6"/>
        <v>0</v>
      </c>
      <c r="D53" s="2408"/>
      <c r="E53" s="2336"/>
      <c r="F53" s="2336"/>
      <c r="G53" s="2336"/>
      <c r="H53" s="2336"/>
      <c r="I53" s="2336"/>
      <c r="J53" s="2336"/>
      <c r="K53" s="2336"/>
      <c r="L53" s="2336"/>
      <c r="M53" s="2336"/>
      <c r="N53" s="2336"/>
      <c r="O53" s="2336"/>
      <c r="P53" s="2439"/>
    </row>
    <row r="54" spans="1:16">
      <c r="A54" s="2488" t="s">
        <v>92</v>
      </c>
      <c r="B54" s="2330"/>
      <c r="C54" s="2487">
        <f t="shared" si="6"/>
        <v>0</v>
      </c>
      <c r="D54" s="2408"/>
      <c r="E54" s="2336"/>
      <c r="F54" s="2336"/>
      <c r="G54" s="2336"/>
      <c r="H54" s="2336"/>
      <c r="I54" s="2336"/>
      <c r="J54" s="2336"/>
      <c r="K54" s="2336"/>
      <c r="L54" s="2336"/>
      <c r="M54" s="2336"/>
      <c r="N54" s="2336"/>
      <c r="O54" s="2336"/>
      <c r="P54" s="2439"/>
    </row>
    <row r="55" spans="1:16">
      <c r="A55" s="2489"/>
      <c r="B55" s="2330"/>
      <c r="C55" s="2408"/>
      <c r="D55" s="2408"/>
      <c r="E55" s="2408"/>
      <c r="F55" s="2408"/>
      <c r="G55" s="2408"/>
      <c r="H55" s="2408"/>
      <c r="I55" s="2408"/>
      <c r="J55" s="2408"/>
      <c r="K55" s="2408"/>
      <c r="L55" s="2408"/>
      <c r="M55" s="2408"/>
      <c r="N55" s="2408"/>
      <c r="O55" s="2408"/>
      <c r="P55" s="2410"/>
    </row>
    <row r="56" spans="1:16">
      <c r="A56" s="2486" t="s">
        <v>93</v>
      </c>
      <c r="B56" s="2348"/>
      <c r="C56" s="2412">
        <f>ROUND(C44-SUM(C45:C50)+C51+C52+C54,2)</f>
        <v>0</v>
      </c>
      <c r="D56" s="2412"/>
      <c r="E56" s="2412">
        <f>ROUND(E44-SUM(E45:E50)+E51+E52+E54,2)</f>
        <v>0</v>
      </c>
      <c r="F56" s="2412">
        <f t="shared" ref="F56:P56" si="7">ROUND(F44-SUM(F45:F50)+F51+F52+F54,2)</f>
        <v>0</v>
      </c>
      <c r="G56" s="2412">
        <f t="shared" si="7"/>
        <v>0</v>
      </c>
      <c r="H56" s="2412">
        <f t="shared" si="7"/>
        <v>0</v>
      </c>
      <c r="I56" s="2412">
        <f t="shared" si="7"/>
        <v>0</v>
      </c>
      <c r="J56" s="2412">
        <f t="shared" si="7"/>
        <v>0</v>
      </c>
      <c r="K56" s="2412">
        <f t="shared" si="7"/>
        <v>0</v>
      </c>
      <c r="L56" s="2412">
        <f t="shared" si="7"/>
        <v>0</v>
      </c>
      <c r="M56" s="2412">
        <f t="shared" si="7"/>
        <v>0</v>
      </c>
      <c r="N56" s="2412">
        <f t="shared" si="7"/>
        <v>0</v>
      </c>
      <c r="O56" s="2412">
        <f t="shared" si="7"/>
        <v>0</v>
      </c>
      <c r="P56" s="2490">
        <f t="shared" si="7"/>
        <v>0</v>
      </c>
    </row>
    <row r="57" spans="1:16">
      <c r="A57" s="2488" t="s">
        <v>94</v>
      </c>
      <c r="B57" s="2330" t="s">
        <v>95</v>
      </c>
      <c r="C57" s="2487">
        <f>ROUND(SUM(D57:P57),2)</f>
        <v>0</v>
      </c>
      <c r="D57" s="2408"/>
      <c r="E57" s="2336"/>
      <c r="F57" s="2336"/>
      <c r="G57" s="2336"/>
      <c r="H57" s="2336"/>
      <c r="I57" s="2336"/>
      <c r="J57" s="2336"/>
      <c r="K57" s="2336"/>
      <c r="L57" s="2336"/>
      <c r="M57" s="2336"/>
      <c r="N57" s="2336"/>
      <c r="O57" s="2336"/>
      <c r="P57" s="2439"/>
    </row>
    <row r="58" spans="1:16">
      <c r="A58" s="2488" t="s">
        <v>96</v>
      </c>
      <c r="B58" s="2330" t="s">
        <v>97</v>
      </c>
      <c r="C58" s="2487">
        <f>ROUND(SUM(D58:P58),2)</f>
        <v>0</v>
      </c>
      <c r="D58" s="2408"/>
      <c r="E58" s="2336"/>
      <c r="F58" s="2336"/>
      <c r="G58" s="2336"/>
      <c r="H58" s="2336"/>
      <c r="I58" s="2336"/>
      <c r="J58" s="2336"/>
      <c r="K58" s="2336"/>
      <c r="L58" s="2336"/>
      <c r="M58" s="2336"/>
      <c r="N58" s="2336"/>
      <c r="O58" s="2336"/>
      <c r="P58" s="2439"/>
    </row>
    <row r="59" spans="1:16">
      <c r="A59" s="2488" t="s">
        <v>98</v>
      </c>
      <c r="B59" s="2330"/>
      <c r="C59" s="2487">
        <f>ROUND(SUM(D59:P59),2)</f>
        <v>0</v>
      </c>
      <c r="D59" s="2408"/>
      <c r="E59" s="2414"/>
      <c r="F59" s="2414"/>
      <c r="G59" s="2414"/>
      <c r="H59" s="2414"/>
      <c r="I59" s="2414"/>
      <c r="J59" s="2414"/>
      <c r="K59" s="2414"/>
      <c r="L59" s="2414"/>
      <c r="M59" s="2414"/>
      <c r="N59" s="2414"/>
      <c r="O59" s="2414"/>
      <c r="P59" s="2418"/>
    </row>
    <row r="60" spans="1:16">
      <c r="A60" s="2489"/>
      <c r="B60" s="2330"/>
      <c r="C60" s="2408"/>
      <c r="D60" s="2408"/>
      <c r="E60" s="2408"/>
      <c r="F60" s="2408"/>
      <c r="G60" s="2408"/>
      <c r="H60" s="2408"/>
      <c r="I60" s="2408"/>
      <c r="J60" s="2408"/>
      <c r="K60" s="2408"/>
      <c r="L60" s="2408"/>
      <c r="M60" s="2408"/>
      <c r="N60" s="2408"/>
      <c r="O60" s="2408"/>
      <c r="P60" s="2410"/>
    </row>
    <row r="61" spans="1:16">
      <c r="A61" s="2486" t="s">
        <v>99</v>
      </c>
      <c r="B61" s="2330"/>
      <c r="C61" s="2487">
        <f>ROUND(SUM(D61:P61),2)</f>
        <v>0</v>
      </c>
      <c r="D61" s="2412"/>
      <c r="E61" s="2412">
        <f t="shared" ref="E61:P61" si="8">E56+E57-E58</f>
        <v>0</v>
      </c>
      <c r="F61" s="2412">
        <f t="shared" si="8"/>
        <v>0</v>
      </c>
      <c r="G61" s="2412">
        <f t="shared" si="8"/>
        <v>0</v>
      </c>
      <c r="H61" s="2412">
        <f t="shared" si="8"/>
        <v>0</v>
      </c>
      <c r="I61" s="2412">
        <f t="shared" si="8"/>
        <v>0</v>
      </c>
      <c r="J61" s="2412">
        <f t="shared" si="8"/>
        <v>0</v>
      </c>
      <c r="K61" s="2412">
        <f t="shared" si="8"/>
        <v>0</v>
      </c>
      <c r="L61" s="2412">
        <f t="shared" si="8"/>
        <v>0</v>
      </c>
      <c r="M61" s="2412">
        <f t="shared" si="8"/>
        <v>0</v>
      </c>
      <c r="N61" s="2412">
        <f t="shared" si="8"/>
        <v>0</v>
      </c>
      <c r="O61" s="2412">
        <f t="shared" si="8"/>
        <v>0</v>
      </c>
      <c r="P61" s="2490">
        <f t="shared" si="8"/>
        <v>0</v>
      </c>
    </row>
    <row r="62" spans="1:16">
      <c r="A62" s="2488" t="s">
        <v>100</v>
      </c>
      <c r="B62" s="2330" t="s">
        <v>101</v>
      </c>
      <c r="C62" s="2487">
        <f>ROUND(SUM(D62:P62),2)</f>
        <v>0</v>
      </c>
      <c r="D62" s="2408"/>
      <c r="E62" s="2336"/>
      <c r="F62" s="2336"/>
      <c r="G62" s="2336"/>
      <c r="H62" s="2336"/>
      <c r="I62" s="2336"/>
      <c r="J62" s="2336"/>
      <c r="K62" s="2336"/>
      <c r="L62" s="2336"/>
      <c r="M62" s="2336"/>
      <c r="N62" s="2336"/>
      <c r="O62" s="2336"/>
      <c r="P62" s="2439"/>
    </row>
    <row r="63" spans="1:16">
      <c r="A63" s="2489"/>
      <c r="B63" s="2330"/>
      <c r="C63" s="2408"/>
      <c r="D63" s="2408"/>
      <c r="E63" s="2408"/>
      <c r="F63" s="2408"/>
      <c r="G63" s="2408"/>
      <c r="H63" s="2408"/>
      <c r="I63" s="2408"/>
      <c r="J63" s="2408"/>
      <c r="K63" s="2408"/>
      <c r="L63" s="2408"/>
      <c r="M63" s="2408"/>
      <c r="N63" s="2408"/>
      <c r="O63" s="2408"/>
      <c r="P63" s="2410"/>
    </row>
    <row r="64" spans="1:16">
      <c r="A64" s="2486" t="s">
        <v>102</v>
      </c>
      <c r="B64" s="2348"/>
      <c r="C64" s="2412">
        <f>ROUND(C61-C62,2)</f>
        <v>0</v>
      </c>
      <c r="D64" s="2412"/>
      <c r="E64" s="2412">
        <f>ROUND(E61-E62,2)</f>
        <v>0</v>
      </c>
      <c r="F64" s="2412">
        <f t="shared" ref="F64:P64" si="9">ROUND(F61-F62,2)</f>
        <v>0</v>
      </c>
      <c r="G64" s="2412">
        <f t="shared" si="9"/>
        <v>0</v>
      </c>
      <c r="H64" s="2412">
        <f t="shared" si="9"/>
        <v>0</v>
      </c>
      <c r="I64" s="2412">
        <f t="shared" si="9"/>
        <v>0</v>
      </c>
      <c r="J64" s="2412">
        <f t="shared" si="9"/>
        <v>0</v>
      </c>
      <c r="K64" s="2412">
        <f t="shared" si="9"/>
        <v>0</v>
      </c>
      <c r="L64" s="2412">
        <f t="shared" si="9"/>
        <v>0</v>
      </c>
      <c r="M64" s="2412">
        <f t="shared" si="9"/>
        <v>0</v>
      </c>
      <c r="N64" s="2412">
        <f t="shared" si="9"/>
        <v>0</v>
      </c>
      <c r="O64" s="2412">
        <f t="shared" si="9"/>
        <v>0</v>
      </c>
      <c r="P64" s="2490">
        <f t="shared" si="9"/>
        <v>0</v>
      </c>
    </row>
    <row r="65" spans="1:16">
      <c r="A65" s="2488" t="s">
        <v>103</v>
      </c>
      <c r="B65" s="2330"/>
      <c r="C65" s="2487">
        <f>ROUND(SUM(D65:P65),2)</f>
        <v>0</v>
      </c>
      <c r="D65" s="2412"/>
      <c r="E65" s="2412"/>
      <c r="F65" s="2412"/>
      <c r="G65" s="2412"/>
      <c r="H65" s="2412"/>
      <c r="I65" s="2412"/>
      <c r="J65" s="2412"/>
      <c r="K65" s="2412"/>
      <c r="L65" s="2412"/>
      <c r="M65" s="2412"/>
      <c r="N65" s="2412"/>
      <c r="O65" s="2412"/>
      <c r="P65" s="2490"/>
    </row>
    <row r="66" spans="1:16">
      <c r="A66" s="2488" t="s">
        <v>104</v>
      </c>
      <c r="B66" s="2330"/>
      <c r="C66" s="2487">
        <f>ROUND(SUM(D66:P66),2)</f>
        <v>0</v>
      </c>
      <c r="D66" s="2408"/>
      <c r="E66" s="2415"/>
      <c r="F66" s="2415"/>
      <c r="G66" s="2415"/>
      <c r="H66" s="2415"/>
      <c r="I66" s="2415"/>
      <c r="J66" s="2415"/>
      <c r="K66" s="2415"/>
      <c r="L66" s="2415"/>
      <c r="M66" s="2415"/>
      <c r="N66" s="2415"/>
      <c r="O66" s="2415"/>
      <c r="P66" s="2440"/>
    </row>
    <row r="67" spans="1:16">
      <c r="A67" s="2488"/>
      <c r="B67" s="2348"/>
      <c r="C67" s="2416"/>
      <c r="D67" s="2416"/>
      <c r="E67" s="2416"/>
      <c r="F67" s="2416"/>
      <c r="G67" s="2416"/>
      <c r="H67" s="2416"/>
      <c r="I67" s="2416"/>
      <c r="J67" s="2416"/>
      <c r="K67" s="2416"/>
      <c r="L67" s="2416"/>
      <c r="M67" s="2416"/>
      <c r="N67" s="2416"/>
      <c r="O67" s="2416"/>
      <c r="P67" s="2417"/>
    </row>
    <row r="68" spans="1:16">
      <c r="A68" s="2486" t="s">
        <v>105</v>
      </c>
      <c r="B68" s="2348"/>
      <c r="C68" s="2416"/>
      <c r="D68" s="2416"/>
      <c r="E68" s="2416"/>
      <c r="F68" s="2416"/>
      <c r="G68" s="2416"/>
      <c r="H68" s="2416"/>
      <c r="I68" s="2416"/>
      <c r="J68" s="2416"/>
      <c r="K68" s="2416"/>
      <c r="L68" s="2416"/>
      <c r="M68" s="2416"/>
      <c r="N68" s="2416"/>
      <c r="O68" s="2416"/>
      <c r="P68" s="2417"/>
    </row>
    <row r="69" spans="1:16">
      <c r="A69" s="2488" t="s">
        <v>106</v>
      </c>
      <c r="B69" s="2348"/>
      <c r="C69" s="2414"/>
      <c r="D69" s="2414"/>
      <c r="E69" s="2414"/>
      <c r="F69" s="2414"/>
      <c r="G69" s="2414"/>
      <c r="H69" s="2414"/>
      <c r="I69" s="2414"/>
      <c r="J69" s="2414"/>
      <c r="K69" s="2414"/>
      <c r="L69" s="2414"/>
      <c r="M69" s="2414"/>
      <c r="N69" s="2414"/>
      <c r="O69" s="2414"/>
      <c r="P69" s="2418"/>
    </row>
    <row r="70" ht="15" spans="1:16">
      <c r="A70" s="2493" t="s">
        <v>107</v>
      </c>
      <c r="B70" s="2420"/>
      <c r="C70" s="2421"/>
      <c r="D70" s="2421"/>
      <c r="E70" s="2421"/>
      <c r="F70" s="2421"/>
      <c r="G70" s="2421"/>
      <c r="H70" s="2421"/>
      <c r="I70" s="2421"/>
      <c r="J70" s="2421"/>
      <c r="K70" s="2421"/>
      <c r="L70" s="2421"/>
      <c r="M70" s="2421"/>
      <c r="N70" s="2421"/>
      <c r="O70" s="2421"/>
      <c r="P70" s="2422"/>
    </row>
    <row r="71" ht="15" spans="1:16">
      <c r="A71" s="2494"/>
      <c r="B71" s="2424"/>
      <c r="C71" s="2426"/>
      <c r="D71" s="2426"/>
      <c r="E71" s="2426"/>
      <c r="F71" s="2426"/>
      <c r="G71" s="2426"/>
      <c r="H71" s="2426"/>
      <c r="I71" s="2426"/>
      <c r="J71" s="2426"/>
      <c r="K71" s="2426"/>
      <c r="L71" s="2426"/>
      <c r="M71" s="2426"/>
      <c r="N71" s="2426"/>
      <c r="O71" s="2426"/>
      <c r="P71" s="2426"/>
    </row>
    <row r="72" ht="15" spans="1:16">
      <c r="A72" s="2476" t="s">
        <v>108</v>
      </c>
      <c r="B72" s="2424"/>
      <c r="C72" s="2426"/>
      <c r="D72" s="2426"/>
      <c r="E72" s="2426"/>
      <c r="F72" s="2426"/>
      <c r="G72" s="2426"/>
      <c r="H72" s="2426"/>
      <c r="I72" s="2426"/>
      <c r="J72" s="2426"/>
      <c r="K72" s="2426"/>
      <c r="L72" s="2426"/>
      <c r="M72" s="2426"/>
      <c r="N72" s="2426"/>
      <c r="O72" s="2426"/>
      <c r="P72" s="2426"/>
    </row>
    <row r="73" ht="15" spans="1:16">
      <c r="A73" s="2495" t="s">
        <v>109</v>
      </c>
      <c r="B73" s="2496"/>
      <c r="C73" s="2433">
        <f>审定利润表!D36</f>
        <v>0</v>
      </c>
      <c r="D73" s="2433"/>
      <c r="E73" s="2433">
        <f t="shared" ref="E73:P73" si="10">E65</f>
        <v>0</v>
      </c>
      <c r="F73" s="2433">
        <f t="shared" si="10"/>
        <v>0</v>
      </c>
      <c r="G73" s="2433">
        <f t="shared" si="10"/>
        <v>0</v>
      </c>
      <c r="H73" s="2433">
        <f t="shared" si="10"/>
        <v>0</v>
      </c>
      <c r="I73" s="2433">
        <f t="shared" si="10"/>
        <v>0</v>
      </c>
      <c r="J73" s="2433">
        <f t="shared" si="10"/>
        <v>0</v>
      </c>
      <c r="K73" s="2433">
        <f t="shared" si="10"/>
        <v>0</v>
      </c>
      <c r="L73" s="2433">
        <f t="shared" si="10"/>
        <v>0</v>
      </c>
      <c r="M73" s="2433">
        <f t="shared" si="10"/>
        <v>0</v>
      </c>
      <c r="N73" s="2433">
        <f t="shared" si="10"/>
        <v>0</v>
      </c>
      <c r="O73" s="2433">
        <f t="shared" si="10"/>
        <v>0</v>
      </c>
      <c r="P73" s="2441">
        <f t="shared" si="10"/>
        <v>0</v>
      </c>
    </row>
    <row r="74" spans="1:16">
      <c r="A74" s="2489" t="s">
        <v>110</v>
      </c>
      <c r="B74" s="2330"/>
      <c r="C74" s="2408">
        <f>审定利润表!D37</f>
        <v>0</v>
      </c>
      <c r="D74" s="2408"/>
      <c r="E74" s="2497"/>
      <c r="F74" s="2497"/>
      <c r="G74" s="2497"/>
      <c r="H74" s="2497"/>
      <c r="I74" s="2497"/>
      <c r="J74" s="2497"/>
      <c r="K74" s="2497"/>
      <c r="L74" s="2497"/>
      <c r="M74" s="2497"/>
      <c r="N74" s="2497"/>
      <c r="O74" s="2497"/>
      <c r="P74" s="2500"/>
    </row>
    <row r="75" spans="1:16">
      <c r="A75" s="2489" t="s">
        <v>111</v>
      </c>
      <c r="B75" s="2330"/>
      <c r="C75" s="2408">
        <f>审定利润表!D38</f>
        <v>0</v>
      </c>
      <c r="D75" s="2408"/>
      <c r="E75" s="2498"/>
      <c r="F75" s="2498"/>
      <c r="G75" s="2498"/>
      <c r="H75" s="2498"/>
      <c r="I75" s="2498"/>
      <c r="J75" s="2498"/>
      <c r="K75" s="2498"/>
      <c r="L75" s="2498"/>
      <c r="M75" s="2498"/>
      <c r="N75" s="2498"/>
      <c r="O75" s="2498"/>
      <c r="P75" s="2501"/>
    </row>
    <row r="76" ht="15" spans="1:16">
      <c r="A76" s="2499" t="s">
        <v>112</v>
      </c>
      <c r="B76" s="2475"/>
      <c r="C76" s="2420">
        <f>审定利润表!D39</f>
        <v>0</v>
      </c>
      <c r="D76" s="2420"/>
      <c r="E76" s="2420">
        <f>ROUND(E73+E74-E75,2)</f>
        <v>0</v>
      </c>
      <c r="F76" s="2420">
        <f t="shared" ref="F76:P76" si="11">ROUND(F73+F74-F75,2)</f>
        <v>0</v>
      </c>
      <c r="G76" s="2420">
        <f t="shared" si="11"/>
        <v>0</v>
      </c>
      <c r="H76" s="2420">
        <f t="shared" si="11"/>
        <v>0</v>
      </c>
      <c r="I76" s="2420">
        <f t="shared" si="11"/>
        <v>0</v>
      </c>
      <c r="J76" s="2420">
        <f t="shared" si="11"/>
        <v>0</v>
      </c>
      <c r="K76" s="2420">
        <f t="shared" si="11"/>
        <v>0</v>
      </c>
      <c r="L76" s="2420">
        <f t="shared" si="11"/>
        <v>0</v>
      </c>
      <c r="M76" s="2420">
        <f t="shared" si="11"/>
        <v>0</v>
      </c>
      <c r="N76" s="2420">
        <f t="shared" si="11"/>
        <v>0</v>
      </c>
      <c r="O76" s="2420">
        <f t="shared" si="11"/>
        <v>0</v>
      </c>
      <c r="P76" s="2491">
        <f t="shared" si="11"/>
        <v>0</v>
      </c>
    </row>
    <row r="77" ht="15"/>
  </sheetData>
  <sheetProtection formatCells="0" formatColumns="0" formatRows="0" insertHyperlinks="0" sort="0" autoFilter="0" pivotTables="0"/>
  <autoFilter ref="A5:P76">
    <extLst/>
  </autoFilter>
  <mergeCells count="2">
    <mergeCell ref="A42:A43"/>
    <mergeCell ref="B42:B43"/>
  </mergeCells>
  <hyperlinks>
    <hyperlink ref="B6" location="报表附注!E2492" display="（五十四）"/>
    <hyperlink ref="B7" location="报表附注!E2492" display="（五十四）"/>
    <hyperlink ref="B8" location="报表附注!E2586" display="（五十六）"/>
    <hyperlink ref="B13" location="报表附注!E2602" display="（五十七）"/>
    <hyperlink ref="B14" location="报表附注!E2623" display="（五十八）"/>
    <hyperlink ref="B12" location="报表附注!E2675" display="（五十九）"/>
    <hyperlink ref="B10" location="报表附注!E2717" display="（六十）"/>
    <hyperlink ref="B9" location="报表附注!E2788" display="（六十）"/>
    <hyperlink ref="B11" location="报表附注!E2697" display="（六十）"/>
    <hyperlink ref="B19" location="报表附注!E2878" display="（六十一）"/>
    <hyperlink ref="B20" location="报表附注!E2944" display="（六十二）"/>
    <hyperlink ref="B24" location="报表附注!E2963" display="（六十三）"/>
    <hyperlink ref="B44" location="报表附注!E2492" display="（五十四）"/>
    <hyperlink ref="B45" location="报表附注!E2492" display="（五十四）"/>
    <hyperlink ref="B46" location="报表附注!E2586" display="（五十六）"/>
    <hyperlink ref="B51" location="报表附注!E2602" display="（五十七）"/>
    <hyperlink ref="B52" location="报表附注!E2623" display="（五十八）"/>
    <hyperlink ref="B50" location="报表附注!E2675" display="（五十九）"/>
    <hyperlink ref="B48" location="报表附注!E2717" display="（六十）"/>
    <hyperlink ref="B47" location="报表附注!E2788" display="（六十）"/>
    <hyperlink ref="B49" location="报表附注!E2697" display="（六十）"/>
    <hyperlink ref="B57" location="报表附注!E2878" display="（六十一）"/>
    <hyperlink ref="B58" location="报表附注!E2944" display="（六十二）"/>
    <hyperlink ref="B62" location="报表附注!E2963" display="（六十三）"/>
  </hyperlinks>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4"/>
  <sheetViews>
    <sheetView workbookViewId="0">
      <pane xSplit="4" ySplit="5" topLeftCell="E6" activePane="bottomRight" state="frozen"/>
      <selection/>
      <selection pane="topRight"/>
      <selection pane="bottomLeft"/>
      <selection pane="bottomRight" activeCell="F20" sqref="F20"/>
    </sheetView>
  </sheetViews>
  <sheetFormatPr defaultColWidth="9" defaultRowHeight="14.25"/>
  <cols>
    <col min="1" max="1" width="34.875" style="2306" customWidth="1"/>
    <col min="2" max="2" width="5.25" style="2306" customWidth="1"/>
    <col min="3" max="3" width="13.5" style="2306" customWidth="1"/>
    <col min="4" max="4" width="1.875" style="2306" hidden="1" customWidth="1"/>
    <col min="5" max="16" width="10.5" style="2306" customWidth="1"/>
    <col min="17" max="16384" width="9" style="2306"/>
  </cols>
  <sheetData>
    <row r="1" ht="21" customHeight="1" spans="1:16">
      <c r="A1" s="2307" t="s">
        <v>114</v>
      </c>
      <c r="B1" s="2308"/>
      <c r="C1" s="2308"/>
      <c r="D1" s="2308"/>
      <c r="E1" s="2308"/>
      <c r="F1" s="2308"/>
      <c r="G1" s="2308"/>
      <c r="H1" s="2308"/>
      <c r="I1" s="2308"/>
      <c r="J1" s="2308"/>
      <c r="K1" s="2308"/>
      <c r="L1" s="2308"/>
      <c r="M1" s="2308"/>
      <c r="N1" s="2308"/>
      <c r="O1" s="2308"/>
      <c r="P1" s="2308"/>
    </row>
    <row r="2" spans="1:16">
      <c r="A2" s="2310" t="str">
        <f>IF(C2&lt;&gt;0,"对应列“期末现金及现金等价物余额”与资产负债表不符，相差：","")</f>
        <v/>
      </c>
      <c r="B2" s="2311"/>
      <c r="C2" s="2312">
        <f>ROUND(未审资负表!C7-C49,2)</f>
        <v>0</v>
      </c>
      <c r="D2" s="2309"/>
      <c r="E2" s="2309"/>
      <c r="F2" s="2309"/>
      <c r="G2" s="2309"/>
      <c r="H2" s="2309"/>
      <c r="I2" s="2309"/>
      <c r="J2" s="2309"/>
      <c r="K2" s="2309"/>
      <c r="L2" s="2309"/>
      <c r="M2" s="2309"/>
      <c r="N2" s="2309"/>
      <c r="O2" s="2309"/>
      <c r="P2" s="2309"/>
    </row>
    <row r="3" ht="15" spans="1:16">
      <c r="A3" s="2313" t="str">
        <f>"编制单位："&amp;参数表!C3</f>
        <v>编制单位：石嘴山市深阳蓝光市政工程有限公司</v>
      </c>
      <c r="B3" s="2314"/>
      <c r="C3" s="2315"/>
      <c r="D3" s="2315"/>
      <c r="E3" s="2315"/>
      <c r="F3" s="2315"/>
      <c r="G3" s="2315"/>
      <c r="H3" s="2315"/>
      <c r="I3" s="2315"/>
      <c r="J3" s="2315"/>
      <c r="K3" s="2315"/>
      <c r="L3" s="2315"/>
      <c r="M3" s="2315"/>
      <c r="N3" s="2315"/>
      <c r="O3" s="2315"/>
      <c r="P3" s="2315"/>
    </row>
    <row r="4" ht="15" spans="1:16">
      <c r="A4" s="2317" t="s">
        <v>60</v>
      </c>
      <c r="B4" s="2318" t="s">
        <v>61</v>
      </c>
      <c r="C4" s="2319" t="str">
        <f>IF(参数表!$C$12="本期间为特定年","本年金额","本期金额")</f>
        <v>本年金额</v>
      </c>
      <c r="D4" s="2319"/>
      <c r="E4" s="2319" t="str">
        <f>IF(参数表!$C$12="本期间为特定年","本年金额","本期金额")</f>
        <v>本年金额</v>
      </c>
      <c r="F4" s="2319" t="str">
        <f>IF(参数表!$C$12="本期间为特定年","本年金额","本期金额")</f>
        <v>本年金额</v>
      </c>
      <c r="G4" s="2319" t="str">
        <f>IF(参数表!$C$12="本期间为特定年","本年金额","本期金额")</f>
        <v>本年金额</v>
      </c>
      <c r="H4" s="2319" t="str">
        <f>IF(参数表!$C$12="本期间为特定年","本年金额","本期金额")</f>
        <v>本年金额</v>
      </c>
      <c r="I4" s="2319" t="str">
        <f>IF(参数表!$C$12="本期间为特定年","本年金额","本期金额")</f>
        <v>本年金额</v>
      </c>
      <c r="J4" s="2319" t="str">
        <f>IF(参数表!$C$12="本期间为特定年","本年金额","本期金额")</f>
        <v>本年金额</v>
      </c>
      <c r="K4" s="2319" t="str">
        <f>IF(参数表!$C$12="本期间为特定年","本年金额","本期金额")</f>
        <v>本年金额</v>
      </c>
      <c r="L4" s="2319" t="str">
        <f>IF(参数表!$C$12="本期间为特定年","本年金额","本期金额")</f>
        <v>本年金额</v>
      </c>
      <c r="M4" s="2319" t="str">
        <f>IF(参数表!$C$12="本期间为特定年","本年金额","本期金额")</f>
        <v>本年金额</v>
      </c>
      <c r="N4" s="2319" t="str">
        <f>IF(参数表!$C$12="本期间为特定年","本年金额","本期金额")</f>
        <v>本年金额</v>
      </c>
      <c r="O4" s="2319" t="str">
        <f>IF(参数表!$C$12="本期间为特定年","本年金额","本期金额")</f>
        <v>本年金额</v>
      </c>
      <c r="P4" s="2320" t="str">
        <f>IF(参数表!$C$12="本期间为特定年","本年金额","本期金额")</f>
        <v>本年金额</v>
      </c>
    </row>
    <row r="5" spans="1:16">
      <c r="A5" s="2323"/>
      <c r="B5" s="2324"/>
      <c r="C5" s="2325" t="s">
        <v>63</v>
      </c>
      <c r="D5" s="2325"/>
      <c r="E5" s="2463" t="str">
        <f>月度审定利润表!E5</f>
        <v>1月</v>
      </c>
      <c r="F5" s="2325" t="str">
        <f>月度审定利润表!F5</f>
        <v>2月</v>
      </c>
      <c r="G5" s="2463" t="str">
        <f>月度审定利润表!G5</f>
        <v>3月</v>
      </c>
      <c r="H5" s="2325" t="str">
        <f>月度审定利润表!H5</f>
        <v>4月</v>
      </c>
      <c r="I5" s="2463" t="str">
        <f>月度审定利润表!I5</f>
        <v>5月</v>
      </c>
      <c r="J5" s="2325" t="str">
        <f>月度审定利润表!J5</f>
        <v>6月</v>
      </c>
      <c r="K5" s="2463" t="str">
        <f>月度审定利润表!K5</f>
        <v>7月</v>
      </c>
      <c r="L5" s="2325" t="str">
        <f>月度审定利润表!L5</f>
        <v>8月</v>
      </c>
      <c r="M5" s="2463" t="str">
        <f>月度审定利润表!M5</f>
        <v>9月</v>
      </c>
      <c r="N5" s="2325" t="str">
        <f>月度审定利润表!N5</f>
        <v>10月</v>
      </c>
      <c r="O5" s="2463" t="str">
        <f>月度审定利润表!O5</f>
        <v>11月</v>
      </c>
      <c r="P5" s="2367" t="str">
        <f>月度审定利润表!P5</f>
        <v>12月</v>
      </c>
    </row>
    <row r="6" spans="1:16">
      <c r="A6" s="2329" t="s">
        <v>115</v>
      </c>
      <c r="B6" s="2330"/>
      <c r="C6" s="2331"/>
      <c r="D6" s="2331"/>
      <c r="E6" s="2331"/>
      <c r="F6" s="2331"/>
      <c r="G6" s="2331"/>
      <c r="H6" s="2331"/>
      <c r="I6" s="2331"/>
      <c r="J6" s="2331"/>
      <c r="K6" s="2331"/>
      <c r="L6" s="2331"/>
      <c r="M6" s="2331"/>
      <c r="N6" s="2331"/>
      <c r="O6" s="2331"/>
      <c r="P6" s="2332"/>
    </row>
    <row r="7" spans="1:16">
      <c r="A7" s="2334" t="s">
        <v>116</v>
      </c>
      <c r="B7" s="1828"/>
      <c r="C7" s="2333">
        <f>审定现流表!C7</f>
        <v>0</v>
      </c>
      <c r="D7" s="2331"/>
      <c r="E7" s="2336">
        <f>$C7-SUM($D7:D7)</f>
        <v>0</v>
      </c>
      <c r="F7" s="2336">
        <f>$C7-SUM($D7:E7)</f>
        <v>0</v>
      </c>
      <c r="G7" s="2336">
        <f>$C7-SUM($D7:F7)</f>
        <v>0</v>
      </c>
      <c r="H7" s="2336">
        <f>$C7-SUM($D7:G7)</f>
        <v>0</v>
      </c>
      <c r="I7" s="2336">
        <f>$C7-SUM($D7:H7)</f>
        <v>0</v>
      </c>
      <c r="J7" s="2336">
        <f>$C7-SUM($D7:I7)</f>
        <v>0</v>
      </c>
      <c r="K7" s="2336">
        <f>$C7-SUM($D7:J7)</f>
        <v>0</v>
      </c>
      <c r="L7" s="2336">
        <f>$C7-SUM($D7:K7)</f>
        <v>0</v>
      </c>
      <c r="M7" s="2336">
        <f>$C7-SUM($D7:L7)</f>
        <v>0</v>
      </c>
      <c r="N7" s="2336">
        <f>$C7-SUM($D7:M7)</f>
        <v>0</v>
      </c>
      <c r="O7" s="2336">
        <f>$C7-SUM($D7:N7)</f>
        <v>0</v>
      </c>
      <c r="P7" s="2349">
        <f>$C7-SUM($D7:O7)</f>
        <v>0</v>
      </c>
    </row>
    <row r="8" spans="1:16">
      <c r="A8" s="2334" t="s">
        <v>117</v>
      </c>
      <c r="B8" s="1828"/>
      <c r="C8" s="2333">
        <f>审定现流表!C8</f>
        <v>0</v>
      </c>
      <c r="D8" s="2331"/>
      <c r="E8" s="2336">
        <f>$C8-SUM($D8:D8)</f>
        <v>0</v>
      </c>
      <c r="F8" s="2336">
        <f>$C8-SUM($D8:E8)</f>
        <v>0</v>
      </c>
      <c r="G8" s="2336">
        <f>$C8-SUM($D8:F8)</f>
        <v>0</v>
      </c>
      <c r="H8" s="2336">
        <f>$C8-SUM($D8:G8)</f>
        <v>0</v>
      </c>
      <c r="I8" s="2336">
        <f>$C8-SUM($D8:H8)</f>
        <v>0</v>
      </c>
      <c r="J8" s="2336">
        <f>$C8-SUM($D8:I8)</f>
        <v>0</v>
      </c>
      <c r="K8" s="2336">
        <f>$C8-SUM($D8:J8)</f>
        <v>0</v>
      </c>
      <c r="L8" s="2336">
        <f>$C8-SUM($D8:K8)</f>
        <v>0</v>
      </c>
      <c r="M8" s="2336">
        <f>$C8-SUM($D8:L8)</f>
        <v>0</v>
      </c>
      <c r="N8" s="2336">
        <f>$C8-SUM($D8:M8)</f>
        <v>0</v>
      </c>
      <c r="O8" s="2336">
        <f>$C8-SUM($D8:N8)</f>
        <v>0</v>
      </c>
      <c r="P8" s="2349">
        <f>$C8-SUM($D8:O8)</f>
        <v>0</v>
      </c>
    </row>
    <row r="9" spans="1:16">
      <c r="A9" s="2334" t="s">
        <v>118</v>
      </c>
      <c r="B9" s="1833" t="s">
        <v>119</v>
      </c>
      <c r="C9" s="2333">
        <f>审定现流表!C9</f>
        <v>0</v>
      </c>
      <c r="D9" s="2331"/>
      <c r="E9" s="2336">
        <f>$C9-SUM($D9:D9)</f>
        <v>0</v>
      </c>
      <c r="F9" s="2336">
        <f>$C9-SUM($D9:E9)</f>
        <v>0</v>
      </c>
      <c r="G9" s="2336">
        <f>$C9-SUM($D9:F9)</f>
        <v>0</v>
      </c>
      <c r="H9" s="2336">
        <f>$C9-SUM($D9:G9)</f>
        <v>0</v>
      </c>
      <c r="I9" s="2336">
        <f>$C9-SUM($D9:H9)</f>
        <v>0</v>
      </c>
      <c r="J9" s="2336">
        <f>$C9-SUM($D9:I9)</f>
        <v>0</v>
      </c>
      <c r="K9" s="2336">
        <f>$C9-SUM($D9:J9)</f>
        <v>0</v>
      </c>
      <c r="L9" s="2336">
        <f>$C9-SUM($D9:K9)</f>
        <v>0</v>
      </c>
      <c r="M9" s="2336">
        <f>$C9-SUM($D9:L9)</f>
        <v>0</v>
      </c>
      <c r="N9" s="2336">
        <f>$C9-SUM($D9:M9)</f>
        <v>0</v>
      </c>
      <c r="O9" s="2336">
        <f>$C9-SUM($D9:N9)</f>
        <v>0</v>
      </c>
      <c r="P9" s="2349">
        <f>$C9-SUM($D9:O9)</f>
        <v>0</v>
      </c>
    </row>
    <row r="10" spans="1:16">
      <c r="A10" s="2339" t="s">
        <v>120</v>
      </c>
      <c r="B10" s="2348"/>
      <c r="C10" s="2341"/>
      <c r="D10" s="2342"/>
      <c r="E10" s="2342">
        <f t="shared" ref="E10:P10" si="0">ROUND(SUM(E7:E9),2)</f>
        <v>0</v>
      </c>
      <c r="F10" s="2342">
        <f t="shared" si="0"/>
        <v>0</v>
      </c>
      <c r="G10" s="2342">
        <f t="shared" si="0"/>
        <v>0</v>
      </c>
      <c r="H10" s="2342">
        <f t="shared" si="0"/>
        <v>0</v>
      </c>
      <c r="I10" s="2342">
        <f t="shared" si="0"/>
        <v>0</v>
      </c>
      <c r="J10" s="2342">
        <f t="shared" si="0"/>
        <v>0</v>
      </c>
      <c r="K10" s="2342">
        <f t="shared" si="0"/>
        <v>0</v>
      </c>
      <c r="L10" s="2342">
        <f t="shared" si="0"/>
        <v>0</v>
      </c>
      <c r="M10" s="2342">
        <f t="shared" si="0"/>
        <v>0</v>
      </c>
      <c r="N10" s="2342">
        <f t="shared" si="0"/>
        <v>0</v>
      </c>
      <c r="O10" s="2342">
        <f t="shared" si="0"/>
        <v>0</v>
      </c>
      <c r="P10" s="2467">
        <f t="shared" si="0"/>
        <v>0</v>
      </c>
    </row>
    <row r="11" spans="1:16">
      <c r="A11" s="2334" t="s">
        <v>121</v>
      </c>
      <c r="B11" s="1828"/>
      <c r="C11" s="2333">
        <f>审定现流表!C11</f>
        <v>0</v>
      </c>
      <c r="D11" s="2331"/>
      <c r="E11" s="2336">
        <f>$C11-SUM($D11:D11)</f>
        <v>0</v>
      </c>
      <c r="F11" s="2336">
        <f>$C11-SUM($D11:E11)</f>
        <v>0</v>
      </c>
      <c r="G11" s="2336">
        <f>$C11-SUM($D11:F11)</f>
        <v>0</v>
      </c>
      <c r="H11" s="2336">
        <f>$C11-SUM($D11:G11)</f>
        <v>0</v>
      </c>
      <c r="I11" s="2336">
        <f>$C11-SUM($D11:H11)</f>
        <v>0</v>
      </c>
      <c r="J11" s="2336">
        <f>$C11-SUM($D11:I11)</f>
        <v>0</v>
      </c>
      <c r="K11" s="2336">
        <f>$C11-SUM($D11:J11)</f>
        <v>0</v>
      </c>
      <c r="L11" s="2336">
        <f>$C11-SUM($D11:K11)</f>
        <v>0</v>
      </c>
      <c r="M11" s="2336">
        <f>$C11-SUM($D11:L11)</f>
        <v>0</v>
      </c>
      <c r="N11" s="2336">
        <f>$C11-SUM($D11:M11)</f>
        <v>0</v>
      </c>
      <c r="O11" s="2336">
        <f>$C11-SUM($D11:N11)</f>
        <v>0</v>
      </c>
      <c r="P11" s="2349">
        <f>$C11-SUM($D11:O11)</f>
        <v>0</v>
      </c>
    </row>
    <row r="12" spans="1:16">
      <c r="A12" s="2334" t="s">
        <v>122</v>
      </c>
      <c r="B12" s="1828"/>
      <c r="C12" s="2333">
        <f>审定现流表!C12</f>
        <v>0</v>
      </c>
      <c r="D12" s="2331"/>
      <c r="E12" s="2336">
        <f>$C12-SUM($D12:D12)</f>
        <v>0</v>
      </c>
      <c r="F12" s="2336">
        <f>$C12-SUM($D12:E12)</f>
        <v>0</v>
      </c>
      <c r="G12" s="2336">
        <f>$C12-SUM($D12:F12)</f>
        <v>0</v>
      </c>
      <c r="H12" s="2336">
        <f>$C12-SUM($D12:G12)</f>
        <v>0</v>
      </c>
      <c r="I12" s="2336">
        <f>$C12-SUM($D12:H12)</f>
        <v>0</v>
      </c>
      <c r="J12" s="2336">
        <f>$C12-SUM($D12:I12)</f>
        <v>0</v>
      </c>
      <c r="K12" s="2336">
        <f>$C12-SUM($D12:J12)</f>
        <v>0</v>
      </c>
      <c r="L12" s="2336">
        <f>$C12-SUM($D12:K12)</f>
        <v>0</v>
      </c>
      <c r="M12" s="2336">
        <f>$C12-SUM($D12:L12)</f>
        <v>0</v>
      </c>
      <c r="N12" s="2336">
        <f>$C12-SUM($D12:M12)</f>
        <v>0</v>
      </c>
      <c r="O12" s="2336">
        <f>$C12-SUM($D12:N12)</f>
        <v>0</v>
      </c>
      <c r="P12" s="2349">
        <f>$C12-SUM($D12:O12)</f>
        <v>0</v>
      </c>
    </row>
    <row r="13" spans="1:16">
      <c r="A13" s="2334" t="s">
        <v>123</v>
      </c>
      <c r="B13" s="1828"/>
      <c r="C13" s="2333">
        <f>审定现流表!C13</f>
        <v>0</v>
      </c>
      <c r="D13" s="2331"/>
      <c r="E13" s="2336">
        <f>$C13-SUM($D13:D13)</f>
        <v>0</v>
      </c>
      <c r="F13" s="2336">
        <f>$C13-SUM($D13:E13)</f>
        <v>0</v>
      </c>
      <c r="G13" s="2336">
        <f>$C13-SUM($D13:F13)</f>
        <v>0</v>
      </c>
      <c r="H13" s="2336">
        <f>$C13-SUM($D13:G13)</f>
        <v>0</v>
      </c>
      <c r="I13" s="2336">
        <f>$C13-SUM($D13:H13)</f>
        <v>0</v>
      </c>
      <c r="J13" s="2336">
        <f>$C13-SUM($D13:I13)</f>
        <v>0</v>
      </c>
      <c r="K13" s="2336">
        <f>$C13-SUM($D13:J13)</f>
        <v>0</v>
      </c>
      <c r="L13" s="2336">
        <f>$C13-SUM($D13:K13)</f>
        <v>0</v>
      </c>
      <c r="M13" s="2336">
        <f>$C13-SUM($D13:L13)</f>
        <v>0</v>
      </c>
      <c r="N13" s="2336">
        <f>$C13-SUM($D13:M13)</f>
        <v>0</v>
      </c>
      <c r="O13" s="2336">
        <f>$C13-SUM($D13:N13)</f>
        <v>0</v>
      </c>
      <c r="P13" s="2349">
        <f>$C13-SUM($D13:O13)</f>
        <v>0</v>
      </c>
    </row>
    <row r="14" spans="1:16">
      <c r="A14" s="2334" t="s">
        <v>124</v>
      </c>
      <c r="B14" s="1833" t="s">
        <v>119</v>
      </c>
      <c r="C14" s="2333">
        <f>审定现流表!C14</f>
        <v>0</v>
      </c>
      <c r="D14" s="2331"/>
      <c r="E14" s="2336">
        <f>$C14-SUM($D14:D14)</f>
        <v>0</v>
      </c>
      <c r="F14" s="2336">
        <f>$C14-SUM($D14:E14)</f>
        <v>0</v>
      </c>
      <c r="G14" s="2336">
        <f>$C14-SUM($D14:F14)</f>
        <v>0</v>
      </c>
      <c r="H14" s="2336">
        <f>$C14-SUM($D14:G14)</f>
        <v>0</v>
      </c>
      <c r="I14" s="2336">
        <f>$C14-SUM($D14:H14)</f>
        <v>0</v>
      </c>
      <c r="J14" s="2336">
        <f>$C14-SUM($D14:I14)</f>
        <v>0</v>
      </c>
      <c r="K14" s="2336">
        <f>$C14-SUM($D14:J14)</f>
        <v>0</v>
      </c>
      <c r="L14" s="2336">
        <f>$C14-SUM($D14:K14)</f>
        <v>0</v>
      </c>
      <c r="M14" s="2336">
        <f>$C14-SUM($D14:L14)</f>
        <v>0</v>
      </c>
      <c r="N14" s="2336">
        <f>$C14-SUM($D14:M14)</f>
        <v>0</v>
      </c>
      <c r="O14" s="2336">
        <f>$C14-SUM($D14:N14)</f>
        <v>0</v>
      </c>
      <c r="P14" s="2349">
        <f>$C14-SUM($D14:O14)</f>
        <v>0</v>
      </c>
    </row>
    <row r="15" spans="1:16">
      <c r="A15" s="2339" t="s">
        <v>125</v>
      </c>
      <c r="B15" s="2348"/>
      <c r="C15" s="2341">
        <f>审定现流表!C15</f>
        <v>0</v>
      </c>
      <c r="D15" s="2342"/>
      <c r="E15" s="2342">
        <f t="shared" ref="E15:P15" si="1">ROUND(SUM(E11:E14),2)</f>
        <v>0</v>
      </c>
      <c r="F15" s="2342">
        <f t="shared" si="1"/>
        <v>0</v>
      </c>
      <c r="G15" s="2342">
        <f t="shared" si="1"/>
        <v>0</v>
      </c>
      <c r="H15" s="2342">
        <f t="shared" si="1"/>
        <v>0</v>
      </c>
      <c r="I15" s="2342">
        <f t="shared" si="1"/>
        <v>0</v>
      </c>
      <c r="J15" s="2342">
        <f t="shared" si="1"/>
        <v>0</v>
      </c>
      <c r="K15" s="2342">
        <f t="shared" si="1"/>
        <v>0</v>
      </c>
      <c r="L15" s="2342">
        <f t="shared" si="1"/>
        <v>0</v>
      </c>
      <c r="M15" s="2342">
        <f t="shared" si="1"/>
        <v>0</v>
      </c>
      <c r="N15" s="2342">
        <f t="shared" si="1"/>
        <v>0</v>
      </c>
      <c r="O15" s="2342">
        <f t="shared" si="1"/>
        <v>0</v>
      </c>
      <c r="P15" s="2467">
        <f t="shared" si="1"/>
        <v>0</v>
      </c>
    </row>
    <row r="16" spans="1:16">
      <c r="A16" s="2339" t="s">
        <v>126</v>
      </c>
      <c r="B16" s="2348"/>
      <c r="C16" s="2341">
        <f>审定现流表!C16</f>
        <v>0</v>
      </c>
      <c r="D16" s="2342"/>
      <c r="E16" s="2342">
        <f t="shared" ref="E16:P16" si="2">ROUND(E10-E15,2)</f>
        <v>0</v>
      </c>
      <c r="F16" s="2342">
        <f t="shared" si="2"/>
        <v>0</v>
      </c>
      <c r="G16" s="2342">
        <f t="shared" si="2"/>
        <v>0</v>
      </c>
      <c r="H16" s="2342">
        <f t="shared" si="2"/>
        <v>0</v>
      </c>
      <c r="I16" s="2342">
        <f t="shared" si="2"/>
        <v>0</v>
      </c>
      <c r="J16" s="2342">
        <f t="shared" si="2"/>
        <v>0</v>
      </c>
      <c r="K16" s="2342">
        <f t="shared" si="2"/>
        <v>0</v>
      </c>
      <c r="L16" s="2342">
        <f t="shared" si="2"/>
        <v>0</v>
      </c>
      <c r="M16" s="2342">
        <f t="shared" si="2"/>
        <v>0</v>
      </c>
      <c r="N16" s="2342">
        <f t="shared" si="2"/>
        <v>0</v>
      </c>
      <c r="O16" s="2342">
        <f t="shared" si="2"/>
        <v>0</v>
      </c>
      <c r="P16" s="2467">
        <f t="shared" si="2"/>
        <v>0</v>
      </c>
    </row>
    <row r="17" spans="1:16">
      <c r="A17" s="2346"/>
      <c r="B17" s="2348"/>
      <c r="C17" s="2333"/>
      <c r="D17" s="2331"/>
      <c r="E17" s="2331"/>
      <c r="F17" s="2331"/>
      <c r="G17" s="2331"/>
      <c r="H17" s="2331"/>
      <c r="I17" s="2331"/>
      <c r="J17" s="2331"/>
      <c r="K17" s="2331"/>
      <c r="L17" s="2331"/>
      <c r="M17" s="2331"/>
      <c r="N17" s="2331"/>
      <c r="O17" s="2331"/>
      <c r="P17" s="2332"/>
    </row>
    <row r="18" spans="1:16">
      <c r="A18" s="2329" t="s">
        <v>127</v>
      </c>
      <c r="B18" s="2348"/>
      <c r="C18" s="2333">
        <f>审定现流表!C18</f>
        <v>0</v>
      </c>
      <c r="D18" s="2331"/>
      <c r="E18" s="2331"/>
      <c r="F18" s="2331"/>
      <c r="G18" s="2331"/>
      <c r="H18" s="2331"/>
      <c r="I18" s="2331"/>
      <c r="J18" s="2331"/>
      <c r="K18" s="2331"/>
      <c r="L18" s="2331"/>
      <c r="M18" s="2331"/>
      <c r="N18" s="2331"/>
      <c r="O18" s="2331"/>
      <c r="P18" s="2332"/>
    </row>
    <row r="19" spans="1:16">
      <c r="A19" s="2334" t="s">
        <v>128</v>
      </c>
      <c r="B19" s="1828"/>
      <c r="C19" s="2333">
        <f>审定现流表!C19</f>
        <v>0</v>
      </c>
      <c r="D19" s="2331"/>
      <c r="E19" s="2336">
        <f>$C19-SUM($D19:D19)</f>
        <v>0</v>
      </c>
      <c r="F19" s="2336">
        <f>$C19-SUM($D19:E19)</f>
        <v>0</v>
      </c>
      <c r="G19" s="2336">
        <f>$C19-SUM($D19:F19)</f>
        <v>0</v>
      </c>
      <c r="H19" s="2336">
        <f>$C19-SUM($D19:G19)</f>
        <v>0</v>
      </c>
      <c r="I19" s="2336">
        <f>$C19-SUM($D19:H19)</f>
        <v>0</v>
      </c>
      <c r="J19" s="2336">
        <f>$C19-SUM($D19:I19)</f>
        <v>0</v>
      </c>
      <c r="K19" s="2336">
        <f>$C19-SUM($D19:J19)</f>
        <v>0</v>
      </c>
      <c r="L19" s="2336">
        <f>$C19-SUM($D19:K19)</f>
        <v>0</v>
      </c>
      <c r="M19" s="2336">
        <f>$C19-SUM($D19:L19)</f>
        <v>0</v>
      </c>
      <c r="N19" s="2336">
        <f>$C19-SUM($D19:M19)</f>
        <v>0</v>
      </c>
      <c r="O19" s="2336">
        <f>$C19-SUM($D19:N19)</f>
        <v>0</v>
      </c>
      <c r="P19" s="2349">
        <f>$C19-SUM($D19:O19)</f>
        <v>0</v>
      </c>
    </row>
    <row r="20" spans="1:16">
      <c r="A20" s="2334" t="s">
        <v>129</v>
      </c>
      <c r="B20" s="1828"/>
      <c r="C20" s="2333">
        <f>审定现流表!C20</f>
        <v>0</v>
      </c>
      <c r="D20" s="2331"/>
      <c r="E20" s="2336">
        <f>$C20-SUM($D20:D20)</f>
        <v>0</v>
      </c>
      <c r="F20" s="2336">
        <f>$C20-SUM($D20:E20)</f>
        <v>0</v>
      </c>
      <c r="G20" s="2336">
        <f>$C20-SUM($D20:F20)</f>
        <v>0</v>
      </c>
      <c r="H20" s="2336">
        <f>$C20-SUM($D20:G20)</f>
        <v>0</v>
      </c>
      <c r="I20" s="2336">
        <f>$C20-SUM($D20:H20)</f>
        <v>0</v>
      </c>
      <c r="J20" s="2336">
        <f>$C20-SUM($D20:I20)</f>
        <v>0</v>
      </c>
      <c r="K20" s="2336">
        <f>$C20-SUM($D20:J20)</f>
        <v>0</v>
      </c>
      <c r="L20" s="2336">
        <f>$C20-SUM($D20:K20)</f>
        <v>0</v>
      </c>
      <c r="M20" s="2336">
        <f>$C20-SUM($D20:L20)</f>
        <v>0</v>
      </c>
      <c r="N20" s="2336">
        <f>$C20-SUM($D20:M20)</f>
        <v>0</v>
      </c>
      <c r="O20" s="2336">
        <f>$C20-SUM($D20:N20)</f>
        <v>0</v>
      </c>
      <c r="P20" s="2349">
        <f>$C20-SUM($D20:O20)</f>
        <v>0</v>
      </c>
    </row>
    <row r="21" spans="1:16">
      <c r="A21" s="2334" t="s">
        <v>130</v>
      </c>
      <c r="B21" s="1828"/>
      <c r="C21" s="2333">
        <f>审定现流表!C21</f>
        <v>0</v>
      </c>
      <c r="D21" s="2331"/>
      <c r="E21" s="2336">
        <f>$C21-SUM($D21:D21)</f>
        <v>0</v>
      </c>
      <c r="F21" s="2336">
        <f>$C21-SUM($D21:E21)</f>
        <v>0</v>
      </c>
      <c r="G21" s="2336">
        <f>$C21-SUM($D21:F21)</f>
        <v>0</v>
      </c>
      <c r="H21" s="2336">
        <f>$C21-SUM($D21:G21)</f>
        <v>0</v>
      </c>
      <c r="I21" s="2336">
        <f>$C21-SUM($D21:H21)</f>
        <v>0</v>
      </c>
      <c r="J21" s="2336">
        <f>$C21-SUM($D21:I21)</f>
        <v>0</v>
      </c>
      <c r="K21" s="2336">
        <f>$C21-SUM($D21:J21)</f>
        <v>0</v>
      </c>
      <c r="L21" s="2336">
        <f>$C21-SUM($D21:K21)</f>
        <v>0</v>
      </c>
      <c r="M21" s="2336">
        <f>$C21-SUM($D21:L21)</f>
        <v>0</v>
      </c>
      <c r="N21" s="2336">
        <f>$C21-SUM($D21:M21)</f>
        <v>0</v>
      </c>
      <c r="O21" s="2336">
        <f>$C21-SUM($D21:N21)</f>
        <v>0</v>
      </c>
      <c r="P21" s="2349">
        <f>$C21-SUM($D21:O21)</f>
        <v>0</v>
      </c>
    </row>
    <row r="22" spans="1:16">
      <c r="A22" s="2334" t="s">
        <v>131</v>
      </c>
      <c r="B22" s="1828"/>
      <c r="C22" s="2333">
        <f>审定现流表!C22</f>
        <v>0</v>
      </c>
      <c r="D22" s="2331"/>
      <c r="E22" s="2336">
        <f>$C22-SUM($D22:D22)</f>
        <v>0</v>
      </c>
      <c r="F22" s="2336">
        <f>$C22-SUM($D22:E22)</f>
        <v>0</v>
      </c>
      <c r="G22" s="2336">
        <f>$C22-SUM($D22:F22)</f>
        <v>0</v>
      </c>
      <c r="H22" s="2336">
        <f>$C22-SUM($D22:G22)</f>
        <v>0</v>
      </c>
      <c r="I22" s="2336">
        <f>$C22-SUM($D22:H22)</f>
        <v>0</v>
      </c>
      <c r="J22" s="2336">
        <f>$C22-SUM($D22:I22)</f>
        <v>0</v>
      </c>
      <c r="K22" s="2336">
        <f>$C22-SUM($D22:J22)</f>
        <v>0</v>
      </c>
      <c r="L22" s="2336">
        <f>$C22-SUM($D22:K22)</f>
        <v>0</v>
      </c>
      <c r="M22" s="2336">
        <f>$C22-SUM($D22:L22)</f>
        <v>0</v>
      </c>
      <c r="N22" s="2336">
        <f>$C22-SUM($D22:M22)</f>
        <v>0</v>
      </c>
      <c r="O22" s="2336">
        <f>$C22-SUM($D22:N22)</f>
        <v>0</v>
      </c>
      <c r="P22" s="2349">
        <f>$C22-SUM($D22:O22)</f>
        <v>0</v>
      </c>
    </row>
    <row r="23" spans="1:16">
      <c r="A23" s="2334" t="s">
        <v>132</v>
      </c>
      <c r="B23" s="1833" t="s">
        <v>133</v>
      </c>
      <c r="C23" s="2333">
        <f>审定现流表!C23</f>
        <v>0</v>
      </c>
      <c r="D23" s="2331"/>
      <c r="E23" s="2336">
        <f>$C23-SUM($D23:D23)</f>
        <v>0</v>
      </c>
      <c r="F23" s="2336">
        <f>$C23-SUM($D23:E23)</f>
        <v>0</v>
      </c>
      <c r="G23" s="2336">
        <f>$C23-SUM($D23:F23)</f>
        <v>0</v>
      </c>
      <c r="H23" s="2336">
        <f>$C23-SUM($D23:G23)</f>
        <v>0</v>
      </c>
      <c r="I23" s="2336">
        <f>$C23-SUM($D23:H23)</f>
        <v>0</v>
      </c>
      <c r="J23" s="2336">
        <f>$C23-SUM($D23:I23)</f>
        <v>0</v>
      </c>
      <c r="K23" s="2336">
        <f>$C23-SUM($D23:J23)</f>
        <v>0</v>
      </c>
      <c r="L23" s="2336">
        <f>$C23-SUM($D23:K23)</f>
        <v>0</v>
      </c>
      <c r="M23" s="2336">
        <f>$C23-SUM($D23:L23)</f>
        <v>0</v>
      </c>
      <c r="N23" s="2336">
        <f>$C23-SUM($D23:M23)</f>
        <v>0</v>
      </c>
      <c r="O23" s="2336">
        <f>$C23-SUM($D23:N23)</f>
        <v>0</v>
      </c>
      <c r="P23" s="2349">
        <f>$C23-SUM($D23:O23)</f>
        <v>0</v>
      </c>
    </row>
    <row r="24" spans="1:16">
      <c r="A24" s="2339" t="s">
        <v>134</v>
      </c>
      <c r="B24" s="2348"/>
      <c r="C24" s="2341">
        <f>审定现流表!C24</f>
        <v>0</v>
      </c>
      <c r="D24" s="2342"/>
      <c r="E24" s="2342">
        <f t="shared" ref="E24:P24" si="3">ROUND(SUM(E19:E23),2)</f>
        <v>0</v>
      </c>
      <c r="F24" s="2342">
        <f t="shared" si="3"/>
        <v>0</v>
      </c>
      <c r="G24" s="2342">
        <f t="shared" si="3"/>
        <v>0</v>
      </c>
      <c r="H24" s="2342">
        <f t="shared" si="3"/>
        <v>0</v>
      </c>
      <c r="I24" s="2342">
        <f t="shared" si="3"/>
        <v>0</v>
      </c>
      <c r="J24" s="2342">
        <f t="shared" si="3"/>
        <v>0</v>
      </c>
      <c r="K24" s="2342">
        <f t="shared" si="3"/>
        <v>0</v>
      </c>
      <c r="L24" s="2342">
        <f t="shared" si="3"/>
        <v>0</v>
      </c>
      <c r="M24" s="2342">
        <f t="shared" si="3"/>
        <v>0</v>
      </c>
      <c r="N24" s="2342">
        <f t="shared" si="3"/>
        <v>0</v>
      </c>
      <c r="O24" s="2342">
        <f t="shared" si="3"/>
        <v>0</v>
      </c>
      <c r="P24" s="2467">
        <f t="shared" si="3"/>
        <v>0</v>
      </c>
    </row>
    <row r="25" spans="1:16">
      <c r="A25" s="2334" t="s">
        <v>135</v>
      </c>
      <c r="B25" s="1828"/>
      <c r="C25" s="2333">
        <f>审定现流表!C25</f>
        <v>0</v>
      </c>
      <c r="D25" s="2331"/>
      <c r="E25" s="2336">
        <f>$C25-SUM($D25:D25)</f>
        <v>0</v>
      </c>
      <c r="F25" s="2336">
        <f>$C25-SUM($D25:E25)</f>
        <v>0</v>
      </c>
      <c r="G25" s="2336">
        <f>$C25-SUM($D25:F25)</f>
        <v>0</v>
      </c>
      <c r="H25" s="2336">
        <f>$C25-SUM($D25:G25)</f>
        <v>0</v>
      </c>
      <c r="I25" s="2336">
        <f>$C25-SUM($D25:H25)</f>
        <v>0</v>
      </c>
      <c r="J25" s="2336">
        <f>$C25-SUM($D25:I25)</f>
        <v>0</v>
      </c>
      <c r="K25" s="2336">
        <f>$C25-SUM($D25:J25)</f>
        <v>0</v>
      </c>
      <c r="L25" s="2336">
        <f>$C25-SUM($D25:K25)</f>
        <v>0</v>
      </c>
      <c r="M25" s="2336">
        <f>$C25-SUM($D25:L25)</f>
        <v>0</v>
      </c>
      <c r="N25" s="2336">
        <f>$C25-SUM($D25:M25)</f>
        <v>0</v>
      </c>
      <c r="O25" s="2336">
        <f>$C25-SUM($D25:N25)</f>
        <v>0</v>
      </c>
      <c r="P25" s="2349">
        <f>$C25-SUM($D25:O25)</f>
        <v>0</v>
      </c>
    </row>
    <row r="26" spans="1:16">
      <c r="A26" s="2334" t="s">
        <v>136</v>
      </c>
      <c r="B26" s="1828"/>
      <c r="C26" s="2333">
        <f>审定现流表!C26</f>
        <v>0</v>
      </c>
      <c r="D26" s="2331"/>
      <c r="E26" s="2336">
        <f>$C26-SUM($D26:D26)</f>
        <v>0</v>
      </c>
      <c r="F26" s="2336">
        <f>$C26-SUM($D26:E26)</f>
        <v>0</v>
      </c>
      <c r="G26" s="2336">
        <f>$C26-SUM($D26:F26)</f>
        <v>0</v>
      </c>
      <c r="H26" s="2336">
        <f>$C26-SUM($D26:G26)</f>
        <v>0</v>
      </c>
      <c r="I26" s="2336">
        <f>$C26-SUM($D26:H26)</f>
        <v>0</v>
      </c>
      <c r="J26" s="2336">
        <f>$C26-SUM($D26:I26)</f>
        <v>0</v>
      </c>
      <c r="K26" s="2336">
        <f>$C26-SUM($D26:J26)</f>
        <v>0</v>
      </c>
      <c r="L26" s="2336">
        <f>$C26-SUM($D26:K26)</f>
        <v>0</v>
      </c>
      <c r="M26" s="2336">
        <f>$C26-SUM($D26:L26)</f>
        <v>0</v>
      </c>
      <c r="N26" s="2336">
        <f>$C26-SUM($D26:M26)</f>
        <v>0</v>
      </c>
      <c r="O26" s="2336">
        <f>$C26-SUM($D26:N26)</f>
        <v>0</v>
      </c>
      <c r="P26" s="2349">
        <f>$C26-SUM($D26:O26)</f>
        <v>0</v>
      </c>
    </row>
    <row r="27" spans="1:16">
      <c r="A27" s="2334" t="s">
        <v>137</v>
      </c>
      <c r="B27" s="1828"/>
      <c r="C27" s="2333">
        <f>审定现流表!C27</f>
        <v>0</v>
      </c>
      <c r="D27" s="2331"/>
      <c r="E27" s="2336">
        <f>$C27-SUM($D27:D27)</f>
        <v>0</v>
      </c>
      <c r="F27" s="2336">
        <f>$C27-SUM($D27:E27)</f>
        <v>0</v>
      </c>
      <c r="G27" s="2336">
        <f>$C27-SUM($D27:F27)</f>
        <v>0</v>
      </c>
      <c r="H27" s="2336">
        <f>$C27-SUM($D27:G27)</f>
        <v>0</v>
      </c>
      <c r="I27" s="2336">
        <f>$C27-SUM($D27:H27)</f>
        <v>0</v>
      </c>
      <c r="J27" s="2336">
        <f>$C27-SUM($D27:I27)</f>
        <v>0</v>
      </c>
      <c r="K27" s="2336">
        <f>$C27-SUM($D27:J27)</f>
        <v>0</v>
      </c>
      <c r="L27" s="2336">
        <f>$C27-SUM($D27:K27)</f>
        <v>0</v>
      </c>
      <c r="M27" s="2336">
        <f>$C27-SUM($D27:L27)</f>
        <v>0</v>
      </c>
      <c r="N27" s="2336">
        <f>$C27-SUM($D27:M27)</f>
        <v>0</v>
      </c>
      <c r="O27" s="2336">
        <f>$C27-SUM($D27:N27)</f>
        <v>0</v>
      </c>
      <c r="P27" s="2349">
        <f>$C27-SUM($D27:O27)</f>
        <v>0</v>
      </c>
    </row>
    <row r="28" spans="1:16">
      <c r="A28" s="2334" t="s">
        <v>138</v>
      </c>
      <c r="B28" s="1833" t="s">
        <v>133</v>
      </c>
      <c r="C28" s="2333">
        <f>审定现流表!C28</f>
        <v>0</v>
      </c>
      <c r="D28" s="2331"/>
      <c r="E28" s="2336">
        <f>$C28-SUM($D28:D28)</f>
        <v>0</v>
      </c>
      <c r="F28" s="2336">
        <f>$C28-SUM($D28:E28)</f>
        <v>0</v>
      </c>
      <c r="G28" s="2336">
        <f>$C28-SUM($D28:F28)</f>
        <v>0</v>
      </c>
      <c r="H28" s="2336">
        <f>$C28-SUM($D28:G28)</f>
        <v>0</v>
      </c>
      <c r="I28" s="2336">
        <f>$C28-SUM($D28:H28)</f>
        <v>0</v>
      </c>
      <c r="J28" s="2336">
        <f>$C28-SUM($D28:I28)</f>
        <v>0</v>
      </c>
      <c r="K28" s="2336">
        <f>$C28-SUM($D28:J28)</f>
        <v>0</v>
      </c>
      <c r="L28" s="2336">
        <f>$C28-SUM($D28:K28)</f>
        <v>0</v>
      </c>
      <c r="M28" s="2336">
        <f>$C28-SUM($D28:L28)</f>
        <v>0</v>
      </c>
      <c r="N28" s="2336">
        <f>$C28-SUM($D28:M28)</f>
        <v>0</v>
      </c>
      <c r="O28" s="2336">
        <f>$C28-SUM($D28:N28)</f>
        <v>0</v>
      </c>
      <c r="P28" s="2349">
        <f>$C28-SUM($D28:O28)</f>
        <v>0</v>
      </c>
    </row>
    <row r="29" spans="1:16">
      <c r="A29" s="2339" t="s">
        <v>139</v>
      </c>
      <c r="B29" s="2348"/>
      <c r="C29" s="2341">
        <f>审定现流表!C29</f>
        <v>0</v>
      </c>
      <c r="D29" s="2342"/>
      <c r="E29" s="2342">
        <f>ROUND(SUM(E25:E28),2)</f>
        <v>0</v>
      </c>
      <c r="F29" s="2342">
        <f t="shared" ref="F29:P29" si="4">ROUND(SUM(F25:F28),2)</f>
        <v>0</v>
      </c>
      <c r="G29" s="2342">
        <f t="shared" si="4"/>
        <v>0</v>
      </c>
      <c r="H29" s="2342">
        <f t="shared" si="4"/>
        <v>0</v>
      </c>
      <c r="I29" s="2342">
        <f t="shared" si="4"/>
        <v>0</v>
      </c>
      <c r="J29" s="2342">
        <f t="shared" si="4"/>
        <v>0</v>
      </c>
      <c r="K29" s="2342">
        <f t="shared" si="4"/>
        <v>0</v>
      </c>
      <c r="L29" s="2342">
        <f t="shared" si="4"/>
        <v>0</v>
      </c>
      <c r="M29" s="2342">
        <f t="shared" si="4"/>
        <v>0</v>
      </c>
      <c r="N29" s="2342">
        <f t="shared" si="4"/>
        <v>0</v>
      </c>
      <c r="O29" s="2342">
        <f t="shared" si="4"/>
        <v>0</v>
      </c>
      <c r="P29" s="2467">
        <f t="shared" si="4"/>
        <v>0</v>
      </c>
    </row>
    <row r="30" spans="1:16">
      <c r="A30" s="2339" t="s">
        <v>140</v>
      </c>
      <c r="B30" s="2348"/>
      <c r="C30" s="2341">
        <f>审定现流表!C30</f>
        <v>0</v>
      </c>
      <c r="D30" s="2342"/>
      <c r="E30" s="2342">
        <f t="shared" ref="E30:P30" si="5">ROUND(E24-E29,2)</f>
        <v>0</v>
      </c>
      <c r="F30" s="2342">
        <f t="shared" si="5"/>
        <v>0</v>
      </c>
      <c r="G30" s="2342">
        <f t="shared" si="5"/>
        <v>0</v>
      </c>
      <c r="H30" s="2342">
        <f t="shared" si="5"/>
        <v>0</v>
      </c>
      <c r="I30" s="2342">
        <f t="shared" si="5"/>
        <v>0</v>
      </c>
      <c r="J30" s="2342">
        <f t="shared" si="5"/>
        <v>0</v>
      </c>
      <c r="K30" s="2342">
        <f t="shared" si="5"/>
        <v>0</v>
      </c>
      <c r="L30" s="2342">
        <f t="shared" si="5"/>
        <v>0</v>
      </c>
      <c r="M30" s="2342">
        <f t="shared" si="5"/>
        <v>0</v>
      </c>
      <c r="N30" s="2342">
        <f t="shared" si="5"/>
        <v>0</v>
      </c>
      <c r="O30" s="2342">
        <f t="shared" si="5"/>
        <v>0</v>
      </c>
      <c r="P30" s="2467">
        <f t="shared" si="5"/>
        <v>0</v>
      </c>
    </row>
    <row r="31" spans="1:16">
      <c r="A31" s="2347"/>
      <c r="B31" s="2348"/>
      <c r="C31" s="2333"/>
      <c r="D31" s="2331"/>
      <c r="E31" s="2331"/>
      <c r="F31" s="2331"/>
      <c r="G31" s="2331"/>
      <c r="H31" s="2331"/>
      <c r="I31" s="2331"/>
      <c r="J31" s="2331"/>
      <c r="K31" s="2331"/>
      <c r="L31" s="2331"/>
      <c r="M31" s="2331"/>
      <c r="N31" s="2331"/>
      <c r="O31" s="2331"/>
      <c r="P31" s="2332"/>
    </row>
    <row r="32" spans="1:16">
      <c r="A32" s="2329" t="s">
        <v>141</v>
      </c>
      <c r="B32" s="2348"/>
      <c r="C32" s="2333">
        <f>审定现流表!C32</f>
        <v>0</v>
      </c>
      <c r="D32" s="2331"/>
      <c r="E32" s="2331"/>
      <c r="F32" s="2331"/>
      <c r="G32" s="2331"/>
      <c r="H32" s="2331"/>
      <c r="I32" s="2331"/>
      <c r="J32" s="2331"/>
      <c r="K32" s="2331"/>
      <c r="L32" s="2331"/>
      <c r="M32" s="2331"/>
      <c r="N32" s="2331"/>
      <c r="O32" s="2331"/>
      <c r="P32" s="2332"/>
    </row>
    <row r="33" spans="1:16">
      <c r="A33" s="2334" t="s">
        <v>142</v>
      </c>
      <c r="B33" s="1828"/>
      <c r="C33" s="2333">
        <f>审定现流表!C33</f>
        <v>0</v>
      </c>
      <c r="D33" s="2331"/>
      <c r="E33" s="2336">
        <f>$C33-SUM($D33:D33)</f>
        <v>0</v>
      </c>
      <c r="F33" s="2336">
        <f>$C33-SUM($D33:E33)</f>
        <v>0</v>
      </c>
      <c r="G33" s="2336">
        <f>$C33-SUM($D33:F33)</f>
        <v>0</v>
      </c>
      <c r="H33" s="2336">
        <f>$C33-SUM($D33:G33)</f>
        <v>0</v>
      </c>
      <c r="I33" s="2336">
        <f>$C33-SUM($D33:H33)</f>
        <v>0</v>
      </c>
      <c r="J33" s="2336">
        <f>$C33-SUM($D33:I33)</f>
        <v>0</v>
      </c>
      <c r="K33" s="2336">
        <f>$C33-SUM($D33:J33)</f>
        <v>0</v>
      </c>
      <c r="L33" s="2336">
        <f>$C33-SUM($D33:K33)</f>
        <v>0</v>
      </c>
      <c r="M33" s="2336">
        <f>$C33-SUM($D33:L33)</f>
        <v>0</v>
      </c>
      <c r="N33" s="2336">
        <f>$C33-SUM($D33:M33)</f>
        <v>0</v>
      </c>
      <c r="O33" s="2336">
        <f>$C33-SUM($D33:N33)</f>
        <v>0</v>
      </c>
      <c r="P33" s="2349">
        <f>$C33-SUM($D33:O33)</f>
        <v>0</v>
      </c>
    </row>
    <row r="34" spans="1:16">
      <c r="A34" s="2334" t="s">
        <v>143</v>
      </c>
      <c r="B34" s="1828"/>
      <c r="C34" s="2333">
        <f>审定现流表!C34</f>
        <v>0</v>
      </c>
      <c r="D34" s="2331"/>
      <c r="E34" s="2336">
        <f>$C34-SUM($D34:D34)</f>
        <v>0</v>
      </c>
      <c r="F34" s="2336">
        <f>$C34-SUM($D34:E34)</f>
        <v>0</v>
      </c>
      <c r="G34" s="2336">
        <f>$C34-SUM($D34:F34)</f>
        <v>0</v>
      </c>
      <c r="H34" s="2336">
        <f>$C34-SUM($D34:G34)</f>
        <v>0</v>
      </c>
      <c r="I34" s="2336">
        <f>$C34-SUM($D34:H34)</f>
        <v>0</v>
      </c>
      <c r="J34" s="2336">
        <f>$C34-SUM($D34:I34)</f>
        <v>0</v>
      </c>
      <c r="K34" s="2336">
        <f>$C34-SUM($D34:J34)</f>
        <v>0</v>
      </c>
      <c r="L34" s="2336">
        <f>$C34-SUM($D34:K34)</f>
        <v>0</v>
      </c>
      <c r="M34" s="2336">
        <f>$C34-SUM($D34:L34)</f>
        <v>0</v>
      </c>
      <c r="N34" s="2336">
        <f>$C34-SUM($D34:M34)</f>
        <v>0</v>
      </c>
      <c r="O34" s="2336">
        <f>$C34-SUM($D34:N34)</f>
        <v>0</v>
      </c>
      <c r="P34" s="2349">
        <f>$C34-SUM($D34:O34)</f>
        <v>0</v>
      </c>
    </row>
    <row r="35" spans="1:16">
      <c r="A35" s="2334" t="s">
        <v>144</v>
      </c>
      <c r="B35" s="1828"/>
      <c r="C35" s="2333">
        <f>审定现流表!C35</f>
        <v>0</v>
      </c>
      <c r="D35" s="2331"/>
      <c r="E35" s="2336">
        <f>$C35-SUM($D35:D35)</f>
        <v>0</v>
      </c>
      <c r="F35" s="2336">
        <f>$C35-SUM($D35:E35)</f>
        <v>0</v>
      </c>
      <c r="G35" s="2336">
        <f>$C35-SUM($D35:F35)</f>
        <v>0</v>
      </c>
      <c r="H35" s="2336">
        <f>$C35-SUM($D35:G35)</f>
        <v>0</v>
      </c>
      <c r="I35" s="2336">
        <f>$C35-SUM($D35:H35)</f>
        <v>0</v>
      </c>
      <c r="J35" s="2336">
        <f>$C35-SUM($D35:I35)</f>
        <v>0</v>
      </c>
      <c r="K35" s="2336">
        <f>$C35-SUM($D35:J35)</f>
        <v>0</v>
      </c>
      <c r="L35" s="2336">
        <f>$C35-SUM($D35:K35)</f>
        <v>0</v>
      </c>
      <c r="M35" s="2336">
        <f>$C35-SUM($D35:L35)</f>
        <v>0</v>
      </c>
      <c r="N35" s="2336">
        <f>$C35-SUM($D35:M35)</f>
        <v>0</v>
      </c>
      <c r="O35" s="2336">
        <f>$C35-SUM($D35:N35)</f>
        <v>0</v>
      </c>
      <c r="P35" s="2349">
        <f>$C35-SUM($D35:O35)</f>
        <v>0</v>
      </c>
    </row>
    <row r="36" spans="1:16">
      <c r="A36" s="2334" t="s">
        <v>145</v>
      </c>
      <c r="B36" s="1828"/>
      <c r="C36" s="2333">
        <f>审定现流表!C36</f>
        <v>0</v>
      </c>
      <c r="D36" s="2331"/>
      <c r="E36" s="2336">
        <f>$C36-SUM($D36:D36)</f>
        <v>0</v>
      </c>
      <c r="F36" s="2336">
        <f>$C36-SUM($D36:E36)</f>
        <v>0</v>
      </c>
      <c r="G36" s="2336">
        <f>$C36-SUM($D36:F36)</f>
        <v>0</v>
      </c>
      <c r="H36" s="2336">
        <f>$C36-SUM($D36:G36)</f>
        <v>0</v>
      </c>
      <c r="I36" s="2336">
        <f>$C36-SUM($D36:H36)</f>
        <v>0</v>
      </c>
      <c r="J36" s="2336">
        <f>$C36-SUM($D36:I36)</f>
        <v>0</v>
      </c>
      <c r="K36" s="2336">
        <f>$C36-SUM($D36:J36)</f>
        <v>0</v>
      </c>
      <c r="L36" s="2336">
        <f>$C36-SUM($D36:K36)</f>
        <v>0</v>
      </c>
      <c r="M36" s="2336">
        <f>$C36-SUM($D36:L36)</f>
        <v>0</v>
      </c>
      <c r="N36" s="2336">
        <f>$C36-SUM($D36:M36)</f>
        <v>0</v>
      </c>
      <c r="O36" s="2336">
        <f>$C36-SUM($D36:N36)</f>
        <v>0</v>
      </c>
      <c r="P36" s="2349">
        <f>$C36-SUM($D36:O36)</f>
        <v>0</v>
      </c>
    </row>
    <row r="37" spans="1:16">
      <c r="A37" s="2334" t="s">
        <v>146</v>
      </c>
      <c r="B37" s="1833" t="s">
        <v>147</v>
      </c>
      <c r="C37" s="2333">
        <f>审定现流表!C37</f>
        <v>0</v>
      </c>
      <c r="D37" s="2331"/>
      <c r="E37" s="2336">
        <f>$C37-SUM($D37:D37)</f>
        <v>0</v>
      </c>
      <c r="F37" s="2336">
        <f>$C37-SUM($D37:E37)</f>
        <v>0</v>
      </c>
      <c r="G37" s="2336">
        <f>$C37-SUM($D37:F37)</f>
        <v>0</v>
      </c>
      <c r="H37" s="2336">
        <f>$C37-SUM($D37:G37)</f>
        <v>0</v>
      </c>
      <c r="I37" s="2336">
        <f>$C37-SUM($D37:H37)</f>
        <v>0</v>
      </c>
      <c r="J37" s="2336">
        <f>$C37-SUM($D37:I37)</f>
        <v>0</v>
      </c>
      <c r="K37" s="2336">
        <f>$C37-SUM($D37:J37)</f>
        <v>0</v>
      </c>
      <c r="L37" s="2336">
        <f>$C37-SUM($D37:K37)</f>
        <v>0</v>
      </c>
      <c r="M37" s="2336">
        <f>$C37-SUM($D37:L37)</f>
        <v>0</v>
      </c>
      <c r="N37" s="2336">
        <f>$C37-SUM($D37:M37)</f>
        <v>0</v>
      </c>
      <c r="O37" s="2336">
        <f>$C37-SUM($D37:N37)</f>
        <v>0</v>
      </c>
      <c r="P37" s="2349">
        <f>$C37-SUM($D37:O37)</f>
        <v>0</v>
      </c>
    </row>
    <row r="38" spans="1:16">
      <c r="A38" s="2339" t="s">
        <v>148</v>
      </c>
      <c r="B38" s="2348"/>
      <c r="C38" s="2341">
        <f>审定现流表!C38</f>
        <v>0</v>
      </c>
      <c r="D38" s="2342"/>
      <c r="E38" s="2342">
        <f t="shared" ref="E38:P38" si="6">ROUND(SUM(E33:E37),2)-E34</f>
        <v>0</v>
      </c>
      <c r="F38" s="2342">
        <f t="shared" si="6"/>
        <v>0</v>
      </c>
      <c r="G38" s="2342">
        <f t="shared" si="6"/>
        <v>0</v>
      </c>
      <c r="H38" s="2342">
        <f t="shared" si="6"/>
        <v>0</v>
      </c>
      <c r="I38" s="2342">
        <f t="shared" si="6"/>
        <v>0</v>
      </c>
      <c r="J38" s="2342">
        <f t="shared" si="6"/>
        <v>0</v>
      </c>
      <c r="K38" s="2342">
        <f t="shared" si="6"/>
        <v>0</v>
      </c>
      <c r="L38" s="2342">
        <f t="shared" si="6"/>
        <v>0</v>
      </c>
      <c r="M38" s="2342">
        <f t="shared" si="6"/>
        <v>0</v>
      </c>
      <c r="N38" s="2342">
        <f t="shared" si="6"/>
        <v>0</v>
      </c>
      <c r="O38" s="2342">
        <f t="shared" si="6"/>
        <v>0</v>
      </c>
      <c r="P38" s="2467">
        <f t="shared" si="6"/>
        <v>0</v>
      </c>
    </row>
    <row r="39" spans="1:16">
      <c r="A39" s="2334" t="s">
        <v>149</v>
      </c>
      <c r="B39" s="1828"/>
      <c r="C39" s="2333">
        <f>审定现流表!C39</f>
        <v>0</v>
      </c>
      <c r="D39" s="2331"/>
      <c r="E39" s="2336">
        <f>$C39-SUM($D39:D39)</f>
        <v>0</v>
      </c>
      <c r="F39" s="2336">
        <f>$C39-SUM($D39:E39)</f>
        <v>0</v>
      </c>
      <c r="G39" s="2336">
        <f>$C39-SUM($D39:F39)</f>
        <v>0</v>
      </c>
      <c r="H39" s="2336">
        <f>$C39-SUM($D39:G39)</f>
        <v>0</v>
      </c>
      <c r="I39" s="2336">
        <f>$C39-SUM($D39:H39)</f>
        <v>0</v>
      </c>
      <c r="J39" s="2336">
        <f>$C39-SUM($D39:I39)</f>
        <v>0</v>
      </c>
      <c r="K39" s="2336">
        <f>$C39-SUM($D39:J39)</f>
        <v>0</v>
      </c>
      <c r="L39" s="2336">
        <f>$C39-SUM($D39:K39)</f>
        <v>0</v>
      </c>
      <c r="M39" s="2336">
        <f>$C39-SUM($D39:L39)</f>
        <v>0</v>
      </c>
      <c r="N39" s="2336">
        <f>$C39-SUM($D39:M39)</f>
        <v>0</v>
      </c>
      <c r="O39" s="2336">
        <f>$C39-SUM($D39:N39)</f>
        <v>0</v>
      </c>
      <c r="P39" s="2349">
        <f>$C39-SUM($D39:O39)</f>
        <v>0</v>
      </c>
    </row>
    <row r="40" spans="1:16">
      <c r="A40" s="2334" t="s">
        <v>150</v>
      </c>
      <c r="B40" s="1828"/>
      <c r="C40" s="2333">
        <f>审定现流表!C40</f>
        <v>0</v>
      </c>
      <c r="D40" s="2331"/>
      <c r="E40" s="2336">
        <f>$C40-SUM($D40:D40)</f>
        <v>0</v>
      </c>
      <c r="F40" s="2336">
        <f>$C40-SUM($D40:E40)</f>
        <v>0</v>
      </c>
      <c r="G40" s="2336">
        <f>$C40-SUM($D40:F40)</f>
        <v>0</v>
      </c>
      <c r="H40" s="2336">
        <f>$C40-SUM($D40:G40)</f>
        <v>0</v>
      </c>
      <c r="I40" s="2336">
        <f>$C40-SUM($D40:H40)</f>
        <v>0</v>
      </c>
      <c r="J40" s="2336">
        <f>$C40-SUM($D40:I40)</f>
        <v>0</v>
      </c>
      <c r="K40" s="2336">
        <f>$C40-SUM($D40:J40)</f>
        <v>0</v>
      </c>
      <c r="L40" s="2336">
        <f>$C40-SUM($D40:K40)</f>
        <v>0</v>
      </c>
      <c r="M40" s="2336">
        <f>$C40-SUM($D40:L40)</f>
        <v>0</v>
      </c>
      <c r="N40" s="2336">
        <f>$C40-SUM($D40:M40)</f>
        <v>0</v>
      </c>
      <c r="O40" s="2336">
        <f>$C40-SUM($D40:N40)</f>
        <v>0</v>
      </c>
      <c r="P40" s="2349">
        <f>$C40-SUM($D40:O40)</f>
        <v>0</v>
      </c>
    </row>
    <row r="41" spans="1:16">
      <c r="A41" s="2334" t="s">
        <v>151</v>
      </c>
      <c r="B41" s="1828"/>
      <c r="C41" s="2333">
        <f>审定现流表!C41</f>
        <v>0</v>
      </c>
      <c r="D41" s="2331"/>
      <c r="E41" s="2336">
        <f>$C41-SUM($D41:D41)</f>
        <v>0</v>
      </c>
      <c r="F41" s="2336">
        <f>$C41-SUM($D41:E41)</f>
        <v>0</v>
      </c>
      <c r="G41" s="2336">
        <f>$C41-SUM($D41:F41)</f>
        <v>0</v>
      </c>
      <c r="H41" s="2336">
        <f>$C41-SUM($D41:G41)</f>
        <v>0</v>
      </c>
      <c r="I41" s="2336">
        <f>$C41-SUM($D41:H41)</f>
        <v>0</v>
      </c>
      <c r="J41" s="2336">
        <f>$C41-SUM($D41:I41)</f>
        <v>0</v>
      </c>
      <c r="K41" s="2336">
        <f>$C41-SUM($D41:J41)</f>
        <v>0</v>
      </c>
      <c r="L41" s="2336">
        <f>$C41-SUM($D41:K41)</f>
        <v>0</v>
      </c>
      <c r="M41" s="2336">
        <f>$C41-SUM($D41:L41)</f>
        <v>0</v>
      </c>
      <c r="N41" s="2336">
        <f>$C41-SUM($D41:M41)</f>
        <v>0</v>
      </c>
      <c r="O41" s="2336">
        <f>$C41-SUM($D41:N41)</f>
        <v>0</v>
      </c>
      <c r="P41" s="2349">
        <f>$C41-SUM($D41:O41)</f>
        <v>0</v>
      </c>
    </row>
    <row r="42" spans="1:16">
      <c r="A42" s="2334" t="s">
        <v>152</v>
      </c>
      <c r="B42" s="1833" t="s">
        <v>147</v>
      </c>
      <c r="C42" s="2333">
        <f>审定现流表!C42</f>
        <v>0</v>
      </c>
      <c r="D42" s="2331"/>
      <c r="E42" s="2336">
        <f>$C42-SUM($D42:D42)</f>
        <v>0</v>
      </c>
      <c r="F42" s="2336">
        <f>$C42-SUM($D42:E42)</f>
        <v>0</v>
      </c>
      <c r="G42" s="2336">
        <f>$C42-SUM($D42:F42)</f>
        <v>0</v>
      </c>
      <c r="H42" s="2336">
        <f>$C42-SUM($D42:G42)</f>
        <v>0</v>
      </c>
      <c r="I42" s="2336">
        <f>$C42-SUM($D42:H42)</f>
        <v>0</v>
      </c>
      <c r="J42" s="2336">
        <f>$C42-SUM($D42:I42)</f>
        <v>0</v>
      </c>
      <c r="K42" s="2336">
        <f>$C42-SUM($D42:J42)</f>
        <v>0</v>
      </c>
      <c r="L42" s="2336">
        <f>$C42-SUM($D42:K42)</f>
        <v>0</v>
      </c>
      <c r="M42" s="2336">
        <f>$C42-SUM($D42:L42)</f>
        <v>0</v>
      </c>
      <c r="N42" s="2336">
        <f>$C42-SUM($D42:M42)</f>
        <v>0</v>
      </c>
      <c r="O42" s="2336">
        <f>$C42-SUM($D42:N42)</f>
        <v>0</v>
      </c>
      <c r="P42" s="2349">
        <f>$C42-SUM($D42:O42)</f>
        <v>0</v>
      </c>
    </row>
    <row r="43" spans="1:16">
      <c r="A43" s="2339" t="s">
        <v>153</v>
      </c>
      <c r="B43" s="2348"/>
      <c r="C43" s="2341">
        <f>审定现流表!C43</f>
        <v>0</v>
      </c>
      <c r="D43" s="2342"/>
      <c r="E43" s="2342">
        <f t="shared" ref="E43:P43" si="7">ROUND(SUM(E39:E42),2)-E41</f>
        <v>0</v>
      </c>
      <c r="F43" s="2342">
        <f t="shared" si="7"/>
        <v>0</v>
      </c>
      <c r="G43" s="2342">
        <f t="shared" si="7"/>
        <v>0</v>
      </c>
      <c r="H43" s="2342">
        <f t="shared" si="7"/>
        <v>0</v>
      </c>
      <c r="I43" s="2342">
        <f t="shared" si="7"/>
        <v>0</v>
      </c>
      <c r="J43" s="2342">
        <f t="shared" si="7"/>
        <v>0</v>
      </c>
      <c r="K43" s="2342">
        <f t="shared" si="7"/>
        <v>0</v>
      </c>
      <c r="L43" s="2342">
        <f t="shared" si="7"/>
        <v>0</v>
      </c>
      <c r="M43" s="2342">
        <f t="shared" si="7"/>
        <v>0</v>
      </c>
      <c r="N43" s="2342">
        <f t="shared" si="7"/>
        <v>0</v>
      </c>
      <c r="O43" s="2342">
        <f t="shared" si="7"/>
        <v>0</v>
      </c>
      <c r="P43" s="2467">
        <f t="shared" si="7"/>
        <v>0</v>
      </c>
    </row>
    <row r="44" spans="1:16">
      <c r="A44" s="2339" t="s">
        <v>154</v>
      </c>
      <c r="B44" s="2348"/>
      <c r="C44" s="2341">
        <f>审定现流表!C44</f>
        <v>0</v>
      </c>
      <c r="D44" s="2342"/>
      <c r="E44" s="2342">
        <f t="shared" ref="E44:P44" si="8">ROUND(E38-E43,2)</f>
        <v>0</v>
      </c>
      <c r="F44" s="2342">
        <f t="shared" si="8"/>
        <v>0</v>
      </c>
      <c r="G44" s="2342">
        <f t="shared" si="8"/>
        <v>0</v>
      </c>
      <c r="H44" s="2342">
        <f t="shared" si="8"/>
        <v>0</v>
      </c>
      <c r="I44" s="2342">
        <f t="shared" si="8"/>
        <v>0</v>
      </c>
      <c r="J44" s="2342">
        <f t="shared" si="8"/>
        <v>0</v>
      </c>
      <c r="K44" s="2342">
        <f t="shared" si="8"/>
        <v>0</v>
      </c>
      <c r="L44" s="2342">
        <f t="shared" si="8"/>
        <v>0</v>
      </c>
      <c r="M44" s="2342">
        <f t="shared" si="8"/>
        <v>0</v>
      </c>
      <c r="N44" s="2342">
        <f t="shared" si="8"/>
        <v>0</v>
      </c>
      <c r="O44" s="2342">
        <f t="shared" si="8"/>
        <v>0</v>
      </c>
      <c r="P44" s="2467">
        <f t="shared" si="8"/>
        <v>0</v>
      </c>
    </row>
    <row r="45" spans="1:16">
      <c r="A45" s="2347"/>
      <c r="B45" s="2348"/>
      <c r="C45" s="2333"/>
      <c r="D45" s="2331"/>
      <c r="E45" s="2331"/>
      <c r="F45" s="2331"/>
      <c r="G45" s="2331"/>
      <c r="H45" s="2331"/>
      <c r="I45" s="2331"/>
      <c r="J45" s="2331"/>
      <c r="K45" s="2331"/>
      <c r="L45" s="2331"/>
      <c r="M45" s="2331"/>
      <c r="N45" s="2331"/>
      <c r="O45" s="2331"/>
      <c r="P45" s="2332"/>
    </row>
    <row r="46" spans="1:16">
      <c r="A46" s="2329" t="s">
        <v>155</v>
      </c>
      <c r="B46" s="1828"/>
      <c r="C46" s="2333">
        <f>审定现流表!C46</f>
        <v>0</v>
      </c>
      <c r="D46" s="2331"/>
      <c r="E46" s="2336">
        <f>$C46-SUM($D46:D46)</f>
        <v>0</v>
      </c>
      <c r="F46" s="2336">
        <f>$C46-SUM($D46:E46)</f>
        <v>0</v>
      </c>
      <c r="G46" s="2336">
        <f>$C46-SUM($D46:F46)</f>
        <v>0</v>
      </c>
      <c r="H46" s="2336">
        <f>$C46-SUM($D46:G46)</f>
        <v>0</v>
      </c>
      <c r="I46" s="2336">
        <f>$C46-SUM($D46:H46)</f>
        <v>0</v>
      </c>
      <c r="J46" s="2336">
        <f>$C46-SUM($D46:I46)</f>
        <v>0</v>
      </c>
      <c r="K46" s="2336">
        <f>$C46-SUM($D46:J46)</f>
        <v>0</v>
      </c>
      <c r="L46" s="2336">
        <f>$C46-SUM($D46:K46)</f>
        <v>0</v>
      </c>
      <c r="M46" s="2336">
        <f>$C46-SUM($D46:L46)</f>
        <v>0</v>
      </c>
      <c r="N46" s="2336">
        <f>$C46-SUM($D46:M46)</f>
        <v>0</v>
      </c>
      <c r="O46" s="2336">
        <f>$C46-SUM($D46:N46)</f>
        <v>0</v>
      </c>
      <c r="P46" s="2349">
        <f>$C46-SUM($D46:O46)</f>
        <v>0</v>
      </c>
    </row>
    <row r="47" spans="1:16">
      <c r="A47" s="2329" t="s">
        <v>156</v>
      </c>
      <c r="B47" s="2348"/>
      <c r="C47" s="2341">
        <f>审定现流表!C47</f>
        <v>0</v>
      </c>
      <c r="D47" s="2342"/>
      <c r="E47" s="2342">
        <f t="shared" ref="E47:P47" si="9">ROUND(E16+E30+E44+E46,2)</f>
        <v>0</v>
      </c>
      <c r="F47" s="2342">
        <f t="shared" si="9"/>
        <v>0</v>
      </c>
      <c r="G47" s="2342">
        <f t="shared" si="9"/>
        <v>0</v>
      </c>
      <c r="H47" s="2342">
        <f t="shared" si="9"/>
        <v>0</v>
      </c>
      <c r="I47" s="2342">
        <f t="shared" si="9"/>
        <v>0</v>
      </c>
      <c r="J47" s="2342">
        <f t="shared" si="9"/>
        <v>0</v>
      </c>
      <c r="K47" s="2342">
        <f t="shared" si="9"/>
        <v>0</v>
      </c>
      <c r="L47" s="2342">
        <f t="shared" si="9"/>
        <v>0</v>
      </c>
      <c r="M47" s="2342">
        <f t="shared" si="9"/>
        <v>0</v>
      </c>
      <c r="N47" s="2342">
        <f t="shared" si="9"/>
        <v>0</v>
      </c>
      <c r="O47" s="2342">
        <f t="shared" si="9"/>
        <v>0</v>
      </c>
      <c r="P47" s="2467">
        <f t="shared" si="9"/>
        <v>0</v>
      </c>
    </row>
    <row r="48" spans="1:16">
      <c r="A48" s="2334" t="s">
        <v>157</v>
      </c>
      <c r="B48" s="2348"/>
      <c r="C48" s="2333">
        <f>审定现流表!C48</f>
        <v>0</v>
      </c>
      <c r="D48" s="2331"/>
      <c r="E48" s="2336">
        <f>$C48-SUM($D48:D48)</f>
        <v>0</v>
      </c>
      <c r="F48" s="2336">
        <f>$C48-SUM($D48:E48)</f>
        <v>0</v>
      </c>
      <c r="G48" s="2336">
        <f>$C48-SUM($D48:F48)</f>
        <v>0</v>
      </c>
      <c r="H48" s="2336">
        <f>$C48-SUM($D48:G48)</f>
        <v>0</v>
      </c>
      <c r="I48" s="2336">
        <f>$C48-SUM($D48:H48)</f>
        <v>0</v>
      </c>
      <c r="J48" s="2336">
        <f>$C48-SUM($D48:I48)</f>
        <v>0</v>
      </c>
      <c r="K48" s="2336">
        <f>$C48-SUM($D48:J48)</f>
        <v>0</v>
      </c>
      <c r="L48" s="2336">
        <f>$C48-SUM($D48:K48)</f>
        <v>0</v>
      </c>
      <c r="M48" s="2336">
        <f>$C48-SUM($D48:L48)</f>
        <v>0</v>
      </c>
      <c r="N48" s="2336">
        <f>$C48-SUM($D48:M48)</f>
        <v>0</v>
      </c>
      <c r="O48" s="2336">
        <f>$C48-SUM($D48:N48)</f>
        <v>0</v>
      </c>
      <c r="P48" s="2349">
        <f>$C48-SUM($D48:O48)</f>
        <v>0</v>
      </c>
    </row>
    <row r="49" ht="15" spans="1:16">
      <c r="A49" s="2350" t="s">
        <v>158</v>
      </c>
      <c r="B49" s="2351"/>
      <c r="C49" s="2464">
        <f>审定现流表!C49</f>
        <v>0</v>
      </c>
      <c r="D49" s="2353"/>
      <c r="E49" s="2353">
        <f t="shared" ref="E49:P49" si="10">ROUND(E47+E48,2)</f>
        <v>0</v>
      </c>
      <c r="F49" s="2353">
        <f t="shared" si="10"/>
        <v>0</v>
      </c>
      <c r="G49" s="2353">
        <f t="shared" si="10"/>
        <v>0</v>
      </c>
      <c r="H49" s="2353">
        <f t="shared" si="10"/>
        <v>0</v>
      </c>
      <c r="I49" s="2353">
        <f t="shared" si="10"/>
        <v>0</v>
      </c>
      <c r="J49" s="2353">
        <f t="shared" si="10"/>
        <v>0</v>
      </c>
      <c r="K49" s="2353">
        <f t="shared" si="10"/>
        <v>0</v>
      </c>
      <c r="L49" s="2353">
        <f t="shared" si="10"/>
        <v>0</v>
      </c>
      <c r="M49" s="2353">
        <f t="shared" si="10"/>
        <v>0</v>
      </c>
      <c r="N49" s="2353">
        <f t="shared" si="10"/>
        <v>0</v>
      </c>
      <c r="O49" s="2353">
        <f t="shared" si="10"/>
        <v>0</v>
      </c>
      <c r="P49" s="2468">
        <f t="shared" si="10"/>
        <v>0</v>
      </c>
    </row>
    <row r="50" ht="15" spans="1:16">
      <c r="A50" s="2356"/>
      <c r="B50" s="2311"/>
      <c r="C50" s="2316"/>
      <c r="D50" s="2315"/>
      <c r="E50" s="2315"/>
      <c r="F50" s="2315"/>
      <c r="G50" s="2315"/>
      <c r="H50" s="2315"/>
      <c r="I50" s="2315"/>
      <c r="J50" s="2315"/>
      <c r="K50" s="2315"/>
      <c r="L50" s="2315"/>
      <c r="M50" s="2315"/>
      <c r="N50" s="2315"/>
      <c r="O50" s="2315"/>
      <c r="P50" s="2315"/>
    </row>
    <row r="51" spans="1:16">
      <c r="A51" s="2357" t="str">
        <f>IF(C51&lt;&gt;0,"主表的经营活动现金产生的流量净额与附表不符，相差：","")</f>
        <v/>
      </c>
      <c r="B51" s="2311"/>
      <c r="C51" s="2465">
        <f>ROUND(C16-C72,2)</f>
        <v>0</v>
      </c>
      <c r="D51" s="2359"/>
      <c r="E51" s="2359">
        <f>ROUND(E16-E72,2)</f>
        <v>0</v>
      </c>
      <c r="F51" s="2359">
        <f>ROUND(F16-F72,2)</f>
        <v>0</v>
      </c>
      <c r="G51" s="2359">
        <f t="shared" ref="G51:P51" si="11">ROUND(G16-G72,2)</f>
        <v>0</v>
      </c>
      <c r="H51" s="2359">
        <f t="shared" si="11"/>
        <v>0</v>
      </c>
      <c r="I51" s="2359">
        <f t="shared" si="11"/>
        <v>0</v>
      </c>
      <c r="J51" s="2359">
        <f t="shared" si="11"/>
        <v>0</v>
      </c>
      <c r="K51" s="2359">
        <f t="shared" si="11"/>
        <v>0</v>
      </c>
      <c r="L51" s="2359">
        <f t="shared" si="11"/>
        <v>0</v>
      </c>
      <c r="M51" s="2359">
        <f t="shared" si="11"/>
        <v>0</v>
      </c>
      <c r="N51" s="2359">
        <f t="shared" si="11"/>
        <v>0</v>
      </c>
      <c r="O51" s="2359">
        <f t="shared" si="11"/>
        <v>0</v>
      </c>
      <c r="P51" s="2359">
        <f t="shared" si="11"/>
        <v>0</v>
      </c>
    </row>
    <row r="52" ht="15" spans="1:16">
      <c r="A52" s="2360" t="s">
        <v>159</v>
      </c>
      <c r="B52" s="2311"/>
      <c r="C52" s="2316"/>
      <c r="D52" s="2315"/>
      <c r="E52" s="2315"/>
      <c r="F52" s="2315"/>
      <c r="G52" s="2315"/>
      <c r="H52" s="2315"/>
      <c r="I52" s="2315"/>
      <c r="J52" s="2315"/>
      <c r="K52" s="2315"/>
      <c r="L52" s="2315"/>
      <c r="M52" s="2315"/>
      <c r="N52" s="2315"/>
      <c r="O52" s="2315"/>
      <c r="P52" s="2315"/>
    </row>
    <row r="53" ht="15" spans="1:16">
      <c r="A53" s="2361" t="s">
        <v>160</v>
      </c>
      <c r="B53" s="2362" t="s">
        <v>161</v>
      </c>
      <c r="C53" s="2466" t="str">
        <f>IF(参数表!$C$12="本期间为特定年","本年金额","本期金额")</f>
        <v>本年金额</v>
      </c>
      <c r="D53" s="2319"/>
      <c r="E53" s="2319" t="str">
        <f>IF(参数表!$C$12="本期间为特定年","本年金额","本期金额")</f>
        <v>本年金额</v>
      </c>
      <c r="F53" s="2319" t="str">
        <f>IF(参数表!$C$12="本期间为特定年","本年金额","本期金额")</f>
        <v>本年金额</v>
      </c>
      <c r="G53" s="2319" t="str">
        <f>IF(参数表!$C$12="本期间为特定年","本年金额","本期金额")</f>
        <v>本年金额</v>
      </c>
      <c r="H53" s="2319" t="str">
        <f>IF(参数表!$C$12="本期间为特定年","本年金额","本期金额")</f>
        <v>本年金额</v>
      </c>
      <c r="I53" s="2319" t="str">
        <f>IF(参数表!$C$12="本期间为特定年","本年金额","本期金额")</f>
        <v>本年金额</v>
      </c>
      <c r="J53" s="2319" t="str">
        <f>IF(参数表!$C$12="本期间为特定年","本年金额","本期金额")</f>
        <v>本年金额</v>
      </c>
      <c r="K53" s="2319" t="str">
        <f>IF(参数表!$C$12="本期间为特定年","本年金额","本期金额")</f>
        <v>本年金额</v>
      </c>
      <c r="L53" s="2319" t="str">
        <f>IF(参数表!$C$12="本期间为特定年","本年金额","本期金额")</f>
        <v>本年金额</v>
      </c>
      <c r="M53" s="2319" t="str">
        <f>IF(参数表!$C$12="本期间为特定年","本年金额","本期金额")</f>
        <v>本年金额</v>
      </c>
      <c r="N53" s="2319" t="str">
        <f>IF(参数表!$C$12="本期间为特定年","本年金额","本期金额")</f>
        <v>本年金额</v>
      </c>
      <c r="O53" s="2319" t="str">
        <f>IF(参数表!$C$12="本期间为特定年","本年金额","本期金额")</f>
        <v>本年金额</v>
      </c>
      <c r="P53" s="2320" t="str">
        <f>IF(参数表!$C$12="本期间为特定年","本年金额","本期金额")</f>
        <v>本年金额</v>
      </c>
    </row>
    <row r="54" spans="1:16">
      <c r="A54" s="2364"/>
      <c r="B54" s="2365"/>
      <c r="C54" s="2327" t="s">
        <v>162</v>
      </c>
      <c r="D54" s="2325"/>
      <c r="E54" s="2366" t="str">
        <f>E5</f>
        <v>1月</v>
      </c>
      <c r="F54" s="2325" t="str">
        <f t="shared" ref="F54:P54" si="12">F5</f>
        <v>2月</v>
      </c>
      <c r="G54" s="2366" t="str">
        <f t="shared" si="12"/>
        <v>3月</v>
      </c>
      <c r="H54" s="2325" t="str">
        <f t="shared" si="12"/>
        <v>4月</v>
      </c>
      <c r="I54" s="2366" t="str">
        <f t="shared" si="12"/>
        <v>5月</v>
      </c>
      <c r="J54" s="2325" t="str">
        <f t="shared" si="12"/>
        <v>6月</v>
      </c>
      <c r="K54" s="2366" t="str">
        <f t="shared" si="12"/>
        <v>7月</v>
      </c>
      <c r="L54" s="2325" t="str">
        <f t="shared" si="12"/>
        <v>8月</v>
      </c>
      <c r="M54" s="2366" t="str">
        <f t="shared" si="12"/>
        <v>9月</v>
      </c>
      <c r="N54" s="2325" t="str">
        <f t="shared" si="12"/>
        <v>10月</v>
      </c>
      <c r="O54" s="2366" t="str">
        <f t="shared" si="12"/>
        <v>11月</v>
      </c>
      <c r="P54" s="2367" t="str">
        <f t="shared" si="12"/>
        <v>12月</v>
      </c>
    </row>
    <row r="55" spans="1:16">
      <c r="A55" s="2369" t="s">
        <v>163</v>
      </c>
      <c r="B55" s="2348"/>
      <c r="C55" s="2333"/>
      <c r="D55" s="2331"/>
      <c r="E55" s="2331"/>
      <c r="F55" s="2331"/>
      <c r="G55" s="2331"/>
      <c r="H55" s="2331"/>
      <c r="I55" s="2331"/>
      <c r="J55" s="2331"/>
      <c r="K55" s="2331"/>
      <c r="L55" s="2331"/>
      <c r="M55" s="2331"/>
      <c r="N55" s="2331"/>
      <c r="O55" s="2331"/>
      <c r="P55" s="2332"/>
    </row>
    <row r="56" spans="1:16">
      <c r="A56" s="2370" t="s">
        <v>109</v>
      </c>
      <c r="B56" s="2371"/>
      <c r="C56" s="2333">
        <f>审定现流表!C56</f>
        <v>0</v>
      </c>
      <c r="D56" s="2331"/>
      <c r="E56" s="2331"/>
      <c r="F56" s="2331"/>
      <c r="G56" s="2331"/>
      <c r="H56" s="2331"/>
      <c r="I56" s="2331"/>
      <c r="J56" s="2331"/>
      <c r="K56" s="2331"/>
      <c r="L56" s="2331"/>
      <c r="M56" s="2331"/>
      <c r="N56" s="2331"/>
      <c r="O56" s="2331"/>
      <c r="P56" s="2332"/>
    </row>
    <row r="57" spans="1:16">
      <c r="A57" s="2370" t="s">
        <v>164</v>
      </c>
      <c r="B57" s="2371"/>
      <c r="C57" s="2333">
        <f>审定现流表!C57</f>
        <v>0</v>
      </c>
      <c r="D57" s="2331"/>
      <c r="E57" s="2336">
        <f>$C57-SUM($D57:D57)</f>
        <v>0</v>
      </c>
      <c r="F57" s="2336">
        <f>$C57-SUM($D57:E57)</f>
        <v>0</v>
      </c>
      <c r="G57" s="2336">
        <f>$C57-SUM($D57:F57)</f>
        <v>0</v>
      </c>
      <c r="H57" s="2336">
        <f>$C57-SUM($D57:G57)</f>
        <v>0</v>
      </c>
      <c r="I57" s="2336">
        <f>$C57-SUM($D57:H57)</f>
        <v>0</v>
      </c>
      <c r="J57" s="2336">
        <f>$C57-SUM($D57:I57)</f>
        <v>0</v>
      </c>
      <c r="K57" s="2336">
        <f>$C57-SUM($D57:J57)</f>
        <v>0</v>
      </c>
      <c r="L57" s="2336">
        <f>$C57-SUM($D57:K57)</f>
        <v>0</v>
      </c>
      <c r="M57" s="2336">
        <f>$C57-SUM($D57:L57)</f>
        <v>0</v>
      </c>
      <c r="N57" s="2336">
        <f>$C57-SUM($D57:M57)</f>
        <v>0</v>
      </c>
      <c r="O57" s="2336">
        <f>$C57-SUM($D57:N57)</f>
        <v>0</v>
      </c>
      <c r="P57" s="2349">
        <f>$C57-SUM($D57:O57)</f>
        <v>0</v>
      </c>
    </row>
    <row r="58" spans="1:16">
      <c r="A58" s="2370" t="s">
        <v>165</v>
      </c>
      <c r="B58" s="2371"/>
      <c r="C58" s="2333">
        <f>审定现流表!C58</f>
        <v>0</v>
      </c>
      <c r="D58" s="2331"/>
      <c r="E58" s="2336">
        <f>$C58-SUM($D58:D58)</f>
        <v>0</v>
      </c>
      <c r="F58" s="2336">
        <f>$C58-SUM($D58:E58)</f>
        <v>0</v>
      </c>
      <c r="G58" s="2336">
        <f>$C58-SUM($D58:F58)</f>
        <v>0</v>
      </c>
      <c r="H58" s="2336">
        <f>$C58-SUM($D58:G58)</f>
        <v>0</v>
      </c>
      <c r="I58" s="2336">
        <f>$C58-SUM($D58:H58)</f>
        <v>0</v>
      </c>
      <c r="J58" s="2336">
        <f>$C58-SUM($D58:I58)</f>
        <v>0</v>
      </c>
      <c r="K58" s="2336">
        <f>$C58-SUM($D58:J58)</f>
        <v>0</v>
      </c>
      <c r="L58" s="2336">
        <f>$C58-SUM($D58:K58)</f>
        <v>0</v>
      </c>
      <c r="M58" s="2336">
        <f>$C58-SUM($D58:L58)</f>
        <v>0</v>
      </c>
      <c r="N58" s="2336">
        <f>$C58-SUM($D58:M58)</f>
        <v>0</v>
      </c>
      <c r="O58" s="2336">
        <f>$C58-SUM($D58:N58)</f>
        <v>0</v>
      </c>
      <c r="P58" s="2349">
        <f>$C58-SUM($D58:O58)</f>
        <v>0</v>
      </c>
    </row>
    <row r="59" spans="1:16">
      <c r="A59" s="2370" t="s">
        <v>166</v>
      </c>
      <c r="B59" s="2371"/>
      <c r="C59" s="2333">
        <f>审定现流表!C59</f>
        <v>0</v>
      </c>
      <c r="D59" s="2331"/>
      <c r="E59" s="2336">
        <f>$C59-SUM($D59:D59)</f>
        <v>0</v>
      </c>
      <c r="F59" s="2336">
        <f>$C59-SUM($D59:E59)</f>
        <v>0</v>
      </c>
      <c r="G59" s="2336">
        <f>$C59-SUM($D59:F59)</f>
        <v>0</v>
      </c>
      <c r="H59" s="2336">
        <f>$C59-SUM($D59:G59)</f>
        <v>0</v>
      </c>
      <c r="I59" s="2336">
        <f>$C59-SUM($D59:H59)</f>
        <v>0</v>
      </c>
      <c r="J59" s="2336">
        <f>$C59-SUM($D59:I59)</f>
        <v>0</v>
      </c>
      <c r="K59" s="2336">
        <f>$C59-SUM($D59:J59)</f>
        <v>0</v>
      </c>
      <c r="L59" s="2336">
        <f>$C59-SUM($D59:K59)</f>
        <v>0</v>
      </c>
      <c r="M59" s="2336">
        <f>$C59-SUM($D59:L59)</f>
        <v>0</v>
      </c>
      <c r="N59" s="2336">
        <f>$C59-SUM($D59:M59)</f>
        <v>0</v>
      </c>
      <c r="O59" s="2336">
        <f>$C59-SUM($D59:N59)</f>
        <v>0</v>
      </c>
      <c r="P59" s="2349">
        <f>$C59-SUM($D59:O59)</f>
        <v>0</v>
      </c>
    </row>
    <row r="60" spans="1:16">
      <c r="A60" s="2370" t="s">
        <v>167</v>
      </c>
      <c r="B60" s="2371"/>
      <c r="C60" s="2333">
        <f>审定现流表!C60</f>
        <v>0</v>
      </c>
      <c r="D60" s="2331"/>
      <c r="E60" s="2336">
        <f>$C60-SUM($D60:D60)</f>
        <v>0</v>
      </c>
      <c r="F60" s="2336">
        <f>$C60-SUM($D60:E60)</f>
        <v>0</v>
      </c>
      <c r="G60" s="2336">
        <f>$C60-SUM($D60:F60)</f>
        <v>0</v>
      </c>
      <c r="H60" s="2336">
        <f>$C60-SUM($D60:G60)</f>
        <v>0</v>
      </c>
      <c r="I60" s="2336">
        <f>$C60-SUM($D60:H60)</f>
        <v>0</v>
      </c>
      <c r="J60" s="2336">
        <f>$C60-SUM($D60:I60)</f>
        <v>0</v>
      </c>
      <c r="K60" s="2336">
        <f>$C60-SUM($D60:J60)</f>
        <v>0</v>
      </c>
      <c r="L60" s="2336">
        <f>$C60-SUM($D60:K60)</f>
        <v>0</v>
      </c>
      <c r="M60" s="2336">
        <f>$C60-SUM($D60:L60)</f>
        <v>0</v>
      </c>
      <c r="N60" s="2336">
        <f>$C60-SUM($D60:M60)</f>
        <v>0</v>
      </c>
      <c r="O60" s="2336">
        <f>$C60-SUM($D60:N60)</f>
        <v>0</v>
      </c>
      <c r="P60" s="2349">
        <f>$C60-SUM($D60:O60)</f>
        <v>0</v>
      </c>
    </row>
    <row r="61" spans="1:16">
      <c r="A61" s="2370" t="s">
        <v>168</v>
      </c>
      <c r="B61" s="2371"/>
      <c r="C61" s="2333">
        <f>审定现流表!C61</f>
        <v>0</v>
      </c>
      <c r="D61" s="2331"/>
      <c r="E61" s="2336">
        <f>$C61-SUM($D61:D61)</f>
        <v>0</v>
      </c>
      <c r="F61" s="2336">
        <f>$C61-SUM($D61:E61)</f>
        <v>0</v>
      </c>
      <c r="G61" s="2336">
        <f>$C61-SUM($D61:F61)</f>
        <v>0</v>
      </c>
      <c r="H61" s="2336">
        <f>$C61-SUM($D61:G61)</f>
        <v>0</v>
      </c>
      <c r="I61" s="2336">
        <f>$C61-SUM($D61:H61)</f>
        <v>0</v>
      </c>
      <c r="J61" s="2336">
        <f>$C61-SUM($D61:I61)</f>
        <v>0</v>
      </c>
      <c r="K61" s="2336">
        <f>$C61-SUM($D61:J61)</f>
        <v>0</v>
      </c>
      <c r="L61" s="2336">
        <f>$C61-SUM($D61:K61)</f>
        <v>0</v>
      </c>
      <c r="M61" s="2336">
        <f>$C61-SUM($D61:L61)</f>
        <v>0</v>
      </c>
      <c r="N61" s="2336">
        <f>$C61-SUM($D61:M61)</f>
        <v>0</v>
      </c>
      <c r="O61" s="2336">
        <f>$C61-SUM($D61:N61)</f>
        <v>0</v>
      </c>
      <c r="P61" s="2349">
        <f>$C61-SUM($D61:O61)</f>
        <v>0</v>
      </c>
    </row>
    <row r="62" spans="1:16">
      <c r="A62" s="2370" t="s">
        <v>169</v>
      </c>
      <c r="B62" s="2371"/>
      <c r="C62" s="2333">
        <f>审定现流表!C62</f>
        <v>0</v>
      </c>
      <c r="D62" s="2331"/>
      <c r="E62" s="2336">
        <f>$C62-SUM($D62:D62)</f>
        <v>0</v>
      </c>
      <c r="F62" s="2336">
        <f>$C62-SUM($D62:E62)</f>
        <v>0</v>
      </c>
      <c r="G62" s="2336">
        <f>$C62-SUM($D62:F62)</f>
        <v>0</v>
      </c>
      <c r="H62" s="2336">
        <f>$C62-SUM($D62:G62)</f>
        <v>0</v>
      </c>
      <c r="I62" s="2336">
        <f>$C62-SUM($D62:H62)</f>
        <v>0</v>
      </c>
      <c r="J62" s="2336">
        <f>$C62-SUM($D62:I62)</f>
        <v>0</v>
      </c>
      <c r="K62" s="2336">
        <f>$C62-SUM($D62:J62)</f>
        <v>0</v>
      </c>
      <c r="L62" s="2336">
        <f>$C62-SUM($D62:K62)</f>
        <v>0</v>
      </c>
      <c r="M62" s="2336">
        <f>$C62-SUM($D62:L62)</f>
        <v>0</v>
      </c>
      <c r="N62" s="2336">
        <f>$C62-SUM($D62:M62)</f>
        <v>0</v>
      </c>
      <c r="O62" s="2336">
        <f>$C62-SUM($D62:N62)</f>
        <v>0</v>
      </c>
      <c r="P62" s="2349">
        <f>$C62-SUM($D62:O62)</f>
        <v>0</v>
      </c>
    </row>
    <row r="63" spans="1:16">
      <c r="A63" s="2370" t="s">
        <v>170</v>
      </c>
      <c r="B63" s="2371"/>
      <c r="C63" s="2333">
        <f>审定现流表!C63</f>
        <v>0</v>
      </c>
      <c r="D63" s="2331"/>
      <c r="E63" s="2336">
        <f>$C63-SUM($D63:D63)</f>
        <v>0</v>
      </c>
      <c r="F63" s="2336">
        <f>$C63-SUM($D63:E63)</f>
        <v>0</v>
      </c>
      <c r="G63" s="2336">
        <f>$C63-SUM($D63:F63)</f>
        <v>0</v>
      </c>
      <c r="H63" s="2336">
        <f>$C63-SUM($D63:G63)</f>
        <v>0</v>
      </c>
      <c r="I63" s="2336">
        <f>$C63-SUM($D63:H63)</f>
        <v>0</v>
      </c>
      <c r="J63" s="2336">
        <f>$C63-SUM($D63:I63)</f>
        <v>0</v>
      </c>
      <c r="K63" s="2336">
        <f>$C63-SUM($D63:J63)</f>
        <v>0</v>
      </c>
      <c r="L63" s="2336">
        <f>$C63-SUM($D63:K63)</f>
        <v>0</v>
      </c>
      <c r="M63" s="2336">
        <f>$C63-SUM($D63:L63)</f>
        <v>0</v>
      </c>
      <c r="N63" s="2336">
        <f>$C63-SUM($D63:M63)</f>
        <v>0</v>
      </c>
      <c r="O63" s="2336">
        <f>$C63-SUM($D63:N63)</f>
        <v>0</v>
      </c>
      <c r="P63" s="2349">
        <f>$C63-SUM($D63:O63)</f>
        <v>0</v>
      </c>
    </row>
    <row r="64" spans="1:16">
      <c r="A64" s="2370" t="s">
        <v>84</v>
      </c>
      <c r="B64" s="2371"/>
      <c r="C64" s="2333">
        <f>审定现流表!C64</f>
        <v>0</v>
      </c>
      <c r="D64" s="2331"/>
      <c r="E64" s="2336">
        <f>$C64-SUM($D64:D64)</f>
        <v>0</v>
      </c>
      <c r="F64" s="2336">
        <f>$C64-SUM($D64:E64)</f>
        <v>0</v>
      </c>
      <c r="G64" s="2336">
        <f>$C64-SUM($D64:F64)</f>
        <v>0</v>
      </c>
      <c r="H64" s="2336">
        <f>$C64-SUM($D64:G64)</f>
        <v>0</v>
      </c>
      <c r="I64" s="2336">
        <f>$C64-SUM($D64:H64)</f>
        <v>0</v>
      </c>
      <c r="J64" s="2336">
        <f>$C64-SUM($D64:I64)</f>
        <v>0</v>
      </c>
      <c r="K64" s="2336">
        <f>$C64-SUM($D64:J64)</f>
        <v>0</v>
      </c>
      <c r="L64" s="2336">
        <f>$C64-SUM($D64:K64)</f>
        <v>0</v>
      </c>
      <c r="M64" s="2336">
        <f>$C64-SUM($D64:L64)</f>
        <v>0</v>
      </c>
      <c r="N64" s="2336">
        <f>$C64-SUM($D64:M64)</f>
        <v>0</v>
      </c>
      <c r="O64" s="2336">
        <f>$C64-SUM($D64:N64)</f>
        <v>0</v>
      </c>
      <c r="P64" s="2349">
        <f>$C64-SUM($D64:O64)</f>
        <v>0</v>
      </c>
    </row>
    <row r="65" spans="1:16">
      <c r="A65" s="2370" t="s">
        <v>171</v>
      </c>
      <c r="B65" s="2371"/>
      <c r="C65" s="2333">
        <f>审定现流表!C65</f>
        <v>0</v>
      </c>
      <c r="D65" s="2331"/>
      <c r="E65" s="2336">
        <f>$C65-SUM($D65:D65)</f>
        <v>0</v>
      </c>
      <c r="F65" s="2336">
        <f>$C65-SUM($D65:E65)</f>
        <v>0</v>
      </c>
      <c r="G65" s="2336">
        <f>$C65-SUM($D65:F65)</f>
        <v>0</v>
      </c>
      <c r="H65" s="2336">
        <f>$C65-SUM($D65:G65)</f>
        <v>0</v>
      </c>
      <c r="I65" s="2336">
        <f>$C65-SUM($D65:H65)</f>
        <v>0</v>
      </c>
      <c r="J65" s="2336">
        <f>$C65-SUM($D65:I65)</f>
        <v>0</v>
      </c>
      <c r="K65" s="2336">
        <f>$C65-SUM($D65:J65)</f>
        <v>0</v>
      </c>
      <c r="L65" s="2336">
        <f>$C65-SUM($D65:K65)</f>
        <v>0</v>
      </c>
      <c r="M65" s="2336">
        <f>$C65-SUM($D65:L65)</f>
        <v>0</v>
      </c>
      <c r="N65" s="2336">
        <f>$C65-SUM($D65:M65)</f>
        <v>0</v>
      </c>
      <c r="O65" s="2336">
        <f>$C65-SUM($D65:N65)</f>
        <v>0</v>
      </c>
      <c r="P65" s="2349">
        <f>$C65-SUM($D65:O65)</f>
        <v>0</v>
      </c>
    </row>
    <row r="66" spans="1:16">
      <c r="A66" s="2370" t="s">
        <v>172</v>
      </c>
      <c r="B66" s="2371"/>
      <c r="C66" s="2333">
        <f>审定现流表!C66</f>
        <v>0</v>
      </c>
      <c r="D66" s="2331"/>
      <c r="E66" s="2336">
        <f>$C66-SUM($D66:D66)</f>
        <v>0</v>
      </c>
      <c r="F66" s="2336">
        <f>$C66-SUM($D66:E66)</f>
        <v>0</v>
      </c>
      <c r="G66" s="2336">
        <f>$C66-SUM($D66:F66)</f>
        <v>0</v>
      </c>
      <c r="H66" s="2336">
        <f>$C66-SUM($D66:G66)</f>
        <v>0</v>
      </c>
      <c r="I66" s="2336">
        <f>$C66-SUM($D66:H66)</f>
        <v>0</v>
      </c>
      <c r="J66" s="2336">
        <f>$C66-SUM($D66:I66)</f>
        <v>0</v>
      </c>
      <c r="K66" s="2336">
        <f>$C66-SUM($D66:J66)</f>
        <v>0</v>
      </c>
      <c r="L66" s="2336">
        <f>$C66-SUM($D66:K66)</f>
        <v>0</v>
      </c>
      <c r="M66" s="2336">
        <f>$C66-SUM($D66:L66)</f>
        <v>0</v>
      </c>
      <c r="N66" s="2336">
        <f>$C66-SUM($D66:M66)</f>
        <v>0</v>
      </c>
      <c r="O66" s="2336">
        <f>$C66-SUM($D66:N66)</f>
        <v>0</v>
      </c>
      <c r="P66" s="2349">
        <f>$C66-SUM($D66:O66)</f>
        <v>0</v>
      </c>
    </row>
    <row r="67" spans="1:16">
      <c r="A67" s="2370" t="s">
        <v>173</v>
      </c>
      <c r="B67" s="2371"/>
      <c r="C67" s="2333">
        <f>审定现流表!C67</f>
        <v>0</v>
      </c>
      <c r="D67" s="2331"/>
      <c r="E67" s="2336">
        <f>$C67-SUM($D67:D67)</f>
        <v>0</v>
      </c>
      <c r="F67" s="2336">
        <f>$C67-SUM($D67:E67)</f>
        <v>0</v>
      </c>
      <c r="G67" s="2336">
        <f>$C67-SUM($D67:F67)</f>
        <v>0</v>
      </c>
      <c r="H67" s="2336">
        <f>$C67-SUM($D67:G67)</f>
        <v>0</v>
      </c>
      <c r="I67" s="2336">
        <f>$C67-SUM($D67:H67)</f>
        <v>0</v>
      </c>
      <c r="J67" s="2336">
        <f>$C67-SUM($D67:I67)</f>
        <v>0</v>
      </c>
      <c r="K67" s="2336">
        <f>$C67-SUM($D67:J67)</f>
        <v>0</v>
      </c>
      <c r="L67" s="2336">
        <f>$C67-SUM($D67:K67)</f>
        <v>0</v>
      </c>
      <c r="M67" s="2336">
        <f>$C67-SUM($D67:L67)</f>
        <v>0</v>
      </c>
      <c r="N67" s="2336">
        <f>$C67-SUM($D67:M67)</f>
        <v>0</v>
      </c>
      <c r="O67" s="2336">
        <f>$C67-SUM($D67:N67)</f>
        <v>0</v>
      </c>
      <c r="P67" s="2349">
        <f>$C67-SUM($D67:O67)</f>
        <v>0</v>
      </c>
    </row>
    <row r="68" spans="1:16">
      <c r="A68" s="2370" t="s">
        <v>174</v>
      </c>
      <c r="B68" s="2371"/>
      <c r="C68" s="2333">
        <f>审定现流表!C68</f>
        <v>0</v>
      </c>
      <c r="D68" s="2331"/>
      <c r="E68" s="2336">
        <f>$C68-SUM($D68:D68)</f>
        <v>0</v>
      </c>
      <c r="F68" s="2336">
        <f>$C68-SUM($D68:E68)</f>
        <v>0</v>
      </c>
      <c r="G68" s="2336">
        <f>$C68-SUM($D68:F68)</f>
        <v>0</v>
      </c>
      <c r="H68" s="2336">
        <f>$C68-SUM($D68:G68)</f>
        <v>0</v>
      </c>
      <c r="I68" s="2336">
        <f>$C68-SUM($D68:H68)</f>
        <v>0</v>
      </c>
      <c r="J68" s="2336">
        <f>$C68-SUM($D68:I68)</f>
        <v>0</v>
      </c>
      <c r="K68" s="2336">
        <f>$C68-SUM($D68:J68)</f>
        <v>0</v>
      </c>
      <c r="L68" s="2336">
        <f>$C68-SUM($D68:K68)</f>
        <v>0</v>
      </c>
      <c r="M68" s="2336">
        <f>$C68-SUM($D68:L68)</f>
        <v>0</v>
      </c>
      <c r="N68" s="2336">
        <f>$C68-SUM($D68:M68)</f>
        <v>0</v>
      </c>
      <c r="O68" s="2336">
        <f>$C68-SUM($D68:N68)</f>
        <v>0</v>
      </c>
      <c r="P68" s="2349">
        <f>$C68-SUM($D68:O68)</f>
        <v>0</v>
      </c>
    </row>
    <row r="69" spans="1:16">
      <c r="A69" s="2370" t="s">
        <v>175</v>
      </c>
      <c r="B69" s="2371"/>
      <c r="C69" s="2333">
        <f>审定现流表!C69</f>
        <v>0</v>
      </c>
      <c r="D69" s="2331"/>
      <c r="E69" s="2336">
        <f>$C69-SUM($D69:D69)</f>
        <v>0</v>
      </c>
      <c r="F69" s="2336">
        <f>$C69-SUM($D69:E69)</f>
        <v>0</v>
      </c>
      <c r="G69" s="2336">
        <f>$C69-SUM($D69:F69)</f>
        <v>0</v>
      </c>
      <c r="H69" s="2336">
        <f>$C69-SUM($D69:G69)</f>
        <v>0</v>
      </c>
      <c r="I69" s="2336">
        <f>$C69-SUM($D69:H69)</f>
        <v>0</v>
      </c>
      <c r="J69" s="2336">
        <f>$C69-SUM($D69:I69)</f>
        <v>0</v>
      </c>
      <c r="K69" s="2336">
        <f>$C69-SUM($D69:J69)</f>
        <v>0</v>
      </c>
      <c r="L69" s="2336">
        <f>$C69-SUM($D69:K69)</f>
        <v>0</v>
      </c>
      <c r="M69" s="2336">
        <f>$C69-SUM($D69:L69)</f>
        <v>0</v>
      </c>
      <c r="N69" s="2336">
        <f>$C69-SUM($D69:M69)</f>
        <v>0</v>
      </c>
      <c r="O69" s="2336">
        <f>$C69-SUM($D69:N69)</f>
        <v>0</v>
      </c>
      <c r="P69" s="2349">
        <f>$C69-SUM($D69:O69)</f>
        <v>0</v>
      </c>
    </row>
    <row r="70" spans="1:16">
      <c r="A70" s="2370" t="s">
        <v>176</v>
      </c>
      <c r="B70" s="2371"/>
      <c r="C70" s="2333">
        <f>审定现流表!C70</f>
        <v>0</v>
      </c>
      <c r="D70" s="2331"/>
      <c r="E70" s="2336">
        <f>$C70-SUM($D70:D70)</f>
        <v>0</v>
      </c>
      <c r="F70" s="2336">
        <f>$C70-SUM($D70:E70)</f>
        <v>0</v>
      </c>
      <c r="G70" s="2336">
        <f>$C70-SUM($D70:F70)</f>
        <v>0</v>
      </c>
      <c r="H70" s="2336">
        <f>$C70-SUM($D70:G70)</f>
        <v>0</v>
      </c>
      <c r="I70" s="2336">
        <f>$C70-SUM($D70:H70)</f>
        <v>0</v>
      </c>
      <c r="J70" s="2336">
        <f>$C70-SUM($D70:I70)</f>
        <v>0</v>
      </c>
      <c r="K70" s="2336">
        <f>$C70-SUM($D70:J70)</f>
        <v>0</v>
      </c>
      <c r="L70" s="2336">
        <f>$C70-SUM($D70:K70)</f>
        <v>0</v>
      </c>
      <c r="M70" s="2336">
        <f>$C70-SUM($D70:L70)</f>
        <v>0</v>
      </c>
      <c r="N70" s="2336">
        <f>$C70-SUM($D70:M70)</f>
        <v>0</v>
      </c>
      <c r="O70" s="2336">
        <f>$C70-SUM($D70:N70)</f>
        <v>0</v>
      </c>
      <c r="P70" s="2349">
        <f>$C70-SUM($D70:O70)</f>
        <v>0</v>
      </c>
    </row>
    <row r="71" spans="1:16">
      <c r="A71" s="2370" t="s">
        <v>177</v>
      </c>
      <c r="B71" s="2371"/>
      <c r="C71" s="2333">
        <f>审定现流表!C71</f>
        <v>0</v>
      </c>
      <c r="D71" s="2331"/>
      <c r="E71" s="2336">
        <f>$C71-SUM($D71:D71)</f>
        <v>0</v>
      </c>
      <c r="F71" s="2336">
        <f>$C71-SUM($D71:E71)</f>
        <v>0</v>
      </c>
      <c r="G71" s="2336">
        <f>$C71-SUM($D71:F71)</f>
        <v>0</v>
      </c>
      <c r="H71" s="2336">
        <f>$C71-SUM($D71:G71)</f>
        <v>0</v>
      </c>
      <c r="I71" s="2336">
        <f>$C71-SUM($D71:H71)</f>
        <v>0</v>
      </c>
      <c r="J71" s="2336">
        <f>$C71-SUM($D71:I71)</f>
        <v>0</v>
      </c>
      <c r="K71" s="2336">
        <f>$C71-SUM($D71:J71)</f>
        <v>0</v>
      </c>
      <c r="L71" s="2336">
        <f>$C71-SUM($D71:K71)</f>
        <v>0</v>
      </c>
      <c r="M71" s="2336">
        <f>$C71-SUM($D71:L71)</f>
        <v>0</v>
      </c>
      <c r="N71" s="2336">
        <f>$C71-SUM($D71:M71)</f>
        <v>0</v>
      </c>
      <c r="O71" s="2336">
        <f>$C71-SUM($D71:N71)</f>
        <v>0</v>
      </c>
      <c r="P71" s="2349">
        <f>$C71-SUM($D71:O71)</f>
        <v>0</v>
      </c>
    </row>
    <row r="72" spans="1:16">
      <c r="A72" s="2375" t="s">
        <v>178</v>
      </c>
      <c r="B72" s="2371"/>
      <c r="C72" s="2341">
        <f>ROUND(SUM(C56:C71),2)</f>
        <v>0</v>
      </c>
      <c r="D72" s="2342"/>
      <c r="E72" s="2342">
        <f t="shared" ref="E72:P72" si="13">ROUND(SUM(E56:E71),2)</f>
        <v>0</v>
      </c>
      <c r="F72" s="2342">
        <f t="shared" si="13"/>
        <v>0</v>
      </c>
      <c r="G72" s="2342">
        <f t="shared" si="13"/>
        <v>0</v>
      </c>
      <c r="H72" s="2342">
        <f t="shared" si="13"/>
        <v>0</v>
      </c>
      <c r="I72" s="2342">
        <f t="shared" si="13"/>
        <v>0</v>
      </c>
      <c r="J72" s="2342">
        <f t="shared" si="13"/>
        <v>0</v>
      </c>
      <c r="K72" s="2342">
        <f t="shared" si="13"/>
        <v>0</v>
      </c>
      <c r="L72" s="2342">
        <f t="shared" si="13"/>
        <v>0</v>
      </c>
      <c r="M72" s="2342">
        <f t="shared" si="13"/>
        <v>0</v>
      </c>
      <c r="N72" s="2342">
        <f t="shared" si="13"/>
        <v>0</v>
      </c>
      <c r="O72" s="2342">
        <f t="shared" si="13"/>
        <v>0</v>
      </c>
      <c r="P72" s="2467">
        <f t="shared" si="13"/>
        <v>0</v>
      </c>
    </row>
    <row r="73" spans="1:16">
      <c r="A73" s="2370"/>
      <c r="B73" s="2371"/>
      <c r="C73" s="2333"/>
      <c r="D73" s="2371"/>
      <c r="E73" s="2371"/>
      <c r="F73" s="2371"/>
      <c r="G73" s="2371"/>
      <c r="H73" s="2371"/>
      <c r="I73" s="2371"/>
      <c r="J73" s="2371"/>
      <c r="K73" s="2371"/>
      <c r="L73" s="2371"/>
      <c r="M73" s="2371"/>
      <c r="N73" s="2371"/>
      <c r="O73" s="2371"/>
      <c r="P73" s="2376"/>
    </row>
    <row r="74" spans="1:16">
      <c r="A74" s="2375" t="s">
        <v>179</v>
      </c>
      <c r="B74" s="2371"/>
      <c r="C74" s="2333"/>
      <c r="D74" s="2371"/>
      <c r="E74" s="2371"/>
      <c r="F74" s="2371"/>
      <c r="G74" s="2371"/>
      <c r="H74" s="2371"/>
      <c r="I74" s="2371"/>
      <c r="J74" s="2371"/>
      <c r="K74" s="2371"/>
      <c r="L74" s="2371"/>
      <c r="M74" s="2371"/>
      <c r="N74" s="2371"/>
      <c r="O74" s="2371"/>
      <c r="P74" s="2376"/>
    </row>
    <row r="75" spans="1:16">
      <c r="A75" s="2370" t="s">
        <v>180</v>
      </c>
      <c r="B75" s="2371"/>
      <c r="C75" s="2333">
        <f>审定现流表!C75</f>
        <v>0</v>
      </c>
      <c r="D75" s="2331"/>
      <c r="E75" s="2336">
        <f>$C75-SUM($D75:D75)</f>
        <v>0</v>
      </c>
      <c r="F75" s="2336">
        <f>$C75-SUM($D75:E75)</f>
        <v>0</v>
      </c>
      <c r="G75" s="2336">
        <f>$C75-SUM($D75:F75)</f>
        <v>0</v>
      </c>
      <c r="H75" s="2336">
        <f>$C75-SUM($D75:G75)</f>
        <v>0</v>
      </c>
      <c r="I75" s="2336">
        <f>$C75-SUM($D75:H75)</f>
        <v>0</v>
      </c>
      <c r="J75" s="2336">
        <f>$C75-SUM($D75:I75)</f>
        <v>0</v>
      </c>
      <c r="K75" s="2336">
        <f>$C75-SUM($D75:J75)</f>
        <v>0</v>
      </c>
      <c r="L75" s="2336">
        <f>$C75-SUM($D75:K75)</f>
        <v>0</v>
      </c>
      <c r="M75" s="2336">
        <f>$C75-SUM($D75:L75)</f>
        <v>0</v>
      </c>
      <c r="N75" s="2336">
        <f>$C75-SUM($D75:M75)</f>
        <v>0</v>
      </c>
      <c r="O75" s="2336">
        <f>$C75-SUM($D75:N75)</f>
        <v>0</v>
      </c>
      <c r="P75" s="2349">
        <f>$C75-SUM($D75:O75)</f>
        <v>0</v>
      </c>
    </row>
    <row r="76" spans="1:16">
      <c r="A76" s="2370" t="s">
        <v>181</v>
      </c>
      <c r="B76" s="2371"/>
      <c r="C76" s="2333">
        <f>审定现流表!C76</f>
        <v>0</v>
      </c>
      <c r="D76" s="2331"/>
      <c r="E76" s="2336">
        <f>$C76-SUM($D76:D76)</f>
        <v>0</v>
      </c>
      <c r="F76" s="2336">
        <f>$C76-SUM($D76:E76)</f>
        <v>0</v>
      </c>
      <c r="G76" s="2336">
        <f>$C76-SUM($D76:F76)</f>
        <v>0</v>
      </c>
      <c r="H76" s="2336">
        <f>$C76-SUM($D76:G76)</f>
        <v>0</v>
      </c>
      <c r="I76" s="2336">
        <f>$C76-SUM($D76:H76)</f>
        <v>0</v>
      </c>
      <c r="J76" s="2336">
        <f>$C76-SUM($D76:I76)</f>
        <v>0</v>
      </c>
      <c r="K76" s="2336">
        <f>$C76-SUM($D76:J76)</f>
        <v>0</v>
      </c>
      <c r="L76" s="2336">
        <f>$C76-SUM($D76:K76)</f>
        <v>0</v>
      </c>
      <c r="M76" s="2336">
        <f>$C76-SUM($D76:L76)</f>
        <v>0</v>
      </c>
      <c r="N76" s="2336">
        <f>$C76-SUM($D76:M76)</f>
        <v>0</v>
      </c>
      <c r="O76" s="2336">
        <f>$C76-SUM($D76:N76)</f>
        <v>0</v>
      </c>
      <c r="P76" s="2349">
        <f>$C76-SUM($D76:O76)</f>
        <v>0</v>
      </c>
    </row>
    <row r="77" spans="1:16">
      <c r="A77" s="2370" t="s">
        <v>182</v>
      </c>
      <c r="B77" s="2371"/>
      <c r="C77" s="2333">
        <f>审定现流表!C77</f>
        <v>0</v>
      </c>
      <c r="D77" s="2331"/>
      <c r="E77" s="2336">
        <f>$C77-SUM($D77:D77)</f>
        <v>0</v>
      </c>
      <c r="F77" s="2336">
        <f>$C77-SUM($D77:E77)</f>
        <v>0</v>
      </c>
      <c r="G77" s="2336">
        <f>$C77-SUM($D77:F77)</f>
        <v>0</v>
      </c>
      <c r="H77" s="2336">
        <f>$C77-SUM($D77:G77)</f>
        <v>0</v>
      </c>
      <c r="I77" s="2336">
        <f>$C77-SUM($D77:H77)</f>
        <v>0</v>
      </c>
      <c r="J77" s="2336">
        <f>$C77-SUM($D77:I77)</f>
        <v>0</v>
      </c>
      <c r="K77" s="2336">
        <f>$C77-SUM($D77:J77)</f>
        <v>0</v>
      </c>
      <c r="L77" s="2336">
        <f>$C77-SUM($D77:K77)</f>
        <v>0</v>
      </c>
      <c r="M77" s="2336">
        <f>$C77-SUM($D77:L77)</f>
        <v>0</v>
      </c>
      <c r="N77" s="2336">
        <f>$C77-SUM($D77:M77)</f>
        <v>0</v>
      </c>
      <c r="O77" s="2336">
        <f>$C77-SUM($D77:N77)</f>
        <v>0</v>
      </c>
      <c r="P77" s="2349">
        <f>$C77-SUM($D77:O77)</f>
        <v>0</v>
      </c>
    </row>
    <row r="78" spans="1:16">
      <c r="A78" s="2370"/>
      <c r="B78" s="2371"/>
      <c r="C78" s="2333"/>
      <c r="D78" s="2371"/>
      <c r="E78" s="2371"/>
      <c r="F78" s="2371"/>
      <c r="G78" s="2371"/>
      <c r="H78" s="2371"/>
      <c r="I78" s="2371"/>
      <c r="J78" s="2371"/>
      <c r="K78" s="2371"/>
      <c r="L78" s="2371"/>
      <c r="M78" s="2371"/>
      <c r="N78" s="2371"/>
      <c r="O78" s="2371"/>
      <c r="P78" s="2376"/>
    </row>
    <row r="79" spans="1:16">
      <c r="A79" s="2375" t="s">
        <v>183</v>
      </c>
      <c r="B79" s="2371"/>
      <c r="C79" s="2333"/>
      <c r="D79" s="2371"/>
      <c r="E79" s="2371"/>
      <c r="F79" s="2371"/>
      <c r="G79" s="2371"/>
      <c r="H79" s="2371"/>
      <c r="I79" s="2371"/>
      <c r="J79" s="2371"/>
      <c r="K79" s="2371"/>
      <c r="L79" s="2371"/>
      <c r="M79" s="2371"/>
      <c r="N79" s="2371"/>
      <c r="O79" s="2371"/>
      <c r="P79" s="2376"/>
    </row>
    <row r="80" spans="1:16">
      <c r="A80" s="2370" t="s">
        <v>184</v>
      </c>
      <c r="B80" s="2371"/>
      <c r="C80" s="2333">
        <f>审定现流表!C80</f>
        <v>0</v>
      </c>
      <c r="D80" s="2331"/>
      <c r="E80" s="2331"/>
      <c r="F80" s="2331"/>
      <c r="G80" s="2331"/>
      <c r="H80" s="2331"/>
      <c r="I80" s="2331"/>
      <c r="J80" s="2331"/>
      <c r="K80" s="2331"/>
      <c r="L80" s="2331"/>
      <c r="M80" s="2331"/>
      <c r="N80" s="2331"/>
      <c r="O80" s="2331"/>
      <c r="P80" s="2332"/>
    </row>
    <row r="81" spans="1:16">
      <c r="A81" s="2370" t="s">
        <v>185</v>
      </c>
      <c r="B81" s="2371"/>
      <c r="C81" s="2333">
        <f>审定现流表!C81</f>
        <v>0</v>
      </c>
      <c r="D81" s="2331"/>
      <c r="E81" s="2331"/>
      <c r="F81" s="2331"/>
      <c r="G81" s="2331"/>
      <c r="H81" s="2331"/>
      <c r="I81" s="2331"/>
      <c r="J81" s="2331"/>
      <c r="K81" s="2331"/>
      <c r="L81" s="2331"/>
      <c r="M81" s="2331"/>
      <c r="N81" s="2331"/>
      <c r="O81" s="2331"/>
      <c r="P81" s="2332"/>
    </row>
    <row r="82" spans="1:16">
      <c r="A82" s="2370" t="s">
        <v>186</v>
      </c>
      <c r="B82" s="2371"/>
      <c r="C82" s="2333">
        <f>审定现流表!C82</f>
        <v>0</v>
      </c>
      <c r="D82" s="2331"/>
      <c r="E82" s="2336">
        <f>$C82-SUM($D82:D82)</f>
        <v>0</v>
      </c>
      <c r="F82" s="2336">
        <f>$C82-SUM($D82:E82)</f>
        <v>0</v>
      </c>
      <c r="G82" s="2336">
        <f>$C82-SUM($D82:F82)</f>
        <v>0</v>
      </c>
      <c r="H82" s="2336">
        <f>$C82-SUM($D82:G82)</f>
        <v>0</v>
      </c>
      <c r="I82" s="2336">
        <f>$C82-SUM($D82:H82)</f>
        <v>0</v>
      </c>
      <c r="J82" s="2336">
        <f>$C82-SUM($D82:I82)</f>
        <v>0</v>
      </c>
      <c r="K82" s="2336">
        <f>$C82-SUM($D82:J82)</f>
        <v>0</v>
      </c>
      <c r="L82" s="2336">
        <f>$C82-SUM($D82:K82)</f>
        <v>0</v>
      </c>
      <c r="M82" s="2336">
        <f>$C82-SUM($D82:L82)</f>
        <v>0</v>
      </c>
      <c r="N82" s="2336">
        <f>$C82-SUM($D82:M82)</f>
        <v>0</v>
      </c>
      <c r="O82" s="2336">
        <f>$C82-SUM($D82:N82)</f>
        <v>0</v>
      </c>
      <c r="P82" s="2349">
        <f>$C82-SUM($D82:O82)</f>
        <v>0</v>
      </c>
    </row>
    <row r="83" spans="1:16">
      <c r="A83" s="2370" t="s">
        <v>187</v>
      </c>
      <c r="B83" s="2371"/>
      <c r="C83" s="2333">
        <f>审定现流表!C83</f>
        <v>0</v>
      </c>
      <c r="D83" s="2331"/>
      <c r="E83" s="2336">
        <f>$C83-SUM($D83:D83)</f>
        <v>0</v>
      </c>
      <c r="F83" s="2336">
        <f>$C83-SUM($D83:E83)</f>
        <v>0</v>
      </c>
      <c r="G83" s="2336">
        <f>$C83-SUM($D83:F83)</f>
        <v>0</v>
      </c>
      <c r="H83" s="2336">
        <f>$C83-SUM($D83:G83)</f>
        <v>0</v>
      </c>
      <c r="I83" s="2336">
        <f>$C83-SUM($D83:H83)</f>
        <v>0</v>
      </c>
      <c r="J83" s="2336">
        <f>$C83-SUM($D83:I83)</f>
        <v>0</v>
      </c>
      <c r="K83" s="2336">
        <f>$C83-SUM($D83:J83)</f>
        <v>0</v>
      </c>
      <c r="L83" s="2336">
        <f>$C83-SUM($D83:K83)</f>
        <v>0</v>
      </c>
      <c r="M83" s="2336">
        <f>$C83-SUM($D83:L83)</f>
        <v>0</v>
      </c>
      <c r="N83" s="2336">
        <f>$C83-SUM($D83:M83)</f>
        <v>0</v>
      </c>
      <c r="O83" s="2336">
        <f>$C83-SUM($D83:N83)</f>
        <v>0</v>
      </c>
      <c r="P83" s="2349">
        <f>$C83-SUM($D83:O83)</f>
        <v>0</v>
      </c>
    </row>
    <row r="84" ht="15" spans="1:16">
      <c r="A84" s="2379" t="s">
        <v>188</v>
      </c>
      <c r="B84" s="2380"/>
      <c r="C84" s="2464">
        <f t="shared" ref="C84:P84" si="14">ROUND(C80-C81+C82-C83,2)</f>
        <v>0</v>
      </c>
      <c r="D84" s="2353"/>
      <c r="E84" s="2353">
        <f t="shared" si="14"/>
        <v>0</v>
      </c>
      <c r="F84" s="2353">
        <f t="shared" si="14"/>
        <v>0</v>
      </c>
      <c r="G84" s="2353">
        <f t="shared" si="14"/>
        <v>0</v>
      </c>
      <c r="H84" s="2353">
        <f t="shared" si="14"/>
        <v>0</v>
      </c>
      <c r="I84" s="2353">
        <f t="shared" si="14"/>
        <v>0</v>
      </c>
      <c r="J84" s="2353">
        <f t="shared" si="14"/>
        <v>0</v>
      </c>
      <c r="K84" s="2353">
        <f t="shared" si="14"/>
        <v>0</v>
      </c>
      <c r="L84" s="2353">
        <f t="shared" si="14"/>
        <v>0</v>
      </c>
      <c r="M84" s="2353">
        <f t="shared" si="14"/>
        <v>0</v>
      </c>
      <c r="N84" s="2353">
        <f t="shared" si="14"/>
        <v>0</v>
      </c>
      <c r="O84" s="2353">
        <f t="shared" si="14"/>
        <v>0</v>
      </c>
      <c r="P84" s="2468">
        <f t="shared" si="14"/>
        <v>0</v>
      </c>
    </row>
    <row r="85" ht="15" hidden="1" spans="1:16">
      <c r="A85" s="2469"/>
      <c r="B85" s="2470"/>
      <c r="C85" s="2471"/>
      <c r="D85" s="2471"/>
      <c r="E85" s="2471"/>
      <c r="F85" s="2471"/>
      <c r="G85" s="2471"/>
      <c r="H85" s="2471"/>
      <c r="I85" s="2471"/>
      <c r="J85" s="2471"/>
      <c r="K85" s="2471"/>
      <c r="L85" s="2471"/>
      <c r="M85" s="2471"/>
      <c r="N85" s="2471"/>
      <c r="O85" s="2471"/>
      <c r="P85" s="2471"/>
    </row>
    <row r="86" hidden="1" spans="1:16">
      <c r="A86" s="2469"/>
      <c r="B86" s="2470"/>
      <c r="C86" s="2471"/>
      <c r="D86" s="2471"/>
      <c r="E86" s="2471"/>
      <c r="F86" s="2471"/>
      <c r="G86" s="2471"/>
      <c r="H86" s="2471"/>
      <c r="I86" s="2471"/>
      <c r="J86" s="2471"/>
      <c r="K86" s="2471"/>
      <c r="L86" s="2471"/>
      <c r="M86" s="2471"/>
      <c r="N86" s="2471"/>
      <c r="O86" s="2471"/>
      <c r="P86" s="2471"/>
    </row>
    <row r="87" hidden="1" spans="1:16">
      <c r="A87" s="2469"/>
      <c r="B87" s="2470"/>
      <c r="C87" s="2471"/>
      <c r="D87" s="2471"/>
      <c r="E87" s="2471"/>
      <c r="F87" s="2471"/>
      <c r="G87" s="2471"/>
      <c r="H87" s="2471"/>
      <c r="I87" s="2471"/>
      <c r="J87" s="2471"/>
      <c r="K87" s="2471"/>
      <c r="L87" s="2471"/>
      <c r="M87" s="2471"/>
      <c r="N87" s="2471"/>
      <c r="O87" s="2471"/>
      <c r="P87" s="2471"/>
    </row>
    <row r="88" hidden="1" spans="1:16">
      <c r="A88" s="2469"/>
      <c r="B88" s="2470"/>
      <c r="C88" s="2471"/>
      <c r="D88" s="2471"/>
      <c r="E88" s="2471"/>
      <c r="F88" s="2471"/>
      <c r="G88" s="2471"/>
      <c r="H88" s="2471"/>
      <c r="I88" s="2471"/>
      <c r="J88" s="2471"/>
      <c r="K88" s="2471"/>
      <c r="L88" s="2471"/>
      <c r="M88" s="2471"/>
      <c r="N88" s="2471"/>
      <c r="O88" s="2471"/>
      <c r="P88" s="2471"/>
    </row>
    <row r="89" hidden="1" spans="1:16">
      <c r="A89" s="2469"/>
      <c r="B89" s="2470"/>
      <c r="C89" s="2471"/>
      <c r="D89" s="2471"/>
      <c r="E89" s="2471"/>
      <c r="F89" s="2471"/>
      <c r="G89" s="2471"/>
      <c r="H89" s="2471"/>
      <c r="I89" s="2471"/>
      <c r="J89" s="2471"/>
      <c r="K89" s="2471"/>
      <c r="L89" s="2471"/>
      <c r="M89" s="2471"/>
      <c r="N89" s="2471"/>
      <c r="O89" s="2471"/>
      <c r="P89" s="2471"/>
    </row>
    <row r="90" hidden="1" spans="1:16">
      <c r="A90" s="2469"/>
      <c r="B90" s="2470"/>
      <c r="C90" s="2471"/>
      <c r="D90" s="2471"/>
      <c r="E90" s="2471"/>
      <c r="F90" s="2471"/>
      <c r="G90" s="2471"/>
      <c r="H90" s="2471"/>
      <c r="I90" s="2471"/>
      <c r="J90" s="2471"/>
      <c r="K90" s="2471"/>
      <c r="L90" s="2471"/>
      <c r="M90" s="2471"/>
      <c r="N90" s="2471"/>
      <c r="O90" s="2471"/>
      <c r="P90" s="2471"/>
    </row>
    <row r="91" hidden="1" spans="1:16">
      <c r="A91" s="2469"/>
      <c r="B91" s="2470"/>
      <c r="C91" s="2471"/>
      <c r="D91" s="2471"/>
      <c r="E91" s="2471"/>
      <c r="F91" s="2471"/>
      <c r="G91" s="2471"/>
      <c r="H91" s="2471"/>
      <c r="I91" s="2471"/>
      <c r="J91" s="2471"/>
      <c r="K91" s="2471"/>
      <c r="L91" s="2471"/>
      <c r="M91" s="2471"/>
      <c r="N91" s="2471"/>
      <c r="O91" s="2471"/>
      <c r="P91" s="2471"/>
    </row>
    <row r="92" hidden="1" spans="1:16">
      <c r="A92" s="2469"/>
      <c r="B92" s="2470"/>
      <c r="C92" s="2471"/>
      <c r="D92" s="2471"/>
      <c r="E92" s="2471"/>
      <c r="F92" s="2471"/>
      <c r="G92" s="2471"/>
      <c r="H92" s="2471"/>
      <c r="I92" s="2471"/>
      <c r="J92" s="2471"/>
      <c r="K92" s="2471"/>
      <c r="L92" s="2471"/>
      <c r="M92" s="2471"/>
      <c r="N92" s="2471"/>
      <c r="O92" s="2471"/>
      <c r="P92" s="2471"/>
    </row>
    <row r="93" hidden="1" spans="1:16">
      <c r="A93" s="2469"/>
      <c r="B93" s="2470"/>
      <c r="C93" s="2471"/>
      <c r="D93" s="2471"/>
      <c r="E93" s="2471"/>
      <c r="F93" s="2471"/>
      <c r="G93" s="2471"/>
      <c r="H93" s="2471"/>
      <c r="I93" s="2471"/>
      <c r="J93" s="2471"/>
      <c r="K93" s="2471"/>
      <c r="L93" s="2471"/>
      <c r="M93" s="2471"/>
      <c r="N93" s="2471"/>
      <c r="O93" s="2471"/>
      <c r="P93" s="2471"/>
    </row>
    <row r="94" hidden="1" spans="1:16">
      <c r="A94" s="2469"/>
      <c r="B94" s="2470"/>
      <c r="C94" s="2471"/>
      <c r="D94" s="2471"/>
      <c r="E94" s="2471"/>
      <c r="F94" s="2471"/>
      <c r="G94" s="2471"/>
      <c r="H94" s="2471"/>
      <c r="I94" s="2471"/>
      <c r="J94" s="2471"/>
      <c r="K94" s="2471"/>
      <c r="L94" s="2471"/>
      <c r="M94" s="2471"/>
      <c r="N94" s="2471"/>
      <c r="O94" s="2471"/>
      <c r="P94" s="2471"/>
    </row>
    <row r="95" hidden="1" spans="1:16">
      <c r="A95" s="2469"/>
      <c r="B95" s="2470"/>
      <c r="C95" s="2471"/>
      <c r="D95" s="2471"/>
      <c r="E95" s="2471"/>
      <c r="F95" s="2471"/>
      <c r="G95" s="2471"/>
      <c r="H95" s="2471"/>
      <c r="I95" s="2471"/>
      <c r="J95" s="2471"/>
      <c r="K95" s="2471"/>
      <c r="L95" s="2471"/>
      <c r="M95" s="2471"/>
      <c r="N95" s="2471"/>
      <c r="O95" s="2471"/>
      <c r="P95" s="2471"/>
    </row>
    <row r="96" hidden="1" spans="1:16">
      <c r="A96" s="2469"/>
      <c r="B96" s="2470"/>
      <c r="C96" s="2471"/>
      <c r="D96" s="2471"/>
      <c r="E96" s="2471"/>
      <c r="F96" s="2471"/>
      <c r="G96" s="2471"/>
      <c r="H96" s="2471"/>
      <c r="I96" s="2471"/>
      <c r="J96" s="2471"/>
      <c r="K96" s="2471"/>
      <c r="L96" s="2471"/>
      <c r="M96" s="2471"/>
      <c r="N96" s="2471"/>
      <c r="O96" s="2471"/>
      <c r="P96" s="2471"/>
    </row>
    <row r="97" hidden="1" spans="1:16">
      <c r="A97" s="2469"/>
      <c r="B97" s="2470"/>
      <c r="C97" s="2471"/>
      <c r="D97" s="2471"/>
      <c r="E97" s="2471"/>
      <c r="F97" s="2471"/>
      <c r="G97" s="2471"/>
      <c r="H97" s="2471"/>
      <c r="I97" s="2471"/>
      <c r="J97" s="2471"/>
      <c r="K97" s="2471"/>
      <c r="L97" s="2471"/>
      <c r="M97" s="2471"/>
      <c r="N97" s="2471"/>
      <c r="O97" s="2471"/>
      <c r="P97" s="2471"/>
    </row>
    <row r="98" hidden="1" spans="1:16">
      <c r="A98" s="2469"/>
      <c r="B98" s="2470"/>
      <c r="C98" s="2471"/>
      <c r="D98" s="2471"/>
      <c r="E98" s="2471"/>
      <c r="F98" s="2471"/>
      <c r="G98" s="2471"/>
      <c r="H98" s="2471"/>
      <c r="I98" s="2471"/>
      <c r="J98" s="2471"/>
      <c r="K98" s="2471"/>
      <c r="L98" s="2471"/>
      <c r="M98" s="2471"/>
      <c r="N98" s="2471"/>
      <c r="O98" s="2471"/>
      <c r="P98" s="2471"/>
    </row>
    <row r="99" hidden="1" spans="1:16">
      <c r="A99" s="2469"/>
      <c r="B99" s="2470"/>
      <c r="C99" s="2471"/>
      <c r="D99" s="2471"/>
      <c r="E99" s="2471"/>
      <c r="F99" s="2471"/>
      <c r="G99" s="2471"/>
      <c r="H99" s="2471"/>
      <c r="I99" s="2471"/>
      <c r="J99" s="2471"/>
      <c r="K99" s="2471"/>
      <c r="L99" s="2471"/>
      <c r="M99" s="2471"/>
      <c r="N99" s="2471"/>
      <c r="O99" s="2471"/>
      <c r="P99" s="2471"/>
    </row>
    <row r="100" ht="21.75" customHeight="1" spans="1:16">
      <c r="A100" s="2472" t="s">
        <v>114</v>
      </c>
      <c r="B100" s="2308"/>
      <c r="C100" s="2308"/>
      <c r="D100" s="2308"/>
      <c r="E100" s="2308"/>
      <c r="F100" s="2308"/>
      <c r="G100" s="2308"/>
      <c r="H100" s="2308"/>
      <c r="I100" s="2308"/>
      <c r="J100" s="2308"/>
      <c r="K100" s="2308"/>
      <c r="L100" s="2308"/>
      <c r="M100" s="2308"/>
      <c r="N100" s="2308"/>
      <c r="O100" s="2308"/>
      <c r="P100" s="2308"/>
    </row>
    <row r="101" spans="1:16">
      <c r="A101" s="2357" t="str">
        <f>IF(C101&lt;&gt;0,"对应列“期末现金及现金等价物余额”与资产负债表不符，相差：","")</f>
        <v/>
      </c>
      <c r="B101" s="2311"/>
      <c r="C101" s="2312">
        <f>ROUND(未审资负表!D7-C148,2)</f>
        <v>0</v>
      </c>
      <c r="D101" s="2309"/>
      <c r="E101" s="2309"/>
      <c r="F101" s="2309"/>
      <c r="G101" s="2309"/>
      <c r="H101" s="2309"/>
      <c r="I101" s="2309"/>
      <c r="J101" s="2309"/>
      <c r="K101" s="2309"/>
      <c r="L101" s="2309"/>
      <c r="M101" s="2309"/>
      <c r="N101" s="2309"/>
      <c r="O101" s="2309"/>
      <c r="P101" s="2309"/>
    </row>
    <row r="102" ht="15" spans="1:16">
      <c r="A102" s="2313" t="str">
        <f>"编制单位："&amp;参数表!C3</f>
        <v>编制单位：石嘴山市深阳蓝光市政工程有限公司</v>
      </c>
      <c r="B102" s="2314"/>
      <c r="C102" s="2316"/>
      <c r="D102" s="2315"/>
      <c r="E102" s="2315"/>
      <c r="F102" s="2315"/>
      <c r="G102" s="2315"/>
      <c r="H102" s="2315"/>
      <c r="I102" s="2315"/>
      <c r="J102" s="2315"/>
      <c r="K102" s="2315"/>
      <c r="L102" s="2315"/>
      <c r="M102" s="2315"/>
      <c r="N102" s="2315"/>
      <c r="O102" s="2315"/>
      <c r="P102" s="2315"/>
    </row>
    <row r="103" ht="15" spans="1:16">
      <c r="A103" s="2396" t="s">
        <v>60</v>
      </c>
      <c r="B103" s="2397" t="s">
        <v>61</v>
      </c>
      <c r="C103" s="2466" t="str">
        <f>IF(参数表!$C$12="本期间为特定年","上年金额","上期金额")</f>
        <v>上年金额</v>
      </c>
      <c r="D103" s="2319"/>
      <c r="E103" s="2319" t="str">
        <f>IF(参数表!$C$12="本期间为特定年","上年金额","上期金额")</f>
        <v>上年金额</v>
      </c>
      <c r="F103" s="2319" t="str">
        <f>IF(参数表!$C$12="本期间为特定年","上年金额","上期金额")</f>
        <v>上年金额</v>
      </c>
      <c r="G103" s="2319" t="str">
        <f>IF(参数表!$C$12="本期间为特定年","上年金额","上期金额")</f>
        <v>上年金额</v>
      </c>
      <c r="H103" s="2319" t="str">
        <f>IF(参数表!$C$12="本期间为特定年","上年金额","上期金额")</f>
        <v>上年金额</v>
      </c>
      <c r="I103" s="2319" t="str">
        <f>IF(参数表!$C$12="本期间为特定年","上年金额","上期金额")</f>
        <v>上年金额</v>
      </c>
      <c r="J103" s="2319" t="str">
        <f>IF(参数表!$C$12="本期间为特定年","上年金额","上期金额")</f>
        <v>上年金额</v>
      </c>
      <c r="K103" s="2319" t="str">
        <f>IF(参数表!$C$12="本期间为特定年","上年金额","上期金额")</f>
        <v>上年金额</v>
      </c>
      <c r="L103" s="2319" t="str">
        <f>IF(参数表!$C$12="本期间为特定年","上年金额","上期金额")</f>
        <v>上年金额</v>
      </c>
      <c r="M103" s="2319" t="str">
        <f>IF(参数表!$C$12="本期间为特定年","上年金额","上期金额")</f>
        <v>上年金额</v>
      </c>
      <c r="N103" s="2319" t="str">
        <f>IF(参数表!$C$12="本期间为特定年","上年金额","上期金额")</f>
        <v>上年金额</v>
      </c>
      <c r="O103" s="2319" t="str">
        <f>IF(参数表!$C$12="本期间为特定年","上年金额","上期金额")</f>
        <v>上年金额</v>
      </c>
      <c r="P103" s="2320" t="str">
        <f>IF(参数表!$C$12="本期间为特定年","上年金额","上期金额")</f>
        <v>上年金额</v>
      </c>
    </row>
    <row r="104" spans="1:16">
      <c r="A104" s="2473"/>
      <c r="B104" s="2474"/>
      <c r="C104" s="2327" t="s">
        <v>63</v>
      </c>
      <c r="D104" s="2325"/>
      <c r="E104" s="2366" t="str">
        <f>E5</f>
        <v>1月</v>
      </c>
      <c r="F104" s="2325" t="str">
        <f t="shared" ref="F104:P104" si="15">F5</f>
        <v>2月</v>
      </c>
      <c r="G104" s="2366" t="str">
        <f t="shared" si="15"/>
        <v>3月</v>
      </c>
      <c r="H104" s="2325" t="str">
        <f t="shared" si="15"/>
        <v>4月</v>
      </c>
      <c r="I104" s="2366" t="str">
        <f t="shared" si="15"/>
        <v>5月</v>
      </c>
      <c r="J104" s="2325" t="str">
        <f t="shared" si="15"/>
        <v>6月</v>
      </c>
      <c r="K104" s="2366" t="str">
        <f t="shared" si="15"/>
        <v>7月</v>
      </c>
      <c r="L104" s="2325" t="str">
        <f t="shared" si="15"/>
        <v>8月</v>
      </c>
      <c r="M104" s="2366" t="str">
        <f t="shared" si="15"/>
        <v>9月</v>
      </c>
      <c r="N104" s="2325" t="str">
        <f t="shared" si="15"/>
        <v>10月</v>
      </c>
      <c r="O104" s="2366" t="str">
        <f t="shared" si="15"/>
        <v>11月</v>
      </c>
      <c r="P104" s="2367" t="str">
        <f t="shared" si="15"/>
        <v>12月</v>
      </c>
    </row>
    <row r="105" spans="1:16">
      <c r="A105" s="2329" t="s">
        <v>115</v>
      </c>
      <c r="B105" s="2330"/>
      <c r="C105" s="2333"/>
      <c r="D105" s="2331"/>
      <c r="E105" s="2331"/>
      <c r="F105" s="2331"/>
      <c r="G105" s="2331"/>
      <c r="H105" s="2331"/>
      <c r="I105" s="2331"/>
      <c r="J105" s="2331"/>
      <c r="K105" s="2331"/>
      <c r="L105" s="2331"/>
      <c r="M105" s="2331"/>
      <c r="N105" s="2331"/>
      <c r="O105" s="2331"/>
      <c r="P105" s="2332"/>
    </row>
    <row r="106" spans="1:16">
      <c r="A106" s="2334" t="s">
        <v>116</v>
      </c>
      <c r="B106" s="1828"/>
      <c r="C106" s="2333">
        <f>审定现流表!D7</f>
        <v>0</v>
      </c>
      <c r="D106" s="2331"/>
      <c r="E106" s="2336">
        <f>$C106-SUM($D106:D106)</f>
        <v>0</v>
      </c>
      <c r="F106" s="2336">
        <f>$C106-SUM($D106:E106)</f>
        <v>0</v>
      </c>
      <c r="G106" s="2336">
        <f>$C106-SUM($D106:F106)</f>
        <v>0</v>
      </c>
      <c r="H106" s="2336">
        <f>$C106-SUM($D106:G106)</f>
        <v>0</v>
      </c>
      <c r="I106" s="2336">
        <f>$C106-SUM($D106:H106)</f>
        <v>0</v>
      </c>
      <c r="J106" s="2336">
        <f>$C106-SUM($D106:I106)</f>
        <v>0</v>
      </c>
      <c r="K106" s="2336">
        <f>$C106-SUM($D106:J106)</f>
        <v>0</v>
      </c>
      <c r="L106" s="2336">
        <f>$C106-SUM($D106:K106)</f>
        <v>0</v>
      </c>
      <c r="M106" s="2336">
        <f>$C106-SUM($D106:L106)</f>
        <v>0</v>
      </c>
      <c r="N106" s="2336">
        <f>$C106-SUM($D106:M106)</f>
        <v>0</v>
      </c>
      <c r="O106" s="2336">
        <f>$C106-SUM($D106:N106)</f>
        <v>0</v>
      </c>
      <c r="P106" s="2349">
        <f>$C106-SUM($D106:O106)</f>
        <v>0</v>
      </c>
    </row>
    <row r="107" spans="1:16">
      <c r="A107" s="2334" t="s">
        <v>117</v>
      </c>
      <c r="B107" s="1828"/>
      <c r="C107" s="2333">
        <f>审定现流表!D8</f>
        <v>0</v>
      </c>
      <c r="D107" s="2331"/>
      <c r="E107" s="2336">
        <f>$C107-SUM($D107:D107)</f>
        <v>0</v>
      </c>
      <c r="F107" s="2336">
        <f>$C107-SUM($D107:E107)</f>
        <v>0</v>
      </c>
      <c r="G107" s="2336">
        <f>$C107-SUM($D107:F107)</f>
        <v>0</v>
      </c>
      <c r="H107" s="2336">
        <f>$C107-SUM($D107:G107)</f>
        <v>0</v>
      </c>
      <c r="I107" s="2336">
        <f>$C107-SUM($D107:H107)</f>
        <v>0</v>
      </c>
      <c r="J107" s="2336">
        <f>$C107-SUM($D107:I107)</f>
        <v>0</v>
      </c>
      <c r="K107" s="2336">
        <f>$C107-SUM($D107:J107)</f>
        <v>0</v>
      </c>
      <c r="L107" s="2336">
        <f>$C107-SUM($D107:K107)</f>
        <v>0</v>
      </c>
      <c r="M107" s="2336">
        <f>$C107-SUM($D107:L107)</f>
        <v>0</v>
      </c>
      <c r="N107" s="2336">
        <f>$C107-SUM($D107:M107)</f>
        <v>0</v>
      </c>
      <c r="O107" s="2336">
        <f>$C107-SUM($D107:N107)</f>
        <v>0</v>
      </c>
      <c r="P107" s="2349">
        <f>$C107-SUM($D107:O107)</f>
        <v>0</v>
      </c>
    </row>
    <row r="108" spans="1:16">
      <c r="A108" s="2334" t="s">
        <v>118</v>
      </c>
      <c r="B108" s="1828"/>
      <c r="C108" s="2333">
        <f>审定现流表!D9</f>
        <v>0</v>
      </c>
      <c r="D108" s="2331"/>
      <c r="E108" s="2336">
        <f>$C108-SUM($D108:D108)</f>
        <v>0</v>
      </c>
      <c r="F108" s="2336">
        <f>$C108-SUM($D108:E108)</f>
        <v>0</v>
      </c>
      <c r="G108" s="2336">
        <f>$C108-SUM($D108:F108)</f>
        <v>0</v>
      </c>
      <c r="H108" s="2336">
        <f>$C108-SUM($D108:G108)</f>
        <v>0</v>
      </c>
      <c r="I108" s="2336">
        <f>$C108-SUM($D108:H108)</f>
        <v>0</v>
      </c>
      <c r="J108" s="2336">
        <f>$C108-SUM($D108:I108)</f>
        <v>0</v>
      </c>
      <c r="K108" s="2336">
        <f>$C108-SUM($D108:J108)</f>
        <v>0</v>
      </c>
      <c r="L108" s="2336">
        <f>$C108-SUM($D108:K108)</f>
        <v>0</v>
      </c>
      <c r="M108" s="2336">
        <f>$C108-SUM($D108:L108)</f>
        <v>0</v>
      </c>
      <c r="N108" s="2336">
        <f>$C108-SUM($D108:M108)</f>
        <v>0</v>
      </c>
      <c r="O108" s="2336">
        <f>$C108-SUM($D108:N108)</f>
        <v>0</v>
      </c>
      <c r="P108" s="2349">
        <f>$C108-SUM($D108:O108)</f>
        <v>0</v>
      </c>
    </row>
    <row r="109" spans="1:16">
      <c r="A109" s="2339" t="s">
        <v>120</v>
      </c>
      <c r="B109" s="2330"/>
      <c r="C109" s="2341">
        <f t="shared" ref="C109:P109" si="16">ROUND(SUM(C106:C108),2)</f>
        <v>0</v>
      </c>
      <c r="D109" s="2342"/>
      <c r="E109" s="2342">
        <f t="shared" si="16"/>
        <v>0</v>
      </c>
      <c r="F109" s="2342">
        <f t="shared" si="16"/>
        <v>0</v>
      </c>
      <c r="G109" s="2342">
        <f t="shared" si="16"/>
        <v>0</v>
      </c>
      <c r="H109" s="2342">
        <f t="shared" si="16"/>
        <v>0</v>
      </c>
      <c r="I109" s="2342">
        <f t="shared" si="16"/>
        <v>0</v>
      </c>
      <c r="J109" s="2342">
        <f t="shared" si="16"/>
        <v>0</v>
      </c>
      <c r="K109" s="2342">
        <f t="shared" si="16"/>
        <v>0</v>
      </c>
      <c r="L109" s="2342">
        <f t="shared" si="16"/>
        <v>0</v>
      </c>
      <c r="M109" s="2342">
        <f t="shared" si="16"/>
        <v>0</v>
      </c>
      <c r="N109" s="2342">
        <f t="shared" si="16"/>
        <v>0</v>
      </c>
      <c r="O109" s="2342">
        <f t="shared" si="16"/>
        <v>0</v>
      </c>
      <c r="P109" s="2467">
        <f t="shared" si="16"/>
        <v>0</v>
      </c>
    </row>
    <row r="110" spans="1:16">
      <c r="A110" s="2334" t="s">
        <v>121</v>
      </c>
      <c r="B110" s="1828"/>
      <c r="C110" s="2333">
        <f>审定现流表!D11</f>
        <v>0</v>
      </c>
      <c r="D110" s="2331"/>
      <c r="E110" s="2336">
        <f>$C110-SUM($D110:D110)</f>
        <v>0</v>
      </c>
      <c r="F110" s="2336">
        <f>$C110-SUM($D110:E110)</f>
        <v>0</v>
      </c>
      <c r="G110" s="2336">
        <f>$C110-SUM($D110:F110)</f>
        <v>0</v>
      </c>
      <c r="H110" s="2336">
        <f>$C110-SUM($D110:G110)</f>
        <v>0</v>
      </c>
      <c r="I110" s="2336">
        <f>$C110-SUM($D110:H110)</f>
        <v>0</v>
      </c>
      <c r="J110" s="2336">
        <f>$C110-SUM($D110:I110)</f>
        <v>0</v>
      </c>
      <c r="K110" s="2336">
        <f>$C110-SUM($D110:J110)</f>
        <v>0</v>
      </c>
      <c r="L110" s="2336">
        <f>$C110-SUM($D110:K110)</f>
        <v>0</v>
      </c>
      <c r="M110" s="2336">
        <f>$C110-SUM($D110:L110)</f>
        <v>0</v>
      </c>
      <c r="N110" s="2336">
        <f>$C110-SUM($D110:M110)</f>
        <v>0</v>
      </c>
      <c r="O110" s="2336">
        <f>$C110-SUM($D110:N110)</f>
        <v>0</v>
      </c>
      <c r="P110" s="2349">
        <f>$C110-SUM($D110:O110)</f>
        <v>0</v>
      </c>
    </row>
    <row r="111" spans="1:16">
      <c r="A111" s="2334" t="s">
        <v>122</v>
      </c>
      <c r="B111" s="1828"/>
      <c r="C111" s="2333">
        <f>审定现流表!D12</f>
        <v>0</v>
      </c>
      <c r="D111" s="2331"/>
      <c r="E111" s="2336">
        <f>$C111-SUM($D111:D111)</f>
        <v>0</v>
      </c>
      <c r="F111" s="2336">
        <f>$C111-SUM($D111:E111)</f>
        <v>0</v>
      </c>
      <c r="G111" s="2336">
        <f>$C111-SUM($D111:F111)</f>
        <v>0</v>
      </c>
      <c r="H111" s="2336">
        <f>$C111-SUM($D111:G111)</f>
        <v>0</v>
      </c>
      <c r="I111" s="2336">
        <f>$C111-SUM($D111:H111)</f>
        <v>0</v>
      </c>
      <c r="J111" s="2336">
        <f>$C111-SUM($D111:I111)</f>
        <v>0</v>
      </c>
      <c r="K111" s="2336">
        <f>$C111-SUM($D111:J111)</f>
        <v>0</v>
      </c>
      <c r="L111" s="2336">
        <f>$C111-SUM($D111:K111)</f>
        <v>0</v>
      </c>
      <c r="M111" s="2336">
        <f>$C111-SUM($D111:L111)</f>
        <v>0</v>
      </c>
      <c r="N111" s="2336">
        <f>$C111-SUM($D111:M111)</f>
        <v>0</v>
      </c>
      <c r="O111" s="2336">
        <f>$C111-SUM($D111:N111)</f>
        <v>0</v>
      </c>
      <c r="P111" s="2349">
        <f>$C111-SUM($D111:O111)</f>
        <v>0</v>
      </c>
    </row>
    <row r="112" spans="1:16">
      <c r="A112" s="2334" t="s">
        <v>123</v>
      </c>
      <c r="B112" s="1828"/>
      <c r="C112" s="2333">
        <f>审定现流表!D13</f>
        <v>0</v>
      </c>
      <c r="D112" s="2331"/>
      <c r="E112" s="2336">
        <f>$C112-SUM($D112:D112)</f>
        <v>0</v>
      </c>
      <c r="F112" s="2336">
        <f>$C112-SUM($D112:E112)</f>
        <v>0</v>
      </c>
      <c r="G112" s="2336">
        <f>$C112-SUM($D112:F112)</f>
        <v>0</v>
      </c>
      <c r="H112" s="2336">
        <f>$C112-SUM($D112:G112)</f>
        <v>0</v>
      </c>
      <c r="I112" s="2336">
        <f>$C112-SUM($D112:H112)</f>
        <v>0</v>
      </c>
      <c r="J112" s="2336">
        <f>$C112-SUM($D112:I112)</f>
        <v>0</v>
      </c>
      <c r="K112" s="2336">
        <f>$C112-SUM($D112:J112)</f>
        <v>0</v>
      </c>
      <c r="L112" s="2336">
        <f>$C112-SUM($D112:K112)</f>
        <v>0</v>
      </c>
      <c r="M112" s="2336">
        <f>$C112-SUM($D112:L112)</f>
        <v>0</v>
      </c>
      <c r="N112" s="2336">
        <f>$C112-SUM($D112:M112)</f>
        <v>0</v>
      </c>
      <c r="O112" s="2336">
        <f>$C112-SUM($D112:N112)</f>
        <v>0</v>
      </c>
      <c r="P112" s="2349">
        <f>$C112-SUM($D112:O112)</f>
        <v>0</v>
      </c>
    </row>
    <row r="113" spans="1:16">
      <c r="A113" s="2334" t="s">
        <v>124</v>
      </c>
      <c r="B113" s="1828"/>
      <c r="C113" s="2333">
        <f>审定现流表!D14</f>
        <v>0</v>
      </c>
      <c r="D113" s="2331"/>
      <c r="E113" s="2336">
        <f>$C113-SUM($D113:D113)</f>
        <v>0</v>
      </c>
      <c r="F113" s="2336">
        <f>$C113-SUM($D113:E113)</f>
        <v>0</v>
      </c>
      <c r="G113" s="2336">
        <f>$C113-SUM($D113:F113)</f>
        <v>0</v>
      </c>
      <c r="H113" s="2336">
        <f>$C113-SUM($D113:G113)</f>
        <v>0</v>
      </c>
      <c r="I113" s="2336">
        <f>$C113-SUM($D113:H113)</f>
        <v>0</v>
      </c>
      <c r="J113" s="2336">
        <f>$C113-SUM($D113:I113)</f>
        <v>0</v>
      </c>
      <c r="K113" s="2336">
        <f>$C113-SUM($D113:J113)</f>
        <v>0</v>
      </c>
      <c r="L113" s="2336">
        <f>$C113-SUM($D113:K113)</f>
        <v>0</v>
      </c>
      <c r="M113" s="2336">
        <f>$C113-SUM($D113:L113)</f>
        <v>0</v>
      </c>
      <c r="N113" s="2336">
        <f>$C113-SUM($D113:M113)</f>
        <v>0</v>
      </c>
      <c r="O113" s="2336">
        <f>$C113-SUM($D113:N113)</f>
        <v>0</v>
      </c>
      <c r="P113" s="2349">
        <f>$C113-SUM($D113:O113)</f>
        <v>0</v>
      </c>
    </row>
    <row r="114" spans="1:16">
      <c r="A114" s="2339" t="s">
        <v>125</v>
      </c>
      <c r="B114" s="2330"/>
      <c r="C114" s="2341">
        <f t="shared" ref="C114:P114" si="17">ROUND(SUM(C110:C113),2)</f>
        <v>0</v>
      </c>
      <c r="D114" s="2342"/>
      <c r="E114" s="2342">
        <f t="shared" si="17"/>
        <v>0</v>
      </c>
      <c r="F114" s="2342">
        <f t="shared" si="17"/>
        <v>0</v>
      </c>
      <c r="G114" s="2342">
        <f t="shared" si="17"/>
        <v>0</v>
      </c>
      <c r="H114" s="2342">
        <f t="shared" si="17"/>
        <v>0</v>
      </c>
      <c r="I114" s="2342">
        <f t="shared" si="17"/>
        <v>0</v>
      </c>
      <c r="J114" s="2342">
        <f t="shared" si="17"/>
        <v>0</v>
      </c>
      <c r="K114" s="2342">
        <f t="shared" si="17"/>
        <v>0</v>
      </c>
      <c r="L114" s="2342">
        <f t="shared" si="17"/>
        <v>0</v>
      </c>
      <c r="M114" s="2342">
        <f t="shared" si="17"/>
        <v>0</v>
      </c>
      <c r="N114" s="2342">
        <f t="shared" si="17"/>
        <v>0</v>
      </c>
      <c r="O114" s="2342">
        <f t="shared" si="17"/>
        <v>0</v>
      </c>
      <c r="P114" s="2467">
        <f t="shared" si="17"/>
        <v>0</v>
      </c>
    </row>
    <row r="115" spans="1:16">
      <c r="A115" s="2339" t="s">
        <v>126</v>
      </c>
      <c r="B115" s="2330"/>
      <c r="C115" s="2341">
        <f t="shared" ref="C115:P115" si="18">ROUND(C109-C114,2)</f>
        <v>0</v>
      </c>
      <c r="D115" s="2342"/>
      <c r="E115" s="2342">
        <f t="shared" si="18"/>
        <v>0</v>
      </c>
      <c r="F115" s="2342">
        <f t="shared" si="18"/>
        <v>0</v>
      </c>
      <c r="G115" s="2342">
        <f t="shared" si="18"/>
        <v>0</v>
      </c>
      <c r="H115" s="2342">
        <f t="shared" si="18"/>
        <v>0</v>
      </c>
      <c r="I115" s="2342">
        <f t="shared" si="18"/>
        <v>0</v>
      </c>
      <c r="J115" s="2342">
        <f t="shared" si="18"/>
        <v>0</v>
      </c>
      <c r="K115" s="2342">
        <f t="shared" si="18"/>
        <v>0</v>
      </c>
      <c r="L115" s="2342">
        <f t="shared" si="18"/>
        <v>0</v>
      </c>
      <c r="M115" s="2342">
        <f t="shared" si="18"/>
        <v>0</v>
      </c>
      <c r="N115" s="2342">
        <f t="shared" si="18"/>
        <v>0</v>
      </c>
      <c r="O115" s="2342">
        <f t="shared" si="18"/>
        <v>0</v>
      </c>
      <c r="P115" s="2467">
        <f t="shared" si="18"/>
        <v>0</v>
      </c>
    </row>
    <row r="116" spans="1:16">
      <c r="A116" s="2346"/>
      <c r="B116" s="2330"/>
      <c r="C116" s="2333"/>
      <c r="D116" s="2331"/>
      <c r="E116" s="2331"/>
      <c r="F116" s="2331"/>
      <c r="G116" s="2331"/>
      <c r="H116" s="2331"/>
      <c r="I116" s="2331"/>
      <c r="J116" s="2331"/>
      <c r="K116" s="2331"/>
      <c r="L116" s="2331"/>
      <c r="M116" s="2331"/>
      <c r="N116" s="2331"/>
      <c r="O116" s="2331"/>
      <c r="P116" s="2332"/>
    </row>
    <row r="117" spans="1:16">
      <c r="A117" s="2329" t="s">
        <v>127</v>
      </c>
      <c r="B117" s="2330"/>
      <c r="C117" s="2333"/>
      <c r="D117" s="2331"/>
      <c r="E117" s="2331"/>
      <c r="F117" s="2331"/>
      <c r="G117" s="2331"/>
      <c r="H117" s="2331"/>
      <c r="I117" s="2331"/>
      <c r="J117" s="2331"/>
      <c r="K117" s="2331"/>
      <c r="L117" s="2331"/>
      <c r="M117" s="2331"/>
      <c r="N117" s="2331"/>
      <c r="O117" s="2331"/>
      <c r="P117" s="2332"/>
    </row>
    <row r="118" spans="1:16">
      <c r="A118" s="2334" t="s">
        <v>128</v>
      </c>
      <c r="B118" s="1828"/>
      <c r="C118" s="2333">
        <f>审定现流表!D19</f>
        <v>0</v>
      </c>
      <c r="D118" s="2331"/>
      <c r="E118" s="2336">
        <f>$C118-SUM($D118:D118)</f>
        <v>0</v>
      </c>
      <c r="F118" s="2336">
        <f>$C118-SUM($D118:E118)</f>
        <v>0</v>
      </c>
      <c r="G118" s="2336">
        <f>$C118-SUM($D118:F118)</f>
        <v>0</v>
      </c>
      <c r="H118" s="2336">
        <f>$C118-SUM($D118:G118)</f>
        <v>0</v>
      </c>
      <c r="I118" s="2336">
        <f>$C118-SUM($D118:H118)</f>
        <v>0</v>
      </c>
      <c r="J118" s="2336">
        <f>$C118-SUM($D118:I118)</f>
        <v>0</v>
      </c>
      <c r="K118" s="2336">
        <f>$C118-SUM($D118:J118)</f>
        <v>0</v>
      </c>
      <c r="L118" s="2336">
        <f>$C118-SUM($D118:K118)</f>
        <v>0</v>
      </c>
      <c r="M118" s="2336">
        <f>$C118-SUM($D118:L118)</f>
        <v>0</v>
      </c>
      <c r="N118" s="2336">
        <f>$C118-SUM($D118:M118)</f>
        <v>0</v>
      </c>
      <c r="O118" s="2336">
        <f>$C118-SUM($D118:N118)</f>
        <v>0</v>
      </c>
      <c r="P118" s="2349">
        <f>$C118-SUM($D118:O118)</f>
        <v>0</v>
      </c>
    </row>
    <row r="119" spans="1:16">
      <c r="A119" s="2334" t="s">
        <v>129</v>
      </c>
      <c r="B119" s="1828"/>
      <c r="C119" s="2333">
        <f>审定现流表!D20</f>
        <v>0</v>
      </c>
      <c r="D119" s="2331"/>
      <c r="E119" s="2336">
        <f>$C119-SUM($D119:D119)</f>
        <v>0</v>
      </c>
      <c r="F119" s="2336">
        <f>$C119-SUM($D119:E119)</f>
        <v>0</v>
      </c>
      <c r="G119" s="2336">
        <f>$C119-SUM($D119:F119)</f>
        <v>0</v>
      </c>
      <c r="H119" s="2336">
        <f>$C119-SUM($D119:G119)</f>
        <v>0</v>
      </c>
      <c r="I119" s="2336">
        <f>$C119-SUM($D119:H119)</f>
        <v>0</v>
      </c>
      <c r="J119" s="2336">
        <f>$C119-SUM($D119:I119)</f>
        <v>0</v>
      </c>
      <c r="K119" s="2336">
        <f>$C119-SUM($D119:J119)</f>
        <v>0</v>
      </c>
      <c r="L119" s="2336">
        <f>$C119-SUM($D119:K119)</f>
        <v>0</v>
      </c>
      <c r="M119" s="2336">
        <f>$C119-SUM($D119:L119)</f>
        <v>0</v>
      </c>
      <c r="N119" s="2336">
        <f>$C119-SUM($D119:M119)</f>
        <v>0</v>
      </c>
      <c r="O119" s="2336">
        <f>$C119-SUM($D119:N119)</f>
        <v>0</v>
      </c>
      <c r="P119" s="2349">
        <f>$C119-SUM($D119:O119)</f>
        <v>0</v>
      </c>
    </row>
    <row r="120" spans="1:16">
      <c r="A120" s="2334" t="s">
        <v>130</v>
      </c>
      <c r="B120" s="1828"/>
      <c r="C120" s="2333">
        <f>审定现流表!D21</f>
        <v>0</v>
      </c>
      <c r="D120" s="2331"/>
      <c r="E120" s="2336">
        <f>$C120-SUM($D120:D120)</f>
        <v>0</v>
      </c>
      <c r="F120" s="2336">
        <f>$C120-SUM($D120:E120)</f>
        <v>0</v>
      </c>
      <c r="G120" s="2336">
        <f>$C120-SUM($D120:F120)</f>
        <v>0</v>
      </c>
      <c r="H120" s="2336">
        <f>$C120-SUM($D120:G120)</f>
        <v>0</v>
      </c>
      <c r="I120" s="2336">
        <f>$C120-SUM($D120:H120)</f>
        <v>0</v>
      </c>
      <c r="J120" s="2336">
        <f>$C120-SUM($D120:I120)</f>
        <v>0</v>
      </c>
      <c r="K120" s="2336">
        <f>$C120-SUM($D120:J120)</f>
        <v>0</v>
      </c>
      <c r="L120" s="2336">
        <f>$C120-SUM($D120:K120)</f>
        <v>0</v>
      </c>
      <c r="M120" s="2336">
        <f>$C120-SUM($D120:L120)</f>
        <v>0</v>
      </c>
      <c r="N120" s="2336">
        <f>$C120-SUM($D120:M120)</f>
        <v>0</v>
      </c>
      <c r="O120" s="2336">
        <f>$C120-SUM($D120:N120)</f>
        <v>0</v>
      </c>
      <c r="P120" s="2349">
        <f>$C120-SUM($D120:O120)</f>
        <v>0</v>
      </c>
    </row>
    <row r="121" spans="1:16">
      <c r="A121" s="2334" t="s">
        <v>131</v>
      </c>
      <c r="B121" s="1828"/>
      <c r="C121" s="2333">
        <f>审定现流表!D22</f>
        <v>0</v>
      </c>
      <c r="D121" s="2331"/>
      <c r="E121" s="2336">
        <f>$C121-SUM($D121:D121)</f>
        <v>0</v>
      </c>
      <c r="F121" s="2336">
        <f>$C121-SUM($D121:E121)</f>
        <v>0</v>
      </c>
      <c r="G121" s="2336">
        <f>$C121-SUM($D121:F121)</f>
        <v>0</v>
      </c>
      <c r="H121" s="2336">
        <f>$C121-SUM($D121:G121)</f>
        <v>0</v>
      </c>
      <c r="I121" s="2336">
        <f>$C121-SUM($D121:H121)</f>
        <v>0</v>
      </c>
      <c r="J121" s="2336">
        <f>$C121-SUM($D121:I121)</f>
        <v>0</v>
      </c>
      <c r="K121" s="2336">
        <f>$C121-SUM($D121:J121)</f>
        <v>0</v>
      </c>
      <c r="L121" s="2336">
        <f>$C121-SUM($D121:K121)</f>
        <v>0</v>
      </c>
      <c r="M121" s="2336">
        <f>$C121-SUM($D121:L121)</f>
        <v>0</v>
      </c>
      <c r="N121" s="2336">
        <f>$C121-SUM($D121:M121)</f>
        <v>0</v>
      </c>
      <c r="O121" s="2336">
        <f>$C121-SUM($D121:N121)</f>
        <v>0</v>
      </c>
      <c r="P121" s="2349">
        <f>$C121-SUM($D121:O121)</f>
        <v>0</v>
      </c>
    </row>
    <row r="122" spans="1:16">
      <c r="A122" s="2334" t="s">
        <v>132</v>
      </c>
      <c r="B122" s="1828"/>
      <c r="C122" s="2333">
        <f>审定现流表!D23</f>
        <v>0</v>
      </c>
      <c r="D122" s="2331"/>
      <c r="E122" s="2336">
        <f>$C122-SUM($D122:D122)</f>
        <v>0</v>
      </c>
      <c r="F122" s="2336">
        <f>$C122-SUM($D122:E122)</f>
        <v>0</v>
      </c>
      <c r="G122" s="2336">
        <f>$C122-SUM($D122:F122)</f>
        <v>0</v>
      </c>
      <c r="H122" s="2336">
        <f>$C122-SUM($D122:G122)</f>
        <v>0</v>
      </c>
      <c r="I122" s="2336">
        <f>$C122-SUM($D122:H122)</f>
        <v>0</v>
      </c>
      <c r="J122" s="2336">
        <f>$C122-SUM($D122:I122)</f>
        <v>0</v>
      </c>
      <c r="K122" s="2336">
        <f>$C122-SUM($D122:J122)</f>
        <v>0</v>
      </c>
      <c r="L122" s="2336">
        <f>$C122-SUM($D122:K122)</f>
        <v>0</v>
      </c>
      <c r="M122" s="2336">
        <f>$C122-SUM($D122:L122)</f>
        <v>0</v>
      </c>
      <c r="N122" s="2336">
        <f>$C122-SUM($D122:M122)</f>
        <v>0</v>
      </c>
      <c r="O122" s="2336">
        <f>$C122-SUM($D122:N122)</f>
        <v>0</v>
      </c>
      <c r="P122" s="2349">
        <f>$C122-SUM($D122:O122)</f>
        <v>0</v>
      </c>
    </row>
    <row r="123" spans="1:16">
      <c r="A123" s="2339" t="s">
        <v>134</v>
      </c>
      <c r="B123" s="2330"/>
      <c r="C123" s="2341">
        <f>ROUND(SUM(C118:C122),2)</f>
        <v>0</v>
      </c>
      <c r="D123" s="2342"/>
      <c r="E123" s="2342">
        <f>ROUND(SUM(E118:E122),2)</f>
        <v>0</v>
      </c>
      <c r="F123" s="2342">
        <f>ROUND(SUM(F118:F122),2)</f>
        <v>0</v>
      </c>
      <c r="G123" s="2342">
        <f>ROUND(SUM(G118:G122),2)</f>
        <v>0</v>
      </c>
      <c r="H123" s="2342">
        <f>ROUND(SUM(H118:H122),2)</f>
        <v>0</v>
      </c>
      <c r="I123" s="2342">
        <f>ROUND(SUM(I118:I122),2)</f>
        <v>0</v>
      </c>
      <c r="J123" s="2342">
        <f t="shared" ref="J123:P123" si="19">ROUND(SUM(J118:J122),2)</f>
        <v>0</v>
      </c>
      <c r="K123" s="2342">
        <f t="shared" si="19"/>
        <v>0</v>
      </c>
      <c r="L123" s="2342">
        <f t="shared" si="19"/>
        <v>0</v>
      </c>
      <c r="M123" s="2342">
        <f t="shared" si="19"/>
        <v>0</v>
      </c>
      <c r="N123" s="2342">
        <f t="shared" si="19"/>
        <v>0</v>
      </c>
      <c r="O123" s="2342">
        <f t="shared" si="19"/>
        <v>0</v>
      </c>
      <c r="P123" s="2467">
        <f t="shared" si="19"/>
        <v>0</v>
      </c>
    </row>
    <row r="124" spans="1:16">
      <c r="A124" s="2334" t="s">
        <v>135</v>
      </c>
      <c r="B124" s="1828"/>
      <c r="C124" s="2333">
        <f>审定现流表!D25</f>
        <v>0</v>
      </c>
      <c r="D124" s="2331"/>
      <c r="E124" s="2336">
        <f>$C124-SUM($D124:D124)</f>
        <v>0</v>
      </c>
      <c r="F124" s="2336">
        <f>$C124-SUM($D124:E124)</f>
        <v>0</v>
      </c>
      <c r="G124" s="2336">
        <f>$C124-SUM($D124:F124)</f>
        <v>0</v>
      </c>
      <c r="H124" s="2336">
        <f>$C124-SUM($D124:G124)</f>
        <v>0</v>
      </c>
      <c r="I124" s="2336">
        <f>$C124-SUM($D124:H124)</f>
        <v>0</v>
      </c>
      <c r="J124" s="2336">
        <f>$C124-SUM($D124:I124)</f>
        <v>0</v>
      </c>
      <c r="K124" s="2336">
        <f>$C124-SUM($D124:J124)</f>
        <v>0</v>
      </c>
      <c r="L124" s="2336">
        <f>$C124-SUM($D124:K124)</f>
        <v>0</v>
      </c>
      <c r="M124" s="2336">
        <f>$C124-SUM($D124:L124)</f>
        <v>0</v>
      </c>
      <c r="N124" s="2336">
        <f>$C124-SUM($D124:M124)</f>
        <v>0</v>
      </c>
      <c r="O124" s="2336">
        <f>$C124-SUM($D124:N124)</f>
        <v>0</v>
      </c>
      <c r="P124" s="2349">
        <f>$C124-SUM($D124:O124)</f>
        <v>0</v>
      </c>
    </row>
    <row r="125" spans="1:16">
      <c r="A125" s="2334" t="s">
        <v>136</v>
      </c>
      <c r="B125" s="1828"/>
      <c r="C125" s="2333">
        <f>审定现流表!D26</f>
        <v>0</v>
      </c>
      <c r="D125" s="2331"/>
      <c r="E125" s="2336">
        <f>$C125-SUM($D125:D125)</f>
        <v>0</v>
      </c>
      <c r="F125" s="2336">
        <f>$C125-SUM($D125:E125)</f>
        <v>0</v>
      </c>
      <c r="G125" s="2336">
        <f>$C125-SUM($D125:F125)</f>
        <v>0</v>
      </c>
      <c r="H125" s="2336">
        <f>$C125-SUM($D125:G125)</f>
        <v>0</v>
      </c>
      <c r="I125" s="2336">
        <f>$C125-SUM($D125:H125)</f>
        <v>0</v>
      </c>
      <c r="J125" s="2336">
        <f>$C125-SUM($D125:I125)</f>
        <v>0</v>
      </c>
      <c r="K125" s="2336">
        <f>$C125-SUM($D125:J125)</f>
        <v>0</v>
      </c>
      <c r="L125" s="2336">
        <f>$C125-SUM($D125:K125)</f>
        <v>0</v>
      </c>
      <c r="M125" s="2336">
        <f>$C125-SUM($D125:L125)</f>
        <v>0</v>
      </c>
      <c r="N125" s="2336">
        <f>$C125-SUM($D125:M125)</f>
        <v>0</v>
      </c>
      <c r="O125" s="2336">
        <f>$C125-SUM($D125:N125)</f>
        <v>0</v>
      </c>
      <c r="P125" s="2349">
        <f>$C125-SUM($D125:O125)</f>
        <v>0</v>
      </c>
    </row>
    <row r="126" spans="1:16">
      <c r="A126" s="2334" t="s">
        <v>137</v>
      </c>
      <c r="B126" s="1828"/>
      <c r="C126" s="2333">
        <f>审定现流表!D27</f>
        <v>0</v>
      </c>
      <c r="D126" s="2331"/>
      <c r="E126" s="2336">
        <f>$C126-SUM($D126:D126)</f>
        <v>0</v>
      </c>
      <c r="F126" s="2336">
        <f>$C126-SUM($D126:E126)</f>
        <v>0</v>
      </c>
      <c r="G126" s="2336">
        <f>$C126-SUM($D126:F126)</f>
        <v>0</v>
      </c>
      <c r="H126" s="2336">
        <f>$C126-SUM($D126:G126)</f>
        <v>0</v>
      </c>
      <c r="I126" s="2336">
        <f>$C126-SUM($D126:H126)</f>
        <v>0</v>
      </c>
      <c r="J126" s="2336">
        <f>$C126-SUM($D126:I126)</f>
        <v>0</v>
      </c>
      <c r="K126" s="2336">
        <f>$C126-SUM($D126:J126)</f>
        <v>0</v>
      </c>
      <c r="L126" s="2336">
        <f>$C126-SUM($D126:K126)</f>
        <v>0</v>
      </c>
      <c r="M126" s="2336">
        <f>$C126-SUM($D126:L126)</f>
        <v>0</v>
      </c>
      <c r="N126" s="2336">
        <f>$C126-SUM($D126:M126)</f>
        <v>0</v>
      </c>
      <c r="O126" s="2336">
        <f>$C126-SUM($D126:N126)</f>
        <v>0</v>
      </c>
      <c r="P126" s="2349">
        <f>$C126-SUM($D126:O126)</f>
        <v>0</v>
      </c>
    </row>
    <row r="127" spans="1:16">
      <c r="A127" s="2334" t="s">
        <v>138</v>
      </c>
      <c r="B127" s="1828"/>
      <c r="C127" s="2333">
        <f>审定现流表!D28</f>
        <v>0</v>
      </c>
      <c r="D127" s="2331"/>
      <c r="E127" s="2336">
        <f>$C127-SUM($D127:D127)</f>
        <v>0</v>
      </c>
      <c r="F127" s="2336">
        <f>$C127-SUM($D127:E127)</f>
        <v>0</v>
      </c>
      <c r="G127" s="2336">
        <f>$C127-SUM($D127:F127)</f>
        <v>0</v>
      </c>
      <c r="H127" s="2336">
        <f>$C127-SUM($D127:G127)</f>
        <v>0</v>
      </c>
      <c r="I127" s="2336">
        <f>$C127-SUM($D127:H127)</f>
        <v>0</v>
      </c>
      <c r="J127" s="2336">
        <f>$C127-SUM($D127:I127)</f>
        <v>0</v>
      </c>
      <c r="K127" s="2336">
        <f>$C127-SUM($D127:J127)</f>
        <v>0</v>
      </c>
      <c r="L127" s="2336">
        <f>$C127-SUM($D127:K127)</f>
        <v>0</v>
      </c>
      <c r="M127" s="2336">
        <f>$C127-SUM($D127:L127)</f>
        <v>0</v>
      </c>
      <c r="N127" s="2336">
        <f>$C127-SUM($D127:M127)</f>
        <v>0</v>
      </c>
      <c r="O127" s="2336">
        <f>$C127-SUM($D127:N127)</f>
        <v>0</v>
      </c>
      <c r="P127" s="2349">
        <f>$C127-SUM($D127:O127)</f>
        <v>0</v>
      </c>
    </row>
    <row r="128" spans="1:16">
      <c r="A128" s="2339" t="s">
        <v>139</v>
      </c>
      <c r="B128" s="2330"/>
      <c r="C128" s="2341">
        <f>ROUND(SUM(C124:C127),2)</f>
        <v>0</v>
      </c>
      <c r="D128" s="2342"/>
      <c r="E128" s="2342">
        <f>ROUND(SUM(E124:E127),2)</f>
        <v>0</v>
      </c>
      <c r="F128" s="2342">
        <f>ROUND(SUM(F124:F127),2)</f>
        <v>0</v>
      </c>
      <c r="G128" s="2342">
        <f>ROUND(SUM(G124:G127),2)</f>
        <v>0</v>
      </c>
      <c r="H128" s="2342">
        <f>ROUND(SUM(H124:H127),2)</f>
        <v>0</v>
      </c>
      <c r="I128" s="2342">
        <f>ROUND(SUM(I124:I127),2)</f>
        <v>0</v>
      </c>
      <c r="J128" s="2342">
        <f t="shared" ref="J128:P128" si="20">ROUND(SUM(J124:J127),2)</f>
        <v>0</v>
      </c>
      <c r="K128" s="2342">
        <f t="shared" si="20"/>
        <v>0</v>
      </c>
      <c r="L128" s="2342">
        <f t="shared" si="20"/>
        <v>0</v>
      </c>
      <c r="M128" s="2342">
        <f t="shared" si="20"/>
        <v>0</v>
      </c>
      <c r="N128" s="2342">
        <f t="shared" si="20"/>
        <v>0</v>
      </c>
      <c r="O128" s="2342">
        <f t="shared" si="20"/>
        <v>0</v>
      </c>
      <c r="P128" s="2467">
        <f t="shared" si="20"/>
        <v>0</v>
      </c>
    </row>
    <row r="129" spans="1:16">
      <c r="A129" s="2339" t="s">
        <v>140</v>
      </c>
      <c r="B129" s="2330"/>
      <c r="C129" s="2341">
        <f>ROUND(C123-C128,2)</f>
        <v>0</v>
      </c>
      <c r="D129" s="2342"/>
      <c r="E129" s="2342">
        <f>ROUND(E123-E128,2)</f>
        <v>0</v>
      </c>
      <c r="F129" s="2342">
        <f>ROUND(F123-F128,2)</f>
        <v>0</v>
      </c>
      <c r="G129" s="2342">
        <f>ROUND(G123-G128,2)</f>
        <v>0</v>
      </c>
      <c r="H129" s="2342">
        <f>ROUND(H123-H128,2)</f>
        <v>0</v>
      </c>
      <c r="I129" s="2342">
        <f>ROUND(I123-I128,2)</f>
        <v>0</v>
      </c>
      <c r="J129" s="2342">
        <f t="shared" ref="J129:P129" si="21">ROUND(J123-J128,2)</f>
        <v>0</v>
      </c>
      <c r="K129" s="2342">
        <f t="shared" si="21"/>
        <v>0</v>
      </c>
      <c r="L129" s="2342">
        <f t="shared" si="21"/>
        <v>0</v>
      </c>
      <c r="M129" s="2342">
        <f t="shared" si="21"/>
        <v>0</v>
      </c>
      <c r="N129" s="2342">
        <f t="shared" si="21"/>
        <v>0</v>
      </c>
      <c r="O129" s="2342">
        <f t="shared" si="21"/>
        <v>0</v>
      </c>
      <c r="P129" s="2467">
        <f t="shared" si="21"/>
        <v>0</v>
      </c>
    </row>
    <row r="130" spans="1:16">
      <c r="A130" s="2347"/>
      <c r="B130" s="2330"/>
      <c r="C130" s="2333"/>
      <c r="D130" s="2331"/>
      <c r="E130" s="2331"/>
      <c r="F130" s="2331"/>
      <c r="G130" s="2331"/>
      <c r="H130" s="2331"/>
      <c r="I130" s="2331"/>
      <c r="J130" s="2331"/>
      <c r="K130" s="2331"/>
      <c r="L130" s="2331"/>
      <c r="M130" s="2331"/>
      <c r="N130" s="2331"/>
      <c r="O130" s="2331"/>
      <c r="P130" s="2332"/>
    </row>
    <row r="131" spans="1:16">
      <c r="A131" s="2329" t="s">
        <v>141</v>
      </c>
      <c r="B131" s="2330"/>
      <c r="C131" s="2333"/>
      <c r="D131" s="2331"/>
      <c r="E131" s="2331"/>
      <c r="F131" s="2331"/>
      <c r="G131" s="2331"/>
      <c r="H131" s="2331"/>
      <c r="I131" s="2331"/>
      <c r="J131" s="2331"/>
      <c r="K131" s="2331"/>
      <c r="L131" s="2331"/>
      <c r="M131" s="2331"/>
      <c r="N131" s="2331"/>
      <c r="O131" s="2331"/>
      <c r="P131" s="2332"/>
    </row>
    <row r="132" spans="1:16">
      <c r="A132" s="2334" t="s">
        <v>142</v>
      </c>
      <c r="B132" s="1828"/>
      <c r="C132" s="2333">
        <f>审定现流表!D33</f>
        <v>0</v>
      </c>
      <c r="D132" s="2331"/>
      <c r="E132" s="2336">
        <f>$C132-SUM($D132:D132)</f>
        <v>0</v>
      </c>
      <c r="F132" s="2336">
        <f>$C132-SUM($D132:E132)</f>
        <v>0</v>
      </c>
      <c r="G132" s="2336">
        <f>$C132-SUM($D132:F132)</f>
        <v>0</v>
      </c>
      <c r="H132" s="2336">
        <f>$C132-SUM($D132:G132)</f>
        <v>0</v>
      </c>
      <c r="I132" s="2336">
        <f>$C132-SUM($D132:H132)</f>
        <v>0</v>
      </c>
      <c r="J132" s="2336">
        <f>$C132-SUM($D132:I132)</f>
        <v>0</v>
      </c>
      <c r="K132" s="2336">
        <f>$C132-SUM($D132:J132)</f>
        <v>0</v>
      </c>
      <c r="L132" s="2336">
        <f>$C132-SUM($D132:K132)</f>
        <v>0</v>
      </c>
      <c r="M132" s="2336">
        <f>$C132-SUM($D132:L132)</f>
        <v>0</v>
      </c>
      <c r="N132" s="2336">
        <f>$C132-SUM($D132:M132)</f>
        <v>0</v>
      </c>
      <c r="O132" s="2336">
        <f>$C132-SUM($D132:N132)</f>
        <v>0</v>
      </c>
      <c r="P132" s="2349">
        <f>$C132-SUM($D132:O132)</f>
        <v>0</v>
      </c>
    </row>
    <row r="133" spans="1:16">
      <c r="A133" s="2334" t="s">
        <v>143</v>
      </c>
      <c r="B133" s="1828"/>
      <c r="C133" s="2333">
        <f>审定现流表!D34</f>
        <v>0</v>
      </c>
      <c r="D133" s="2331"/>
      <c r="E133" s="2336">
        <f>$C133-SUM($D133:D133)</f>
        <v>0</v>
      </c>
      <c r="F133" s="2336">
        <f>$C133-SUM($D133:E133)</f>
        <v>0</v>
      </c>
      <c r="G133" s="2336">
        <f>$C133-SUM($D133:F133)</f>
        <v>0</v>
      </c>
      <c r="H133" s="2336">
        <f>$C133-SUM($D133:G133)</f>
        <v>0</v>
      </c>
      <c r="I133" s="2336">
        <f>$C133-SUM($D133:H133)</f>
        <v>0</v>
      </c>
      <c r="J133" s="2336">
        <f>$C133-SUM($D133:I133)</f>
        <v>0</v>
      </c>
      <c r="K133" s="2336">
        <f>$C133-SUM($D133:J133)</f>
        <v>0</v>
      </c>
      <c r="L133" s="2336">
        <f>$C133-SUM($D133:K133)</f>
        <v>0</v>
      </c>
      <c r="M133" s="2336">
        <f>$C133-SUM($D133:L133)</f>
        <v>0</v>
      </c>
      <c r="N133" s="2336">
        <f>$C133-SUM($D133:M133)</f>
        <v>0</v>
      </c>
      <c r="O133" s="2336">
        <f>$C133-SUM($D133:N133)</f>
        <v>0</v>
      </c>
      <c r="P133" s="2349">
        <f>$C133-SUM($D133:O133)</f>
        <v>0</v>
      </c>
    </row>
    <row r="134" spans="1:16">
      <c r="A134" s="2334" t="s">
        <v>144</v>
      </c>
      <c r="B134" s="1828"/>
      <c r="C134" s="2333">
        <f>审定现流表!D35</f>
        <v>0</v>
      </c>
      <c r="D134" s="2331"/>
      <c r="E134" s="2336">
        <f>$C134-SUM($D134:D134)</f>
        <v>0</v>
      </c>
      <c r="F134" s="2336">
        <f>$C134-SUM($D134:E134)</f>
        <v>0</v>
      </c>
      <c r="G134" s="2336">
        <f>$C134-SUM($D134:F134)</f>
        <v>0</v>
      </c>
      <c r="H134" s="2336">
        <f>$C134-SUM($D134:G134)</f>
        <v>0</v>
      </c>
      <c r="I134" s="2336">
        <f>$C134-SUM($D134:H134)</f>
        <v>0</v>
      </c>
      <c r="J134" s="2336">
        <f>$C134-SUM($D134:I134)</f>
        <v>0</v>
      </c>
      <c r="K134" s="2336">
        <f>$C134-SUM($D134:J134)</f>
        <v>0</v>
      </c>
      <c r="L134" s="2336">
        <f>$C134-SUM($D134:K134)</f>
        <v>0</v>
      </c>
      <c r="M134" s="2336">
        <f>$C134-SUM($D134:L134)</f>
        <v>0</v>
      </c>
      <c r="N134" s="2336">
        <f>$C134-SUM($D134:M134)</f>
        <v>0</v>
      </c>
      <c r="O134" s="2336">
        <f>$C134-SUM($D134:N134)</f>
        <v>0</v>
      </c>
      <c r="P134" s="2349">
        <f>$C134-SUM($D134:O134)</f>
        <v>0</v>
      </c>
    </row>
    <row r="135" spans="1:16">
      <c r="A135" s="2334" t="s">
        <v>145</v>
      </c>
      <c r="B135" s="1828"/>
      <c r="C135" s="2333">
        <f>审定现流表!D36</f>
        <v>0</v>
      </c>
      <c r="D135" s="2331"/>
      <c r="E135" s="2336">
        <f>$C135-SUM($D135:D135)</f>
        <v>0</v>
      </c>
      <c r="F135" s="2336">
        <f>$C135-SUM($D135:E135)</f>
        <v>0</v>
      </c>
      <c r="G135" s="2336">
        <f>$C135-SUM($D135:F135)</f>
        <v>0</v>
      </c>
      <c r="H135" s="2336">
        <f>$C135-SUM($D135:G135)</f>
        <v>0</v>
      </c>
      <c r="I135" s="2336">
        <f>$C135-SUM($D135:H135)</f>
        <v>0</v>
      </c>
      <c r="J135" s="2336">
        <f>$C135-SUM($D135:I135)</f>
        <v>0</v>
      </c>
      <c r="K135" s="2336">
        <f>$C135-SUM($D135:J135)</f>
        <v>0</v>
      </c>
      <c r="L135" s="2336">
        <f>$C135-SUM($D135:K135)</f>
        <v>0</v>
      </c>
      <c r="M135" s="2336">
        <f>$C135-SUM($D135:L135)</f>
        <v>0</v>
      </c>
      <c r="N135" s="2336">
        <f>$C135-SUM($D135:M135)</f>
        <v>0</v>
      </c>
      <c r="O135" s="2336">
        <f>$C135-SUM($D135:N135)</f>
        <v>0</v>
      </c>
      <c r="P135" s="2349">
        <f>$C135-SUM($D135:O135)</f>
        <v>0</v>
      </c>
    </row>
    <row r="136" spans="1:16">
      <c r="A136" s="2334" t="s">
        <v>146</v>
      </c>
      <c r="B136" s="1828"/>
      <c r="C136" s="2333">
        <f>审定现流表!D37</f>
        <v>0</v>
      </c>
      <c r="D136" s="2331"/>
      <c r="E136" s="2336">
        <f>$C136-SUM($D136:D136)</f>
        <v>0</v>
      </c>
      <c r="F136" s="2336">
        <f>$C136-SUM($D136:E136)</f>
        <v>0</v>
      </c>
      <c r="G136" s="2336">
        <f>$C136-SUM($D136:F136)</f>
        <v>0</v>
      </c>
      <c r="H136" s="2336">
        <f>$C136-SUM($D136:G136)</f>
        <v>0</v>
      </c>
      <c r="I136" s="2336">
        <f>$C136-SUM($D136:H136)</f>
        <v>0</v>
      </c>
      <c r="J136" s="2336">
        <f>$C136-SUM($D136:I136)</f>
        <v>0</v>
      </c>
      <c r="K136" s="2336">
        <f>$C136-SUM($D136:J136)</f>
        <v>0</v>
      </c>
      <c r="L136" s="2336">
        <f>$C136-SUM($D136:K136)</f>
        <v>0</v>
      </c>
      <c r="M136" s="2336">
        <f>$C136-SUM($D136:L136)</f>
        <v>0</v>
      </c>
      <c r="N136" s="2336">
        <f>$C136-SUM($D136:M136)</f>
        <v>0</v>
      </c>
      <c r="O136" s="2336">
        <f>$C136-SUM($D136:N136)</f>
        <v>0</v>
      </c>
      <c r="P136" s="2349">
        <f>$C136-SUM($D136:O136)</f>
        <v>0</v>
      </c>
    </row>
    <row r="137" spans="1:16">
      <c r="A137" s="2339" t="s">
        <v>148</v>
      </c>
      <c r="B137" s="2330"/>
      <c r="C137" s="2341">
        <f>ROUND(SUM(C132:C136),2)-C133</f>
        <v>0</v>
      </c>
      <c r="D137" s="2342"/>
      <c r="E137" s="2342">
        <f t="shared" ref="E137:P137" si="22">ROUND(SUM(E132:E136),2)-E133</f>
        <v>0</v>
      </c>
      <c r="F137" s="2342">
        <f t="shared" si="22"/>
        <v>0</v>
      </c>
      <c r="G137" s="2342">
        <f t="shared" si="22"/>
        <v>0</v>
      </c>
      <c r="H137" s="2342">
        <f t="shared" si="22"/>
        <v>0</v>
      </c>
      <c r="I137" s="2342">
        <f t="shared" si="22"/>
        <v>0</v>
      </c>
      <c r="J137" s="2342">
        <f t="shared" si="22"/>
        <v>0</v>
      </c>
      <c r="K137" s="2342">
        <f t="shared" si="22"/>
        <v>0</v>
      </c>
      <c r="L137" s="2342">
        <f t="shared" si="22"/>
        <v>0</v>
      </c>
      <c r="M137" s="2342">
        <f t="shared" si="22"/>
        <v>0</v>
      </c>
      <c r="N137" s="2342">
        <f t="shared" si="22"/>
        <v>0</v>
      </c>
      <c r="O137" s="2342">
        <f t="shared" si="22"/>
        <v>0</v>
      </c>
      <c r="P137" s="2467">
        <f t="shared" si="22"/>
        <v>0</v>
      </c>
    </row>
    <row r="138" spans="1:16">
      <c r="A138" s="2334" t="s">
        <v>149</v>
      </c>
      <c r="B138" s="1828"/>
      <c r="C138" s="2333">
        <f>审定现流表!D39</f>
        <v>0</v>
      </c>
      <c r="D138" s="2331"/>
      <c r="E138" s="2336">
        <f>$C138-SUM($D138:D138)</f>
        <v>0</v>
      </c>
      <c r="F138" s="2336">
        <f>$C138-SUM($D138:E138)</f>
        <v>0</v>
      </c>
      <c r="G138" s="2336">
        <f>$C138-SUM($D138:F138)</f>
        <v>0</v>
      </c>
      <c r="H138" s="2336">
        <f>$C138-SUM($D138:G138)</f>
        <v>0</v>
      </c>
      <c r="I138" s="2336">
        <f>$C138-SUM($D138:H138)</f>
        <v>0</v>
      </c>
      <c r="J138" s="2336">
        <f>$C138-SUM($D138:I138)</f>
        <v>0</v>
      </c>
      <c r="K138" s="2336">
        <f>$C138-SUM($D138:J138)</f>
        <v>0</v>
      </c>
      <c r="L138" s="2336">
        <f>$C138-SUM($D138:K138)</f>
        <v>0</v>
      </c>
      <c r="M138" s="2336">
        <f>$C138-SUM($D138:L138)</f>
        <v>0</v>
      </c>
      <c r="N138" s="2336">
        <f>$C138-SUM($D138:M138)</f>
        <v>0</v>
      </c>
      <c r="O138" s="2336">
        <f>$C138-SUM($D138:N138)</f>
        <v>0</v>
      </c>
      <c r="P138" s="2349">
        <f>$C138-SUM($D138:O138)</f>
        <v>0</v>
      </c>
    </row>
    <row r="139" spans="1:16">
      <c r="A139" s="2334" t="s">
        <v>150</v>
      </c>
      <c r="B139" s="1828"/>
      <c r="C139" s="2333">
        <f>审定现流表!D40</f>
        <v>0</v>
      </c>
      <c r="D139" s="2331"/>
      <c r="E139" s="2336">
        <f>$C139-SUM($D139:D139)</f>
        <v>0</v>
      </c>
      <c r="F139" s="2336">
        <f>$C139-SUM($D139:E139)</f>
        <v>0</v>
      </c>
      <c r="G139" s="2336">
        <f>$C139-SUM($D139:F139)</f>
        <v>0</v>
      </c>
      <c r="H139" s="2336">
        <f>$C139-SUM($D139:G139)</f>
        <v>0</v>
      </c>
      <c r="I139" s="2336">
        <f>$C139-SUM($D139:H139)</f>
        <v>0</v>
      </c>
      <c r="J139" s="2336">
        <f>$C139-SUM($D139:I139)</f>
        <v>0</v>
      </c>
      <c r="K139" s="2336">
        <f>$C139-SUM($D139:J139)</f>
        <v>0</v>
      </c>
      <c r="L139" s="2336">
        <f>$C139-SUM($D139:K139)</f>
        <v>0</v>
      </c>
      <c r="M139" s="2336">
        <f>$C139-SUM($D139:L139)</f>
        <v>0</v>
      </c>
      <c r="N139" s="2336">
        <f>$C139-SUM($D139:M139)</f>
        <v>0</v>
      </c>
      <c r="O139" s="2336">
        <f>$C139-SUM($D139:N139)</f>
        <v>0</v>
      </c>
      <c r="P139" s="2349">
        <f>$C139-SUM($D139:O139)</f>
        <v>0</v>
      </c>
    </row>
    <row r="140" spans="1:16">
      <c r="A140" s="2334" t="s">
        <v>151</v>
      </c>
      <c r="B140" s="1828"/>
      <c r="C140" s="2333">
        <f>审定现流表!D41</f>
        <v>0</v>
      </c>
      <c r="D140" s="2331"/>
      <c r="E140" s="2336">
        <f>$C140-SUM($D140:D140)</f>
        <v>0</v>
      </c>
      <c r="F140" s="2336">
        <f>$C140-SUM($D140:E140)</f>
        <v>0</v>
      </c>
      <c r="G140" s="2336">
        <f>$C140-SUM($D140:F140)</f>
        <v>0</v>
      </c>
      <c r="H140" s="2336">
        <f>$C140-SUM($D140:G140)</f>
        <v>0</v>
      </c>
      <c r="I140" s="2336">
        <f>$C140-SUM($D140:H140)</f>
        <v>0</v>
      </c>
      <c r="J140" s="2336">
        <f>$C140-SUM($D140:I140)</f>
        <v>0</v>
      </c>
      <c r="K140" s="2336">
        <f>$C140-SUM($D140:J140)</f>
        <v>0</v>
      </c>
      <c r="L140" s="2336">
        <f>$C140-SUM($D140:K140)</f>
        <v>0</v>
      </c>
      <c r="M140" s="2336">
        <f>$C140-SUM($D140:L140)</f>
        <v>0</v>
      </c>
      <c r="N140" s="2336">
        <f>$C140-SUM($D140:M140)</f>
        <v>0</v>
      </c>
      <c r="O140" s="2336">
        <f>$C140-SUM($D140:N140)</f>
        <v>0</v>
      </c>
      <c r="P140" s="2349">
        <f>$C140-SUM($D140:O140)</f>
        <v>0</v>
      </c>
    </row>
    <row r="141" spans="1:16">
      <c r="A141" s="2334" t="s">
        <v>152</v>
      </c>
      <c r="B141" s="1828"/>
      <c r="C141" s="2333">
        <f>审定现流表!D42</f>
        <v>0</v>
      </c>
      <c r="D141" s="2331"/>
      <c r="E141" s="2336">
        <f>$C141-SUM($D141:D141)</f>
        <v>0</v>
      </c>
      <c r="F141" s="2336">
        <f>$C141-SUM($D141:E141)</f>
        <v>0</v>
      </c>
      <c r="G141" s="2336">
        <f>$C141-SUM($D141:F141)</f>
        <v>0</v>
      </c>
      <c r="H141" s="2336">
        <f>$C141-SUM($D141:G141)</f>
        <v>0</v>
      </c>
      <c r="I141" s="2336">
        <f>$C141-SUM($D141:H141)</f>
        <v>0</v>
      </c>
      <c r="J141" s="2336">
        <f>$C141-SUM($D141:I141)</f>
        <v>0</v>
      </c>
      <c r="K141" s="2336">
        <f>$C141-SUM($D141:J141)</f>
        <v>0</v>
      </c>
      <c r="L141" s="2336">
        <f>$C141-SUM($D141:K141)</f>
        <v>0</v>
      </c>
      <c r="M141" s="2336">
        <f>$C141-SUM($D141:L141)</f>
        <v>0</v>
      </c>
      <c r="N141" s="2336">
        <f>$C141-SUM($D141:M141)</f>
        <v>0</v>
      </c>
      <c r="O141" s="2336">
        <f>$C141-SUM($D141:N141)</f>
        <v>0</v>
      </c>
      <c r="P141" s="2349">
        <f>$C141-SUM($D141:O141)</f>
        <v>0</v>
      </c>
    </row>
    <row r="142" spans="1:16">
      <c r="A142" s="2339" t="s">
        <v>153</v>
      </c>
      <c r="B142" s="2330"/>
      <c r="C142" s="2341">
        <f>ROUND(SUM(C138:C141),2)-C140</f>
        <v>0</v>
      </c>
      <c r="D142" s="2342"/>
      <c r="E142" s="2342">
        <f t="shared" ref="E142:P142" si="23">ROUND(SUM(E138:E141),2)-E140</f>
        <v>0</v>
      </c>
      <c r="F142" s="2342">
        <f t="shared" si="23"/>
        <v>0</v>
      </c>
      <c r="G142" s="2342">
        <f t="shared" si="23"/>
        <v>0</v>
      </c>
      <c r="H142" s="2342">
        <f t="shared" si="23"/>
        <v>0</v>
      </c>
      <c r="I142" s="2342">
        <f t="shared" si="23"/>
        <v>0</v>
      </c>
      <c r="J142" s="2342">
        <f t="shared" si="23"/>
        <v>0</v>
      </c>
      <c r="K142" s="2342">
        <f t="shared" si="23"/>
        <v>0</v>
      </c>
      <c r="L142" s="2342">
        <f t="shared" si="23"/>
        <v>0</v>
      </c>
      <c r="M142" s="2342">
        <f t="shared" si="23"/>
        <v>0</v>
      </c>
      <c r="N142" s="2342">
        <f t="shared" si="23"/>
        <v>0</v>
      </c>
      <c r="O142" s="2342">
        <f t="shared" si="23"/>
        <v>0</v>
      </c>
      <c r="P142" s="2467">
        <f t="shared" si="23"/>
        <v>0</v>
      </c>
    </row>
    <row r="143" spans="1:16">
      <c r="A143" s="2339" t="s">
        <v>154</v>
      </c>
      <c r="B143" s="2330"/>
      <c r="C143" s="2341">
        <f>ROUND(C137-C142,2)</f>
        <v>0</v>
      </c>
      <c r="D143" s="2342"/>
      <c r="E143" s="2342">
        <f t="shared" ref="E143:P143" si="24">ROUND(E137-E142,2)</f>
        <v>0</v>
      </c>
      <c r="F143" s="2342">
        <f t="shared" si="24"/>
        <v>0</v>
      </c>
      <c r="G143" s="2342">
        <f t="shared" si="24"/>
        <v>0</v>
      </c>
      <c r="H143" s="2342">
        <f t="shared" si="24"/>
        <v>0</v>
      </c>
      <c r="I143" s="2342">
        <f t="shared" si="24"/>
        <v>0</v>
      </c>
      <c r="J143" s="2342">
        <f t="shared" si="24"/>
        <v>0</v>
      </c>
      <c r="K143" s="2342">
        <f t="shared" si="24"/>
        <v>0</v>
      </c>
      <c r="L143" s="2342">
        <f t="shared" si="24"/>
        <v>0</v>
      </c>
      <c r="M143" s="2342">
        <f t="shared" si="24"/>
        <v>0</v>
      </c>
      <c r="N143" s="2342">
        <f t="shared" si="24"/>
        <v>0</v>
      </c>
      <c r="O143" s="2342">
        <f t="shared" si="24"/>
        <v>0</v>
      </c>
      <c r="P143" s="2467">
        <f t="shared" si="24"/>
        <v>0</v>
      </c>
    </row>
    <row r="144" spans="1:16">
      <c r="A144" s="2347"/>
      <c r="B144" s="2330"/>
      <c r="C144" s="2333"/>
      <c r="D144" s="2331"/>
      <c r="E144" s="2331"/>
      <c r="F144" s="2331"/>
      <c r="G144" s="2331"/>
      <c r="H144" s="2331"/>
      <c r="I144" s="2331"/>
      <c r="J144" s="2331"/>
      <c r="K144" s="2331"/>
      <c r="L144" s="2331"/>
      <c r="M144" s="2331"/>
      <c r="N144" s="2331"/>
      <c r="O144" s="2331"/>
      <c r="P144" s="2332"/>
    </row>
    <row r="145" spans="1:16">
      <c r="A145" s="2329" t="s">
        <v>155</v>
      </c>
      <c r="B145" s="1828"/>
      <c r="C145" s="2333">
        <f>审定现流表!D46</f>
        <v>0</v>
      </c>
      <c r="D145" s="2331"/>
      <c r="E145" s="2336">
        <f>$C145-SUM($D145:D145)</f>
        <v>0</v>
      </c>
      <c r="F145" s="2336">
        <f>$C145-SUM($D145:E145)</f>
        <v>0</v>
      </c>
      <c r="G145" s="2336">
        <f>$C145-SUM($D145:F145)</f>
        <v>0</v>
      </c>
      <c r="H145" s="2336">
        <f>$C145-SUM($D145:G145)</f>
        <v>0</v>
      </c>
      <c r="I145" s="2336">
        <f>$C145-SUM($D145:H145)</f>
        <v>0</v>
      </c>
      <c r="J145" s="2336">
        <f>$C145-SUM($D145:I145)</f>
        <v>0</v>
      </c>
      <c r="K145" s="2336">
        <f>$C145-SUM($D145:J145)</f>
        <v>0</v>
      </c>
      <c r="L145" s="2336">
        <f>$C145-SUM($D145:K145)</f>
        <v>0</v>
      </c>
      <c r="M145" s="2336">
        <f>$C145-SUM($D145:L145)</f>
        <v>0</v>
      </c>
      <c r="N145" s="2336">
        <f>$C145-SUM($D145:M145)</f>
        <v>0</v>
      </c>
      <c r="O145" s="2336">
        <f>$C145-SUM($D145:N145)</f>
        <v>0</v>
      </c>
      <c r="P145" s="2349">
        <f>$C145-SUM($D145:O145)</f>
        <v>0</v>
      </c>
    </row>
    <row r="146" spans="1:16">
      <c r="A146" s="2329" t="s">
        <v>156</v>
      </c>
      <c r="B146" s="2330"/>
      <c r="C146" s="2341">
        <f>ROUND(C115+C129+C143+C145,2)</f>
        <v>0</v>
      </c>
      <c r="D146" s="2342"/>
      <c r="E146" s="2342">
        <f>ROUND(E115+E129+E143+E145,2)</f>
        <v>0</v>
      </c>
      <c r="F146" s="2342">
        <f>ROUND(F115+F129+F143+F145,2)</f>
        <v>0</v>
      </c>
      <c r="G146" s="2342">
        <f>ROUND(G115+G129+G143+G145,2)</f>
        <v>0</v>
      </c>
      <c r="H146" s="2342">
        <f>ROUND(H115+H129+H143+H145,2)</f>
        <v>0</v>
      </c>
      <c r="I146" s="2342">
        <f>ROUND(I115+I129+I143+I145,2)</f>
        <v>0</v>
      </c>
      <c r="J146" s="2342">
        <f t="shared" ref="J146:P146" si="25">ROUND(J115+J129+J143+J145,2)</f>
        <v>0</v>
      </c>
      <c r="K146" s="2342">
        <f t="shared" si="25"/>
        <v>0</v>
      </c>
      <c r="L146" s="2342">
        <f t="shared" si="25"/>
        <v>0</v>
      </c>
      <c r="M146" s="2342">
        <f t="shared" si="25"/>
        <v>0</v>
      </c>
      <c r="N146" s="2342">
        <f t="shared" si="25"/>
        <v>0</v>
      </c>
      <c r="O146" s="2342">
        <f t="shared" si="25"/>
        <v>0</v>
      </c>
      <c r="P146" s="2467">
        <f t="shared" si="25"/>
        <v>0</v>
      </c>
    </row>
    <row r="147" spans="1:16">
      <c r="A147" s="2334" t="s">
        <v>157</v>
      </c>
      <c r="B147" s="2330"/>
      <c r="C147" s="2333">
        <f>审定现流表!D48</f>
        <v>0</v>
      </c>
      <c r="D147" s="2331"/>
      <c r="E147" s="2336">
        <f>$C147-SUM($D147:D147)</f>
        <v>0</v>
      </c>
      <c r="F147" s="2336">
        <f>$C147-SUM($D147:E147)</f>
        <v>0</v>
      </c>
      <c r="G147" s="2336">
        <f>$C147-SUM($D147:F147)</f>
        <v>0</v>
      </c>
      <c r="H147" s="2336">
        <f>$C147-SUM($D147:G147)</f>
        <v>0</v>
      </c>
      <c r="I147" s="2336">
        <f>$C147-SUM($D147:H147)</f>
        <v>0</v>
      </c>
      <c r="J147" s="2336">
        <f>$C147-SUM($D147:I147)</f>
        <v>0</v>
      </c>
      <c r="K147" s="2336">
        <f>$C147-SUM($D147:J147)</f>
        <v>0</v>
      </c>
      <c r="L147" s="2336">
        <f>$C147-SUM($D147:K147)</f>
        <v>0</v>
      </c>
      <c r="M147" s="2336">
        <f>$C147-SUM($D147:L147)</f>
        <v>0</v>
      </c>
      <c r="N147" s="2336">
        <f>$C147-SUM($D147:M147)</f>
        <v>0</v>
      </c>
      <c r="O147" s="2336">
        <f>$C147-SUM($D147:N147)</f>
        <v>0</v>
      </c>
      <c r="P147" s="2349">
        <f>$C147-SUM($D147:O147)</f>
        <v>0</v>
      </c>
    </row>
    <row r="148" ht="15" spans="1:16">
      <c r="A148" s="2350" t="s">
        <v>158</v>
      </c>
      <c r="B148" s="2475"/>
      <c r="C148" s="2464">
        <f>ROUND(C146+C147,2)</f>
        <v>0</v>
      </c>
      <c r="D148" s="2353"/>
      <c r="E148" s="2353">
        <f>ROUND(E146+E147,2)</f>
        <v>0</v>
      </c>
      <c r="F148" s="2353">
        <f>ROUND(F146+F147,2)</f>
        <v>0</v>
      </c>
      <c r="G148" s="2353">
        <f>ROUND(G146+G147,2)</f>
        <v>0</v>
      </c>
      <c r="H148" s="2353">
        <f>ROUND(H146+H147,2)</f>
        <v>0</v>
      </c>
      <c r="I148" s="2353">
        <f>ROUND(I146+I147,2)</f>
        <v>0</v>
      </c>
      <c r="J148" s="2353">
        <f t="shared" ref="J148:P148" si="26">ROUND(J146+J147,2)</f>
        <v>0</v>
      </c>
      <c r="K148" s="2353">
        <f t="shared" si="26"/>
        <v>0</v>
      </c>
      <c r="L148" s="2353">
        <f t="shared" si="26"/>
        <v>0</v>
      </c>
      <c r="M148" s="2353">
        <f t="shared" si="26"/>
        <v>0</v>
      </c>
      <c r="N148" s="2353">
        <f t="shared" si="26"/>
        <v>0</v>
      </c>
      <c r="O148" s="2353">
        <f t="shared" si="26"/>
        <v>0</v>
      </c>
      <c r="P148" s="2468">
        <f t="shared" si="26"/>
        <v>0</v>
      </c>
    </row>
    <row r="149" ht="15" spans="1:16">
      <c r="A149" s="2356"/>
      <c r="B149" s="2311"/>
      <c r="C149" s="2316"/>
      <c r="D149" s="2315"/>
      <c r="E149" s="2315"/>
      <c r="F149" s="2315"/>
      <c r="G149" s="2315"/>
      <c r="H149" s="2315"/>
      <c r="I149" s="2315"/>
      <c r="J149" s="2315"/>
      <c r="K149" s="2315"/>
      <c r="L149" s="2315"/>
      <c r="M149" s="2315"/>
      <c r="N149" s="2315"/>
      <c r="O149" s="2315"/>
      <c r="P149" s="2315"/>
    </row>
    <row r="150" spans="1:16">
      <c r="A150" s="2476"/>
      <c r="B150" s="2311"/>
      <c r="C150" s="2465">
        <f>ROUND(C115-C171,2)</f>
        <v>0</v>
      </c>
      <c r="D150" s="2359"/>
      <c r="E150" s="2359">
        <f>ROUND(E115-E171,2)</f>
        <v>0</v>
      </c>
      <c r="F150" s="2359">
        <f t="shared" ref="F150:P150" si="27">ROUND(F115-F171,2)</f>
        <v>0</v>
      </c>
      <c r="G150" s="2359">
        <f t="shared" si="27"/>
        <v>0</v>
      </c>
      <c r="H150" s="2359">
        <f t="shared" si="27"/>
        <v>0</v>
      </c>
      <c r="I150" s="2359">
        <f t="shared" si="27"/>
        <v>0</v>
      </c>
      <c r="J150" s="2359">
        <f t="shared" si="27"/>
        <v>0</v>
      </c>
      <c r="K150" s="2359">
        <f t="shared" si="27"/>
        <v>0</v>
      </c>
      <c r="L150" s="2359">
        <f t="shared" si="27"/>
        <v>0</v>
      </c>
      <c r="M150" s="2359">
        <f t="shared" si="27"/>
        <v>0</v>
      </c>
      <c r="N150" s="2359">
        <f t="shared" si="27"/>
        <v>0</v>
      </c>
      <c r="O150" s="2359">
        <f t="shared" si="27"/>
        <v>0</v>
      </c>
      <c r="P150" s="2359">
        <f t="shared" si="27"/>
        <v>0</v>
      </c>
    </row>
    <row r="151" ht="15" spans="1:16">
      <c r="A151" s="2360" t="s">
        <v>159</v>
      </c>
      <c r="B151" s="2311"/>
      <c r="C151" s="2316"/>
      <c r="D151" s="2315"/>
      <c r="E151" s="2315"/>
      <c r="F151" s="2315"/>
      <c r="G151" s="2315"/>
      <c r="H151" s="2315"/>
      <c r="I151" s="2315"/>
      <c r="J151" s="2315"/>
      <c r="K151" s="2315"/>
      <c r="L151" s="2315"/>
      <c r="M151" s="2315"/>
      <c r="N151" s="2315"/>
      <c r="O151" s="2315"/>
      <c r="P151" s="2315"/>
    </row>
    <row r="152" ht="15" spans="1:16">
      <c r="A152" s="2477" t="s">
        <v>160</v>
      </c>
      <c r="B152" s="2397" t="s">
        <v>161</v>
      </c>
      <c r="C152" s="2466" t="str">
        <f>IF(参数表!$C$12="本期间为特定年","上年金额","上期金额")</f>
        <v>上年金额</v>
      </c>
      <c r="D152" s="2319"/>
      <c r="E152" s="2319" t="str">
        <f>IF(参数表!$C$12="本期间为特定年","上年金额","上期金额")</f>
        <v>上年金额</v>
      </c>
      <c r="F152" s="2319" t="str">
        <f>IF(参数表!$C$12="本期间为特定年","上年金额","上期金额")</f>
        <v>上年金额</v>
      </c>
      <c r="G152" s="2319" t="str">
        <f>IF(参数表!$C$12="本期间为特定年","上年金额","上期金额")</f>
        <v>上年金额</v>
      </c>
      <c r="H152" s="2319" t="str">
        <f>IF(参数表!$C$12="本期间为特定年","上年金额","上期金额")</f>
        <v>上年金额</v>
      </c>
      <c r="I152" s="2319" t="str">
        <f>IF(参数表!$C$12="本期间为特定年","上年金额","上期金额")</f>
        <v>上年金额</v>
      </c>
      <c r="J152" s="2319" t="str">
        <f>IF(参数表!$C$12="本期间为特定年","上年金额","上期金额")</f>
        <v>上年金额</v>
      </c>
      <c r="K152" s="2319" t="str">
        <f>IF(参数表!$C$12="本期间为特定年","上年金额","上期金额")</f>
        <v>上年金额</v>
      </c>
      <c r="L152" s="2319" t="str">
        <f>IF(参数表!$C$12="本期间为特定年","上年金额","上期金额")</f>
        <v>上年金额</v>
      </c>
      <c r="M152" s="2319" t="str">
        <f>IF(参数表!$C$12="本期间为特定年","上年金额","上期金额")</f>
        <v>上年金额</v>
      </c>
      <c r="N152" s="2319" t="str">
        <f>IF(参数表!$C$12="本期间为特定年","上年金额","上期金额")</f>
        <v>上年金额</v>
      </c>
      <c r="O152" s="2319" t="str">
        <f>IF(参数表!$C$12="本期间为特定年","上年金额","上期金额")</f>
        <v>上年金额</v>
      </c>
      <c r="P152" s="2320" t="str">
        <f>IF(参数表!$C$12="本期间为特定年","上年金额","上期金额")</f>
        <v>上年金额</v>
      </c>
    </row>
    <row r="153" spans="1:16">
      <c r="A153" s="2478"/>
      <c r="B153" s="2474"/>
      <c r="C153" s="2327" t="s">
        <v>162</v>
      </c>
      <c r="D153" s="2325"/>
      <c r="E153" s="2366" t="str">
        <f>E104</f>
        <v>1月</v>
      </c>
      <c r="F153" s="2325" t="str">
        <f t="shared" ref="F153:P153" si="28">F104</f>
        <v>2月</v>
      </c>
      <c r="G153" s="2366" t="str">
        <f t="shared" si="28"/>
        <v>3月</v>
      </c>
      <c r="H153" s="2325" t="str">
        <f t="shared" si="28"/>
        <v>4月</v>
      </c>
      <c r="I153" s="2366" t="str">
        <f t="shared" si="28"/>
        <v>5月</v>
      </c>
      <c r="J153" s="2325" t="str">
        <f t="shared" si="28"/>
        <v>6月</v>
      </c>
      <c r="K153" s="2366" t="str">
        <f t="shared" si="28"/>
        <v>7月</v>
      </c>
      <c r="L153" s="2325" t="str">
        <f t="shared" si="28"/>
        <v>8月</v>
      </c>
      <c r="M153" s="2366" t="str">
        <f t="shared" si="28"/>
        <v>9月</v>
      </c>
      <c r="N153" s="2325" t="str">
        <f t="shared" si="28"/>
        <v>10月</v>
      </c>
      <c r="O153" s="2366" t="str">
        <f t="shared" si="28"/>
        <v>11月</v>
      </c>
      <c r="P153" s="2367" t="str">
        <f t="shared" si="28"/>
        <v>12月</v>
      </c>
    </row>
    <row r="154" spans="1:16">
      <c r="A154" s="2369" t="s">
        <v>163</v>
      </c>
      <c r="B154" s="2348"/>
      <c r="C154" s="2333"/>
      <c r="D154" s="2331"/>
      <c r="E154" s="2331"/>
      <c r="F154" s="2331"/>
      <c r="G154" s="2331"/>
      <c r="H154" s="2331"/>
      <c r="I154" s="2331"/>
      <c r="J154" s="2331"/>
      <c r="K154" s="2331"/>
      <c r="L154" s="2331"/>
      <c r="M154" s="2331"/>
      <c r="N154" s="2331"/>
      <c r="O154" s="2331"/>
      <c r="P154" s="2332"/>
    </row>
    <row r="155" spans="1:16">
      <c r="A155" s="2370" t="s">
        <v>109</v>
      </c>
      <c r="B155" s="2371"/>
      <c r="C155" s="2333">
        <f>审定现流表!D56</f>
        <v>0</v>
      </c>
      <c r="D155" s="2331"/>
      <c r="E155" s="2331"/>
      <c r="F155" s="2331"/>
      <c r="G155" s="2331"/>
      <c r="H155" s="2331"/>
      <c r="I155" s="2331"/>
      <c r="J155" s="2331"/>
      <c r="K155" s="2331"/>
      <c r="L155" s="2331"/>
      <c r="M155" s="2331"/>
      <c r="N155" s="2331"/>
      <c r="O155" s="2331"/>
      <c r="P155" s="2332"/>
    </row>
    <row r="156" spans="1:16">
      <c r="A156" s="2370" t="s">
        <v>164</v>
      </c>
      <c r="B156" s="2371"/>
      <c r="C156" s="2333">
        <f>审定现流表!D57</f>
        <v>0</v>
      </c>
      <c r="D156" s="2331"/>
      <c r="E156" s="2336">
        <f>$C156-SUM($D156:D156)</f>
        <v>0</v>
      </c>
      <c r="F156" s="2336">
        <f>$C156-SUM($D156:E156)</f>
        <v>0</v>
      </c>
      <c r="G156" s="2336">
        <f>$C156-SUM($D156:F156)</f>
        <v>0</v>
      </c>
      <c r="H156" s="2336">
        <f>$C156-SUM($D156:G156)</f>
        <v>0</v>
      </c>
      <c r="I156" s="2336">
        <f>$C156-SUM($D156:H156)</f>
        <v>0</v>
      </c>
      <c r="J156" s="2336">
        <f>$C156-SUM($D156:I156)</f>
        <v>0</v>
      </c>
      <c r="K156" s="2336">
        <f>$C156-SUM($D156:J156)</f>
        <v>0</v>
      </c>
      <c r="L156" s="2336">
        <f>$C156-SUM($D156:K156)</f>
        <v>0</v>
      </c>
      <c r="M156" s="2336">
        <f>$C156-SUM($D156:L156)</f>
        <v>0</v>
      </c>
      <c r="N156" s="2336">
        <f>$C156-SUM($D156:M156)</f>
        <v>0</v>
      </c>
      <c r="O156" s="2336">
        <f>$C156-SUM($D156:N156)</f>
        <v>0</v>
      </c>
      <c r="P156" s="2349">
        <f>$C156-SUM($D156:O156)</f>
        <v>0</v>
      </c>
    </row>
    <row r="157" spans="1:16">
      <c r="A157" s="2370" t="s">
        <v>165</v>
      </c>
      <c r="B157" s="2371"/>
      <c r="C157" s="2333">
        <f>审定现流表!D58</f>
        <v>0</v>
      </c>
      <c r="D157" s="2331"/>
      <c r="E157" s="2336">
        <f>$C157-SUM($D157:D157)</f>
        <v>0</v>
      </c>
      <c r="F157" s="2336">
        <f>$C157-SUM($D157:E157)</f>
        <v>0</v>
      </c>
      <c r="G157" s="2336">
        <f>$C157-SUM($D157:F157)</f>
        <v>0</v>
      </c>
      <c r="H157" s="2336">
        <f>$C157-SUM($D157:G157)</f>
        <v>0</v>
      </c>
      <c r="I157" s="2336">
        <f>$C157-SUM($D157:H157)</f>
        <v>0</v>
      </c>
      <c r="J157" s="2336">
        <f>$C157-SUM($D157:I157)</f>
        <v>0</v>
      </c>
      <c r="K157" s="2336">
        <f>$C157-SUM($D157:J157)</f>
        <v>0</v>
      </c>
      <c r="L157" s="2336">
        <f>$C157-SUM($D157:K157)</f>
        <v>0</v>
      </c>
      <c r="M157" s="2336">
        <f>$C157-SUM($D157:L157)</f>
        <v>0</v>
      </c>
      <c r="N157" s="2336">
        <f>$C157-SUM($D157:M157)</f>
        <v>0</v>
      </c>
      <c r="O157" s="2336">
        <f>$C157-SUM($D157:N157)</f>
        <v>0</v>
      </c>
      <c r="P157" s="2349">
        <f>$C157-SUM($D157:O157)</f>
        <v>0</v>
      </c>
    </row>
    <row r="158" spans="1:16">
      <c r="A158" s="2370" t="s">
        <v>166</v>
      </c>
      <c r="B158" s="2371"/>
      <c r="C158" s="2333">
        <f>审定现流表!D59</f>
        <v>0</v>
      </c>
      <c r="D158" s="2331"/>
      <c r="E158" s="2336">
        <f>$C158-SUM($D158:D158)</f>
        <v>0</v>
      </c>
      <c r="F158" s="2336">
        <f>$C158-SUM($D158:E158)</f>
        <v>0</v>
      </c>
      <c r="G158" s="2336">
        <f>$C158-SUM($D158:F158)</f>
        <v>0</v>
      </c>
      <c r="H158" s="2336">
        <f>$C158-SUM($D158:G158)</f>
        <v>0</v>
      </c>
      <c r="I158" s="2336">
        <f>$C158-SUM($D158:H158)</f>
        <v>0</v>
      </c>
      <c r="J158" s="2336">
        <f>$C158-SUM($D158:I158)</f>
        <v>0</v>
      </c>
      <c r="K158" s="2336">
        <f>$C158-SUM($D158:J158)</f>
        <v>0</v>
      </c>
      <c r="L158" s="2336">
        <f>$C158-SUM($D158:K158)</f>
        <v>0</v>
      </c>
      <c r="M158" s="2336">
        <f>$C158-SUM($D158:L158)</f>
        <v>0</v>
      </c>
      <c r="N158" s="2336">
        <f>$C158-SUM($D158:M158)</f>
        <v>0</v>
      </c>
      <c r="O158" s="2336">
        <f>$C158-SUM($D158:N158)</f>
        <v>0</v>
      </c>
      <c r="P158" s="2349">
        <f>$C158-SUM($D158:O158)</f>
        <v>0</v>
      </c>
    </row>
    <row r="159" spans="1:16">
      <c r="A159" s="2370" t="s">
        <v>167</v>
      </c>
      <c r="B159" s="2371"/>
      <c r="C159" s="2333">
        <f>审定现流表!D60</f>
        <v>0</v>
      </c>
      <c r="D159" s="2331"/>
      <c r="E159" s="2336">
        <f>$C159-SUM($D159:D159)</f>
        <v>0</v>
      </c>
      <c r="F159" s="2336">
        <f>$C159-SUM($D159:E159)</f>
        <v>0</v>
      </c>
      <c r="G159" s="2336">
        <f>$C159-SUM($D159:F159)</f>
        <v>0</v>
      </c>
      <c r="H159" s="2336">
        <f>$C159-SUM($D159:G159)</f>
        <v>0</v>
      </c>
      <c r="I159" s="2336">
        <f>$C159-SUM($D159:H159)</f>
        <v>0</v>
      </c>
      <c r="J159" s="2336">
        <f>$C159-SUM($D159:I159)</f>
        <v>0</v>
      </c>
      <c r="K159" s="2336">
        <f>$C159-SUM($D159:J159)</f>
        <v>0</v>
      </c>
      <c r="L159" s="2336">
        <f>$C159-SUM($D159:K159)</f>
        <v>0</v>
      </c>
      <c r="M159" s="2336">
        <f>$C159-SUM($D159:L159)</f>
        <v>0</v>
      </c>
      <c r="N159" s="2336">
        <f>$C159-SUM($D159:M159)</f>
        <v>0</v>
      </c>
      <c r="O159" s="2336">
        <f>$C159-SUM($D159:N159)</f>
        <v>0</v>
      </c>
      <c r="P159" s="2349">
        <f>$C159-SUM($D159:O159)</f>
        <v>0</v>
      </c>
    </row>
    <row r="160" spans="1:16">
      <c r="A160" s="2370" t="s">
        <v>168</v>
      </c>
      <c r="B160" s="2371"/>
      <c r="C160" s="2333">
        <f>审定现流表!D61</f>
        <v>0</v>
      </c>
      <c r="D160" s="2331"/>
      <c r="E160" s="2336">
        <f>$C160-SUM($D160:D160)</f>
        <v>0</v>
      </c>
      <c r="F160" s="2336">
        <f>$C160-SUM($D160:E160)</f>
        <v>0</v>
      </c>
      <c r="G160" s="2336">
        <f>$C160-SUM($D160:F160)</f>
        <v>0</v>
      </c>
      <c r="H160" s="2336">
        <f>$C160-SUM($D160:G160)</f>
        <v>0</v>
      </c>
      <c r="I160" s="2336">
        <f>$C160-SUM($D160:H160)</f>
        <v>0</v>
      </c>
      <c r="J160" s="2336">
        <f>$C160-SUM($D160:I160)</f>
        <v>0</v>
      </c>
      <c r="K160" s="2336">
        <f>$C160-SUM($D160:J160)</f>
        <v>0</v>
      </c>
      <c r="L160" s="2336">
        <f>$C160-SUM($D160:K160)</f>
        <v>0</v>
      </c>
      <c r="M160" s="2336">
        <f>$C160-SUM($D160:L160)</f>
        <v>0</v>
      </c>
      <c r="N160" s="2336">
        <f>$C160-SUM($D160:M160)</f>
        <v>0</v>
      </c>
      <c r="O160" s="2336">
        <f>$C160-SUM($D160:N160)</f>
        <v>0</v>
      </c>
      <c r="P160" s="2349">
        <f>$C160-SUM($D160:O160)</f>
        <v>0</v>
      </c>
    </row>
    <row r="161" spans="1:16">
      <c r="A161" s="2370" t="s">
        <v>169</v>
      </c>
      <c r="B161" s="2371"/>
      <c r="C161" s="2333">
        <f>审定现流表!D62</f>
        <v>0</v>
      </c>
      <c r="D161" s="2331"/>
      <c r="E161" s="2336">
        <f>$C161-SUM($D161:D161)</f>
        <v>0</v>
      </c>
      <c r="F161" s="2336">
        <f>$C161-SUM($D161:E161)</f>
        <v>0</v>
      </c>
      <c r="G161" s="2336">
        <f>$C161-SUM($D161:F161)</f>
        <v>0</v>
      </c>
      <c r="H161" s="2336">
        <f>$C161-SUM($D161:G161)</f>
        <v>0</v>
      </c>
      <c r="I161" s="2336">
        <f>$C161-SUM($D161:H161)</f>
        <v>0</v>
      </c>
      <c r="J161" s="2336">
        <f>$C161-SUM($D161:I161)</f>
        <v>0</v>
      </c>
      <c r="K161" s="2336">
        <f>$C161-SUM($D161:J161)</f>
        <v>0</v>
      </c>
      <c r="L161" s="2336">
        <f>$C161-SUM($D161:K161)</f>
        <v>0</v>
      </c>
      <c r="M161" s="2336">
        <f>$C161-SUM($D161:L161)</f>
        <v>0</v>
      </c>
      <c r="N161" s="2336">
        <f>$C161-SUM($D161:M161)</f>
        <v>0</v>
      </c>
      <c r="O161" s="2336">
        <f>$C161-SUM($D161:N161)</f>
        <v>0</v>
      </c>
      <c r="P161" s="2349">
        <f>$C161-SUM($D161:O161)</f>
        <v>0</v>
      </c>
    </row>
    <row r="162" spans="1:16">
      <c r="A162" s="2370" t="s">
        <v>170</v>
      </c>
      <c r="B162" s="2371"/>
      <c r="C162" s="2333">
        <f>审定现流表!D63</f>
        <v>0</v>
      </c>
      <c r="D162" s="2331"/>
      <c r="E162" s="2336">
        <f>$C162-SUM($D162:D162)</f>
        <v>0</v>
      </c>
      <c r="F162" s="2336">
        <f>$C162-SUM($D162:E162)</f>
        <v>0</v>
      </c>
      <c r="G162" s="2336">
        <f>$C162-SUM($D162:F162)</f>
        <v>0</v>
      </c>
      <c r="H162" s="2336">
        <f>$C162-SUM($D162:G162)</f>
        <v>0</v>
      </c>
      <c r="I162" s="2336">
        <f>$C162-SUM($D162:H162)</f>
        <v>0</v>
      </c>
      <c r="J162" s="2336">
        <f>$C162-SUM($D162:I162)</f>
        <v>0</v>
      </c>
      <c r="K162" s="2336">
        <f>$C162-SUM($D162:J162)</f>
        <v>0</v>
      </c>
      <c r="L162" s="2336">
        <f>$C162-SUM($D162:K162)</f>
        <v>0</v>
      </c>
      <c r="M162" s="2336">
        <f>$C162-SUM($D162:L162)</f>
        <v>0</v>
      </c>
      <c r="N162" s="2336">
        <f>$C162-SUM($D162:M162)</f>
        <v>0</v>
      </c>
      <c r="O162" s="2336">
        <f>$C162-SUM($D162:N162)</f>
        <v>0</v>
      </c>
      <c r="P162" s="2349">
        <f>$C162-SUM($D162:O162)</f>
        <v>0</v>
      </c>
    </row>
    <row r="163" spans="1:16">
      <c r="A163" s="2370" t="s">
        <v>84</v>
      </c>
      <c r="B163" s="2371"/>
      <c r="C163" s="2333">
        <f>审定现流表!D64</f>
        <v>0</v>
      </c>
      <c r="D163" s="2331"/>
      <c r="E163" s="2336">
        <f>$C163-SUM($D163:D163)</f>
        <v>0</v>
      </c>
      <c r="F163" s="2336">
        <f>$C163-SUM($D163:E163)</f>
        <v>0</v>
      </c>
      <c r="G163" s="2336">
        <f>$C163-SUM($D163:F163)</f>
        <v>0</v>
      </c>
      <c r="H163" s="2336">
        <f>$C163-SUM($D163:G163)</f>
        <v>0</v>
      </c>
      <c r="I163" s="2336">
        <f>$C163-SUM($D163:H163)</f>
        <v>0</v>
      </c>
      <c r="J163" s="2336">
        <f>$C163-SUM($D163:I163)</f>
        <v>0</v>
      </c>
      <c r="K163" s="2336">
        <f>$C163-SUM($D163:J163)</f>
        <v>0</v>
      </c>
      <c r="L163" s="2336">
        <f>$C163-SUM($D163:K163)</f>
        <v>0</v>
      </c>
      <c r="M163" s="2336">
        <f>$C163-SUM($D163:L163)</f>
        <v>0</v>
      </c>
      <c r="N163" s="2336">
        <f>$C163-SUM($D163:M163)</f>
        <v>0</v>
      </c>
      <c r="O163" s="2336">
        <f>$C163-SUM($D163:N163)</f>
        <v>0</v>
      </c>
      <c r="P163" s="2349">
        <f>$C163-SUM($D163:O163)</f>
        <v>0</v>
      </c>
    </row>
    <row r="164" spans="1:16">
      <c r="A164" s="2370" t="s">
        <v>171</v>
      </c>
      <c r="B164" s="2371"/>
      <c r="C164" s="2333">
        <f>审定现流表!D65</f>
        <v>0</v>
      </c>
      <c r="D164" s="2331"/>
      <c r="E164" s="2336">
        <f>$C164-SUM($D164:D164)</f>
        <v>0</v>
      </c>
      <c r="F164" s="2336">
        <f>$C164-SUM($D164:E164)</f>
        <v>0</v>
      </c>
      <c r="G164" s="2336">
        <f>$C164-SUM($D164:F164)</f>
        <v>0</v>
      </c>
      <c r="H164" s="2336">
        <f>$C164-SUM($D164:G164)</f>
        <v>0</v>
      </c>
      <c r="I164" s="2336">
        <f>$C164-SUM($D164:H164)</f>
        <v>0</v>
      </c>
      <c r="J164" s="2336">
        <f>$C164-SUM($D164:I164)</f>
        <v>0</v>
      </c>
      <c r="K164" s="2336">
        <f>$C164-SUM($D164:J164)</f>
        <v>0</v>
      </c>
      <c r="L164" s="2336">
        <f>$C164-SUM($D164:K164)</f>
        <v>0</v>
      </c>
      <c r="M164" s="2336">
        <f>$C164-SUM($D164:L164)</f>
        <v>0</v>
      </c>
      <c r="N164" s="2336">
        <f>$C164-SUM($D164:M164)</f>
        <v>0</v>
      </c>
      <c r="O164" s="2336">
        <f>$C164-SUM($D164:N164)</f>
        <v>0</v>
      </c>
      <c r="P164" s="2349">
        <f>$C164-SUM($D164:O164)</f>
        <v>0</v>
      </c>
    </row>
    <row r="165" spans="1:16">
      <c r="A165" s="2370" t="s">
        <v>172</v>
      </c>
      <c r="B165" s="2371"/>
      <c r="C165" s="2333">
        <f>审定现流表!D66</f>
        <v>0</v>
      </c>
      <c r="D165" s="2331"/>
      <c r="E165" s="2336">
        <f>$C165-SUM($D165:D165)</f>
        <v>0</v>
      </c>
      <c r="F165" s="2336">
        <f>$C165-SUM($D165:E165)</f>
        <v>0</v>
      </c>
      <c r="G165" s="2336">
        <f>$C165-SUM($D165:F165)</f>
        <v>0</v>
      </c>
      <c r="H165" s="2336">
        <f>$C165-SUM($D165:G165)</f>
        <v>0</v>
      </c>
      <c r="I165" s="2336">
        <f>$C165-SUM($D165:H165)</f>
        <v>0</v>
      </c>
      <c r="J165" s="2336">
        <f>$C165-SUM($D165:I165)</f>
        <v>0</v>
      </c>
      <c r="K165" s="2336">
        <f>$C165-SUM($D165:J165)</f>
        <v>0</v>
      </c>
      <c r="L165" s="2336">
        <f>$C165-SUM($D165:K165)</f>
        <v>0</v>
      </c>
      <c r="M165" s="2336">
        <f>$C165-SUM($D165:L165)</f>
        <v>0</v>
      </c>
      <c r="N165" s="2336">
        <f>$C165-SUM($D165:M165)</f>
        <v>0</v>
      </c>
      <c r="O165" s="2336">
        <f>$C165-SUM($D165:N165)</f>
        <v>0</v>
      </c>
      <c r="P165" s="2349">
        <f>$C165-SUM($D165:O165)</f>
        <v>0</v>
      </c>
    </row>
    <row r="166" spans="1:16">
      <c r="A166" s="2370" t="s">
        <v>173</v>
      </c>
      <c r="B166" s="2371"/>
      <c r="C166" s="2333">
        <f>审定现流表!D67</f>
        <v>0</v>
      </c>
      <c r="D166" s="2331"/>
      <c r="E166" s="2336">
        <f>$C166-SUM($D166:D166)</f>
        <v>0</v>
      </c>
      <c r="F166" s="2336">
        <f>$C166-SUM($D166:E166)</f>
        <v>0</v>
      </c>
      <c r="G166" s="2336">
        <f>$C166-SUM($D166:F166)</f>
        <v>0</v>
      </c>
      <c r="H166" s="2336">
        <f>$C166-SUM($D166:G166)</f>
        <v>0</v>
      </c>
      <c r="I166" s="2336">
        <f>$C166-SUM($D166:H166)</f>
        <v>0</v>
      </c>
      <c r="J166" s="2336">
        <f>$C166-SUM($D166:I166)</f>
        <v>0</v>
      </c>
      <c r="K166" s="2336">
        <f>$C166-SUM($D166:J166)</f>
        <v>0</v>
      </c>
      <c r="L166" s="2336">
        <f>$C166-SUM($D166:K166)</f>
        <v>0</v>
      </c>
      <c r="M166" s="2336">
        <f>$C166-SUM($D166:L166)</f>
        <v>0</v>
      </c>
      <c r="N166" s="2336">
        <f>$C166-SUM($D166:M166)</f>
        <v>0</v>
      </c>
      <c r="O166" s="2336">
        <f>$C166-SUM($D166:N166)</f>
        <v>0</v>
      </c>
      <c r="P166" s="2349">
        <f>$C166-SUM($D166:O166)</f>
        <v>0</v>
      </c>
    </row>
    <row r="167" spans="1:16">
      <c r="A167" s="2370" t="s">
        <v>174</v>
      </c>
      <c r="B167" s="2371"/>
      <c r="C167" s="2333">
        <f>审定现流表!D68</f>
        <v>0</v>
      </c>
      <c r="D167" s="2331"/>
      <c r="E167" s="2336">
        <f>$C167-SUM($D167:D167)</f>
        <v>0</v>
      </c>
      <c r="F167" s="2336">
        <f>$C167-SUM($D167:E167)</f>
        <v>0</v>
      </c>
      <c r="G167" s="2336">
        <f>$C167-SUM($D167:F167)</f>
        <v>0</v>
      </c>
      <c r="H167" s="2336">
        <f>$C167-SUM($D167:G167)</f>
        <v>0</v>
      </c>
      <c r="I167" s="2336">
        <f>$C167-SUM($D167:H167)</f>
        <v>0</v>
      </c>
      <c r="J167" s="2336">
        <f>$C167-SUM($D167:I167)</f>
        <v>0</v>
      </c>
      <c r="K167" s="2336">
        <f>$C167-SUM($D167:J167)</f>
        <v>0</v>
      </c>
      <c r="L167" s="2336">
        <f>$C167-SUM($D167:K167)</f>
        <v>0</v>
      </c>
      <c r="M167" s="2336">
        <f>$C167-SUM($D167:L167)</f>
        <v>0</v>
      </c>
      <c r="N167" s="2336">
        <f>$C167-SUM($D167:M167)</f>
        <v>0</v>
      </c>
      <c r="O167" s="2336">
        <f>$C167-SUM($D167:N167)</f>
        <v>0</v>
      </c>
      <c r="P167" s="2349">
        <f>$C167-SUM($D167:O167)</f>
        <v>0</v>
      </c>
    </row>
    <row r="168" spans="1:16">
      <c r="A168" s="2370" t="s">
        <v>175</v>
      </c>
      <c r="B168" s="2371"/>
      <c r="C168" s="2333">
        <f>审定现流表!D69</f>
        <v>0</v>
      </c>
      <c r="D168" s="2331"/>
      <c r="E168" s="2336">
        <f>$C168-SUM($D168:D168)</f>
        <v>0</v>
      </c>
      <c r="F168" s="2336">
        <f>$C168-SUM($D168:E168)</f>
        <v>0</v>
      </c>
      <c r="G168" s="2336">
        <f>$C168-SUM($D168:F168)</f>
        <v>0</v>
      </c>
      <c r="H168" s="2336">
        <f>$C168-SUM($D168:G168)</f>
        <v>0</v>
      </c>
      <c r="I168" s="2336">
        <f>$C168-SUM($D168:H168)</f>
        <v>0</v>
      </c>
      <c r="J168" s="2336">
        <f>$C168-SUM($D168:I168)</f>
        <v>0</v>
      </c>
      <c r="K168" s="2336">
        <f>$C168-SUM($D168:J168)</f>
        <v>0</v>
      </c>
      <c r="L168" s="2336">
        <f>$C168-SUM($D168:K168)</f>
        <v>0</v>
      </c>
      <c r="M168" s="2336">
        <f>$C168-SUM($D168:L168)</f>
        <v>0</v>
      </c>
      <c r="N168" s="2336">
        <f>$C168-SUM($D168:M168)</f>
        <v>0</v>
      </c>
      <c r="O168" s="2336">
        <f>$C168-SUM($D168:N168)</f>
        <v>0</v>
      </c>
      <c r="P168" s="2349">
        <f>$C168-SUM($D168:O168)</f>
        <v>0</v>
      </c>
    </row>
    <row r="169" spans="1:16">
      <c r="A169" s="2370" t="s">
        <v>176</v>
      </c>
      <c r="B169" s="2371"/>
      <c r="C169" s="2333">
        <f>审定现流表!D70</f>
        <v>0</v>
      </c>
      <c r="D169" s="2331"/>
      <c r="E169" s="2336">
        <f>$C169-SUM($D169:D169)</f>
        <v>0</v>
      </c>
      <c r="F169" s="2336">
        <f>$C169-SUM($D169:E169)</f>
        <v>0</v>
      </c>
      <c r="G169" s="2336">
        <f>$C169-SUM($D169:F169)</f>
        <v>0</v>
      </c>
      <c r="H169" s="2336">
        <f>$C169-SUM($D169:G169)</f>
        <v>0</v>
      </c>
      <c r="I169" s="2336">
        <f>$C169-SUM($D169:H169)</f>
        <v>0</v>
      </c>
      <c r="J169" s="2336">
        <f>$C169-SUM($D169:I169)</f>
        <v>0</v>
      </c>
      <c r="K169" s="2336">
        <f>$C169-SUM($D169:J169)</f>
        <v>0</v>
      </c>
      <c r="L169" s="2336">
        <f>$C169-SUM($D169:K169)</f>
        <v>0</v>
      </c>
      <c r="M169" s="2336">
        <f>$C169-SUM($D169:L169)</f>
        <v>0</v>
      </c>
      <c r="N169" s="2336">
        <f>$C169-SUM($D169:M169)</f>
        <v>0</v>
      </c>
      <c r="O169" s="2336">
        <f>$C169-SUM($D169:N169)</f>
        <v>0</v>
      </c>
      <c r="P169" s="2349">
        <f>$C169-SUM($D169:O169)</f>
        <v>0</v>
      </c>
    </row>
    <row r="170" spans="1:16">
      <c r="A170" s="2370" t="s">
        <v>177</v>
      </c>
      <c r="B170" s="2371"/>
      <c r="C170" s="2333">
        <f>审定现流表!D71</f>
        <v>0</v>
      </c>
      <c r="D170" s="2331"/>
      <c r="E170" s="2336">
        <f>$C170-SUM($D170:D170)</f>
        <v>0</v>
      </c>
      <c r="F170" s="2336">
        <f>$C170-SUM($D170:E170)</f>
        <v>0</v>
      </c>
      <c r="G170" s="2336">
        <f>$C170-SUM($D170:F170)</f>
        <v>0</v>
      </c>
      <c r="H170" s="2336">
        <f>$C170-SUM($D170:G170)</f>
        <v>0</v>
      </c>
      <c r="I170" s="2336">
        <f>$C170-SUM($D170:H170)</f>
        <v>0</v>
      </c>
      <c r="J170" s="2336">
        <f>$C170-SUM($D170:I170)</f>
        <v>0</v>
      </c>
      <c r="K170" s="2336">
        <f>$C170-SUM($D170:J170)</f>
        <v>0</v>
      </c>
      <c r="L170" s="2336">
        <f>$C170-SUM($D170:K170)</f>
        <v>0</v>
      </c>
      <c r="M170" s="2336">
        <f>$C170-SUM($D170:L170)</f>
        <v>0</v>
      </c>
      <c r="N170" s="2336">
        <f>$C170-SUM($D170:M170)</f>
        <v>0</v>
      </c>
      <c r="O170" s="2336">
        <f>$C170-SUM($D170:N170)</f>
        <v>0</v>
      </c>
      <c r="P170" s="2349">
        <f>$C170-SUM($D170:O170)</f>
        <v>0</v>
      </c>
    </row>
    <row r="171" spans="1:16">
      <c r="A171" s="2375" t="s">
        <v>178</v>
      </c>
      <c r="B171" s="2371"/>
      <c r="C171" s="2341">
        <f>ROUND(SUM(C155:C170),2)</f>
        <v>0</v>
      </c>
      <c r="D171" s="2342"/>
      <c r="E171" s="2342">
        <f t="shared" ref="E171:P171" si="29">ROUND(SUM(E155:E170),2)</f>
        <v>0</v>
      </c>
      <c r="F171" s="2342">
        <f t="shared" si="29"/>
        <v>0</v>
      </c>
      <c r="G171" s="2342">
        <f t="shared" si="29"/>
        <v>0</v>
      </c>
      <c r="H171" s="2342">
        <f t="shared" si="29"/>
        <v>0</v>
      </c>
      <c r="I171" s="2342">
        <f t="shared" si="29"/>
        <v>0</v>
      </c>
      <c r="J171" s="2342">
        <f t="shared" si="29"/>
        <v>0</v>
      </c>
      <c r="K171" s="2342">
        <f t="shared" si="29"/>
        <v>0</v>
      </c>
      <c r="L171" s="2342">
        <f t="shared" si="29"/>
        <v>0</v>
      </c>
      <c r="M171" s="2342">
        <f t="shared" si="29"/>
        <v>0</v>
      </c>
      <c r="N171" s="2342">
        <f t="shared" si="29"/>
        <v>0</v>
      </c>
      <c r="O171" s="2342">
        <f t="shared" si="29"/>
        <v>0</v>
      </c>
      <c r="P171" s="2467">
        <f t="shared" si="29"/>
        <v>0</v>
      </c>
    </row>
    <row r="172" spans="1:16">
      <c r="A172" s="2370"/>
      <c r="B172" s="2371"/>
      <c r="C172" s="2333"/>
      <c r="D172" s="2371"/>
      <c r="E172" s="2371"/>
      <c r="F172" s="2371"/>
      <c r="G172" s="2371"/>
      <c r="H172" s="2371"/>
      <c r="I172" s="2371"/>
      <c r="J172" s="2371"/>
      <c r="K172" s="2371"/>
      <c r="L172" s="2371"/>
      <c r="M172" s="2371"/>
      <c r="N172" s="2371"/>
      <c r="O172" s="2371"/>
      <c r="P172" s="2376"/>
    </row>
    <row r="173" spans="1:16">
      <c r="A173" s="2375" t="s">
        <v>179</v>
      </c>
      <c r="B173" s="2371"/>
      <c r="C173" s="2333"/>
      <c r="D173" s="2371"/>
      <c r="E173" s="2371"/>
      <c r="F173" s="2371"/>
      <c r="G173" s="2371"/>
      <c r="H173" s="2371"/>
      <c r="I173" s="2371"/>
      <c r="J173" s="2371"/>
      <c r="K173" s="2371"/>
      <c r="L173" s="2371"/>
      <c r="M173" s="2371"/>
      <c r="N173" s="2371"/>
      <c r="O173" s="2371"/>
      <c r="P173" s="2376"/>
    </row>
    <row r="174" spans="1:16">
      <c r="A174" s="2370" t="s">
        <v>180</v>
      </c>
      <c r="B174" s="2371"/>
      <c r="C174" s="2333">
        <f>审定现流表!D75</f>
        <v>0</v>
      </c>
      <c r="D174" s="2331"/>
      <c r="E174" s="2336">
        <f>$C174-SUM($D174:D174)</f>
        <v>0</v>
      </c>
      <c r="F174" s="2336">
        <f>$C174-SUM($D174:E174)</f>
        <v>0</v>
      </c>
      <c r="G174" s="2336">
        <f>$C174-SUM($D174:F174)</f>
        <v>0</v>
      </c>
      <c r="H174" s="2336">
        <f>$C174-SUM($D174:G174)</f>
        <v>0</v>
      </c>
      <c r="I174" s="2336">
        <f>$C174-SUM($D174:H174)</f>
        <v>0</v>
      </c>
      <c r="J174" s="2336">
        <f>$C174-SUM($D174:I174)</f>
        <v>0</v>
      </c>
      <c r="K174" s="2336">
        <f>$C174-SUM($D174:J174)</f>
        <v>0</v>
      </c>
      <c r="L174" s="2336">
        <f>$C174-SUM($D174:K174)</f>
        <v>0</v>
      </c>
      <c r="M174" s="2336">
        <f>$C174-SUM($D174:L174)</f>
        <v>0</v>
      </c>
      <c r="N174" s="2336">
        <f>$C174-SUM($D174:M174)</f>
        <v>0</v>
      </c>
      <c r="O174" s="2336">
        <f>$C174-SUM($D174:N174)</f>
        <v>0</v>
      </c>
      <c r="P174" s="2349">
        <f>$C174-SUM($D174:O174)</f>
        <v>0</v>
      </c>
    </row>
    <row r="175" spans="1:16">
      <c r="A175" s="2370" t="s">
        <v>181</v>
      </c>
      <c r="B175" s="2371"/>
      <c r="C175" s="2333">
        <f>审定现流表!D76</f>
        <v>0</v>
      </c>
      <c r="D175" s="2331"/>
      <c r="E175" s="2336">
        <f>$C175-SUM($D175:D175)</f>
        <v>0</v>
      </c>
      <c r="F175" s="2336">
        <f>$C175-SUM($D175:E175)</f>
        <v>0</v>
      </c>
      <c r="G175" s="2336">
        <f>$C175-SUM($D175:F175)</f>
        <v>0</v>
      </c>
      <c r="H175" s="2336">
        <f>$C175-SUM($D175:G175)</f>
        <v>0</v>
      </c>
      <c r="I175" s="2336">
        <f>$C175-SUM($D175:H175)</f>
        <v>0</v>
      </c>
      <c r="J175" s="2336">
        <f>$C175-SUM($D175:I175)</f>
        <v>0</v>
      </c>
      <c r="K175" s="2336">
        <f>$C175-SUM($D175:J175)</f>
        <v>0</v>
      </c>
      <c r="L175" s="2336">
        <f>$C175-SUM($D175:K175)</f>
        <v>0</v>
      </c>
      <c r="M175" s="2336">
        <f>$C175-SUM($D175:L175)</f>
        <v>0</v>
      </c>
      <c r="N175" s="2336">
        <f>$C175-SUM($D175:M175)</f>
        <v>0</v>
      </c>
      <c r="O175" s="2336">
        <f>$C175-SUM($D175:N175)</f>
        <v>0</v>
      </c>
      <c r="P175" s="2349">
        <f>$C175-SUM($D175:O175)</f>
        <v>0</v>
      </c>
    </row>
    <row r="176" spans="1:16">
      <c r="A176" s="2370" t="s">
        <v>182</v>
      </c>
      <c r="B176" s="2371"/>
      <c r="C176" s="2333">
        <f>审定现流表!D77</f>
        <v>0</v>
      </c>
      <c r="D176" s="2331"/>
      <c r="E176" s="2336">
        <f>$C176-SUM($D176:D176)</f>
        <v>0</v>
      </c>
      <c r="F176" s="2336">
        <f>$C176-SUM($D176:E176)</f>
        <v>0</v>
      </c>
      <c r="G176" s="2336">
        <f>$C176-SUM($D176:F176)</f>
        <v>0</v>
      </c>
      <c r="H176" s="2336">
        <f>$C176-SUM($D176:G176)</f>
        <v>0</v>
      </c>
      <c r="I176" s="2336">
        <f>$C176-SUM($D176:H176)</f>
        <v>0</v>
      </c>
      <c r="J176" s="2336">
        <f>$C176-SUM($D176:I176)</f>
        <v>0</v>
      </c>
      <c r="K176" s="2336">
        <f>$C176-SUM($D176:J176)</f>
        <v>0</v>
      </c>
      <c r="L176" s="2336">
        <f>$C176-SUM($D176:K176)</f>
        <v>0</v>
      </c>
      <c r="M176" s="2336">
        <f>$C176-SUM($D176:L176)</f>
        <v>0</v>
      </c>
      <c r="N176" s="2336">
        <f>$C176-SUM($D176:M176)</f>
        <v>0</v>
      </c>
      <c r="O176" s="2336">
        <f>$C176-SUM($D176:N176)</f>
        <v>0</v>
      </c>
      <c r="P176" s="2349">
        <f>$C176-SUM($D176:O176)</f>
        <v>0</v>
      </c>
    </row>
    <row r="177" spans="1:16">
      <c r="A177" s="2370"/>
      <c r="B177" s="2371"/>
      <c r="C177" s="2333"/>
      <c r="D177" s="2371"/>
      <c r="E177" s="2371"/>
      <c r="F177" s="2371"/>
      <c r="G177" s="2371"/>
      <c r="H177" s="2371"/>
      <c r="I177" s="2371"/>
      <c r="J177" s="2371"/>
      <c r="K177" s="2371"/>
      <c r="L177" s="2371"/>
      <c r="M177" s="2371"/>
      <c r="N177" s="2371"/>
      <c r="O177" s="2371"/>
      <c r="P177" s="2376"/>
    </row>
    <row r="178" spans="1:16">
      <c r="A178" s="2375" t="s">
        <v>183</v>
      </c>
      <c r="B178" s="2371"/>
      <c r="C178" s="2333"/>
      <c r="D178" s="2371"/>
      <c r="E178" s="2371"/>
      <c r="F178" s="2371"/>
      <c r="G178" s="2371"/>
      <c r="H178" s="2371"/>
      <c r="I178" s="2371"/>
      <c r="J178" s="2371"/>
      <c r="K178" s="2371"/>
      <c r="L178" s="2371"/>
      <c r="M178" s="2371"/>
      <c r="N178" s="2371"/>
      <c r="O178" s="2371"/>
      <c r="P178" s="2376"/>
    </row>
    <row r="179" spans="1:16">
      <c r="A179" s="2370" t="s">
        <v>184</v>
      </c>
      <c r="B179" s="2371"/>
      <c r="C179" s="2333">
        <f>审定现流表!D80</f>
        <v>0</v>
      </c>
      <c r="D179" s="2331"/>
      <c r="E179" s="2331"/>
      <c r="F179" s="2331"/>
      <c r="G179" s="2331"/>
      <c r="H179" s="2331"/>
      <c r="I179" s="2331"/>
      <c r="J179" s="2331"/>
      <c r="K179" s="2331"/>
      <c r="L179" s="2331"/>
      <c r="M179" s="2331"/>
      <c r="N179" s="2331"/>
      <c r="O179" s="2331"/>
      <c r="P179" s="2332"/>
    </row>
    <row r="180" spans="1:16">
      <c r="A180" s="2370" t="s">
        <v>185</v>
      </c>
      <c r="B180" s="2371"/>
      <c r="C180" s="2333">
        <f>审定现流表!D81</f>
        <v>0</v>
      </c>
      <c r="D180" s="2331"/>
      <c r="E180" s="2331"/>
      <c r="F180" s="2331"/>
      <c r="G180" s="2331"/>
      <c r="H180" s="2331"/>
      <c r="I180" s="2331"/>
      <c r="J180" s="2331"/>
      <c r="K180" s="2331"/>
      <c r="L180" s="2331"/>
      <c r="M180" s="2331"/>
      <c r="N180" s="2331"/>
      <c r="O180" s="2331"/>
      <c r="P180" s="2332"/>
    </row>
    <row r="181" spans="1:16">
      <c r="A181" s="2370" t="s">
        <v>186</v>
      </c>
      <c r="B181" s="2371"/>
      <c r="C181" s="2333">
        <f>审定现流表!D82</f>
        <v>0</v>
      </c>
      <c r="D181" s="2331"/>
      <c r="E181" s="2336">
        <f>$C181-SUM($D181:D181)</f>
        <v>0</v>
      </c>
      <c r="F181" s="2336">
        <f>$C181-SUM($D181:E181)</f>
        <v>0</v>
      </c>
      <c r="G181" s="2336">
        <f>$C181-SUM($D181:F181)</f>
        <v>0</v>
      </c>
      <c r="H181" s="2336">
        <f>$C181-SUM($D181:G181)</f>
        <v>0</v>
      </c>
      <c r="I181" s="2336">
        <f>$C181-SUM($D181:H181)</f>
        <v>0</v>
      </c>
      <c r="J181" s="2336">
        <f>$C181-SUM($D181:I181)</f>
        <v>0</v>
      </c>
      <c r="K181" s="2336">
        <f>$C181-SUM($D181:J181)</f>
        <v>0</v>
      </c>
      <c r="L181" s="2336">
        <f>$C181-SUM($D181:K181)</f>
        <v>0</v>
      </c>
      <c r="M181" s="2336">
        <f>$C181-SUM($D181:L181)</f>
        <v>0</v>
      </c>
      <c r="N181" s="2336">
        <f>$C181-SUM($D181:M181)</f>
        <v>0</v>
      </c>
      <c r="O181" s="2336">
        <f>$C181-SUM($D181:N181)</f>
        <v>0</v>
      </c>
      <c r="P181" s="2349">
        <f>$C181-SUM($D181:O181)</f>
        <v>0</v>
      </c>
    </row>
    <row r="182" spans="1:16">
      <c r="A182" s="2370" t="s">
        <v>187</v>
      </c>
      <c r="B182" s="2371"/>
      <c r="C182" s="2333">
        <f>审定现流表!D83</f>
        <v>0</v>
      </c>
      <c r="D182" s="2331"/>
      <c r="E182" s="2336">
        <f>$C182-SUM($D182:D182)</f>
        <v>0</v>
      </c>
      <c r="F182" s="2336">
        <f>$C182-SUM($D182:E182)</f>
        <v>0</v>
      </c>
      <c r="G182" s="2336">
        <f>$C182-SUM($D182:F182)</f>
        <v>0</v>
      </c>
      <c r="H182" s="2336">
        <f>$C182-SUM($D182:G182)</f>
        <v>0</v>
      </c>
      <c r="I182" s="2336">
        <f>$C182-SUM($D182:H182)</f>
        <v>0</v>
      </c>
      <c r="J182" s="2336">
        <f>$C182-SUM($D182:I182)</f>
        <v>0</v>
      </c>
      <c r="K182" s="2336">
        <f>$C182-SUM($D182:J182)</f>
        <v>0</v>
      </c>
      <c r="L182" s="2336">
        <f>$C182-SUM($D182:K182)</f>
        <v>0</v>
      </c>
      <c r="M182" s="2336">
        <f>$C182-SUM($D182:L182)</f>
        <v>0</v>
      </c>
      <c r="N182" s="2336">
        <f>$C182-SUM($D182:M182)</f>
        <v>0</v>
      </c>
      <c r="O182" s="2336">
        <f>$C182-SUM($D182:N182)</f>
        <v>0</v>
      </c>
      <c r="P182" s="2349">
        <f>$C182-SUM($D182:O182)</f>
        <v>0</v>
      </c>
    </row>
    <row r="183" ht="15" spans="1:16">
      <c r="A183" s="2379" t="s">
        <v>188</v>
      </c>
      <c r="B183" s="2380"/>
      <c r="C183" s="2464">
        <f>ROUND(C179-C180+C181-C182,2)</f>
        <v>0</v>
      </c>
      <c r="D183" s="2353"/>
      <c r="E183" s="2353">
        <f t="shared" ref="E183:P183" si="30">ROUND(E179-E180+E181-E182,2)</f>
        <v>0</v>
      </c>
      <c r="F183" s="2353">
        <f t="shared" si="30"/>
        <v>0</v>
      </c>
      <c r="G183" s="2353">
        <f t="shared" si="30"/>
        <v>0</v>
      </c>
      <c r="H183" s="2353">
        <f t="shared" si="30"/>
        <v>0</v>
      </c>
      <c r="I183" s="2353">
        <f t="shared" si="30"/>
        <v>0</v>
      </c>
      <c r="J183" s="2353">
        <f t="shared" si="30"/>
        <v>0</v>
      </c>
      <c r="K183" s="2353">
        <f t="shared" si="30"/>
        <v>0</v>
      </c>
      <c r="L183" s="2353">
        <f t="shared" si="30"/>
        <v>0</v>
      </c>
      <c r="M183" s="2353">
        <f t="shared" si="30"/>
        <v>0</v>
      </c>
      <c r="N183" s="2353">
        <f t="shared" si="30"/>
        <v>0</v>
      </c>
      <c r="O183" s="2353">
        <f t="shared" si="30"/>
        <v>0</v>
      </c>
      <c r="P183" s="2468">
        <f t="shared" si="30"/>
        <v>0</v>
      </c>
    </row>
    <row r="184" ht="15"/>
  </sheetData>
  <sheetProtection formatCells="0" formatColumns="0" formatRows="0" insertRows="0" insertHyperlinks="0" sort="0" autoFilter="0" pivotTables="0"/>
  <autoFilter ref="A5:P183">
    <extLst/>
  </autoFilter>
  <mergeCells count="6">
    <mergeCell ref="A53:A54"/>
    <mergeCell ref="A103:A104"/>
    <mergeCell ref="A152:A153"/>
    <mergeCell ref="B53:B54"/>
    <mergeCell ref="B103:B104"/>
    <mergeCell ref="B152:B153"/>
  </mergeCells>
  <conditionalFormatting sqref="A2 A101 A51">
    <cfRule type="cellIs" dxfId="1" priority="2" stopIfTrue="1" operator="notEqual">
      <formula>""</formula>
    </cfRule>
  </conditionalFormatting>
  <conditionalFormatting sqref="C2:P2 C101:P101 C150:P150 C51:P51">
    <cfRule type="cellIs" dxfId="1" priority="1" stopIfTrue="1" operator="notEqual">
      <formula>0</formula>
    </cfRule>
  </conditionalFormatting>
  <hyperlinks>
    <hyperlink ref="B23" location="报表附注!E3146" display="六十七"/>
    <hyperlink ref="B28" location="报表附注!E3158" display="六十七"/>
    <hyperlink ref="B14" location="报表附注!E3119" display="六十六"/>
    <hyperlink ref="B37" location="报表附注!E3182" display="六十八"/>
    <hyperlink ref="B42" location="报表附注!E3191" display="六十八"/>
    <hyperlink ref="B9" location="报表附注!E3146" display="六十六"/>
  </hyperlinks>
  <pageMargins left="0.7" right="0.7" top="0.75" bottom="0.75" header="0.3" footer="0.3"/>
  <headerFooter/>
  <ignoredErrors>
    <ignoredError sqref="P7" unlockedFormula="1"/>
  </ignoredErrors>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9"/>
  <sheetViews>
    <sheetView showGridLines="0" showZeros="0" topLeftCell="A13" workbookViewId="0">
      <selection activeCell="G25" sqref="G25"/>
    </sheetView>
  </sheetViews>
  <sheetFormatPr defaultColWidth="9" defaultRowHeight="12.75"/>
  <cols>
    <col min="1" max="1" width="36.875" style="2012" customWidth="1"/>
    <col min="2" max="2" width="5.375" style="2010" customWidth="1"/>
    <col min="3" max="4" width="12.125" style="2013" customWidth="1"/>
    <col min="5" max="5" width="36.875" style="2012" customWidth="1"/>
    <col min="6" max="6" width="5.375" style="2010" customWidth="1"/>
    <col min="7" max="8" width="13.5" style="2013" customWidth="1"/>
    <col min="9" max="16384" width="9" style="2012"/>
  </cols>
  <sheetData>
    <row r="1" ht="27.75" customHeight="1" spans="1:8">
      <c r="A1" s="1777" t="s">
        <v>189</v>
      </c>
      <c r="B1" s="1878"/>
      <c r="C1" s="1878"/>
      <c r="D1" s="1878"/>
      <c r="E1" s="1878"/>
      <c r="F1" s="1878"/>
      <c r="G1" s="1878"/>
      <c r="H1" s="1878"/>
    </row>
    <row r="2" ht="15" customHeight="1" spans="1:10">
      <c r="A2" s="1879" t="str">
        <f>IF(OR(C2&lt;&gt;0,D2&lt;&gt;0),"对应期间报表数不平，相差：","")</f>
        <v/>
      </c>
      <c r="B2" s="1879"/>
      <c r="C2" s="1779">
        <f>ROUND(C48-G48,2)</f>
        <v>0</v>
      </c>
      <c r="D2" s="1779">
        <f>ROUND(D48-H48,2)</f>
        <v>0</v>
      </c>
      <c r="E2" s="1782"/>
      <c r="F2" s="1810"/>
      <c r="G2" s="1880"/>
      <c r="H2" s="1881" t="s">
        <v>190</v>
      </c>
      <c r="J2" s="2030"/>
    </row>
    <row r="3" ht="15" customHeight="1" spans="1:10">
      <c r="A3" s="1882" t="str">
        <f>"编制单位："&amp;参数表!C3</f>
        <v>编制单位：石嘴山市深阳蓝光市政工程有限公司</v>
      </c>
      <c r="B3" s="1882"/>
      <c r="C3" s="1882"/>
      <c r="D3" s="1882"/>
      <c r="E3" s="2454">
        <f>参数表!G7</f>
        <v>42735</v>
      </c>
      <c r="F3" s="1810"/>
      <c r="G3" s="1880"/>
      <c r="H3" s="1884" t="str">
        <f>"金额单位："&amp;参数表!F11</f>
        <v>金额单位：人民币元</v>
      </c>
      <c r="J3" s="2030"/>
    </row>
    <row r="4" s="2009" customFormat="1" ht="16.5" customHeight="1" spans="1:10">
      <c r="A4" s="1885" t="s">
        <v>191</v>
      </c>
      <c r="B4" s="1886" t="s">
        <v>61</v>
      </c>
      <c r="C4" s="1887" t="str">
        <f>IF(参数表!$C$12="本期间为特定年","年末余额","期末余额")</f>
        <v>年末余额</v>
      </c>
      <c r="D4" s="1887" t="str">
        <f>IF(参数表!$C$12="本期间为特定年","年初余额","期初余额")</f>
        <v>年初余额</v>
      </c>
      <c r="E4" s="1886" t="s">
        <v>192</v>
      </c>
      <c r="F4" s="1886" t="s">
        <v>61</v>
      </c>
      <c r="G4" s="1887" t="str">
        <f>C4</f>
        <v>年末余额</v>
      </c>
      <c r="H4" s="1888" t="str">
        <f>D4</f>
        <v>年初余额</v>
      </c>
      <c r="J4" s="2030"/>
    </row>
    <row r="5" s="2009" customFormat="1" ht="16.5" customHeight="1" spans="1:10">
      <c r="A5" s="1889"/>
      <c r="B5" s="1890"/>
      <c r="C5" s="1891"/>
      <c r="D5" s="1891"/>
      <c r="E5" s="1890"/>
      <c r="F5" s="1890"/>
      <c r="G5" s="1891"/>
      <c r="H5" s="1892"/>
      <c r="J5" s="2030"/>
    </row>
    <row r="6" s="2010" customFormat="1" ht="16.5" customHeight="1" spans="1:10">
      <c r="A6" s="1893" t="s">
        <v>193</v>
      </c>
      <c r="B6" s="2059"/>
      <c r="C6" s="1895"/>
      <c r="D6" s="1896"/>
      <c r="E6" s="1897" t="s">
        <v>194</v>
      </c>
      <c r="F6" s="2063"/>
      <c r="G6" s="2022"/>
      <c r="H6" s="2033"/>
      <c r="J6" s="2034"/>
    </row>
    <row r="7" s="2010" customFormat="1" ht="16.5" customHeight="1" spans="1:8">
      <c r="A7" s="1900" t="s">
        <v>195</v>
      </c>
      <c r="B7" s="2455"/>
      <c r="C7" s="2456"/>
      <c r="D7" s="2456"/>
      <c r="E7" s="1902" t="s">
        <v>196</v>
      </c>
      <c r="F7" s="2457"/>
      <c r="G7" s="2456"/>
      <c r="H7" s="2458"/>
    </row>
    <row r="8" s="2010" customFormat="1" ht="16.5" customHeight="1" spans="1:8">
      <c r="A8" s="1900" t="s">
        <v>197</v>
      </c>
      <c r="B8" s="2455"/>
      <c r="C8" s="2456"/>
      <c r="D8" s="2456"/>
      <c r="E8" s="1902" t="s">
        <v>198</v>
      </c>
      <c r="F8" s="2457"/>
      <c r="G8" s="2456"/>
      <c r="H8" s="2458"/>
    </row>
    <row r="9" s="2010" customFormat="1" ht="16.5" customHeight="1" spans="1:8">
      <c r="A9" s="1900" t="s">
        <v>199</v>
      </c>
      <c r="B9" s="2455"/>
      <c r="C9" s="2456"/>
      <c r="D9" s="2456"/>
      <c r="E9" s="1902" t="s">
        <v>200</v>
      </c>
      <c r="F9" s="2457"/>
      <c r="G9" s="2456"/>
      <c r="H9" s="2458"/>
    </row>
    <row r="10" s="2010" customFormat="1" ht="16.5" customHeight="1" spans="1:8">
      <c r="A10" s="1900" t="s">
        <v>201</v>
      </c>
      <c r="B10" s="2455"/>
      <c r="C10" s="2456"/>
      <c r="D10" s="2456"/>
      <c r="E10" s="1902" t="s">
        <v>202</v>
      </c>
      <c r="F10" s="2457"/>
      <c r="G10" s="2456"/>
      <c r="H10" s="2458"/>
    </row>
    <row r="11" s="2010" customFormat="1" ht="16.5" customHeight="1" spans="1:8">
      <c r="A11" s="1900" t="s">
        <v>203</v>
      </c>
      <c r="B11" s="2455"/>
      <c r="C11" s="2456"/>
      <c r="D11" s="2456"/>
      <c r="E11" s="1902" t="s">
        <v>204</v>
      </c>
      <c r="F11" s="2457"/>
      <c r="G11" s="2456"/>
      <c r="H11" s="2456"/>
    </row>
    <row r="12" s="2010" customFormat="1" ht="16.5" customHeight="1" spans="1:8">
      <c r="A12" s="1900" t="s">
        <v>205</v>
      </c>
      <c r="B12" s="2455"/>
      <c r="C12" s="2456"/>
      <c r="D12" s="2456"/>
      <c r="E12" s="1902" t="s">
        <v>206</v>
      </c>
      <c r="F12" s="2457"/>
      <c r="G12" s="2456"/>
      <c r="H12" s="2456"/>
    </row>
    <row r="13" s="2010" customFormat="1" ht="16.5" customHeight="1" spans="1:8">
      <c r="A13" s="1900" t="s">
        <v>207</v>
      </c>
      <c r="B13" s="2455"/>
      <c r="C13" s="2456"/>
      <c r="D13" s="2456"/>
      <c r="E13" s="1902" t="s">
        <v>208</v>
      </c>
      <c r="F13" s="2457"/>
      <c r="G13" s="2458"/>
      <c r="H13" s="2458"/>
    </row>
    <row r="14" s="2010" customFormat="1" ht="16.5" customHeight="1" spans="1:8">
      <c r="A14" s="1900" t="s">
        <v>209</v>
      </c>
      <c r="B14" s="2455"/>
      <c r="C14" s="2456"/>
      <c r="D14" s="2456"/>
      <c r="E14" s="1902" t="s">
        <v>210</v>
      </c>
      <c r="F14" s="2457"/>
      <c r="G14" s="2456"/>
      <c r="H14" s="2456"/>
    </row>
    <row r="15" s="2010" customFormat="1" ht="16.5" customHeight="1" spans="1:8">
      <c r="A15" s="1900" t="s">
        <v>211</v>
      </c>
      <c r="B15" s="2455"/>
      <c r="C15" s="2456">
        <v>60811434.3</v>
      </c>
      <c r="D15" s="2456"/>
      <c r="E15" s="1902" t="s">
        <v>212</v>
      </c>
      <c r="F15" s="2457"/>
      <c r="G15" s="2456"/>
      <c r="H15" s="2456"/>
    </row>
    <row r="16" s="2010" customFormat="1" ht="16.5" customHeight="1" spans="1:8">
      <c r="A16" s="1900" t="s">
        <v>213</v>
      </c>
      <c r="B16" s="2455"/>
      <c r="C16" s="2456"/>
      <c r="D16" s="2456"/>
      <c r="E16" s="1902" t="s">
        <v>214</v>
      </c>
      <c r="F16" s="2457"/>
      <c r="G16" s="2456"/>
      <c r="H16" s="2456"/>
    </row>
    <row r="17" s="2010" customFormat="1" ht="16.5" customHeight="1" spans="1:8">
      <c r="A17" s="1900" t="s">
        <v>215</v>
      </c>
      <c r="B17" s="2455"/>
      <c r="C17" s="2456"/>
      <c r="D17" s="2456"/>
      <c r="E17" s="1902" t="s">
        <v>216</v>
      </c>
      <c r="F17" s="2457"/>
      <c r="G17" s="2456">
        <v>6935621.62</v>
      </c>
      <c r="H17" s="2456"/>
    </row>
    <row r="18" s="2010" customFormat="1" ht="16.5" customHeight="1" spans="1:8">
      <c r="A18" s="1900" t="s">
        <v>217</v>
      </c>
      <c r="B18" s="2455"/>
      <c r="C18" s="2456"/>
      <c r="D18" s="2456"/>
      <c r="E18" s="1902" t="s">
        <v>218</v>
      </c>
      <c r="F18" s="2457"/>
      <c r="G18" s="2456"/>
      <c r="H18" s="2458"/>
    </row>
    <row r="19" s="2010" customFormat="1" ht="16.5" customHeight="1" spans="1:8">
      <c r="A19" s="1905" t="s">
        <v>219</v>
      </c>
      <c r="B19" s="1906"/>
      <c r="C19" s="2023">
        <f>ROUND(SUM(C7:C18),2)</f>
        <v>60811434.3</v>
      </c>
      <c r="D19" s="2023">
        <f>ROUND(SUM(D7:D18),2)</f>
        <v>0</v>
      </c>
      <c r="E19" s="1902" t="s">
        <v>220</v>
      </c>
      <c r="F19" s="2457"/>
      <c r="G19" s="2456"/>
      <c r="H19" s="2458"/>
    </row>
    <row r="20" s="2010" customFormat="1" ht="16.5" customHeight="1" spans="1:8">
      <c r="A20" s="1907"/>
      <c r="B20" s="2060"/>
      <c r="C20" s="1896"/>
      <c r="D20" s="1896"/>
      <c r="E20" s="1909" t="s">
        <v>221</v>
      </c>
      <c r="F20" s="1906"/>
      <c r="G20" s="2023">
        <f>ROUND(SUM(G7:G19),2)</f>
        <v>6935621.62</v>
      </c>
      <c r="H20" s="2036">
        <f>ROUND(SUM(H7:H19),2)</f>
        <v>0</v>
      </c>
    </row>
    <row r="21" s="2010" customFormat="1" ht="16.5" customHeight="1" spans="1:8">
      <c r="A21" s="1893" t="s">
        <v>222</v>
      </c>
      <c r="B21" s="2059"/>
      <c r="C21" s="1896"/>
      <c r="D21" s="1896"/>
      <c r="E21" s="1912"/>
      <c r="F21" s="2064"/>
      <c r="G21" s="1913"/>
      <c r="H21" s="1903"/>
    </row>
    <row r="22" s="2010" customFormat="1" ht="16.5" customHeight="1" spans="1:8">
      <c r="A22" s="1900" t="s">
        <v>223</v>
      </c>
      <c r="B22" s="2455"/>
      <c r="C22" s="2456"/>
      <c r="D22" s="2456"/>
      <c r="E22" s="1897" t="s">
        <v>224</v>
      </c>
      <c r="F22" s="2064"/>
      <c r="G22" s="1914"/>
      <c r="H22" s="1903"/>
    </row>
    <row r="23" s="2010" customFormat="1" ht="16.5" customHeight="1" spans="1:8">
      <c r="A23" s="1900" t="s">
        <v>225</v>
      </c>
      <c r="B23" s="2455"/>
      <c r="C23" s="2456"/>
      <c r="D23" s="2456"/>
      <c r="E23" s="1902" t="s">
        <v>226</v>
      </c>
      <c r="F23" s="2457"/>
      <c r="G23" s="2456"/>
      <c r="H23" s="2458"/>
    </row>
    <row r="24" s="2010" customFormat="1" ht="16.5" customHeight="1" spans="1:8">
      <c r="A24" s="1900" t="s">
        <v>227</v>
      </c>
      <c r="B24" s="2455"/>
      <c r="C24" s="2456"/>
      <c r="D24" s="2456"/>
      <c r="E24" s="1902" t="s">
        <v>228</v>
      </c>
      <c r="F24" s="2457"/>
      <c r="G24" s="2456"/>
      <c r="H24" s="2458"/>
    </row>
    <row r="25" s="2010" customFormat="1" ht="16.5" customHeight="1" spans="1:8">
      <c r="A25" s="1900" t="s">
        <v>229</v>
      </c>
      <c r="B25" s="2455"/>
      <c r="C25" s="2456"/>
      <c r="D25" s="2456"/>
      <c r="E25" s="1902" t="s">
        <v>230</v>
      </c>
      <c r="F25" s="2457"/>
      <c r="G25" s="2456">
        <v>53875812.68</v>
      </c>
      <c r="H25" s="2459"/>
    </row>
    <row r="26" s="2010" customFormat="1" ht="16.5" customHeight="1" spans="1:8">
      <c r="A26" s="1900" t="s">
        <v>231</v>
      </c>
      <c r="B26" s="2455"/>
      <c r="C26" s="2456"/>
      <c r="D26" s="2456"/>
      <c r="E26" s="1902" t="s">
        <v>232</v>
      </c>
      <c r="F26" s="2457"/>
      <c r="G26" s="2456"/>
      <c r="H26" s="2458"/>
    </row>
    <row r="27" s="2010" customFormat="1" ht="16.5" customHeight="1" spans="1:8">
      <c r="A27" s="1900" t="s">
        <v>233</v>
      </c>
      <c r="B27" s="2455"/>
      <c r="C27" s="2456"/>
      <c r="D27" s="2456"/>
      <c r="E27" s="1902" t="s">
        <v>234</v>
      </c>
      <c r="F27" s="2457"/>
      <c r="G27" s="2456"/>
      <c r="H27" s="2458"/>
    </row>
    <row r="28" s="2010" customFormat="1" ht="16.5" customHeight="1" spans="1:8">
      <c r="A28" s="1900" t="s">
        <v>235</v>
      </c>
      <c r="B28" s="2455"/>
      <c r="C28" s="2456"/>
      <c r="D28" s="2456"/>
      <c r="E28" s="1902" t="s">
        <v>236</v>
      </c>
      <c r="F28" s="2457"/>
      <c r="G28" s="2456"/>
      <c r="H28" s="2458"/>
    </row>
    <row r="29" s="2010" customFormat="1" ht="16.5" customHeight="1" spans="1:8">
      <c r="A29" s="1900" t="s">
        <v>237</v>
      </c>
      <c r="B29" s="2455"/>
      <c r="C29" s="2456"/>
      <c r="D29" s="2456"/>
      <c r="E29" s="1902" t="s">
        <v>238</v>
      </c>
      <c r="F29" s="2457"/>
      <c r="G29" s="2456"/>
      <c r="H29" s="2458"/>
    </row>
    <row r="30" s="2010" customFormat="1" ht="16.5" customHeight="1" spans="1:8">
      <c r="A30" s="1900" t="s">
        <v>239</v>
      </c>
      <c r="B30" s="2455"/>
      <c r="C30" s="2456"/>
      <c r="D30" s="2456"/>
      <c r="E30" s="2460" t="s">
        <v>240</v>
      </c>
      <c r="F30" s="2457"/>
      <c r="G30" s="2456"/>
      <c r="H30" s="2458"/>
    </row>
    <row r="31" s="2010" customFormat="1" ht="16.5" customHeight="1" spans="1:8">
      <c r="A31" s="1900" t="s">
        <v>241</v>
      </c>
      <c r="B31" s="2455"/>
      <c r="C31" s="2456"/>
      <c r="D31" s="2456"/>
      <c r="E31" s="1915" t="s">
        <v>242</v>
      </c>
      <c r="F31" s="2064"/>
      <c r="G31" s="2023">
        <f>ROUND(SUM(G23:G30),2)</f>
        <v>53875812.68</v>
      </c>
      <c r="H31" s="2036">
        <f>ROUND(SUM(H23:H30),2)</f>
        <v>0</v>
      </c>
    </row>
    <row r="32" s="2010" customFormat="1" ht="16.5" customHeight="1" spans="1:8">
      <c r="A32" s="1900" t="s">
        <v>243</v>
      </c>
      <c r="B32" s="2455"/>
      <c r="C32" s="2456"/>
      <c r="D32" s="2456"/>
      <c r="E32" s="1912"/>
      <c r="F32" s="2064"/>
      <c r="G32" s="1913"/>
      <c r="H32" s="1903"/>
    </row>
    <row r="33" s="2010" customFormat="1" ht="16.5" customHeight="1" spans="1:8">
      <c r="A33" s="1900" t="s">
        <v>244</v>
      </c>
      <c r="B33" s="2455"/>
      <c r="C33" s="2456"/>
      <c r="D33" s="2456"/>
      <c r="E33" s="1915" t="s">
        <v>245</v>
      </c>
      <c r="F33" s="2064"/>
      <c r="G33" s="2023">
        <f>ROUND(G20+G31,2)</f>
        <v>60811434.3</v>
      </c>
      <c r="H33" s="2036">
        <f>ROUND(H20+H31,2)</f>
        <v>0</v>
      </c>
    </row>
    <row r="34" s="2010" customFormat="1" ht="16.5" customHeight="1" spans="1:8">
      <c r="A34" s="1900" t="s">
        <v>246</v>
      </c>
      <c r="B34" s="2455"/>
      <c r="C34" s="2456"/>
      <c r="D34" s="2456"/>
      <c r="E34" s="1912"/>
      <c r="F34" s="2064"/>
      <c r="G34" s="1896"/>
      <c r="H34" s="1903"/>
    </row>
    <row r="35" s="2010" customFormat="1" ht="16.5" customHeight="1" spans="1:8">
      <c r="A35" s="1900" t="s">
        <v>247</v>
      </c>
      <c r="B35" s="2455"/>
      <c r="C35" s="2456"/>
      <c r="D35" s="2456"/>
      <c r="E35" s="1916" t="s">
        <v>248</v>
      </c>
      <c r="F35" s="2064"/>
      <c r="G35" s="1896"/>
      <c r="H35" s="1903"/>
    </row>
    <row r="36" s="2010" customFormat="1" ht="16.5" customHeight="1" spans="1:8">
      <c r="A36" s="1900" t="s">
        <v>249</v>
      </c>
      <c r="B36" s="2455"/>
      <c r="C36" s="2456"/>
      <c r="D36" s="2456"/>
      <c r="E36" s="1902" t="s">
        <v>250</v>
      </c>
      <c r="F36" s="2457"/>
      <c r="G36" s="2456"/>
      <c r="H36" s="2456"/>
    </row>
    <row r="37" s="2010" customFormat="1" ht="16.5" customHeight="1" spans="1:8">
      <c r="A37" s="1900" t="s">
        <v>251</v>
      </c>
      <c r="B37" s="2455"/>
      <c r="C37" s="2456"/>
      <c r="D37" s="2456"/>
      <c r="E37" s="1902" t="s">
        <v>252</v>
      </c>
      <c r="F37" s="2457"/>
      <c r="G37" s="2456"/>
      <c r="H37" s="2456"/>
    </row>
    <row r="38" s="2010" customFormat="1" ht="16.5" customHeight="1" spans="1:8">
      <c r="A38" s="1900" t="s">
        <v>253</v>
      </c>
      <c r="B38" s="2455"/>
      <c r="C38" s="2456"/>
      <c r="D38" s="2456"/>
      <c r="E38" s="1902" t="s">
        <v>254</v>
      </c>
      <c r="F38" s="2457"/>
      <c r="G38" s="2456"/>
      <c r="H38" s="2456"/>
    </row>
    <row r="39" s="2010" customFormat="1" ht="16.5" customHeight="1" spans="1:8">
      <c r="A39" s="2461"/>
      <c r="B39" s="2455"/>
      <c r="C39" s="2456"/>
      <c r="D39" s="2456"/>
      <c r="E39" s="1902" t="s">
        <v>255</v>
      </c>
      <c r="F39" s="2457"/>
      <c r="G39" s="2456"/>
      <c r="H39" s="2456"/>
    </row>
    <row r="40" s="2010" customFormat="1" ht="16.5" customHeight="1" spans="1:8">
      <c r="A40" s="1905" t="s">
        <v>256</v>
      </c>
      <c r="B40" s="2060"/>
      <c r="C40" s="2023">
        <f>ROUND(SUM(C22:C39),2)</f>
        <v>0</v>
      </c>
      <c r="D40" s="2023">
        <f>ROUND(SUM(D22:D39),2)</f>
        <v>0</v>
      </c>
      <c r="E40" s="1902" t="s">
        <v>257</v>
      </c>
      <c r="F40" s="2457"/>
      <c r="G40" s="2456"/>
      <c r="H40" s="2456"/>
    </row>
    <row r="41" s="2010" customFormat="1" ht="16.5" customHeight="1" spans="1:8">
      <c r="A41" s="1917"/>
      <c r="B41" s="2060"/>
      <c r="C41" s="1896"/>
      <c r="D41" s="1896"/>
      <c r="E41" s="1902" t="s">
        <v>258</v>
      </c>
      <c r="F41" s="2457"/>
      <c r="G41" s="2456"/>
      <c r="H41" s="2456"/>
    </row>
    <row r="42" s="2010" customFormat="1" ht="16.5" customHeight="1" spans="1:8">
      <c r="A42" s="1917"/>
      <c r="B42" s="2060"/>
      <c r="C42" s="1896"/>
      <c r="D42" s="1896"/>
      <c r="E42" s="1902" t="s">
        <v>259</v>
      </c>
      <c r="F42" s="2457"/>
      <c r="G42" s="2456"/>
      <c r="H42" s="2458"/>
    </row>
    <row r="43" s="2010" customFormat="1" ht="17.25" hidden="1" customHeight="1" spans="1:8">
      <c r="A43" s="1917"/>
      <c r="B43" s="1906"/>
      <c r="C43" s="1896"/>
      <c r="D43" s="1896"/>
      <c r="E43" s="1915" t="s">
        <v>260</v>
      </c>
      <c r="F43" s="1915"/>
      <c r="G43" s="2023">
        <f>ROUND(SUM(G36:G42)-2*G38,2)</f>
        <v>0</v>
      </c>
      <c r="H43" s="2036">
        <f>ROUND(SUM(H36:H42)-2*H38,2)</f>
        <v>0</v>
      </c>
    </row>
    <row r="44" s="2010" customFormat="1" ht="17.25" hidden="1" customHeight="1" spans="1:8">
      <c r="A44" s="1917"/>
      <c r="B44" s="2060"/>
      <c r="C44" s="1896"/>
      <c r="D44" s="1896"/>
      <c r="E44" s="1912"/>
      <c r="F44" s="2064"/>
      <c r="G44" s="1913"/>
      <c r="H44" s="1903"/>
    </row>
    <row r="45" ht="17.25" hidden="1" customHeight="1" spans="1:8">
      <c r="A45" s="1917"/>
      <c r="B45" s="2060"/>
      <c r="C45" s="1896"/>
      <c r="D45" s="1896"/>
      <c r="E45" s="1902" t="s">
        <v>261</v>
      </c>
      <c r="F45" s="2462"/>
      <c r="G45" s="1919"/>
      <c r="H45" s="1920"/>
    </row>
    <row r="46" ht="16.5" customHeight="1" spans="1:8">
      <c r="A46" s="1917"/>
      <c r="B46" s="2060"/>
      <c r="C46" s="1896"/>
      <c r="D46" s="1896"/>
      <c r="E46" s="1915" t="s">
        <v>262</v>
      </c>
      <c r="F46" s="1915"/>
      <c r="G46" s="2023">
        <f>ROUND(G43+G45,2)</f>
        <v>0</v>
      </c>
      <c r="H46" s="2036">
        <f>ROUND(H43+H45,2)</f>
        <v>0</v>
      </c>
    </row>
    <row r="47" ht="16.5" customHeight="1" spans="1:8">
      <c r="A47" s="1917"/>
      <c r="B47" s="2060"/>
      <c r="C47" s="1896"/>
      <c r="D47" s="1896"/>
      <c r="E47" s="1912"/>
      <c r="F47" s="2064"/>
      <c r="G47" s="1896"/>
      <c r="H47" s="1903"/>
    </row>
    <row r="48" ht="16.5" customHeight="1" spans="1:8">
      <c r="A48" s="1921" t="s">
        <v>263</v>
      </c>
      <c r="B48" s="1922"/>
      <c r="C48" s="2024">
        <f>ROUND(C19+C40,2)</f>
        <v>60811434.3</v>
      </c>
      <c r="D48" s="2024">
        <f>ROUND(D19+D40,2)</f>
        <v>0</v>
      </c>
      <c r="E48" s="1924" t="s">
        <v>264</v>
      </c>
      <c r="F48" s="1924"/>
      <c r="G48" s="2024">
        <f>ROUND(G33+G46,2)</f>
        <v>60811434.3</v>
      </c>
      <c r="H48" s="2061">
        <f>ROUND(H33+H46,2)</f>
        <v>0</v>
      </c>
    </row>
    <row r="49" ht="13.5"/>
  </sheetData>
  <sheetProtection password="CF6E" sheet="1" objects="1" scenarios="1"/>
  <mergeCells count="11">
    <mergeCell ref="A1:H1"/>
    <mergeCell ref="A2:B2"/>
    <mergeCell ref="A3:D3"/>
    <mergeCell ref="A4:A5"/>
    <mergeCell ref="B4:B5"/>
    <mergeCell ref="C4:C5"/>
    <mergeCell ref="D4:D5"/>
    <mergeCell ref="E4:E5"/>
    <mergeCell ref="F4:F5"/>
    <mergeCell ref="G4:G5"/>
    <mergeCell ref="H4:H5"/>
  </mergeCells>
  <conditionalFormatting sqref="A2:B2">
    <cfRule type="cellIs" dxfId="1" priority="1" stopIfTrue="1" operator="notEqual">
      <formula>""</formula>
    </cfRule>
  </conditionalFormatting>
  <conditionalFormatting sqref="C2:D2">
    <cfRule type="cellIs" dxfId="1" priority="2" stopIfTrue="1" operator="notEqual">
      <formula>0</formula>
    </cfRule>
  </conditionalFormatting>
  <printOptions horizontalCentered="1"/>
  <pageMargins left="0.354330708661417" right="0.196850393700787" top="0.36" bottom="0.3" header="0.275590551181102" footer="0.21"/>
  <pageSetup paperSize="9" orientation="portrait" blackAndWhite="1"/>
  <headerFooter alignWithMargins="0">
    <oddHeader>&amp;L&amp;10未审报表：</oddHead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0"/>
  <sheetViews>
    <sheetView showGridLines="0" showZeros="0" zoomScale="90" zoomScaleNormal="90" workbookViewId="0">
      <pane xSplit="1" ySplit="5" topLeftCell="B18" activePane="bottomRight" state="frozen"/>
      <selection/>
      <selection pane="topRight"/>
      <selection pane="bottomLeft"/>
      <selection pane="bottomRight" activeCell="C6" sqref="C6:C7"/>
    </sheetView>
  </sheetViews>
  <sheetFormatPr defaultColWidth="9" defaultRowHeight="15.75" outlineLevelCol="3"/>
  <cols>
    <col min="1" max="1" width="38.625" style="2011" customWidth="1"/>
    <col min="2" max="2" width="9" style="2011"/>
    <col min="3" max="4" width="17" style="2011" customWidth="1"/>
    <col min="5" max="16384" width="9" style="2011"/>
  </cols>
  <sheetData>
    <row r="1" ht="25.5" spans="1:4">
      <c r="A1" s="1808" t="s">
        <v>59</v>
      </c>
      <c r="B1" s="1808"/>
      <c r="C1" s="1808"/>
      <c r="D1" s="1808"/>
    </row>
    <row r="2" ht="21" customHeight="1" spans="1:4">
      <c r="A2" s="1844">
        <f>IF(OR(C2&lt;&gt;0,D2&lt;&gt;"会企02表"),"对应列未分配利润和资产负债表不符，相差：",0)</f>
        <v>0</v>
      </c>
      <c r="B2" s="1845"/>
      <c r="C2" s="2444">
        <f>ROUND(C39-未审资负表!G40,2)</f>
        <v>0</v>
      </c>
      <c r="D2" s="2445" t="str">
        <f>IF(ROUND(D39-未审资负表!H40,2)&lt;&gt;0,ROUND(D39-未审资负表!H40,2),"会企02表")</f>
        <v>会企02表</v>
      </c>
    </row>
    <row r="3" ht="21" customHeight="1" spans="1:4">
      <c r="A3" s="1844" t="str">
        <f>"编制单位："&amp;参数表!C3</f>
        <v>编制单位：石嘴山市深阳蓝光市政工程有限公司</v>
      </c>
      <c r="B3" s="1847" t="str">
        <f>参数表!D7</f>
        <v>2016年度</v>
      </c>
      <c r="C3" s="1845"/>
      <c r="D3" s="1848" t="str">
        <f>"金额单位："&amp;参数表!F11</f>
        <v>金额单位：人民币元</v>
      </c>
    </row>
    <row r="4" ht="15" spans="1:4">
      <c r="A4" s="1849" t="s">
        <v>60</v>
      </c>
      <c r="B4" s="1850" t="s">
        <v>61</v>
      </c>
      <c r="C4" s="1850" t="str">
        <f>IF(参数表!$C$12="本期间为特定年","本年金额","本期金额")</f>
        <v>本年金额</v>
      </c>
      <c r="D4" s="1851" t="str">
        <f>IF(参数表!$C$12="本期间为特定年","上年金额","上期金额")</f>
        <v>上年金额</v>
      </c>
    </row>
    <row r="5" ht="14.25" spans="1:4">
      <c r="A5" s="1852"/>
      <c r="B5" s="1853"/>
      <c r="C5" s="1853"/>
      <c r="D5" s="1854"/>
    </row>
    <row r="6" ht="21" customHeight="1" spans="1:4">
      <c r="A6" s="2446" t="s">
        <v>76</v>
      </c>
      <c r="B6" s="1873"/>
      <c r="C6" s="1866"/>
      <c r="D6" s="1867"/>
    </row>
    <row r="7" ht="21" customHeight="1" spans="1:4">
      <c r="A7" s="2193" t="s">
        <v>78</v>
      </c>
      <c r="B7" s="1873"/>
      <c r="C7" s="1866"/>
      <c r="D7" s="1867"/>
    </row>
    <row r="8" ht="21" customHeight="1" spans="1:4">
      <c r="A8" s="2193" t="s">
        <v>265</v>
      </c>
      <c r="B8" s="1873"/>
      <c r="C8" s="1866"/>
      <c r="D8" s="1867"/>
    </row>
    <row r="9" ht="21" customHeight="1" spans="1:4">
      <c r="A9" s="2193" t="s">
        <v>81</v>
      </c>
      <c r="B9" s="1873"/>
      <c r="C9" s="1866"/>
      <c r="D9" s="1867"/>
    </row>
    <row r="10" ht="21" customHeight="1" spans="1:4">
      <c r="A10" s="2193" t="s">
        <v>83</v>
      </c>
      <c r="B10" s="1873"/>
      <c r="C10" s="1866"/>
      <c r="D10" s="1867"/>
    </row>
    <row r="11" ht="21" customHeight="1" spans="1:4">
      <c r="A11" s="2193" t="s">
        <v>84</v>
      </c>
      <c r="B11" s="1873"/>
      <c r="C11" s="1866"/>
      <c r="D11" s="1867"/>
    </row>
    <row r="12" ht="21" customHeight="1" spans="1:4">
      <c r="A12" s="2193" t="s">
        <v>85</v>
      </c>
      <c r="B12" s="1873"/>
      <c r="C12" s="1866"/>
      <c r="D12" s="1867"/>
    </row>
    <row r="13" ht="21" customHeight="1" spans="1:4">
      <c r="A13" s="2193" t="s">
        <v>87</v>
      </c>
      <c r="B13" s="1873"/>
      <c r="C13" s="1866"/>
      <c r="D13" s="1867"/>
    </row>
    <row r="14" ht="21" customHeight="1" spans="1:4">
      <c r="A14" s="2193" t="s">
        <v>89</v>
      </c>
      <c r="B14" s="1873"/>
      <c r="C14" s="1866"/>
      <c r="D14" s="1867"/>
    </row>
    <row r="15" ht="21" customHeight="1" spans="1:4">
      <c r="A15" s="2193" t="s">
        <v>91</v>
      </c>
      <c r="B15" s="1873"/>
      <c r="C15" s="1866"/>
      <c r="D15" s="1867"/>
    </row>
    <row r="16" ht="21" customHeight="1" spans="1:4">
      <c r="A16" s="2193" t="s">
        <v>266</v>
      </c>
      <c r="B16" s="1873"/>
      <c r="C16" s="1866"/>
      <c r="D16" s="1867"/>
    </row>
    <row r="17" ht="21" customHeight="1" spans="1:4">
      <c r="A17" s="2193" t="s">
        <v>92</v>
      </c>
      <c r="B17" s="1873"/>
      <c r="C17" s="1866"/>
      <c r="D17" s="1867"/>
    </row>
    <row r="18" ht="21" customHeight="1" spans="1:4">
      <c r="A18" s="2193" t="s">
        <v>267</v>
      </c>
      <c r="B18" s="1873"/>
      <c r="C18" s="1866"/>
      <c r="D18" s="1867"/>
    </row>
    <row r="19" ht="21" customHeight="1" spans="1:4">
      <c r="A19" s="2446" t="s">
        <v>93</v>
      </c>
      <c r="B19" s="2447"/>
      <c r="C19" s="2448">
        <f>ROUND(C6-SUM(C7:C12)+SUM(C13:C14)+C17+C18+C16,2)</f>
        <v>0</v>
      </c>
      <c r="D19" s="2449">
        <f>ROUND(D6-SUM(D7:D12)+SUM(D13:D14)+D17+D18+D16,2)</f>
        <v>0</v>
      </c>
    </row>
    <row r="20" ht="21" customHeight="1" spans="1:4">
      <c r="A20" s="2193" t="s">
        <v>94</v>
      </c>
      <c r="B20" s="1873"/>
      <c r="C20" s="1866"/>
      <c r="D20" s="1867"/>
    </row>
    <row r="21" ht="21" customHeight="1" spans="1:4">
      <c r="A21" s="2450" t="s">
        <v>96</v>
      </c>
      <c r="B21" s="1873"/>
      <c r="C21" s="1866"/>
      <c r="D21" s="1867"/>
    </row>
    <row r="22" ht="21" customHeight="1" spans="1:4">
      <c r="A22" s="2446" t="s">
        <v>99</v>
      </c>
      <c r="B22" s="2447"/>
      <c r="C22" s="2448">
        <f>ROUND(C19+C20-C21,2)</f>
        <v>0</v>
      </c>
      <c r="D22" s="2448">
        <f>ROUND(D19+D20-D21,2)</f>
        <v>0</v>
      </c>
    </row>
    <row r="23" ht="21" customHeight="1" spans="1:4">
      <c r="A23" s="2193" t="s">
        <v>100</v>
      </c>
      <c r="B23" s="1873"/>
      <c r="C23" s="1866"/>
      <c r="D23" s="1867"/>
    </row>
    <row r="24" ht="21" customHeight="1" spans="1:4">
      <c r="A24" s="2446" t="s">
        <v>102</v>
      </c>
      <c r="B24" s="2447"/>
      <c r="C24" s="2448">
        <f>ROUND(C22-C23,2)</f>
        <v>0</v>
      </c>
      <c r="D24" s="2449">
        <f>ROUND(D22-D23,2)</f>
        <v>0</v>
      </c>
    </row>
    <row r="25" ht="21" customHeight="1" spans="1:4">
      <c r="A25" s="2193" t="s">
        <v>103</v>
      </c>
      <c r="B25" s="2447"/>
      <c r="C25" s="1864">
        <f>C24-C26</f>
        <v>0</v>
      </c>
      <c r="D25" s="1865">
        <f>D24-D26</f>
        <v>0</v>
      </c>
    </row>
    <row r="26" ht="21" customHeight="1" spans="1:4">
      <c r="A26" s="2193" t="s">
        <v>104</v>
      </c>
      <c r="B26" s="1873"/>
      <c r="C26" s="2451"/>
      <c r="D26" s="2452"/>
    </row>
    <row r="27" ht="21" customHeight="1" spans="1:4">
      <c r="A27" s="2193" t="s">
        <v>268</v>
      </c>
      <c r="B27" s="2447"/>
      <c r="C27" s="1871">
        <f>C24-C28</f>
        <v>0</v>
      </c>
      <c r="D27" s="1872">
        <f>D24-D28</f>
        <v>0</v>
      </c>
    </row>
    <row r="28" ht="21" customHeight="1" spans="1:4">
      <c r="A28" s="2193" t="s">
        <v>269</v>
      </c>
      <c r="B28" s="1873"/>
      <c r="C28" s="2451"/>
      <c r="D28" s="2452"/>
    </row>
    <row r="29" ht="21" customHeight="1" spans="1:4">
      <c r="A29" s="2446" t="s">
        <v>270</v>
      </c>
      <c r="B29" s="1873"/>
      <c r="C29" s="2451"/>
      <c r="D29" s="2452"/>
    </row>
    <row r="30" ht="21" customHeight="1" spans="1:4">
      <c r="A30" s="2446" t="s">
        <v>271</v>
      </c>
      <c r="B30" s="2447"/>
      <c r="C30" s="2453">
        <f>C22+C29</f>
        <v>0</v>
      </c>
      <c r="D30" s="2453">
        <f>D22+D29</f>
        <v>0</v>
      </c>
    </row>
    <row r="31" ht="21" customHeight="1" spans="1:4">
      <c r="A31" s="2446" t="s">
        <v>272</v>
      </c>
      <c r="B31" s="2447"/>
      <c r="C31" s="1871"/>
      <c r="D31" s="1872"/>
    </row>
    <row r="32" ht="21" customHeight="1" spans="1:4">
      <c r="A32" s="2193" t="s">
        <v>106</v>
      </c>
      <c r="B32" s="1873"/>
      <c r="C32" s="1866"/>
      <c r="D32" s="1867"/>
    </row>
    <row r="33" ht="21" customHeight="1" spans="1:4">
      <c r="A33" s="2196" t="s">
        <v>107</v>
      </c>
      <c r="B33" s="1875"/>
      <c r="C33" s="1876"/>
      <c r="D33" s="1877"/>
    </row>
    <row r="34" ht="16.5" spans="1:4">
      <c r="A34" s="1845"/>
      <c r="B34" s="1845"/>
      <c r="C34" s="1845"/>
      <c r="D34" s="1845"/>
    </row>
    <row r="35" ht="21" customHeight="1" spans="1:4">
      <c r="A35" s="2188" t="s">
        <v>273</v>
      </c>
      <c r="B35" s="1845"/>
      <c r="C35" s="1845"/>
      <c r="D35" s="1845"/>
    </row>
    <row r="36" ht="21" customHeight="1" spans="1:4">
      <c r="A36" s="2189" t="s">
        <v>109</v>
      </c>
      <c r="B36" s="2190"/>
      <c r="C36" s="2191">
        <f>ROUND(C24,2)</f>
        <v>0</v>
      </c>
      <c r="D36" s="2192">
        <f>ROUND(D24,2)</f>
        <v>0</v>
      </c>
    </row>
    <row r="37" ht="21" customHeight="1" spans="1:4">
      <c r="A37" s="2193" t="s">
        <v>110</v>
      </c>
      <c r="B37" s="1863"/>
      <c r="C37" s="1864">
        <f>ROUND(D39,2)</f>
        <v>0</v>
      </c>
      <c r="D37" s="1867"/>
    </row>
    <row r="38" ht="21" customHeight="1" spans="1:4">
      <c r="A38" s="2193" t="s">
        <v>111</v>
      </c>
      <c r="B38" s="1863"/>
      <c r="C38" s="1866"/>
      <c r="D38" s="1867"/>
    </row>
    <row r="39" ht="21" customHeight="1" spans="1:4">
      <c r="A39" s="2196" t="s">
        <v>112</v>
      </c>
      <c r="B39" s="2197"/>
      <c r="C39" s="2198">
        <f>ROUND(C36+C37-C38,2)</f>
        <v>0</v>
      </c>
      <c r="D39" s="2199">
        <f>ROUND(D36+D37-D38,2)</f>
        <v>0</v>
      </c>
    </row>
    <row r="40" ht="21" customHeight="1" spans="1:4">
      <c r="A40" s="2188" t="s">
        <v>274</v>
      </c>
      <c r="B40" s="1845"/>
      <c r="C40" s="1845"/>
      <c r="D40" s="1845"/>
    </row>
  </sheetData>
  <sheetProtection password="CF6E" sheet="1" objects="1" scenarios="1"/>
  <mergeCells count="5">
    <mergeCell ref="A1:D1"/>
    <mergeCell ref="A4:A5"/>
    <mergeCell ref="B4:B5"/>
    <mergeCell ref="C4:C5"/>
    <mergeCell ref="D4:D5"/>
  </mergeCells>
  <conditionalFormatting sqref="D2">
    <cfRule type="cellIs" dxfId="2" priority="2" stopIfTrue="1" operator="notEqual">
      <formula>"会企02表"</formula>
    </cfRule>
  </conditionalFormatting>
  <conditionalFormatting sqref="A2 C2">
    <cfRule type="cellIs" dxfId="2" priority="1" stopIfTrue="1" operator="notEqual">
      <formula>0</formula>
    </cfRule>
  </conditionalFormatting>
  <printOptions horizontalCentered="1" verticalCentered="1"/>
  <pageMargins left="0.433070866141732" right="0.433070866141732" top="0.748031496062992" bottom="1.22047244094488" header="0.511811023622047" footer="0.511811023622047"/>
  <pageSetup paperSize="9" orientation="portrait" blackAndWhite="1"/>
  <headerFooter alignWithMargins="0">
    <oddHeader>&amp;L&amp;10未审报表：</oddHead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5"/>
  <sheetViews>
    <sheetView showGridLines="0" showZeros="0" workbookViewId="0">
      <pane xSplit="1" ySplit="5" topLeftCell="B6" activePane="bottomRight" state="frozen"/>
      <selection/>
      <selection pane="topRight"/>
      <selection pane="bottomLeft"/>
      <selection pane="bottomRight" activeCell="C12" sqref="C12"/>
    </sheetView>
  </sheetViews>
  <sheetFormatPr defaultColWidth="9" defaultRowHeight="12.75" outlineLevelCol="3"/>
  <cols>
    <col min="1" max="1" width="47.625" style="2010" customWidth="1"/>
    <col min="2" max="2" width="6" style="2010" customWidth="1"/>
    <col min="3" max="4" width="15.625" style="2013" customWidth="1"/>
    <col min="5" max="16384" width="9" style="2010"/>
  </cols>
  <sheetData>
    <row r="1" ht="25.5" spans="1:4">
      <c r="A1" s="1808" t="s">
        <v>114</v>
      </c>
      <c r="B1" s="1809"/>
      <c r="C1" s="1809"/>
      <c r="D1" s="1809"/>
    </row>
    <row r="2" ht="15" customHeight="1" spans="1:4">
      <c r="A2" s="1778" t="str">
        <f>IF(OR(C2&lt;&gt;0,D2&lt;&gt;"会企03表"),"对应列“期末现金及现金等价物余额”与资产负债表不符，相差：","")</f>
        <v/>
      </c>
      <c r="B2" s="1810"/>
      <c r="C2" s="1779">
        <f>ROUND(C49-未审资负表!C7,2)</f>
        <v>0</v>
      </c>
      <c r="D2" s="1811" t="str">
        <f>IF(ROUND(D49-未审资负表!D7,2)=0,"会企03表",ROUND(D49-未审资负表!D7,2))</f>
        <v>会企03表</v>
      </c>
    </row>
    <row r="3" ht="15" customHeight="1" spans="1:4">
      <c r="A3" s="1781" t="str">
        <f>"编制单位："&amp;参数表!C3</f>
        <v>编制单位：石嘴山市深阳蓝光市政工程有限公司</v>
      </c>
      <c r="B3" s="1782" t="str">
        <f>参数表!D7</f>
        <v>2016年度</v>
      </c>
      <c r="C3" s="1880"/>
      <c r="D3" s="1884" t="str">
        <f>"金额单位："&amp;参数表!F11</f>
        <v>金额单位：人民币元</v>
      </c>
    </row>
    <row r="4" ht="13.5" spans="1:4">
      <c r="A4" s="1815" t="s">
        <v>60</v>
      </c>
      <c r="B4" s="1816" t="s">
        <v>61</v>
      </c>
      <c r="C4" s="1817" t="str">
        <f>未审利润表!C4</f>
        <v>本年金额</v>
      </c>
      <c r="D4" s="1818" t="str">
        <f>未审利润表!D4</f>
        <v>上年金额</v>
      </c>
    </row>
    <row r="5" spans="1:4">
      <c r="A5" s="1819"/>
      <c r="B5" s="1820"/>
      <c r="C5" s="1821"/>
      <c r="D5" s="1822"/>
    </row>
    <row r="6" ht="15" customHeight="1" spans="1:4">
      <c r="A6" s="1823" t="s">
        <v>115</v>
      </c>
      <c r="B6" s="2068"/>
      <c r="C6" s="1825"/>
      <c r="D6" s="1826"/>
    </row>
    <row r="7" ht="15" customHeight="1" spans="1:4">
      <c r="A7" s="1827" t="s">
        <v>116</v>
      </c>
      <c r="B7" s="1828"/>
      <c r="C7" s="2184"/>
      <c r="D7" s="1835"/>
    </row>
    <row r="8" ht="15" customHeight="1" spans="1:4">
      <c r="A8" s="1827" t="s">
        <v>117</v>
      </c>
      <c r="B8" s="1828"/>
      <c r="C8" s="2184"/>
      <c r="D8" s="1835"/>
    </row>
    <row r="9" ht="15" customHeight="1" spans="1:4">
      <c r="A9" s="1827" t="s">
        <v>118</v>
      </c>
      <c r="B9" s="1828"/>
      <c r="C9" s="2184"/>
      <c r="D9" s="1835"/>
    </row>
    <row r="10" ht="15" customHeight="1" spans="1:4">
      <c r="A10" s="1829" t="s">
        <v>120</v>
      </c>
      <c r="B10" s="2068"/>
      <c r="C10" s="2048">
        <f>ROUND(SUM(C7:C9),2)</f>
        <v>0</v>
      </c>
      <c r="D10" s="2069">
        <f>ROUND(SUM(D7:D9),2)</f>
        <v>0</v>
      </c>
    </row>
    <row r="11" ht="15" customHeight="1" spans="1:4">
      <c r="A11" s="1827" t="s">
        <v>121</v>
      </c>
      <c r="B11" s="1828"/>
      <c r="C11" s="2184"/>
      <c r="D11" s="1835"/>
    </row>
    <row r="12" ht="15" customHeight="1" spans="1:4">
      <c r="A12" s="1827" t="s">
        <v>122</v>
      </c>
      <c r="B12" s="1828"/>
      <c r="C12" s="2184"/>
      <c r="D12" s="1835"/>
    </row>
    <row r="13" ht="15" customHeight="1" spans="1:4">
      <c r="A13" s="1827" t="s">
        <v>123</v>
      </c>
      <c r="B13" s="1828"/>
      <c r="C13" s="2184"/>
      <c r="D13" s="1835"/>
    </row>
    <row r="14" ht="15" customHeight="1" spans="1:4">
      <c r="A14" s="1827" t="s">
        <v>124</v>
      </c>
      <c r="B14" s="1828"/>
      <c r="C14" s="2184"/>
      <c r="D14" s="1835"/>
    </row>
    <row r="15" ht="15" customHeight="1" spans="1:4">
      <c r="A15" s="1829" t="s">
        <v>125</v>
      </c>
      <c r="B15" s="2068"/>
      <c r="C15" s="2048">
        <f>ROUND(SUM(C11:C14),2)</f>
        <v>0</v>
      </c>
      <c r="D15" s="2069">
        <f>ROUND(SUM(D11:D14),2)</f>
        <v>0</v>
      </c>
    </row>
    <row r="16" ht="15" customHeight="1" spans="1:4">
      <c r="A16" s="1829" t="s">
        <v>126</v>
      </c>
      <c r="B16" s="2068"/>
      <c r="C16" s="2048">
        <f>ROUND(C10-C15,2)</f>
        <v>0</v>
      </c>
      <c r="D16" s="2069">
        <f>ROUND(D10-D15,2)</f>
        <v>0</v>
      </c>
    </row>
    <row r="17" ht="15" customHeight="1" spans="1:4">
      <c r="A17" s="1832"/>
      <c r="B17" s="2068"/>
      <c r="C17" s="1825"/>
      <c r="D17" s="1826"/>
    </row>
    <row r="18" ht="15" customHeight="1" spans="1:4">
      <c r="A18" s="1823" t="s">
        <v>127</v>
      </c>
      <c r="B18" s="2068"/>
      <c r="C18" s="1825"/>
      <c r="D18" s="1826"/>
    </row>
    <row r="19" ht="15" customHeight="1" spans="1:4">
      <c r="A19" s="1827" t="s">
        <v>128</v>
      </c>
      <c r="B19" s="1828"/>
      <c r="C19" s="2184"/>
      <c r="D19" s="1835"/>
    </row>
    <row r="20" ht="15" customHeight="1" spans="1:4">
      <c r="A20" s="1827" t="s">
        <v>129</v>
      </c>
      <c r="B20" s="1828"/>
      <c r="C20" s="2184"/>
      <c r="D20" s="1835"/>
    </row>
    <row r="21" ht="15" customHeight="1" spans="1:4">
      <c r="A21" s="1827" t="s">
        <v>130</v>
      </c>
      <c r="B21" s="1828"/>
      <c r="C21" s="2184"/>
      <c r="D21" s="1835"/>
    </row>
    <row r="22" ht="15" customHeight="1" spans="1:4">
      <c r="A22" s="1827" t="s">
        <v>131</v>
      </c>
      <c r="B22" s="1828"/>
      <c r="C22" s="2184"/>
      <c r="D22" s="1835"/>
    </row>
    <row r="23" ht="15" customHeight="1" spans="1:4">
      <c r="A23" s="1827" t="s">
        <v>132</v>
      </c>
      <c r="B23" s="1828"/>
      <c r="C23" s="2184"/>
      <c r="D23" s="1835"/>
    </row>
    <row r="24" ht="15" customHeight="1" spans="1:4">
      <c r="A24" s="1829" t="s">
        <v>134</v>
      </c>
      <c r="B24" s="2068"/>
      <c r="C24" s="2048">
        <f>ROUND(SUM(C19:C23),2)</f>
        <v>0</v>
      </c>
      <c r="D24" s="2069">
        <f>ROUND(SUM(D19:D23),2)</f>
        <v>0</v>
      </c>
    </row>
    <row r="25" ht="15" customHeight="1" spans="1:4">
      <c r="A25" s="1827" t="s">
        <v>135</v>
      </c>
      <c r="B25" s="1828"/>
      <c r="C25" s="2184"/>
      <c r="D25" s="1835"/>
    </row>
    <row r="26" ht="15" customHeight="1" spans="1:4">
      <c r="A26" s="1827" t="s">
        <v>136</v>
      </c>
      <c r="B26" s="1828"/>
      <c r="C26" s="2184"/>
      <c r="D26" s="1835"/>
    </row>
    <row r="27" ht="15" customHeight="1" spans="1:4">
      <c r="A27" s="1827" t="s">
        <v>137</v>
      </c>
      <c r="B27" s="1828"/>
      <c r="C27" s="2184"/>
      <c r="D27" s="1835"/>
    </row>
    <row r="28" ht="15" customHeight="1" spans="1:4">
      <c r="A28" s="1827" t="s">
        <v>138</v>
      </c>
      <c r="B28" s="1828"/>
      <c r="C28" s="2184"/>
      <c r="D28" s="1835"/>
    </row>
    <row r="29" ht="15" customHeight="1" spans="1:4">
      <c r="A29" s="1829" t="s">
        <v>139</v>
      </c>
      <c r="B29" s="2068"/>
      <c r="C29" s="2048">
        <f>ROUND(SUM(C25:C28),2)</f>
        <v>0</v>
      </c>
      <c r="D29" s="2069">
        <f>ROUND(SUM(D25:D28),2)</f>
        <v>0</v>
      </c>
    </row>
    <row r="30" ht="15" customHeight="1" spans="1:4">
      <c r="A30" s="1829" t="s">
        <v>140</v>
      </c>
      <c r="B30" s="2068"/>
      <c r="C30" s="2048">
        <f>ROUND(C24-C29,2)</f>
        <v>0</v>
      </c>
      <c r="D30" s="2069">
        <f>ROUND(D24-D29,2)</f>
        <v>0</v>
      </c>
    </row>
    <row r="31" ht="15" customHeight="1" spans="1:4">
      <c r="A31" s="1834"/>
      <c r="B31" s="2068"/>
      <c r="C31" s="1825"/>
      <c r="D31" s="1826"/>
    </row>
    <row r="32" ht="15" customHeight="1" spans="1:4">
      <c r="A32" s="1823" t="s">
        <v>141</v>
      </c>
      <c r="B32" s="2068"/>
      <c r="C32" s="1825"/>
      <c r="D32" s="1826"/>
    </row>
    <row r="33" ht="15" customHeight="1" spans="1:4">
      <c r="A33" s="1827" t="s">
        <v>142</v>
      </c>
      <c r="B33" s="1828"/>
      <c r="C33" s="2184"/>
      <c r="D33" s="1835"/>
    </row>
    <row r="34" ht="15" hidden="1" customHeight="1" spans="1:4">
      <c r="A34" s="1827" t="s">
        <v>143</v>
      </c>
      <c r="B34" s="1828"/>
      <c r="C34" s="2184"/>
      <c r="D34" s="1835"/>
    </row>
    <row r="35" ht="15" customHeight="1" spans="1:4">
      <c r="A35" s="1827" t="s">
        <v>144</v>
      </c>
      <c r="B35" s="1828"/>
      <c r="C35" s="2184"/>
      <c r="D35" s="1835"/>
    </row>
    <row r="36" ht="15" customHeight="1" spans="1:4">
      <c r="A36" s="1827" t="s">
        <v>145</v>
      </c>
      <c r="B36" s="1828"/>
      <c r="C36" s="2184"/>
      <c r="D36" s="1835"/>
    </row>
    <row r="37" ht="15" customHeight="1" spans="1:4">
      <c r="A37" s="1827" t="s">
        <v>146</v>
      </c>
      <c r="B37" s="1828"/>
      <c r="C37" s="2184"/>
      <c r="D37" s="1835"/>
    </row>
    <row r="38" ht="15" customHeight="1" spans="1:4">
      <c r="A38" s="1829" t="s">
        <v>148</v>
      </c>
      <c r="B38" s="2068"/>
      <c r="C38" s="2048">
        <f>ROUND(SUM(C33:C37)-C34,2)</f>
        <v>0</v>
      </c>
      <c r="D38" s="2069">
        <f>ROUND(SUM(D33:D37)-D34,2)</f>
        <v>0</v>
      </c>
    </row>
    <row r="39" ht="15" customHeight="1" spans="1:4">
      <c r="A39" s="1827" t="s">
        <v>149</v>
      </c>
      <c r="B39" s="1828"/>
      <c r="C39" s="2184"/>
      <c r="D39" s="1835"/>
    </row>
    <row r="40" ht="15" customHeight="1" spans="1:4">
      <c r="A40" s="1827" t="s">
        <v>150</v>
      </c>
      <c r="B40" s="1828"/>
      <c r="C40" s="2184"/>
      <c r="D40" s="1835"/>
    </row>
    <row r="41" ht="15" hidden="1" customHeight="1" spans="1:4">
      <c r="A41" s="1827" t="s">
        <v>151</v>
      </c>
      <c r="B41" s="1828"/>
      <c r="C41" s="2184"/>
      <c r="D41" s="1835"/>
    </row>
    <row r="42" ht="15" customHeight="1" spans="1:4">
      <c r="A42" s="1827" t="s">
        <v>152</v>
      </c>
      <c r="B42" s="1828"/>
      <c r="C42" s="2184"/>
      <c r="D42" s="1835"/>
    </row>
    <row r="43" ht="15" customHeight="1" spans="1:4">
      <c r="A43" s="1829" t="s">
        <v>153</v>
      </c>
      <c r="B43" s="2068"/>
      <c r="C43" s="2048">
        <f>ROUND(SUM(C39:C42)-C41,2)</f>
        <v>0</v>
      </c>
      <c r="D43" s="2069">
        <f>ROUND(SUM(D39:D42)-D41,2)</f>
        <v>0</v>
      </c>
    </row>
    <row r="44" ht="15" customHeight="1" spans="1:4">
      <c r="A44" s="1829" t="s">
        <v>154</v>
      </c>
      <c r="B44" s="2068"/>
      <c r="C44" s="2048">
        <f>ROUND(C38-C43,2)</f>
        <v>0</v>
      </c>
      <c r="D44" s="2069">
        <f>ROUND(D38-D43,2)</f>
        <v>0</v>
      </c>
    </row>
    <row r="45" ht="15" customHeight="1" spans="1:4">
      <c r="A45" s="1834"/>
      <c r="B45" s="2068"/>
      <c r="C45" s="1825"/>
      <c r="D45" s="1826"/>
    </row>
    <row r="46" ht="15" customHeight="1" spans="1:4">
      <c r="A46" s="1823" t="s">
        <v>155</v>
      </c>
      <c r="B46" s="1828"/>
      <c r="C46" s="2184"/>
      <c r="D46" s="1835"/>
    </row>
    <row r="47" ht="15" customHeight="1" spans="1:4">
      <c r="A47" s="1823" t="s">
        <v>156</v>
      </c>
      <c r="B47" s="2068"/>
      <c r="C47" s="2048">
        <f>ROUND(C16+C30+C44+C46,2)</f>
        <v>0</v>
      </c>
      <c r="D47" s="2069">
        <f>ROUND(D16+D30+D44+D46,2)</f>
        <v>0</v>
      </c>
    </row>
    <row r="48" ht="15" customHeight="1" spans="1:4">
      <c r="A48" s="1827" t="s">
        <v>157</v>
      </c>
      <c r="B48" s="2068"/>
      <c r="C48" s="1825">
        <f>ROUND(D49,2)</f>
        <v>0</v>
      </c>
      <c r="D48" s="1835"/>
    </row>
    <row r="49" ht="15" customHeight="1" spans="1:4">
      <c r="A49" s="1836" t="s">
        <v>158</v>
      </c>
      <c r="B49" s="2071"/>
      <c r="C49" s="2052">
        <f>ROUND(C47+C48,2)</f>
        <v>0</v>
      </c>
      <c r="D49" s="2158">
        <f>ROUND(D47+D48,2)</f>
        <v>0</v>
      </c>
    </row>
    <row r="50" ht="13.5" spans="1:4">
      <c r="A50" s="1810"/>
      <c r="B50" s="1810"/>
      <c r="C50" s="1880"/>
      <c r="D50" s="1880"/>
    </row>
    <row r="51" spans="1:4">
      <c r="A51" s="1778" t="str">
        <f>IF(OR(C51&lt;&gt;0,D51&lt;&gt;0),"主表的经营活动现金产生的流量净额与附表不符，相差：","")</f>
        <v/>
      </c>
      <c r="B51" s="1810"/>
      <c r="C51" s="1779">
        <f>ROUND(C16-C72,2)</f>
        <v>0</v>
      </c>
      <c r="D51" s="1779">
        <f>ROUND(D16-D72,2)</f>
        <v>0</v>
      </c>
    </row>
    <row r="52" ht="15" customHeight="1" spans="1:4">
      <c r="A52" s="2159" t="s">
        <v>275</v>
      </c>
      <c r="B52" s="1810"/>
      <c r="C52" s="1880"/>
      <c r="D52" s="1880"/>
    </row>
    <row r="53" ht="15" customHeight="1" spans="1:4">
      <c r="A53" s="2160" t="s">
        <v>159</v>
      </c>
      <c r="B53" s="1810"/>
      <c r="C53" s="1880"/>
      <c r="D53" s="1880"/>
    </row>
    <row r="54" ht="15" customHeight="1" spans="1:4">
      <c r="A54" s="2161" t="s">
        <v>160</v>
      </c>
      <c r="B54" s="1816" t="s">
        <v>161</v>
      </c>
      <c r="C54" s="2162" t="str">
        <f>C4</f>
        <v>本年金额</v>
      </c>
      <c r="D54" s="2163" t="str">
        <f>D4</f>
        <v>上年金额</v>
      </c>
    </row>
    <row r="55" ht="15" customHeight="1" spans="1:4">
      <c r="A55" s="2164" t="s">
        <v>163</v>
      </c>
      <c r="B55" s="1824"/>
      <c r="C55" s="1825"/>
      <c r="D55" s="1826"/>
    </row>
    <row r="56" ht="15" customHeight="1" spans="1:4">
      <c r="A56" s="2165" t="s">
        <v>109</v>
      </c>
      <c r="B56" s="2098"/>
      <c r="C56" s="1825">
        <f>ROUND(未审利润表!C24,2)</f>
        <v>0</v>
      </c>
      <c r="D56" s="1826">
        <f>ROUND(未审利润表!D24,2)</f>
        <v>0</v>
      </c>
    </row>
    <row r="57" ht="15" customHeight="1" spans="1:4">
      <c r="A57" s="2165" t="s">
        <v>164</v>
      </c>
      <c r="B57" s="2098"/>
      <c r="C57" s="2184"/>
      <c r="D57" s="1835"/>
    </row>
    <row r="58" ht="15" customHeight="1" spans="1:4">
      <c r="A58" s="2165" t="s">
        <v>165</v>
      </c>
      <c r="B58" s="2098"/>
      <c r="C58" s="2184"/>
      <c r="D58" s="1835"/>
    </row>
    <row r="59" ht="15" customHeight="1" spans="1:4">
      <c r="A59" s="2165" t="s">
        <v>166</v>
      </c>
      <c r="B59" s="2098"/>
      <c r="C59" s="2184"/>
      <c r="D59" s="1835"/>
    </row>
    <row r="60" ht="15" customHeight="1" spans="1:4">
      <c r="A60" s="2165" t="s">
        <v>167</v>
      </c>
      <c r="B60" s="2098"/>
      <c r="C60" s="2184"/>
      <c r="D60" s="1835"/>
    </row>
    <row r="61" ht="15" customHeight="1" spans="1:4">
      <c r="A61" s="2165" t="s">
        <v>168</v>
      </c>
      <c r="B61" s="2098"/>
      <c r="C61" s="2184"/>
      <c r="D61" s="1835"/>
    </row>
    <row r="62" ht="15" customHeight="1" spans="1:4">
      <c r="A62" s="2165" t="s">
        <v>169</v>
      </c>
      <c r="B62" s="2098"/>
      <c r="C62" s="2184"/>
      <c r="D62" s="1835"/>
    </row>
    <row r="63" ht="15" customHeight="1" spans="1:4">
      <c r="A63" s="2165" t="s">
        <v>170</v>
      </c>
      <c r="B63" s="2098"/>
      <c r="C63" s="2184"/>
      <c r="D63" s="1835"/>
    </row>
    <row r="64" ht="15" customHeight="1" spans="1:4">
      <c r="A64" s="2165" t="s">
        <v>84</v>
      </c>
      <c r="B64" s="2098"/>
      <c r="C64" s="2184"/>
      <c r="D64" s="1835"/>
    </row>
    <row r="65" ht="15" customHeight="1" spans="1:4">
      <c r="A65" s="2165" t="s">
        <v>171</v>
      </c>
      <c r="B65" s="2098"/>
      <c r="C65" s="2184"/>
      <c r="D65" s="1835"/>
    </row>
    <row r="66" ht="15" customHeight="1" spans="1:4">
      <c r="A66" s="2165" t="s">
        <v>172</v>
      </c>
      <c r="B66" s="2098"/>
      <c r="C66" s="2184"/>
      <c r="D66" s="1835"/>
    </row>
    <row r="67" ht="15" customHeight="1" spans="1:4">
      <c r="A67" s="2165" t="s">
        <v>173</v>
      </c>
      <c r="B67" s="2098"/>
      <c r="C67" s="2184"/>
      <c r="D67" s="1835"/>
    </row>
    <row r="68" ht="15" customHeight="1" spans="1:4">
      <c r="A68" s="2165" t="s">
        <v>174</v>
      </c>
      <c r="B68" s="2098"/>
      <c r="C68" s="2184"/>
      <c r="D68" s="1835"/>
    </row>
    <row r="69" ht="15" customHeight="1" spans="1:4">
      <c r="A69" s="2165" t="s">
        <v>175</v>
      </c>
      <c r="B69" s="2098"/>
      <c r="C69" s="2184"/>
      <c r="D69" s="1835"/>
    </row>
    <row r="70" ht="15" customHeight="1" spans="1:4">
      <c r="A70" s="2165" t="s">
        <v>176</v>
      </c>
      <c r="B70" s="2098"/>
      <c r="C70" s="2184"/>
      <c r="D70" s="1835"/>
    </row>
    <row r="71" ht="15" customHeight="1" spans="1:4">
      <c r="A71" s="2165" t="s">
        <v>177</v>
      </c>
      <c r="B71" s="2098"/>
      <c r="C71" s="2184"/>
      <c r="D71" s="1835"/>
    </row>
    <row r="72" ht="15" customHeight="1" spans="1:4">
      <c r="A72" s="2166" t="s">
        <v>178</v>
      </c>
      <c r="B72" s="2098"/>
      <c r="C72" s="2048">
        <f>ROUND(SUM(C56:C71),2)</f>
        <v>0</v>
      </c>
      <c r="D72" s="2069">
        <f>ROUND(SUM(D56:D71),2)</f>
        <v>0</v>
      </c>
    </row>
    <row r="73" ht="15" customHeight="1" spans="1:4">
      <c r="A73" s="2165"/>
      <c r="B73" s="2098"/>
      <c r="C73" s="2098"/>
      <c r="D73" s="2167"/>
    </row>
    <row r="74" ht="15" customHeight="1" spans="1:4">
      <c r="A74" s="2166" t="s">
        <v>179</v>
      </c>
      <c r="B74" s="2098"/>
      <c r="C74" s="2098"/>
      <c r="D74" s="2167"/>
    </row>
    <row r="75" ht="15" customHeight="1" spans="1:4">
      <c r="A75" s="2165" t="s">
        <v>180</v>
      </c>
      <c r="B75" s="2098"/>
      <c r="C75" s="2442"/>
      <c r="D75" s="2443"/>
    </row>
    <row r="76" ht="15" customHeight="1" spans="1:4">
      <c r="A76" s="2165" t="s">
        <v>181</v>
      </c>
      <c r="B76" s="2098"/>
      <c r="C76" s="2442"/>
      <c r="D76" s="2443"/>
    </row>
    <row r="77" ht="15" customHeight="1" spans="1:4">
      <c r="A77" s="2165" t="s">
        <v>182</v>
      </c>
      <c r="B77" s="2098"/>
      <c r="C77" s="2442"/>
      <c r="D77" s="2443"/>
    </row>
    <row r="78" ht="15" customHeight="1" spans="1:4">
      <c r="A78" s="2165"/>
      <c r="B78" s="2098"/>
      <c r="C78" s="2098"/>
      <c r="D78" s="2167"/>
    </row>
    <row r="79" ht="15" customHeight="1" spans="1:4">
      <c r="A79" s="2166" t="s">
        <v>183</v>
      </c>
      <c r="B79" s="2098"/>
      <c r="C79" s="2098"/>
      <c r="D79" s="2167"/>
    </row>
    <row r="80" ht="15" customHeight="1" spans="1:4">
      <c r="A80" s="2165" t="s">
        <v>184</v>
      </c>
      <c r="B80" s="2098"/>
      <c r="C80" s="1825">
        <f>ROUND(未审资负表!C7,2)</f>
        <v>0</v>
      </c>
      <c r="D80" s="1826">
        <f>ROUND(未审资负表!D7,2)</f>
        <v>0</v>
      </c>
    </row>
    <row r="81" ht="15" customHeight="1" spans="1:4">
      <c r="A81" s="2165" t="s">
        <v>185</v>
      </c>
      <c r="B81" s="2098"/>
      <c r="C81" s="1825">
        <f>ROUND(未审资负表!D7,2)</f>
        <v>0</v>
      </c>
      <c r="D81" s="1826">
        <f>ROUND(D48,2)</f>
        <v>0</v>
      </c>
    </row>
    <row r="82" ht="15" customHeight="1" spans="1:4">
      <c r="A82" s="2165" t="s">
        <v>186</v>
      </c>
      <c r="B82" s="2098"/>
      <c r="C82" s="2442"/>
      <c r="D82" s="2443"/>
    </row>
    <row r="83" ht="15" customHeight="1" spans="1:4">
      <c r="A83" s="2165" t="s">
        <v>187</v>
      </c>
      <c r="B83" s="2098"/>
      <c r="C83" s="2442"/>
      <c r="D83" s="2443"/>
    </row>
    <row r="84" ht="15" customHeight="1" spans="1:4">
      <c r="A84" s="2170" t="s">
        <v>188</v>
      </c>
      <c r="B84" s="2171"/>
      <c r="C84" s="2052">
        <f>ROUND(C80-C81+C82-C83,2)</f>
        <v>0</v>
      </c>
      <c r="D84" s="2158">
        <f>ROUND(D80-D81+D82-D83,2)</f>
        <v>0</v>
      </c>
    </row>
    <row r="85" ht="13.5"/>
  </sheetData>
  <sheetProtection password="CF6E" sheet="1" objects="1" scenarios="1"/>
  <mergeCells count="5">
    <mergeCell ref="A1:D1"/>
    <mergeCell ref="A4:A5"/>
    <mergeCell ref="B4:B5"/>
    <mergeCell ref="C4:C5"/>
    <mergeCell ref="D4:D5"/>
  </mergeCells>
  <conditionalFormatting sqref="D2">
    <cfRule type="cellIs" dxfId="2" priority="3" stopIfTrue="1" operator="notEqual">
      <formula>"会企03表"</formula>
    </cfRule>
  </conditionalFormatting>
  <conditionalFormatting sqref="A2 A51">
    <cfRule type="cellIs" dxfId="1" priority="1" stopIfTrue="1" operator="notEqual">
      <formula>""</formula>
    </cfRule>
  </conditionalFormatting>
  <conditionalFormatting sqref="C2 C51:D51">
    <cfRule type="cellIs" dxfId="1" priority="2" stopIfTrue="1" operator="notEqual">
      <formula>0</formula>
    </cfRule>
  </conditionalFormatting>
  <printOptions horizontalCentered="1" verticalCentered="1"/>
  <pageMargins left="0.393700787401575" right="0.393700787401575" top="0.57" bottom="0.511811023622047" header="0.38" footer="0.354330708661417"/>
  <pageSetup paperSize="9" orientation="portrait" blackAndWhite="1"/>
  <headerFooter alignWithMargins="0">
    <oddHeader>&amp;L&amp;10未审报表：</oddHead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5"/>
  <sheetViews>
    <sheetView showGridLines="0" showZeros="0" workbookViewId="0">
      <pane xSplit="1" ySplit="6" topLeftCell="B7" activePane="bottomRight" state="frozen"/>
      <selection/>
      <selection pane="topRight"/>
      <selection pane="bottomLeft"/>
      <selection pane="bottomRight" activeCell="F12" sqref="F12"/>
    </sheetView>
  </sheetViews>
  <sheetFormatPr defaultColWidth="9" defaultRowHeight="12.75" outlineLevelCol="7"/>
  <cols>
    <col min="1" max="1" width="38.375" style="2012" customWidth="1"/>
    <col min="2" max="8" width="13.375" style="2012" customWidth="1"/>
    <col min="9" max="16384" width="9" style="2012"/>
  </cols>
  <sheetData>
    <row r="1" ht="25.5" spans="1:8">
      <c r="A1" s="1777" t="s">
        <v>276</v>
      </c>
      <c r="B1" s="1777"/>
      <c r="C1" s="1777"/>
      <c r="D1" s="1777"/>
      <c r="E1" s="1777"/>
      <c r="F1" s="1777"/>
      <c r="G1" s="1777"/>
      <c r="H1" s="1777"/>
    </row>
    <row r="2" ht="15" customHeight="1" spans="1:8">
      <c r="A2" s="1778" t="str">
        <f>IF(OR(ABS(B2)&lt;&gt;0,ABS(C2)&lt;&gt;0,ABS(D2)&lt;&gt;0,ABS(E2)&lt;&gt;0,ABS(F2)&lt;&gt;0,ABS(G2)&lt;&gt;0),"本期期末余额与资产负债表不符，相差：","")</f>
        <v/>
      </c>
      <c r="B2" s="1779">
        <f>ROUND(B32-未审资负表!$G$36,2)</f>
        <v>0</v>
      </c>
      <c r="C2" s="1779">
        <f>ROUND(C32-未审资负表!$G$37,2)</f>
        <v>0</v>
      </c>
      <c r="D2" s="1779">
        <f>ROUND(D32-未审资负表!$G$38,2)</f>
        <v>0</v>
      </c>
      <c r="E2" s="1779">
        <f>ROUND(E32-未审资负表!$G$39,2)</f>
        <v>0</v>
      </c>
      <c r="F2" s="1779">
        <f>ROUND(F32-未审资负表!$G$40,2)</f>
        <v>0</v>
      </c>
      <c r="G2" s="1779">
        <f>ROUND(G32-未审资负表!$G$41-未审资负表!$G$42,2)</f>
        <v>0</v>
      </c>
      <c r="H2" s="1780" t="s">
        <v>277</v>
      </c>
    </row>
    <row r="3" ht="15" customHeight="1" spans="1:8">
      <c r="A3" s="1781" t="str">
        <f>"编制单位："&amp;参数表!C3</f>
        <v>编制单位：石嘴山市深阳蓝光市政工程有限公司</v>
      </c>
      <c r="B3" s="1782"/>
      <c r="C3" s="1782"/>
      <c r="D3" s="1782" t="str">
        <f>参数表!D7</f>
        <v>2016年度</v>
      </c>
      <c r="E3" s="1782"/>
      <c r="F3" s="1782"/>
      <c r="G3" s="1782"/>
      <c r="H3" s="1780" t="str">
        <f>"金额单位："&amp;参数表!F11</f>
        <v>金额单位：人民币元</v>
      </c>
    </row>
    <row r="4" s="2157" customFormat="1" ht="13.5" spans="1:8">
      <c r="A4" s="1783" t="s">
        <v>60</v>
      </c>
      <c r="B4" s="1802" t="str">
        <f>未审利润表!C4</f>
        <v>本年金额</v>
      </c>
      <c r="C4" s="1803"/>
      <c r="D4" s="1803"/>
      <c r="E4" s="1803"/>
      <c r="F4" s="1803"/>
      <c r="G4" s="1803"/>
      <c r="H4" s="1804"/>
    </row>
    <row r="5" s="2157" customFormat="1" spans="1:8">
      <c r="A5" s="1787"/>
      <c r="B5" s="1805"/>
      <c r="C5" s="1806"/>
      <c r="D5" s="1806"/>
      <c r="E5" s="1806"/>
      <c r="F5" s="1806"/>
      <c r="G5" s="1806"/>
      <c r="H5" s="1807"/>
    </row>
    <row r="6" s="2157" customFormat="1" ht="15" customHeight="1" spans="1:8">
      <c r="A6" s="1787"/>
      <c r="B6" s="1791" t="s">
        <v>278</v>
      </c>
      <c r="C6" s="1791" t="s">
        <v>252</v>
      </c>
      <c r="D6" s="1791" t="s">
        <v>254</v>
      </c>
      <c r="E6" s="1791" t="s">
        <v>255</v>
      </c>
      <c r="F6" s="1791" t="s">
        <v>257</v>
      </c>
      <c r="G6" s="1791" t="s">
        <v>279</v>
      </c>
      <c r="H6" s="1792" t="s">
        <v>262</v>
      </c>
    </row>
    <row r="7" ht="15" customHeight="1" spans="1:8">
      <c r="A7" s="1793" t="s">
        <v>280</v>
      </c>
      <c r="B7" s="1794"/>
      <c r="C7" s="1794"/>
      <c r="D7" s="1794"/>
      <c r="E7" s="1794"/>
      <c r="F7" s="1794"/>
      <c r="G7" s="1794"/>
      <c r="H7" s="1795">
        <f>ROUND(SUM(B7:G7)-2*D7,2)</f>
        <v>0</v>
      </c>
    </row>
    <row r="8" ht="15" customHeight="1" spans="1:8">
      <c r="A8" s="1796" t="s">
        <v>281</v>
      </c>
      <c r="B8" s="1794"/>
      <c r="C8" s="1794"/>
      <c r="D8" s="1794"/>
      <c r="E8" s="1794"/>
      <c r="F8" s="1794"/>
      <c r="G8" s="1794"/>
      <c r="H8" s="1795">
        <f t="shared" ref="H8:H32" si="0">ROUND(SUM(B8:G8)-2*D8,2)</f>
        <v>0</v>
      </c>
    </row>
    <row r="9" ht="15" customHeight="1" spans="1:8">
      <c r="A9" s="1796" t="s">
        <v>282</v>
      </c>
      <c r="B9" s="1797">
        <f t="shared" ref="B9:G9" si="1">ROUND(B10-B7-B8,2)</f>
        <v>0</v>
      </c>
      <c r="C9" s="1797">
        <f t="shared" si="1"/>
        <v>0</v>
      </c>
      <c r="D9" s="1797">
        <f t="shared" si="1"/>
        <v>0</v>
      </c>
      <c r="E9" s="1797">
        <f t="shared" si="1"/>
        <v>0</v>
      </c>
      <c r="F9" s="1797">
        <f t="shared" si="1"/>
        <v>0</v>
      </c>
      <c r="G9" s="1797">
        <f t="shared" si="1"/>
        <v>0</v>
      </c>
      <c r="H9" s="1795">
        <f t="shared" si="0"/>
        <v>0</v>
      </c>
    </row>
    <row r="10" ht="15" customHeight="1" spans="1:8">
      <c r="A10" s="1793" t="s">
        <v>283</v>
      </c>
      <c r="B10" s="1797">
        <f t="shared" ref="B10:G10" si="2">ROUND(B64,2)</f>
        <v>0</v>
      </c>
      <c r="C10" s="1797">
        <f t="shared" si="2"/>
        <v>0</v>
      </c>
      <c r="D10" s="1797">
        <f t="shared" si="2"/>
        <v>0</v>
      </c>
      <c r="E10" s="1797">
        <f t="shared" si="2"/>
        <v>0</v>
      </c>
      <c r="F10" s="1797">
        <f t="shared" si="2"/>
        <v>0</v>
      </c>
      <c r="G10" s="1797">
        <f t="shared" si="2"/>
        <v>0</v>
      </c>
      <c r="H10" s="1795">
        <f t="shared" si="0"/>
        <v>0</v>
      </c>
    </row>
    <row r="11" ht="15" customHeight="1" spans="1:8">
      <c r="A11" s="1793" t="s">
        <v>284</v>
      </c>
      <c r="B11" s="1797">
        <f t="shared" ref="B11:G11" si="3">ROUND(B18+B19+B23+B27,2)</f>
        <v>0</v>
      </c>
      <c r="C11" s="1797">
        <f t="shared" si="3"/>
        <v>0</v>
      </c>
      <c r="D11" s="1797">
        <f t="shared" si="3"/>
        <v>0</v>
      </c>
      <c r="E11" s="1797">
        <f t="shared" si="3"/>
        <v>0</v>
      </c>
      <c r="F11" s="1797">
        <f t="shared" si="3"/>
        <v>0</v>
      </c>
      <c r="G11" s="1797">
        <f t="shared" si="3"/>
        <v>0</v>
      </c>
      <c r="H11" s="1795">
        <f t="shared" si="0"/>
        <v>0</v>
      </c>
    </row>
    <row r="12" ht="15" customHeight="1" spans="1:8">
      <c r="A12" s="1793" t="s">
        <v>285</v>
      </c>
      <c r="B12" s="1797"/>
      <c r="C12" s="1797"/>
      <c r="D12" s="1797"/>
      <c r="E12" s="1797"/>
      <c r="F12" s="1797">
        <f>ROUND(未审利润表!C24,2)</f>
        <v>0</v>
      </c>
      <c r="G12" s="1797"/>
      <c r="H12" s="1795">
        <f t="shared" si="0"/>
        <v>0</v>
      </c>
    </row>
    <row r="13" ht="15" customHeight="1" spans="1:8">
      <c r="A13" s="1793" t="s">
        <v>286</v>
      </c>
      <c r="B13" s="1797">
        <f t="shared" ref="B13:G13" si="4">ROUND(B14+B15+B16+B17,2)</f>
        <v>0</v>
      </c>
      <c r="C13" s="1797">
        <f t="shared" si="4"/>
        <v>0</v>
      </c>
      <c r="D13" s="1797">
        <f t="shared" si="4"/>
        <v>0</v>
      </c>
      <c r="E13" s="1797">
        <f t="shared" si="4"/>
        <v>0</v>
      </c>
      <c r="F13" s="1797">
        <f t="shared" si="4"/>
        <v>0</v>
      </c>
      <c r="G13" s="1797">
        <f t="shared" si="4"/>
        <v>0</v>
      </c>
      <c r="H13" s="1795">
        <f t="shared" si="0"/>
        <v>0</v>
      </c>
    </row>
    <row r="14" ht="15" customHeight="1" spans="1:8">
      <c r="A14" s="1798" t="s">
        <v>287</v>
      </c>
      <c r="B14" s="1794"/>
      <c r="C14" s="1794"/>
      <c r="D14" s="1794"/>
      <c r="E14" s="1794"/>
      <c r="F14" s="1794"/>
      <c r="G14" s="1794"/>
      <c r="H14" s="1795">
        <f t="shared" si="0"/>
        <v>0</v>
      </c>
    </row>
    <row r="15" ht="15" customHeight="1" spans="1:8">
      <c r="A15" s="1798" t="s">
        <v>288</v>
      </c>
      <c r="B15" s="1794"/>
      <c r="C15" s="1794"/>
      <c r="D15" s="1794"/>
      <c r="E15" s="1794"/>
      <c r="F15" s="1794"/>
      <c r="G15" s="1794"/>
      <c r="H15" s="1795">
        <f t="shared" si="0"/>
        <v>0</v>
      </c>
    </row>
    <row r="16" ht="15" customHeight="1" spans="1:8">
      <c r="A16" s="1798" t="s">
        <v>289</v>
      </c>
      <c r="B16" s="1794"/>
      <c r="C16" s="1794"/>
      <c r="D16" s="1794"/>
      <c r="E16" s="1794"/>
      <c r="F16" s="1794"/>
      <c r="G16" s="1794"/>
      <c r="H16" s="1795">
        <f t="shared" si="0"/>
        <v>0</v>
      </c>
    </row>
    <row r="17" ht="15" customHeight="1" spans="1:8">
      <c r="A17" s="1798" t="s">
        <v>290</v>
      </c>
      <c r="B17" s="1794"/>
      <c r="C17" s="1794"/>
      <c r="D17" s="1794"/>
      <c r="E17" s="1794"/>
      <c r="F17" s="1794"/>
      <c r="G17" s="1794"/>
      <c r="H17" s="1795">
        <f t="shared" si="0"/>
        <v>0</v>
      </c>
    </row>
    <row r="18" ht="15" customHeight="1" spans="1:8">
      <c r="A18" s="1793" t="s">
        <v>291</v>
      </c>
      <c r="B18" s="1797">
        <f t="shared" ref="B18:G18" si="5">ROUND(B12+B13,2)</f>
        <v>0</v>
      </c>
      <c r="C18" s="1797">
        <f t="shared" si="5"/>
        <v>0</v>
      </c>
      <c r="D18" s="1797">
        <f t="shared" si="5"/>
        <v>0</v>
      </c>
      <c r="E18" s="1797">
        <f t="shared" si="5"/>
        <v>0</v>
      </c>
      <c r="F18" s="1797">
        <f t="shared" si="5"/>
        <v>0</v>
      </c>
      <c r="G18" s="1797">
        <f t="shared" si="5"/>
        <v>0</v>
      </c>
      <c r="H18" s="1795">
        <f t="shared" si="0"/>
        <v>0</v>
      </c>
    </row>
    <row r="19" ht="15" customHeight="1" spans="1:8">
      <c r="A19" s="1793" t="s">
        <v>292</v>
      </c>
      <c r="B19" s="1797">
        <f t="shared" ref="B19:G19" si="6">ROUND(B20+B21+B22,2)</f>
        <v>0</v>
      </c>
      <c r="C19" s="1797">
        <f t="shared" si="6"/>
        <v>0</v>
      </c>
      <c r="D19" s="1797">
        <f t="shared" si="6"/>
        <v>0</v>
      </c>
      <c r="E19" s="1797">
        <f t="shared" si="6"/>
        <v>0</v>
      </c>
      <c r="F19" s="1797">
        <f t="shared" si="6"/>
        <v>0</v>
      </c>
      <c r="G19" s="1797">
        <f t="shared" si="6"/>
        <v>0</v>
      </c>
      <c r="H19" s="1795">
        <f t="shared" si="0"/>
        <v>0</v>
      </c>
    </row>
    <row r="20" ht="15" customHeight="1" spans="1:8">
      <c r="A20" s="1798" t="s">
        <v>293</v>
      </c>
      <c r="B20" s="1794"/>
      <c r="C20" s="1794"/>
      <c r="D20" s="1794"/>
      <c r="E20" s="1794"/>
      <c r="F20" s="1794"/>
      <c r="G20" s="1794"/>
      <c r="H20" s="1795">
        <f t="shared" si="0"/>
        <v>0</v>
      </c>
    </row>
    <row r="21" ht="15" customHeight="1" spans="1:8">
      <c r="A21" s="1798" t="s">
        <v>294</v>
      </c>
      <c r="B21" s="1794"/>
      <c r="C21" s="1794"/>
      <c r="D21" s="1794"/>
      <c r="E21" s="1794"/>
      <c r="F21" s="1794"/>
      <c r="G21" s="1794"/>
      <c r="H21" s="1795">
        <f t="shared" si="0"/>
        <v>0</v>
      </c>
    </row>
    <row r="22" ht="15" customHeight="1" spans="1:8">
      <c r="A22" s="1798" t="s">
        <v>295</v>
      </c>
      <c r="B22" s="1794"/>
      <c r="C22" s="1794"/>
      <c r="D22" s="1794"/>
      <c r="E22" s="1794"/>
      <c r="F22" s="1794"/>
      <c r="G22" s="1794"/>
      <c r="H22" s="1795">
        <f t="shared" si="0"/>
        <v>0</v>
      </c>
    </row>
    <row r="23" ht="15" customHeight="1" spans="1:8">
      <c r="A23" s="1793" t="s">
        <v>296</v>
      </c>
      <c r="B23" s="1797">
        <f t="shared" ref="B23:G23" si="7">ROUND(B24+B25+B26,2)</f>
        <v>0</v>
      </c>
      <c r="C23" s="1797">
        <f t="shared" si="7"/>
        <v>0</v>
      </c>
      <c r="D23" s="1797">
        <f t="shared" si="7"/>
        <v>0</v>
      </c>
      <c r="E23" s="1797">
        <f t="shared" si="7"/>
        <v>0</v>
      </c>
      <c r="F23" s="1797">
        <f t="shared" si="7"/>
        <v>0</v>
      </c>
      <c r="G23" s="1797">
        <f t="shared" si="7"/>
        <v>0</v>
      </c>
      <c r="H23" s="1795">
        <f t="shared" si="0"/>
        <v>0</v>
      </c>
    </row>
    <row r="24" ht="15" customHeight="1" spans="1:8">
      <c r="A24" s="1798" t="s">
        <v>297</v>
      </c>
      <c r="B24" s="1794"/>
      <c r="C24" s="1794"/>
      <c r="D24" s="1794"/>
      <c r="E24" s="1794"/>
      <c r="F24" s="1794"/>
      <c r="G24" s="1794"/>
      <c r="H24" s="1795">
        <f t="shared" si="0"/>
        <v>0</v>
      </c>
    </row>
    <row r="25" ht="15" customHeight="1" spans="1:8">
      <c r="A25" s="1798" t="s">
        <v>298</v>
      </c>
      <c r="B25" s="1794"/>
      <c r="C25" s="1794"/>
      <c r="D25" s="1794"/>
      <c r="E25" s="1794"/>
      <c r="F25" s="1794"/>
      <c r="G25" s="1794"/>
      <c r="H25" s="1795">
        <f t="shared" si="0"/>
        <v>0</v>
      </c>
    </row>
    <row r="26" ht="15" customHeight="1" spans="1:8">
      <c r="A26" s="1798" t="s">
        <v>295</v>
      </c>
      <c r="B26" s="1794"/>
      <c r="C26" s="1794"/>
      <c r="D26" s="1794"/>
      <c r="E26" s="1794"/>
      <c r="F26" s="1794"/>
      <c r="G26" s="1794"/>
      <c r="H26" s="1795">
        <f t="shared" si="0"/>
        <v>0</v>
      </c>
    </row>
    <row r="27" ht="15" customHeight="1" spans="1:8">
      <c r="A27" s="1793" t="s">
        <v>299</v>
      </c>
      <c r="B27" s="1797">
        <f t="shared" ref="B27:G27" si="8">ROUND(B28+B29+B30+B31,2)</f>
        <v>0</v>
      </c>
      <c r="C27" s="1797">
        <f t="shared" si="8"/>
        <v>0</v>
      </c>
      <c r="D27" s="1797">
        <f t="shared" si="8"/>
        <v>0</v>
      </c>
      <c r="E27" s="1797">
        <f t="shared" si="8"/>
        <v>0</v>
      </c>
      <c r="F27" s="1797">
        <f t="shared" si="8"/>
        <v>0</v>
      </c>
      <c r="G27" s="1797">
        <f t="shared" si="8"/>
        <v>0</v>
      </c>
      <c r="H27" s="1795">
        <f t="shared" si="0"/>
        <v>0</v>
      </c>
    </row>
    <row r="28" ht="15" customHeight="1" spans="1:8">
      <c r="A28" s="1798" t="s">
        <v>300</v>
      </c>
      <c r="B28" s="1794"/>
      <c r="C28" s="1794"/>
      <c r="D28" s="1794"/>
      <c r="E28" s="1794"/>
      <c r="F28" s="1794"/>
      <c r="G28" s="1794"/>
      <c r="H28" s="1795">
        <f t="shared" si="0"/>
        <v>0</v>
      </c>
    </row>
    <row r="29" ht="15" customHeight="1" spans="1:8">
      <c r="A29" s="1798" t="s">
        <v>301</v>
      </c>
      <c r="B29" s="1794"/>
      <c r="C29" s="1794"/>
      <c r="D29" s="1794"/>
      <c r="E29" s="1794"/>
      <c r="F29" s="1794"/>
      <c r="G29" s="1794"/>
      <c r="H29" s="1795">
        <f t="shared" si="0"/>
        <v>0</v>
      </c>
    </row>
    <row r="30" ht="15" customHeight="1" spans="1:8">
      <c r="A30" s="1798" t="s">
        <v>302</v>
      </c>
      <c r="B30" s="1794"/>
      <c r="C30" s="1794"/>
      <c r="D30" s="1794"/>
      <c r="E30" s="1794"/>
      <c r="F30" s="1794"/>
      <c r="G30" s="1794"/>
      <c r="H30" s="1795">
        <f t="shared" si="0"/>
        <v>0</v>
      </c>
    </row>
    <row r="31" ht="15" customHeight="1" spans="1:8">
      <c r="A31" s="1798" t="s">
        <v>290</v>
      </c>
      <c r="B31" s="1794"/>
      <c r="C31" s="1794"/>
      <c r="D31" s="1794"/>
      <c r="E31" s="1794"/>
      <c r="F31" s="1794"/>
      <c r="G31" s="1794"/>
      <c r="H31" s="1795">
        <f t="shared" si="0"/>
        <v>0</v>
      </c>
    </row>
    <row r="32" ht="15" customHeight="1" spans="1:8">
      <c r="A32" s="1799" t="s">
        <v>303</v>
      </c>
      <c r="B32" s="1800">
        <f t="shared" ref="B32:G32" si="9">ROUND(B10+B11,2)</f>
        <v>0</v>
      </c>
      <c r="C32" s="1800">
        <f t="shared" si="9"/>
        <v>0</v>
      </c>
      <c r="D32" s="1800">
        <f t="shared" si="9"/>
        <v>0</v>
      </c>
      <c r="E32" s="1800">
        <f t="shared" si="9"/>
        <v>0</v>
      </c>
      <c r="F32" s="1800">
        <f t="shared" si="9"/>
        <v>0</v>
      </c>
      <c r="G32" s="1800">
        <f t="shared" si="9"/>
        <v>0</v>
      </c>
      <c r="H32" s="1801">
        <f t="shared" si="0"/>
        <v>0</v>
      </c>
    </row>
    <row r="33" ht="26.25" spans="1:8">
      <c r="A33" s="1777" t="s">
        <v>276</v>
      </c>
      <c r="B33" s="1777"/>
      <c r="C33" s="1777"/>
      <c r="D33" s="1777"/>
      <c r="E33" s="1777"/>
      <c r="F33" s="1777"/>
      <c r="G33" s="1777"/>
      <c r="H33" s="1777"/>
    </row>
    <row r="34" ht="15" customHeight="1" spans="1:8">
      <c r="A34" s="1778" t="str">
        <f>IF(OR(ABS(B34)&lt;&gt;0,ABS(C34)&lt;&gt;0,ABS(D34)&lt;&gt;0,ABS(E34)&lt;&gt;0,ABS(F34)&lt;&gt;0,ABS(G34)&lt;&gt;0),"上期期末余额与资产负债表不符，相差：","")</f>
        <v/>
      </c>
      <c r="B34" s="1779">
        <f>ROUND(B64-未审资负表!$H$36,2)</f>
        <v>0</v>
      </c>
      <c r="C34" s="1779">
        <f>ROUND(C64-未审资负表!$H$37,2)</f>
        <v>0</v>
      </c>
      <c r="D34" s="1779">
        <f>ROUND(D64-未审资负表!$H$38,2)</f>
        <v>0</v>
      </c>
      <c r="E34" s="1779">
        <f>ROUND(E64-未审资负表!$H$39,2)</f>
        <v>0</v>
      </c>
      <c r="F34" s="1779">
        <f>ROUND(F64-未审资负表!$H$40,2)</f>
        <v>0</v>
      </c>
      <c r="G34" s="1779">
        <f>ROUND(G64-未审资负表!$H$41-未审资负表!$H$42,2)</f>
        <v>0</v>
      </c>
      <c r="H34" s="1780" t="s">
        <v>304</v>
      </c>
    </row>
    <row r="35" ht="15" customHeight="1" spans="1:8">
      <c r="A35" s="1781" t="str">
        <f>"编制单位："&amp;参数表!C3</f>
        <v>编制单位：石嘴山市深阳蓝光市政工程有限公司</v>
      </c>
      <c r="B35" s="1782"/>
      <c r="C35" s="1782"/>
      <c r="D35" s="1782" t="str">
        <f>参数表!D7</f>
        <v>2016年度</v>
      </c>
      <c r="E35" s="1782"/>
      <c r="F35" s="1782"/>
      <c r="G35" s="1782"/>
      <c r="H35" s="1780" t="str">
        <f>"金额单位："&amp;参数表!F11</f>
        <v>金额单位：人民币元</v>
      </c>
    </row>
    <row r="36" s="2157" customFormat="1" ht="13.5" spans="1:8">
      <c r="A36" s="1783" t="s">
        <v>60</v>
      </c>
      <c r="B36" s="1802" t="str">
        <f>未审利润表!D4</f>
        <v>上年金额</v>
      </c>
      <c r="C36" s="1803"/>
      <c r="D36" s="1803"/>
      <c r="E36" s="1803"/>
      <c r="F36" s="1803"/>
      <c r="G36" s="1803"/>
      <c r="H36" s="1804"/>
    </row>
    <row r="37" s="2157" customFormat="1" spans="1:8">
      <c r="A37" s="1787"/>
      <c r="B37" s="1805"/>
      <c r="C37" s="1806"/>
      <c r="D37" s="1806"/>
      <c r="E37" s="1806"/>
      <c r="F37" s="1806"/>
      <c r="G37" s="1806"/>
      <c r="H37" s="1807"/>
    </row>
    <row r="38" s="2157" customFormat="1" ht="15" customHeight="1" spans="1:8">
      <c r="A38" s="1787"/>
      <c r="B38" s="1791" t="s">
        <v>278</v>
      </c>
      <c r="C38" s="1791" t="s">
        <v>252</v>
      </c>
      <c r="D38" s="1791" t="s">
        <v>254</v>
      </c>
      <c r="E38" s="1791" t="s">
        <v>255</v>
      </c>
      <c r="F38" s="1791" t="s">
        <v>257</v>
      </c>
      <c r="G38" s="1791" t="s">
        <v>279</v>
      </c>
      <c r="H38" s="1792" t="s">
        <v>262</v>
      </c>
    </row>
    <row r="39" ht="15" customHeight="1" spans="1:8">
      <c r="A39" s="1793" t="s">
        <v>280</v>
      </c>
      <c r="B39" s="1794"/>
      <c r="C39" s="1794"/>
      <c r="D39" s="1794"/>
      <c r="E39" s="1794"/>
      <c r="F39" s="1794"/>
      <c r="G39" s="1794"/>
      <c r="H39" s="1795">
        <f t="shared" ref="H39:H64" si="10">ROUND(SUM(B39:G39)-2*D39,2)</f>
        <v>0</v>
      </c>
    </row>
    <row r="40" ht="15" customHeight="1" spans="1:8">
      <c r="A40" s="1796" t="s">
        <v>281</v>
      </c>
      <c r="B40" s="1794"/>
      <c r="C40" s="1794"/>
      <c r="D40" s="1794"/>
      <c r="E40" s="1794"/>
      <c r="F40" s="1794"/>
      <c r="G40" s="1794"/>
      <c r="H40" s="1795">
        <f t="shared" si="10"/>
        <v>0</v>
      </c>
    </row>
    <row r="41" ht="15" customHeight="1" spans="1:8">
      <c r="A41" s="1796" t="s">
        <v>282</v>
      </c>
      <c r="B41" s="1794"/>
      <c r="C41" s="1794"/>
      <c r="D41" s="1794"/>
      <c r="E41" s="1794"/>
      <c r="F41" s="1797">
        <f>ROUND(F42-F39-F40,2)</f>
        <v>0</v>
      </c>
      <c r="G41" s="1794"/>
      <c r="H41" s="1795">
        <f t="shared" si="10"/>
        <v>0</v>
      </c>
    </row>
    <row r="42" ht="15" customHeight="1" spans="1:8">
      <c r="A42" s="1793" t="s">
        <v>283</v>
      </c>
      <c r="B42" s="1797">
        <f t="shared" ref="B42:G42" si="11">ROUND(B39+B40+B41,2)</f>
        <v>0</v>
      </c>
      <c r="C42" s="1797">
        <f t="shared" si="11"/>
        <v>0</v>
      </c>
      <c r="D42" s="1797">
        <f t="shared" si="11"/>
        <v>0</v>
      </c>
      <c r="E42" s="1797">
        <f t="shared" si="11"/>
        <v>0</v>
      </c>
      <c r="F42" s="1797">
        <f>ROUND(未审利润表!D37,2)</f>
        <v>0</v>
      </c>
      <c r="G42" s="1797">
        <f t="shared" si="11"/>
        <v>0</v>
      </c>
      <c r="H42" s="1795">
        <f t="shared" si="10"/>
        <v>0</v>
      </c>
    </row>
    <row r="43" ht="15" customHeight="1" spans="1:8">
      <c r="A43" s="1793" t="s">
        <v>284</v>
      </c>
      <c r="B43" s="1797">
        <f t="shared" ref="B43:G43" si="12">ROUND(B50+B51+B55+B59,2)</f>
        <v>0</v>
      </c>
      <c r="C43" s="1797">
        <f t="shared" si="12"/>
        <v>0</v>
      </c>
      <c r="D43" s="1797">
        <f t="shared" si="12"/>
        <v>0</v>
      </c>
      <c r="E43" s="1797">
        <f t="shared" si="12"/>
        <v>0</v>
      </c>
      <c r="F43" s="1797">
        <f t="shared" si="12"/>
        <v>0</v>
      </c>
      <c r="G43" s="1797">
        <f t="shared" si="12"/>
        <v>0</v>
      </c>
      <c r="H43" s="1795">
        <f t="shared" si="10"/>
        <v>0</v>
      </c>
    </row>
    <row r="44" ht="15" customHeight="1" spans="1:8">
      <c r="A44" s="1793" t="s">
        <v>285</v>
      </c>
      <c r="B44" s="1797"/>
      <c r="C44" s="1797"/>
      <c r="D44" s="1797"/>
      <c r="E44" s="1797"/>
      <c r="F44" s="1797">
        <f>ROUND(未审利润表!D24,2)</f>
        <v>0</v>
      </c>
      <c r="G44" s="1797"/>
      <c r="H44" s="1795">
        <f t="shared" si="10"/>
        <v>0</v>
      </c>
    </row>
    <row r="45" ht="15" customHeight="1" spans="1:8">
      <c r="A45" s="1793" t="s">
        <v>286</v>
      </c>
      <c r="B45" s="1797">
        <f t="shared" ref="B45:G45" si="13">ROUND(B46+B47+B48+B49,2)</f>
        <v>0</v>
      </c>
      <c r="C45" s="1797">
        <f t="shared" si="13"/>
        <v>0</v>
      </c>
      <c r="D45" s="1797">
        <f t="shared" si="13"/>
        <v>0</v>
      </c>
      <c r="E45" s="1797">
        <f t="shared" si="13"/>
        <v>0</v>
      </c>
      <c r="F45" s="1797">
        <f t="shared" si="13"/>
        <v>0</v>
      </c>
      <c r="G45" s="1797">
        <f t="shared" si="13"/>
        <v>0</v>
      </c>
      <c r="H45" s="1795">
        <f t="shared" si="10"/>
        <v>0</v>
      </c>
    </row>
    <row r="46" ht="15" customHeight="1" spans="1:8">
      <c r="A46" s="1798" t="s">
        <v>287</v>
      </c>
      <c r="B46" s="1794"/>
      <c r="C46" s="1794"/>
      <c r="D46" s="1794"/>
      <c r="E46" s="1794"/>
      <c r="F46" s="1794"/>
      <c r="G46" s="1794"/>
      <c r="H46" s="1795">
        <f t="shared" si="10"/>
        <v>0</v>
      </c>
    </row>
    <row r="47" ht="15" customHeight="1" spans="1:8">
      <c r="A47" s="1798" t="s">
        <v>288</v>
      </c>
      <c r="B47" s="1794"/>
      <c r="C47" s="1794"/>
      <c r="D47" s="1794"/>
      <c r="E47" s="1794"/>
      <c r="F47" s="1794"/>
      <c r="G47" s="1794"/>
      <c r="H47" s="1795">
        <f t="shared" si="10"/>
        <v>0</v>
      </c>
    </row>
    <row r="48" ht="15" customHeight="1" spans="1:8">
      <c r="A48" s="1798" t="s">
        <v>289</v>
      </c>
      <c r="B48" s="1794"/>
      <c r="C48" s="1794"/>
      <c r="D48" s="1794"/>
      <c r="E48" s="1794"/>
      <c r="F48" s="1794"/>
      <c r="G48" s="1794"/>
      <c r="H48" s="1795">
        <f t="shared" si="10"/>
        <v>0</v>
      </c>
    </row>
    <row r="49" ht="15" customHeight="1" spans="1:8">
      <c r="A49" s="1798" t="s">
        <v>290</v>
      </c>
      <c r="B49" s="1794"/>
      <c r="C49" s="1794"/>
      <c r="D49" s="1794"/>
      <c r="E49" s="1794"/>
      <c r="F49" s="1794"/>
      <c r="G49" s="1794"/>
      <c r="H49" s="1795">
        <f t="shared" si="10"/>
        <v>0</v>
      </c>
    </row>
    <row r="50" ht="15" customHeight="1" spans="1:8">
      <c r="A50" s="1793" t="s">
        <v>291</v>
      </c>
      <c r="B50" s="1797">
        <f t="shared" ref="B50:G50" si="14">ROUND(B44+B45,2)</f>
        <v>0</v>
      </c>
      <c r="C50" s="1797">
        <f t="shared" si="14"/>
        <v>0</v>
      </c>
      <c r="D50" s="1797">
        <f t="shared" si="14"/>
        <v>0</v>
      </c>
      <c r="E50" s="1797">
        <f t="shared" si="14"/>
        <v>0</v>
      </c>
      <c r="F50" s="1797">
        <f t="shared" si="14"/>
        <v>0</v>
      </c>
      <c r="G50" s="1797">
        <f t="shared" si="14"/>
        <v>0</v>
      </c>
      <c r="H50" s="1795">
        <f t="shared" si="10"/>
        <v>0</v>
      </c>
    </row>
    <row r="51" ht="15" customHeight="1" spans="1:8">
      <c r="A51" s="1793" t="s">
        <v>292</v>
      </c>
      <c r="B51" s="1797">
        <f t="shared" ref="B51:G51" si="15">ROUND(B52+B53+B54,2)</f>
        <v>0</v>
      </c>
      <c r="C51" s="1797">
        <f t="shared" si="15"/>
        <v>0</v>
      </c>
      <c r="D51" s="1797">
        <f t="shared" si="15"/>
        <v>0</v>
      </c>
      <c r="E51" s="1797">
        <f t="shared" si="15"/>
        <v>0</v>
      </c>
      <c r="F51" s="1797">
        <f t="shared" si="15"/>
        <v>0</v>
      </c>
      <c r="G51" s="1797">
        <f t="shared" si="15"/>
        <v>0</v>
      </c>
      <c r="H51" s="1795">
        <f t="shared" si="10"/>
        <v>0</v>
      </c>
    </row>
    <row r="52" ht="15" customHeight="1" spans="1:8">
      <c r="A52" s="1798" t="s">
        <v>293</v>
      </c>
      <c r="B52" s="1794"/>
      <c r="C52" s="1794"/>
      <c r="D52" s="1794"/>
      <c r="E52" s="1794"/>
      <c r="F52" s="1794"/>
      <c r="G52" s="1794"/>
      <c r="H52" s="1795">
        <f t="shared" si="10"/>
        <v>0</v>
      </c>
    </row>
    <row r="53" ht="15" customHeight="1" spans="1:8">
      <c r="A53" s="1798" t="s">
        <v>294</v>
      </c>
      <c r="B53" s="1794"/>
      <c r="C53" s="1794"/>
      <c r="D53" s="1794"/>
      <c r="E53" s="1794"/>
      <c r="F53" s="1794"/>
      <c r="G53" s="1794"/>
      <c r="H53" s="1795">
        <f t="shared" si="10"/>
        <v>0</v>
      </c>
    </row>
    <row r="54" ht="15" customHeight="1" spans="1:8">
      <c r="A54" s="1798" t="s">
        <v>295</v>
      </c>
      <c r="B54" s="1794"/>
      <c r="C54" s="1794"/>
      <c r="D54" s="1794"/>
      <c r="E54" s="1794"/>
      <c r="F54" s="1794"/>
      <c r="G54" s="1794"/>
      <c r="H54" s="1795">
        <f t="shared" si="10"/>
        <v>0</v>
      </c>
    </row>
    <row r="55" ht="15" customHeight="1" spans="1:8">
      <c r="A55" s="1793" t="s">
        <v>296</v>
      </c>
      <c r="B55" s="1797">
        <f t="shared" ref="B55:G55" si="16">ROUND(B56+B57+B58,2)</f>
        <v>0</v>
      </c>
      <c r="C55" s="1797">
        <f t="shared" si="16"/>
        <v>0</v>
      </c>
      <c r="D55" s="1797">
        <f t="shared" si="16"/>
        <v>0</v>
      </c>
      <c r="E55" s="1797">
        <f t="shared" si="16"/>
        <v>0</v>
      </c>
      <c r="F55" s="1797">
        <f t="shared" si="16"/>
        <v>0</v>
      </c>
      <c r="G55" s="1797">
        <f t="shared" si="16"/>
        <v>0</v>
      </c>
      <c r="H55" s="1795">
        <f t="shared" si="10"/>
        <v>0</v>
      </c>
    </row>
    <row r="56" ht="15" customHeight="1" spans="1:8">
      <c r="A56" s="1798" t="s">
        <v>297</v>
      </c>
      <c r="B56" s="1794"/>
      <c r="C56" s="1794"/>
      <c r="D56" s="1794"/>
      <c r="E56" s="1794"/>
      <c r="F56" s="1794"/>
      <c r="G56" s="1794"/>
      <c r="H56" s="1795">
        <f t="shared" si="10"/>
        <v>0</v>
      </c>
    </row>
    <row r="57" ht="15" customHeight="1" spans="1:8">
      <c r="A57" s="1798" t="s">
        <v>298</v>
      </c>
      <c r="B57" s="1794"/>
      <c r="C57" s="1794"/>
      <c r="D57" s="1794"/>
      <c r="E57" s="1794"/>
      <c r="F57" s="1794"/>
      <c r="G57" s="1794"/>
      <c r="H57" s="1795">
        <f t="shared" si="10"/>
        <v>0</v>
      </c>
    </row>
    <row r="58" ht="15" customHeight="1" spans="1:8">
      <c r="A58" s="1798" t="s">
        <v>295</v>
      </c>
      <c r="B58" s="1794"/>
      <c r="C58" s="1794"/>
      <c r="D58" s="1794"/>
      <c r="E58" s="1794"/>
      <c r="F58" s="1794"/>
      <c r="G58" s="1794"/>
      <c r="H58" s="1795">
        <f t="shared" si="10"/>
        <v>0</v>
      </c>
    </row>
    <row r="59" ht="15" customHeight="1" spans="1:8">
      <c r="A59" s="1793" t="s">
        <v>299</v>
      </c>
      <c r="B59" s="1797">
        <f t="shared" ref="B59:G59" si="17">ROUND(B60+B61+B62+B63,2)</f>
        <v>0</v>
      </c>
      <c r="C59" s="1797">
        <f t="shared" si="17"/>
        <v>0</v>
      </c>
      <c r="D59" s="1797">
        <f t="shared" si="17"/>
        <v>0</v>
      </c>
      <c r="E59" s="1797">
        <f t="shared" si="17"/>
        <v>0</v>
      </c>
      <c r="F59" s="1797">
        <f t="shared" si="17"/>
        <v>0</v>
      </c>
      <c r="G59" s="1797">
        <f t="shared" si="17"/>
        <v>0</v>
      </c>
      <c r="H59" s="1795">
        <f t="shared" si="10"/>
        <v>0</v>
      </c>
    </row>
    <row r="60" ht="15" customHeight="1" spans="1:8">
      <c r="A60" s="1798" t="s">
        <v>300</v>
      </c>
      <c r="B60" s="1794"/>
      <c r="C60" s="1794"/>
      <c r="D60" s="1794"/>
      <c r="E60" s="1794"/>
      <c r="F60" s="1794"/>
      <c r="G60" s="1794"/>
      <c r="H60" s="1795">
        <f t="shared" si="10"/>
        <v>0</v>
      </c>
    </row>
    <row r="61" ht="15" customHeight="1" spans="1:8">
      <c r="A61" s="1798" t="s">
        <v>301</v>
      </c>
      <c r="B61" s="1794"/>
      <c r="C61" s="1794"/>
      <c r="D61" s="1794"/>
      <c r="E61" s="1794"/>
      <c r="F61" s="1794"/>
      <c r="G61" s="1794"/>
      <c r="H61" s="1795">
        <f t="shared" si="10"/>
        <v>0</v>
      </c>
    </row>
    <row r="62" ht="15" customHeight="1" spans="1:8">
      <c r="A62" s="1798" t="s">
        <v>302</v>
      </c>
      <c r="B62" s="1794"/>
      <c r="C62" s="1794"/>
      <c r="D62" s="1794"/>
      <c r="E62" s="1794"/>
      <c r="F62" s="1794"/>
      <c r="G62" s="1794"/>
      <c r="H62" s="1795">
        <f t="shared" si="10"/>
        <v>0</v>
      </c>
    </row>
    <row r="63" ht="15" customHeight="1" spans="1:8">
      <c r="A63" s="1798" t="s">
        <v>290</v>
      </c>
      <c r="B63" s="1794"/>
      <c r="C63" s="1794"/>
      <c r="D63" s="1794"/>
      <c r="E63" s="1794"/>
      <c r="F63" s="1794"/>
      <c r="G63" s="1794"/>
      <c r="H63" s="1795">
        <f t="shared" si="10"/>
        <v>0</v>
      </c>
    </row>
    <row r="64" ht="15" customHeight="1" spans="1:8">
      <c r="A64" s="1799" t="s">
        <v>303</v>
      </c>
      <c r="B64" s="1800">
        <f t="shared" ref="B64:G64" si="18">ROUND(B42+B43,2)</f>
        <v>0</v>
      </c>
      <c r="C64" s="1800">
        <f t="shared" si="18"/>
        <v>0</v>
      </c>
      <c r="D64" s="1800">
        <f t="shared" si="18"/>
        <v>0</v>
      </c>
      <c r="E64" s="1800">
        <f t="shared" si="18"/>
        <v>0</v>
      </c>
      <c r="F64" s="1800">
        <f t="shared" si="18"/>
        <v>0</v>
      </c>
      <c r="G64" s="1800">
        <f t="shared" si="18"/>
        <v>0</v>
      </c>
      <c r="H64" s="1801">
        <f t="shared" si="10"/>
        <v>0</v>
      </c>
    </row>
    <row r="65" ht="13.5"/>
  </sheetData>
  <sheetProtection password="CF6E" sheet="1" objects="1" scenarios="1"/>
  <mergeCells count="6">
    <mergeCell ref="A1:H1"/>
    <mergeCell ref="A33:H33"/>
    <mergeCell ref="A4:A6"/>
    <mergeCell ref="A36:A38"/>
    <mergeCell ref="B36:H37"/>
    <mergeCell ref="B4:H5"/>
  </mergeCells>
  <conditionalFormatting sqref="B9:G9">
    <cfRule type="cellIs" dxfId="3" priority="3" stopIfTrue="1" operator="notEqual">
      <formula>0</formula>
    </cfRule>
  </conditionalFormatting>
  <conditionalFormatting sqref="A2 A34">
    <cfRule type="cellIs" dxfId="1" priority="2" stopIfTrue="1" operator="notEqual">
      <formula>""</formula>
    </cfRule>
  </conditionalFormatting>
  <conditionalFormatting sqref="B2:G2 B34:G34">
    <cfRule type="cellIs" dxfId="1" priority="1" stopIfTrue="1" operator="notEqual">
      <formula>0</formula>
    </cfRule>
  </conditionalFormatting>
  <printOptions horizontalCentered="1"/>
  <pageMargins left="0.2" right="0.21" top="0.6" bottom="0.4" header="0.21" footer="0.21"/>
  <pageSetup paperSize="9" orientation="landscape" blackAndWhite="1"/>
  <headerFooter alignWithMargins="0">
    <oddHeader>&amp;L&amp;10未审报表：</oddHead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9"/>
  <sheetViews>
    <sheetView workbookViewId="0">
      <pane xSplit="3" ySplit="5" topLeftCell="E12" activePane="bottomRight" state="frozen"/>
      <selection/>
      <selection pane="topRight"/>
      <selection pane="bottomLeft"/>
      <selection pane="bottomRight" activeCell="H28" sqref="H28:I28"/>
    </sheetView>
  </sheetViews>
  <sheetFormatPr defaultColWidth="9" defaultRowHeight="14.25"/>
  <cols>
    <col min="1" max="1" width="31.875" style="2306" customWidth="1"/>
    <col min="2" max="2" width="6.375" style="2386" customWidth="1"/>
    <col min="3" max="3" width="15.5" style="2306" customWidth="1"/>
    <col min="4" max="4" width="2" style="2306" hidden="1" customWidth="1"/>
    <col min="5" max="6" width="15.625" style="2306" customWidth="1"/>
    <col min="7" max="9" width="17.875" style="2306" customWidth="1"/>
    <col min="10" max="16384" width="9" style="2306"/>
  </cols>
  <sheetData>
    <row r="1" ht="25.5" spans="1:9">
      <c r="A1" s="2307" t="s">
        <v>59</v>
      </c>
      <c r="B1" s="2387"/>
      <c r="C1" s="2388"/>
      <c r="D1" s="2388"/>
      <c r="E1" s="2388"/>
      <c r="F1" s="2388"/>
      <c r="G1" s="2389"/>
      <c r="H1" s="2389"/>
      <c r="I1" s="316" t="s">
        <v>305</v>
      </c>
    </row>
    <row r="2" ht="15.75" spans="1:9">
      <c r="A2" s="2390"/>
      <c r="B2" s="2311"/>
      <c r="C2" s="2391"/>
      <c r="D2" s="2391"/>
      <c r="E2" s="2391"/>
      <c r="F2" s="2392"/>
      <c r="G2" s="2389"/>
      <c r="H2" s="2389"/>
      <c r="I2" s="2389"/>
    </row>
    <row r="3" ht="15" spans="1:9">
      <c r="A3" s="2393" t="str">
        <f>未审资负表!A3</f>
        <v>编制单位：石嘴山市深阳蓝光市政工程有限公司</v>
      </c>
      <c r="B3" s="2314"/>
      <c r="C3" s="2394" t="str">
        <f>审定利润表!B3</f>
        <v>2016年度</v>
      </c>
      <c r="D3" s="2394"/>
      <c r="E3" s="2311"/>
      <c r="F3" s="2395"/>
      <c r="G3" s="2389"/>
      <c r="H3" s="2389"/>
      <c r="I3" s="2389"/>
    </row>
    <row r="4" ht="15" spans="1:9">
      <c r="A4" s="2396" t="s">
        <v>60</v>
      </c>
      <c r="B4" s="2397" t="s">
        <v>61</v>
      </c>
      <c r="C4" s="2398" t="s">
        <v>62</v>
      </c>
      <c r="D4" s="2398"/>
      <c r="E4" s="2398" t="s">
        <v>62</v>
      </c>
      <c r="F4" s="2399" t="s">
        <v>62</v>
      </c>
      <c r="G4" s="2400" t="s">
        <v>306</v>
      </c>
      <c r="H4" s="2400" t="s">
        <v>306</v>
      </c>
      <c r="I4" s="2438" t="s">
        <v>306</v>
      </c>
    </row>
    <row r="5" spans="1:9">
      <c r="A5" s="2401"/>
      <c r="B5" s="2402"/>
      <c r="C5" s="2403" t="s">
        <v>307</v>
      </c>
      <c r="D5" s="2403"/>
      <c r="E5" s="2403" t="s">
        <v>308</v>
      </c>
      <c r="F5" s="2404" t="s">
        <v>309</v>
      </c>
      <c r="G5" s="2405" t="s">
        <v>310</v>
      </c>
      <c r="H5" s="2403" t="s">
        <v>308</v>
      </c>
      <c r="I5" s="2404" t="s">
        <v>309</v>
      </c>
    </row>
    <row r="6" spans="1:9">
      <c r="A6" s="2406" t="s">
        <v>76</v>
      </c>
      <c r="B6" s="2407" t="s">
        <v>77</v>
      </c>
      <c r="C6" s="2338">
        <f>审定利润表!C6</f>
        <v>0</v>
      </c>
      <c r="D6" s="2408"/>
      <c r="E6" s="2336"/>
      <c r="F6" s="2409">
        <f>$C6-SUM($D6:E6)</f>
        <v>0</v>
      </c>
      <c r="G6" s="2338">
        <f t="shared" ref="G6:G16" si="0">ROUND(SUM(H6:I6),2)</f>
        <v>0</v>
      </c>
      <c r="H6" s="2336"/>
      <c r="I6" s="2439"/>
    </row>
    <row r="7" spans="1:9">
      <c r="A7" s="2401" t="s">
        <v>78</v>
      </c>
      <c r="B7" s="2407" t="s">
        <v>77</v>
      </c>
      <c r="C7" s="2338">
        <f>审定利润表!C7</f>
        <v>0</v>
      </c>
      <c r="D7" s="2408"/>
      <c r="E7" s="2336"/>
      <c r="F7" s="2409">
        <f>$C7-SUM($D7:E7)</f>
        <v>0</v>
      </c>
      <c r="G7" s="2338">
        <f t="shared" si="0"/>
        <v>0</v>
      </c>
      <c r="H7" s="2336"/>
      <c r="I7" s="2439"/>
    </row>
    <row r="8" spans="1:9">
      <c r="A8" s="2401" t="s">
        <v>79</v>
      </c>
      <c r="B8" s="2407" t="s">
        <v>80</v>
      </c>
      <c r="C8" s="2338">
        <f>审定利润表!C8</f>
        <v>0</v>
      </c>
      <c r="D8" s="2408"/>
      <c r="E8" s="2336"/>
      <c r="F8" s="2409">
        <f>$C8-SUM($D8:E8)</f>
        <v>0</v>
      </c>
      <c r="G8" s="2338">
        <f t="shared" si="0"/>
        <v>0</v>
      </c>
      <c r="H8" s="2336"/>
      <c r="I8" s="2439"/>
    </row>
    <row r="9" spans="1:9">
      <c r="A9" s="2401" t="s">
        <v>81</v>
      </c>
      <c r="B9" s="2407" t="s">
        <v>82</v>
      </c>
      <c r="C9" s="2338">
        <f>审定利润表!C9</f>
        <v>0</v>
      </c>
      <c r="D9" s="2408"/>
      <c r="E9" s="2336"/>
      <c r="F9" s="2409">
        <f>$C9-SUM($D9:E9)</f>
        <v>0</v>
      </c>
      <c r="G9" s="2338">
        <f t="shared" si="0"/>
        <v>0</v>
      </c>
      <c r="H9" s="2336"/>
      <c r="I9" s="2439"/>
    </row>
    <row r="10" spans="1:9">
      <c r="A10" s="2401" t="s">
        <v>83</v>
      </c>
      <c r="B10" s="2407" t="s">
        <v>82</v>
      </c>
      <c r="C10" s="2338">
        <f>审定利润表!C10</f>
        <v>0</v>
      </c>
      <c r="D10" s="2408"/>
      <c r="E10" s="2336"/>
      <c r="F10" s="2409">
        <f>$C10-SUM($D10:E10)</f>
        <v>0</v>
      </c>
      <c r="G10" s="2338">
        <f t="shared" si="0"/>
        <v>0</v>
      </c>
      <c r="H10" s="2336"/>
      <c r="I10" s="2439"/>
    </row>
    <row r="11" spans="1:9">
      <c r="A11" s="2401" t="s">
        <v>84</v>
      </c>
      <c r="B11" s="2407" t="s">
        <v>82</v>
      </c>
      <c r="C11" s="2338">
        <f>审定利润表!C11</f>
        <v>0</v>
      </c>
      <c r="D11" s="2408"/>
      <c r="E11" s="2336"/>
      <c r="F11" s="2409">
        <f>$C11-SUM($D11:E11)</f>
        <v>0</v>
      </c>
      <c r="G11" s="2338">
        <f t="shared" si="0"/>
        <v>0</v>
      </c>
      <c r="H11" s="2336"/>
      <c r="I11" s="2439"/>
    </row>
    <row r="12" spans="1:9">
      <c r="A12" s="2401" t="s">
        <v>85</v>
      </c>
      <c r="B12" s="2407" t="s">
        <v>86</v>
      </c>
      <c r="C12" s="2338">
        <f>审定利润表!C12</f>
        <v>0</v>
      </c>
      <c r="D12" s="2408"/>
      <c r="E12" s="2336"/>
      <c r="F12" s="2409">
        <f>$C12-SUM($D12:E12)</f>
        <v>0</v>
      </c>
      <c r="G12" s="2338">
        <f t="shared" si="0"/>
        <v>0</v>
      </c>
      <c r="H12" s="2336"/>
      <c r="I12" s="2439"/>
    </row>
    <row r="13" spans="1:9">
      <c r="A13" s="2401" t="s">
        <v>87</v>
      </c>
      <c r="B13" s="2407" t="s">
        <v>88</v>
      </c>
      <c r="C13" s="2338">
        <f>审定利润表!C13</f>
        <v>0</v>
      </c>
      <c r="D13" s="2408"/>
      <c r="E13" s="2336"/>
      <c r="F13" s="2409">
        <f>$C13-SUM($D13:E13)</f>
        <v>0</v>
      </c>
      <c r="G13" s="2338">
        <f t="shared" si="0"/>
        <v>0</v>
      </c>
      <c r="H13" s="2336"/>
      <c r="I13" s="2439"/>
    </row>
    <row r="14" spans="1:9">
      <c r="A14" s="2401" t="s">
        <v>89</v>
      </c>
      <c r="B14" s="2407" t="s">
        <v>90</v>
      </c>
      <c r="C14" s="2338">
        <f>审定利润表!C14</f>
        <v>0</v>
      </c>
      <c r="D14" s="2408"/>
      <c r="E14" s="2336"/>
      <c r="F14" s="2409">
        <f>$C14-SUM($D14:E14)</f>
        <v>0</v>
      </c>
      <c r="G14" s="2338">
        <f t="shared" si="0"/>
        <v>0</v>
      </c>
      <c r="H14" s="2336"/>
      <c r="I14" s="2439"/>
    </row>
    <row r="15" spans="1:9">
      <c r="A15" s="2401" t="s">
        <v>91</v>
      </c>
      <c r="B15" s="2330"/>
      <c r="C15" s="2338">
        <f>审定利润表!C15</f>
        <v>0</v>
      </c>
      <c r="D15" s="2408"/>
      <c r="E15" s="2336"/>
      <c r="F15" s="2409">
        <f>$C15-SUM($D15:E15)</f>
        <v>0</v>
      </c>
      <c r="G15" s="2338">
        <f t="shared" si="0"/>
        <v>0</v>
      </c>
      <c r="H15" s="2336"/>
      <c r="I15" s="2439"/>
    </row>
    <row r="16" spans="1:9">
      <c r="A16" s="2401" t="s">
        <v>92</v>
      </c>
      <c r="B16" s="2330"/>
      <c r="C16" s="2338">
        <f>审定利润表!C17</f>
        <v>0</v>
      </c>
      <c r="D16" s="2408"/>
      <c r="E16" s="2336"/>
      <c r="F16" s="2409">
        <f>$C16-SUM($D16:E16)</f>
        <v>0</v>
      </c>
      <c r="G16" s="2338">
        <f t="shared" si="0"/>
        <v>0</v>
      </c>
      <c r="H16" s="2336"/>
      <c r="I16" s="2439"/>
    </row>
    <row r="17" spans="1:9">
      <c r="A17" s="2401"/>
      <c r="B17" s="2330"/>
      <c r="C17" s="2408"/>
      <c r="D17" s="2408"/>
      <c r="E17" s="2408"/>
      <c r="F17" s="2410"/>
      <c r="G17" s="2408"/>
      <c r="H17" s="2408"/>
      <c r="I17" s="2410"/>
    </row>
    <row r="18" spans="1:9">
      <c r="A18" s="2406" t="s">
        <v>93</v>
      </c>
      <c r="B18" s="2348"/>
      <c r="C18" s="2411">
        <f>审定利润表!C19</f>
        <v>0</v>
      </c>
      <c r="D18" s="2412"/>
      <c r="E18" s="2411">
        <f>ROUND(E6-SUM(E7:E12)+E13+E14+E16,2)</f>
        <v>0</v>
      </c>
      <c r="F18" s="2413">
        <f>ROUND(F6-SUM(F7:F12)+F13+F14+F16,2)</f>
        <v>0</v>
      </c>
      <c r="G18" s="2411">
        <f>ROUND(G6-SUM(G7:G12)+G13+G14+G16,2)</f>
        <v>0</v>
      </c>
      <c r="H18" s="2411">
        <f>ROUND(H6-SUM(H7:H12)+H13+H14+H16,2)</f>
        <v>0</v>
      </c>
      <c r="I18" s="2413">
        <f>ROUND(I6-SUM(I7:I12)+I13+I14+I16,2)</f>
        <v>0</v>
      </c>
    </row>
    <row r="19" spans="1:9">
      <c r="A19" s="2401" t="s">
        <v>94</v>
      </c>
      <c r="B19" s="2407" t="s">
        <v>95</v>
      </c>
      <c r="C19" s="2338">
        <f>审定利润表!C20</f>
        <v>0</v>
      </c>
      <c r="D19" s="2408"/>
      <c r="E19" s="2336"/>
      <c r="F19" s="2409">
        <f>$C19-SUM($D19:E19)</f>
        <v>0</v>
      </c>
      <c r="G19" s="2338">
        <f>ROUND(SUM(H19:I19),2)</f>
        <v>0</v>
      </c>
      <c r="H19" s="2336"/>
      <c r="I19" s="2439"/>
    </row>
    <row r="20" spans="1:9">
      <c r="A20" s="2401" t="s">
        <v>96</v>
      </c>
      <c r="B20" s="2407" t="s">
        <v>97</v>
      </c>
      <c r="C20" s="2338">
        <f>审定利润表!C21</f>
        <v>0</v>
      </c>
      <c r="D20" s="2408"/>
      <c r="E20" s="2336"/>
      <c r="F20" s="2409">
        <f>$C20-SUM($D20:E20)</f>
        <v>0</v>
      </c>
      <c r="G20" s="2338">
        <f>ROUND(SUM(H20:I20),2)</f>
        <v>0</v>
      </c>
      <c r="H20" s="2336"/>
      <c r="I20" s="2439"/>
    </row>
    <row r="21" spans="1:9">
      <c r="A21" s="2401" t="s">
        <v>98</v>
      </c>
      <c r="B21" s="2330"/>
      <c r="C21" s="2338">
        <f>审定利润表!C27</f>
        <v>0</v>
      </c>
      <c r="D21" s="2408"/>
      <c r="E21" s="2336"/>
      <c r="F21" s="2409">
        <f>$C21-SUM($D21:E21)</f>
        <v>0</v>
      </c>
      <c r="G21" s="2338">
        <f>ROUND(SUM(H21:I21),2)</f>
        <v>0</v>
      </c>
      <c r="H21" s="2414"/>
      <c r="I21" s="2439"/>
    </row>
    <row r="22" spans="1:9">
      <c r="A22" s="2401"/>
      <c r="B22" s="2330"/>
      <c r="C22" s="2408"/>
      <c r="D22" s="2408"/>
      <c r="E22" s="2408"/>
      <c r="F22" s="2410"/>
      <c r="G22" s="2408"/>
      <c r="H22" s="2408"/>
      <c r="I22" s="2410"/>
    </row>
    <row r="23" spans="1:9">
      <c r="A23" s="2406" t="s">
        <v>99</v>
      </c>
      <c r="B23" s="2330"/>
      <c r="C23" s="2411">
        <f>审定利润表!C22</f>
        <v>0</v>
      </c>
      <c r="D23" s="2412"/>
      <c r="E23" s="2411">
        <f>ROUND(E18+E19-E20,2)</f>
        <v>0</v>
      </c>
      <c r="F23" s="2413">
        <f>ROUND(F18+F19-F20,2)</f>
        <v>0</v>
      </c>
      <c r="G23" s="2338">
        <f>ROUND(SUM(H23:I23),2)</f>
        <v>0</v>
      </c>
      <c r="H23" s="2411">
        <f>H18+H19-H20</f>
        <v>0</v>
      </c>
      <c r="I23" s="2413">
        <f>I18+I19-I20</f>
        <v>0</v>
      </c>
    </row>
    <row r="24" spans="1:9">
      <c r="A24" s="2401" t="s">
        <v>100</v>
      </c>
      <c r="B24" s="2407" t="s">
        <v>101</v>
      </c>
      <c r="C24" s="2338">
        <f>审定利润表!C23</f>
        <v>0</v>
      </c>
      <c r="D24" s="2408"/>
      <c r="E24" s="2336"/>
      <c r="F24" s="2409">
        <f>$C24-SUM($D24:E24)</f>
        <v>0</v>
      </c>
      <c r="G24" s="2338">
        <f>ROUND(SUM(H24:I24),2)</f>
        <v>0</v>
      </c>
      <c r="H24" s="2336"/>
      <c r="I24" s="2439"/>
    </row>
    <row r="25" spans="1:9">
      <c r="A25" s="2401"/>
      <c r="B25" s="2330"/>
      <c r="C25" s="2408"/>
      <c r="D25" s="2408"/>
      <c r="E25" s="2408"/>
      <c r="F25" s="2410"/>
      <c r="G25" s="2408"/>
      <c r="H25" s="2408"/>
      <c r="I25" s="2410"/>
    </row>
    <row r="26" spans="1:9">
      <c r="A26" s="2406" t="s">
        <v>102</v>
      </c>
      <c r="B26" s="2348"/>
      <c r="C26" s="2411">
        <f>审定利润表!C24</f>
        <v>0</v>
      </c>
      <c r="D26" s="2412"/>
      <c r="E26" s="2411">
        <f>ROUND(E23-E24,2)</f>
        <v>0</v>
      </c>
      <c r="F26" s="2413">
        <f>ROUND(F23-F24,2)</f>
        <v>0</v>
      </c>
      <c r="G26" s="2411">
        <f>ROUND(G23-G24,2)</f>
        <v>0</v>
      </c>
      <c r="H26" s="2411">
        <f>ROUND(H23-H24,2)</f>
        <v>0</v>
      </c>
      <c r="I26" s="2413">
        <f>ROUND(I23-I24,2)</f>
        <v>0</v>
      </c>
    </row>
    <row r="27" spans="1:9">
      <c r="A27" s="2401" t="s">
        <v>103</v>
      </c>
      <c r="B27" s="2330"/>
      <c r="C27" s="2411">
        <f>审定利润表!C25</f>
        <v>0</v>
      </c>
      <c r="D27" s="2412"/>
      <c r="E27" s="2411">
        <f>E26-E28</f>
        <v>0</v>
      </c>
      <c r="F27" s="2413">
        <f>F26-F28</f>
        <v>0</v>
      </c>
      <c r="G27" s="2338">
        <f>ROUND(SUM(H27:I27),2)</f>
        <v>0</v>
      </c>
      <c r="H27" s="2411">
        <f>H26-H28</f>
        <v>0</v>
      </c>
      <c r="I27" s="2413">
        <f>I26-I28</f>
        <v>0</v>
      </c>
    </row>
    <row r="28" spans="1:9">
      <c r="A28" s="2401" t="s">
        <v>104</v>
      </c>
      <c r="B28" s="2330"/>
      <c r="C28" s="2338">
        <f>审定利润表!C26</f>
        <v>0</v>
      </c>
      <c r="D28" s="2408"/>
      <c r="E28" s="2336"/>
      <c r="F28" s="2409">
        <f>$C28-SUM($D28:E28)</f>
        <v>0</v>
      </c>
      <c r="G28" s="2338">
        <f>ROUND(SUM(H28:I28),2)</f>
        <v>0</v>
      </c>
      <c r="H28" s="2415"/>
      <c r="I28" s="2440"/>
    </row>
    <row r="29" spans="1:9">
      <c r="A29" s="2401"/>
      <c r="B29" s="2348"/>
      <c r="C29" s="2416"/>
      <c r="D29" s="2416"/>
      <c r="E29" s="2416"/>
      <c r="F29" s="2417"/>
      <c r="G29" s="2416"/>
      <c r="H29" s="2416"/>
      <c r="I29" s="2417"/>
    </row>
    <row r="30" spans="1:9">
      <c r="A30" s="2406" t="s">
        <v>105</v>
      </c>
      <c r="B30" s="2348"/>
      <c r="C30" s="2416"/>
      <c r="D30" s="2416"/>
      <c r="E30" s="2416"/>
      <c r="F30" s="2417"/>
      <c r="G30" s="2416"/>
      <c r="H30" s="2416"/>
      <c r="I30" s="2417"/>
    </row>
    <row r="31" spans="1:9">
      <c r="A31" s="2401" t="s">
        <v>106</v>
      </c>
      <c r="B31" s="2348"/>
      <c r="C31" s="2414"/>
      <c r="D31" s="2414"/>
      <c r="E31" s="2414"/>
      <c r="F31" s="2418"/>
      <c r="G31" s="2414"/>
      <c r="H31" s="2414"/>
      <c r="I31" s="2418"/>
    </row>
    <row r="32" ht="15" spans="1:9">
      <c r="A32" s="2419" t="s">
        <v>107</v>
      </c>
      <c r="B32" s="2420"/>
      <c r="C32" s="2421"/>
      <c r="D32" s="2421"/>
      <c r="E32" s="2421"/>
      <c r="F32" s="2422"/>
      <c r="G32" s="2421"/>
      <c r="H32" s="2421"/>
      <c r="I32" s="2422"/>
    </row>
    <row r="33" ht="15" spans="1:9">
      <c r="A33" s="2423"/>
      <c r="B33" s="2424"/>
      <c r="C33" s="2425"/>
      <c r="D33" s="2425"/>
      <c r="E33" s="2425"/>
      <c r="F33" s="2425"/>
      <c r="G33" s="2426"/>
      <c r="H33" s="2427"/>
      <c r="I33" s="2426"/>
    </row>
    <row r="34" ht="15" spans="1:9">
      <c r="A34" s="2428" t="s">
        <v>108</v>
      </c>
      <c r="B34" s="2424"/>
      <c r="C34" s="2425"/>
      <c r="D34" s="2425"/>
      <c r="E34" s="2425"/>
      <c r="F34" s="2425"/>
      <c r="G34" s="2429"/>
      <c r="H34" s="2427"/>
      <c r="I34" s="2426"/>
    </row>
    <row r="35" ht="15" spans="1:9">
      <c r="A35" s="2430" t="s">
        <v>109</v>
      </c>
      <c r="B35" s="2431"/>
      <c r="C35" s="2432">
        <f>审定利润表!C36</f>
        <v>0</v>
      </c>
      <c r="D35" s="2433"/>
      <c r="E35" s="2432">
        <f>E27</f>
        <v>0</v>
      </c>
      <c r="F35" s="2434">
        <f>F27</f>
        <v>0</v>
      </c>
      <c r="G35" s="2432">
        <f>审定利润表!D36</f>
        <v>0</v>
      </c>
      <c r="H35" s="2433"/>
      <c r="I35" s="2441"/>
    </row>
    <row r="36" spans="1:9">
      <c r="A36" s="2401" t="s">
        <v>110</v>
      </c>
      <c r="B36" s="2348"/>
      <c r="C36" s="2338">
        <f>审定利润表!C37</f>
        <v>0</v>
      </c>
      <c r="D36" s="2408"/>
      <c r="E36" s="2338">
        <f>C36</f>
        <v>0</v>
      </c>
      <c r="F36" s="2435">
        <f>C36</f>
        <v>0</v>
      </c>
      <c r="G36" s="2338">
        <f>审定利润表!D37</f>
        <v>0</v>
      </c>
      <c r="H36" s="2416"/>
      <c r="I36" s="2417"/>
    </row>
    <row r="37" spans="1:9">
      <c r="A37" s="2401" t="s">
        <v>111</v>
      </c>
      <c r="B37" s="2348"/>
      <c r="C37" s="2338">
        <f>审定利润表!C38</f>
        <v>0</v>
      </c>
      <c r="D37" s="2408"/>
      <c r="E37" s="2336"/>
      <c r="F37" s="2435">
        <f>$C37-SUM($D37:E37)</f>
        <v>0</v>
      </c>
      <c r="G37" s="2338">
        <f>审定利润表!D38</f>
        <v>0</v>
      </c>
      <c r="H37" s="2416"/>
      <c r="I37" s="2417"/>
    </row>
    <row r="38" ht="15" spans="1:9">
      <c r="A38" s="2419" t="s">
        <v>112</v>
      </c>
      <c r="B38" s="2351"/>
      <c r="C38" s="2436">
        <f>审定利润表!C39</f>
        <v>0</v>
      </c>
      <c r="D38" s="2420"/>
      <c r="E38" s="2436">
        <f>ROUND(E35+E36-E37,2)</f>
        <v>0</v>
      </c>
      <c r="F38" s="2437">
        <f>ROUND(F35+F36-F37,2)</f>
        <v>0</v>
      </c>
      <c r="G38" s="2436">
        <f>审定利润表!D39</f>
        <v>0</v>
      </c>
      <c r="H38" s="2436">
        <f>ROUND(H35+H36-H37,2)</f>
        <v>0</v>
      </c>
      <c r="I38" s="2437">
        <f>ROUND(I35+I36-I37,2)</f>
        <v>0</v>
      </c>
    </row>
    <row r="39" ht="15"/>
  </sheetData>
  <sheetProtection formatCells="0" formatColumns="0" formatRows="0" insertHyperlinks="0" sort="0" autoFilter="0" pivotTables="0"/>
  <autoFilter ref="A5:F38">
    <extLst/>
  </autoFilter>
  <hyperlinks>
    <hyperlink ref="I1" location="报表附注!F1" display="【返回】报表附注"/>
    <hyperlink ref="B6" location="报表附注!E2527" display="（五十四）"/>
    <hyperlink ref="B7" location="报表附注!E2527" display="（五十四）"/>
    <hyperlink ref="B8" location="报表附注!E2621" display="（五十六）"/>
    <hyperlink ref="B13" location="报表附注!E2637" display="（五十七）"/>
    <hyperlink ref="B14" location="报表附注!E2658" display="（五十八）"/>
    <hyperlink ref="B12" location="报表附注!E2710" display="（五十九）"/>
    <hyperlink ref="B10" location="报表附注!E2752" display="（六十）"/>
    <hyperlink ref="B9" location="报表附注!E2823" display="（六十）"/>
    <hyperlink ref="B11" location="报表附注!E2732" display="（六十）"/>
    <hyperlink ref="B19" location="报表附注!E2913" display="（六十一）"/>
    <hyperlink ref="B20" location="报表附注!E2979" display="（六十二）"/>
    <hyperlink ref="B24" location="报表附注!E2998" display="（六十三）"/>
  </hyperlinks>
  <pageMargins left="0.7" right="1.01" top="0.75" bottom="0.75" header="0.3" footer="0.3"/>
  <pageSetup paperSize="9" orientation="portrait"/>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86"/>
  <sheetViews>
    <sheetView workbookViewId="0">
      <pane xSplit="4" ySplit="5" topLeftCell="E30" activePane="bottomRight" state="frozen"/>
      <selection/>
      <selection pane="topRight"/>
      <selection pane="bottomLeft"/>
      <selection pane="bottomRight" activeCell="H13" sqref="H13"/>
    </sheetView>
  </sheetViews>
  <sheetFormatPr defaultColWidth="9" defaultRowHeight="14.25"/>
  <cols>
    <col min="1" max="1" width="34.875" style="2306" customWidth="1"/>
    <col min="2" max="2" width="5.25" style="2306" customWidth="1"/>
    <col min="3" max="3" width="17.75" style="2306" customWidth="1"/>
    <col min="4" max="4" width="17.75" style="2306" hidden="1" customWidth="1"/>
    <col min="5" max="6" width="17.75" style="2306" customWidth="1"/>
    <col min="7" max="9" width="18" style="2306" customWidth="1"/>
    <col min="10" max="16384" width="9" style="2306"/>
  </cols>
  <sheetData>
    <row r="1" ht="21" customHeight="1" spans="1:9">
      <c r="A1" s="2307" t="s">
        <v>114</v>
      </c>
      <c r="B1" s="2308"/>
      <c r="C1" s="2308"/>
      <c r="D1" s="2308"/>
      <c r="E1" s="2308"/>
      <c r="F1" s="2308"/>
      <c r="G1" s="2309"/>
      <c r="H1" s="2309"/>
      <c r="I1" s="316" t="s">
        <v>305</v>
      </c>
    </row>
    <row r="2" spans="1:9">
      <c r="A2" s="2310" t="str">
        <f>IF(C2&lt;&gt;0,"对应列“期末现金及现金等价物余额”与资产负债表不符，相差：","")</f>
        <v/>
      </c>
      <c r="B2" s="2311"/>
      <c r="C2" s="2312">
        <f>ROUND(未审资负表!C7-C49,2)</f>
        <v>0</v>
      </c>
      <c r="D2" s="2309"/>
      <c r="E2" s="2309"/>
      <c r="F2" s="2309"/>
      <c r="G2" s="2312">
        <f>ROUND(G49-G49,2)</f>
        <v>0</v>
      </c>
      <c r="H2" s="2309"/>
      <c r="I2" s="2309"/>
    </row>
    <row r="3" ht="15" spans="1:9">
      <c r="A3" s="2313" t="str">
        <f>"编制单位："&amp;参数表!C3</f>
        <v>编制单位：石嘴山市深阳蓝光市政工程有限公司</v>
      </c>
      <c r="B3" s="2314"/>
      <c r="C3" s="2315" t="str">
        <f>审定现流表!B3</f>
        <v>2016年度</v>
      </c>
      <c r="D3" s="2315"/>
      <c r="E3" s="2315"/>
      <c r="F3" s="2315"/>
      <c r="G3" s="2316"/>
      <c r="H3" s="2315"/>
      <c r="I3" s="2315"/>
    </row>
    <row r="4" ht="15" spans="1:9">
      <c r="A4" s="2317" t="s">
        <v>60</v>
      </c>
      <c r="B4" s="2318" t="s">
        <v>61</v>
      </c>
      <c r="C4" s="2319" t="s">
        <v>62</v>
      </c>
      <c r="D4" s="2319"/>
      <c r="E4" s="2319" t="s">
        <v>62</v>
      </c>
      <c r="F4" s="2320" t="s">
        <v>62</v>
      </c>
      <c r="G4" s="2321" t="s">
        <v>306</v>
      </c>
      <c r="H4" s="2322" t="s">
        <v>306</v>
      </c>
      <c r="I4" s="2363" t="s">
        <v>306</v>
      </c>
    </row>
    <row r="5" spans="1:9">
      <c r="A5" s="2323"/>
      <c r="B5" s="2324"/>
      <c r="C5" s="2325" t="s">
        <v>307</v>
      </c>
      <c r="D5" s="2325"/>
      <c r="E5" s="2325" t="s">
        <v>308</v>
      </c>
      <c r="F5" s="2326" t="s">
        <v>309</v>
      </c>
      <c r="G5" s="2327" t="s">
        <v>310</v>
      </c>
      <c r="H5" s="2328" t="s">
        <v>308</v>
      </c>
      <c r="I5" s="2373" t="s">
        <v>309</v>
      </c>
    </row>
    <row r="6" spans="1:9">
      <c r="A6" s="2329" t="s">
        <v>115</v>
      </c>
      <c r="B6" s="2330"/>
      <c r="C6" s="2331"/>
      <c r="D6" s="2331"/>
      <c r="E6" s="2331"/>
      <c r="F6" s="2332"/>
      <c r="G6" s="2333"/>
      <c r="H6" s="2331"/>
      <c r="I6" s="2332"/>
    </row>
    <row r="7" spans="1:9">
      <c r="A7" s="2334" t="s">
        <v>116</v>
      </c>
      <c r="B7" s="1828"/>
      <c r="C7" s="2335">
        <f>审定现流表!C7</f>
        <v>0</v>
      </c>
      <c r="D7" s="2331"/>
      <c r="E7" s="2336"/>
      <c r="F7" s="2337">
        <f>$C7-SUM($D7:E7)</f>
        <v>0</v>
      </c>
      <c r="G7" s="2338">
        <f>ROUND(SUM(H7:I7),2)</f>
        <v>0</v>
      </c>
      <c r="H7" s="2336"/>
      <c r="I7" s="2349"/>
    </row>
    <row r="8" spans="1:9">
      <c r="A8" s="2334" t="s">
        <v>117</v>
      </c>
      <c r="B8" s="1828"/>
      <c r="C8" s="2335">
        <f>审定现流表!C8</f>
        <v>0</v>
      </c>
      <c r="D8" s="2331"/>
      <c r="E8" s="2336"/>
      <c r="F8" s="2337">
        <f>$C8-SUM($D8:E8)</f>
        <v>0</v>
      </c>
      <c r="G8" s="2338">
        <f>ROUND(SUM(H8:I8),2)</f>
        <v>0</v>
      </c>
      <c r="H8" s="2336"/>
      <c r="I8" s="2349"/>
    </row>
    <row r="9" spans="1:9">
      <c r="A9" s="2334" t="s">
        <v>118</v>
      </c>
      <c r="B9" s="1773" t="s">
        <v>119</v>
      </c>
      <c r="C9" s="2335">
        <f>审定现流表!C9</f>
        <v>0</v>
      </c>
      <c r="D9" s="2331"/>
      <c r="E9" s="2336"/>
      <c r="F9" s="2337">
        <f>$C9-SUM($D9:E9)</f>
        <v>0</v>
      </c>
      <c r="G9" s="2338">
        <f>ROUND(SUM(H9:I9),2)</f>
        <v>0</v>
      </c>
      <c r="H9" s="2336"/>
      <c r="I9" s="2349"/>
    </row>
    <row r="10" spans="1:9">
      <c r="A10" s="2339" t="s">
        <v>120</v>
      </c>
      <c r="B10" s="2340"/>
      <c r="C10" s="2341"/>
      <c r="D10" s="2342"/>
      <c r="E10" s="2343">
        <f>ROUND(SUM(E7:E9),2)</f>
        <v>0</v>
      </c>
      <c r="F10" s="2344">
        <f>ROUND(SUM(F7:F9),2)</f>
        <v>0</v>
      </c>
      <c r="G10" s="2345">
        <f>ROUND(SUM(G7:G9),2)</f>
        <v>0</v>
      </c>
      <c r="H10" s="2343">
        <f>ROUND(SUM(H7:H9),2)</f>
        <v>0</v>
      </c>
      <c r="I10" s="2344">
        <f>ROUND(SUM(I7:I9),2)</f>
        <v>0</v>
      </c>
    </row>
    <row r="11" spans="1:9">
      <c r="A11" s="2334" t="s">
        <v>121</v>
      </c>
      <c r="B11" s="1828"/>
      <c r="C11" s="2335">
        <f>审定现流表!C11</f>
        <v>0</v>
      </c>
      <c r="D11" s="2331"/>
      <c r="E11" s="2336"/>
      <c r="F11" s="2337">
        <f>$C11-SUM($D11:E11)</f>
        <v>0</v>
      </c>
      <c r="G11" s="2338">
        <f>ROUND(SUM(H11:I11),2)</f>
        <v>0</v>
      </c>
      <c r="H11" s="2336"/>
      <c r="I11" s="2349"/>
    </row>
    <row r="12" spans="1:9">
      <c r="A12" s="2334" t="s">
        <v>122</v>
      </c>
      <c r="B12" s="1828"/>
      <c r="C12" s="2335">
        <f>审定现流表!C12</f>
        <v>0</v>
      </c>
      <c r="D12" s="2331"/>
      <c r="E12" s="2336"/>
      <c r="F12" s="2337">
        <f>$C12-SUM($D12:E12)</f>
        <v>0</v>
      </c>
      <c r="G12" s="2338">
        <f>ROUND(SUM(H12:I12),2)</f>
        <v>0</v>
      </c>
      <c r="H12" s="2336"/>
      <c r="I12" s="2349"/>
    </row>
    <row r="13" spans="1:9">
      <c r="A13" s="2334" t="s">
        <v>123</v>
      </c>
      <c r="B13" s="1828"/>
      <c r="C13" s="2335">
        <f>审定现流表!C13</f>
        <v>0</v>
      </c>
      <c r="D13" s="2331"/>
      <c r="E13" s="2336"/>
      <c r="F13" s="2337">
        <f>$C13-SUM($D13:E13)</f>
        <v>0</v>
      </c>
      <c r="G13" s="2338">
        <f>ROUND(SUM(H13:I13),2)</f>
        <v>0</v>
      </c>
      <c r="H13" s="2336"/>
      <c r="I13" s="2349"/>
    </row>
    <row r="14" spans="1:9">
      <c r="A14" s="2334" t="s">
        <v>124</v>
      </c>
      <c r="B14" s="1773" t="s">
        <v>119</v>
      </c>
      <c r="C14" s="2335">
        <f>审定现流表!C14</f>
        <v>0</v>
      </c>
      <c r="D14" s="2331"/>
      <c r="E14" s="2336"/>
      <c r="F14" s="2337">
        <f>$C14-SUM($D14:E14)</f>
        <v>0</v>
      </c>
      <c r="G14" s="2338">
        <f>ROUND(SUM(H14:I14),2)</f>
        <v>0</v>
      </c>
      <c r="H14" s="2336"/>
      <c r="I14" s="2349"/>
    </row>
    <row r="15" spans="1:9">
      <c r="A15" s="2339" t="s">
        <v>125</v>
      </c>
      <c r="B15" s="2340"/>
      <c r="C15" s="2345">
        <f>审定现流表!C15</f>
        <v>0</v>
      </c>
      <c r="D15" s="2342"/>
      <c r="E15" s="2343">
        <f>ROUND(SUM(E11:E14),2)</f>
        <v>0</v>
      </c>
      <c r="F15" s="2344">
        <f>ROUND(SUM(F11:F14),2)</f>
        <v>0</v>
      </c>
      <c r="G15" s="2345">
        <f>ROUND(SUM(G11:G14),2)</f>
        <v>0</v>
      </c>
      <c r="H15" s="2343">
        <f>ROUND(SUM(H11:H14),2)</f>
        <v>0</v>
      </c>
      <c r="I15" s="2344">
        <f>ROUND(SUM(I11:I14),2)</f>
        <v>0</v>
      </c>
    </row>
    <row r="16" spans="1:9">
      <c r="A16" s="2339" t="s">
        <v>126</v>
      </c>
      <c r="B16" s="2340"/>
      <c r="C16" s="2345">
        <f>审定现流表!C16</f>
        <v>0</v>
      </c>
      <c r="D16" s="2342"/>
      <c r="E16" s="2343">
        <f>ROUND(E10-E15,2)</f>
        <v>0</v>
      </c>
      <c r="F16" s="2344">
        <f>ROUND(F10-F15,2)</f>
        <v>0</v>
      </c>
      <c r="G16" s="2345">
        <f>ROUND(G10-G15,2)</f>
        <v>0</v>
      </c>
      <c r="H16" s="2343">
        <f>ROUND(H10-H15,2)</f>
        <v>0</v>
      </c>
      <c r="I16" s="2344">
        <f>ROUND(I10-I15,2)</f>
        <v>0</v>
      </c>
    </row>
    <row r="17" spans="1:9">
      <c r="A17" s="2346"/>
      <c r="B17" s="2340"/>
      <c r="C17" s="2333"/>
      <c r="D17" s="2331"/>
      <c r="E17" s="2331"/>
      <c r="F17" s="2332"/>
      <c r="G17" s="2333"/>
      <c r="H17" s="2333"/>
      <c r="I17" s="2332"/>
    </row>
    <row r="18" spans="1:9">
      <c r="A18" s="2329" t="s">
        <v>127</v>
      </c>
      <c r="B18" s="2340"/>
      <c r="C18" s="2335">
        <f>审定现流表!C18</f>
        <v>0</v>
      </c>
      <c r="D18" s="2331"/>
      <c r="E18" s="2331"/>
      <c r="F18" s="2332"/>
      <c r="G18" s="2333"/>
      <c r="H18" s="2333"/>
      <c r="I18" s="2332"/>
    </row>
    <row r="19" spans="1:9">
      <c r="A19" s="2334" t="s">
        <v>128</v>
      </c>
      <c r="B19" s="1828"/>
      <c r="C19" s="2335">
        <f>审定现流表!C19</f>
        <v>0</v>
      </c>
      <c r="D19" s="2331"/>
      <c r="E19" s="2336"/>
      <c r="F19" s="2337">
        <f>$C19-SUM($D19:E19)</f>
        <v>0</v>
      </c>
      <c r="G19" s="2338">
        <f>ROUND(SUM(H19:I19),2)</f>
        <v>0</v>
      </c>
      <c r="H19" s="2336"/>
      <c r="I19" s="2349"/>
    </row>
    <row r="20" spans="1:9">
      <c r="A20" s="2334" t="s">
        <v>129</v>
      </c>
      <c r="B20" s="1828"/>
      <c r="C20" s="2335">
        <f>审定现流表!C20</f>
        <v>0</v>
      </c>
      <c r="D20" s="2331"/>
      <c r="E20" s="2336"/>
      <c r="F20" s="2337">
        <f>$C20-SUM($D20:E20)</f>
        <v>0</v>
      </c>
      <c r="G20" s="2338">
        <f>ROUND(SUM(H20:I20),2)</f>
        <v>0</v>
      </c>
      <c r="H20" s="2336"/>
      <c r="I20" s="2349"/>
    </row>
    <row r="21" spans="1:9">
      <c r="A21" s="2334" t="s">
        <v>130</v>
      </c>
      <c r="B21" s="1828"/>
      <c r="C21" s="2335">
        <f>审定现流表!C21</f>
        <v>0</v>
      </c>
      <c r="D21" s="2331"/>
      <c r="E21" s="2336"/>
      <c r="F21" s="2337">
        <f>$C21-SUM($D21:E21)</f>
        <v>0</v>
      </c>
      <c r="G21" s="2338">
        <f>ROUND(SUM(H21:I21),2)</f>
        <v>0</v>
      </c>
      <c r="H21" s="2336"/>
      <c r="I21" s="2349"/>
    </row>
    <row r="22" spans="1:9">
      <c r="A22" s="2334" t="s">
        <v>131</v>
      </c>
      <c r="B22" s="1828"/>
      <c r="C22" s="2335">
        <f>审定现流表!C22</f>
        <v>0</v>
      </c>
      <c r="D22" s="2331"/>
      <c r="E22" s="2336"/>
      <c r="F22" s="2337">
        <f>$C22-SUM($D22:E22)</f>
        <v>0</v>
      </c>
      <c r="G22" s="2338">
        <f>ROUND(SUM(H22:I22),2)</f>
        <v>0</v>
      </c>
      <c r="H22" s="2336"/>
      <c r="I22" s="2349"/>
    </row>
    <row r="23" spans="1:9">
      <c r="A23" s="2334" t="s">
        <v>132</v>
      </c>
      <c r="B23" s="1833" t="s">
        <v>133</v>
      </c>
      <c r="C23" s="2335">
        <f>审定现流表!C23</f>
        <v>0</v>
      </c>
      <c r="D23" s="2331"/>
      <c r="E23" s="2336"/>
      <c r="F23" s="2337">
        <f>$C23-SUM($D23:E23)</f>
        <v>0</v>
      </c>
      <c r="G23" s="2338">
        <f>ROUND(SUM(H23:I23),2)</f>
        <v>0</v>
      </c>
      <c r="H23" s="2336"/>
      <c r="I23" s="2349"/>
    </row>
    <row r="24" spans="1:9">
      <c r="A24" s="2339" t="s">
        <v>134</v>
      </c>
      <c r="B24" s="2340"/>
      <c r="C24" s="2345">
        <f>审定现流表!C24</f>
        <v>0</v>
      </c>
      <c r="D24" s="2342"/>
      <c r="E24" s="2343">
        <f>ROUND(SUM(E19:E23),2)</f>
        <v>0</v>
      </c>
      <c r="F24" s="2344">
        <f>ROUND(SUM(F19:F23),2)</f>
        <v>0</v>
      </c>
      <c r="G24" s="2345">
        <f>ROUND(SUM(G19:G23),2)</f>
        <v>0</v>
      </c>
      <c r="H24" s="2343">
        <f>ROUND(SUM(H19:H23),2)</f>
        <v>0</v>
      </c>
      <c r="I24" s="2344">
        <f>ROUND(SUM(I19:I23),2)</f>
        <v>0</v>
      </c>
    </row>
    <row r="25" spans="1:9">
      <c r="A25" s="2334" t="s">
        <v>135</v>
      </c>
      <c r="B25" s="1828"/>
      <c r="C25" s="2335">
        <f>审定现流表!C25</f>
        <v>0</v>
      </c>
      <c r="D25" s="2331"/>
      <c r="E25" s="2336"/>
      <c r="F25" s="2337">
        <f>$C25-SUM($D25:E25)</f>
        <v>0</v>
      </c>
      <c r="G25" s="2338">
        <f>ROUND(SUM(H25:I25),2)</f>
        <v>0</v>
      </c>
      <c r="H25" s="2336"/>
      <c r="I25" s="2349"/>
    </row>
    <row r="26" spans="1:9">
      <c r="A26" s="2334" t="s">
        <v>136</v>
      </c>
      <c r="B26" s="1828"/>
      <c r="C26" s="2335">
        <f>审定现流表!C26</f>
        <v>0</v>
      </c>
      <c r="D26" s="2331"/>
      <c r="E26" s="2336"/>
      <c r="F26" s="2337">
        <f>$C26-SUM($D26:E26)</f>
        <v>0</v>
      </c>
      <c r="G26" s="2338">
        <f>ROUND(SUM(H26:I26),2)</f>
        <v>0</v>
      </c>
      <c r="H26" s="2336"/>
      <c r="I26" s="2349"/>
    </row>
    <row r="27" spans="1:9">
      <c r="A27" s="2334" t="s">
        <v>137</v>
      </c>
      <c r="B27" s="1828"/>
      <c r="C27" s="2335">
        <f>审定现流表!C27</f>
        <v>0</v>
      </c>
      <c r="D27" s="2331"/>
      <c r="E27" s="2336"/>
      <c r="F27" s="2337">
        <f>$C27-SUM($D27:E27)</f>
        <v>0</v>
      </c>
      <c r="G27" s="2338">
        <f>ROUND(SUM(H27:I27),2)</f>
        <v>0</v>
      </c>
      <c r="H27" s="2336"/>
      <c r="I27" s="2349"/>
    </row>
    <row r="28" spans="1:9">
      <c r="A28" s="2334" t="s">
        <v>138</v>
      </c>
      <c r="B28" s="1833" t="s">
        <v>133</v>
      </c>
      <c r="C28" s="2335">
        <f>审定现流表!C28</f>
        <v>0</v>
      </c>
      <c r="D28" s="2331"/>
      <c r="E28" s="2336"/>
      <c r="F28" s="2337">
        <f>$C28-SUM($D28:E28)</f>
        <v>0</v>
      </c>
      <c r="G28" s="2338">
        <f>ROUND(SUM(H28:I28),2)</f>
        <v>0</v>
      </c>
      <c r="H28" s="2336"/>
      <c r="I28" s="2349"/>
    </row>
    <row r="29" spans="1:9">
      <c r="A29" s="2339" t="s">
        <v>139</v>
      </c>
      <c r="B29" s="2340"/>
      <c r="C29" s="2345">
        <f>审定现流表!C29</f>
        <v>0</v>
      </c>
      <c r="D29" s="2342"/>
      <c r="E29" s="2343">
        <f>ROUND(SUM(E25:E28),2)</f>
        <v>0</v>
      </c>
      <c r="F29" s="2344">
        <f>ROUND(SUM(F25:F28),2)</f>
        <v>0</v>
      </c>
      <c r="G29" s="2345">
        <f>ROUND(SUM(G25:G28),2)</f>
        <v>0</v>
      </c>
      <c r="H29" s="2343">
        <f>ROUND(SUM(H25:H28),2)</f>
        <v>0</v>
      </c>
      <c r="I29" s="2344">
        <f>ROUND(SUM(I25:I28),2)</f>
        <v>0</v>
      </c>
    </row>
    <row r="30" spans="1:9">
      <c r="A30" s="2339" t="s">
        <v>140</v>
      </c>
      <c r="B30" s="2340"/>
      <c r="C30" s="2345">
        <f>审定现流表!C30</f>
        <v>0</v>
      </c>
      <c r="D30" s="2342"/>
      <c r="E30" s="2343">
        <f>ROUND(E24-E29,2)</f>
        <v>0</v>
      </c>
      <c r="F30" s="2344">
        <f>ROUND(F24-F29,2)</f>
        <v>0</v>
      </c>
      <c r="G30" s="2345">
        <f>ROUND(G24-G29,2)</f>
        <v>0</v>
      </c>
      <c r="H30" s="2343">
        <f>ROUND(H24-H29,2)</f>
        <v>0</v>
      </c>
      <c r="I30" s="2344">
        <f>ROUND(I24-I29,2)</f>
        <v>0</v>
      </c>
    </row>
    <row r="31" spans="1:9">
      <c r="A31" s="2347"/>
      <c r="B31" s="2340"/>
      <c r="C31" s="2333"/>
      <c r="D31" s="2331"/>
      <c r="E31" s="2331"/>
      <c r="F31" s="2332"/>
      <c r="G31" s="2333"/>
      <c r="H31" s="2333"/>
      <c r="I31" s="2332"/>
    </row>
    <row r="32" spans="1:9">
      <c r="A32" s="2329" t="s">
        <v>141</v>
      </c>
      <c r="B32" s="2340"/>
      <c r="C32" s="2335">
        <f>审定现流表!C32</f>
        <v>0</v>
      </c>
      <c r="D32" s="2331"/>
      <c r="E32" s="2331"/>
      <c r="F32" s="2332"/>
      <c r="G32" s="2333"/>
      <c r="H32" s="2333"/>
      <c r="I32" s="2332"/>
    </row>
    <row r="33" spans="1:9">
      <c r="A33" s="2334" t="s">
        <v>142</v>
      </c>
      <c r="B33" s="1828"/>
      <c r="C33" s="2335">
        <f>审定现流表!C33</f>
        <v>0</v>
      </c>
      <c r="D33" s="2331"/>
      <c r="E33" s="2336"/>
      <c r="F33" s="2337">
        <f>$C33-SUM($D33:E33)</f>
        <v>0</v>
      </c>
      <c r="G33" s="2338">
        <f>ROUND(SUM(H33:I33),2)</f>
        <v>0</v>
      </c>
      <c r="H33" s="2336"/>
      <c r="I33" s="2349"/>
    </row>
    <row r="34" spans="1:9">
      <c r="A34" s="2334" t="s">
        <v>143</v>
      </c>
      <c r="B34" s="1828"/>
      <c r="C34" s="2335">
        <f>审定现流表!C34</f>
        <v>0</v>
      </c>
      <c r="D34" s="2331"/>
      <c r="E34" s="2336"/>
      <c r="F34" s="2337">
        <f>$C34-SUM($D34:E34)</f>
        <v>0</v>
      </c>
      <c r="G34" s="2338">
        <f>ROUND(SUM(H34:I34),2)</f>
        <v>0</v>
      </c>
      <c r="H34" s="2336"/>
      <c r="I34" s="2349"/>
    </row>
    <row r="35" spans="1:9">
      <c r="A35" s="2334" t="s">
        <v>144</v>
      </c>
      <c r="B35" s="1828"/>
      <c r="C35" s="2335">
        <f>审定现流表!C35</f>
        <v>0</v>
      </c>
      <c r="D35" s="2331"/>
      <c r="E35" s="2336"/>
      <c r="F35" s="2337">
        <f>$C35-SUM($D35:E35)</f>
        <v>0</v>
      </c>
      <c r="G35" s="2338">
        <f>ROUND(SUM(H35:I35),2)</f>
        <v>0</v>
      </c>
      <c r="H35" s="2336"/>
      <c r="I35" s="2349"/>
    </row>
    <row r="36" spans="1:9">
      <c r="A36" s="2334" t="s">
        <v>145</v>
      </c>
      <c r="B36" s="1828"/>
      <c r="C36" s="2335">
        <f>审定现流表!C36</f>
        <v>0</v>
      </c>
      <c r="D36" s="2331"/>
      <c r="E36" s="2336"/>
      <c r="F36" s="2337">
        <f>$C36-SUM($D36:E36)</f>
        <v>0</v>
      </c>
      <c r="G36" s="2338">
        <f>ROUND(SUM(H36:I36),2)</f>
        <v>0</v>
      </c>
      <c r="H36" s="2336"/>
      <c r="I36" s="2349"/>
    </row>
    <row r="37" spans="1:9">
      <c r="A37" s="2334" t="s">
        <v>146</v>
      </c>
      <c r="B37" s="1833" t="s">
        <v>147</v>
      </c>
      <c r="C37" s="2335">
        <f>审定现流表!C37</f>
        <v>0</v>
      </c>
      <c r="D37" s="2331"/>
      <c r="E37" s="2336"/>
      <c r="F37" s="2337">
        <f>$C37-SUM($D37:E37)</f>
        <v>0</v>
      </c>
      <c r="G37" s="2338">
        <f>ROUND(SUM(H37:I37),2)</f>
        <v>0</v>
      </c>
      <c r="H37" s="2336"/>
      <c r="I37" s="2349"/>
    </row>
    <row r="38" spans="1:9">
      <c r="A38" s="2339" t="s">
        <v>148</v>
      </c>
      <c r="B38" s="2340"/>
      <c r="C38" s="2345">
        <f>审定现流表!C38</f>
        <v>0</v>
      </c>
      <c r="D38" s="2342"/>
      <c r="E38" s="2343">
        <f>ROUND(SUM(E33:E37),2)-E34</f>
        <v>0</v>
      </c>
      <c r="F38" s="2344">
        <f>ROUND(SUM(F33:F37),2)-F34</f>
        <v>0</v>
      </c>
      <c r="G38" s="2345">
        <f>ROUND(SUM(G33:G37),2)-G34</f>
        <v>0</v>
      </c>
      <c r="H38" s="2343">
        <f>ROUND(SUM(H33:H37),2)-H34</f>
        <v>0</v>
      </c>
      <c r="I38" s="2344">
        <f>ROUND(SUM(I33:I37),2)-I34</f>
        <v>0</v>
      </c>
    </row>
    <row r="39" spans="1:9">
      <c r="A39" s="2334" t="s">
        <v>149</v>
      </c>
      <c r="B39" s="1828"/>
      <c r="C39" s="2335">
        <f>审定现流表!C39</f>
        <v>0</v>
      </c>
      <c r="D39" s="2331"/>
      <c r="E39" s="2336"/>
      <c r="F39" s="2337">
        <f>$C39-SUM($D39:E39)</f>
        <v>0</v>
      </c>
      <c r="G39" s="2338">
        <f>ROUND(SUM(H39:I39),2)</f>
        <v>0</v>
      </c>
      <c r="H39" s="2336"/>
      <c r="I39" s="2349"/>
    </row>
    <row r="40" spans="1:9">
      <c r="A40" s="2334" t="s">
        <v>150</v>
      </c>
      <c r="B40" s="1828"/>
      <c r="C40" s="2335">
        <f>审定现流表!C40</f>
        <v>0</v>
      </c>
      <c r="D40" s="2331"/>
      <c r="E40" s="2336"/>
      <c r="F40" s="2337">
        <f>$C40-SUM($D40:E40)</f>
        <v>0</v>
      </c>
      <c r="G40" s="2338">
        <f>ROUND(SUM(H40:I40),2)</f>
        <v>0</v>
      </c>
      <c r="H40" s="2336"/>
      <c r="I40" s="2349"/>
    </row>
    <row r="41" spans="1:9">
      <c r="A41" s="2334" t="s">
        <v>151</v>
      </c>
      <c r="B41" s="1828"/>
      <c r="C41" s="2335">
        <f>审定现流表!C41</f>
        <v>0</v>
      </c>
      <c r="D41" s="2331"/>
      <c r="E41" s="2336"/>
      <c r="F41" s="2337">
        <f>$C41-SUM($D41:E41)</f>
        <v>0</v>
      </c>
      <c r="G41" s="2338">
        <f>ROUND(SUM(H41:I41),2)</f>
        <v>0</v>
      </c>
      <c r="H41" s="2336"/>
      <c r="I41" s="2349"/>
    </row>
    <row r="42" spans="1:9">
      <c r="A42" s="2334" t="s">
        <v>152</v>
      </c>
      <c r="B42" s="1833" t="s">
        <v>147</v>
      </c>
      <c r="C42" s="2335">
        <f>审定现流表!C42</f>
        <v>0</v>
      </c>
      <c r="D42" s="2331"/>
      <c r="E42" s="2336"/>
      <c r="F42" s="2337">
        <f>$C42-SUM($D42:E42)</f>
        <v>0</v>
      </c>
      <c r="G42" s="2338">
        <f>ROUND(SUM(H42:I42),2)</f>
        <v>0</v>
      </c>
      <c r="H42" s="2336"/>
      <c r="I42" s="2349"/>
    </row>
    <row r="43" spans="1:9">
      <c r="A43" s="2339" t="s">
        <v>153</v>
      </c>
      <c r="B43" s="2340"/>
      <c r="C43" s="2345">
        <f>审定现流表!C43</f>
        <v>0</v>
      </c>
      <c r="D43" s="2342"/>
      <c r="E43" s="2343">
        <f>ROUND(SUM(E39:E42),2)-E41</f>
        <v>0</v>
      </c>
      <c r="F43" s="2344">
        <f>ROUND(SUM(F39:F42),2)-F41</f>
        <v>0</v>
      </c>
      <c r="G43" s="2345">
        <f>ROUND(SUM(G39:G42),2)-G41</f>
        <v>0</v>
      </c>
      <c r="H43" s="2343">
        <f>ROUND(SUM(H39:H42),2)-H41</f>
        <v>0</v>
      </c>
      <c r="I43" s="2344">
        <f>ROUND(SUM(I39:I42),2)-I41</f>
        <v>0</v>
      </c>
    </row>
    <row r="44" spans="1:9">
      <c r="A44" s="2339" t="s">
        <v>154</v>
      </c>
      <c r="B44" s="2340"/>
      <c r="C44" s="2345">
        <f>审定现流表!C44</f>
        <v>0</v>
      </c>
      <c r="D44" s="2342"/>
      <c r="E44" s="2343">
        <f>ROUND(E38-E43,2)</f>
        <v>0</v>
      </c>
      <c r="F44" s="2344">
        <f>ROUND(F38-F43,2)</f>
        <v>0</v>
      </c>
      <c r="G44" s="2345">
        <f>ROUND(G38-G43,2)</f>
        <v>0</v>
      </c>
      <c r="H44" s="2343">
        <f>ROUND(H38-H43,2)</f>
        <v>0</v>
      </c>
      <c r="I44" s="2344">
        <f>ROUND(I38-I43,2)</f>
        <v>0</v>
      </c>
    </row>
    <row r="45" spans="1:9">
      <c r="A45" s="2347"/>
      <c r="B45" s="2340"/>
      <c r="C45" s="2333"/>
      <c r="D45" s="2331"/>
      <c r="E45" s="2331"/>
      <c r="F45" s="2332"/>
      <c r="G45" s="2333"/>
      <c r="H45" s="2331"/>
      <c r="I45" s="2332"/>
    </row>
    <row r="46" spans="1:9">
      <c r="A46" s="2329" t="s">
        <v>155</v>
      </c>
      <c r="B46" s="1828"/>
      <c r="C46" s="2335">
        <f>审定现流表!C46</f>
        <v>0</v>
      </c>
      <c r="D46" s="2331"/>
      <c r="E46" s="2336"/>
      <c r="F46" s="2337">
        <f>$C46-SUM($D46:E46)</f>
        <v>0</v>
      </c>
      <c r="G46" s="2338">
        <f>ROUND(SUM(H46:I46),2)</f>
        <v>0</v>
      </c>
      <c r="H46" s="2336"/>
      <c r="I46" s="2349"/>
    </row>
    <row r="47" spans="1:9">
      <c r="A47" s="2329" t="s">
        <v>156</v>
      </c>
      <c r="B47" s="2348"/>
      <c r="C47" s="2345">
        <f>审定现流表!C47</f>
        <v>0</v>
      </c>
      <c r="D47" s="2342"/>
      <c r="E47" s="2343">
        <f>ROUND(E16+E30+E44+E46,2)</f>
        <v>0</v>
      </c>
      <c r="F47" s="2344">
        <f>ROUND(F16+F30+F44+F46,2)</f>
        <v>0</v>
      </c>
      <c r="G47" s="2345">
        <f>ROUND(G16+G30+G44+G46,2)</f>
        <v>0</v>
      </c>
      <c r="H47" s="2343">
        <f>ROUND(H16+H30+H44+H46,2)</f>
        <v>0</v>
      </c>
      <c r="I47" s="2344">
        <f>ROUND(I16+I30+I44+I46,2)</f>
        <v>0</v>
      </c>
    </row>
    <row r="48" spans="1:9">
      <c r="A48" s="2334" t="s">
        <v>157</v>
      </c>
      <c r="B48" s="2348"/>
      <c r="C48" s="2335">
        <f>审定现流表!C48</f>
        <v>0</v>
      </c>
      <c r="D48" s="2331"/>
      <c r="E48" s="2336"/>
      <c r="F48" s="2349">
        <f>E49</f>
        <v>0</v>
      </c>
      <c r="G48" s="2336">
        <f>ROUND(SUM(H48),2)</f>
        <v>0</v>
      </c>
      <c r="H48" s="2336"/>
      <c r="I48" s="2349"/>
    </row>
    <row r="49" ht="15" spans="1:9">
      <c r="A49" s="2350" t="s">
        <v>158</v>
      </c>
      <c r="B49" s="2351"/>
      <c r="C49" s="2352">
        <f>审定现流表!C49</f>
        <v>0</v>
      </c>
      <c r="D49" s="2353"/>
      <c r="E49" s="2354">
        <f>ROUND(E47+E48,2)</f>
        <v>0</v>
      </c>
      <c r="F49" s="2355">
        <f>ROUND(F47+F48,2)</f>
        <v>0</v>
      </c>
      <c r="G49" s="2352">
        <f>ROUND(G47+G48,2)</f>
        <v>0</v>
      </c>
      <c r="H49" s="2354">
        <f>ROUND(H47+H48,2)</f>
        <v>0</v>
      </c>
      <c r="I49" s="2355">
        <f>ROUND(I47+I48,2)</f>
        <v>0</v>
      </c>
    </row>
    <row r="50" ht="15" spans="1:9">
      <c r="A50" s="2356"/>
      <c r="B50" s="2311"/>
      <c r="C50" s="2316"/>
      <c r="D50" s="2315"/>
      <c r="E50" s="2315"/>
      <c r="F50" s="2315"/>
      <c r="G50" s="2316"/>
      <c r="H50" s="2315"/>
      <c r="I50" s="2315"/>
    </row>
    <row r="51" spans="1:9">
      <c r="A51" s="2357" t="str">
        <f>IF(C51&lt;&gt;0,"主表的经营活动现金产生的流量净额与附表不符，相差：","")</f>
        <v/>
      </c>
      <c r="B51" s="2311"/>
      <c r="C51" s="2358">
        <f>ROUND(C16-C72,2)</f>
        <v>0</v>
      </c>
      <c r="D51" s="2359"/>
      <c r="E51" s="2358">
        <f>ROUND(E16-E72,2)</f>
        <v>0</v>
      </c>
      <c r="F51" s="2358">
        <f>ROUND(F16-F72,2)</f>
        <v>0</v>
      </c>
      <c r="G51" s="2358">
        <f>ROUND(G16-G72,2)</f>
        <v>0</v>
      </c>
      <c r="H51" s="2358">
        <f>ROUND(H16-H72,2)</f>
        <v>0</v>
      </c>
      <c r="I51" s="2358">
        <f>ROUND(I16-I72,2)</f>
        <v>0</v>
      </c>
    </row>
    <row r="52" ht="15" spans="1:9">
      <c r="A52" s="2360" t="s">
        <v>159</v>
      </c>
      <c r="B52" s="2311"/>
      <c r="C52" s="2316"/>
      <c r="D52" s="2315"/>
      <c r="E52" s="2315"/>
      <c r="F52" s="2315"/>
      <c r="G52" s="2316"/>
      <c r="H52" s="2315"/>
      <c r="I52" s="2315"/>
    </row>
    <row r="53" ht="15" spans="1:9">
      <c r="A53" s="2361" t="s">
        <v>160</v>
      </c>
      <c r="B53" s="2362" t="s">
        <v>161</v>
      </c>
      <c r="C53" s="2321" t="s">
        <v>62</v>
      </c>
      <c r="D53" s="2319"/>
      <c r="E53" s="2322" t="s">
        <v>62</v>
      </c>
      <c r="F53" s="2363" t="s">
        <v>62</v>
      </c>
      <c r="G53" s="2321" t="s">
        <v>306</v>
      </c>
      <c r="H53" s="2322" t="s">
        <v>306</v>
      </c>
      <c r="I53" s="2363" t="s">
        <v>306</v>
      </c>
    </row>
    <row r="54" spans="1:9">
      <c r="A54" s="2364"/>
      <c r="B54" s="2365"/>
      <c r="C54" s="2327" t="s">
        <v>307</v>
      </c>
      <c r="D54" s="2325"/>
      <c r="E54" s="2366" t="s">
        <v>308</v>
      </c>
      <c r="F54" s="2367" t="s">
        <v>309</v>
      </c>
      <c r="G54" s="2327" t="s">
        <v>113</v>
      </c>
      <c r="H54" s="2368" t="s">
        <v>308</v>
      </c>
      <c r="I54" s="2374" t="s">
        <v>309</v>
      </c>
    </row>
    <row r="55" spans="1:9">
      <c r="A55" s="2369" t="s">
        <v>163</v>
      </c>
      <c r="B55" s="2348"/>
      <c r="C55" s="2333"/>
      <c r="D55" s="2331"/>
      <c r="E55" s="2331"/>
      <c r="F55" s="2332"/>
      <c r="G55" s="2333"/>
      <c r="H55" s="2331"/>
      <c r="I55" s="2332"/>
    </row>
    <row r="56" spans="1:9">
      <c r="A56" s="2370" t="s">
        <v>109</v>
      </c>
      <c r="B56" s="2371"/>
      <c r="C56" s="2335">
        <f>审定现流表!C56</f>
        <v>0</v>
      </c>
      <c r="D56" s="2331"/>
      <c r="E56" s="2335">
        <f>本月审定利润表!E35</f>
        <v>0</v>
      </c>
      <c r="F56" s="2372">
        <f>本月审定利润表!F35</f>
        <v>0</v>
      </c>
      <c r="G56" s="2335">
        <f>本月审定利润表!G26</f>
        <v>0</v>
      </c>
      <c r="H56" s="2335">
        <f>本月审定利润表!H26</f>
        <v>0</v>
      </c>
      <c r="I56" s="2372">
        <f>本月审定利润表!I26</f>
        <v>0</v>
      </c>
    </row>
    <row r="57" spans="1:9">
      <c r="A57" s="2370" t="s">
        <v>164</v>
      </c>
      <c r="B57" s="2371"/>
      <c r="C57" s="2335">
        <f>审定现流表!C57</f>
        <v>0</v>
      </c>
      <c r="D57" s="2331"/>
      <c r="E57" s="2336"/>
      <c r="F57" s="2337">
        <f>$C57-SUM($D57:E57)</f>
        <v>0</v>
      </c>
      <c r="G57" s="2338">
        <f t="shared" ref="G57:G71" si="0">ROUND(SUM(H57:I57),2)</f>
        <v>0</v>
      </c>
      <c r="H57" s="2336"/>
      <c r="I57" s="2349"/>
    </row>
    <row r="58" spans="1:9">
      <c r="A58" s="2370" t="s">
        <v>165</v>
      </c>
      <c r="B58" s="2371"/>
      <c r="C58" s="2335">
        <f>审定现流表!C58</f>
        <v>0</v>
      </c>
      <c r="D58" s="2331"/>
      <c r="E58" s="2336"/>
      <c r="F58" s="2337">
        <f>$C58-SUM($D58:E58)</f>
        <v>0</v>
      </c>
      <c r="G58" s="2338">
        <f t="shared" si="0"/>
        <v>0</v>
      </c>
      <c r="H58" s="2336"/>
      <c r="I58" s="2349"/>
    </row>
    <row r="59" spans="1:9">
      <c r="A59" s="2370" t="s">
        <v>166</v>
      </c>
      <c r="B59" s="2371"/>
      <c r="C59" s="2335">
        <f>审定现流表!C59</f>
        <v>0</v>
      </c>
      <c r="D59" s="2331"/>
      <c r="E59" s="2336"/>
      <c r="F59" s="2337">
        <f>$C59-SUM($D59:E59)</f>
        <v>0</v>
      </c>
      <c r="G59" s="2338">
        <f t="shared" si="0"/>
        <v>0</v>
      </c>
      <c r="H59" s="2336"/>
      <c r="I59" s="2349"/>
    </row>
    <row r="60" spans="1:9">
      <c r="A60" s="2370" t="s">
        <v>167</v>
      </c>
      <c r="B60" s="2371"/>
      <c r="C60" s="2335">
        <f>审定现流表!C60</f>
        <v>0</v>
      </c>
      <c r="D60" s="2331"/>
      <c r="E60" s="2336"/>
      <c r="F60" s="2337">
        <f>$C60-SUM($D60:E60)</f>
        <v>0</v>
      </c>
      <c r="G60" s="2338">
        <f t="shared" si="0"/>
        <v>0</v>
      </c>
      <c r="H60" s="2336"/>
      <c r="I60" s="2349"/>
    </row>
    <row r="61" spans="1:9">
      <c r="A61" s="2370" t="s">
        <v>168</v>
      </c>
      <c r="B61" s="2371"/>
      <c r="C61" s="2335">
        <f>审定现流表!C61</f>
        <v>0</v>
      </c>
      <c r="D61" s="2331"/>
      <c r="E61" s="2336"/>
      <c r="F61" s="2337">
        <f>$C61-SUM($D61:E61)</f>
        <v>0</v>
      </c>
      <c r="G61" s="2338">
        <f t="shared" si="0"/>
        <v>0</v>
      </c>
      <c r="H61" s="2336"/>
      <c r="I61" s="2349"/>
    </row>
    <row r="62" spans="1:9">
      <c r="A62" s="2370" t="s">
        <v>169</v>
      </c>
      <c r="B62" s="2371"/>
      <c r="C62" s="2335">
        <f>审定现流表!C62</f>
        <v>0</v>
      </c>
      <c r="D62" s="2331"/>
      <c r="E62" s="2336"/>
      <c r="F62" s="2337">
        <f>$C62-SUM($D62:E62)</f>
        <v>0</v>
      </c>
      <c r="G62" s="2338">
        <f t="shared" si="0"/>
        <v>0</v>
      </c>
      <c r="H62" s="2336"/>
      <c r="I62" s="2349"/>
    </row>
    <row r="63" spans="1:9">
      <c r="A63" s="2370" t="s">
        <v>170</v>
      </c>
      <c r="B63" s="2371"/>
      <c r="C63" s="2335">
        <f>审定现流表!C63</f>
        <v>0</v>
      </c>
      <c r="D63" s="2331"/>
      <c r="E63" s="2336"/>
      <c r="F63" s="2337">
        <f>$C63-SUM($D63:E63)</f>
        <v>0</v>
      </c>
      <c r="G63" s="2338">
        <f t="shared" si="0"/>
        <v>0</v>
      </c>
      <c r="H63" s="2336"/>
      <c r="I63" s="2349"/>
    </row>
    <row r="64" spans="1:9">
      <c r="A64" s="2370" t="s">
        <v>84</v>
      </c>
      <c r="B64" s="2371"/>
      <c r="C64" s="2335">
        <f>审定现流表!C64</f>
        <v>0</v>
      </c>
      <c r="D64" s="2331"/>
      <c r="E64" s="2336"/>
      <c r="F64" s="2337">
        <f>$C64-SUM($D64:E64)</f>
        <v>0</v>
      </c>
      <c r="G64" s="2338">
        <f t="shared" si="0"/>
        <v>0</v>
      </c>
      <c r="H64" s="2336"/>
      <c r="I64" s="2349"/>
    </row>
    <row r="65" spans="1:9">
      <c r="A65" s="2370" t="s">
        <v>171</v>
      </c>
      <c r="B65" s="2371"/>
      <c r="C65" s="2335">
        <f>审定现流表!C65</f>
        <v>0</v>
      </c>
      <c r="D65" s="2331"/>
      <c r="E65" s="2336"/>
      <c r="F65" s="2337">
        <f>$C65-SUM($D65:E65)</f>
        <v>0</v>
      </c>
      <c r="G65" s="2338">
        <f t="shared" si="0"/>
        <v>0</v>
      </c>
      <c r="H65" s="2336"/>
      <c r="I65" s="2349"/>
    </row>
    <row r="66" spans="1:9">
      <c r="A66" s="2370" t="s">
        <v>172</v>
      </c>
      <c r="B66" s="2371"/>
      <c r="C66" s="2335">
        <f>审定现流表!C66</f>
        <v>0</v>
      </c>
      <c r="D66" s="2331"/>
      <c r="E66" s="2336"/>
      <c r="F66" s="2337">
        <f>$C66-SUM($D66:E66)</f>
        <v>0</v>
      </c>
      <c r="G66" s="2338">
        <f t="shared" si="0"/>
        <v>0</v>
      </c>
      <c r="H66" s="2336"/>
      <c r="I66" s="2349"/>
    </row>
    <row r="67" spans="1:9">
      <c r="A67" s="2370" t="s">
        <v>173</v>
      </c>
      <c r="B67" s="2371"/>
      <c r="C67" s="2335">
        <f>审定现流表!C67</f>
        <v>0</v>
      </c>
      <c r="D67" s="2331"/>
      <c r="E67" s="2336"/>
      <c r="F67" s="2337">
        <f>$C67-SUM($D67:E67)</f>
        <v>0</v>
      </c>
      <c r="G67" s="2338">
        <f t="shared" si="0"/>
        <v>0</v>
      </c>
      <c r="H67" s="2336"/>
      <c r="I67" s="2349"/>
    </row>
    <row r="68" spans="1:9">
      <c r="A68" s="2370" t="s">
        <v>174</v>
      </c>
      <c r="B68" s="2371"/>
      <c r="C68" s="2335">
        <f>审定现流表!C68</f>
        <v>0</v>
      </c>
      <c r="D68" s="2331"/>
      <c r="E68" s="2336"/>
      <c r="F68" s="2337">
        <f>$C68-SUM($D68:E68)</f>
        <v>0</v>
      </c>
      <c r="G68" s="2338">
        <f t="shared" si="0"/>
        <v>0</v>
      </c>
      <c r="H68" s="2336"/>
      <c r="I68" s="2349"/>
    </row>
    <row r="69" spans="1:9">
      <c r="A69" s="2370" t="s">
        <v>175</v>
      </c>
      <c r="B69" s="2371"/>
      <c r="C69" s="2335">
        <f>审定现流表!C69</f>
        <v>0</v>
      </c>
      <c r="D69" s="2331"/>
      <c r="E69" s="2336"/>
      <c r="F69" s="2337">
        <f>$C69-SUM($D69:E69)</f>
        <v>0</v>
      </c>
      <c r="G69" s="2338">
        <f t="shared" si="0"/>
        <v>0</v>
      </c>
      <c r="H69" s="2336"/>
      <c r="I69" s="2349"/>
    </row>
    <row r="70" spans="1:9">
      <c r="A70" s="2370" t="s">
        <v>176</v>
      </c>
      <c r="B70" s="2371"/>
      <c r="C70" s="2335">
        <f>审定现流表!C70</f>
        <v>0</v>
      </c>
      <c r="D70" s="2331"/>
      <c r="E70" s="2336"/>
      <c r="F70" s="2337">
        <f>$C70-SUM($D70:E70)</f>
        <v>0</v>
      </c>
      <c r="G70" s="2338">
        <f t="shared" si="0"/>
        <v>0</v>
      </c>
      <c r="H70" s="2336"/>
      <c r="I70" s="2349"/>
    </row>
    <row r="71" spans="1:9">
      <c r="A71" s="2370" t="s">
        <v>177</v>
      </c>
      <c r="B71" s="2371"/>
      <c r="C71" s="2335">
        <f>审定现流表!C71</f>
        <v>0</v>
      </c>
      <c r="D71" s="2331"/>
      <c r="E71" s="2336"/>
      <c r="F71" s="2337">
        <f>$C71-SUM($D71:E71)</f>
        <v>0</v>
      </c>
      <c r="G71" s="2338">
        <f t="shared" si="0"/>
        <v>0</v>
      </c>
      <c r="H71" s="2336"/>
      <c r="I71" s="2349"/>
    </row>
    <row r="72" spans="1:9">
      <c r="A72" s="2375" t="s">
        <v>178</v>
      </c>
      <c r="B72" s="2371"/>
      <c r="C72" s="2345">
        <f>ROUND(SUM(C56:C71),2)</f>
        <v>0</v>
      </c>
      <c r="D72" s="2342"/>
      <c r="E72" s="2343">
        <f>ROUND(SUM(E56:E71),2)</f>
        <v>0</v>
      </c>
      <c r="F72" s="2344">
        <f>ROUND(SUM(F56:F71),2)</f>
        <v>0</v>
      </c>
      <c r="G72" s="2345">
        <f>ROUND(SUM(G56:G71),2)</f>
        <v>0</v>
      </c>
      <c r="H72" s="2343">
        <f>ROUND(SUM(H56:H71),2)</f>
        <v>0</v>
      </c>
      <c r="I72" s="2344">
        <f>ROUND(SUM(I56:I71),2)</f>
        <v>0</v>
      </c>
    </row>
    <row r="73" spans="1:9">
      <c r="A73" s="2370"/>
      <c r="B73" s="2371"/>
      <c r="C73" s="2333"/>
      <c r="D73" s="2371"/>
      <c r="E73" s="2371"/>
      <c r="F73" s="2376"/>
      <c r="G73" s="2333"/>
      <c r="H73" s="2371"/>
      <c r="I73" s="2376"/>
    </row>
    <row r="74" spans="1:9">
      <c r="A74" s="2375" t="s">
        <v>179</v>
      </c>
      <c r="B74" s="2371"/>
      <c r="C74" s="2333"/>
      <c r="D74" s="2371"/>
      <c r="E74" s="2371"/>
      <c r="F74" s="2376"/>
      <c r="G74" s="2333"/>
      <c r="H74" s="2371"/>
      <c r="I74" s="2376"/>
    </row>
    <row r="75" spans="1:9">
      <c r="A75" s="2370" t="s">
        <v>180</v>
      </c>
      <c r="B75" s="2371"/>
      <c r="C75" s="2335">
        <f>审定现流表!C75</f>
        <v>0</v>
      </c>
      <c r="D75" s="2331"/>
      <c r="E75" s="2336"/>
      <c r="F75" s="2337">
        <f>$C75-SUM($D75:E75)</f>
        <v>0</v>
      </c>
      <c r="G75" s="2338">
        <f>ROUND(SUM(H75:I75),2)</f>
        <v>0</v>
      </c>
      <c r="H75" s="2336"/>
      <c r="I75" s="2349"/>
    </row>
    <row r="76" spans="1:9">
      <c r="A76" s="2370" t="s">
        <v>181</v>
      </c>
      <c r="B76" s="2371"/>
      <c r="C76" s="2335">
        <f>审定现流表!C76</f>
        <v>0</v>
      </c>
      <c r="D76" s="2331"/>
      <c r="E76" s="2336"/>
      <c r="F76" s="2337">
        <f>$C76-SUM($D76:E76)</f>
        <v>0</v>
      </c>
      <c r="G76" s="2338">
        <f>ROUND(SUM(H76:I76),2)</f>
        <v>0</v>
      </c>
      <c r="H76" s="2336"/>
      <c r="I76" s="2349"/>
    </row>
    <row r="77" spans="1:9">
      <c r="A77" s="2370" t="s">
        <v>182</v>
      </c>
      <c r="B77" s="2371"/>
      <c r="C77" s="2335">
        <f>审定现流表!C77</f>
        <v>0</v>
      </c>
      <c r="D77" s="2331"/>
      <c r="E77" s="2336"/>
      <c r="F77" s="2337">
        <f>$C77-SUM($D77:E77)</f>
        <v>0</v>
      </c>
      <c r="G77" s="2338">
        <f>ROUND(SUM(H77:I77),2)</f>
        <v>0</v>
      </c>
      <c r="H77" s="2336"/>
      <c r="I77" s="2349"/>
    </row>
    <row r="78" spans="1:9">
      <c r="A78" s="2370"/>
      <c r="B78" s="2371"/>
      <c r="C78" s="2333"/>
      <c r="D78" s="2371"/>
      <c r="E78" s="2371"/>
      <c r="F78" s="2376"/>
      <c r="G78" s="2333"/>
      <c r="H78" s="2371"/>
      <c r="I78" s="2376"/>
    </row>
    <row r="79" spans="1:9">
      <c r="A79" s="2375" t="s">
        <v>183</v>
      </c>
      <c r="B79" s="2371"/>
      <c r="C79" s="2333"/>
      <c r="D79" s="2371"/>
      <c r="E79" s="2371"/>
      <c r="F79" s="2376"/>
      <c r="G79" s="2333"/>
      <c r="H79" s="2371"/>
      <c r="I79" s="2376"/>
    </row>
    <row r="80" spans="1:9">
      <c r="A80" s="2370" t="s">
        <v>184</v>
      </c>
      <c r="B80" s="2371"/>
      <c r="C80" s="2335">
        <f>审定现流表!C80</f>
        <v>0</v>
      </c>
      <c r="D80" s="2331"/>
      <c r="E80" s="2333">
        <f>E49</f>
        <v>0</v>
      </c>
      <c r="F80" s="2377">
        <f>F49</f>
        <v>0</v>
      </c>
      <c r="G80" s="2338">
        <f>ROUND(SUM(H80:I80),2)</f>
        <v>0</v>
      </c>
      <c r="H80" s="2335">
        <f>H49</f>
        <v>0</v>
      </c>
      <c r="I80" s="2372">
        <f>I49</f>
        <v>0</v>
      </c>
    </row>
    <row r="81" spans="1:9">
      <c r="A81" s="2370" t="s">
        <v>185</v>
      </c>
      <c r="B81" s="2371"/>
      <c r="C81" s="2335">
        <f>审定现流表!C81</f>
        <v>0</v>
      </c>
      <c r="D81" s="2331"/>
      <c r="E81" s="2333">
        <f>E48</f>
        <v>0</v>
      </c>
      <c r="F81" s="2377">
        <f>F48</f>
        <v>0</v>
      </c>
      <c r="G81" s="2336">
        <f>ROUND(SUM(H81),2)</f>
        <v>0</v>
      </c>
      <c r="H81" s="2378"/>
      <c r="I81" s="2385"/>
    </row>
    <row r="82" spans="1:9">
      <c r="A82" s="2370" t="s">
        <v>186</v>
      </c>
      <c r="B82" s="2371"/>
      <c r="C82" s="2335">
        <f>审定现流表!C82</f>
        <v>0</v>
      </c>
      <c r="D82" s="2331"/>
      <c r="E82" s="2336"/>
      <c r="F82" s="2349">
        <f>$C82-SUM($D82:E82)</f>
        <v>0</v>
      </c>
      <c r="G82" s="2338">
        <f>ROUND(SUM(H82:I82),2)</f>
        <v>0</v>
      </c>
      <c r="H82" s="2336"/>
      <c r="I82" s="2349"/>
    </row>
    <row r="83" spans="1:9">
      <c r="A83" s="2370" t="s">
        <v>187</v>
      </c>
      <c r="B83" s="2371"/>
      <c r="C83" s="2335">
        <f>审定现流表!C83</f>
        <v>0</v>
      </c>
      <c r="D83" s="2331"/>
      <c r="E83" s="2336"/>
      <c r="F83" s="2349">
        <f>$C83-SUM($D83:E83)</f>
        <v>0</v>
      </c>
      <c r="G83" s="2336">
        <f>ROUND(SUM(H83),2)</f>
        <v>0</v>
      </c>
      <c r="H83" s="2336"/>
      <c r="I83" s="2349"/>
    </row>
    <row r="84" ht="15" spans="1:9">
      <c r="A84" s="2379" t="s">
        <v>188</v>
      </c>
      <c r="B84" s="2380"/>
      <c r="C84" s="2352">
        <f>ROUND(C80-C81+C82-C83,2)</f>
        <v>0</v>
      </c>
      <c r="D84" s="2353"/>
      <c r="E84" s="2354">
        <f>ROUND(E80-E81+E82-E83,2)</f>
        <v>0</v>
      </c>
      <c r="F84" s="2355">
        <f>ROUND(F80-F81+F82-F83,2)</f>
        <v>0</v>
      </c>
      <c r="G84" s="2352">
        <f>ROUND(G80-G81+G82-G83,2)</f>
        <v>0</v>
      </c>
      <c r="H84" s="2354">
        <f>ROUND(H80-H81+H82-H83,2)</f>
        <v>0</v>
      </c>
      <c r="I84" s="2355">
        <f>ROUND(I80-I81+I82-I83,2)</f>
        <v>0</v>
      </c>
    </row>
    <row r="85" ht="15" spans="1:6">
      <c r="A85" s="2381"/>
      <c r="B85" s="2382"/>
      <c r="C85" s="2383"/>
      <c r="D85" s="2383"/>
      <c r="E85" s="2383"/>
      <c r="F85" s="2383"/>
    </row>
    <row r="86" spans="1:6">
      <c r="A86" s="2384"/>
      <c r="B86" s="2384"/>
      <c r="C86" s="2384"/>
      <c r="D86" s="2384"/>
      <c r="E86" s="2384"/>
      <c r="F86" s="2384"/>
    </row>
  </sheetData>
  <sheetProtection formatCells="0" formatColumns="0" formatRows="0" insertRows="0" insertHyperlinks="0" sort="0" autoFilter="0" pivotTables="0"/>
  <autoFilter ref="A5:F85">
    <extLst/>
  </autoFilter>
  <mergeCells count="2">
    <mergeCell ref="A53:A54"/>
    <mergeCell ref="B53:B54"/>
  </mergeCells>
  <conditionalFormatting sqref="G1">
    <cfRule type="cellIs" dxfId="1" priority="1" stopIfTrue="1" operator="notEqual">
      <formula>0</formula>
    </cfRule>
  </conditionalFormatting>
  <conditionalFormatting sqref="H1">
    <cfRule type="cellIs" dxfId="1" priority="2" stopIfTrue="1" operator="notEqual">
      <formula>0</formula>
    </cfRule>
  </conditionalFormatting>
  <conditionalFormatting sqref="A2 A51">
    <cfRule type="cellIs" dxfId="1" priority="4" stopIfTrue="1" operator="notEqual">
      <formula>""</formula>
    </cfRule>
  </conditionalFormatting>
  <conditionalFormatting sqref="C2:I2 C51:I51">
    <cfRule type="cellIs" dxfId="1" priority="3" stopIfTrue="1" operator="notEqual">
      <formula>0</formula>
    </cfRule>
  </conditionalFormatting>
  <hyperlinks>
    <hyperlink ref="I1" location="报表附注!F1" display="【返回】报表附注"/>
    <hyperlink ref="B9" location="报表附注!E3121" display="六十六"/>
    <hyperlink ref="B14" location="报表附注!E3121" display="六十六"/>
    <hyperlink ref="B23" location="报表附注!E3163" display="六十七"/>
    <hyperlink ref="B28" location="报表附注!E3163" display="六十七"/>
    <hyperlink ref="B37" location="报表附注!E3199" display="六十八"/>
    <hyperlink ref="B42" location="报表附注!E3199" display="六十八"/>
  </hyperlinks>
  <pageMargins left="0.7" right="0.7" top="0.75" bottom="0.75" header="0.3" footer="0.3"/>
  <pageSetup paperSize="9" orientation="portrait"/>
  <headerFooter/>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36"/>
  <sheetViews>
    <sheetView showGridLines="0" showZeros="0" zoomScale="105" zoomScaleNormal="105" workbookViewId="0">
      <pane xSplit="1" ySplit="1" topLeftCell="B2" activePane="bottomRight" state="frozen"/>
      <selection/>
      <selection pane="topRight"/>
      <selection pane="bottomLeft"/>
      <selection pane="bottomRight" activeCell="C8" sqref="C8"/>
    </sheetView>
  </sheetViews>
  <sheetFormatPr defaultColWidth="9" defaultRowHeight="12.75"/>
  <cols>
    <col min="1" max="1" width="37.75" style="2299" customWidth="1"/>
    <col min="2" max="9" width="12.25" style="2299" customWidth="1"/>
    <col min="10" max="10" width="26.75" style="2305" hidden="1" customWidth="1"/>
    <col min="11" max="11" width="16.25" style="2299" customWidth="1"/>
    <col min="12" max="16384" width="9" style="2299"/>
  </cols>
  <sheetData>
    <row r="1" s="2075" customFormat="1" ht="25.5" spans="1:10">
      <c r="A1" s="2077" t="s">
        <v>311</v>
      </c>
      <c r="B1" s="2077"/>
      <c r="C1" s="2077"/>
      <c r="D1" s="2077"/>
      <c r="E1" s="2077"/>
      <c r="F1" s="2077"/>
      <c r="G1" s="2077"/>
      <c r="H1" s="2077"/>
      <c r="I1" s="2077"/>
      <c r="J1" s="2141"/>
    </row>
    <row r="2" s="2075" customFormat="1" spans="1:10">
      <c r="A2" s="2079" t="s">
        <v>312</v>
      </c>
      <c r="B2" s="2146"/>
      <c r="C2" s="2146"/>
      <c r="D2" s="2146"/>
      <c r="E2" s="2146"/>
      <c r="F2" s="2146"/>
      <c r="G2" s="2146"/>
      <c r="H2" s="2146"/>
      <c r="I2" s="2146"/>
      <c r="J2" s="2141"/>
    </row>
    <row r="3" s="2075" customFormat="1" spans="1:10">
      <c r="A3" s="2081" t="s">
        <v>313</v>
      </c>
      <c r="B3" s="2146"/>
      <c r="C3" s="2146"/>
      <c r="D3" s="2146"/>
      <c r="E3" s="2146"/>
      <c r="F3" s="2146"/>
      <c r="G3" s="2146"/>
      <c r="H3" s="2146"/>
      <c r="I3" s="2146"/>
      <c r="J3" s="2141"/>
    </row>
    <row r="4" s="2075" customFormat="1" spans="1:10">
      <c r="A4" s="2147" t="s">
        <v>314</v>
      </c>
      <c r="B4" s="2108" t="s">
        <v>315</v>
      </c>
      <c r="C4" s="2108"/>
      <c r="D4" s="2108"/>
      <c r="E4" s="2108" t="s">
        <v>316</v>
      </c>
      <c r="F4" s="2108"/>
      <c r="G4" s="2108"/>
      <c r="H4" s="2128"/>
      <c r="I4" s="2128"/>
      <c r="J4" s="2141"/>
    </row>
    <row r="5" s="2075" customFormat="1" spans="1:10">
      <c r="A5" s="2148"/>
      <c r="B5" s="2108" t="s">
        <v>317</v>
      </c>
      <c r="C5" s="2108" t="s">
        <v>318</v>
      </c>
      <c r="D5" s="2108" t="s">
        <v>319</v>
      </c>
      <c r="E5" s="2108" t="s">
        <v>317</v>
      </c>
      <c r="F5" s="2108" t="s">
        <v>318</v>
      </c>
      <c r="G5" s="2108" t="s">
        <v>319</v>
      </c>
      <c r="H5" s="2128"/>
      <c r="I5" s="2128"/>
      <c r="J5" s="2141"/>
    </row>
    <row r="6" s="2075" customFormat="1" spans="1:10">
      <c r="A6" s="2109" t="s">
        <v>320</v>
      </c>
      <c r="B6" s="1824"/>
      <c r="C6" s="2149"/>
      <c r="D6" s="2048">
        <f>ROUND(SUM(D7:D11),2)</f>
        <v>0</v>
      </c>
      <c r="E6" s="1824"/>
      <c r="F6" s="2149"/>
      <c r="G6" s="2048">
        <f>ROUND(SUM(G7:G11),2)</f>
        <v>0</v>
      </c>
      <c r="H6" s="2100"/>
      <c r="I6" s="2100"/>
      <c r="J6" s="2118" t="s">
        <v>321</v>
      </c>
    </row>
    <row r="7" s="2075" customFormat="1" spans="1:10">
      <c r="A7" s="2109" t="s">
        <v>322</v>
      </c>
      <c r="B7" s="1824"/>
      <c r="C7" s="2149"/>
      <c r="D7" s="2150"/>
      <c r="E7" s="1824"/>
      <c r="F7" s="2149"/>
      <c r="G7" s="2150"/>
      <c r="H7" s="2100"/>
      <c r="I7" s="2100"/>
      <c r="J7" s="2118" t="s">
        <v>323</v>
      </c>
    </row>
    <row r="8" s="2075" customFormat="1" spans="1:10">
      <c r="A8" s="2151" t="s">
        <v>324</v>
      </c>
      <c r="B8" s="1797" t="str">
        <f>IF(C8=0,"",ROUND(D8/C8,2))</f>
        <v/>
      </c>
      <c r="C8" s="2152"/>
      <c r="D8" s="2150"/>
      <c r="E8" s="1797" t="str">
        <f>IF(F8=0,"",ROUND(G8/F8,2))</f>
        <v/>
      </c>
      <c r="F8" s="2152"/>
      <c r="G8" s="2150"/>
      <c r="H8" s="2100"/>
      <c r="I8" s="2100"/>
      <c r="J8" s="2118" t="s">
        <v>325</v>
      </c>
    </row>
    <row r="9" s="2075" customFormat="1" spans="1:10">
      <c r="A9" s="2151" t="s">
        <v>326</v>
      </c>
      <c r="B9" s="1797" t="str">
        <f>IF(C9=0,"",ROUND(D9/C9,2))</f>
        <v/>
      </c>
      <c r="C9" s="2152"/>
      <c r="D9" s="2150"/>
      <c r="E9" s="1797" t="str">
        <f>IF(F9=0,"",ROUND(G9/F9,2))</f>
        <v/>
      </c>
      <c r="F9" s="2152"/>
      <c r="G9" s="2150"/>
      <c r="H9" s="2100"/>
      <c r="I9" s="2100"/>
      <c r="J9" s="2118" t="s">
        <v>327</v>
      </c>
    </row>
    <row r="10" s="2075" customFormat="1" spans="1:10">
      <c r="A10" s="2151" t="s">
        <v>328</v>
      </c>
      <c r="B10" s="1797" t="str">
        <f>IF(C10=0,"",ROUND(D10/C10,2))</f>
        <v/>
      </c>
      <c r="C10" s="2152"/>
      <c r="D10" s="2150"/>
      <c r="E10" s="1797" t="str">
        <f>IF(F10=0,"",ROUND(G10/F10,2))</f>
        <v/>
      </c>
      <c r="F10" s="2152"/>
      <c r="G10" s="2150"/>
      <c r="H10" s="2100"/>
      <c r="I10" s="2100"/>
      <c r="J10" s="2118" t="s">
        <v>329</v>
      </c>
    </row>
    <row r="11" s="2075" customFormat="1" spans="1:10">
      <c r="A11" s="2151" t="s">
        <v>330</v>
      </c>
      <c r="B11" s="1797" t="str">
        <f>IF(C11=0,"",ROUND(D11/C11,2))</f>
        <v/>
      </c>
      <c r="C11" s="2152"/>
      <c r="D11" s="2150"/>
      <c r="E11" s="1797" t="str">
        <f>IF(F11=0,"",ROUND(G11/F11,2))</f>
        <v/>
      </c>
      <c r="F11" s="2152"/>
      <c r="G11" s="2150"/>
      <c r="H11" s="2100"/>
      <c r="I11" s="2100"/>
      <c r="J11" s="2118" t="s">
        <v>331</v>
      </c>
    </row>
    <row r="12" s="2075" customFormat="1" spans="1:10">
      <c r="A12" s="2109" t="s">
        <v>332</v>
      </c>
      <c r="B12" s="2098"/>
      <c r="C12" s="2149"/>
      <c r="D12" s="2048">
        <f>ROUND(SUM(D13:D17),2)</f>
        <v>0</v>
      </c>
      <c r="E12" s="2098"/>
      <c r="F12" s="2149"/>
      <c r="G12" s="2048">
        <f>ROUND(SUM(G13:G17),2)</f>
        <v>0</v>
      </c>
      <c r="H12" s="2100"/>
      <c r="I12" s="2100"/>
      <c r="J12" s="2118" t="s">
        <v>333</v>
      </c>
    </row>
    <row r="13" s="2075" customFormat="1" spans="1:10">
      <c r="A13" s="2109" t="s">
        <v>322</v>
      </c>
      <c r="B13" s="2098"/>
      <c r="C13" s="2149"/>
      <c r="D13" s="2150"/>
      <c r="E13" s="2098"/>
      <c r="F13" s="2149"/>
      <c r="G13" s="2150"/>
      <c r="H13" s="2100"/>
      <c r="I13" s="2100"/>
      <c r="J13" s="2118" t="s">
        <v>334</v>
      </c>
    </row>
    <row r="14" s="2075" customFormat="1" spans="1:10">
      <c r="A14" s="2151" t="s">
        <v>324</v>
      </c>
      <c r="B14" s="1797" t="str">
        <f>IF(C14=0,"",ROUND(D14/C14,2))</f>
        <v/>
      </c>
      <c r="C14" s="2152"/>
      <c r="D14" s="2150"/>
      <c r="E14" s="1797" t="str">
        <f>IF(F14=0,"",ROUND(G14/F14,2))</f>
        <v/>
      </c>
      <c r="F14" s="2152"/>
      <c r="G14" s="2150"/>
      <c r="H14" s="2100"/>
      <c r="I14" s="2100"/>
      <c r="J14" s="2118" t="s">
        <v>335</v>
      </c>
    </row>
    <row r="15" s="2075" customFormat="1" spans="1:10">
      <c r="A15" s="2151" t="s">
        <v>326</v>
      </c>
      <c r="B15" s="1797" t="str">
        <f>IF(C15=0,"",ROUND(D15/C15,2))</f>
        <v/>
      </c>
      <c r="C15" s="2152"/>
      <c r="D15" s="2150"/>
      <c r="E15" s="1797" t="str">
        <f>IF(F15=0,"",ROUND(G15/F15,2))</f>
        <v/>
      </c>
      <c r="F15" s="2152"/>
      <c r="G15" s="2150"/>
      <c r="H15" s="2100"/>
      <c r="I15" s="2100"/>
      <c r="J15" s="2118" t="s">
        <v>336</v>
      </c>
    </row>
    <row r="16" s="2075" customFormat="1" spans="1:10">
      <c r="A16" s="2151" t="s">
        <v>328</v>
      </c>
      <c r="B16" s="1797" t="str">
        <f>IF(C16=0,"",ROUND(D16/C16,2))</f>
        <v/>
      </c>
      <c r="C16" s="2152"/>
      <c r="D16" s="2150"/>
      <c r="E16" s="1797" t="str">
        <f>IF(F16=0,"",ROUND(G16/F16,2))</f>
        <v/>
      </c>
      <c r="F16" s="2152"/>
      <c r="G16" s="2150"/>
      <c r="H16" s="2100"/>
      <c r="I16" s="2100"/>
      <c r="J16" s="2118" t="s">
        <v>337</v>
      </c>
    </row>
    <row r="17" s="2075" customFormat="1" spans="1:10">
      <c r="A17" s="2151" t="s">
        <v>330</v>
      </c>
      <c r="B17" s="1797" t="str">
        <f>IF(C17=0,"",ROUND(D17/C17,2))</f>
        <v/>
      </c>
      <c r="C17" s="2152"/>
      <c r="D17" s="2150"/>
      <c r="E17" s="1797" t="str">
        <f>IF(F17=0,"",ROUND(G17/F17,2))</f>
        <v/>
      </c>
      <c r="F17" s="2152"/>
      <c r="G17" s="2150"/>
      <c r="H17" s="2100"/>
      <c r="I17" s="2100"/>
      <c r="J17" s="2118" t="s">
        <v>338</v>
      </c>
    </row>
    <row r="18" s="2075" customFormat="1" spans="1:10">
      <c r="A18" s="2109" t="s">
        <v>339</v>
      </c>
      <c r="B18" s="2098"/>
      <c r="C18" s="2149"/>
      <c r="D18" s="2048">
        <f>ROUND(SUM(D19:D23),2)</f>
        <v>0</v>
      </c>
      <c r="E18" s="2098"/>
      <c r="F18" s="2149"/>
      <c r="G18" s="2048">
        <f>ROUND(SUM(G19:G23),2)</f>
        <v>0</v>
      </c>
      <c r="H18" s="2100"/>
      <c r="I18" s="2100"/>
      <c r="J18" s="2118" t="s">
        <v>340</v>
      </c>
    </row>
    <row r="19" s="2075" customFormat="1" spans="1:10">
      <c r="A19" s="2109" t="s">
        <v>322</v>
      </c>
      <c r="B19" s="2098"/>
      <c r="C19" s="2149"/>
      <c r="D19" s="2150"/>
      <c r="E19" s="2098"/>
      <c r="F19" s="2149"/>
      <c r="G19" s="2150"/>
      <c r="H19" s="2100"/>
      <c r="I19" s="2100"/>
      <c r="J19" s="2118" t="s">
        <v>341</v>
      </c>
    </row>
    <row r="20" s="2075" customFormat="1" spans="1:10">
      <c r="A20" s="2151" t="s">
        <v>324</v>
      </c>
      <c r="B20" s="1797" t="str">
        <f>IF(C20=0,"",ROUND(D20/C20,2))</f>
        <v/>
      </c>
      <c r="C20" s="2152"/>
      <c r="D20" s="2150"/>
      <c r="E20" s="1797" t="str">
        <f>IF(F20=0,"",ROUND(G20/F20,2))</f>
        <v/>
      </c>
      <c r="F20" s="2152"/>
      <c r="G20" s="2150"/>
      <c r="H20" s="2100"/>
      <c r="I20" s="2100"/>
      <c r="J20" s="2118" t="s">
        <v>342</v>
      </c>
    </row>
    <row r="21" s="2075" customFormat="1" spans="1:10">
      <c r="A21" s="2151" t="s">
        <v>326</v>
      </c>
      <c r="B21" s="1797" t="str">
        <f>IF(C21=0,"",ROUND(D21/C21,2))</f>
        <v/>
      </c>
      <c r="C21" s="2152"/>
      <c r="D21" s="2150"/>
      <c r="E21" s="1797" t="str">
        <f>IF(F21=0,"",ROUND(G21/F21,2))</f>
        <v/>
      </c>
      <c r="F21" s="2152"/>
      <c r="G21" s="2150"/>
      <c r="H21" s="2100"/>
      <c r="I21" s="2100"/>
      <c r="J21" s="2118" t="s">
        <v>343</v>
      </c>
    </row>
    <row r="22" s="2075" customFormat="1" spans="1:10">
      <c r="A22" s="2151" t="s">
        <v>328</v>
      </c>
      <c r="B22" s="1797" t="str">
        <f>IF(C22=0,"",ROUND(D22/C22,2))</f>
        <v/>
      </c>
      <c r="C22" s="2152"/>
      <c r="D22" s="2150"/>
      <c r="E22" s="1797" t="str">
        <f>IF(F22=0,"",ROUND(G22/F22,2))</f>
        <v/>
      </c>
      <c r="F22" s="2152"/>
      <c r="G22" s="2150"/>
      <c r="H22" s="2100"/>
      <c r="I22" s="2100"/>
      <c r="J22" s="2118" t="s">
        <v>344</v>
      </c>
    </row>
    <row r="23" s="2075" customFormat="1" spans="1:10">
      <c r="A23" s="2151" t="s">
        <v>330</v>
      </c>
      <c r="B23" s="1797" t="str">
        <f>IF(C23=0,"",ROUND(D23/C23,2))</f>
        <v/>
      </c>
      <c r="C23" s="2152"/>
      <c r="D23" s="2150"/>
      <c r="E23" s="1797" t="str">
        <f>IF(F23=0,"",ROUND(G23/F23,2))</f>
        <v/>
      </c>
      <c r="F23" s="2152"/>
      <c r="G23" s="2150"/>
      <c r="H23" s="2100"/>
      <c r="I23" s="2100"/>
      <c r="J23" s="2118" t="s">
        <v>345</v>
      </c>
    </row>
    <row r="24" s="2075" customFormat="1" spans="1:10">
      <c r="A24" s="2082" t="s">
        <v>346</v>
      </c>
      <c r="B24" s="1824"/>
      <c r="C24" s="2149"/>
      <c r="D24" s="2048">
        <f>ROUND(D6+D12+D18,2)</f>
        <v>0</v>
      </c>
      <c r="E24" s="1824"/>
      <c r="F24" s="2149"/>
      <c r="G24" s="2048">
        <f>ROUND(G6+G12+G18,2)</f>
        <v>0</v>
      </c>
      <c r="H24" s="2100"/>
      <c r="I24" s="2100"/>
      <c r="J24" s="2118" t="s">
        <v>347</v>
      </c>
    </row>
    <row r="25" s="2075" customFormat="1" spans="1:10">
      <c r="A25" s="2101"/>
      <c r="B25" s="2101"/>
      <c r="C25" s="2101"/>
      <c r="D25" s="2101"/>
      <c r="E25" s="2101"/>
      <c r="F25" s="2101"/>
      <c r="G25" s="2101"/>
      <c r="H25" s="2100"/>
      <c r="I25" s="2100"/>
      <c r="J25" s="2141"/>
    </row>
    <row r="26" s="2075" customFormat="1" spans="1:10">
      <c r="A26" s="2104" t="s">
        <v>348</v>
      </c>
      <c r="B26" s="2101"/>
      <c r="C26" s="2101"/>
      <c r="D26" s="2101"/>
      <c r="E26" s="2101"/>
      <c r="F26" s="2101"/>
      <c r="G26" s="2101"/>
      <c r="H26" s="2100"/>
      <c r="I26" s="2100"/>
      <c r="J26" s="2141"/>
    </row>
    <row r="27" s="2075" customFormat="1" spans="1:10">
      <c r="A27" s="2082" t="s">
        <v>349</v>
      </c>
      <c r="B27" s="2082" t="s">
        <v>350</v>
      </c>
      <c r="C27" s="2082" t="s">
        <v>351</v>
      </c>
      <c r="D27" s="2082" t="s">
        <v>352</v>
      </c>
      <c r="E27" s="2082" t="s">
        <v>353</v>
      </c>
      <c r="F27" s="2101"/>
      <c r="G27" s="2128"/>
      <c r="H27" s="2128"/>
      <c r="I27" s="2128"/>
      <c r="J27" s="2141"/>
    </row>
    <row r="28" s="2075" customFormat="1" spans="1:10">
      <c r="A28" s="2092"/>
      <c r="B28" s="2085"/>
      <c r="C28" s="2092"/>
      <c r="D28" s="2092"/>
      <c r="E28" s="2153"/>
      <c r="F28" s="2101"/>
      <c r="G28" s="2128"/>
      <c r="H28" s="2128"/>
      <c r="I28" s="2128"/>
      <c r="J28" s="2118" t="s">
        <v>354</v>
      </c>
    </row>
    <row r="29" s="2075" customFormat="1" spans="1:10">
      <c r="A29" s="2092"/>
      <c r="B29" s="2085"/>
      <c r="C29" s="2092"/>
      <c r="D29" s="2092"/>
      <c r="E29" s="2153"/>
      <c r="F29" s="2101"/>
      <c r="G29" s="2128"/>
      <c r="H29" s="2128"/>
      <c r="I29" s="2128"/>
      <c r="J29" s="2118" t="s">
        <v>354</v>
      </c>
    </row>
    <row r="30" s="2075" customFormat="1" spans="1:10">
      <c r="A30" s="2092"/>
      <c r="B30" s="2085"/>
      <c r="C30" s="2092"/>
      <c r="D30" s="2092"/>
      <c r="E30" s="2153"/>
      <c r="F30" s="2101"/>
      <c r="G30" s="2128"/>
      <c r="H30" s="2128"/>
      <c r="I30" s="2128"/>
      <c r="J30" s="2118" t="s">
        <v>354</v>
      </c>
    </row>
    <row r="31" s="2075" customFormat="1" spans="1:10">
      <c r="A31" s="2092"/>
      <c r="B31" s="2085"/>
      <c r="C31" s="2092"/>
      <c r="D31" s="2092"/>
      <c r="E31" s="2153"/>
      <c r="F31" s="2101"/>
      <c r="G31" s="2128"/>
      <c r="H31" s="2128"/>
      <c r="I31" s="2128"/>
      <c r="J31" s="2118" t="s">
        <v>354</v>
      </c>
    </row>
    <row r="32" s="2075" customFormat="1" spans="1:10">
      <c r="A32" s="2092"/>
      <c r="B32" s="2085"/>
      <c r="C32" s="2092"/>
      <c r="D32" s="2092"/>
      <c r="E32" s="2153"/>
      <c r="F32" s="2101"/>
      <c r="G32" s="2128"/>
      <c r="H32" s="2128"/>
      <c r="I32" s="2128"/>
      <c r="J32" s="2118" t="s">
        <v>354</v>
      </c>
    </row>
    <row r="33" s="2075" customFormat="1" spans="1:10">
      <c r="A33" s="2092"/>
      <c r="B33" s="2085"/>
      <c r="C33" s="2092"/>
      <c r="D33" s="2092"/>
      <c r="E33" s="2153"/>
      <c r="F33" s="2101"/>
      <c r="G33" s="2128"/>
      <c r="H33" s="2128"/>
      <c r="I33" s="2128"/>
      <c r="J33" s="2118" t="s">
        <v>354</v>
      </c>
    </row>
    <row r="34" s="2075" customFormat="1" spans="1:10">
      <c r="A34" s="2092"/>
      <c r="B34" s="2085"/>
      <c r="C34" s="2092"/>
      <c r="D34" s="2092"/>
      <c r="E34" s="2153"/>
      <c r="F34" s="2101"/>
      <c r="G34" s="2128"/>
      <c r="H34" s="2128"/>
      <c r="I34" s="2128"/>
      <c r="J34" s="2118" t="s">
        <v>354</v>
      </c>
    </row>
    <row r="35" s="2075" customFormat="1" spans="1:10">
      <c r="A35" s="2092"/>
      <c r="B35" s="2085"/>
      <c r="C35" s="2092"/>
      <c r="D35" s="2092"/>
      <c r="E35" s="2153"/>
      <c r="F35" s="2101"/>
      <c r="G35" s="2128"/>
      <c r="H35" s="2128"/>
      <c r="I35" s="2128"/>
      <c r="J35" s="2118" t="s">
        <v>354</v>
      </c>
    </row>
    <row r="36" s="2075" customFormat="1" spans="1:10">
      <c r="A36" s="2092"/>
      <c r="B36" s="2085"/>
      <c r="C36" s="2092"/>
      <c r="D36" s="2092"/>
      <c r="E36" s="2153"/>
      <c r="F36" s="2101"/>
      <c r="G36" s="2128"/>
      <c r="H36" s="2128"/>
      <c r="I36" s="2128"/>
      <c r="J36" s="2118" t="s">
        <v>354</v>
      </c>
    </row>
    <row r="37" s="2075" customFormat="1" spans="1:10">
      <c r="A37" s="2092"/>
      <c r="B37" s="2085"/>
      <c r="C37" s="2092"/>
      <c r="D37" s="2092"/>
      <c r="E37" s="2153"/>
      <c r="F37" s="2101"/>
      <c r="G37" s="2128"/>
      <c r="H37" s="2128"/>
      <c r="I37" s="2128"/>
      <c r="J37" s="2118" t="s">
        <v>354</v>
      </c>
    </row>
    <row r="38" s="2075" customFormat="1" spans="1:10">
      <c r="A38" s="2082" t="s">
        <v>346</v>
      </c>
      <c r="B38" s="2048">
        <f>ROUND(SUM(B28:B37),2)</f>
        <v>0</v>
      </c>
      <c r="C38" s="2048"/>
      <c r="D38" s="2048"/>
      <c r="E38" s="2048"/>
      <c r="F38" s="2101"/>
      <c r="G38" s="2128"/>
      <c r="H38" s="2128"/>
      <c r="I38" s="2128"/>
      <c r="J38" s="2118" t="s">
        <v>355</v>
      </c>
    </row>
    <row r="39" s="2075" customFormat="1" spans="1:10">
      <c r="A39" s="2101"/>
      <c r="B39" s="2101"/>
      <c r="C39" s="2101"/>
      <c r="D39" s="2101"/>
      <c r="E39" s="2101"/>
      <c r="F39" s="2101"/>
      <c r="G39" s="2101"/>
      <c r="H39" s="2101"/>
      <c r="I39" s="2101"/>
      <c r="J39" s="2141"/>
    </row>
    <row r="40" s="2075" customFormat="1" spans="1:10">
      <c r="A40" s="2104" t="s">
        <v>356</v>
      </c>
      <c r="B40" s="2101"/>
      <c r="C40" s="2101"/>
      <c r="D40" s="2101"/>
      <c r="E40" s="2101"/>
      <c r="F40" s="2101"/>
      <c r="G40" s="2101"/>
      <c r="H40" s="2101"/>
      <c r="I40" s="2101"/>
      <c r="J40" s="2141"/>
    </row>
    <row r="41" s="2075" customFormat="1" spans="1:10">
      <c r="A41" s="2082" t="s">
        <v>357</v>
      </c>
      <c r="B41" s="2084" t="s">
        <v>358</v>
      </c>
      <c r="C41" s="2082" t="s">
        <v>359</v>
      </c>
      <c r="D41" s="2082" t="s">
        <v>360</v>
      </c>
      <c r="E41" s="2101"/>
      <c r="F41" s="2101"/>
      <c r="G41" s="2128"/>
      <c r="H41" s="2128"/>
      <c r="I41" s="2128"/>
      <c r="J41" s="2141"/>
    </row>
    <row r="42" s="2075" customFormat="1" spans="1:10">
      <c r="A42" s="2092"/>
      <c r="B42" s="2092"/>
      <c r="C42" s="2085"/>
      <c r="D42" s="2092"/>
      <c r="E42" s="2101"/>
      <c r="F42" s="2101"/>
      <c r="G42" s="2128"/>
      <c r="H42" s="2128"/>
      <c r="I42" s="2128"/>
      <c r="J42" s="2118" t="s">
        <v>361</v>
      </c>
    </row>
    <row r="43" s="2075" customFormat="1" spans="1:10">
      <c r="A43" s="2092"/>
      <c r="B43" s="2092"/>
      <c r="C43" s="2085"/>
      <c r="D43" s="2092"/>
      <c r="E43" s="2101"/>
      <c r="F43" s="2101"/>
      <c r="G43" s="2128"/>
      <c r="H43" s="2128"/>
      <c r="I43" s="2128"/>
      <c r="J43" s="2118" t="s">
        <v>361</v>
      </c>
    </row>
    <row r="44" s="2075" customFormat="1" spans="1:10">
      <c r="A44" s="2092"/>
      <c r="B44" s="2092"/>
      <c r="C44" s="2085"/>
      <c r="D44" s="2092"/>
      <c r="E44" s="2101"/>
      <c r="F44" s="2101"/>
      <c r="G44" s="2128"/>
      <c r="H44" s="2128"/>
      <c r="I44" s="2128"/>
      <c r="J44" s="2118" t="s">
        <v>361</v>
      </c>
    </row>
    <row r="45" s="2075" customFormat="1" spans="1:10">
      <c r="A45" s="2092"/>
      <c r="B45" s="2092"/>
      <c r="C45" s="2085"/>
      <c r="D45" s="2092"/>
      <c r="E45" s="2101"/>
      <c r="F45" s="2101"/>
      <c r="G45" s="2128"/>
      <c r="H45" s="2128"/>
      <c r="I45" s="2128"/>
      <c r="J45" s="2118" t="s">
        <v>361</v>
      </c>
    </row>
    <row r="46" s="2075" customFormat="1" spans="1:10">
      <c r="A46" s="2092"/>
      <c r="B46" s="2092"/>
      <c r="C46" s="2085"/>
      <c r="D46" s="2092"/>
      <c r="E46" s="2101"/>
      <c r="F46" s="2101"/>
      <c r="G46" s="2128"/>
      <c r="H46" s="2128"/>
      <c r="I46" s="2128"/>
      <c r="J46" s="2118" t="s">
        <v>361</v>
      </c>
    </row>
    <row r="47" s="2075" customFormat="1" spans="1:10">
      <c r="A47" s="2092"/>
      <c r="B47" s="2092"/>
      <c r="C47" s="2085"/>
      <c r="D47" s="2092"/>
      <c r="E47" s="2101"/>
      <c r="F47" s="2101"/>
      <c r="G47" s="2128"/>
      <c r="H47" s="2128"/>
      <c r="I47" s="2128"/>
      <c r="J47" s="2118" t="s">
        <v>361</v>
      </c>
    </row>
    <row r="48" s="2075" customFormat="1" spans="1:10">
      <c r="A48" s="2092"/>
      <c r="B48" s="2092"/>
      <c r="C48" s="2085"/>
      <c r="D48" s="2092"/>
      <c r="E48" s="2101"/>
      <c r="F48" s="2101"/>
      <c r="G48" s="2128"/>
      <c r="H48" s="2128"/>
      <c r="I48" s="2128"/>
      <c r="J48" s="2118" t="s">
        <v>361</v>
      </c>
    </row>
    <row r="49" s="2075" customFormat="1" spans="1:10">
      <c r="A49" s="2092"/>
      <c r="B49" s="2092"/>
      <c r="C49" s="2085"/>
      <c r="D49" s="2092"/>
      <c r="E49" s="2101"/>
      <c r="F49" s="2101"/>
      <c r="G49" s="2128"/>
      <c r="H49" s="2128"/>
      <c r="I49" s="2128"/>
      <c r="J49" s="2118" t="s">
        <v>361</v>
      </c>
    </row>
    <row r="50" s="2075" customFormat="1" spans="1:10">
      <c r="A50" s="2092"/>
      <c r="B50" s="2092"/>
      <c r="C50" s="2085"/>
      <c r="D50" s="2092"/>
      <c r="E50" s="2101"/>
      <c r="F50" s="2101"/>
      <c r="G50" s="2128"/>
      <c r="H50" s="2128"/>
      <c r="I50" s="2128"/>
      <c r="J50" s="2118" t="s">
        <v>361</v>
      </c>
    </row>
    <row r="51" s="2075" customFormat="1" spans="1:10">
      <c r="A51" s="2092"/>
      <c r="B51" s="2092"/>
      <c r="C51" s="2085"/>
      <c r="D51" s="2092"/>
      <c r="E51" s="2101"/>
      <c r="F51" s="2101"/>
      <c r="G51" s="2128"/>
      <c r="H51" s="2128"/>
      <c r="I51" s="2128"/>
      <c r="J51" s="2118" t="s">
        <v>361</v>
      </c>
    </row>
    <row r="52" s="2075" customFormat="1" spans="1:10">
      <c r="A52" s="2082" t="s">
        <v>346</v>
      </c>
      <c r="B52" s="2048"/>
      <c r="C52" s="2048">
        <f>ROUND(SUM(C42:C51),2)</f>
        <v>0</v>
      </c>
      <c r="D52" s="2048">
        <f>ROUND(SUM(D42:D51),2)</f>
        <v>0</v>
      </c>
      <c r="E52" s="2101"/>
      <c r="F52" s="2101"/>
      <c r="G52" s="2128"/>
      <c r="H52" s="2128"/>
      <c r="I52" s="2128"/>
      <c r="J52" s="2118" t="s">
        <v>362</v>
      </c>
    </row>
    <row r="53" s="2075" customFormat="1" spans="1:10">
      <c r="A53" s="2101"/>
      <c r="B53" s="2101"/>
      <c r="C53" s="2101"/>
      <c r="D53" s="2101"/>
      <c r="E53" s="2101"/>
      <c r="F53" s="2101"/>
      <c r="G53" s="2101"/>
      <c r="H53" s="2101"/>
      <c r="I53" s="2101"/>
      <c r="J53" s="2141"/>
    </row>
    <row r="54" s="2075" customFormat="1" spans="1:10">
      <c r="A54" s="2104" t="s">
        <v>363</v>
      </c>
      <c r="B54" s="2101"/>
      <c r="C54" s="2101"/>
      <c r="D54" s="2101"/>
      <c r="E54" s="2101"/>
      <c r="F54" s="2101"/>
      <c r="G54" s="2101"/>
      <c r="H54" s="2101"/>
      <c r="I54" s="2101"/>
      <c r="J54" s="2141"/>
    </row>
    <row r="55" s="2075" customFormat="1" spans="1:10">
      <c r="A55" s="2082" t="s">
        <v>364</v>
      </c>
      <c r="B55" s="2082" t="s">
        <v>365</v>
      </c>
      <c r="C55" s="2082" t="s">
        <v>366</v>
      </c>
      <c r="D55" s="2082" t="s">
        <v>367</v>
      </c>
      <c r="E55" s="2082" t="s">
        <v>368</v>
      </c>
      <c r="F55" s="2101"/>
      <c r="G55" s="2128"/>
      <c r="H55" s="2128"/>
      <c r="I55" s="2128"/>
      <c r="J55" s="2141"/>
    </row>
    <row r="56" s="2075" customFormat="1" spans="1:10">
      <c r="A56" s="2092"/>
      <c r="B56" s="2085"/>
      <c r="C56" s="2085"/>
      <c r="D56" s="2092"/>
      <c r="E56" s="2092"/>
      <c r="F56" s="2101"/>
      <c r="G56" s="2128"/>
      <c r="H56" s="2128"/>
      <c r="I56" s="2128"/>
      <c r="J56" s="2118" t="s">
        <v>369</v>
      </c>
    </row>
    <row r="57" s="2075" customFormat="1" spans="1:10">
      <c r="A57" s="2092"/>
      <c r="B57" s="2085"/>
      <c r="C57" s="2085"/>
      <c r="D57" s="2092"/>
      <c r="E57" s="2092"/>
      <c r="F57" s="2101"/>
      <c r="G57" s="2128"/>
      <c r="H57" s="2128"/>
      <c r="I57" s="2128"/>
      <c r="J57" s="2118" t="s">
        <v>369</v>
      </c>
    </row>
    <row r="58" s="2075" customFormat="1" spans="1:10">
      <c r="A58" s="2092"/>
      <c r="B58" s="2085"/>
      <c r="C58" s="2085"/>
      <c r="D58" s="2092"/>
      <c r="E58" s="2092"/>
      <c r="F58" s="2101"/>
      <c r="G58" s="2128"/>
      <c r="H58" s="2128"/>
      <c r="I58" s="2128"/>
      <c r="J58" s="2118" t="s">
        <v>369</v>
      </c>
    </row>
    <row r="59" s="2075" customFormat="1" spans="1:10">
      <c r="A59" s="2092"/>
      <c r="B59" s="2085"/>
      <c r="C59" s="2085"/>
      <c r="D59" s="2092"/>
      <c r="E59" s="2092"/>
      <c r="F59" s="2101"/>
      <c r="G59" s="2128"/>
      <c r="H59" s="2128"/>
      <c r="I59" s="2128"/>
      <c r="J59" s="2118" t="s">
        <v>369</v>
      </c>
    </row>
    <row r="60" s="2075" customFormat="1" spans="1:10">
      <c r="A60" s="2092"/>
      <c r="B60" s="2085"/>
      <c r="C60" s="2085"/>
      <c r="D60" s="2092"/>
      <c r="E60" s="2092"/>
      <c r="F60" s="2101"/>
      <c r="G60" s="2128"/>
      <c r="H60" s="2128"/>
      <c r="I60" s="2128"/>
      <c r="J60" s="2118" t="s">
        <v>369</v>
      </c>
    </row>
    <row r="61" s="2075" customFormat="1" spans="1:10">
      <c r="A61" s="2092"/>
      <c r="B61" s="2085"/>
      <c r="C61" s="2085"/>
      <c r="D61" s="2092"/>
      <c r="E61" s="2092"/>
      <c r="F61" s="2101"/>
      <c r="G61" s="2128"/>
      <c r="H61" s="2128"/>
      <c r="I61" s="2128"/>
      <c r="J61" s="2118" t="s">
        <v>369</v>
      </c>
    </row>
    <row r="62" s="2075" customFormat="1" spans="1:10">
      <c r="A62" s="2092"/>
      <c r="B62" s="2085"/>
      <c r="C62" s="2085"/>
      <c r="D62" s="2092"/>
      <c r="E62" s="2092"/>
      <c r="F62" s="2101"/>
      <c r="G62" s="2128"/>
      <c r="H62" s="2128"/>
      <c r="I62" s="2128"/>
      <c r="J62" s="2118" t="s">
        <v>369</v>
      </c>
    </row>
    <row r="63" s="2075" customFormat="1" spans="1:10">
      <c r="A63" s="2092"/>
      <c r="B63" s="2085"/>
      <c r="C63" s="2085"/>
      <c r="D63" s="2092"/>
      <c r="E63" s="2092"/>
      <c r="F63" s="2101"/>
      <c r="G63" s="2128"/>
      <c r="H63" s="2128"/>
      <c r="I63" s="2128"/>
      <c r="J63" s="2118" t="s">
        <v>369</v>
      </c>
    </row>
    <row r="64" s="2075" customFormat="1" spans="1:10">
      <c r="A64" s="2092"/>
      <c r="B64" s="2085"/>
      <c r="C64" s="2085"/>
      <c r="D64" s="2092"/>
      <c r="E64" s="2092"/>
      <c r="F64" s="2101"/>
      <c r="G64" s="2128"/>
      <c r="H64" s="2128"/>
      <c r="I64" s="2128"/>
      <c r="J64" s="2118" t="s">
        <v>369</v>
      </c>
    </row>
    <row r="65" s="2075" customFormat="1" spans="1:10">
      <c r="A65" s="2092"/>
      <c r="B65" s="2085"/>
      <c r="C65" s="2085"/>
      <c r="D65" s="2092"/>
      <c r="E65" s="2092"/>
      <c r="F65" s="2101"/>
      <c r="G65" s="2128"/>
      <c r="H65" s="2128"/>
      <c r="I65" s="2128"/>
      <c r="J65" s="2118" t="s">
        <v>369</v>
      </c>
    </row>
    <row r="66" s="2075" customFormat="1" spans="1:10">
      <c r="A66" s="2082" t="s">
        <v>346</v>
      </c>
      <c r="B66" s="2048">
        <f>ROUND(SUM(B56:B65),2)</f>
        <v>0</v>
      </c>
      <c r="C66" s="2048">
        <f>ROUND(SUM(C56:C65),2)</f>
        <v>0</v>
      </c>
      <c r="D66" s="2048"/>
      <c r="E66" s="2048"/>
      <c r="F66" s="2101"/>
      <c r="G66" s="2128"/>
      <c r="H66" s="2128"/>
      <c r="I66" s="2128"/>
      <c r="J66" s="2118" t="s">
        <v>370</v>
      </c>
    </row>
    <row r="67" s="2075" customFormat="1" spans="1:10">
      <c r="A67" s="2101"/>
      <c r="B67" s="2101"/>
      <c r="C67" s="2101"/>
      <c r="D67" s="2101"/>
      <c r="E67" s="2101"/>
      <c r="F67" s="2101"/>
      <c r="G67" s="2101"/>
      <c r="H67" s="2101"/>
      <c r="I67" s="2101"/>
      <c r="J67" s="2141"/>
    </row>
    <row r="68" s="2075" customFormat="1" spans="1:10">
      <c r="A68" s="2101"/>
      <c r="B68" s="2101"/>
      <c r="C68" s="2101"/>
      <c r="D68" s="2101"/>
      <c r="E68" s="2101"/>
      <c r="F68" s="2101"/>
      <c r="G68" s="2101"/>
      <c r="H68" s="2101"/>
      <c r="I68" s="2101"/>
      <c r="J68" s="2141"/>
    </row>
    <row r="69" s="2075" customFormat="1" spans="1:10">
      <c r="A69" s="2079" t="s">
        <v>371</v>
      </c>
      <c r="B69" s="2080"/>
      <c r="C69" s="2080"/>
      <c r="D69" s="2080"/>
      <c r="E69" s="2080"/>
      <c r="F69" s="2080"/>
      <c r="G69" s="2080"/>
      <c r="H69" s="2080"/>
      <c r="I69" s="2080"/>
      <c r="J69" s="2141"/>
    </row>
    <row r="70" s="2075" customFormat="1" spans="1:10">
      <c r="A70" s="2081" t="s">
        <v>313</v>
      </c>
      <c r="B70" s="2080"/>
      <c r="C70" s="2080"/>
      <c r="D70" s="2080"/>
      <c r="E70" s="2080"/>
      <c r="F70" s="2080"/>
      <c r="G70" s="2080"/>
      <c r="H70" s="2080"/>
      <c r="I70" s="2080"/>
      <c r="J70" s="2141"/>
    </row>
    <row r="71" s="2075" customFormat="1" spans="1:10">
      <c r="A71" s="2082" t="s">
        <v>372</v>
      </c>
      <c r="B71" s="2082" t="s">
        <v>373</v>
      </c>
      <c r="C71" s="2082" t="s">
        <v>374</v>
      </c>
      <c r="D71" s="2080"/>
      <c r="E71" s="2080"/>
      <c r="F71" s="2080"/>
      <c r="G71" s="2080"/>
      <c r="H71" s="2080"/>
      <c r="I71" s="2080"/>
      <c r="J71" s="2141"/>
    </row>
    <row r="72" s="2075" customFormat="1" spans="1:10">
      <c r="A72" s="2084" t="s">
        <v>375</v>
      </c>
      <c r="B72" s="2085"/>
      <c r="C72" s="2085"/>
      <c r="D72" s="2080"/>
      <c r="E72" s="2080"/>
      <c r="F72" s="2080"/>
      <c r="G72" s="2080"/>
      <c r="H72" s="2080"/>
      <c r="I72" s="2080"/>
      <c r="J72" s="2118" t="s">
        <v>376</v>
      </c>
    </row>
    <row r="73" s="2075" customFormat="1" spans="1:10">
      <c r="A73" s="2084" t="s">
        <v>377</v>
      </c>
      <c r="B73" s="2085"/>
      <c r="C73" s="2085"/>
      <c r="D73" s="2080"/>
      <c r="E73" s="2080"/>
      <c r="F73" s="2080"/>
      <c r="G73" s="2080"/>
      <c r="H73" s="2080"/>
      <c r="I73" s="2080"/>
      <c r="J73" s="2118" t="s">
        <v>378</v>
      </c>
    </row>
    <row r="74" s="2075" customFormat="1" spans="1:10">
      <c r="A74" s="2084" t="s">
        <v>379</v>
      </c>
      <c r="B74" s="2085"/>
      <c r="C74" s="2085"/>
      <c r="D74" s="2080"/>
      <c r="E74" s="2080"/>
      <c r="F74" s="2080"/>
      <c r="G74" s="2080"/>
      <c r="H74" s="2080"/>
      <c r="I74" s="2080"/>
      <c r="J74" s="2118" t="s">
        <v>380</v>
      </c>
    </row>
    <row r="75" s="2075" customFormat="1" spans="1:10">
      <c r="A75" s="2084" t="s">
        <v>381</v>
      </c>
      <c r="B75" s="2085"/>
      <c r="C75" s="2085"/>
      <c r="D75" s="2080"/>
      <c r="E75" s="2080"/>
      <c r="F75" s="2080"/>
      <c r="G75" s="2080"/>
      <c r="H75" s="2080"/>
      <c r="I75" s="2080"/>
      <c r="J75" s="2118" t="s">
        <v>382</v>
      </c>
    </row>
    <row r="76" s="2075" customFormat="1" spans="1:10">
      <c r="A76" s="2084" t="s">
        <v>279</v>
      </c>
      <c r="B76" s="2085"/>
      <c r="C76" s="2085"/>
      <c r="D76" s="2080"/>
      <c r="E76" s="2080"/>
      <c r="F76" s="2080"/>
      <c r="G76" s="2080"/>
      <c r="H76" s="2080"/>
      <c r="I76" s="2080"/>
      <c r="J76" s="2118" t="s">
        <v>383</v>
      </c>
    </row>
    <row r="77" s="2075" customFormat="1" spans="1:10">
      <c r="A77" s="2082" t="s">
        <v>384</v>
      </c>
      <c r="B77" s="2048">
        <f>ROUND(SUM(B72:B76),2)</f>
        <v>0</v>
      </c>
      <c r="C77" s="2048">
        <f>ROUND(SUM(C72:C76),2)</f>
        <v>0</v>
      </c>
      <c r="D77" s="2080"/>
      <c r="E77" s="2080"/>
      <c r="F77" s="2080"/>
      <c r="G77" s="2080"/>
      <c r="H77" s="2080"/>
      <c r="I77" s="2080"/>
      <c r="J77" s="2118" t="s">
        <v>385</v>
      </c>
    </row>
    <row r="78" s="2075" customFormat="1" spans="1:10">
      <c r="A78" s="2080"/>
      <c r="B78" s="2080"/>
      <c r="C78" s="2080"/>
      <c r="D78" s="2080"/>
      <c r="E78" s="2080"/>
      <c r="F78" s="2080"/>
      <c r="G78" s="2080"/>
      <c r="H78" s="2080"/>
      <c r="I78" s="2080"/>
      <c r="J78" s="2141"/>
    </row>
    <row r="79" s="2075" customFormat="1" spans="1:10">
      <c r="A79" s="2104" t="s">
        <v>386</v>
      </c>
      <c r="B79" s="2101"/>
      <c r="C79" s="2101"/>
      <c r="D79" s="2101"/>
      <c r="E79" s="2101"/>
      <c r="F79" s="2101"/>
      <c r="G79" s="2101"/>
      <c r="H79" s="2101"/>
      <c r="I79" s="2101"/>
      <c r="J79" s="2141"/>
    </row>
    <row r="80" s="2075" customFormat="1" spans="1:10">
      <c r="A80" s="2082" t="s">
        <v>349</v>
      </c>
      <c r="B80" s="2082" t="s">
        <v>350</v>
      </c>
      <c r="C80" s="2082" t="s">
        <v>367</v>
      </c>
      <c r="D80" s="2082" t="s">
        <v>353</v>
      </c>
      <c r="E80" s="2101"/>
      <c r="F80" s="2101"/>
      <c r="G80" s="2128"/>
      <c r="H80" s="2128"/>
      <c r="I80" s="2128"/>
      <c r="J80" s="2141"/>
    </row>
    <row r="81" s="2075" customFormat="1" spans="1:10">
      <c r="A81" s="2092"/>
      <c r="B81" s="2085"/>
      <c r="C81" s="2092"/>
      <c r="D81" s="2092"/>
      <c r="E81" s="2101"/>
      <c r="F81" s="2101"/>
      <c r="G81" s="2128"/>
      <c r="H81" s="2128"/>
      <c r="I81" s="2128"/>
      <c r="J81" s="2118" t="s">
        <v>387</v>
      </c>
    </row>
    <row r="82" s="2075" customFormat="1" spans="1:10">
      <c r="A82" s="2092"/>
      <c r="B82" s="2085"/>
      <c r="C82" s="2092"/>
      <c r="D82" s="2092"/>
      <c r="E82" s="2101"/>
      <c r="F82" s="2101"/>
      <c r="G82" s="2128"/>
      <c r="H82" s="2128"/>
      <c r="I82" s="2128"/>
      <c r="J82" s="2118" t="s">
        <v>387</v>
      </c>
    </row>
    <row r="83" s="2075" customFormat="1" spans="1:10">
      <c r="A83" s="2092"/>
      <c r="B83" s="2085"/>
      <c r="C83" s="2092"/>
      <c r="D83" s="2092"/>
      <c r="E83" s="2101"/>
      <c r="F83" s="2101"/>
      <c r="G83" s="2128"/>
      <c r="H83" s="2128"/>
      <c r="I83" s="2128"/>
      <c r="J83" s="2118" t="s">
        <v>387</v>
      </c>
    </row>
    <row r="84" s="2075" customFormat="1" spans="1:10">
      <c r="A84" s="2092"/>
      <c r="B84" s="2085"/>
      <c r="C84" s="2092"/>
      <c r="D84" s="2092"/>
      <c r="E84" s="2101"/>
      <c r="F84" s="2101"/>
      <c r="G84" s="2128"/>
      <c r="H84" s="2128"/>
      <c r="I84" s="2128"/>
      <c r="J84" s="2118" t="s">
        <v>387</v>
      </c>
    </row>
    <row r="85" s="2075" customFormat="1" spans="1:10">
      <c r="A85" s="2092"/>
      <c r="B85" s="2085"/>
      <c r="C85" s="2092"/>
      <c r="D85" s="2092"/>
      <c r="E85" s="2101"/>
      <c r="F85" s="2101"/>
      <c r="G85" s="2128"/>
      <c r="H85" s="2128"/>
      <c r="I85" s="2128"/>
      <c r="J85" s="2118" t="s">
        <v>387</v>
      </c>
    </row>
    <row r="86" s="2075" customFormat="1" spans="1:10">
      <c r="A86" s="2092"/>
      <c r="B86" s="2085"/>
      <c r="C86" s="2092"/>
      <c r="D86" s="2092"/>
      <c r="E86" s="2101"/>
      <c r="F86" s="2101"/>
      <c r="G86" s="2128"/>
      <c r="H86" s="2128"/>
      <c r="I86" s="2128"/>
      <c r="J86" s="2118" t="s">
        <v>387</v>
      </c>
    </row>
    <row r="87" s="2075" customFormat="1" spans="1:10">
      <c r="A87" s="2092"/>
      <c r="B87" s="2085"/>
      <c r="C87" s="2092"/>
      <c r="D87" s="2092"/>
      <c r="E87" s="2101"/>
      <c r="F87" s="2101"/>
      <c r="G87" s="2128"/>
      <c r="H87" s="2128"/>
      <c r="I87" s="2128"/>
      <c r="J87" s="2118" t="s">
        <v>387</v>
      </c>
    </row>
    <row r="88" s="2075" customFormat="1" spans="1:10">
      <c r="A88" s="2092"/>
      <c r="B88" s="2085"/>
      <c r="C88" s="2092"/>
      <c r="D88" s="2092"/>
      <c r="E88" s="2101"/>
      <c r="F88" s="2101"/>
      <c r="G88" s="2128"/>
      <c r="H88" s="2128"/>
      <c r="I88" s="2128"/>
      <c r="J88" s="2118" t="s">
        <v>387</v>
      </c>
    </row>
    <row r="89" s="2075" customFormat="1" spans="1:10">
      <c r="A89" s="2092"/>
      <c r="B89" s="2085"/>
      <c r="C89" s="2092"/>
      <c r="D89" s="2092"/>
      <c r="E89" s="2101"/>
      <c r="F89" s="2101"/>
      <c r="G89" s="2128"/>
      <c r="H89" s="2128"/>
      <c r="I89" s="2128"/>
      <c r="J89" s="2118" t="s">
        <v>387</v>
      </c>
    </row>
    <row r="90" s="2075" customFormat="1" spans="1:10">
      <c r="A90" s="2092"/>
      <c r="B90" s="2085"/>
      <c r="C90" s="2092"/>
      <c r="D90" s="2092"/>
      <c r="E90" s="2101"/>
      <c r="F90" s="2101"/>
      <c r="G90" s="2128"/>
      <c r="H90" s="2128"/>
      <c r="I90" s="2128"/>
      <c r="J90" s="2118" t="s">
        <v>387</v>
      </c>
    </row>
    <row r="91" s="2075" customFormat="1" spans="1:10">
      <c r="A91" s="2082" t="s">
        <v>346</v>
      </c>
      <c r="B91" s="2048">
        <f>ROUND(SUM(B81:B90),2)</f>
        <v>0</v>
      </c>
      <c r="C91" s="2048"/>
      <c r="D91" s="2048"/>
      <c r="E91" s="2101"/>
      <c r="F91" s="2101"/>
      <c r="G91" s="2128"/>
      <c r="H91" s="2128"/>
      <c r="I91" s="2128"/>
      <c r="J91" s="2118" t="s">
        <v>388</v>
      </c>
    </row>
    <row r="92" s="2075" customFormat="1" spans="1:10">
      <c r="A92" s="2099"/>
      <c r="B92" s="2100"/>
      <c r="C92" s="2100"/>
      <c r="D92" s="2100"/>
      <c r="E92" s="2100"/>
      <c r="F92" s="2101"/>
      <c r="G92" s="2128"/>
      <c r="H92" s="2128"/>
      <c r="I92" s="2128"/>
      <c r="J92" s="2118"/>
    </row>
    <row r="93" s="2075" customFormat="1" spans="1:10">
      <c r="A93" s="2103"/>
      <c r="B93" s="2080"/>
      <c r="C93" s="2080"/>
      <c r="D93" s="2080"/>
      <c r="E93" s="2080"/>
      <c r="F93" s="2080"/>
      <c r="G93" s="2080"/>
      <c r="H93" s="2080"/>
      <c r="I93" s="2080"/>
      <c r="J93" s="2141"/>
    </row>
    <row r="94" s="2075" customFormat="1" spans="1:10">
      <c r="A94" s="2079" t="s">
        <v>389</v>
      </c>
      <c r="B94" s="2080"/>
      <c r="C94" s="2080"/>
      <c r="D94" s="2080"/>
      <c r="E94" s="2080"/>
      <c r="F94" s="2080"/>
      <c r="G94" s="2080"/>
      <c r="H94" s="2080"/>
      <c r="I94" s="2080"/>
      <c r="J94" s="2141"/>
    </row>
    <row r="95" s="2075" customFormat="1" spans="1:10">
      <c r="A95" s="2081" t="s">
        <v>313</v>
      </c>
      <c r="B95" s="2080"/>
      <c r="C95" s="2080"/>
      <c r="D95" s="2080"/>
      <c r="E95" s="2080"/>
      <c r="F95" s="2080"/>
      <c r="G95" s="2080"/>
      <c r="H95" s="2080"/>
      <c r="I95" s="2080"/>
      <c r="J95" s="2141"/>
    </row>
    <row r="96" s="2075" customFormat="1" spans="1:10">
      <c r="A96" s="2083" t="s">
        <v>390</v>
      </c>
      <c r="B96" s="2082" t="s">
        <v>315</v>
      </c>
      <c r="C96" s="2082" t="s">
        <v>316</v>
      </c>
      <c r="D96" s="2080"/>
      <c r="E96" s="2080"/>
      <c r="F96" s="2080"/>
      <c r="G96" s="2080"/>
      <c r="H96" s="2080"/>
      <c r="I96" s="2080"/>
      <c r="J96" s="2141"/>
    </row>
    <row r="97" s="2075" customFormat="1" spans="1:10">
      <c r="A97" s="2087" t="s">
        <v>391</v>
      </c>
      <c r="B97" s="2085"/>
      <c r="C97" s="2085"/>
      <c r="D97" s="2080"/>
      <c r="E97" s="2080"/>
      <c r="F97" s="2080"/>
      <c r="G97" s="2080"/>
      <c r="H97" s="2080"/>
      <c r="I97" s="2080"/>
      <c r="J97" s="2118" t="s">
        <v>392</v>
      </c>
    </row>
    <row r="98" s="2075" customFormat="1" spans="1:10">
      <c r="A98" s="2087" t="s">
        <v>393</v>
      </c>
      <c r="B98" s="2085"/>
      <c r="C98" s="2085"/>
      <c r="D98" s="2080"/>
      <c r="E98" s="2080"/>
      <c r="F98" s="2080"/>
      <c r="G98" s="2080"/>
      <c r="H98" s="2080"/>
      <c r="I98" s="2080"/>
      <c r="J98" s="2118" t="s">
        <v>394</v>
      </c>
    </row>
    <row r="99" s="2075" customFormat="1" spans="1:10">
      <c r="A99" s="2082" t="s">
        <v>346</v>
      </c>
      <c r="B99" s="2048">
        <f>ROUND(SUM(B97:B98),2)</f>
        <v>0</v>
      </c>
      <c r="C99" s="2048">
        <f>ROUND(SUM(C97:C98),2)</f>
        <v>0</v>
      </c>
      <c r="D99" s="2080"/>
      <c r="E99" s="2080"/>
      <c r="F99" s="2080"/>
      <c r="G99" s="2080"/>
      <c r="H99" s="2080"/>
      <c r="I99" s="2080"/>
      <c r="J99" s="2118" t="s">
        <v>395</v>
      </c>
    </row>
    <row r="100" s="2075" customFormat="1" spans="1:10">
      <c r="A100" s="2103"/>
      <c r="B100" s="2080"/>
      <c r="C100" s="2080"/>
      <c r="D100" s="2080"/>
      <c r="E100" s="2080"/>
      <c r="F100" s="2080"/>
      <c r="G100" s="2080"/>
      <c r="H100" s="2080"/>
      <c r="I100" s="2080"/>
      <c r="J100" s="2141"/>
    </row>
    <row r="101" s="2075" customFormat="1" spans="1:10">
      <c r="A101" s="2081" t="s">
        <v>396</v>
      </c>
      <c r="B101" s="2080"/>
      <c r="C101" s="2080"/>
      <c r="D101" s="2080"/>
      <c r="E101" s="2080"/>
      <c r="F101" s="2080"/>
      <c r="G101" s="2080"/>
      <c r="H101" s="2080"/>
      <c r="I101" s="2080"/>
      <c r="J101" s="2141"/>
    </row>
    <row r="102" s="2075" customFormat="1" spans="1:10">
      <c r="A102" s="2083" t="s">
        <v>397</v>
      </c>
      <c r="B102" s="2108" t="s">
        <v>398</v>
      </c>
      <c r="C102" s="2124" t="s">
        <v>399</v>
      </c>
      <c r="D102" s="2108" t="s">
        <v>365</v>
      </c>
      <c r="E102" s="2124" t="s">
        <v>400</v>
      </c>
      <c r="F102" s="2080"/>
      <c r="G102" s="2080"/>
      <c r="H102" s="2080"/>
      <c r="I102" s="2080"/>
      <c r="J102" s="2141"/>
    </row>
    <row r="103" s="2075" customFormat="1" spans="1:10">
      <c r="A103" s="2092"/>
      <c r="B103" s="2113"/>
      <c r="C103" s="2113"/>
      <c r="D103" s="2085"/>
      <c r="E103" s="2092"/>
      <c r="F103" s="2080"/>
      <c r="G103" s="2080"/>
      <c r="H103" s="2080"/>
      <c r="I103" s="2080"/>
      <c r="J103" s="2118" t="s">
        <v>401</v>
      </c>
    </row>
    <row r="104" s="2075" customFormat="1" spans="1:10">
      <c r="A104" s="2092"/>
      <c r="B104" s="2113"/>
      <c r="C104" s="2113"/>
      <c r="D104" s="2085"/>
      <c r="E104" s="2092"/>
      <c r="F104" s="2080"/>
      <c r="G104" s="2080"/>
      <c r="H104" s="2080"/>
      <c r="I104" s="2080"/>
      <c r="J104" s="2118" t="s">
        <v>401</v>
      </c>
    </row>
    <row r="105" s="2075" customFormat="1" spans="1:10">
      <c r="A105" s="2092"/>
      <c r="B105" s="2113"/>
      <c r="C105" s="2113"/>
      <c r="D105" s="2085"/>
      <c r="E105" s="2092"/>
      <c r="F105" s="2080"/>
      <c r="G105" s="2080"/>
      <c r="H105" s="2080"/>
      <c r="I105" s="2080"/>
      <c r="J105" s="2118" t="s">
        <v>401</v>
      </c>
    </row>
    <row r="106" s="2075" customFormat="1" spans="1:10">
      <c r="A106" s="2092"/>
      <c r="B106" s="2113"/>
      <c r="C106" s="2113"/>
      <c r="D106" s="2085"/>
      <c r="E106" s="2092"/>
      <c r="F106" s="2080"/>
      <c r="G106" s="2080"/>
      <c r="H106" s="2080"/>
      <c r="I106" s="2080"/>
      <c r="J106" s="2118" t="s">
        <v>401</v>
      </c>
    </row>
    <row r="107" s="2075" customFormat="1" spans="1:10">
      <c r="A107" s="2092"/>
      <c r="B107" s="2113"/>
      <c r="C107" s="2113"/>
      <c r="D107" s="2085"/>
      <c r="E107" s="2092"/>
      <c r="F107" s="2080"/>
      <c r="G107" s="2080"/>
      <c r="H107" s="2080"/>
      <c r="I107" s="2080"/>
      <c r="J107" s="2118" t="s">
        <v>401</v>
      </c>
    </row>
    <row r="108" s="2075" customFormat="1" spans="1:10">
      <c r="A108" s="2092"/>
      <c r="B108" s="2113"/>
      <c r="C108" s="2113"/>
      <c r="D108" s="2085"/>
      <c r="E108" s="2092"/>
      <c r="F108" s="2080"/>
      <c r="G108" s="2080"/>
      <c r="H108" s="2080"/>
      <c r="I108" s="2080"/>
      <c r="J108" s="2118" t="s">
        <v>401</v>
      </c>
    </row>
    <row r="109" s="2075" customFormat="1" spans="1:10">
      <c r="A109" s="2092"/>
      <c r="B109" s="2113"/>
      <c r="C109" s="2113"/>
      <c r="D109" s="2085"/>
      <c r="E109" s="2092"/>
      <c r="F109" s="2080"/>
      <c r="G109" s="2080"/>
      <c r="H109" s="2080"/>
      <c r="I109" s="2080"/>
      <c r="J109" s="2118" t="s">
        <v>401</v>
      </c>
    </row>
    <row r="110" s="2075" customFormat="1" spans="1:10">
      <c r="A110" s="2092"/>
      <c r="B110" s="2113"/>
      <c r="C110" s="2113"/>
      <c r="D110" s="2085"/>
      <c r="E110" s="2092"/>
      <c r="F110" s="2080"/>
      <c r="G110" s="2080"/>
      <c r="H110" s="2080"/>
      <c r="I110" s="2080"/>
      <c r="J110" s="2118" t="s">
        <v>401</v>
      </c>
    </row>
    <row r="111" s="2075" customFormat="1" spans="1:10">
      <c r="A111" s="2092"/>
      <c r="B111" s="2113"/>
      <c r="C111" s="2113"/>
      <c r="D111" s="2085"/>
      <c r="E111" s="2092"/>
      <c r="F111" s="2080"/>
      <c r="G111" s="2080"/>
      <c r="H111" s="2080"/>
      <c r="I111" s="2080"/>
      <c r="J111" s="2118" t="s">
        <v>401</v>
      </c>
    </row>
    <row r="112" s="2075" customFormat="1" spans="1:10">
      <c r="A112" s="2092"/>
      <c r="B112" s="2113"/>
      <c r="C112" s="2113"/>
      <c r="D112" s="2085"/>
      <c r="E112" s="2092"/>
      <c r="F112" s="2080"/>
      <c r="G112" s="2080"/>
      <c r="H112" s="2080"/>
      <c r="I112" s="2080"/>
      <c r="J112" s="2118" t="s">
        <v>401</v>
      </c>
    </row>
    <row r="113" s="2075" customFormat="1" spans="1:10">
      <c r="A113" s="2082" t="s">
        <v>346</v>
      </c>
      <c r="B113" s="2098"/>
      <c r="C113" s="2098"/>
      <c r="D113" s="2048">
        <f>ROUND(SUM(D103:D112),2)</f>
        <v>0</v>
      </c>
      <c r="E113" s="2098"/>
      <c r="F113" s="2080"/>
      <c r="G113" s="2080"/>
      <c r="H113" s="2080"/>
      <c r="I113" s="2080"/>
      <c r="J113" s="2118" t="s">
        <v>402</v>
      </c>
    </row>
    <row r="114" s="2075" customFormat="1" spans="1:10">
      <c r="A114" s="2103"/>
      <c r="B114" s="2080"/>
      <c r="C114" s="2080"/>
      <c r="D114" s="2080"/>
      <c r="E114" s="2080"/>
      <c r="F114" s="2080"/>
      <c r="G114" s="2080"/>
      <c r="H114" s="2080"/>
      <c r="I114" s="2080"/>
      <c r="J114" s="2141"/>
    </row>
    <row r="115" s="2075" customFormat="1" spans="1:10">
      <c r="A115" s="2081" t="s">
        <v>403</v>
      </c>
      <c r="B115" s="2080"/>
      <c r="C115" s="2080"/>
      <c r="D115" s="2080"/>
      <c r="E115" s="2080"/>
      <c r="F115" s="2080"/>
      <c r="G115" s="2080"/>
      <c r="H115" s="2080"/>
      <c r="I115" s="2080"/>
      <c r="J115" s="2141"/>
    </row>
    <row r="116" s="2075" customFormat="1" spans="1:10">
      <c r="A116" s="2083" t="s">
        <v>397</v>
      </c>
      <c r="B116" s="2108" t="s">
        <v>398</v>
      </c>
      <c r="C116" s="2124" t="s">
        <v>399</v>
      </c>
      <c r="D116" s="2108" t="s">
        <v>365</v>
      </c>
      <c r="E116" s="2108" t="s">
        <v>404</v>
      </c>
      <c r="F116" s="2108" t="s">
        <v>405</v>
      </c>
      <c r="G116" s="2080"/>
      <c r="H116" s="2080"/>
      <c r="I116" s="2080"/>
      <c r="J116" s="2141"/>
    </row>
    <row r="117" s="2075" customFormat="1" spans="1:10">
      <c r="A117" s="2092"/>
      <c r="B117" s="2113"/>
      <c r="C117" s="2113"/>
      <c r="D117" s="2085"/>
      <c r="E117" s="2113"/>
      <c r="F117" s="2085"/>
      <c r="G117" s="2080"/>
      <c r="H117" s="2080"/>
      <c r="I117" s="2080"/>
      <c r="J117" s="2118" t="s">
        <v>406</v>
      </c>
    </row>
    <row r="118" s="2075" customFormat="1" spans="1:10">
      <c r="A118" s="2092"/>
      <c r="B118" s="2113"/>
      <c r="C118" s="2113"/>
      <c r="D118" s="2085"/>
      <c r="E118" s="2113"/>
      <c r="F118" s="2085"/>
      <c r="G118" s="2080"/>
      <c r="H118" s="2080"/>
      <c r="I118" s="2080"/>
      <c r="J118" s="2118" t="s">
        <v>406</v>
      </c>
    </row>
    <row r="119" s="2075" customFormat="1" spans="1:10">
      <c r="A119" s="2092"/>
      <c r="B119" s="2113"/>
      <c r="C119" s="2113"/>
      <c r="D119" s="2085"/>
      <c r="E119" s="2113"/>
      <c r="F119" s="2085"/>
      <c r="G119" s="2080"/>
      <c r="H119" s="2080"/>
      <c r="I119" s="2080"/>
      <c r="J119" s="2118" t="s">
        <v>406</v>
      </c>
    </row>
    <row r="120" s="2075" customFormat="1" spans="1:10">
      <c r="A120" s="2092"/>
      <c r="B120" s="2113"/>
      <c r="C120" s="2113"/>
      <c r="D120" s="2085"/>
      <c r="E120" s="2113"/>
      <c r="F120" s="2085"/>
      <c r="G120" s="2080"/>
      <c r="H120" s="2080"/>
      <c r="I120" s="2080"/>
      <c r="J120" s="2118" t="s">
        <v>406</v>
      </c>
    </row>
    <row r="121" s="2075" customFormat="1" spans="1:10">
      <c r="A121" s="2092"/>
      <c r="B121" s="2113"/>
      <c r="C121" s="2113"/>
      <c r="D121" s="2085"/>
      <c r="E121" s="2113"/>
      <c r="F121" s="2085"/>
      <c r="G121" s="2080"/>
      <c r="H121" s="2080"/>
      <c r="I121" s="2080"/>
      <c r="J121" s="2118" t="s">
        <v>406</v>
      </c>
    </row>
    <row r="122" s="2075" customFormat="1" spans="1:10">
      <c r="A122" s="2092"/>
      <c r="B122" s="2113"/>
      <c r="C122" s="2113"/>
      <c r="D122" s="2085"/>
      <c r="E122" s="2113"/>
      <c r="F122" s="2085"/>
      <c r="G122" s="2080"/>
      <c r="H122" s="2080"/>
      <c r="I122" s="2080"/>
      <c r="J122" s="2118" t="s">
        <v>406</v>
      </c>
    </row>
    <row r="123" s="2075" customFormat="1" spans="1:10">
      <c r="A123" s="2092"/>
      <c r="B123" s="2113"/>
      <c r="C123" s="2113"/>
      <c r="D123" s="2085"/>
      <c r="E123" s="2113"/>
      <c r="F123" s="2085"/>
      <c r="G123" s="2080"/>
      <c r="H123" s="2080"/>
      <c r="I123" s="2080"/>
      <c r="J123" s="2118" t="s">
        <v>406</v>
      </c>
    </row>
    <row r="124" s="2075" customFormat="1" spans="1:10">
      <c r="A124" s="2092"/>
      <c r="B124" s="2113"/>
      <c r="C124" s="2113"/>
      <c r="D124" s="2085"/>
      <c r="E124" s="2113"/>
      <c r="F124" s="2085"/>
      <c r="G124" s="2080"/>
      <c r="H124" s="2080"/>
      <c r="I124" s="2080"/>
      <c r="J124" s="2118" t="s">
        <v>406</v>
      </c>
    </row>
    <row r="125" s="2075" customFormat="1" spans="1:10">
      <c r="A125" s="2092"/>
      <c r="B125" s="2113"/>
      <c r="C125" s="2113"/>
      <c r="D125" s="2085"/>
      <c r="E125" s="2113"/>
      <c r="F125" s="2085"/>
      <c r="G125" s="2080"/>
      <c r="H125" s="2080"/>
      <c r="I125" s="2080"/>
      <c r="J125" s="2118" t="s">
        <v>406</v>
      </c>
    </row>
    <row r="126" s="2075" customFormat="1" spans="1:10">
      <c r="A126" s="2092"/>
      <c r="B126" s="2113"/>
      <c r="C126" s="2113"/>
      <c r="D126" s="2085"/>
      <c r="E126" s="2113"/>
      <c r="F126" s="2085"/>
      <c r="G126" s="2080"/>
      <c r="H126" s="2080"/>
      <c r="I126" s="2080"/>
      <c r="J126" s="2118" t="s">
        <v>406</v>
      </c>
    </row>
    <row r="127" s="2075" customFormat="1" spans="1:10">
      <c r="A127" s="2082" t="s">
        <v>346</v>
      </c>
      <c r="B127" s="2098"/>
      <c r="C127" s="2098"/>
      <c r="D127" s="2048">
        <f>ROUND(SUM(D117:D126),2)</f>
        <v>0</v>
      </c>
      <c r="E127" s="2098"/>
      <c r="F127" s="2048">
        <f>ROUND(SUM(F117:F126),2)</f>
        <v>0</v>
      </c>
      <c r="G127" s="2080"/>
      <c r="H127" s="2080"/>
      <c r="I127" s="2080"/>
      <c r="J127" s="2118" t="s">
        <v>407</v>
      </c>
    </row>
    <row r="128" s="2075" customFormat="1" spans="1:10">
      <c r="A128" s="2103"/>
      <c r="B128" s="2080"/>
      <c r="C128" s="2080"/>
      <c r="D128" s="2080"/>
      <c r="E128" s="2080"/>
      <c r="F128" s="2080"/>
      <c r="G128" s="2080"/>
      <c r="H128" s="2080"/>
      <c r="I128" s="2080"/>
      <c r="J128" s="2141"/>
    </row>
    <row r="129" s="2075" customFormat="1" spans="1:10">
      <c r="A129" s="2081" t="s">
        <v>408</v>
      </c>
      <c r="B129" s="2080"/>
      <c r="C129" s="2080"/>
      <c r="D129" s="2080"/>
      <c r="E129" s="2080"/>
      <c r="F129" s="2080"/>
      <c r="G129" s="2080"/>
      <c r="H129" s="2080"/>
      <c r="I129" s="2080"/>
      <c r="J129" s="2141"/>
    </row>
    <row r="130" s="2075" customFormat="1" spans="1:10">
      <c r="A130" s="2083" t="s">
        <v>397</v>
      </c>
      <c r="B130" s="2108" t="s">
        <v>398</v>
      </c>
      <c r="C130" s="2124" t="s">
        <v>399</v>
      </c>
      <c r="D130" s="2108" t="s">
        <v>365</v>
      </c>
      <c r="E130" s="2108" t="s">
        <v>409</v>
      </c>
      <c r="F130" s="2080"/>
      <c r="G130" s="2080"/>
      <c r="H130" s="2080"/>
      <c r="I130" s="2080"/>
      <c r="J130" s="2141"/>
    </row>
    <row r="131" s="2075" customFormat="1" spans="1:10">
      <c r="A131" s="2092"/>
      <c r="B131" s="2113"/>
      <c r="C131" s="2113"/>
      <c r="D131" s="2085"/>
      <c r="E131" s="2092"/>
      <c r="F131" s="2080"/>
      <c r="G131" s="2080"/>
      <c r="H131" s="2080"/>
      <c r="I131" s="2080"/>
      <c r="J131" s="2118" t="s">
        <v>410</v>
      </c>
    </row>
    <row r="132" s="2075" customFormat="1" spans="1:10">
      <c r="A132" s="2092"/>
      <c r="B132" s="2113"/>
      <c r="C132" s="2113"/>
      <c r="D132" s="2085"/>
      <c r="E132" s="2092"/>
      <c r="F132" s="2080"/>
      <c r="G132" s="2080"/>
      <c r="H132" s="2080"/>
      <c r="I132" s="2080"/>
      <c r="J132" s="2118" t="s">
        <v>410</v>
      </c>
    </row>
    <row r="133" s="2075" customFormat="1" spans="1:10">
      <c r="A133" s="2092"/>
      <c r="B133" s="2113"/>
      <c r="C133" s="2113"/>
      <c r="D133" s="2085"/>
      <c r="E133" s="2092"/>
      <c r="F133" s="2080"/>
      <c r="G133" s="2080"/>
      <c r="H133" s="2080"/>
      <c r="I133" s="2080"/>
      <c r="J133" s="2118" t="s">
        <v>410</v>
      </c>
    </row>
    <row r="134" s="2075" customFormat="1" spans="1:10">
      <c r="A134" s="2092"/>
      <c r="B134" s="2113"/>
      <c r="C134" s="2113"/>
      <c r="D134" s="2085"/>
      <c r="E134" s="2092"/>
      <c r="F134" s="2080"/>
      <c r="G134" s="2080"/>
      <c r="H134" s="2080"/>
      <c r="I134" s="2080"/>
      <c r="J134" s="2118" t="s">
        <v>410</v>
      </c>
    </row>
    <row r="135" s="2075" customFormat="1" spans="1:10">
      <c r="A135" s="2092"/>
      <c r="B135" s="2113"/>
      <c r="C135" s="2113"/>
      <c r="D135" s="2085"/>
      <c r="E135" s="2092"/>
      <c r="F135" s="2080"/>
      <c r="G135" s="2080"/>
      <c r="H135" s="2080"/>
      <c r="I135" s="2080"/>
      <c r="J135" s="2118" t="s">
        <v>410</v>
      </c>
    </row>
    <row r="136" s="2075" customFormat="1" spans="1:10">
      <c r="A136" s="2092"/>
      <c r="B136" s="2113"/>
      <c r="C136" s="2113"/>
      <c r="D136" s="2085"/>
      <c r="E136" s="2092"/>
      <c r="F136" s="2080"/>
      <c r="G136" s="2080"/>
      <c r="H136" s="2080"/>
      <c r="I136" s="2080"/>
      <c r="J136" s="2118" t="s">
        <v>410</v>
      </c>
    </row>
    <row r="137" s="2075" customFormat="1" spans="1:10">
      <c r="A137" s="2092"/>
      <c r="B137" s="2113"/>
      <c r="C137" s="2113"/>
      <c r="D137" s="2085"/>
      <c r="E137" s="2092"/>
      <c r="F137" s="2080"/>
      <c r="G137" s="2080"/>
      <c r="H137" s="2080"/>
      <c r="I137" s="2080"/>
      <c r="J137" s="2118" t="s">
        <v>410</v>
      </c>
    </row>
    <row r="138" s="2075" customFormat="1" spans="1:10">
      <c r="A138" s="2092"/>
      <c r="B138" s="2113"/>
      <c r="C138" s="2113"/>
      <c r="D138" s="2085"/>
      <c r="E138" s="2092"/>
      <c r="F138" s="2080"/>
      <c r="G138" s="2080"/>
      <c r="H138" s="2080"/>
      <c r="I138" s="2080"/>
      <c r="J138" s="2118" t="s">
        <v>410</v>
      </c>
    </row>
    <row r="139" s="2075" customFormat="1" spans="1:10">
      <c r="A139" s="2092"/>
      <c r="B139" s="2113"/>
      <c r="C139" s="2113"/>
      <c r="D139" s="2085"/>
      <c r="E139" s="2092"/>
      <c r="F139" s="2080"/>
      <c r="G139" s="2080"/>
      <c r="H139" s="2080"/>
      <c r="I139" s="2080"/>
      <c r="J139" s="2118" t="s">
        <v>410</v>
      </c>
    </row>
    <row r="140" s="2075" customFormat="1" spans="1:10">
      <c r="A140" s="2092"/>
      <c r="B140" s="2113"/>
      <c r="C140" s="2113"/>
      <c r="D140" s="2085"/>
      <c r="E140" s="2092"/>
      <c r="F140" s="2080"/>
      <c r="G140" s="2080"/>
      <c r="H140" s="2080"/>
      <c r="I140" s="2080"/>
      <c r="J140" s="2118" t="s">
        <v>410</v>
      </c>
    </row>
    <row r="141" s="2075" customFormat="1" spans="1:10">
      <c r="A141" s="2082" t="s">
        <v>346</v>
      </c>
      <c r="B141" s="2098"/>
      <c r="C141" s="2098"/>
      <c r="D141" s="2048">
        <f>ROUND(SUM(D131:D140),2)</f>
        <v>0</v>
      </c>
      <c r="E141" s="2098"/>
      <c r="F141" s="2080"/>
      <c r="G141" s="2080"/>
      <c r="H141" s="2080"/>
      <c r="I141" s="2080"/>
      <c r="J141" s="2118" t="s">
        <v>411</v>
      </c>
    </row>
    <row r="142" s="2075" customFormat="1" spans="1:10">
      <c r="A142" s="2103"/>
      <c r="B142" s="2080"/>
      <c r="C142" s="2080"/>
      <c r="D142" s="2080"/>
      <c r="E142" s="2080"/>
      <c r="F142" s="2080"/>
      <c r="G142" s="2080"/>
      <c r="H142" s="2080"/>
      <c r="I142" s="2080"/>
      <c r="J142" s="2141"/>
    </row>
    <row r="143" s="2075" customFormat="1" spans="1:10">
      <c r="A143" s="2081" t="s">
        <v>412</v>
      </c>
      <c r="B143" s="2080"/>
      <c r="C143" s="2080"/>
      <c r="D143" s="2080"/>
      <c r="E143" s="2080"/>
      <c r="F143" s="2080"/>
      <c r="G143" s="2080"/>
      <c r="H143" s="2080"/>
      <c r="I143" s="2080"/>
      <c r="J143" s="2141"/>
    </row>
    <row r="144" s="2075" customFormat="1" spans="1:10">
      <c r="A144" s="2083" t="s">
        <v>397</v>
      </c>
      <c r="B144" s="2108" t="s">
        <v>398</v>
      </c>
      <c r="C144" s="2124" t="s">
        <v>399</v>
      </c>
      <c r="D144" s="2108" t="s">
        <v>365</v>
      </c>
      <c r="E144" s="2080"/>
      <c r="F144" s="2080"/>
      <c r="G144" s="2080"/>
      <c r="H144" s="2080"/>
      <c r="I144" s="2080"/>
      <c r="J144" s="2141"/>
    </row>
    <row r="145" s="2075" customFormat="1" spans="1:10">
      <c r="A145" s="2092"/>
      <c r="B145" s="2113"/>
      <c r="C145" s="2113"/>
      <c r="D145" s="2085"/>
      <c r="E145" s="2080"/>
      <c r="F145" s="2080"/>
      <c r="G145" s="2080"/>
      <c r="H145" s="2080"/>
      <c r="I145" s="2080"/>
      <c r="J145" s="2118" t="s">
        <v>413</v>
      </c>
    </row>
    <row r="146" s="2075" customFormat="1" spans="1:10">
      <c r="A146" s="2092"/>
      <c r="B146" s="2113"/>
      <c r="C146" s="2113"/>
      <c r="D146" s="2085"/>
      <c r="E146" s="2080"/>
      <c r="F146" s="2080"/>
      <c r="G146" s="2080"/>
      <c r="H146" s="2080"/>
      <c r="I146" s="2080"/>
      <c r="J146" s="2118" t="s">
        <v>413</v>
      </c>
    </row>
    <row r="147" s="2075" customFormat="1" spans="1:10">
      <c r="A147" s="2092"/>
      <c r="B147" s="2113"/>
      <c r="C147" s="2113"/>
      <c r="D147" s="2085"/>
      <c r="E147" s="2080"/>
      <c r="F147" s="2080"/>
      <c r="G147" s="2080"/>
      <c r="H147" s="2080"/>
      <c r="I147" s="2080"/>
      <c r="J147" s="2118" t="s">
        <v>413</v>
      </c>
    </row>
    <row r="148" s="2075" customFormat="1" spans="1:10">
      <c r="A148" s="2092"/>
      <c r="B148" s="2113"/>
      <c r="C148" s="2113"/>
      <c r="D148" s="2085"/>
      <c r="E148" s="2080"/>
      <c r="F148" s="2080"/>
      <c r="G148" s="2080"/>
      <c r="H148" s="2080"/>
      <c r="I148" s="2080"/>
      <c r="J148" s="2118" t="s">
        <v>413</v>
      </c>
    </row>
    <row r="149" s="2075" customFormat="1" spans="1:10">
      <c r="A149" s="2092"/>
      <c r="B149" s="2113"/>
      <c r="C149" s="2113"/>
      <c r="D149" s="2085"/>
      <c r="E149" s="2080"/>
      <c r="F149" s="2080"/>
      <c r="G149" s="2080"/>
      <c r="H149" s="2080"/>
      <c r="I149" s="2080"/>
      <c r="J149" s="2118" t="s">
        <v>413</v>
      </c>
    </row>
    <row r="150" s="2075" customFormat="1" spans="1:10">
      <c r="A150" s="2092"/>
      <c r="B150" s="2113"/>
      <c r="C150" s="2113"/>
      <c r="D150" s="2085"/>
      <c r="E150" s="2080"/>
      <c r="F150" s="2080"/>
      <c r="G150" s="2080"/>
      <c r="H150" s="2080"/>
      <c r="I150" s="2080"/>
      <c r="J150" s="2118" t="s">
        <v>413</v>
      </c>
    </row>
    <row r="151" s="2075" customFormat="1" spans="1:10">
      <c r="A151" s="2092"/>
      <c r="B151" s="2113"/>
      <c r="C151" s="2113"/>
      <c r="D151" s="2085"/>
      <c r="E151" s="2080"/>
      <c r="F151" s="2080"/>
      <c r="G151" s="2080"/>
      <c r="H151" s="2080"/>
      <c r="I151" s="2080"/>
      <c r="J151" s="2118" t="s">
        <v>413</v>
      </c>
    </row>
    <row r="152" s="2075" customFormat="1" spans="1:10">
      <c r="A152" s="2092"/>
      <c r="B152" s="2113"/>
      <c r="C152" s="2113"/>
      <c r="D152" s="2085"/>
      <c r="E152" s="2080"/>
      <c r="F152" s="2080"/>
      <c r="G152" s="2080"/>
      <c r="H152" s="2080"/>
      <c r="I152" s="2080"/>
      <c r="J152" s="2118" t="s">
        <v>413</v>
      </c>
    </row>
    <row r="153" s="2075" customFormat="1" spans="1:10">
      <c r="A153" s="2092"/>
      <c r="B153" s="2113"/>
      <c r="C153" s="2113"/>
      <c r="D153" s="2085"/>
      <c r="E153" s="2080"/>
      <c r="F153" s="2080"/>
      <c r="G153" s="2080"/>
      <c r="H153" s="2080"/>
      <c r="I153" s="2080"/>
      <c r="J153" s="2118" t="s">
        <v>413</v>
      </c>
    </row>
    <row r="154" s="2075" customFormat="1" spans="1:10">
      <c r="A154" s="2092"/>
      <c r="B154" s="2113"/>
      <c r="C154" s="2113"/>
      <c r="D154" s="2085"/>
      <c r="E154" s="2080"/>
      <c r="F154" s="2080"/>
      <c r="G154" s="2080"/>
      <c r="H154" s="2080"/>
      <c r="I154" s="2080"/>
      <c r="J154" s="2118" t="s">
        <v>413</v>
      </c>
    </row>
    <row r="155" s="2075" customFormat="1" spans="1:10">
      <c r="A155" s="2082" t="s">
        <v>346</v>
      </c>
      <c r="B155" s="2098"/>
      <c r="C155" s="2098"/>
      <c r="D155" s="2048">
        <f>ROUND(SUM(D145:D154),2)</f>
        <v>0</v>
      </c>
      <c r="E155" s="2080"/>
      <c r="F155" s="2080"/>
      <c r="G155" s="2080"/>
      <c r="H155" s="2080"/>
      <c r="I155" s="2080"/>
      <c r="J155" s="2118" t="s">
        <v>414</v>
      </c>
    </row>
    <row r="156" s="2075" customFormat="1" spans="1:10">
      <c r="A156" s="2103"/>
      <c r="B156" s="2080"/>
      <c r="C156" s="2080"/>
      <c r="D156" s="2080"/>
      <c r="E156" s="2080"/>
      <c r="F156" s="2080"/>
      <c r="G156" s="2080"/>
      <c r="H156" s="2080"/>
      <c r="I156" s="2080"/>
      <c r="J156" s="2141"/>
    </row>
    <row r="157" s="2075" customFormat="1" spans="1:10">
      <c r="A157" s="2096" t="s">
        <v>415</v>
      </c>
      <c r="B157" s="2080"/>
      <c r="C157" s="2080"/>
      <c r="D157" s="2080"/>
      <c r="E157" s="2080"/>
      <c r="F157" s="2080"/>
      <c r="G157" s="2080"/>
      <c r="H157" s="2080"/>
      <c r="I157" s="2080"/>
      <c r="J157" s="2141"/>
    </row>
    <row r="158" s="2075" customFormat="1" spans="1:10">
      <c r="A158" s="2083" t="s">
        <v>397</v>
      </c>
      <c r="B158" s="2108" t="s">
        <v>398</v>
      </c>
      <c r="C158" s="2124" t="s">
        <v>399</v>
      </c>
      <c r="D158" s="2108" t="s">
        <v>365</v>
      </c>
      <c r="E158" s="2108" t="s">
        <v>404</v>
      </c>
      <c r="F158" s="2108" t="s">
        <v>405</v>
      </c>
      <c r="G158" s="2080"/>
      <c r="H158" s="2080"/>
      <c r="I158" s="2080"/>
      <c r="J158" s="2141"/>
    </row>
    <row r="159" s="2075" customFormat="1" spans="1:10">
      <c r="A159" s="2092"/>
      <c r="B159" s="2113"/>
      <c r="C159" s="2113"/>
      <c r="D159" s="2085"/>
      <c r="E159" s="2113"/>
      <c r="F159" s="2085"/>
      <c r="G159" s="2080"/>
      <c r="H159" s="2080"/>
      <c r="I159" s="2080"/>
      <c r="J159" s="2118" t="s">
        <v>416</v>
      </c>
    </row>
    <row r="160" s="2075" customFormat="1" spans="1:10">
      <c r="A160" s="2092"/>
      <c r="B160" s="2113"/>
      <c r="C160" s="2113"/>
      <c r="D160" s="2085"/>
      <c r="E160" s="2113"/>
      <c r="F160" s="2085"/>
      <c r="G160" s="2080"/>
      <c r="H160" s="2080"/>
      <c r="I160" s="2080"/>
      <c r="J160" s="2118" t="s">
        <v>416</v>
      </c>
    </row>
    <row r="161" s="2075" customFormat="1" spans="1:10">
      <c r="A161" s="2092"/>
      <c r="B161" s="2113"/>
      <c r="C161" s="2113"/>
      <c r="D161" s="2085"/>
      <c r="E161" s="2113"/>
      <c r="F161" s="2085"/>
      <c r="G161" s="2080"/>
      <c r="H161" s="2080"/>
      <c r="I161" s="2080"/>
      <c r="J161" s="2118" t="s">
        <v>416</v>
      </c>
    </row>
    <row r="162" s="2075" customFormat="1" spans="1:10">
      <c r="A162" s="2092"/>
      <c r="B162" s="2113"/>
      <c r="C162" s="2113"/>
      <c r="D162" s="2085"/>
      <c r="E162" s="2113"/>
      <c r="F162" s="2085"/>
      <c r="G162" s="2080"/>
      <c r="H162" s="2080"/>
      <c r="I162" s="2080"/>
      <c r="J162" s="2118" t="s">
        <v>416</v>
      </c>
    </row>
    <row r="163" s="2075" customFormat="1" spans="1:10">
      <c r="A163" s="2092"/>
      <c r="B163" s="2113"/>
      <c r="C163" s="2113"/>
      <c r="D163" s="2085"/>
      <c r="E163" s="2113"/>
      <c r="F163" s="2085"/>
      <c r="G163" s="2080"/>
      <c r="H163" s="2080"/>
      <c r="I163" s="2080"/>
      <c r="J163" s="2118" t="s">
        <v>416</v>
      </c>
    </row>
    <row r="164" s="2075" customFormat="1" spans="1:10">
      <c r="A164" s="2092"/>
      <c r="B164" s="2113"/>
      <c r="C164" s="2113"/>
      <c r="D164" s="2085"/>
      <c r="E164" s="2113"/>
      <c r="F164" s="2085"/>
      <c r="G164" s="2080"/>
      <c r="H164" s="2080"/>
      <c r="I164" s="2080"/>
      <c r="J164" s="2118" t="s">
        <v>416</v>
      </c>
    </row>
    <row r="165" s="2075" customFormat="1" spans="1:10">
      <c r="A165" s="2092"/>
      <c r="B165" s="2113"/>
      <c r="C165" s="2113"/>
      <c r="D165" s="2085"/>
      <c r="E165" s="2113"/>
      <c r="F165" s="2085"/>
      <c r="G165" s="2080"/>
      <c r="H165" s="2080"/>
      <c r="I165" s="2080"/>
      <c r="J165" s="2118" t="s">
        <v>416</v>
      </c>
    </row>
    <row r="166" s="2075" customFormat="1" spans="1:10">
      <c r="A166" s="2092"/>
      <c r="B166" s="2113"/>
      <c r="C166" s="2113"/>
      <c r="D166" s="2085"/>
      <c r="E166" s="2113"/>
      <c r="F166" s="2085"/>
      <c r="G166" s="2080"/>
      <c r="H166" s="2080"/>
      <c r="I166" s="2080"/>
      <c r="J166" s="2118" t="s">
        <v>416</v>
      </c>
    </row>
    <row r="167" s="2075" customFormat="1" spans="1:10">
      <c r="A167" s="2092"/>
      <c r="B167" s="2113"/>
      <c r="C167" s="2113"/>
      <c r="D167" s="2085"/>
      <c r="E167" s="2113"/>
      <c r="F167" s="2085"/>
      <c r="G167" s="2080"/>
      <c r="H167" s="2080"/>
      <c r="I167" s="2080"/>
      <c r="J167" s="2118" t="s">
        <v>416</v>
      </c>
    </row>
    <row r="168" s="2075" customFormat="1" spans="1:10">
      <c r="A168" s="2092"/>
      <c r="B168" s="2113"/>
      <c r="C168" s="2113"/>
      <c r="D168" s="2085"/>
      <c r="E168" s="2113"/>
      <c r="F168" s="2085"/>
      <c r="G168" s="2080"/>
      <c r="H168" s="2080"/>
      <c r="I168" s="2080"/>
      <c r="J168" s="2118" t="s">
        <v>416</v>
      </c>
    </row>
    <row r="169" s="2075" customFormat="1" spans="1:10">
      <c r="A169" s="2082" t="s">
        <v>346</v>
      </c>
      <c r="B169" s="2098"/>
      <c r="C169" s="2098"/>
      <c r="D169" s="2048">
        <f>ROUND(SUM(D159:D168),2)</f>
        <v>0</v>
      </c>
      <c r="E169" s="2098"/>
      <c r="F169" s="2048">
        <f>ROUND(SUM(F159:F168),2)</f>
        <v>0</v>
      </c>
      <c r="G169" s="2080"/>
      <c r="H169" s="2080"/>
      <c r="I169" s="2080"/>
      <c r="J169" s="2118" t="s">
        <v>417</v>
      </c>
    </row>
    <row r="170" s="2075" customFormat="1" spans="1:10">
      <c r="A170" s="2103"/>
      <c r="B170" s="2080"/>
      <c r="C170" s="2080"/>
      <c r="D170" s="2080"/>
      <c r="E170" s="2080"/>
      <c r="F170" s="2080"/>
      <c r="G170" s="2080"/>
      <c r="H170" s="2080"/>
      <c r="I170" s="2080"/>
      <c r="J170" s="2141"/>
    </row>
    <row r="171" s="2075" customFormat="1" spans="1:10">
      <c r="A171" s="2103"/>
      <c r="B171" s="2080"/>
      <c r="C171" s="2080"/>
      <c r="D171" s="2080"/>
      <c r="E171" s="2080"/>
      <c r="F171" s="2080"/>
      <c r="G171" s="2080"/>
      <c r="H171" s="2080"/>
      <c r="I171" s="2080"/>
      <c r="J171" s="2141"/>
    </row>
    <row r="172" s="2075" customFormat="1" spans="1:10">
      <c r="A172" s="2081" t="s">
        <v>418</v>
      </c>
      <c r="B172" s="2080"/>
      <c r="C172" s="2080"/>
      <c r="D172" s="2080"/>
      <c r="E172" s="2080"/>
      <c r="F172" s="2080"/>
      <c r="G172" s="2080"/>
      <c r="H172" s="2080"/>
      <c r="I172" s="2080"/>
      <c r="J172" s="2141"/>
    </row>
    <row r="173" s="2075" customFormat="1" spans="1:10">
      <c r="A173" s="2082" t="s">
        <v>419</v>
      </c>
      <c r="B173" s="2082" t="s">
        <v>315</v>
      </c>
      <c r="C173" s="2082" t="s">
        <v>316</v>
      </c>
      <c r="D173" s="2108" t="s">
        <v>420</v>
      </c>
      <c r="E173" s="2108" t="s">
        <v>421</v>
      </c>
      <c r="F173" s="2108" t="s">
        <v>422</v>
      </c>
      <c r="G173" s="2080"/>
      <c r="H173" s="2080"/>
      <c r="I173" s="2080"/>
      <c r="J173" s="2141"/>
    </row>
    <row r="174" s="2075" customFormat="1" spans="1:10">
      <c r="A174" s="2129" t="s">
        <v>423</v>
      </c>
      <c r="B174" s="2082"/>
      <c r="C174" s="2082"/>
      <c r="D174" s="2124"/>
      <c r="E174" s="2108"/>
      <c r="F174" s="2082"/>
      <c r="G174" s="2080"/>
      <c r="H174" s="2080"/>
      <c r="I174" s="2080"/>
      <c r="J174" s="2141"/>
    </row>
    <row r="175" s="2075" customFormat="1" spans="1:10">
      <c r="A175" s="2092"/>
      <c r="B175" s="2085"/>
      <c r="C175" s="2085"/>
      <c r="D175" s="2092"/>
      <c r="E175" s="2092"/>
      <c r="F175" s="2085"/>
      <c r="G175" s="2080"/>
      <c r="H175" s="2080"/>
      <c r="I175" s="2080"/>
      <c r="J175" s="2118" t="s">
        <v>424</v>
      </c>
    </row>
    <row r="176" s="2075" customFormat="1" spans="1:10">
      <c r="A176" s="2092"/>
      <c r="B176" s="2085"/>
      <c r="C176" s="2085"/>
      <c r="D176" s="2092"/>
      <c r="E176" s="2092"/>
      <c r="F176" s="2085"/>
      <c r="G176" s="2080"/>
      <c r="H176" s="2080"/>
      <c r="I176" s="2080"/>
      <c r="J176" s="2118" t="s">
        <v>424</v>
      </c>
    </row>
    <row r="177" s="2075" customFormat="1" spans="1:10">
      <c r="A177" s="2092"/>
      <c r="B177" s="2085"/>
      <c r="C177" s="2085"/>
      <c r="D177" s="2092"/>
      <c r="E177" s="2092"/>
      <c r="F177" s="2085"/>
      <c r="G177" s="2080"/>
      <c r="H177" s="2080"/>
      <c r="I177" s="2080"/>
      <c r="J177" s="2118" t="s">
        <v>424</v>
      </c>
    </row>
    <row r="178" s="2075" customFormat="1" spans="1:10">
      <c r="A178" s="2092"/>
      <c r="B178" s="2085"/>
      <c r="C178" s="2085"/>
      <c r="D178" s="2092"/>
      <c r="E178" s="2092"/>
      <c r="F178" s="2085"/>
      <c r="G178" s="2080"/>
      <c r="H178" s="2080"/>
      <c r="I178" s="2080"/>
      <c r="J178" s="2118" t="s">
        <v>424</v>
      </c>
    </row>
    <row r="179" s="2075" customFormat="1" spans="1:10">
      <c r="A179" s="2092"/>
      <c r="B179" s="2085"/>
      <c r="C179" s="2085"/>
      <c r="D179" s="2092"/>
      <c r="E179" s="2092"/>
      <c r="F179" s="2085"/>
      <c r="G179" s="2080"/>
      <c r="H179" s="2080"/>
      <c r="I179" s="2080"/>
      <c r="J179" s="2118" t="s">
        <v>424</v>
      </c>
    </row>
    <row r="180" s="2075" customFormat="1" spans="1:10">
      <c r="A180" s="2092"/>
      <c r="B180" s="2085"/>
      <c r="C180" s="2085"/>
      <c r="D180" s="2092"/>
      <c r="E180" s="2092"/>
      <c r="F180" s="2085"/>
      <c r="G180" s="2080"/>
      <c r="H180" s="2080"/>
      <c r="I180" s="2080"/>
      <c r="J180" s="2118" t="s">
        <v>424</v>
      </c>
    </row>
    <row r="181" s="2075" customFormat="1" spans="1:10">
      <c r="A181" s="2092"/>
      <c r="B181" s="2085"/>
      <c r="C181" s="2085"/>
      <c r="D181" s="2092"/>
      <c r="E181" s="2092"/>
      <c r="F181" s="2085"/>
      <c r="G181" s="2080"/>
      <c r="H181" s="2080"/>
      <c r="I181" s="2080"/>
      <c r="J181" s="2118" t="s">
        <v>424</v>
      </c>
    </row>
    <row r="182" s="2075" customFormat="1" spans="1:10">
      <c r="A182" s="2092"/>
      <c r="B182" s="2085"/>
      <c r="C182" s="2085"/>
      <c r="D182" s="2092"/>
      <c r="E182" s="2092"/>
      <c r="F182" s="2085"/>
      <c r="G182" s="2080"/>
      <c r="H182" s="2080"/>
      <c r="I182" s="2080"/>
      <c r="J182" s="2118" t="s">
        <v>424</v>
      </c>
    </row>
    <row r="183" s="2075" customFormat="1" spans="1:10">
      <c r="A183" s="2092"/>
      <c r="B183" s="2085"/>
      <c r="C183" s="2085"/>
      <c r="D183" s="2092"/>
      <c r="E183" s="2092"/>
      <c r="F183" s="2085"/>
      <c r="G183" s="2080"/>
      <c r="H183" s="2080"/>
      <c r="I183" s="2080"/>
      <c r="J183" s="2118" t="s">
        <v>424</v>
      </c>
    </row>
    <row r="184" s="2075" customFormat="1" spans="1:10">
      <c r="A184" s="2092"/>
      <c r="B184" s="2085"/>
      <c r="C184" s="2085"/>
      <c r="D184" s="2092"/>
      <c r="E184" s="2092"/>
      <c r="F184" s="2085"/>
      <c r="G184" s="2080"/>
      <c r="H184" s="2080"/>
      <c r="I184" s="2080"/>
      <c r="J184" s="2118" t="s">
        <v>424</v>
      </c>
    </row>
    <row r="185" s="2075" customFormat="1" spans="1:10">
      <c r="A185" s="2082" t="s">
        <v>425</v>
      </c>
      <c r="B185" s="2048">
        <f>ROUND(SUM(B175:B184),2)</f>
        <v>0</v>
      </c>
      <c r="C185" s="2048">
        <f>ROUND(SUM(C175:C184),2)</f>
        <v>0</v>
      </c>
      <c r="D185" s="2098"/>
      <c r="E185" s="2048"/>
      <c r="F185" s="2048">
        <f>ROUND(SUM(F175:F184),2)</f>
        <v>0</v>
      </c>
      <c r="G185" s="2080"/>
      <c r="H185" s="2080"/>
      <c r="I185" s="2080"/>
      <c r="J185" s="2118" t="s">
        <v>426</v>
      </c>
    </row>
    <row r="186" s="2075" customFormat="1" spans="1:10">
      <c r="A186" s="2087"/>
      <c r="B186" s="2098"/>
      <c r="C186" s="2098"/>
      <c r="D186" s="2098"/>
      <c r="E186" s="2098"/>
      <c r="F186" s="2098"/>
      <c r="G186" s="2080"/>
      <c r="H186" s="2080"/>
      <c r="I186" s="2080"/>
      <c r="J186" s="2141"/>
    </row>
    <row r="187" s="2075" customFormat="1" spans="1:10">
      <c r="A187" s="2129" t="s">
        <v>427</v>
      </c>
      <c r="B187" s="2082"/>
      <c r="C187" s="2082"/>
      <c r="D187" s="2124"/>
      <c r="E187" s="2108"/>
      <c r="F187" s="2124"/>
      <c r="G187" s="2080"/>
      <c r="H187" s="2080"/>
      <c r="I187" s="2080"/>
      <c r="J187" s="2141"/>
    </row>
    <row r="188" s="2075" customFormat="1" spans="1:10">
      <c r="A188" s="2092"/>
      <c r="B188" s="2085"/>
      <c r="C188" s="2085"/>
      <c r="D188" s="2092"/>
      <c r="E188" s="2092"/>
      <c r="F188" s="2085"/>
      <c r="G188" s="2080"/>
      <c r="H188" s="2080"/>
      <c r="I188" s="2080"/>
      <c r="J188" s="2118" t="s">
        <v>428</v>
      </c>
    </row>
    <row r="189" s="2075" customFormat="1" spans="1:10">
      <c r="A189" s="2092"/>
      <c r="B189" s="2085"/>
      <c r="C189" s="2085"/>
      <c r="D189" s="2092"/>
      <c r="E189" s="2092"/>
      <c r="F189" s="2085"/>
      <c r="G189" s="2080"/>
      <c r="H189" s="2080"/>
      <c r="I189" s="2080"/>
      <c r="J189" s="2118" t="s">
        <v>428</v>
      </c>
    </row>
    <row r="190" s="2075" customFormat="1" spans="1:10">
      <c r="A190" s="2092"/>
      <c r="B190" s="2085"/>
      <c r="C190" s="2085"/>
      <c r="D190" s="2092"/>
      <c r="E190" s="2092"/>
      <c r="F190" s="2085"/>
      <c r="G190" s="2080"/>
      <c r="H190" s="2080"/>
      <c r="I190" s="2080"/>
      <c r="J190" s="2118" t="s">
        <v>428</v>
      </c>
    </row>
    <row r="191" s="2075" customFormat="1" spans="1:10">
      <c r="A191" s="2092"/>
      <c r="B191" s="2085"/>
      <c r="C191" s="2085"/>
      <c r="D191" s="2092"/>
      <c r="E191" s="2092"/>
      <c r="F191" s="2085"/>
      <c r="G191" s="2080"/>
      <c r="H191" s="2080"/>
      <c r="I191" s="2080"/>
      <c r="J191" s="2118" t="s">
        <v>428</v>
      </c>
    </row>
    <row r="192" s="2075" customFormat="1" spans="1:10">
      <c r="A192" s="2092"/>
      <c r="B192" s="2085"/>
      <c r="C192" s="2085"/>
      <c r="D192" s="2092"/>
      <c r="E192" s="2092"/>
      <c r="F192" s="2085"/>
      <c r="G192" s="2080"/>
      <c r="H192" s="2080"/>
      <c r="I192" s="2080"/>
      <c r="J192" s="2118" t="s">
        <v>428</v>
      </c>
    </row>
    <row r="193" s="2075" customFormat="1" spans="1:10">
      <c r="A193" s="2092"/>
      <c r="B193" s="2085"/>
      <c r="C193" s="2085"/>
      <c r="D193" s="2092"/>
      <c r="E193" s="2092"/>
      <c r="F193" s="2085"/>
      <c r="G193" s="2080"/>
      <c r="H193" s="2080"/>
      <c r="I193" s="2080"/>
      <c r="J193" s="2118" t="s">
        <v>428</v>
      </c>
    </row>
    <row r="194" s="2075" customFormat="1" spans="1:10">
      <c r="A194" s="2092"/>
      <c r="B194" s="2085"/>
      <c r="C194" s="2085"/>
      <c r="D194" s="2092"/>
      <c r="E194" s="2092"/>
      <c r="F194" s="2085"/>
      <c r="G194" s="2080"/>
      <c r="H194" s="2080"/>
      <c r="I194" s="2080"/>
      <c r="J194" s="2118" t="s">
        <v>428</v>
      </c>
    </row>
    <row r="195" s="2075" customFormat="1" spans="1:10">
      <c r="A195" s="2092"/>
      <c r="B195" s="2085"/>
      <c r="C195" s="2085"/>
      <c r="D195" s="2092"/>
      <c r="E195" s="2092"/>
      <c r="F195" s="2085"/>
      <c r="G195" s="2080"/>
      <c r="H195" s="2080"/>
      <c r="I195" s="2080"/>
      <c r="J195" s="2118" t="s">
        <v>428</v>
      </c>
    </row>
    <row r="196" s="2075" customFormat="1" spans="1:10">
      <c r="A196" s="2092"/>
      <c r="B196" s="2085"/>
      <c r="C196" s="2085"/>
      <c r="D196" s="2092"/>
      <c r="E196" s="2092"/>
      <c r="F196" s="2085"/>
      <c r="G196" s="2080"/>
      <c r="H196" s="2080"/>
      <c r="I196" s="2080"/>
      <c r="J196" s="2118" t="s">
        <v>428</v>
      </c>
    </row>
    <row r="197" s="2075" customFormat="1" spans="1:10">
      <c r="A197" s="2092"/>
      <c r="B197" s="2085"/>
      <c r="C197" s="2085"/>
      <c r="D197" s="2092"/>
      <c r="E197" s="2092"/>
      <c r="F197" s="2085"/>
      <c r="G197" s="2080"/>
      <c r="H197" s="2080"/>
      <c r="I197" s="2080"/>
      <c r="J197" s="2118" t="s">
        <v>428</v>
      </c>
    </row>
    <row r="198" s="2075" customFormat="1" spans="1:10">
      <c r="A198" s="2082" t="s">
        <v>425</v>
      </c>
      <c r="B198" s="2048">
        <f>ROUND(SUM(B188:B197),2)</f>
        <v>0</v>
      </c>
      <c r="C198" s="2048">
        <f>ROUND(SUM(C188:C197),2)</f>
        <v>0</v>
      </c>
      <c r="D198" s="2098"/>
      <c r="E198" s="2048"/>
      <c r="F198" s="2048">
        <f>ROUND(SUM(F188:F197),2)</f>
        <v>0</v>
      </c>
      <c r="G198" s="2080"/>
      <c r="H198" s="2080"/>
      <c r="I198" s="2080"/>
      <c r="J198" s="2118" t="s">
        <v>429</v>
      </c>
    </row>
    <row r="199" s="2075" customFormat="1" spans="1:10">
      <c r="A199" s="2087"/>
      <c r="B199" s="2098"/>
      <c r="C199" s="2098"/>
      <c r="D199" s="2098"/>
      <c r="E199" s="2098"/>
      <c r="F199" s="2098"/>
      <c r="G199" s="2080"/>
      <c r="H199" s="2080"/>
      <c r="I199" s="2080"/>
      <c r="J199" s="2141"/>
    </row>
    <row r="200" s="2075" customFormat="1" spans="1:10">
      <c r="A200" s="2082" t="s">
        <v>346</v>
      </c>
      <c r="B200" s="2048">
        <f>ROUND(B185+B198,2)</f>
        <v>0</v>
      </c>
      <c r="C200" s="2048">
        <f>ROUND(C185+C198,2)</f>
        <v>0</v>
      </c>
      <c r="D200" s="2098"/>
      <c r="E200" s="2048"/>
      <c r="F200" s="2048">
        <f>ROUND(F185+F198,2)</f>
        <v>0</v>
      </c>
      <c r="G200" s="2080"/>
      <c r="H200" s="2080"/>
      <c r="I200" s="2080"/>
      <c r="J200" s="2118" t="s">
        <v>430</v>
      </c>
    </row>
    <row r="201" s="2075" customFormat="1" spans="1:10">
      <c r="A201" s="2103"/>
      <c r="B201" s="2080"/>
      <c r="C201" s="2080"/>
      <c r="D201" s="2080"/>
      <c r="E201" s="2080"/>
      <c r="F201" s="2080"/>
      <c r="G201" s="2080"/>
      <c r="H201" s="2080"/>
      <c r="I201" s="2080"/>
      <c r="J201" s="2141"/>
    </row>
    <row r="202" s="2075" customFormat="1" spans="1:10">
      <c r="A202" s="2103"/>
      <c r="B202" s="2080"/>
      <c r="C202" s="2080"/>
      <c r="D202" s="2080"/>
      <c r="E202" s="2080"/>
      <c r="F202" s="2080"/>
      <c r="G202" s="2080"/>
      <c r="H202" s="2080"/>
      <c r="I202" s="2080"/>
      <c r="J202" s="2141"/>
    </row>
    <row r="203" s="2075" customFormat="1" spans="1:10">
      <c r="A203" s="2081" t="s">
        <v>431</v>
      </c>
      <c r="B203" s="2080"/>
      <c r="C203" s="2080"/>
      <c r="D203" s="2080"/>
      <c r="E203" s="2080"/>
      <c r="F203" s="2080"/>
      <c r="G203" s="2080"/>
      <c r="H203" s="2080"/>
      <c r="I203" s="2080"/>
      <c r="J203" s="2141"/>
    </row>
    <row r="204" s="2075" customFormat="1" spans="1:10">
      <c r="A204" s="2082" t="s">
        <v>432</v>
      </c>
      <c r="B204" s="2082" t="s">
        <v>315</v>
      </c>
      <c r="C204" s="2082" t="s">
        <v>316</v>
      </c>
      <c r="D204" s="2108" t="s">
        <v>420</v>
      </c>
      <c r="E204" s="2108" t="s">
        <v>421</v>
      </c>
      <c r="F204" s="2108" t="s">
        <v>422</v>
      </c>
      <c r="G204" s="2080"/>
      <c r="H204" s="2080"/>
      <c r="I204" s="2080"/>
      <c r="J204" s="2141"/>
    </row>
    <row r="205" s="2075" customFormat="1" spans="1:10">
      <c r="A205" s="2129" t="s">
        <v>433</v>
      </c>
      <c r="B205" s="2082"/>
      <c r="C205" s="2082"/>
      <c r="D205" s="2124"/>
      <c r="E205" s="2108"/>
      <c r="F205" s="2082"/>
      <c r="G205" s="2080"/>
      <c r="H205" s="2080"/>
      <c r="I205" s="2080"/>
      <c r="J205" s="2141"/>
    </row>
    <row r="206" s="2075" customFormat="1" spans="1:10">
      <c r="A206" s="2092"/>
      <c r="B206" s="2085"/>
      <c r="C206" s="2085"/>
      <c r="D206" s="2092"/>
      <c r="E206" s="2092"/>
      <c r="F206" s="2085"/>
      <c r="G206" s="2080"/>
      <c r="H206" s="2080"/>
      <c r="I206" s="2080"/>
      <c r="J206" s="2118" t="s">
        <v>434</v>
      </c>
    </row>
    <row r="207" s="2075" customFormat="1" spans="1:10">
      <c r="A207" s="2092"/>
      <c r="B207" s="2085"/>
      <c r="C207" s="2085"/>
      <c r="D207" s="2092"/>
      <c r="E207" s="2092"/>
      <c r="F207" s="2085"/>
      <c r="G207" s="2080"/>
      <c r="H207" s="2080"/>
      <c r="I207" s="2080"/>
      <c r="J207" s="2118" t="s">
        <v>434</v>
      </c>
    </row>
    <row r="208" s="2075" customFormat="1" spans="1:10">
      <c r="A208" s="2092"/>
      <c r="B208" s="2085"/>
      <c r="C208" s="2085"/>
      <c r="D208" s="2092"/>
      <c r="E208" s="2092"/>
      <c r="F208" s="2085"/>
      <c r="G208" s="2080"/>
      <c r="H208" s="2080"/>
      <c r="I208" s="2080"/>
      <c r="J208" s="2118" t="s">
        <v>434</v>
      </c>
    </row>
    <row r="209" s="2075" customFormat="1" spans="1:10">
      <c r="A209" s="2092"/>
      <c r="B209" s="2085"/>
      <c r="C209" s="2085"/>
      <c r="D209" s="2092"/>
      <c r="E209" s="2092"/>
      <c r="F209" s="2085"/>
      <c r="G209" s="2080"/>
      <c r="H209" s="2080"/>
      <c r="I209" s="2080"/>
      <c r="J209" s="2118" t="s">
        <v>434</v>
      </c>
    </row>
    <row r="210" s="2075" customFormat="1" spans="1:10">
      <c r="A210" s="2092"/>
      <c r="B210" s="2085"/>
      <c r="C210" s="2085"/>
      <c r="D210" s="2092"/>
      <c r="E210" s="2092"/>
      <c r="F210" s="2085"/>
      <c r="G210" s="2080"/>
      <c r="H210" s="2080"/>
      <c r="I210" s="2080"/>
      <c r="J210" s="2118" t="s">
        <v>434</v>
      </c>
    </row>
    <row r="211" s="2075" customFormat="1" spans="1:10">
      <c r="A211" s="2092"/>
      <c r="B211" s="2085"/>
      <c r="C211" s="2085"/>
      <c r="D211" s="2092"/>
      <c r="E211" s="2092"/>
      <c r="F211" s="2085"/>
      <c r="G211" s="2080"/>
      <c r="H211" s="2080"/>
      <c r="I211" s="2080"/>
      <c r="J211" s="2118" t="s">
        <v>434</v>
      </c>
    </row>
    <row r="212" s="2075" customFormat="1" spans="1:10">
      <c r="A212" s="2092"/>
      <c r="B212" s="2085"/>
      <c r="C212" s="2085"/>
      <c r="D212" s="2092"/>
      <c r="E212" s="2092"/>
      <c r="F212" s="2085"/>
      <c r="G212" s="2080"/>
      <c r="H212" s="2080"/>
      <c r="I212" s="2080"/>
      <c r="J212" s="2118" t="s">
        <v>434</v>
      </c>
    </row>
    <row r="213" s="2075" customFormat="1" spans="1:10">
      <c r="A213" s="2092"/>
      <c r="B213" s="2085"/>
      <c r="C213" s="2085"/>
      <c r="D213" s="2092"/>
      <c r="E213" s="2092"/>
      <c r="F213" s="2085"/>
      <c r="G213" s="2080"/>
      <c r="H213" s="2080"/>
      <c r="I213" s="2080"/>
      <c r="J213" s="2118" t="s">
        <v>434</v>
      </c>
    </row>
    <row r="214" s="2075" customFormat="1" spans="1:10">
      <c r="A214" s="2092"/>
      <c r="B214" s="2085"/>
      <c r="C214" s="2085"/>
      <c r="D214" s="2092"/>
      <c r="E214" s="2092"/>
      <c r="F214" s="2085"/>
      <c r="G214" s="2080"/>
      <c r="H214" s="2080"/>
      <c r="I214" s="2080"/>
      <c r="J214" s="2118" t="s">
        <v>434</v>
      </c>
    </row>
    <row r="215" s="2075" customFormat="1" spans="1:10">
      <c r="A215" s="2092"/>
      <c r="B215" s="2085"/>
      <c r="C215" s="2085"/>
      <c r="D215" s="2092"/>
      <c r="E215" s="2092"/>
      <c r="F215" s="2085"/>
      <c r="G215" s="2080"/>
      <c r="H215" s="2080"/>
      <c r="I215" s="2080"/>
      <c r="J215" s="2118" t="s">
        <v>434</v>
      </c>
    </row>
    <row r="216" s="2075" customFormat="1" spans="1:10">
      <c r="A216" s="2082" t="s">
        <v>425</v>
      </c>
      <c r="B216" s="2048">
        <f>ROUND(SUM(B206:B215),2)</f>
        <v>0</v>
      </c>
      <c r="C216" s="2048">
        <f>ROUND(SUM(C206:C215),2)</f>
        <v>0</v>
      </c>
      <c r="D216" s="2098"/>
      <c r="E216" s="2048"/>
      <c r="F216" s="2048">
        <f>ROUND(SUM(F206:F215),2)</f>
        <v>0</v>
      </c>
      <c r="G216" s="2080"/>
      <c r="H216" s="2080"/>
      <c r="I216" s="2080"/>
      <c r="J216" s="2118" t="s">
        <v>435</v>
      </c>
    </row>
    <row r="217" s="2075" customFormat="1" spans="1:10">
      <c r="A217" s="2087"/>
      <c r="B217" s="2098"/>
      <c r="C217" s="2098"/>
      <c r="D217" s="2098"/>
      <c r="E217" s="2098"/>
      <c r="F217" s="2098"/>
      <c r="G217" s="2080"/>
      <c r="H217" s="2080"/>
      <c r="I217" s="2080"/>
      <c r="J217" s="2141"/>
    </row>
    <row r="218" s="2075" customFormat="1" spans="1:10">
      <c r="A218" s="2129" t="s">
        <v>436</v>
      </c>
      <c r="B218" s="2082"/>
      <c r="C218" s="2082"/>
      <c r="D218" s="2124"/>
      <c r="E218" s="2108"/>
      <c r="F218" s="2124"/>
      <c r="G218" s="2080"/>
      <c r="H218" s="2080"/>
      <c r="I218" s="2080"/>
      <c r="J218" s="2141"/>
    </row>
    <row r="219" s="2075" customFormat="1" spans="1:10">
      <c r="A219" s="2092"/>
      <c r="B219" s="2085"/>
      <c r="C219" s="2085"/>
      <c r="D219" s="2092"/>
      <c r="E219" s="2092"/>
      <c r="F219" s="2085"/>
      <c r="G219" s="2080"/>
      <c r="H219" s="2080"/>
      <c r="I219" s="2080"/>
      <c r="J219" s="2118" t="s">
        <v>437</v>
      </c>
    </row>
    <row r="220" s="2075" customFormat="1" spans="1:10">
      <c r="A220" s="2092"/>
      <c r="B220" s="2085"/>
      <c r="C220" s="2085"/>
      <c r="D220" s="2092"/>
      <c r="E220" s="2092"/>
      <c r="F220" s="2085"/>
      <c r="G220" s="2080"/>
      <c r="H220" s="2080"/>
      <c r="I220" s="2080"/>
      <c r="J220" s="2118" t="s">
        <v>437</v>
      </c>
    </row>
    <row r="221" s="2075" customFormat="1" spans="1:10">
      <c r="A221" s="2092"/>
      <c r="B221" s="2085"/>
      <c r="C221" s="2085"/>
      <c r="D221" s="2092"/>
      <c r="E221" s="2092"/>
      <c r="F221" s="2085"/>
      <c r="G221" s="2080"/>
      <c r="H221" s="2080"/>
      <c r="I221" s="2080"/>
      <c r="J221" s="2118" t="s">
        <v>437</v>
      </c>
    </row>
    <row r="222" s="2075" customFormat="1" spans="1:10">
      <c r="A222" s="2092"/>
      <c r="B222" s="2085"/>
      <c r="C222" s="2085"/>
      <c r="D222" s="2092"/>
      <c r="E222" s="2092"/>
      <c r="F222" s="2085"/>
      <c r="G222" s="2080"/>
      <c r="H222" s="2080"/>
      <c r="I222" s="2080"/>
      <c r="J222" s="2118" t="s">
        <v>437</v>
      </c>
    </row>
    <row r="223" s="2075" customFormat="1" spans="1:10">
      <c r="A223" s="2092"/>
      <c r="B223" s="2085"/>
      <c r="C223" s="2085"/>
      <c r="D223" s="2092"/>
      <c r="E223" s="2092"/>
      <c r="F223" s="2085"/>
      <c r="G223" s="2080"/>
      <c r="H223" s="2080"/>
      <c r="I223" s="2080"/>
      <c r="J223" s="2118" t="s">
        <v>437</v>
      </c>
    </row>
    <row r="224" s="2075" customFormat="1" spans="1:10">
      <c r="A224" s="2092"/>
      <c r="B224" s="2085"/>
      <c r="C224" s="2085"/>
      <c r="D224" s="2092"/>
      <c r="E224" s="2092"/>
      <c r="F224" s="2085"/>
      <c r="G224" s="2080"/>
      <c r="H224" s="2080"/>
      <c r="I224" s="2080"/>
      <c r="J224" s="2118" t="s">
        <v>437</v>
      </c>
    </row>
    <row r="225" s="2075" customFormat="1" spans="1:10">
      <c r="A225" s="2092"/>
      <c r="B225" s="2085"/>
      <c r="C225" s="2085"/>
      <c r="D225" s="2092"/>
      <c r="E225" s="2092"/>
      <c r="F225" s="2085"/>
      <c r="G225" s="2080"/>
      <c r="H225" s="2080"/>
      <c r="I225" s="2080"/>
      <c r="J225" s="2118" t="s">
        <v>437</v>
      </c>
    </row>
    <row r="226" s="2075" customFormat="1" spans="1:10">
      <c r="A226" s="2092"/>
      <c r="B226" s="2085"/>
      <c r="C226" s="2085"/>
      <c r="D226" s="2092"/>
      <c r="E226" s="2092"/>
      <c r="F226" s="2085"/>
      <c r="G226" s="2080"/>
      <c r="H226" s="2080"/>
      <c r="I226" s="2080"/>
      <c r="J226" s="2118" t="s">
        <v>437</v>
      </c>
    </row>
    <row r="227" s="2075" customFormat="1" spans="1:10">
      <c r="A227" s="2092"/>
      <c r="B227" s="2085"/>
      <c r="C227" s="2085"/>
      <c r="D227" s="2092"/>
      <c r="E227" s="2092"/>
      <c r="F227" s="2085"/>
      <c r="G227" s="2080"/>
      <c r="H227" s="2080"/>
      <c r="I227" s="2080"/>
      <c r="J227" s="2118" t="s">
        <v>437</v>
      </c>
    </row>
    <row r="228" s="2075" customFormat="1" spans="1:10">
      <c r="A228" s="2092"/>
      <c r="B228" s="2085"/>
      <c r="C228" s="2085"/>
      <c r="D228" s="2092"/>
      <c r="E228" s="2092"/>
      <c r="F228" s="2085"/>
      <c r="G228" s="2080"/>
      <c r="H228" s="2080"/>
      <c r="I228" s="2080"/>
      <c r="J228" s="2118" t="s">
        <v>437</v>
      </c>
    </row>
    <row r="229" s="2075" customFormat="1" spans="1:10">
      <c r="A229" s="2082" t="s">
        <v>425</v>
      </c>
      <c r="B229" s="2048">
        <f>ROUND(SUM(B219:B228),2)</f>
        <v>0</v>
      </c>
      <c r="C229" s="2048">
        <f>ROUND(SUM(C219:C228),2)</f>
        <v>0</v>
      </c>
      <c r="D229" s="2098"/>
      <c r="E229" s="2048"/>
      <c r="F229" s="2048">
        <f>ROUND(SUM(F219:F228),2)</f>
        <v>0</v>
      </c>
      <c r="G229" s="2080"/>
      <c r="H229" s="2080"/>
      <c r="I229" s="2080"/>
      <c r="J229" s="2118" t="s">
        <v>438</v>
      </c>
    </row>
    <row r="230" s="2075" customFormat="1" spans="1:10">
      <c r="A230" s="2087"/>
      <c r="B230" s="2098"/>
      <c r="C230" s="2098"/>
      <c r="D230" s="2098"/>
      <c r="E230" s="2098"/>
      <c r="F230" s="2098"/>
      <c r="G230" s="2080"/>
      <c r="H230" s="2080"/>
      <c r="I230" s="2080"/>
      <c r="J230" s="2141"/>
    </row>
    <row r="231" s="2075" customFormat="1" spans="1:10">
      <c r="A231" s="2082" t="s">
        <v>346</v>
      </c>
      <c r="B231" s="2048">
        <f>ROUND(B216+B229,2)</f>
        <v>0</v>
      </c>
      <c r="C231" s="2048">
        <f>ROUND(C216+C229,2)</f>
        <v>0</v>
      </c>
      <c r="D231" s="2098"/>
      <c r="E231" s="2048"/>
      <c r="F231" s="2048">
        <f>ROUND(F216+F229,2)</f>
        <v>0</v>
      </c>
      <c r="G231" s="2080"/>
      <c r="H231" s="2080"/>
      <c r="I231" s="2080"/>
      <c r="J231" s="2118" t="s">
        <v>439</v>
      </c>
    </row>
    <row r="232" s="2075" customFormat="1" spans="1:10">
      <c r="A232" s="2103"/>
      <c r="B232" s="2080"/>
      <c r="C232" s="2080"/>
      <c r="D232" s="2080"/>
      <c r="E232" s="2080"/>
      <c r="F232" s="2080"/>
      <c r="G232" s="2080"/>
      <c r="H232" s="2080"/>
      <c r="I232" s="2080"/>
      <c r="J232" s="2141"/>
    </row>
    <row r="233" s="2075" customFormat="1" spans="1:10">
      <c r="A233" s="2103"/>
      <c r="B233" s="2080"/>
      <c r="C233" s="2080"/>
      <c r="D233" s="2080"/>
      <c r="E233" s="2080"/>
      <c r="F233" s="2080"/>
      <c r="G233" s="2080"/>
      <c r="H233" s="2080"/>
      <c r="I233" s="2080"/>
      <c r="J233" s="2141"/>
    </row>
    <row r="234" s="2075" customFormat="1" spans="1:10">
      <c r="A234" s="2079" t="s">
        <v>440</v>
      </c>
      <c r="B234" s="2080"/>
      <c r="C234" s="2080"/>
      <c r="D234" s="2080"/>
      <c r="E234" s="2080"/>
      <c r="F234" s="2080"/>
      <c r="G234" s="2080"/>
      <c r="H234" s="2080"/>
      <c r="I234" s="2080"/>
      <c r="J234" s="2141"/>
    </row>
    <row r="235" s="2075" customFormat="1" spans="1:10">
      <c r="A235" s="2081" t="s">
        <v>441</v>
      </c>
      <c r="B235" s="2080"/>
      <c r="C235" s="2080"/>
      <c r="D235" s="2080"/>
      <c r="E235" s="2080"/>
      <c r="F235" s="2080"/>
      <c r="G235" s="2080"/>
      <c r="H235" s="2080"/>
      <c r="I235" s="2080"/>
      <c r="J235" s="2141"/>
    </row>
    <row r="236" s="2075" customFormat="1" spans="1:10">
      <c r="A236" s="2082" t="s">
        <v>442</v>
      </c>
      <c r="B236" s="2114" t="s">
        <v>315</v>
      </c>
      <c r="C236" s="2154"/>
      <c r="D236" s="2154"/>
      <c r="E236" s="2155"/>
      <c r="F236" s="2114" t="s">
        <v>316</v>
      </c>
      <c r="G236" s="2154"/>
      <c r="H236" s="2154"/>
      <c r="I236" s="2155"/>
      <c r="J236" s="2141"/>
    </row>
    <row r="237" s="2075" customFormat="1" spans="1:10">
      <c r="A237" s="2082"/>
      <c r="B237" s="2082" t="s">
        <v>443</v>
      </c>
      <c r="C237" s="2082" t="s">
        <v>444</v>
      </c>
      <c r="D237" s="2108" t="s">
        <v>445</v>
      </c>
      <c r="E237" s="2082" t="s">
        <v>446</v>
      </c>
      <c r="F237" s="2082" t="s">
        <v>443</v>
      </c>
      <c r="G237" s="2082" t="s">
        <v>444</v>
      </c>
      <c r="H237" s="2108" t="s">
        <v>445</v>
      </c>
      <c r="I237" s="2082" t="s">
        <v>446</v>
      </c>
      <c r="J237" s="2141"/>
    </row>
    <row r="238" s="2075" customFormat="1" spans="1:10">
      <c r="A238" s="2087" t="s">
        <v>447</v>
      </c>
      <c r="B238" s="2085"/>
      <c r="C238" s="2117">
        <f>IF(B238=0,0,1-C239-C240-C241-C242-C243)</f>
        <v>0</v>
      </c>
      <c r="D238" s="2085"/>
      <c r="E238" s="2117">
        <f t="shared" ref="E238:E244" si="0">IF(B238=0,0,ROUND(D238/B238,4))</f>
        <v>0</v>
      </c>
      <c r="F238" s="2085"/>
      <c r="G238" s="2117">
        <f>IF(F238=0,0,1-G239-G240-G241-G242-G243)</f>
        <v>0</v>
      </c>
      <c r="H238" s="2085"/>
      <c r="I238" s="2117">
        <f t="shared" ref="I238:I244" si="1">IF(F238=0,0,ROUND(H238/F238,4))</f>
        <v>0</v>
      </c>
      <c r="J238" s="2118" t="s">
        <v>448</v>
      </c>
    </row>
    <row r="239" s="2075" customFormat="1" spans="1:10">
      <c r="A239" s="2087" t="s">
        <v>449</v>
      </c>
      <c r="B239" s="2085"/>
      <c r="C239" s="2117">
        <f>IF(B239=0,0,IF(B238=0,ROUND(1-C240-C241-C242-C243,4),ROUND(B239/B244,4)))</f>
        <v>0</v>
      </c>
      <c r="D239" s="2085"/>
      <c r="E239" s="2117">
        <f t="shared" si="0"/>
        <v>0</v>
      </c>
      <c r="F239" s="2085"/>
      <c r="G239" s="2117">
        <f>IF(F239=0,0,IF(F238=0,ROUND(1-G240-G241-G242-G243,4),ROUND(F239/F244,4)))</f>
        <v>0</v>
      </c>
      <c r="H239" s="2085"/>
      <c r="I239" s="2117">
        <f t="shared" si="1"/>
        <v>0</v>
      </c>
      <c r="J239" s="2118" t="s">
        <v>450</v>
      </c>
    </row>
    <row r="240" s="2075" customFormat="1" spans="1:10">
      <c r="A240" s="2087" t="s">
        <v>451</v>
      </c>
      <c r="B240" s="2085"/>
      <c r="C240" s="2117">
        <f>IF(B240=0,0,IF(AND(B238=0,B239=0),ROUND(1-C241-C242-C243,4),ROUND(B240/B244,4)))</f>
        <v>0</v>
      </c>
      <c r="D240" s="2085"/>
      <c r="E240" s="2117">
        <f t="shared" si="0"/>
        <v>0</v>
      </c>
      <c r="F240" s="2085"/>
      <c r="G240" s="2117">
        <f>IF(F240=0,0,IF(AND(F238=0,F239=0),ROUND(1-G241-G242-G243,4),ROUND(F240/F244,4)))</f>
        <v>0</v>
      </c>
      <c r="H240" s="2085"/>
      <c r="I240" s="2117">
        <f t="shared" si="1"/>
        <v>0</v>
      </c>
      <c r="J240" s="2118" t="s">
        <v>452</v>
      </c>
    </row>
    <row r="241" s="2075" customFormat="1" spans="1:10">
      <c r="A241" s="2087" t="s">
        <v>453</v>
      </c>
      <c r="B241" s="2085"/>
      <c r="C241" s="2117">
        <f>IF(B241=0,0,IF(AND(B238=0,B239=0,B240=0),ROUND(1-C242-C243,4),ROUND(B241/B244,4)))</f>
        <v>0</v>
      </c>
      <c r="D241" s="2085"/>
      <c r="E241" s="2117">
        <f t="shared" si="0"/>
        <v>0</v>
      </c>
      <c r="F241" s="2085"/>
      <c r="G241" s="2117">
        <f>IF(F241=0,0,IF(AND(F238=0,F239=0,F240=0),ROUND(1-G242-G243,4),ROUND(F241/F244,4)))</f>
        <v>0</v>
      </c>
      <c r="H241" s="2085"/>
      <c r="I241" s="2117">
        <f t="shared" si="1"/>
        <v>0</v>
      </c>
      <c r="J241" s="2118" t="s">
        <v>454</v>
      </c>
    </row>
    <row r="242" s="2075" customFormat="1" spans="1:10">
      <c r="A242" s="2087" t="s">
        <v>455</v>
      </c>
      <c r="B242" s="2085"/>
      <c r="C242" s="2117">
        <f>IF(B242=0,0,IF(AND(B238=0,B239=0,B240=0,B241=0),ROUND(1-C243,4),ROUND(B242/B244,4)))</f>
        <v>0</v>
      </c>
      <c r="D242" s="2085"/>
      <c r="E242" s="2117">
        <f t="shared" si="0"/>
        <v>0</v>
      </c>
      <c r="F242" s="2085"/>
      <c r="G242" s="2117">
        <f>IF(F242=0,0,IF(AND(F238=0,F239=0,F240=0,F241=0),ROUND(1-G243,4),ROUND(F242/F244,4)))</f>
        <v>0</v>
      </c>
      <c r="H242" s="2085"/>
      <c r="I242" s="2117">
        <f t="shared" si="1"/>
        <v>0</v>
      </c>
      <c r="J242" s="2118" t="s">
        <v>456</v>
      </c>
    </row>
    <row r="243" s="2075" customFormat="1" spans="1:10">
      <c r="A243" s="2087" t="s">
        <v>457</v>
      </c>
      <c r="B243" s="2085"/>
      <c r="C243" s="2117">
        <f>IF(B243=0,0,ROUND(B243/B244,4))</f>
        <v>0</v>
      </c>
      <c r="D243" s="2085"/>
      <c r="E243" s="2117">
        <f t="shared" si="0"/>
        <v>0</v>
      </c>
      <c r="F243" s="2085"/>
      <c r="G243" s="2117">
        <f>IF(F243=0,0,ROUND(F243/F244,4))</f>
        <v>0</v>
      </c>
      <c r="H243" s="2085"/>
      <c r="I243" s="2117">
        <f t="shared" si="1"/>
        <v>0</v>
      </c>
      <c r="J243" s="2118" t="s">
        <v>458</v>
      </c>
    </row>
    <row r="244" s="2075" customFormat="1" spans="1:10">
      <c r="A244" s="2082" t="s">
        <v>384</v>
      </c>
      <c r="B244" s="2048">
        <f>ROUND(SUM(B238:B243),2)</f>
        <v>0</v>
      </c>
      <c r="C244" s="2093">
        <f>IF(B244=0,0,1)</f>
        <v>0</v>
      </c>
      <c r="D244" s="2048">
        <f>ROUND(SUM(D238:D243),2)</f>
        <v>0</v>
      </c>
      <c r="E244" s="2093">
        <f t="shared" si="0"/>
        <v>0</v>
      </c>
      <c r="F244" s="2048">
        <f>ROUND(SUM(F238:F243),2)</f>
        <v>0</v>
      </c>
      <c r="G244" s="2093">
        <f>IF(F244=0,0,1)</f>
        <v>0</v>
      </c>
      <c r="H244" s="2048">
        <f>ROUND(SUM(H238:H243),2)</f>
        <v>0</v>
      </c>
      <c r="I244" s="2093">
        <f t="shared" si="1"/>
        <v>0</v>
      </c>
      <c r="J244" s="2118" t="s">
        <v>459</v>
      </c>
    </row>
    <row r="245" s="2075" customFormat="1" spans="1:10">
      <c r="A245" s="2103"/>
      <c r="B245" s="2080"/>
      <c r="C245" s="2080"/>
      <c r="D245" s="2080"/>
      <c r="E245" s="2080"/>
      <c r="F245" s="2080"/>
      <c r="G245" s="2080"/>
      <c r="H245" s="2080"/>
      <c r="I245" s="2080"/>
      <c r="J245" s="2141"/>
    </row>
    <row r="246" s="2075" customFormat="1" spans="1:10">
      <c r="A246" s="2081" t="s">
        <v>460</v>
      </c>
      <c r="B246" s="2080"/>
      <c r="C246" s="2080"/>
      <c r="D246" s="2080"/>
      <c r="E246" s="2080"/>
      <c r="F246" s="2080"/>
      <c r="G246" s="2080"/>
      <c r="H246" s="2080"/>
      <c r="I246" s="2080"/>
      <c r="J246" s="2141"/>
    </row>
    <row r="247" s="2075" customFormat="1" spans="1:10">
      <c r="A247" s="2089" t="s">
        <v>372</v>
      </c>
      <c r="B247" s="2114" t="s">
        <v>315</v>
      </c>
      <c r="C247" s="2154"/>
      <c r="D247" s="2154"/>
      <c r="E247" s="2155"/>
      <c r="F247" s="2114" t="s">
        <v>316</v>
      </c>
      <c r="G247" s="2154"/>
      <c r="H247" s="2154"/>
      <c r="I247" s="2155"/>
      <c r="J247" s="2141"/>
    </row>
    <row r="248" s="2075" customFormat="1" spans="1:10">
      <c r="A248" s="2090"/>
      <c r="B248" s="2082" t="s">
        <v>443</v>
      </c>
      <c r="C248" s="2082" t="s">
        <v>444</v>
      </c>
      <c r="D248" s="2108" t="s">
        <v>445</v>
      </c>
      <c r="E248" s="2082" t="s">
        <v>446</v>
      </c>
      <c r="F248" s="2082" t="s">
        <v>443</v>
      </c>
      <c r="G248" s="2082" t="s">
        <v>444</v>
      </c>
      <c r="H248" s="2108" t="s">
        <v>445</v>
      </c>
      <c r="I248" s="2082" t="s">
        <v>446</v>
      </c>
      <c r="J248" s="2141"/>
    </row>
    <row r="249" s="2075" customFormat="1" spans="1:10">
      <c r="A249" s="2084" t="s">
        <v>461</v>
      </c>
      <c r="B249" s="2085"/>
      <c r="C249" s="2117">
        <f>IF(B249=0,0,1-C250-C251)</f>
        <v>0</v>
      </c>
      <c r="D249" s="2085"/>
      <c r="E249" s="2117">
        <f>IF(B249=0,0,ROUND(D249/B249,4))</f>
        <v>0</v>
      </c>
      <c r="F249" s="2085"/>
      <c r="G249" s="2117">
        <f>IF(F249=0,0,1-G250-G251)</f>
        <v>0</v>
      </c>
      <c r="H249" s="2085"/>
      <c r="I249" s="2117">
        <f>IF(F249=0,0,ROUND(H249/F249,4))</f>
        <v>0</v>
      </c>
      <c r="J249" s="2118" t="s">
        <v>462</v>
      </c>
    </row>
    <row r="250" s="2075" customFormat="1" spans="1:10">
      <c r="A250" s="2084" t="s">
        <v>463</v>
      </c>
      <c r="B250" s="2085"/>
      <c r="C250" s="2117">
        <f>IF(B250=0,0,IF(B249=0,ROUND(1-C251,4),ROUND(B250/B$252,4)))</f>
        <v>0</v>
      </c>
      <c r="D250" s="2085"/>
      <c r="E250" s="2117">
        <f>IF(B250=0,0,ROUND(D250/B250,4))</f>
        <v>0</v>
      </c>
      <c r="F250" s="2085"/>
      <c r="G250" s="2117">
        <f>IF(F250=0,0,IF(F249=0,ROUND(1-G251,4),ROUND(F250/F$252,4)))</f>
        <v>0</v>
      </c>
      <c r="H250" s="2085"/>
      <c r="I250" s="2117">
        <f>IF(F250=0,0,ROUND(H250/F250,4))</f>
        <v>0</v>
      </c>
      <c r="J250" s="2118" t="s">
        <v>464</v>
      </c>
    </row>
    <row r="251" s="2075" customFormat="1" spans="1:10">
      <c r="A251" s="2084" t="s">
        <v>465</v>
      </c>
      <c r="B251" s="2120">
        <f>ROUND(B252-B249-B250,2)</f>
        <v>0</v>
      </c>
      <c r="C251" s="2117">
        <f>IF(B251=0,0,ROUND(B251/B$252,4))</f>
        <v>0</v>
      </c>
      <c r="D251" s="2120">
        <f>ROUND(D252-D249-D250,2)</f>
        <v>0</v>
      </c>
      <c r="E251" s="2117">
        <f>IF(B251=0,0,ROUND(D251/B251,4))</f>
        <v>0</v>
      </c>
      <c r="F251" s="2120">
        <f>ROUND(F252-F249-F250,2)</f>
        <v>0</v>
      </c>
      <c r="G251" s="2117">
        <f>IF(F251=0,0,ROUND(F251/F$252,4))</f>
        <v>0</v>
      </c>
      <c r="H251" s="2120">
        <f>ROUND(H252-H249-H250,2)</f>
        <v>0</v>
      </c>
      <c r="I251" s="2117">
        <f>IF(F251=0,0,ROUND(H251/F251,4))</f>
        <v>0</v>
      </c>
      <c r="J251" s="2118" t="s">
        <v>466</v>
      </c>
    </row>
    <row r="252" s="2075" customFormat="1" spans="1:10">
      <c r="A252" s="2082" t="s">
        <v>384</v>
      </c>
      <c r="B252" s="2048">
        <f>B244</f>
        <v>0</v>
      </c>
      <c r="C252" s="2093">
        <f>IF(B252=0,0,1)</f>
        <v>0</v>
      </c>
      <c r="D252" s="2048">
        <f>D244</f>
        <v>0</v>
      </c>
      <c r="E252" s="2093">
        <f>IF(B252=0,0,ROUND(D252/B252,4))</f>
        <v>0</v>
      </c>
      <c r="F252" s="2048">
        <f>F244</f>
        <v>0</v>
      </c>
      <c r="G252" s="2093">
        <f>IF(F252=0,0,1)</f>
        <v>0</v>
      </c>
      <c r="H252" s="2048">
        <f>H244</f>
        <v>0</v>
      </c>
      <c r="I252" s="2093">
        <f>IF(F252=0,0,ROUND(H252/F252,4))</f>
        <v>0</v>
      </c>
      <c r="J252" s="2118" t="s">
        <v>467</v>
      </c>
    </row>
    <row r="253" s="2075" customFormat="1" spans="1:10">
      <c r="A253" s="2103"/>
      <c r="B253" s="2080"/>
      <c r="C253" s="2080"/>
      <c r="D253" s="2080"/>
      <c r="E253" s="2080"/>
      <c r="F253" s="2080"/>
      <c r="G253" s="2080"/>
      <c r="H253" s="2080"/>
      <c r="I253" s="2080"/>
      <c r="J253" s="2141"/>
    </row>
    <row r="254" s="2075" customFormat="1" spans="1:10">
      <c r="A254" s="2081" t="s">
        <v>468</v>
      </c>
      <c r="B254" s="2080"/>
      <c r="C254" s="2080"/>
      <c r="D254" s="2080"/>
      <c r="E254" s="2080"/>
      <c r="F254" s="2080"/>
      <c r="G254" s="2080"/>
      <c r="H254" s="2080"/>
      <c r="I254" s="2080"/>
      <c r="J254" s="2141"/>
    </row>
    <row r="255" s="2075" customFormat="1" spans="1:10">
      <c r="A255" s="2082" t="s">
        <v>469</v>
      </c>
      <c r="B255" s="2082" t="s">
        <v>315</v>
      </c>
      <c r="C255" s="2082" t="s">
        <v>470</v>
      </c>
      <c r="D255" s="2082" t="s">
        <v>446</v>
      </c>
      <c r="E255" s="2082" t="s">
        <v>471</v>
      </c>
      <c r="F255" s="2080"/>
      <c r="G255" s="2080"/>
      <c r="H255" s="2080"/>
      <c r="I255" s="2080"/>
      <c r="J255" s="2141"/>
    </row>
    <row r="256" s="2075" customFormat="1" spans="1:10">
      <c r="A256" s="2092"/>
      <c r="B256" s="2085"/>
      <c r="C256" s="2085"/>
      <c r="D256" s="2117">
        <f>IF(B256=0,0,ROUND(C256/B256,4))</f>
        <v>0</v>
      </c>
      <c r="E256" s="2092"/>
      <c r="F256" s="2080"/>
      <c r="G256" s="2080"/>
      <c r="H256" s="2080"/>
      <c r="I256" s="2080"/>
      <c r="J256" s="2118" t="s">
        <v>472</v>
      </c>
    </row>
    <row r="257" s="2075" customFormat="1" spans="1:10">
      <c r="A257" s="2092"/>
      <c r="B257" s="2085"/>
      <c r="C257" s="2085"/>
      <c r="D257" s="2117">
        <f t="shared" ref="D257:D266" si="2">IF(B257=0,0,ROUND(C257/B257,4))</f>
        <v>0</v>
      </c>
      <c r="E257" s="2092"/>
      <c r="F257" s="2080"/>
      <c r="G257" s="2080"/>
      <c r="H257" s="2080"/>
      <c r="I257" s="2080"/>
      <c r="J257" s="2118" t="s">
        <v>472</v>
      </c>
    </row>
    <row r="258" s="2075" customFormat="1" spans="1:10">
      <c r="A258" s="2092"/>
      <c r="B258" s="2085"/>
      <c r="C258" s="2085"/>
      <c r="D258" s="2117">
        <f t="shared" si="2"/>
        <v>0</v>
      </c>
      <c r="E258" s="2092"/>
      <c r="F258" s="2080"/>
      <c r="G258" s="2080"/>
      <c r="H258" s="2080"/>
      <c r="I258" s="2080"/>
      <c r="J258" s="2118" t="s">
        <v>472</v>
      </c>
    </row>
    <row r="259" s="2075" customFormat="1" spans="1:10">
      <c r="A259" s="2092"/>
      <c r="B259" s="2085"/>
      <c r="C259" s="2085"/>
      <c r="D259" s="2117">
        <f t="shared" si="2"/>
        <v>0</v>
      </c>
      <c r="E259" s="2092"/>
      <c r="F259" s="2080"/>
      <c r="G259" s="2080"/>
      <c r="H259" s="2080"/>
      <c r="I259" s="2080"/>
      <c r="J259" s="2118" t="s">
        <v>472</v>
      </c>
    </row>
    <row r="260" s="2075" customFormat="1" spans="1:10">
      <c r="A260" s="2092"/>
      <c r="B260" s="2085"/>
      <c r="C260" s="2085"/>
      <c r="D260" s="2117">
        <f t="shared" si="2"/>
        <v>0</v>
      </c>
      <c r="E260" s="2092"/>
      <c r="F260" s="2080"/>
      <c r="G260" s="2080"/>
      <c r="H260" s="2080"/>
      <c r="I260" s="2080"/>
      <c r="J260" s="2118" t="s">
        <v>472</v>
      </c>
    </row>
    <row r="261" s="2075" customFormat="1" spans="1:10">
      <c r="A261" s="2092"/>
      <c r="B261" s="2085"/>
      <c r="C261" s="2085"/>
      <c r="D261" s="2117">
        <f t="shared" si="2"/>
        <v>0</v>
      </c>
      <c r="E261" s="2092"/>
      <c r="F261" s="2080"/>
      <c r="G261" s="2080"/>
      <c r="H261" s="2080"/>
      <c r="I261" s="2080"/>
      <c r="J261" s="2118" t="s">
        <v>472</v>
      </c>
    </row>
    <row r="262" s="2075" customFormat="1" spans="1:10">
      <c r="A262" s="2092"/>
      <c r="B262" s="2085"/>
      <c r="C262" s="2085"/>
      <c r="D262" s="2117">
        <f t="shared" si="2"/>
        <v>0</v>
      </c>
      <c r="E262" s="2092"/>
      <c r="F262" s="2080"/>
      <c r="G262" s="2080"/>
      <c r="H262" s="2080"/>
      <c r="I262" s="2080"/>
      <c r="J262" s="2118" t="s">
        <v>472</v>
      </c>
    </row>
    <row r="263" s="2075" customFormat="1" spans="1:10">
      <c r="A263" s="2092"/>
      <c r="B263" s="2085"/>
      <c r="C263" s="2085"/>
      <c r="D263" s="2117">
        <f t="shared" si="2"/>
        <v>0</v>
      </c>
      <c r="E263" s="2092"/>
      <c r="F263" s="2080"/>
      <c r="G263" s="2080"/>
      <c r="H263" s="2080"/>
      <c r="I263" s="2080"/>
      <c r="J263" s="2118" t="s">
        <v>472</v>
      </c>
    </row>
    <row r="264" s="2075" customFormat="1" spans="1:10">
      <c r="A264" s="2092"/>
      <c r="B264" s="2085"/>
      <c r="C264" s="2085"/>
      <c r="D264" s="2117">
        <f t="shared" si="2"/>
        <v>0</v>
      </c>
      <c r="E264" s="2092"/>
      <c r="F264" s="2080"/>
      <c r="G264" s="2080"/>
      <c r="H264" s="2080"/>
      <c r="I264" s="2080"/>
      <c r="J264" s="2118" t="s">
        <v>472</v>
      </c>
    </row>
    <row r="265" s="2075" customFormat="1" spans="1:10">
      <c r="A265" s="2092"/>
      <c r="B265" s="2085"/>
      <c r="C265" s="2085"/>
      <c r="D265" s="2117">
        <f t="shared" si="2"/>
        <v>0</v>
      </c>
      <c r="E265" s="2092"/>
      <c r="F265" s="2080"/>
      <c r="G265" s="2080"/>
      <c r="H265" s="2080"/>
      <c r="I265" s="2080"/>
      <c r="J265" s="2118" t="s">
        <v>472</v>
      </c>
    </row>
    <row r="266" s="2075" customFormat="1" spans="1:10">
      <c r="A266" s="2082" t="s">
        <v>384</v>
      </c>
      <c r="B266" s="2048">
        <f>ROUND(SUM(B256:B265),2)</f>
        <v>0</v>
      </c>
      <c r="C266" s="2048">
        <f>ROUND(SUM(C256:C265),2)</f>
        <v>0</v>
      </c>
      <c r="D266" s="2093">
        <f t="shared" si="2"/>
        <v>0</v>
      </c>
      <c r="E266" s="2048"/>
      <c r="F266" s="2080"/>
      <c r="G266" s="2080"/>
      <c r="H266" s="2080"/>
      <c r="I266" s="2080"/>
      <c r="J266" s="2118" t="s">
        <v>473</v>
      </c>
    </row>
    <row r="267" s="2075" customFormat="1" spans="1:10">
      <c r="A267" s="2103"/>
      <c r="B267" s="2080"/>
      <c r="C267" s="2080"/>
      <c r="D267" s="2080"/>
      <c r="E267" s="2080"/>
      <c r="F267" s="2080"/>
      <c r="G267" s="2080"/>
      <c r="H267" s="2080"/>
      <c r="I267" s="2080"/>
      <c r="J267" s="2141"/>
    </row>
    <row r="268" s="2075" customFormat="1" spans="1:10">
      <c r="A268" s="2096" t="s">
        <v>474</v>
      </c>
      <c r="B268" s="2080"/>
      <c r="C268" s="2080"/>
      <c r="D268" s="2080"/>
      <c r="E268" s="2080"/>
      <c r="F268" s="2080"/>
      <c r="G268" s="2080"/>
      <c r="H268" s="2080"/>
      <c r="I268" s="2080"/>
      <c r="J268" s="2141"/>
    </row>
    <row r="269" s="2075" customFormat="1" spans="1:10">
      <c r="A269" s="2082" t="s">
        <v>314</v>
      </c>
      <c r="B269" s="2082" t="s">
        <v>315</v>
      </c>
      <c r="C269" s="2082" t="s">
        <v>475</v>
      </c>
      <c r="D269" s="2080"/>
      <c r="E269" s="2080"/>
      <c r="F269" s="2080"/>
      <c r="G269" s="2080"/>
      <c r="H269" s="2080"/>
      <c r="I269" s="2080"/>
      <c r="J269" s="2141"/>
    </row>
    <row r="270" s="2075" customFormat="1" spans="1:10">
      <c r="A270" s="2092"/>
      <c r="B270" s="2085"/>
      <c r="C270" s="2092"/>
      <c r="D270" s="2080"/>
      <c r="E270" s="2080"/>
      <c r="F270" s="2080"/>
      <c r="G270" s="2080"/>
      <c r="H270" s="2080"/>
      <c r="I270" s="2080"/>
      <c r="J270" s="2118" t="s">
        <v>476</v>
      </c>
    </row>
    <row r="271" s="2075" customFormat="1" spans="1:10">
      <c r="A271" s="2092"/>
      <c r="B271" s="2085"/>
      <c r="C271" s="2092"/>
      <c r="D271" s="2080"/>
      <c r="E271" s="2080"/>
      <c r="F271" s="2080"/>
      <c r="G271" s="2080"/>
      <c r="H271" s="2080"/>
      <c r="I271" s="2080"/>
      <c r="J271" s="2118" t="s">
        <v>476</v>
      </c>
    </row>
    <row r="272" s="2075" customFormat="1" spans="1:10">
      <c r="A272" s="2092"/>
      <c r="B272" s="2085"/>
      <c r="C272" s="2092"/>
      <c r="D272" s="2080"/>
      <c r="E272" s="2080"/>
      <c r="F272" s="2080"/>
      <c r="G272" s="2080"/>
      <c r="H272" s="2080"/>
      <c r="I272" s="2080"/>
      <c r="J272" s="2118" t="s">
        <v>476</v>
      </c>
    </row>
    <row r="273" s="2075" customFormat="1" spans="1:10">
      <c r="A273" s="2092"/>
      <c r="B273" s="2085"/>
      <c r="C273" s="2092"/>
      <c r="D273" s="2080"/>
      <c r="E273" s="2080"/>
      <c r="F273" s="2080"/>
      <c r="G273" s="2080"/>
      <c r="H273" s="2080"/>
      <c r="I273" s="2080"/>
      <c r="J273" s="2118" t="s">
        <v>476</v>
      </c>
    </row>
    <row r="274" s="2075" customFormat="1" spans="1:10">
      <c r="A274" s="2092"/>
      <c r="B274" s="2085"/>
      <c r="C274" s="2092"/>
      <c r="D274" s="2080"/>
      <c r="E274" s="2080"/>
      <c r="F274" s="2080"/>
      <c r="G274" s="2080"/>
      <c r="H274" s="2080"/>
      <c r="I274" s="2080"/>
      <c r="J274" s="2118" t="s">
        <v>476</v>
      </c>
    </row>
    <row r="275" s="2075" customFormat="1" spans="1:10">
      <c r="A275" s="2092"/>
      <c r="B275" s="2085"/>
      <c r="C275" s="2092"/>
      <c r="D275" s="2080"/>
      <c r="E275" s="2080"/>
      <c r="F275" s="2080"/>
      <c r="G275" s="2080"/>
      <c r="H275" s="2080"/>
      <c r="I275" s="2080"/>
      <c r="J275" s="2118" t="s">
        <v>476</v>
      </c>
    </row>
    <row r="276" s="2075" customFormat="1" spans="1:10">
      <c r="A276" s="2092"/>
      <c r="B276" s="2085"/>
      <c r="C276" s="2092"/>
      <c r="D276" s="2080"/>
      <c r="E276" s="2080"/>
      <c r="F276" s="2080"/>
      <c r="G276" s="2080"/>
      <c r="H276" s="2080"/>
      <c r="I276" s="2080"/>
      <c r="J276" s="2118" t="s">
        <v>476</v>
      </c>
    </row>
    <row r="277" s="2075" customFormat="1" spans="1:10">
      <c r="A277" s="2092"/>
      <c r="B277" s="2085"/>
      <c r="C277" s="2092"/>
      <c r="D277" s="2080"/>
      <c r="E277" s="2080"/>
      <c r="F277" s="2080"/>
      <c r="G277" s="2080"/>
      <c r="H277" s="2080"/>
      <c r="I277" s="2080"/>
      <c r="J277" s="2118" t="s">
        <v>476</v>
      </c>
    </row>
    <row r="278" s="2075" customFormat="1" spans="1:10">
      <c r="A278" s="2092"/>
      <c r="B278" s="2085"/>
      <c r="C278" s="2092"/>
      <c r="D278" s="2080"/>
      <c r="E278" s="2080"/>
      <c r="F278" s="2080"/>
      <c r="G278" s="2080"/>
      <c r="H278" s="2080"/>
      <c r="I278" s="2080"/>
      <c r="J278" s="2118" t="s">
        <v>476</v>
      </c>
    </row>
    <row r="279" s="2075" customFormat="1" spans="1:10">
      <c r="A279" s="2092"/>
      <c r="B279" s="2085"/>
      <c r="C279" s="2092"/>
      <c r="D279" s="2080"/>
      <c r="E279" s="2080"/>
      <c r="F279" s="2080"/>
      <c r="G279" s="2080"/>
      <c r="H279" s="2080"/>
      <c r="I279" s="2080"/>
      <c r="J279" s="2118" t="s">
        <v>476</v>
      </c>
    </row>
    <row r="280" s="2075" customFormat="1" spans="1:10">
      <c r="A280" s="2082" t="s">
        <v>384</v>
      </c>
      <c r="B280" s="2048">
        <f>ROUND(SUM(B270:B279),2)</f>
        <v>0</v>
      </c>
      <c r="C280" s="2048"/>
      <c r="D280" s="2080"/>
      <c r="E280" s="2080"/>
      <c r="F280" s="2080"/>
      <c r="G280" s="2080"/>
      <c r="H280" s="2080"/>
      <c r="I280" s="2080"/>
      <c r="J280" s="2118" t="s">
        <v>477</v>
      </c>
    </row>
    <row r="281" s="2075" customFormat="1" spans="1:10">
      <c r="A281" s="2103"/>
      <c r="B281" s="2080"/>
      <c r="C281" s="2080"/>
      <c r="D281" s="2080"/>
      <c r="E281" s="2080"/>
      <c r="F281" s="2080"/>
      <c r="G281" s="2080"/>
      <c r="H281" s="2080"/>
      <c r="I281" s="2080"/>
      <c r="J281" s="2141"/>
    </row>
    <row r="282" s="2075" customFormat="1" spans="1:10">
      <c r="A282" s="2096" t="s">
        <v>478</v>
      </c>
      <c r="B282" s="2080"/>
      <c r="C282" s="2080"/>
      <c r="D282" s="2080"/>
      <c r="E282" s="2080"/>
      <c r="F282" s="2080"/>
      <c r="G282" s="2080"/>
      <c r="H282" s="2080"/>
      <c r="I282" s="2080"/>
      <c r="J282" s="2141"/>
    </row>
    <row r="283" s="2075" customFormat="1" spans="1:10">
      <c r="A283" s="2082" t="s">
        <v>314</v>
      </c>
      <c r="B283" s="2082" t="s">
        <v>479</v>
      </c>
      <c r="C283" s="2082" t="s">
        <v>480</v>
      </c>
      <c r="D283" s="2082" t="s">
        <v>481</v>
      </c>
      <c r="E283" s="2082" t="s">
        <v>482</v>
      </c>
      <c r="F283" s="2082" t="s">
        <v>483</v>
      </c>
      <c r="G283" s="2080"/>
      <c r="H283" s="2080"/>
      <c r="I283" s="2080"/>
      <c r="J283" s="2141"/>
    </row>
    <row r="284" s="2075" customFormat="1" spans="1:10">
      <c r="A284" s="2092"/>
      <c r="B284" s="2085"/>
      <c r="C284" s="2085"/>
      <c r="D284" s="2092"/>
      <c r="E284" s="2092"/>
      <c r="F284" s="2092"/>
      <c r="G284" s="2080"/>
      <c r="H284" s="2080"/>
      <c r="I284" s="2080"/>
      <c r="J284" s="2118" t="s">
        <v>484</v>
      </c>
    </row>
    <row r="285" s="2075" customFormat="1" spans="1:10">
      <c r="A285" s="2092"/>
      <c r="B285" s="2085"/>
      <c r="C285" s="2085"/>
      <c r="D285" s="2092"/>
      <c r="E285" s="2092"/>
      <c r="F285" s="2092"/>
      <c r="G285" s="2080"/>
      <c r="H285" s="2080"/>
      <c r="I285" s="2080"/>
      <c r="J285" s="2118" t="s">
        <v>484</v>
      </c>
    </row>
    <row r="286" s="2075" customFormat="1" spans="1:10">
      <c r="A286" s="2092"/>
      <c r="B286" s="2085"/>
      <c r="C286" s="2085"/>
      <c r="D286" s="2092"/>
      <c r="E286" s="2092"/>
      <c r="F286" s="2092"/>
      <c r="G286" s="2080"/>
      <c r="H286" s="2080"/>
      <c r="I286" s="2080"/>
      <c r="J286" s="2118" t="s">
        <v>484</v>
      </c>
    </row>
    <row r="287" s="2075" customFormat="1" spans="1:10">
      <c r="A287" s="2092"/>
      <c r="B287" s="2085"/>
      <c r="C287" s="2085"/>
      <c r="D287" s="2092"/>
      <c r="E287" s="2092"/>
      <c r="F287" s="2092"/>
      <c r="G287" s="2080"/>
      <c r="H287" s="2080"/>
      <c r="I287" s="2080"/>
      <c r="J287" s="2118" t="s">
        <v>484</v>
      </c>
    </row>
    <row r="288" s="2075" customFormat="1" spans="1:10">
      <c r="A288" s="2092"/>
      <c r="B288" s="2085"/>
      <c r="C288" s="2085"/>
      <c r="D288" s="2092"/>
      <c r="E288" s="2092"/>
      <c r="F288" s="2092"/>
      <c r="G288" s="2080"/>
      <c r="H288" s="2080"/>
      <c r="I288" s="2080"/>
      <c r="J288" s="2118" t="s">
        <v>484</v>
      </c>
    </row>
    <row r="289" s="2075" customFormat="1" spans="1:10">
      <c r="A289" s="2092"/>
      <c r="B289" s="2085"/>
      <c r="C289" s="2085"/>
      <c r="D289" s="2092"/>
      <c r="E289" s="2092"/>
      <c r="F289" s="2092"/>
      <c r="G289" s="2080"/>
      <c r="H289" s="2080"/>
      <c r="I289" s="2080"/>
      <c r="J289" s="2118" t="s">
        <v>484</v>
      </c>
    </row>
    <row r="290" s="2075" customFormat="1" spans="1:10">
      <c r="A290" s="2092"/>
      <c r="B290" s="2085"/>
      <c r="C290" s="2085"/>
      <c r="D290" s="2092"/>
      <c r="E290" s="2092"/>
      <c r="F290" s="2092"/>
      <c r="G290" s="2080"/>
      <c r="H290" s="2080"/>
      <c r="I290" s="2080"/>
      <c r="J290" s="2118" t="s">
        <v>484</v>
      </c>
    </row>
    <row r="291" s="2075" customFormat="1" spans="1:10">
      <c r="A291" s="2092"/>
      <c r="B291" s="2085"/>
      <c r="C291" s="2085"/>
      <c r="D291" s="2092"/>
      <c r="E291" s="2092"/>
      <c r="F291" s="2092"/>
      <c r="G291" s="2080"/>
      <c r="H291" s="2080"/>
      <c r="I291" s="2080"/>
      <c r="J291" s="2118" t="s">
        <v>484</v>
      </c>
    </row>
    <row r="292" s="2075" customFormat="1" spans="1:10">
      <c r="A292" s="2092"/>
      <c r="B292" s="2085"/>
      <c r="C292" s="2085"/>
      <c r="D292" s="2092"/>
      <c r="E292" s="2092"/>
      <c r="F292" s="2092"/>
      <c r="G292" s="2080"/>
      <c r="H292" s="2080"/>
      <c r="I292" s="2080"/>
      <c r="J292" s="2118" t="s">
        <v>484</v>
      </c>
    </row>
    <row r="293" s="2075" customFormat="1" spans="1:10">
      <c r="A293" s="2092"/>
      <c r="B293" s="2085"/>
      <c r="C293" s="2085"/>
      <c r="D293" s="2092"/>
      <c r="E293" s="2092"/>
      <c r="F293" s="2092"/>
      <c r="G293" s="2080"/>
      <c r="H293" s="2080"/>
      <c r="I293" s="2080"/>
      <c r="J293" s="2118" t="s">
        <v>484</v>
      </c>
    </row>
    <row r="294" s="2075" customFormat="1" spans="1:10">
      <c r="A294" s="2082" t="s">
        <v>384</v>
      </c>
      <c r="B294" s="2048">
        <f>ROUND(SUM(B284:B293),2)</f>
        <v>0</v>
      </c>
      <c r="C294" s="2048">
        <f>ROUND(SUM(C284:C293),2)</f>
        <v>0</v>
      </c>
      <c r="D294" s="2093"/>
      <c r="E294" s="2048"/>
      <c r="F294" s="2048"/>
      <c r="G294" s="2080"/>
      <c r="H294" s="2080"/>
      <c r="I294" s="2080"/>
      <c r="J294" s="2118" t="s">
        <v>485</v>
      </c>
    </row>
    <row r="295" s="2075" customFormat="1" spans="1:10">
      <c r="A295" s="2103"/>
      <c r="B295" s="2080"/>
      <c r="C295" s="2080"/>
      <c r="D295" s="2080"/>
      <c r="E295" s="2080"/>
      <c r="F295" s="2080"/>
      <c r="G295" s="2080"/>
      <c r="H295" s="2080"/>
      <c r="I295" s="2080"/>
      <c r="J295" s="2141"/>
    </row>
    <row r="296" s="2075" customFormat="1" spans="1:10">
      <c r="A296" s="2096" t="s">
        <v>486</v>
      </c>
      <c r="B296" s="2080"/>
      <c r="C296" s="2080"/>
      <c r="D296" s="2080"/>
      <c r="E296" s="2080"/>
      <c r="F296" s="2080"/>
      <c r="G296" s="2080"/>
      <c r="H296" s="2080"/>
      <c r="I296" s="2080"/>
      <c r="J296" s="2141"/>
    </row>
    <row r="297" s="2075" customFormat="1" spans="1:10">
      <c r="A297" s="2082" t="s">
        <v>314</v>
      </c>
      <c r="B297" s="2082" t="s">
        <v>487</v>
      </c>
      <c r="C297" s="2082" t="s">
        <v>488</v>
      </c>
      <c r="D297" s="2082" t="s">
        <v>489</v>
      </c>
      <c r="E297" s="2082" t="s">
        <v>482</v>
      </c>
      <c r="F297" s="2082" t="s">
        <v>490</v>
      </c>
      <c r="G297" s="2080"/>
      <c r="H297" s="2080"/>
      <c r="I297" s="2080"/>
      <c r="J297" s="2141"/>
    </row>
    <row r="298" s="2075" customFormat="1" spans="1:10">
      <c r="A298" s="2092"/>
      <c r="B298" s="2085"/>
      <c r="C298" s="2092"/>
      <c r="D298" s="2092"/>
      <c r="E298" s="2092"/>
      <c r="F298" s="2092"/>
      <c r="G298" s="2080"/>
      <c r="H298" s="2080"/>
      <c r="I298" s="2080"/>
      <c r="J298" s="2118" t="s">
        <v>491</v>
      </c>
    </row>
    <row r="299" s="2075" customFormat="1" spans="1:10">
      <c r="A299" s="2092"/>
      <c r="B299" s="2085"/>
      <c r="C299" s="2092"/>
      <c r="D299" s="2092"/>
      <c r="E299" s="2092"/>
      <c r="F299" s="2092"/>
      <c r="G299" s="2080"/>
      <c r="H299" s="2080"/>
      <c r="I299" s="2080"/>
      <c r="J299" s="2118" t="s">
        <v>491</v>
      </c>
    </row>
    <row r="300" s="2075" customFormat="1" spans="1:10">
      <c r="A300" s="2092"/>
      <c r="B300" s="2085"/>
      <c r="C300" s="2092"/>
      <c r="D300" s="2092"/>
      <c r="E300" s="2092"/>
      <c r="F300" s="2092"/>
      <c r="G300" s="2080"/>
      <c r="H300" s="2080"/>
      <c r="I300" s="2080"/>
      <c r="J300" s="2118" t="s">
        <v>491</v>
      </c>
    </row>
    <row r="301" s="2075" customFormat="1" spans="1:10">
      <c r="A301" s="2092"/>
      <c r="B301" s="2085"/>
      <c r="C301" s="2092"/>
      <c r="D301" s="2092"/>
      <c r="E301" s="2092"/>
      <c r="F301" s="2092"/>
      <c r="G301" s="2080"/>
      <c r="H301" s="2080"/>
      <c r="I301" s="2080"/>
      <c r="J301" s="2118" t="s">
        <v>491</v>
      </c>
    </row>
    <row r="302" s="2075" customFormat="1" spans="1:10">
      <c r="A302" s="2092"/>
      <c r="B302" s="2085"/>
      <c r="C302" s="2092"/>
      <c r="D302" s="2092"/>
      <c r="E302" s="2092"/>
      <c r="F302" s="2092"/>
      <c r="G302" s="2080"/>
      <c r="H302" s="2080"/>
      <c r="I302" s="2080"/>
      <c r="J302" s="2118" t="s">
        <v>491</v>
      </c>
    </row>
    <row r="303" s="2075" customFormat="1" spans="1:10">
      <c r="A303" s="2092"/>
      <c r="B303" s="2085"/>
      <c r="C303" s="2092"/>
      <c r="D303" s="2092"/>
      <c r="E303" s="2092"/>
      <c r="F303" s="2092"/>
      <c r="G303" s="2080"/>
      <c r="H303" s="2080"/>
      <c r="I303" s="2080"/>
      <c r="J303" s="2118" t="s">
        <v>491</v>
      </c>
    </row>
    <row r="304" s="2075" customFormat="1" spans="1:10">
      <c r="A304" s="2092"/>
      <c r="B304" s="2085"/>
      <c r="C304" s="2092"/>
      <c r="D304" s="2092"/>
      <c r="E304" s="2092"/>
      <c r="F304" s="2092"/>
      <c r="G304" s="2080"/>
      <c r="H304" s="2080"/>
      <c r="I304" s="2080"/>
      <c r="J304" s="2118" t="s">
        <v>491</v>
      </c>
    </row>
    <row r="305" s="2075" customFormat="1" spans="1:10">
      <c r="A305" s="2092"/>
      <c r="B305" s="2085"/>
      <c r="C305" s="2092"/>
      <c r="D305" s="2092"/>
      <c r="E305" s="2092"/>
      <c r="F305" s="2092"/>
      <c r="G305" s="2080"/>
      <c r="H305" s="2080"/>
      <c r="I305" s="2080"/>
      <c r="J305" s="2118" t="s">
        <v>491</v>
      </c>
    </row>
    <row r="306" s="2075" customFormat="1" spans="1:10">
      <c r="A306" s="2092"/>
      <c r="B306" s="2085"/>
      <c r="C306" s="2092"/>
      <c r="D306" s="2092"/>
      <c r="E306" s="2092"/>
      <c r="F306" s="2092"/>
      <c r="G306" s="2080"/>
      <c r="H306" s="2080"/>
      <c r="I306" s="2080"/>
      <c r="J306" s="2118" t="s">
        <v>491</v>
      </c>
    </row>
    <row r="307" s="2075" customFormat="1" spans="1:10">
      <c r="A307" s="2092"/>
      <c r="B307" s="2085"/>
      <c r="C307" s="2092"/>
      <c r="D307" s="2092"/>
      <c r="E307" s="2092"/>
      <c r="F307" s="2092"/>
      <c r="G307" s="2080"/>
      <c r="H307" s="2080"/>
      <c r="I307" s="2080"/>
      <c r="J307" s="2118" t="s">
        <v>491</v>
      </c>
    </row>
    <row r="308" s="2075" customFormat="1" spans="1:10">
      <c r="A308" s="2082" t="s">
        <v>384</v>
      </c>
      <c r="B308" s="2048">
        <f>ROUND(SUM(B298:B307),2)</f>
        <v>0</v>
      </c>
      <c r="C308" s="2048"/>
      <c r="D308" s="2093">
        <f>IF(B308=0,0,ROUND(C308/B308,4))</f>
        <v>0</v>
      </c>
      <c r="E308" s="2048"/>
      <c r="F308" s="2048"/>
      <c r="G308" s="2080"/>
      <c r="H308" s="2080"/>
      <c r="I308" s="2080"/>
      <c r="J308" s="2118" t="s">
        <v>492</v>
      </c>
    </row>
    <row r="309" s="2075" customFormat="1" spans="1:10">
      <c r="A309" s="2103"/>
      <c r="B309" s="2080"/>
      <c r="C309" s="2080"/>
      <c r="D309" s="2080"/>
      <c r="E309" s="2080"/>
      <c r="F309" s="2080"/>
      <c r="G309" s="2080"/>
      <c r="H309" s="2080"/>
      <c r="I309" s="2080"/>
      <c r="J309" s="2141"/>
    </row>
    <row r="310" s="2075" customFormat="1" spans="1:10">
      <c r="A310" s="2096" t="s">
        <v>493</v>
      </c>
      <c r="B310" s="2080"/>
      <c r="C310" s="2080"/>
      <c r="D310" s="2080"/>
      <c r="E310" s="2080"/>
      <c r="F310" s="2080"/>
      <c r="G310" s="2080"/>
      <c r="H310" s="2080"/>
      <c r="I310" s="2080"/>
      <c r="J310" s="2141"/>
    </row>
    <row r="311" s="2075" customFormat="1" spans="1:10">
      <c r="A311" s="2082" t="s">
        <v>494</v>
      </c>
      <c r="B311" s="2082" t="s">
        <v>315</v>
      </c>
      <c r="C311" s="2082" t="s">
        <v>316</v>
      </c>
      <c r="D311" s="2082" t="s">
        <v>495</v>
      </c>
      <c r="E311" s="2080"/>
      <c r="F311" s="2080"/>
      <c r="G311" s="2080"/>
      <c r="H311" s="2080"/>
      <c r="I311" s="2080"/>
      <c r="J311" s="2076"/>
    </row>
    <row r="312" s="2075" customFormat="1" spans="1:10">
      <c r="A312" s="2092"/>
      <c r="B312" s="2085"/>
      <c r="C312" s="2085"/>
      <c r="D312" s="2092"/>
      <c r="E312" s="2080"/>
      <c r="F312" s="2080"/>
      <c r="G312" s="2080"/>
      <c r="H312" s="2080"/>
      <c r="I312" s="2080"/>
      <c r="J312" s="2118" t="s">
        <v>496</v>
      </c>
    </row>
    <row r="313" s="2075" customFormat="1" spans="1:10">
      <c r="A313" s="2092"/>
      <c r="B313" s="2085"/>
      <c r="C313" s="2085"/>
      <c r="D313" s="2092"/>
      <c r="E313" s="2080"/>
      <c r="F313" s="2080"/>
      <c r="G313" s="2080"/>
      <c r="H313" s="2080"/>
      <c r="I313" s="2080"/>
      <c r="J313" s="2118" t="s">
        <v>496</v>
      </c>
    </row>
    <row r="314" s="2075" customFormat="1" spans="1:10">
      <c r="A314" s="2092"/>
      <c r="B314" s="2085"/>
      <c r="C314" s="2085"/>
      <c r="D314" s="2092"/>
      <c r="E314" s="2080"/>
      <c r="F314" s="2080"/>
      <c r="G314" s="2080"/>
      <c r="H314" s="2080"/>
      <c r="I314" s="2080"/>
      <c r="J314" s="2118" t="s">
        <v>496</v>
      </c>
    </row>
    <row r="315" s="2075" customFormat="1" spans="1:10">
      <c r="A315" s="2092"/>
      <c r="B315" s="2085"/>
      <c r="C315" s="2085"/>
      <c r="D315" s="2092"/>
      <c r="E315" s="2080"/>
      <c r="F315" s="2080"/>
      <c r="G315" s="2080"/>
      <c r="H315" s="2080"/>
      <c r="I315" s="2080"/>
      <c r="J315" s="2118" t="s">
        <v>496</v>
      </c>
    </row>
    <row r="316" s="2075" customFormat="1" spans="1:10">
      <c r="A316" s="2092"/>
      <c r="B316" s="2085"/>
      <c r="C316" s="2085"/>
      <c r="D316" s="2092"/>
      <c r="E316" s="2080"/>
      <c r="F316" s="2080"/>
      <c r="G316" s="2080"/>
      <c r="H316" s="2080"/>
      <c r="I316" s="2080"/>
      <c r="J316" s="2118" t="s">
        <v>496</v>
      </c>
    </row>
    <row r="317" s="2075" customFormat="1" spans="1:10">
      <c r="A317" s="2092"/>
      <c r="B317" s="2085"/>
      <c r="C317" s="2085"/>
      <c r="D317" s="2092"/>
      <c r="E317" s="2080"/>
      <c r="F317" s="2080"/>
      <c r="G317" s="2080"/>
      <c r="H317" s="2080"/>
      <c r="I317" s="2080"/>
      <c r="J317" s="2118" t="s">
        <v>496</v>
      </c>
    </row>
    <row r="318" s="2075" customFormat="1" spans="1:10">
      <c r="A318" s="2092"/>
      <c r="B318" s="2085"/>
      <c r="C318" s="2085"/>
      <c r="D318" s="2092"/>
      <c r="E318" s="2080"/>
      <c r="F318" s="2080"/>
      <c r="G318" s="2080"/>
      <c r="H318" s="2080"/>
      <c r="I318" s="2080"/>
      <c r="J318" s="2118" t="s">
        <v>496</v>
      </c>
    </row>
    <row r="319" s="2075" customFormat="1" spans="1:10">
      <c r="A319" s="2092"/>
      <c r="B319" s="2085"/>
      <c r="C319" s="2085"/>
      <c r="D319" s="2092"/>
      <c r="E319" s="2080"/>
      <c r="F319" s="2080"/>
      <c r="G319" s="2080"/>
      <c r="H319" s="2080"/>
      <c r="I319" s="2080"/>
      <c r="J319" s="2118" t="s">
        <v>496</v>
      </c>
    </row>
    <row r="320" s="2075" customFormat="1" spans="1:10">
      <c r="A320" s="2092"/>
      <c r="B320" s="2085"/>
      <c r="C320" s="2085"/>
      <c r="D320" s="2092"/>
      <c r="E320" s="2080"/>
      <c r="F320" s="2080"/>
      <c r="G320" s="2080"/>
      <c r="H320" s="2080"/>
      <c r="I320" s="2080"/>
      <c r="J320" s="2118" t="s">
        <v>496</v>
      </c>
    </row>
    <row r="321" s="2075" customFormat="1" spans="1:10">
      <c r="A321" s="2092"/>
      <c r="B321" s="2085"/>
      <c r="C321" s="2085"/>
      <c r="D321" s="2092"/>
      <c r="E321" s="2080"/>
      <c r="F321" s="2080"/>
      <c r="G321" s="2080"/>
      <c r="H321" s="2080"/>
      <c r="I321" s="2080"/>
      <c r="J321" s="2118" t="s">
        <v>496</v>
      </c>
    </row>
    <row r="322" s="2075" customFormat="1" spans="1:10">
      <c r="A322" s="2082" t="s">
        <v>384</v>
      </c>
      <c r="B322" s="2048">
        <f>ROUND(SUM(B312:B321),2)</f>
        <v>0</v>
      </c>
      <c r="C322" s="2048">
        <f>ROUND(SUM(C312:C321),2)</f>
        <v>0</v>
      </c>
      <c r="D322" s="2048"/>
      <c r="E322" s="2080"/>
      <c r="F322" s="2080"/>
      <c r="G322" s="2080"/>
      <c r="H322" s="2080"/>
      <c r="I322" s="2080"/>
      <c r="J322" s="2118" t="s">
        <v>497</v>
      </c>
    </row>
    <row r="323" s="2075" customFormat="1" spans="1:10">
      <c r="A323" s="2103"/>
      <c r="B323" s="2080"/>
      <c r="C323" s="2080"/>
      <c r="D323" s="2080"/>
      <c r="E323" s="2080"/>
      <c r="F323" s="2080"/>
      <c r="G323" s="2080"/>
      <c r="H323" s="2080"/>
      <c r="I323" s="2080"/>
      <c r="J323" s="2141"/>
    </row>
    <row r="324" s="2075" customFormat="1" spans="1:10">
      <c r="A324" s="2096" t="s">
        <v>498</v>
      </c>
      <c r="B324" s="2080"/>
      <c r="C324" s="2080"/>
      <c r="D324" s="2080"/>
      <c r="E324" s="2080"/>
      <c r="F324" s="2080"/>
      <c r="G324" s="2080"/>
      <c r="H324" s="2080"/>
      <c r="I324" s="2080"/>
      <c r="J324" s="2141"/>
    </row>
    <row r="325" s="2075" customFormat="1" spans="1:10">
      <c r="A325" s="2082" t="s">
        <v>469</v>
      </c>
      <c r="B325" s="2082" t="s">
        <v>315</v>
      </c>
      <c r="C325" s="2082" t="s">
        <v>499</v>
      </c>
      <c r="D325" s="2082" t="s">
        <v>500</v>
      </c>
      <c r="E325" s="2082" t="s">
        <v>501</v>
      </c>
      <c r="F325" s="2080"/>
      <c r="G325" s="2080"/>
      <c r="H325" s="2080"/>
      <c r="I325" s="2080"/>
      <c r="J325" s="2141"/>
    </row>
    <row r="326" s="2075" customFormat="1" spans="1:10">
      <c r="A326" s="2092"/>
      <c r="B326" s="2085"/>
      <c r="C326" s="2092"/>
      <c r="D326" s="2156"/>
      <c r="E326" s="2117">
        <f t="shared" ref="E326:E331" si="3">IF(B326=0,0,ROUND(B326/B$244,4))</f>
        <v>0</v>
      </c>
      <c r="F326" s="2080"/>
      <c r="G326" s="2080"/>
      <c r="H326" s="2080"/>
      <c r="I326" s="2080"/>
      <c r="J326" s="2118" t="s">
        <v>502</v>
      </c>
    </row>
    <row r="327" s="2075" customFormat="1" spans="1:10">
      <c r="A327" s="2092"/>
      <c r="B327" s="2085"/>
      <c r="C327" s="2092"/>
      <c r="D327" s="2156"/>
      <c r="E327" s="2117">
        <f t="shared" si="3"/>
        <v>0</v>
      </c>
      <c r="F327" s="2080"/>
      <c r="G327" s="2080"/>
      <c r="H327" s="2080"/>
      <c r="I327" s="2080"/>
      <c r="J327" s="2118" t="s">
        <v>502</v>
      </c>
    </row>
    <row r="328" s="2075" customFormat="1" spans="1:10">
      <c r="A328" s="2092"/>
      <c r="B328" s="2085"/>
      <c r="C328" s="2092"/>
      <c r="D328" s="2156"/>
      <c r="E328" s="2117">
        <f t="shared" si="3"/>
        <v>0</v>
      </c>
      <c r="F328" s="2080"/>
      <c r="G328" s="2080"/>
      <c r="H328" s="2080"/>
      <c r="I328" s="2080"/>
      <c r="J328" s="2118" t="s">
        <v>502</v>
      </c>
    </row>
    <row r="329" s="2075" customFormat="1" spans="1:10">
      <c r="A329" s="2092"/>
      <c r="B329" s="2085"/>
      <c r="C329" s="2092"/>
      <c r="D329" s="2156"/>
      <c r="E329" s="2117">
        <f t="shared" si="3"/>
        <v>0</v>
      </c>
      <c r="F329" s="2080"/>
      <c r="G329" s="2080"/>
      <c r="H329" s="2080"/>
      <c r="I329" s="2080"/>
      <c r="J329" s="2118" t="s">
        <v>502</v>
      </c>
    </row>
    <row r="330" s="2075" customFormat="1" spans="1:10">
      <c r="A330" s="2092"/>
      <c r="B330" s="2085"/>
      <c r="C330" s="2092"/>
      <c r="D330" s="2156"/>
      <c r="E330" s="2117">
        <f t="shared" si="3"/>
        <v>0</v>
      </c>
      <c r="F330" s="2080"/>
      <c r="G330" s="2080"/>
      <c r="H330" s="2080"/>
      <c r="I330" s="2080"/>
      <c r="J330" s="2118" t="s">
        <v>502</v>
      </c>
    </row>
    <row r="331" s="2075" customFormat="1" spans="1:10">
      <c r="A331" s="2082" t="s">
        <v>384</v>
      </c>
      <c r="B331" s="2048">
        <f>ROUND(SUM(B326:B330),2)</f>
        <v>0</v>
      </c>
      <c r="C331" s="2048"/>
      <c r="D331" s="2048"/>
      <c r="E331" s="2093">
        <f t="shared" si="3"/>
        <v>0</v>
      </c>
      <c r="F331" s="2080"/>
      <c r="G331" s="2080"/>
      <c r="H331" s="2080"/>
      <c r="I331" s="2080"/>
      <c r="J331" s="2118" t="s">
        <v>503</v>
      </c>
    </row>
    <row r="332" s="2075" customFormat="1" spans="1:10">
      <c r="A332" s="2103"/>
      <c r="B332" s="2080"/>
      <c r="C332" s="2080"/>
      <c r="D332" s="2080"/>
      <c r="E332" s="2080"/>
      <c r="F332" s="2080"/>
      <c r="G332" s="2080"/>
      <c r="H332" s="2080"/>
      <c r="I332" s="2080"/>
      <c r="J332" s="2141"/>
    </row>
    <row r="333" s="2075" customFormat="1" spans="1:10">
      <c r="A333" s="2096" t="s">
        <v>504</v>
      </c>
      <c r="B333" s="2080"/>
      <c r="C333" s="2080"/>
      <c r="D333" s="2080"/>
      <c r="E333" s="2080"/>
      <c r="F333" s="2080"/>
      <c r="G333" s="2080"/>
      <c r="H333" s="2080"/>
      <c r="I333" s="2080"/>
      <c r="J333" s="2141"/>
    </row>
    <row r="334" s="2075" customFormat="1" spans="1:9">
      <c r="A334" s="2082" t="s">
        <v>505</v>
      </c>
      <c r="B334" s="2082" t="s">
        <v>315</v>
      </c>
      <c r="C334" s="2082" t="s">
        <v>316</v>
      </c>
      <c r="D334" s="2082" t="s">
        <v>499</v>
      </c>
      <c r="E334" s="2082" t="s">
        <v>501</v>
      </c>
      <c r="F334" s="2080"/>
      <c r="G334" s="2080"/>
      <c r="H334" s="2080"/>
      <c r="I334" s="2080"/>
    </row>
    <row r="335" s="2075" customFormat="1" spans="1:10">
      <c r="A335" s="2092"/>
      <c r="B335" s="2085"/>
      <c r="C335" s="2085"/>
      <c r="D335" s="2092"/>
      <c r="E335" s="2117">
        <f t="shared" ref="E335:E345" si="4">IF(B335=0,0,ROUND(B335/B$244,4))</f>
        <v>0</v>
      </c>
      <c r="F335" s="2080"/>
      <c r="G335" s="2080"/>
      <c r="H335" s="2080"/>
      <c r="I335" s="2080"/>
      <c r="J335" s="2118" t="s">
        <v>506</v>
      </c>
    </row>
    <row r="336" s="2075" customFormat="1" spans="1:10">
      <c r="A336" s="2092"/>
      <c r="B336" s="2085"/>
      <c r="C336" s="2085"/>
      <c r="D336" s="2092"/>
      <c r="E336" s="2117">
        <f t="shared" si="4"/>
        <v>0</v>
      </c>
      <c r="F336" s="2080"/>
      <c r="G336" s="2080"/>
      <c r="H336" s="2080"/>
      <c r="I336" s="2080"/>
      <c r="J336" s="2118" t="s">
        <v>506</v>
      </c>
    </row>
    <row r="337" s="2075" customFormat="1" spans="1:10">
      <c r="A337" s="2092"/>
      <c r="B337" s="2085"/>
      <c r="C337" s="2085"/>
      <c r="D337" s="2092"/>
      <c r="E337" s="2117">
        <f t="shared" si="4"/>
        <v>0</v>
      </c>
      <c r="F337" s="2080"/>
      <c r="G337" s="2080"/>
      <c r="H337" s="2080"/>
      <c r="I337" s="2080"/>
      <c r="J337" s="2118" t="s">
        <v>506</v>
      </c>
    </row>
    <row r="338" s="2075" customFormat="1" spans="1:10">
      <c r="A338" s="2092"/>
      <c r="B338" s="2085"/>
      <c r="C338" s="2085"/>
      <c r="D338" s="2092"/>
      <c r="E338" s="2117">
        <f t="shared" si="4"/>
        <v>0</v>
      </c>
      <c r="F338" s="2080"/>
      <c r="G338" s="2080"/>
      <c r="H338" s="2080"/>
      <c r="I338" s="2080"/>
      <c r="J338" s="2118" t="s">
        <v>506</v>
      </c>
    </row>
    <row r="339" s="2075" customFormat="1" spans="1:10">
      <c r="A339" s="2092"/>
      <c r="B339" s="2085"/>
      <c r="C339" s="2085"/>
      <c r="D339" s="2092"/>
      <c r="E339" s="2117">
        <f t="shared" si="4"/>
        <v>0</v>
      </c>
      <c r="F339" s="2080"/>
      <c r="G339" s="2080"/>
      <c r="H339" s="2080"/>
      <c r="I339" s="2080"/>
      <c r="J339" s="2118" t="s">
        <v>506</v>
      </c>
    </row>
    <row r="340" s="2075" customFormat="1" spans="1:10">
      <c r="A340" s="2092"/>
      <c r="B340" s="2085"/>
      <c r="C340" s="2085"/>
      <c r="D340" s="2092"/>
      <c r="E340" s="2117">
        <f t="shared" si="4"/>
        <v>0</v>
      </c>
      <c r="F340" s="2080"/>
      <c r="G340" s="2080"/>
      <c r="H340" s="2080"/>
      <c r="I340" s="2080"/>
      <c r="J340" s="2118" t="s">
        <v>506</v>
      </c>
    </row>
    <row r="341" s="2075" customFormat="1" spans="1:10">
      <c r="A341" s="2092"/>
      <c r="B341" s="2085"/>
      <c r="C341" s="2085"/>
      <c r="D341" s="2092"/>
      <c r="E341" s="2117">
        <f t="shared" si="4"/>
        <v>0</v>
      </c>
      <c r="F341" s="2080"/>
      <c r="G341" s="2080"/>
      <c r="H341" s="2080"/>
      <c r="I341" s="2080"/>
      <c r="J341" s="2118" t="s">
        <v>506</v>
      </c>
    </row>
    <row r="342" s="2075" customFormat="1" spans="1:10">
      <c r="A342" s="2092"/>
      <c r="B342" s="2085"/>
      <c r="C342" s="2085"/>
      <c r="D342" s="2092"/>
      <c r="E342" s="2117">
        <f t="shared" si="4"/>
        <v>0</v>
      </c>
      <c r="F342" s="2080"/>
      <c r="G342" s="2080"/>
      <c r="H342" s="2080"/>
      <c r="I342" s="2080"/>
      <c r="J342" s="2118" t="s">
        <v>506</v>
      </c>
    </row>
    <row r="343" s="2075" customFormat="1" spans="1:10">
      <c r="A343" s="2092"/>
      <c r="B343" s="2085"/>
      <c r="C343" s="2085"/>
      <c r="D343" s="2092"/>
      <c r="E343" s="2117">
        <f t="shared" si="4"/>
        <v>0</v>
      </c>
      <c r="F343" s="2080"/>
      <c r="G343" s="2080"/>
      <c r="H343" s="2080"/>
      <c r="I343" s="2080"/>
      <c r="J343" s="2118" t="s">
        <v>506</v>
      </c>
    </row>
    <row r="344" s="2075" customFormat="1" spans="1:10">
      <c r="A344" s="2092"/>
      <c r="B344" s="2085"/>
      <c r="C344" s="2085"/>
      <c r="D344" s="2092"/>
      <c r="E344" s="2117">
        <f t="shared" si="4"/>
        <v>0</v>
      </c>
      <c r="F344" s="2080"/>
      <c r="G344" s="2080"/>
      <c r="H344" s="2080"/>
      <c r="I344" s="2080"/>
      <c r="J344" s="2118" t="s">
        <v>506</v>
      </c>
    </row>
    <row r="345" s="2075" customFormat="1" spans="1:10">
      <c r="A345" s="2082" t="s">
        <v>384</v>
      </c>
      <c r="B345" s="2048">
        <f>ROUND(SUM(B335:B344),2)</f>
        <v>0</v>
      </c>
      <c r="C345" s="2048">
        <f>ROUND(SUM(C335:C344),2)</f>
        <v>0</v>
      </c>
      <c r="D345" s="2048"/>
      <c r="E345" s="2093">
        <f t="shared" si="4"/>
        <v>0</v>
      </c>
      <c r="F345" s="2080"/>
      <c r="G345" s="2080"/>
      <c r="H345" s="2080"/>
      <c r="I345" s="2080"/>
      <c r="J345" s="2118" t="s">
        <v>507</v>
      </c>
    </row>
    <row r="346" s="2075" customFormat="1" spans="1:10">
      <c r="A346" s="2103"/>
      <c r="B346" s="2080"/>
      <c r="C346" s="2080"/>
      <c r="D346" s="2080"/>
      <c r="E346" s="2080"/>
      <c r="F346" s="2080"/>
      <c r="G346" s="2080"/>
      <c r="H346" s="2080"/>
      <c r="I346" s="2080"/>
      <c r="J346" s="2141"/>
    </row>
    <row r="347" s="2075" customFormat="1" spans="1:10">
      <c r="A347" s="2096" t="s">
        <v>508</v>
      </c>
      <c r="B347" s="2080"/>
      <c r="C347" s="2080"/>
      <c r="D347" s="2080"/>
      <c r="E347" s="2080"/>
      <c r="F347" s="2080"/>
      <c r="G347" s="2080"/>
      <c r="H347" s="2080"/>
      <c r="I347" s="2080"/>
      <c r="J347" s="2141"/>
    </row>
    <row r="348" s="2075" customFormat="1" spans="1:10">
      <c r="A348" s="2082" t="s">
        <v>314</v>
      </c>
      <c r="B348" s="2082" t="s">
        <v>509</v>
      </c>
      <c r="C348" s="2082" t="s">
        <v>510</v>
      </c>
      <c r="D348" s="2082" t="s">
        <v>488</v>
      </c>
      <c r="E348" s="2082" t="s">
        <v>511</v>
      </c>
      <c r="F348" s="2080"/>
      <c r="G348" s="2080"/>
      <c r="H348" s="2080"/>
      <c r="I348" s="2080"/>
      <c r="J348" s="2141"/>
    </row>
    <row r="349" s="2075" customFormat="1" spans="1:10">
      <c r="A349" s="2092"/>
      <c r="B349" s="2085"/>
      <c r="C349" s="2085"/>
      <c r="D349" s="2092"/>
      <c r="E349" s="2092"/>
      <c r="F349" s="2080"/>
      <c r="G349" s="2080"/>
      <c r="H349" s="2080"/>
      <c r="I349" s="2080"/>
      <c r="J349" s="2118" t="s">
        <v>512</v>
      </c>
    </row>
    <row r="350" s="2075" customFormat="1" spans="1:10">
      <c r="A350" s="2092"/>
      <c r="B350" s="2085"/>
      <c r="C350" s="2085"/>
      <c r="D350" s="2092"/>
      <c r="E350" s="2092"/>
      <c r="F350" s="2080"/>
      <c r="G350" s="2080"/>
      <c r="H350" s="2080"/>
      <c r="I350" s="2080"/>
      <c r="J350" s="2118" t="s">
        <v>512</v>
      </c>
    </row>
    <row r="351" s="2075" customFormat="1" spans="1:10">
      <c r="A351" s="2092"/>
      <c r="B351" s="2085"/>
      <c r="C351" s="2085"/>
      <c r="D351" s="2092"/>
      <c r="E351" s="2092"/>
      <c r="F351" s="2080"/>
      <c r="G351" s="2080"/>
      <c r="H351" s="2080"/>
      <c r="I351" s="2080"/>
      <c r="J351" s="2118" t="s">
        <v>512</v>
      </c>
    </row>
    <row r="352" s="2075" customFormat="1" spans="1:10">
      <c r="A352" s="2092"/>
      <c r="B352" s="2085"/>
      <c r="C352" s="2085"/>
      <c r="D352" s="2092"/>
      <c r="E352" s="2092"/>
      <c r="F352" s="2080"/>
      <c r="G352" s="2080"/>
      <c r="H352" s="2080"/>
      <c r="I352" s="2080"/>
      <c r="J352" s="2118" t="s">
        <v>512</v>
      </c>
    </row>
    <row r="353" s="2075" customFormat="1" spans="1:10">
      <c r="A353" s="2092"/>
      <c r="B353" s="2085"/>
      <c r="C353" s="2085"/>
      <c r="D353" s="2092"/>
      <c r="E353" s="2092"/>
      <c r="F353" s="2080"/>
      <c r="G353" s="2080"/>
      <c r="H353" s="2080"/>
      <c r="I353" s="2080"/>
      <c r="J353" s="2118" t="s">
        <v>512</v>
      </c>
    </row>
    <row r="354" s="2075" customFormat="1" spans="1:10">
      <c r="A354" s="2092"/>
      <c r="B354" s="2085"/>
      <c r="C354" s="2085"/>
      <c r="D354" s="2092"/>
      <c r="E354" s="2092"/>
      <c r="F354" s="2080"/>
      <c r="G354" s="2080"/>
      <c r="H354" s="2080"/>
      <c r="I354" s="2080"/>
      <c r="J354" s="2118" t="s">
        <v>512</v>
      </c>
    </row>
    <row r="355" s="2075" customFormat="1" spans="1:10">
      <c r="A355" s="2092"/>
      <c r="B355" s="2085"/>
      <c r="C355" s="2085"/>
      <c r="D355" s="2092"/>
      <c r="E355" s="2092"/>
      <c r="F355" s="2080"/>
      <c r="G355" s="2080"/>
      <c r="H355" s="2080"/>
      <c r="I355" s="2080"/>
      <c r="J355" s="2118" t="s">
        <v>512</v>
      </c>
    </row>
    <row r="356" s="2075" customFormat="1" spans="1:10">
      <c r="A356" s="2092"/>
      <c r="B356" s="2085"/>
      <c r="C356" s="2085"/>
      <c r="D356" s="2092"/>
      <c r="E356" s="2092"/>
      <c r="F356" s="2080"/>
      <c r="G356" s="2080"/>
      <c r="H356" s="2080"/>
      <c r="I356" s="2080"/>
      <c r="J356" s="2118" t="s">
        <v>512</v>
      </c>
    </row>
    <row r="357" s="2075" customFormat="1" spans="1:10">
      <c r="A357" s="2092"/>
      <c r="B357" s="2085"/>
      <c r="C357" s="2085"/>
      <c r="D357" s="2092"/>
      <c r="E357" s="2092"/>
      <c r="F357" s="2080"/>
      <c r="G357" s="2080"/>
      <c r="H357" s="2080"/>
      <c r="I357" s="2080"/>
      <c r="J357" s="2118" t="s">
        <v>512</v>
      </c>
    </row>
    <row r="358" s="2075" customFormat="1" spans="1:10">
      <c r="A358" s="2092"/>
      <c r="B358" s="2085"/>
      <c r="C358" s="2085"/>
      <c r="D358" s="2092"/>
      <c r="E358" s="2092"/>
      <c r="F358" s="2080"/>
      <c r="G358" s="2080"/>
      <c r="H358" s="2080"/>
      <c r="I358" s="2080"/>
      <c r="J358" s="2118" t="s">
        <v>512</v>
      </c>
    </row>
    <row r="359" s="2075" customFormat="1" spans="1:10">
      <c r="A359" s="2082" t="s">
        <v>384</v>
      </c>
      <c r="B359" s="2048">
        <f>ROUND(SUM(B349:B358),2)</f>
        <v>0</v>
      </c>
      <c r="C359" s="2048">
        <f>ROUND(SUM(C349:C358),2)</f>
        <v>0</v>
      </c>
      <c r="D359" s="2048"/>
      <c r="E359" s="2048"/>
      <c r="F359" s="2080"/>
      <c r="G359" s="2080"/>
      <c r="H359" s="2080"/>
      <c r="I359" s="2080"/>
      <c r="J359" s="2118" t="s">
        <v>513</v>
      </c>
    </row>
    <row r="360" s="2075" customFormat="1" spans="1:10">
      <c r="A360" s="2103"/>
      <c r="B360" s="2080"/>
      <c r="C360" s="2080"/>
      <c r="D360" s="2080"/>
      <c r="E360" s="2080"/>
      <c r="F360" s="2080"/>
      <c r="G360" s="2080"/>
      <c r="H360" s="2080"/>
      <c r="I360" s="2080"/>
      <c r="J360" s="2141"/>
    </row>
    <row r="361" s="2075" customFormat="1" spans="1:10">
      <c r="A361" s="2096" t="s">
        <v>514</v>
      </c>
      <c r="B361" s="2080"/>
      <c r="C361" s="2080"/>
      <c r="D361" s="2080"/>
      <c r="E361" s="2080"/>
      <c r="F361" s="2080"/>
      <c r="G361" s="2080"/>
      <c r="H361" s="2080"/>
      <c r="I361" s="2080"/>
      <c r="J361" s="2141"/>
    </row>
    <row r="362" s="2075" customFormat="1" spans="1:10">
      <c r="A362" s="2082" t="s">
        <v>314</v>
      </c>
      <c r="B362" s="2082" t="s">
        <v>515</v>
      </c>
      <c r="C362" s="2082" t="s">
        <v>516</v>
      </c>
      <c r="D362" s="2080"/>
      <c r="E362" s="2080"/>
      <c r="F362" s="2080"/>
      <c r="G362" s="2080"/>
      <c r="H362" s="2080"/>
      <c r="I362" s="2080"/>
      <c r="J362" s="2141"/>
    </row>
    <row r="363" s="2075" customFormat="1" spans="1:10">
      <c r="A363" s="2092"/>
      <c r="B363" s="2085"/>
      <c r="C363" s="2092"/>
      <c r="D363" s="2080"/>
      <c r="E363" s="2080"/>
      <c r="F363" s="2080"/>
      <c r="G363" s="2080"/>
      <c r="H363" s="2080"/>
      <c r="I363" s="2080"/>
      <c r="J363" s="2118" t="s">
        <v>517</v>
      </c>
    </row>
    <row r="364" s="2075" customFormat="1" spans="1:10">
      <c r="A364" s="2092"/>
      <c r="B364" s="2085"/>
      <c r="C364" s="2092"/>
      <c r="D364" s="2080"/>
      <c r="E364" s="2080"/>
      <c r="F364" s="2080"/>
      <c r="G364" s="2080"/>
      <c r="H364" s="2080"/>
      <c r="I364" s="2080"/>
      <c r="J364" s="2118" t="s">
        <v>517</v>
      </c>
    </row>
    <row r="365" s="2075" customFormat="1" spans="1:10">
      <c r="A365" s="2092"/>
      <c r="B365" s="2085"/>
      <c r="C365" s="2092"/>
      <c r="D365" s="2080"/>
      <c r="E365" s="2080"/>
      <c r="F365" s="2080"/>
      <c r="G365" s="2080"/>
      <c r="H365" s="2080"/>
      <c r="I365" s="2080"/>
      <c r="J365" s="2118" t="s">
        <v>517</v>
      </c>
    </row>
    <row r="366" s="2075" customFormat="1" spans="1:10">
      <c r="A366" s="2092"/>
      <c r="B366" s="2085"/>
      <c r="C366" s="2092"/>
      <c r="D366" s="2080"/>
      <c r="E366" s="2080"/>
      <c r="F366" s="2080"/>
      <c r="G366" s="2080"/>
      <c r="H366" s="2080"/>
      <c r="I366" s="2080"/>
      <c r="J366" s="2118" t="s">
        <v>517</v>
      </c>
    </row>
    <row r="367" s="2075" customFormat="1" spans="1:10">
      <c r="A367" s="2092"/>
      <c r="B367" s="2085"/>
      <c r="C367" s="2092"/>
      <c r="D367" s="2080"/>
      <c r="E367" s="2080"/>
      <c r="F367" s="2080"/>
      <c r="G367" s="2080"/>
      <c r="H367" s="2080"/>
      <c r="I367" s="2080"/>
      <c r="J367" s="2118" t="s">
        <v>517</v>
      </c>
    </row>
    <row r="368" s="2075" customFormat="1" spans="1:10">
      <c r="A368" s="2092"/>
      <c r="B368" s="2085"/>
      <c r="C368" s="2092"/>
      <c r="D368" s="2080"/>
      <c r="E368" s="2080"/>
      <c r="F368" s="2080"/>
      <c r="G368" s="2080"/>
      <c r="H368" s="2080"/>
      <c r="I368" s="2080"/>
      <c r="J368" s="2118" t="s">
        <v>517</v>
      </c>
    </row>
    <row r="369" s="2075" customFormat="1" spans="1:10">
      <c r="A369" s="2092"/>
      <c r="B369" s="2085"/>
      <c r="C369" s="2092"/>
      <c r="D369" s="2080"/>
      <c r="E369" s="2080"/>
      <c r="F369" s="2080"/>
      <c r="G369" s="2080"/>
      <c r="H369" s="2080"/>
      <c r="I369" s="2080"/>
      <c r="J369" s="2118" t="s">
        <v>517</v>
      </c>
    </row>
    <row r="370" s="2075" customFormat="1" spans="1:10">
      <c r="A370" s="2092"/>
      <c r="B370" s="2085"/>
      <c r="C370" s="2092"/>
      <c r="D370" s="2080"/>
      <c r="E370" s="2080"/>
      <c r="F370" s="2080"/>
      <c r="G370" s="2080"/>
      <c r="H370" s="2080"/>
      <c r="I370" s="2080"/>
      <c r="J370" s="2118" t="s">
        <v>517</v>
      </c>
    </row>
    <row r="371" s="2075" customFormat="1" spans="1:10">
      <c r="A371" s="2092"/>
      <c r="B371" s="2085"/>
      <c r="C371" s="2092"/>
      <c r="D371" s="2080"/>
      <c r="E371" s="2080"/>
      <c r="F371" s="2080"/>
      <c r="G371" s="2080"/>
      <c r="H371" s="2080"/>
      <c r="I371" s="2080"/>
      <c r="J371" s="2118" t="s">
        <v>517</v>
      </c>
    </row>
    <row r="372" s="2075" customFormat="1" spans="1:10">
      <c r="A372" s="2092"/>
      <c r="B372" s="2085"/>
      <c r="C372" s="2092"/>
      <c r="D372" s="2080"/>
      <c r="E372" s="2080"/>
      <c r="F372" s="2080"/>
      <c r="G372" s="2080"/>
      <c r="H372" s="2080"/>
      <c r="I372" s="2080"/>
      <c r="J372" s="2118" t="s">
        <v>517</v>
      </c>
    </row>
    <row r="373" s="2075" customFormat="1" spans="1:10">
      <c r="A373" s="2082" t="s">
        <v>384</v>
      </c>
      <c r="B373" s="2048">
        <f>ROUND(SUM(B363:B372),2)</f>
        <v>0</v>
      </c>
      <c r="C373" s="2048"/>
      <c r="D373" s="2080"/>
      <c r="E373" s="2080"/>
      <c r="F373" s="2080"/>
      <c r="G373" s="2080"/>
      <c r="H373" s="2080"/>
      <c r="I373" s="2080"/>
      <c r="J373" s="2118" t="s">
        <v>518</v>
      </c>
    </row>
    <row r="374" s="2075" customFormat="1" spans="1:10">
      <c r="A374" s="2103"/>
      <c r="B374" s="2080"/>
      <c r="C374" s="2080"/>
      <c r="D374" s="2080"/>
      <c r="E374" s="2080"/>
      <c r="F374" s="2080"/>
      <c r="G374" s="2080"/>
      <c r="H374" s="2080"/>
      <c r="I374" s="2080"/>
      <c r="J374" s="2141"/>
    </row>
    <row r="375" s="2075" customFormat="1" spans="1:10">
      <c r="A375" s="2103"/>
      <c r="B375" s="2080"/>
      <c r="C375" s="2080"/>
      <c r="D375" s="2080"/>
      <c r="E375" s="2080"/>
      <c r="F375" s="2080"/>
      <c r="G375" s="2080"/>
      <c r="H375" s="2080"/>
      <c r="I375" s="2080"/>
      <c r="J375" s="2141"/>
    </row>
    <row r="376" s="2075" customFormat="1" spans="1:10">
      <c r="A376" s="2079" t="s">
        <v>519</v>
      </c>
      <c r="B376" s="2080"/>
      <c r="C376" s="2080"/>
      <c r="D376" s="2080"/>
      <c r="E376" s="2080"/>
      <c r="F376" s="2080"/>
      <c r="G376" s="2080"/>
      <c r="H376" s="2080"/>
      <c r="I376" s="2080"/>
      <c r="J376" s="2141"/>
    </row>
    <row r="377" s="2075" customFormat="1" spans="1:10">
      <c r="A377" s="2081" t="s">
        <v>520</v>
      </c>
      <c r="B377" s="2080"/>
      <c r="C377" s="2080"/>
      <c r="D377" s="2080"/>
      <c r="E377" s="2080"/>
      <c r="F377" s="2080"/>
      <c r="G377" s="2080"/>
      <c r="H377" s="2080"/>
      <c r="I377" s="2080"/>
      <c r="J377" s="2141"/>
    </row>
    <row r="378" s="2075" customFormat="1" spans="1:10">
      <c r="A378" s="2082" t="s">
        <v>442</v>
      </c>
      <c r="B378" s="2114" t="s">
        <v>315</v>
      </c>
      <c r="C378" s="2154"/>
      <c r="D378" s="2154"/>
      <c r="E378" s="2155"/>
      <c r="F378" s="2114" t="s">
        <v>316</v>
      </c>
      <c r="G378" s="2154"/>
      <c r="H378" s="2154"/>
      <c r="I378" s="2155"/>
      <c r="J378" s="2141"/>
    </row>
    <row r="379" s="2075" customFormat="1" spans="1:10">
      <c r="A379" s="2082"/>
      <c r="B379" s="2082" t="s">
        <v>443</v>
      </c>
      <c r="C379" s="2082" t="s">
        <v>444</v>
      </c>
      <c r="D379" s="2108" t="s">
        <v>445</v>
      </c>
      <c r="E379" s="2082" t="s">
        <v>446</v>
      </c>
      <c r="F379" s="2082" t="s">
        <v>443</v>
      </c>
      <c r="G379" s="2082" t="s">
        <v>444</v>
      </c>
      <c r="H379" s="2108" t="s">
        <v>445</v>
      </c>
      <c r="I379" s="2082" t="s">
        <v>446</v>
      </c>
      <c r="J379" s="2141"/>
    </row>
    <row r="380" s="2075" customFormat="1" spans="1:10">
      <c r="A380" s="2087" t="s">
        <v>447</v>
      </c>
      <c r="B380" s="2085"/>
      <c r="C380" s="2117">
        <f>IF(B380=0,0,1-C381-C382-C383-C384-C385)</f>
        <v>0</v>
      </c>
      <c r="D380" s="2085"/>
      <c r="E380" s="2117">
        <f t="shared" ref="E380:E386" si="5">IF(B380=0,0,ROUND(D380/B380,4))</f>
        <v>0</v>
      </c>
      <c r="F380" s="2085"/>
      <c r="G380" s="2117">
        <f>IF(F380=0,0,1-G381-G382-G383-G384-G385)</f>
        <v>0</v>
      </c>
      <c r="H380" s="2085"/>
      <c r="I380" s="2117">
        <f t="shared" ref="I380:I386" si="6">IF(F380=0,0,ROUND(H380/F380,4))</f>
        <v>0</v>
      </c>
      <c r="J380" s="2118" t="s">
        <v>521</v>
      </c>
    </row>
    <row r="381" s="2075" customFormat="1" spans="1:10">
      <c r="A381" s="2087" t="s">
        <v>449</v>
      </c>
      <c r="B381" s="2085"/>
      <c r="C381" s="2117">
        <f>IF(B381=0,0,IF(B380=0,ROUND(1-C382-C383-C384-C385,4),ROUND(B381/B386,4)))</f>
        <v>0</v>
      </c>
      <c r="D381" s="2085"/>
      <c r="E381" s="2117">
        <f t="shared" si="5"/>
        <v>0</v>
      </c>
      <c r="F381" s="2085"/>
      <c r="G381" s="2117">
        <f>IF(F381=0,0,IF(F380=0,ROUND(1-G382-G383-G384-G385,4),ROUND(F381/F386,4)))</f>
        <v>0</v>
      </c>
      <c r="H381" s="2085"/>
      <c r="I381" s="2117">
        <f t="shared" si="6"/>
        <v>0</v>
      </c>
      <c r="J381" s="2118" t="s">
        <v>522</v>
      </c>
    </row>
    <row r="382" s="2075" customFormat="1" spans="1:10">
      <c r="A382" s="2087" t="s">
        <v>451</v>
      </c>
      <c r="B382" s="2085"/>
      <c r="C382" s="2117">
        <f>IF(B382=0,0,IF(AND(B380=0,B381=0),ROUND(1-C383-C384-C385,4),ROUND(B382/B386,4)))</f>
        <v>0</v>
      </c>
      <c r="D382" s="2085"/>
      <c r="E382" s="2117">
        <f t="shared" si="5"/>
        <v>0</v>
      </c>
      <c r="F382" s="2085"/>
      <c r="G382" s="2117">
        <f>IF(F382=0,0,IF(AND(F380=0,F381=0),ROUND(1-G383-G384-G385,4),ROUND(F382/F386,4)))</f>
        <v>0</v>
      </c>
      <c r="H382" s="2085"/>
      <c r="I382" s="2117">
        <f t="shared" si="6"/>
        <v>0</v>
      </c>
      <c r="J382" s="2118" t="s">
        <v>523</v>
      </c>
    </row>
    <row r="383" s="2075" customFormat="1" spans="1:10">
      <c r="A383" s="2087" t="s">
        <v>453</v>
      </c>
      <c r="B383" s="2085"/>
      <c r="C383" s="2117">
        <f>IF(B383=0,0,IF(AND(B380=0,B381=0,B382=0),ROUND(1-C384-C385,4),ROUND(B383/B386,4)))</f>
        <v>0</v>
      </c>
      <c r="D383" s="2085"/>
      <c r="E383" s="2117">
        <f t="shared" si="5"/>
        <v>0</v>
      </c>
      <c r="F383" s="2085"/>
      <c r="G383" s="2117">
        <f>IF(F383=0,0,IF(AND(F380=0,F381=0,F382=0),ROUND(1-G384-G385,4),ROUND(F383/F386,4)))</f>
        <v>0</v>
      </c>
      <c r="H383" s="2085"/>
      <c r="I383" s="2117">
        <f t="shared" si="6"/>
        <v>0</v>
      </c>
      <c r="J383" s="2118" t="s">
        <v>524</v>
      </c>
    </row>
    <row r="384" s="2075" customFormat="1" spans="1:10">
      <c r="A384" s="2087" t="s">
        <v>455</v>
      </c>
      <c r="B384" s="2085"/>
      <c r="C384" s="2117">
        <f>IF(B384=0,0,IF(AND(B380=0,B381=0,B382=0,B383=0),ROUND(1-C385,4),ROUND(B384/B386,4)))</f>
        <v>0</v>
      </c>
      <c r="D384" s="2085"/>
      <c r="E384" s="2117">
        <f t="shared" si="5"/>
        <v>0</v>
      </c>
      <c r="F384" s="2085"/>
      <c r="G384" s="2117">
        <f>IF(F384=0,0,IF(AND(F380=0,F381=0,F382=0,F383=0),ROUND(1-G385,4),ROUND(F384/F386,4)))</f>
        <v>0</v>
      </c>
      <c r="H384" s="2085"/>
      <c r="I384" s="2117">
        <f t="shared" si="6"/>
        <v>0</v>
      </c>
      <c r="J384" s="2118" t="s">
        <v>525</v>
      </c>
    </row>
    <row r="385" s="2075" customFormat="1" spans="1:10">
      <c r="A385" s="2087" t="s">
        <v>457</v>
      </c>
      <c r="B385" s="2085"/>
      <c r="C385" s="2117">
        <f>IF(B385=0,0,ROUND(B385/B386,4))</f>
        <v>0</v>
      </c>
      <c r="D385" s="2085"/>
      <c r="E385" s="2117">
        <f t="shared" si="5"/>
        <v>0</v>
      </c>
      <c r="F385" s="2085"/>
      <c r="G385" s="2117">
        <f>IF(F385=0,0,ROUND(F385/F386,4))</f>
        <v>0</v>
      </c>
      <c r="H385" s="2085"/>
      <c r="I385" s="2117">
        <f t="shared" si="6"/>
        <v>0</v>
      </c>
      <c r="J385" s="2118" t="s">
        <v>526</v>
      </c>
    </row>
    <row r="386" s="2075" customFormat="1" spans="1:10">
      <c r="A386" s="2082" t="s">
        <v>384</v>
      </c>
      <c r="B386" s="2048">
        <f>ROUND(SUM(B380:B385),2)</f>
        <v>0</v>
      </c>
      <c r="C386" s="2093">
        <f>IF(B386=0,0,1)</f>
        <v>0</v>
      </c>
      <c r="D386" s="2048">
        <f>ROUND(SUM(D380:D385),2)</f>
        <v>0</v>
      </c>
      <c r="E386" s="2093">
        <f t="shared" si="5"/>
        <v>0</v>
      </c>
      <c r="F386" s="2048">
        <f>ROUND(SUM(F380:F385),2)</f>
        <v>0</v>
      </c>
      <c r="G386" s="2093">
        <f>IF(F386=0,0,1)</f>
        <v>0</v>
      </c>
      <c r="H386" s="2048">
        <f>ROUND(SUM(H380:H385),2)</f>
        <v>0</v>
      </c>
      <c r="I386" s="2093">
        <f t="shared" si="6"/>
        <v>0</v>
      </c>
      <c r="J386" s="2118" t="s">
        <v>527</v>
      </c>
    </row>
    <row r="387" s="2075" customFormat="1" spans="1:10">
      <c r="A387" s="2103"/>
      <c r="B387" s="2080"/>
      <c r="C387" s="2080"/>
      <c r="D387" s="2080"/>
      <c r="E387" s="2080"/>
      <c r="F387" s="2080"/>
      <c r="G387" s="2080"/>
      <c r="H387" s="2080"/>
      <c r="I387" s="2080"/>
      <c r="J387" s="2141"/>
    </row>
    <row r="388" s="2075" customFormat="1" spans="1:10">
      <c r="A388" s="2081" t="s">
        <v>460</v>
      </c>
      <c r="B388" s="2080"/>
      <c r="C388" s="2080"/>
      <c r="D388" s="2080"/>
      <c r="E388" s="2080"/>
      <c r="F388" s="2080"/>
      <c r="G388" s="2080"/>
      <c r="H388" s="2080"/>
      <c r="I388" s="2080"/>
      <c r="J388" s="2141"/>
    </row>
    <row r="389" s="2075" customFormat="1" spans="1:10">
      <c r="A389" s="2089" t="s">
        <v>372</v>
      </c>
      <c r="B389" s="2114" t="s">
        <v>315</v>
      </c>
      <c r="C389" s="2154"/>
      <c r="D389" s="2154"/>
      <c r="E389" s="2155"/>
      <c r="F389" s="2114" t="s">
        <v>316</v>
      </c>
      <c r="G389" s="2154"/>
      <c r="H389" s="2154"/>
      <c r="I389" s="2155"/>
      <c r="J389" s="2141"/>
    </row>
    <row r="390" s="2075" customFormat="1" spans="1:10">
      <c r="A390" s="2090"/>
      <c r="B390" s="2082" t="s">
        <v>443</v>
      </c>
      <c r="C390" s="2082" t="s">
        <v>444</v>
      </c>
      <c r="D390" s="2108" t="s">
        <v>445</v>
      </c>
      <c r="E390" s="2082" t="s">
        <v>446</v>
      </c>
      <c r="F390" s="2082" t="s">
        <v>443</v>
      </c>
      <c r="G390" s="2082" t="s">
        <v>444</v>
      </c>
      <c r="H390" s="2108" t="s">
        <v>445</v>
      </c>
      <c r="I390" s="2082" t="s">
        <v>446</v>
      </c>
      <c r="J390" s="2141"/>
    </row>
    <row r="391" s="2075" customFormat="1" spans="1:10">
      <c r="A391" s="2084" t="s">
        <v>461</v>
      </c>
      <c r="B391" s="2085"/>
      <c r="C391" s="2117">
        <f>IF(B391=0,0,1-C392-C393)</f>
        <v>0</v>
      </c>
      <c r="D391" s="2085"/>
      <c r="E391" s="2117">
        <f>IF(B391=0,0,ROUND(D391/B391,4))</f>
        <v>0</v>
      </c>
      <c r="F391" s="2085"/>
      <c r="G391" s="2117">
        <f>IF(F391=0,0,1-G392-G393)</f>
        <v>0</v>
      </c>
      <c r="H391" s="2085"/>
      <c r="I391" s="2117">
        <f>IF(F391=0,0,ROUND(H391/F391,4))</f>
        <v>0</v>
      </c>
      <c r="J391" s="2118" t="s">
        <v>528</v>
      </c>
    </row>
    <row r="392" s="2075" customFormat="1" spans="1:10">
      <c r="A392" s="2084" t="s">
        <v>463</v>
      </c>
      <c r="B392" s="2085"/>
      <c r="C392" s="2117">
        <f>IF(B392=0,0,IF(B391=0,ROUND(1-C393,4),ROUND(B392/B$394,4)))</f>
        <v>0</v>
      </c>
      <c r="D392" s="2085"/>
      <c r="E392" s="2117">
        <f>IF(B392=0,0,ROUND(D392/B392,4))</f>
        <v>0</v>
      </c>
      <c r="F392" s="2085"/>
      <c r="G392" s="2117">
        <f>IF(F392=0,0,IF(F391=0,ROUND(1-G393,4),ROUND(F392/F$394,4)))</f>
        <v>0</v>
      </c>
      <c r="H392" s="2085"/>
      <c r="I392" s="2117">
        <f>IF(F392=0,0,ROUND(H392/F392,4))</f>
        <v>0</v>
      </c>
      <c r="J392" s="2118" t="s">
        <v>529</v>
      </c>
    </row>
    <row r="393" s="2075" customFormat="1" spans="1:10">
      <c r="A393" s="2084" t="s">
        <v>465</v>
      </c>
      <c r="B393" s="2120">
        <f>ROUND(B394-B391-B392,2)</f>
        <v>0</v>
      </c>
      <c r="C393" s="2117">
        <f>IF(B393=0,0,ROUND(B393/B$394,4))</f>
        <v>0</v>
      </c>
      <c r="D393" s="2120">
        <f>ROUND(D394-D391-D392,2)</f>
        <v>0</v>
      </c>
      <c r="E393" s="2117">
        <f>IF(B393=0,0,ROUND(D393/B393,4))</f>
        <v>0</v>
      </c>
      <c r="F393" s="2120">
        <f>ROUND(F394-F391-F392,2)</f>
        <v>0</v>
      </c>
      <c r="G393" s="2117">
        <f>IF(F393=0,0,ROUND(F393/F$394,4))</f>
        <v>0</v>
      </c>
      <c r="H393" s="2120">
        <f>ROUND(H394-H391-H392,2)</f>
        <v>0</v>
      </c>
      <c r="I393" s="2117">
        <f>IF(F393=0,0,ROUND(H393/F393,4))</f>
        <v>0</v>
      </c>
      <c r="J393" s="2118" t="s">
        <v>530</v>
      </c>
    </row>
    <row r="394" s="2075" customFormat="1" spans="1:10">
      <c r="A394" s="2082" t="s">
        <v>384</v>
      </c>
      <c r="B394" s="2048">
        <f>B386</f>
        <v>0</v>
      </c>
      <c r="C394" s="2093">
        <f>IF(B394=0,0,1)</f>
        <v>0</v>
      </c>
      <c r="D394" s="2048">
        <f>D386</f>
        <v>0</v>
      </c>
      <c r="E394" s="2093">
        <f>IF(B394=0,0,ROUND(D394/B394,4))</f>
        <v>0</v>
      </c>
      <c r="F394" s="2048">
        <f>F386</f>
        <v>0</v>
      </c>
      <c r="G394" s="2093">
        <f>IF(F394=0,0,1)</f>
        <v>0</v>
      </c>
      <c r="H394" s="2048">
        <f>H386</f>
        <v>0</v>
      </c>
      <c r="I394" s="2093">
        <f>IF(F394=0,0,ROUND(H394/F394,4))</f>
        <v>0</v>
      </c>
      <c r="J394" s="2118" t="s">
        <v>531</v>
      </c>
    </row>
    <row r="395" s="2075" customFormat="1" spans="1:10">
      <c r="A395" s="2103"/>
      <c r="B395" s="2080"/>
      <c r="C395" s="2080"/>
      <c r="D395" s="2080"/>
      <c r="E395" s="2080"/>
      <c r="F395" s="2080"/>
      <c r="G395" s="2080"/>
      <c r="H395" s="2080"/>
      <c r="I395" s="2080"/>
      <c r="J395" s="2141"/>
    </row>
    <row r="396" s="2075" customFormat="1" spans="1:10">
      <c r="A396" s="2081" t="s">
        <v>468</v>
      </c>
      <c r="B396" s="2080"/>
      <c r="C396" s="2080"/>
      <c r="D396" s="2080"/>
      <c r="E396" s="2080"/>
      <c r="F396" s="2080"/>
      <c r="G396" s="2080"/>
      <c r="H396" s="2080"/>
      <c r="I396" s="2080"/>
      <c r="J396" s="2141"/>
    </row>
    <row r="397" s="2075" customFormat="1" spans="1:10">
      <c r="A397" s="2082" t="s">
        <v>469</v>
      </c>
      <c r="B397" s="2082" t="s">
        <v>315</v>
      </c>
      <c r="C397" s="2082" t="s">
        <v>470</v>
      </c>
      <c r="D397" s="2082" t="s">
        <v>446</v>
      </c>
      <c r="E397" s="2082" t="s">
        <v>471</v>
      </c>
      <c r="F397" s="2080"/>
      <c r="G397" s="2080"/>
      <c r="H397" s="2080"/>
      <c r="I397" s="2080"/>
      <c r="J397" s="2141"/>
    </row>
    <row r="398" s="2075" customFormat="1" spans="1:10">
      <c r="A398" s="2092"/>
      <c r="B398" s="2085"/>
      <c r="C398" s="2085"/>
      <c r="D398" s="2117">
        <f>IF(B398=0,0,ROUND(C398/B398,4))</f>
        <v>0</v>
      </c>
      <c r="E398" s="2092"/>
      <c r="F398" s="2080"/>
      <c r="G398" s="2080"/>
      <c r="H398" s="2080"/>
      <c r="I398" s="2080"/>
      <c r="J398" s="2118" t="s">
        <v>532</v>
      </c>
    </row>
    <row r="399" s="2075" customFormat="1" spans="1:10">
      <c r="A399" s="2092"/>
      <c r="B399" s="2085"/>
      <c r="C399" s="2085"/>
      <c r="D399" s="2117">
        <f t="shared" ref="D399:D408" si="7">IF(B399=0,0,ROUND(C399/B399,4))</f>
        <v>0</v>
      </c>
      <c r="E399" s="2092"/>
      <c r="F399" s="2080"/>
      <c r="G399" s="2080"/>
      <c r="H399" s="2080"/>
      <c r="I399" s="2080"/>
      <c r="J399" s="2118" t="s">
        <v>532</v>
      </c>
    </row>
    <row r="400" s="2075" customFormat="1" spans="1:10">
      <c r="A400" s="2092"/>
      <c r="B400" s="2085"/>
      <c r="C400" s="2085"/>
      <c r="D400" s="2117">
        <f t="shared" si="7"/>
        <v>0</v>
      </c>
      <c r="E400" s="2092"/>
      <c r="F400" s="2080"/>
      <c r="G400" s="2080"/>
      <c r="H400" s="2080"/>
      <c r="I400" s="2080"/>
      <c r="J400" s="2118" t="s">
        <v>532</v>
      </c>
    </row>
    <row r="401" s="2075" customFormat="1" spans="1:10">
      <c r="A401" s="2092"/>
      <c r="B401" s="2085"/>
      <c r="C401" s="2085"/>
      <c r="D401" s="2117">
        <f t="shared" si="7"/>
        <v>0</v>
      </c>
      <c r="E401" s="2092"/>
      <c r="F401" s="2080"/>
      <c r="G401" s="2080"/>
      <c r="H401" s="2080"/>
      <c r="I401" s="2080"/>
      <c r="J401" s="2118" t="s">
        <v>532</v>
      </c>
    </row>
    <row r="402" s="2075" customFormat="1" spans="1:10">
      <c r="A402" s="2092"/>
      <c r="B402" s="2085"/>
      <c r="C402" s="2085"/>
      <c r="D402" s="2117">
        <f t="shared" si="7"/>
        <v>0</v>
      </c>
      <c r="E402" s="2092"/>
      <c r="F402" s="2080"/>
      <c r="G402" s="2080"/>
      <c r="H402" s="2080"/>
      <c r="I402" s="2080"/>
      <c r="J402" s="2118" t="s">
        <v>532</v>
      </c>
    </row>
    <row r="403" s="2075" customFormat="1" spans="1:10">
      <c r="A403" s="2092"/>
      <c r="B403" s="2085"/>
      <c r="C403" s="2085"/>
      <c r="D403" s="2117">
        <f t="shared" si="7"/>
        <v>0</v>
      </c>
      <c r="E403" s="2092"/>
      <c r="F403" s="2080"/>
      <c r="G403" s="2080"/>
      <c r="H403" s="2080"/>
      <c r="I403" s="2080"/>
      <c r="J403" s="2118" t="s">
        <v>532</v>
      </c>
    </row>
    <row r="404" s="2075" customFormat="1" spans="1:10">
      <c r="A404" s="2092"/>
      <c r="B404" s="2085"/>
      <c r="C404" s="2085"/>
      <c r="D404" s="2117">
        <f t="shared" si="7"/>
        <v>0</v>
      </c>
      <c r="E404" s="2092"/>
      <c r="F404" s="2080"/>
      <c r="G404" s="2080"/>
      <c r="H404" s="2080"/>
      <c r="I404" s="2080"/>
      <c r="J404" s="2118" t="s">
        <v>532</v>
      </c>
    </row>
    <row r="405" s="2075" customFormat="1" spans="1:10">
      <c r="A405" s="2092"/>
      <c r="B405" s="2085"/>
      <c r="C405" s="2085"/>
      <c r="D405" s="2117">
        <f t="shared" si="7"/>
        <v>0</v>
      </c>
      <c r="E405" s="2092"/>
      <c r="F405" s="2080"/>
      <c r="G405" s="2080"/>
      <c r="H405" s="2080"/>
      <c r="I405" s="2080"/>
      <c r="J405" s="2118" t="s">
        <v>532</v>
      </c>
    </row>
    <row r="406" s="2075" customFormat="1" spans="1:10">
      <c r="A406" s="2092"/>
      <c r="B406" s="2085"/>
      <c r="C406" s="2085"/>
      <c r="D406" s="2117">
        <f t="shared" si="7"/>
        <v>0</v>
      </c>
      <c r="E406" s="2092"/>
      <c r="F406" s="2080"/>
      <c r="G406" s="2080"/>
      <c r="H406" s="2080"/>
      <c r="I406" s="2080"/>
      <c r="J406" s="2118" t="s">
        <v>532</v>
      </c>
    </row>
    <row r="407" s="2075" customFormat="1" spans="1:10">
      <c r="A407" s="2092"/>
      <c r="B407" s="2085"/>
      <c r="C407" s="2085"/>
      <c r="D407" s="2117">
        <f t="shared" si="7"/>
        <v>0</v>
      </c>
      <c r="E407" s="2092"/>
      <c r="F407" s="2080"/>
      <c r="G407" s="2080"/>
      <c r="H407" s="2080"/>
      <c r="I407" s="2080"/>
      <c r="J407" s="2118" t="s">
        <v>532</v>
      </c>
    </row>
    <row r="408" s="2075" customFormat="1" spans="1:10">
      <c r="A408" s="2082" t="s">
        <v>384</v>
      </c>
      <c r="B408" s="2048">
        <f>ROUND(SUM(B398:B407),2)</f>
        <v>0</v>
      </c>
      <c r="C408" s="2048">
        <f>ROUND(SUM(C398:C407),2)</f>
        <v>0</v>
      </c>
      <c r="D408" s="2093">
        <f t="shared" si="7"/>
        <v>0</v>
      </c>
      <c r="E408" s="2048"/>
      <c r="F408" s="2080"/>
      <c r="G408" s="2080"/>
      <c r="H408" s="2080"/>
      <c r="I408" s="2080"/>
      <c r="J408" s="2118" t="s">
        <v>533</v>
      </c>
    </row>
    <row r="409" s="2075" customFormat="1" spans="1:10">
      <c r="A409" s="2103"/>
      <c r="B409" s="2080"/>
      <c r="C409" s="2080"/>
      <c r="D409" s="2080"/>
      <c r="E409" s="2080"/>
      <c r="F409" s="2080"/>
      <c r="G409" s="2080"/>
      <c r="H409" s="2080"/>
      <c r="I409" s="2080"/>
      <c r="J409" s="2141"/>
    </row>
    <row r="410" s="2075" customFormat="1" spans="1:10">
      <c r="A410" s="2096" t="s">
        <v>474</v>
      </c>
      <c r="B410" s="2080"/>
      <c r="C410" s="2080"/>
      <c r="D410" s="2080"/>
      <c r="E410" s="2080"/>
      <c r="F410" s="2080"/>
      <c r="G410" s="2080"/>
      <c r="H410" s="2080"/>
      <c r="I410" s="2080"/>
      <c r="J410" s="2141"/>
    </row>
    <row r="411" s="2075" customFormat="1" spans="1:10">
      <c r="A411" s="2082" t="s">
        <v>314</v>
      </c>
      <c r="B411" s="2082" t="s">
        <v>315</v>
      </c>
      <c r="C411" s="2082" t="s">
        <v>475</v>
      </c>
      <c r="D411" s="2080"/>
      <c r="E411" s="2080"/>
      <c r="F411" s="2080"/>
      <c r="G411" s="2080"/>
      <c r="H411" s="2080"/>
      <c r="I411" s="2080"/>
      <c r="J411" s="2141"/>
    </row>
    <row r="412" s="2075" customFormat="1" spans="1:10">
      <c r="A412" s="2092"/>
      <c r="B412" s="2085"/>
      <c r="C412" s="2092"/>
      <c r="D412" s="2080"/>
      <c r="E412" s="2080"/>
      <c r="F412" s="2080"/>
      <c r="G412" s="2080"/>
      <c r="H412" s="2080"/>
      <c r="I412" s="2080"/>
      <c r="J412" s="2118" t="s">
        <v>534</v>
      </c>
    </row>
    <row r="413" s="2075" customFormat="1" spans="1:10">
      <c r="A413" s="2092"/>
      <c r="B413" s="2085"/>
      <c r="C413" s="2092"/>
      <c r="D413" s="2080"/>
      <c r="E413" s="2080"/>
      <c r="F413" s="2080"/>
      <c r="G413" s="2080"/>
      <c r="H413" s="2080"/>
      <c r="I413" s="2080"/>
      <c r="J413" s="2118" t="s">
        <v>534</v>
      </c>
    </row>
    <row r="414" s="2075" customFormat="1" spans="1:10">
      <c r="A414" s="2092"/>
      <c r="B414" s="2085"/>
      <c r="C414" s="2092"/>
      <c r="D414" s="2080"/>
      <c r="E414" s="2080"/>
      <c r="F414" s="2080"/>
      <c r="G414" s="2080"/>
      <c r="H414" s="2080"/>
      <c r="I414" s="2080"/>
      <c r="J414" s="2118" t="s">
        <v>534</v>
      </c>
    </row>
    <row r="415" s="2075" customFormat="1" spans="1:10">
      <c r="A415" s="2092"/>
      <c r="B415" s="2085"/>
      <c r="C415" s="2092"/>
      <c r="D415" s="2080"/>
      <c r="E415" s="2080"/>
      <c r="F415" s="2080"/>
      <c r="G415" s="2080"/>
      <c r="H415" s="2080"/>
      <c r="I415" s="2080"/>
      <c r="J415" s="2118" t="s">
        <v>534</v>
      </c>
    </row>
    <row r="416" s="2075" customFormat="1" spans="1:10">
      <c r="A416" s="2092"/>
      <c r="B416" s="2085"/>
      <c r="C416" s="2092"/>
      <c r="D416" s="2080"/>
      <c r="E416" s="2080"/>
      <c r="F416" s="2080"/>
      <c r="G416" s="2080"/>
      <c r="H416" s="2080"/>
      <c r="I416" s="2080"/>
      <c r="J416" s="2118" t="s">
        <v>534</v>
      </c>
    </row>
    <row r="417" s="2075" customFormat="1" spans="1:10">
      <c r="A417" s="2092"/>
      <c r="B417" s="2085"/>
      <c r="C417" s="2092"/>
      <c r="D417" s="2080"/>
      <c r="E417" s="2080"/>
      <c r="F417" s="2080"/>
      <c r="G417" s="2080"/>
      <c r="H417" s="2080"/>
      <c r="I417" s="2080"/>
      <c r="J417" s="2118" t="s">
        <v>534</v>
      </c>
    </row>
    <row r="418" s="2075" customFormat="1" spans="1:10">
      <c r="A418" s="2092"/>
      <c r="B418" s="2085"/>
      <c r="C418" s="2092"/>
      <c r="D418" s="2080"/>
      <c r="E418" s="2080"/>
      <c r="F418" s="2080"/>
      <c r="G418" s="2080"/>
      <c r="H418" s="2080"/>
      <c r="I418" s="2080"/>
      <c r="J418" s="2118" t="s">
        <v>534</v>
      </c>
    </row>
    <row r="419" s="2075" customFormat="1" spans="1:10">
      <c r="A419" s="2092"/>
      <c r="B419" s="2085"/>
      <c r="C419" s="2092"/>
      <c r="D419" s="2080"/>
      <c r="E419" s="2080"/>
      <c r="F419" s="2080"/>
      <c r="G419" s="2080"/>
      <c r="H419" s="2080"/>
      <c r="I419" s="2080"/>
      <c r="J419" s="2118" t="s">
        <v>534</v>
      </c>
    </row>
    <row r="420" s="2075" customFormat="1" spans="1:10">
      <c r="A420" s="2092"/>
      <c r="B420" s="2085"/>
      <c r="C420" s="2092"/>
      <c r="D420" s="2080"/>
      <c r="E420" s="2080"/>
      <c r="F420" s="2080"/>
      <c r="G420" s="2080"/>
      <c r="H420" s="2080"/>
      <c r="I420" s="2080"/>
      <c r="J420" s="2118" t="s">
        <v>534</v>
      </c>
    </row>
    <row r="421" s="2075" customFormat="1" spans="1:10">
      <c r="A421" s="2092"/>
      <c r="B421" s="2085"/>
      <c r="C421" s="2092"/>
      <c r="D421" s="2080"/>
      <c r="E421" s="2080"/>
      <c r="F421" s="2080"/>
      <c r="G421" s="2080"/>
      <c r="H421" s="2080"/>
      <c r="I421" s="2080"/>
      <c r="J421" s="2118" t="s">
        <v>534</v>
      </c>
    </row>
    <row r="422" s="2075" customFormat="1" spans="1:10">
      <c r="A422" s="2082" t="s">
        <v>384</v>
      </c>
      <c r="B422" s="2048">
        <f>ROUND(SUM(B412:B421),2)</f>
        <v>0</v>
      </c>
      <c r="C422" s="2048"/>
      <c r="D422" s="2080"/>
      <c r="E422" s="2080"/>
      <c r="F422" s="2080"/>
      <c r="G422" s="2080"/>
      <c r="H422" s="2080"/>
      <c r="I422" s="2080"/>
      <c r="J422" s="2118" t="s">
        <v>535</v>
      </c>
    </row>
    <row r="423" s="2075" customFormat="1" spans="1:10">
      <c r="A423" s="2103"/>
      <c r="B423" s="2080"/>
      <c r="C423" s="2080"/>
      <c r="D423" s="2080"/>
      <c r="E423" s="2080"/>
      <c r="F423" s="2080"/>
      <c r="G423" s="2080"/>
      <c r="H423" s="2080"/>
      <c r="I423" s="2080"/>
      <c r="J423" s="2141"/>
    </row>
    <row r="424" s="2075" customFormat="1" spans="1:10">
      <c r="A424" s="2096" t="s">
        <v>478</v>
      </c>
      <c r="B424" s="2080"/>
      <c r="C424" s="2080"/>
      <c r="D424" s="2080"/>
      <c r="E424" s="2080"/>
      <c r="F424" s="2080"/>
      <c r="G424" s="2080"/>
      <c r="H424" s="2080"/>
      <c r="I424" s="2080"/>
      <c r="J424" s="2141"/>
    </row>
    <row r="425" s="2075" customFormat="1" spans="1:10">
      <c r="A425" s="2082" t="s">
        <v>314</v>
      </c>
      <c r="B425" s="2082" t="s">
        <v>479</v>
      </c>
      <c r="C425" s="2082" t="s">
        <v>480</v>
      </c>
      <c r="D425" s="2082" t="s">
        <v>481</v>
      </c>
      <c r="E425" s="2082" t="s">
        <v>482</v>
      </c>
      <c r="F425" s="2082" t="s">
        <v>483</v>
      </c>
      <c r="G425" s="2080"/>
      <c r="H425" s="2080"/>
      <c r="I425" s="2080"/>
      <c r="J425" s="2141"/>
    </row>
    <row r="426" s="2075" customFormat="1" spans="1:10">
      <c r="A426" s="2092"/>
      <c r="B426" s="2085"/>
      <c r="C426" s="2085"/>
      <c r="D426" s="2092"/>
      <c r="E426" s="2092"/>
      <c r="F426" s="2092"/>
      <c r="G426" s="2080"/>
      <c r="H426" s="2080"/>
      <c r="I426" s="2080"/>
      <c r="J426" s="2118" t="s">
        <v>536</v>
      </c>
    </row>
    <row r="427" s="2075" customFormat="1" spans="1:10">
      <c r="A427" s="2092"/>
      <c r="B427" s="2085"/>
      <c r="C427" s="2085"/>
      <c r="D427" s="2092"/>
      <c r="E427" s="2092"/>
      <c r="F427" s="2092"/>
      <c r="G427" s="2080"/>
      <c r="H427" s="2080"/>
      <c r="I427" s="2080"/>
      <c r="J427" s="2118" t="s">
        <v>536</v>
      </c>
    </row>
    <row r="428" s="2075" customFormat="1" spans="1:10">
      <c r="A428" s="2092"/>
      <c r="B428" s="2085"/>
      <c r="C428" s="2085"/>
      <c r="D428" s="2092"/>
      <c r="E428" s="2092"/>
      <c r="F428" s="2092"/>
      <c r="G428" s="2080"/>
      <c r="H428" s="2080"/>
      <c r="I428" s="2080"/>
      <c r="J428" s="2118" t="s">
        <v>536</v>
      </c>
    </row>
    <row r="429" s="2075" customFormat="1" spans="1:10">
      <c r="A429" s="2092"/>
      <c r="B429" s="2085"/>
      <c r="C429" s="2085"/>
      <c r="D429" s="2092"/>
      <c r="E429" s="2092"/>
      <c r="F429" s="2092"/>
      <c r="G429" s="2080"/>
      <c r="H429" s="2080"/>
      <c r="I429" s="2080"/>
      <c r="J429" s="2118" t="s">
        <v>536</v>
      </c>
    </row>
    <row r="430" s="2075" customFormat="1" spans="1:10">
      <c r="A430" s="2092"/>
      <c r="B430" s="2085"/>
      <c r="C430" s="2085"/>
      <c r="D430" s="2092"/>
      <c r="E430" s="2092"/>
      <c r="F430" s="2092"/>
      <c r="G430" s="2080"/>
      <c r="H430" s="2080"/>
      <c r="I430" s="2080"/>
      <c r="J430" s="2118" t="s">
        <v>536</v>
      </c>
    </row>
    <row r="431" s="2075" customFormat="1" spans="1:10">
      <c r="A431" s="2092"/>
      <c r="B431" s="2085"/>
      <c r="C431" s="2085"/>
      <c r="D431" s="2092"/>
      <c r="E431" s="2092"/>
      <c r="F431" s="2092"/>
      <c r="G431" s="2080"/>
      <c r="H431" s="2080"/>
      <c r="I431" s="2080"/>
      <c r="J431" s="2118" t="s">
        <v>536</v>
      </c>
    </row>
    <row r="432" s="2075" customFormat="1" spans="1:10">
      <c r="A432" s="2092"/>
      <c r="B432" s="2085"/>
      <c r="C432" s="2085"/>
      <c r="D432" s="2092"/>
      <c r="E432" s="2092"/>
      <c r="F432" s="2092"/>
      <c r="G432" s="2080"/>
      <c r="H432" s="2080"/>
      <c r="I432" s="2080"/>
      <c r="J432" s="2118" t="s">
        <v>536</v>
      </c>
    </row>
    <row r="433" s="2075" customFormat="1" spans="1:10">
      <c r="A433" s="2092"/>
      <c r="B433" s="2085"/>
      <c r="C433" s="2085"/>
      <c r="D433" s="2092"/>
      <c r="E433" s="2092"/>
      <c r="F433" s="2092"/>
      <c r="G433" s="2080"/>
      <c r="H433" s="2080"/>
      <c r="I433" s="2080"/>
      <c r="J433" s="2118" t="s">
        <v>536</v>
      </c>
    </row>
    <row r="434" s="2075" customFormat="1" spans="1:10">
      <c r="A434" s="2092"/>
      <c r="B434" s="2085"/>
      <c r="C434" s="2085"/>
      <c r="D434" s="2092"/>
      <c r="E434" s="2092"/>
      <c r="F434" s="2092"/>
      <c r="G434" s="2080"/>
      <c r="H434" s="2080"/>
      <c r="I434" s="2080"/>
      <c r="J434" s="2118" t="s">
        <v>536</v>
      </c>
    </row>
    <row r="435" s="2075" customFormat="1" spans="1:10">
      <c r="A435" s="2092"/>
      <c r="B435" s="2085"/>
      <c r="C435" s="2085"/>
      <c r="D435" s="2092"/>
      <c r="E435" s="2092"/>
      <c r="F435" s="2092"/>
      <c r="G435" s="2080"/>
      <c r="H435" s="2080"/>
      <c r="I435" s="2080"/>
      <c r="J435" s="2118" t="s">
        <v>536</v>
      </c>
    </row>
    <row r="436" s="2075" customFormat="1" spans="1:10">
      <c r="A436" s="2082" t="s">
        <v>384</v>
      </c>
      <c r="B436" s="2048">
        <f>ROUND(SUM(B426:B435),2)</f>
        <v>0</v>
      </c>
      <c r="C436" s="2048">
        <f>ROUND(SUM(C426:C435),2)</f>
        <v>0</v>
      </c>
      <c r="D436" s="2093"/>
      <c r="E436" s="2048"/>
      <c r="F436" s="2048"/>
      <c r="G436" s="2080"/>
      <c r="H436" s="2080"/>
      <c r="I436" s="2080"/>
      <c r="J436" s="2118" t="s">
        <v>537</v>
      </c>
    </row>
    <row r="437" s="2075" customFormat="1" spans="1:10">
      <c r="A437" s="2103"/>
      <c r="B437" s="2080"/>
      <c r="C437" s="2080"/>
      <c r="D437" s="2080"/>
      <c r="E437" s="2080"/>
      <c r="F437" s="2080"/>
      <c r="G437" s="2080"/>
      <c r="H437" s="2080"/>
      <c r="I437" s="2080"/>
      <c r="J437" s="2141"/>
    </row>
    <row r="438" s="2075" customFormat="1" spans="1:10">
      <c r="A438" s="2096" t="s">
        <v>486</v>
      </c>
      <c r="B438" s="2080"/>
      <c r="C438" s="2080"/>
      <c r="D438" s="2080"/>
      <c r="E438" s="2080"/>
      <c r="F438" s="2080"/>
      <c r="G438" s="2080"/>
      <c r="H438" s="2080"/>
      <c r="I438" s="2080"/>
      <c r="J438" s="2141"/>
    </row>
    <row r="439" s="2075" customFormat="1" spans="1:10">
      <c r="A439" s="2082" t="s">
        <v>314</v>
      </c>
      <c r="B439" s="2082" t="s">
        <v>487</v>
      </c>
      <c r="C439" s="2082" t="s">
        <v>488</v>
      </c>
      <c r="D439" s="2082" t="s">
        <v>489</v>
      </c>
      <c r="E439" s="2082" t="s">
        <v>482</v>
      </c>
      <c r="F439" s="2082" t="s">
        <v>490</v>
      </c>
      <c r="G439" s="2080"/>
      <c r="H439" s="2080"/>
      <c r="I439" s="2080"/>
      <c r="J439" s="2141"/>
    </row>
    <row r="440" s="2075" customFormat="1" spans="1:10">
      <c r="A440" s="2092"/>
      <c r="B440" s="2085"/>
      <c r="C440" s="2092"/>
      <c r="D440" s="2092"/>
      <c r="E440" s="2092"/>
      <c r="F440" s="2092"/>
      <c r="G440" s="2080"/>
      <c r="H440" s="2080"/>
      <c r="I440" s="2080"/>
      <c r="J440" s="2118" t="s">
        <v>538</v>
      </c>
    </row>
    <row r="441" s="2075" customFormat="1" spans="1:10">
      <c r="A441" s="2092"/>
      <c r="B441" s="2085"/>
      <c r="C441" s="2092"/>
      <c r="D441" s="2092"/>
      <c r="E441" s="2092"/>
      <c r="F441" s="2092"/>
      <c r="G441" s="2080"/>
      <c r="H441" s="2080"/>
      <c r="I441" s="2080"/>
      <c r="J441" s="2118" t="s">
        <v>538</v>
      </c>
    </row>
    <row r="442" s="2075" customFormat="1" spans="1:10">
      <c r="A442" s="2092"/>
      <c r="B442" s="2085"/>
      <c r="C442" s="2092"/>
      <c r="D442" s="2092"/>
      <c r="E442" s="2092"/>
      <c r="F442" s="2092"/>
      <c r="G442" s="2080"/>
      <c r="H442" s="2080"/>
      <c r="I442" s="2080"/>
      <c r="J442" s="2118" t="s">
        <v>538</v>
      </c>
    </row>
    <row r="443" s="2075" customFormat="1" spans="1:10">
      <c r="A443" s="2092"/>
      <c r="B443" s="2085"/>
      <c r="C443" s="2092"/>
      <c r="D443" s="2092"/>
      <c r="E443" s="2092"/>
      <c r="F443" s="2092"/>
      <c r="G443" s="2080"/>
      <c r="H443" s="2080"/>
      <c r="I443" s="2080"/>
      <c r="J443" s="2118" t="s">
        <v>538</v>
      </c>
    </row>
    <row r="444" s="2075" customFormat="1" spans="1:10">
      <c r="A444" s="2092"/>
      <c r="B444" s="2085"/>
      <c r="C444" s="2092"/>
      <c r="D444" s="2092"/>
      <c r="E444" s="2092"/>
      <c r="F444" s="2092"/>
      <c r="G444" s="2080"/>
      <c r="H444" s="2080"/>
      <c r="I444" s="2080"/>
      <c r="J444" s="2118" t="s">
        <v>538</v>
      </c>
    </row>
    <row r="445" s="2075" customFormat="1" spans="1:10">
      <c r="A445" s="2092"/>
      <c r="B445" s="2085"/>
      <c r="C445" s="2092"/>
      <c r="D445" s="2092"/>
      <c r="E445" s="2092"/>
      <c r="F445" s="2092"/>
      <c r="G445" s="2080"/>
      <c r="H445" s="2080"/>
      <c r="I445" s="2080"/>
      <c r="J445" s="2118" t="s">
        <v>538</v>
      </c>
    </row>
    <row r="446" s="2075" customFormat="1" spans="1:10">
      <c r="A446" s="2092"/>
      <c r="B446" s="2085"/>
      <c r="C446" s="2092"/>
      <c r="D446" s="2092"/>
      <c r="E446" s="2092"/>
      <c r="F446" s="2092"/>
      <c r="G446" s="2080"/>
      <c r="H446" s="2080"/>
      <c r="I446" s="2080"/>
      <c r="J446" s="2118" t="s">
        <v>538</v>
      </c>
    </row>
    <row r="447" s="2075" customFormat="1" spans="1:10">
      <c r="A447" s="2092"/>
      <c r="B447" s="2085"/>
      <c r="C447" s="2092"/>
      <c r="D447" s="2092"/>
      <c r="E447" s="2092"/>
      <c r="F447" s="2092"/>
      <c r="G447" s="2080"/>
      <c r="H447" s="2080"/>
      <c r="I447" s="2080"/>
      <c r="J447" s="2118" t="s">
        <v>538</v>
      </c>
    </row>
    <row r="448" s="2075" customFormat="1" spans="1:10">
      <c r="A448" s="2092"/>
      <c r="B448" s="2085"/>
      <c r="C448" s="2092"/>
      <c r="D448" s="2092"/>
      <c r="E448" s="2092"/>
      <c r="F448" s="2092"/>
      <c r="G448" s="2080"/>
      <c r="H448" s="2080"/>
      <c r="I448" s="2080"/>
      <c r="J448" s="2118" t="s">
        <v>538</v>
      </c>
    </row>
    <row r="449" s="2075" customFormat="1" spans="1:10">
      <c r="A449" s="2092"/>
      <c r="B449" s="2085"/>
      <c r="C449" s="2092"/>
      <c r="D449" s="2092"/>
      <c r="E449" s="2092"/>
      <c r="F449" s="2092"/>
      <c r="G449" s="2080"/>
      <c r="H449" s="2080"/>
      <c r="I449" s="2080"/>
      <c r="J449" s="2118" t="s">
        <v>538</v>
      </c>
    </row>
    <row r="450" s="2075" customFormat="1" spans="1:10">
      <c r="A450" s="2082" t="s">
        <v>384</v>
      </c>
      <c r="B450" s="2048">
        <f>ROUND(SUM(B440:B449),2)</f>
        <v>0</v>
      </c>
      <c r="C450" s="2048"/>
      <c r="D450" s="2093">
        <f>IF(B450=0,0,ROUND(C450/B450,4))</f>
        <v>0</v>
      </c>
      <c r="E450" s="2048"/>
      <c r="F450" s="2048"/>
      <c r="G450" s="2080"/>
      <c r="H450" s="2080"/>
      <c r="I450" s="2080"/>
      <c r="J450" s="2118" t="s">
        <v>539</v>
      </c>
    </row>
    <row r="451" s="2075" customFormat="1" spans="1:10">
      <c r="A451" s="2103"/>
      <c r="B451" s="2080"/>
      <c r="C451" s="2080"/>
      <c r="D451" s="2080"/>
      <c r="E451" s="2080"/>
      <c r="F451" s="2080"/>
      <c r="G451" s="2080"/>
      <c r="H451" s="2080"/>
      <c r="I451" s="2080"/>
      <c r="J451" s="2141"/>
    </row>
    <row r="452" s="2075" customFormat="1" spans="1:10">
      <c r="A452" s="2096" t="s">
        <v>493</v>
      </c>
      <c r="B452" s="2080"/>
      <c r="C452" s="2080"/>
      <c r="D452" s="2080"/>
      <c r="E452" s="2080"/>
      <c r="F452" s="2080"/>
      <c r="G452" s="2080"/>
      <c r="H452" s="2080"/>
      <c r="I452" s="2080"/>
      <c r="J452" s="2141"/>
    </row>
    <row r="453" s="2075" customFormat="1" spans="1:10">
      <c r="A453" s="2082" t="s">
        <v>494</v>
      </c>
      <c r="B453" s="2082" t="s">
        <v>315</v>
      </c>
      <c r="C453" s="2082" t="s">
        <v>316</v>
      </c>
      <c r="D453" s="2082" t="s">
        <v>495</v>
      </c>
      <c r="E453" s="2080"/>
      <c r="F453" s="2080"/>
      <c r="G453" s="2080"/>
      <c r="H453" s="2080"/>
      <c r="I453" s="2080"/>
      <c r="J453" s="2076"/>
    </row>
    <row r="454" s="2075" customFormat="1" spans="1:10">
      <c r="A454" s="2092"/>
      <c r="B454" s="2085"/>
      <c r="C454" s="2085"/>
      <c r="D454" s="2092"/>
      <c r="E454" s="2080"/>
      <c r="F454" s="2080"/>
      <c r="G454" s="2080"/>
      <c r="H454" s="2080"/>
      <c r="I454" s="2080"/>
      <c r="J454" s="2118" t="s">
        <v>540</v>
      </c>
    </row>
    <row r="455" s="2075" customFormat="1" spans="1:10">
      <c r="A455" s="2092"/>
      <c r="B455" s="2085"/>
      <c r="C455" s="2085"/>
      <c r="D455" s="2092"/>
      <c r="E455" s="2080"/>
      <c r="F455" s="2080"/>
      <c r="G455" s="2080"/>
      <c r="H455" s="2080"/>
      <c r="I455" s="2080"/>
      <c r="J455" s="2118" t="s">
        <v>540</v>
      </c>
    </row>
    <row r="456" s="2075" customFormat="1" spans="1:10">
      <c r="A456" s="2092"/>
      <c r="B456" s="2085"/>
      <c r="C456" s="2085"/>
      <c r="D456" s="2092"/>
      <c r="E456" s="2080"/>
      <c r="F456" s="2080"/>
      <c r="G456" s="2080"/>
      <c r="H456" s="2080"/>
      <c r="I456" s="2080"/>
      <c r="J456" s="2118" t="s">
        <v>540</v>
      </c>
    </row>
    <row r="457" s="2075" customFormat="1" spans="1:10">
      <c r="A457" s="2092"/>
      <c r="B457" s="2085"/>
      <c r="C457" s="2085"/>
      <c r="D457" s="2092"/>
      <c r="E457" s="2080"/>
      <c r="F457" s="2080"/>
      <c r="G457" s="2080"/>
      <c r="H457" s="2080"/>
      <c r="I457" s="2080"/>
      <c r="J457" s="2118" t="s">
        <v>540</v>
      </c>
    </row>
    <row r="458" s="2075" customFormat="1" spans="1:10">
      <c r="A458" s="2092"/>
      <c r="B458" s="2085"/>
      <c r="C458" s="2085"/>
      <c r="D458" s="2092"/>
      <c r="E458" s="2080"/>
      <c r="F458" s="2080"/>
      <c r="G458" s="2080"/>
      <c r="H458" s="2080"/>
      <c r="I458" s="2080"/>
      <c r="J458" s="2118" t="s">
        <v>540</v>
      </c>
    </row>
    <row r="459" s="2075" customFormat="1" spans="1:10">
      <c r="A459" s="2092"/>
      <c r="B459" s="2085"/>
      <c r="C459" s="2085"/>
      <c r="D459" s="2092"/>
      <c r="E459" s="2080"/>
      <c r="F459" s="2080"/>
      <c r="G459" s="2080"/>
      <c r="H459" s="2080"/>
      <c r="I459" s="2080"/>
      <c r="J459" s="2118" t="s">
        <v>540</v>
      </c>
    </row>
    <row r="460" s="2075" customFormat="1" spans="1:10">
      <c r="A460" s="2092"/>
      <c r="B460" s="2085"/>
      <c r="C460" s="2085"/>
      <c r="D460" s="2092"/>
      <c r="E460" s="2080"/>
      <c r="F460" s="2080"/>
      <c r="G460" s="2080"/>
      <c r="H460" s="2080"/>
      <c r="I460" s="2080"/>
      <c r="J460" s="2118" t="s">
        <v>540</v>
      </c>
    </row>
    <row r="461" s="2075" customFormat="1" spans="1:10">
      <c r="A461" s="2092"/>
      <c r="B461" s="2085"/>
      <c r="C461" s="2085"/>
      <c r="D461" s="2092"/>
      <c r="E461" s="2080"/>
      <c r="F461" s="2080"/>
      <c r="G461" s="2080"/>
      <c r="H461" s="2080"/>
      <c r="I461" s="2080"/>
      <c r="J461" s="2118" t="s">
        <v>540</v>
      </c>
    </row>
    <row r="462" s="2075" customFormat="1" spans="1:10">
      <c r="A462" s="2092"/>
      <c r="B462" s="2085"/>
      <c r="C462" s="2085"/>
      <c r="D462" s="2092"/>
      <c r="E462" s="2080"/>
      <c r="F462" s="2080"/>
      <c r="G462" s="2080"/>
      <c r="H462" s="2080"/>
      <c r="I462" s="2080"/>
      <c r="J462" s="2118" t="s">
        <v>540</v>
      </c>
    </row>
    <row r="463" s="2075" customFormat="1" spans="1:10">
      <c r="A463" s="2092"/>
      <c r="B463" s="2085"/>
      <c r="C463" s="2085"/>
      <c r="D463" s="2092"/>
      <c r="E463" s="2080"/>
      <c r="F463" s="2080"/>
      <c r="G463" s="2080"/>
      <c r="H463" s="2080"/>
      <c r="I463" s="2080"/>
      <c r="J463" s="2118" t="s">
        <v>540</v>
      </c>
    </row>
    <row r="464" s="2075" customFormat="1" spans="1:10">
      <c r="A464" s="2082" t="s">
        <v>384</v>
      </c>
      <c r="B464" s="2048">
        <f>ROUND(SUM(B454:B463),2)</f>
        <v>0</v>
      </c>
      <c r="C464" s="2048">
        <f>ROUND(SUM(C454:C463),2)</f>
        <v>0</v>
      </c>
      <c r="D464" s="2048"/>
      <c r="E464" s="2080"/>
      <c r="F464" s="2080"/>
      <c r="G464" s="2080"/>
      <c r="H464" s="2080"/>
      <c r="I464" s="2080"/>
      <c r="J464" s="2118" t="s">
        <v>541</v>
      </c>
    </row>
    <row r="465" s="2075" customFormat="1" spans="1:10">
      <c r="A465" s="2103"/>
      <c r="B465" s="2080"/>
      <c r="C465" s="2080"/>
      <c r="D465" s="2080"/>
      <c r="E465" s="2080"/>
      <c r="F465" s="2080"/>
      <c r="G465" s="2080"/>
      <c r="H465" s="2080"/>
      <c r="I465" s="2080"/>
      <c r="J465" s="2141"/>
    </row>
    <row r="466" s="2075" customFormat="1" spans="1:10">
      <c r="A466" s="2096" t="s">
        <v>542</v>
      </c>
      <c r="B466" s="2080"/>
      <c r="C466" s="2080"/>
      <c r="D466" s="2080"/>
      <c r="E466" s="2080"/>
      <c r="F466" s="2080"/>
      <c r="G466" s="2080"/>
      <c r="H466" s="2080"/>
      <c r="I466" s="2080"/>
      <c r="J466" s="2141"/>
    </row>
    <row r="467" s="2075" customFormat="1" spans="1:10">
      <c r="A467" s="2082" t="s">
        <v>469</v>
      </c>
      <c r="B467" s="2082" t="s">
        <v>315</v>
      </c>
      <c r="C467" s="2082" t="s">
        <v>499</v>
      </c>
      <c r="D467" s="2082" t="s">
        <v>500</v>
      </c>
      <c r="E467" s="2082" t="s">
        <v>501</v>
      </c>
      <c r="F467" s="2080"/>
      <c r="G467" s="2080"/>
      <c r="H467" s="2080"/>
      <c r="I467" s="2080"/>
      <c r="J467" s="2141"/>
    </row>
    <row r="468" s="2075" customFormat="1" spans="1:10">
      <c r="A468" s="2092"/>
      <c r="B468" s="2085"/>
      <c r="C468" s="2092"/>
      <c r="D468" s="2156"/>
      <c r="E468" s="2117">
        <f t="shared" ref="E468:E473" si="8">IF(B468=0,0,ROUND(B468/B$386,4))</f>
        <v>0</v>
      </c>
      <c r="F468" s="2080"/>
      <c r="G468" s="2080"/>
      <c r="H468" s="2080"/>
      <c r="I468" s="2080"/>
      <c r="J468" s="2118" t="s">
        <v>543</v>
      </c>
    </row>
    <row r="469" s="2075" customFormat="1" spans="1:10">
      <c r="A469" s="2092"/>
      <c r="B469" s="2085"/>
      <c r="C469" s="2092"/>
      <c r="D469" s="2156"/>
      <c r="E469" s="2117">
        <f t="shared" si="8"/>
        <v>0</v>
      </c>
      <c r="F469" s="2080"/>
      <c r="G469" s="2080"/>
      <c r="H469" s="2080"/>
      <c r="I469" s="2080"/>
      <c r="J469" s="2118" t="s">
        <v>543</v>
      </c>
    </row>
    <row r="470" s="2075" customFormat="1" spans="1:10">
      <c r="A470" s="2092"/>
      <c r="B470" s="2085"/>
      <c r="C470" s="2092"/>
      <c r="D470" s="2156"/>
      <c r="E470" s="2117">
        <f t="shared" si="8"/>
        <v>0</v>
      </c>
      <c r="F470" s="2080"/>
      <c r="G470" s="2080"/>
      <c r="H470" s="2080"/>
      <c r="I470" s="2080"/>
      <c r="J470" s="2118" t="s">
        <v>543</v>
      </c>
    </row>
    <row r="471" s="2075" customFormat="1" spans="1:10">
      <c r="A471" s="2092"/>
      <c r="B471" s="2085"/>
      <c r="C471" s="2092"/>
      <c r="D471" s="2156"/>
      <c r="E471" s="2117">
        <f t="shared" si="8"/>
        <v>0</v>
      </c>
      <c r="F471" s="2080"/>
      <c r="G471" s="2080"/>
      <c r="H471" s="2080"/>
      <c r="I471" s="2080"/>
      <c r="J471" s="2118" t="s">
        <v>543</v>
      </c>
    </row>
    <row r="472" s="2075" customFormat="1" spans="1:10">
      <c r="A472" s="2092"/>
      <c r="B472" s="2085"/>
      <c r="C472" s="2092"/>
      <c r="D472" s="2156"/>
      <c r="E472" s="2117">
        <f t="shared" si="8"/>
        <v>0</v>
      </c>
      <c r="F472" s="2080"/>
      <c r="G472" s="2080"/>
      <c r="H472" s="2080"/>
      <c r="I472" s="2080"/>
      <c r="J472" s="2118" t="s">
        <v>543</v>
      </c>
    </row>
    <row r="473" s="2075" customFormat="1" spans="1:10">
      <c r="A473" s="2082" t="s">
        <v>384</v>
      </c>
      <c r="B473" s="2048">
        <f>ROUND(SUM(B468:B472),2)</f>
        <v>0</v>
      </c>
      <c r="C473" s="2048"/>
      <c r="D473" s="2048"/>
      <c r="E473" s="2093">
        <f t="shared" si="8"/>
        <v>0</v>
      </c>
      <c r="F473" s="2080"/>
      <c r="G473" s="2080"/>
      <c r="H473" s="2080"/>
      <c r="I473" s="2080"/>
      <c r="J473" s="2118" t="s">
        <v>544</v>
      </c>
    </row>
    <row r="474" s="2075" customFormat="1" spans="1:10">
      <c r="A474" s="2103"/>
      <c r="B474" s="2080"/>
      <c r="C474" s="2080"/>
      <c r="D474" s="2080"/>
      <c r="E474" s="2080"/>
      <c r="F474" s="2080"/>
      <c r="G474" s="2080"/>
      <c r="H474" s="2080"/>
      <c r="I474" s="2080"/>
      <c r="J474" s="2141"/>
    </row>
    <row r="475" s="2075" customFormat="1" spans="1:10">
      <c r="A475" s="2096" t="s">
        <v>504</v>
      </c>
      <c r="B475" s="2080"/>
      <c r="C475" s="2080"/>
      <c r="D475" s="2080"/>
      <c r="E475" s="2080"/>
      <c r="F475" s="2080"/>
      <c r="G475" s="2080"/>
      <c r="H475" s="2080"/>
      <c r="I475" s="2080"/>
      <c r="J475" s="2141"/>
    </row>
    <row r="476" s="2075" customFormat="1" spans="1:9">
      <c r="A476" s="2082" t="s">
        <v>505</v>
      </c>
      <c r="B476" s="2082" t="s">
        <v>315</v>
      </c>
      <c r="C476" s="2082" t="s">
        <v>316</v>
      </c>
      <c r="D476" s="2082" t="s">
        <v>499</v>
      </c>
      <c r="E476" s="2082" t="s">
        <v>501</v>
      </c>
      <c r="F476" s="2080"/>
      <c r="G476" s="2080"/>
      <c r="H476" s="2080"/>
      <c r="I476" s="2080"/>
    </row>
    <row r="477" s="2075" customFormat="1" spans="1:10">
      <c r="A477" s="2092"/>
      <c r="B477" s="2085"/>
      <c r="C477" s="2085"/>
      <c r="D477" s="2092"/>
      <c r="E477" s="2117">
        <f t="shared" ref="E477:E487" si="9">IF(B477=0,0,ROUND(B477/B$386,4))</f>
        <v>0</v>
      </c>
      <c r="F477" s="2080"/>
      <c r="G477" s="2080"/>
      <c r="H477" s="2080"/>
      <c r="I477" s="2080"/>
      <c r="J477" s="2118" t="s">
        <v>545</v>
      </c>
    </row>
    <row r="478" s="2075" customFormat="1" spans="1:10">
      <c r="A478" s="2092"/>
      <c r="B478" s="2085"/>
      <c r="C478" s="2085"/>
      <c r="D478" s="2092"/>
      <c r="E478" s="2117">
        <f t="shared" si="9"/>
        <v>0</v>
      </c>
      <c r="F478" s="2080"/>
      <c r="G478" s="2080"/>
      <c r="H478" s="2080"/>
      <c r="I478" s="2080"/>
      <c r="J478" s="2118" t="s">
        <v>545</v>
      </c>
    </row>
    <row r="479" s="2075" customFormat="1" spans="1:10">
      <c r="A479" s="2092"/>
      <c r="B479" s="2085"/>
      <c r="C479" s="2085"/>
      <c r="D479" s="2092"/>
      <c r="E479" s="2117">
        <f t="shared" si="9"/>
        <v>0</v>
      </c>
      <c r="F479" s="2080"/>
      <c r="G479" s="2080"/>
      <c r="H479" s="2080"/>
      <c r="I479" s="2080"/>
      <c r="J479" s="2118" t="s">
        <v>545</v>
      </c>
    </row>
    <row r="480" s="2075" customFormat="1" spans="1:10">
      <c r="A480" s="2092"/>
      <c r="B480" s="2085"/>
      <c r="C480" s="2085"/>
      <c r="D480" s="2092"/>
      <c r="E480" s="2117">
        <f t="shared" si="9"/>
        <v>0</v>
      </c>
      <c r="F480" s="2080"/>
      <c r="G480" s="2080"/>
      <c r="H480" s="2080"/>
      <c r="I480" s="2080"/>
      <c r="J480" s="2118" t="s">
        <v>545</v>
      </c>
    </row>
    <row r="481" s="2075" customFormat="1" spans="1:10">
      <c r="A481" s="2092"/>
      <c r="B481" s="2085"/>
      <c r="C481" s="2085"/>
      <c r="D481" s="2092"/>
      <c r="E481" s="2117">
        <f t="shared" si="9"/>
        <v>0</v>
      </c>
      <c r="F481" s="2080"/>
      <c r="G481" s="2080"/>
      <c r="H481" s="2080"/>
      <c r="I481" s="2080"/>
      <c r="J481" s="2118" t="s">
        <v>545</v>
      </c>
    </row>
    <row r="482" s="2075" customFormat="1" spans="1:10">
      <c r="A482" s="2092"/>
      <c r="B482" s="2085"/>
      <c r="C482" s="2085"/>
      <c r="D482" s="2092"/>
      <c r="E482" s="2117">
        <f t="shared" si="9"/>
        <v>0</v>
      </c>
      <c r="F482" s="2080"/>
      <c r="G482" s="2080"/>
      <c r="H482" s="2080"/>
      <c r="I482" s="2080"/>
      <c r="J482" s="2118" t="s">
        <v>545</v>
      </c>
    </row>
    <row r="483" s="2075" customFormat="1" spans="1:10">
      <c r="A483" s="2092"/>
      <c r="B483" s="2085"/>
      <c r="C483" s="2085"/>
      <c r="D483" s="2092"/>
      <c r="E483" s="2117">
        <f t="shared" si="9"/>
        <v>0</v>
      </c>
      <c r="F483" s="2080"/>
      <c r="G483" s="2080"/>
      <c r="H483" s="2080"/>
      <c r="I483" s="2080"/>
      <c r="J483" s="2118" t="s">
        <v>545</v>
      </c>
    </row>
    <row r="484" s="2075" customFormat="1" spans="1:10">
      <c r="A484" s="2092"/>
      <c r="B484" s="2085"/>
      <c r="C484" s="2085"/>
      <c r="D484" s="2092"/>
      <c r="E484" s="2117">
        <f t="shared" si="9"/>
        <v>0</v>
      </c>
      <c r="F484" s="2080"/>
      <c r="G484" s="2080"/>
      <c r="H484" s="2080"/>
      <c r="I484" s="2080"/>
      <c r="J484" s="2118" t="s">
        <v>545</v>
      </c>
    </row>
    <row r="485" s="2075" customFormat="1" spans="1:10">
      <c r="A485" s="2092"/>
      <c r="B485" s="2085"/>
      <c r="C485" s="2085"/>
      <c r="D485" s="2092"/>
      <c r="E485" s="2117">
        <f t="shared" si="9"/>
        <v>0</v>
      </c>
      <c r="F485" s="2080"/>
      <c r="G485" s="2080"/>
      <c r="H485" s="2080"/>
      <c r="I485" s="2080"/>
      <c r="J485" s="2118" t="s">
        <v>545</v>
      </c>
    </row>
    <row r="486" s="2075" customFormat="1" spans="1:10">
      <c r="A486" s="2092"/>
      <c r="B486" s="2085"/>
      <c r="C486" s="2085"/>
      <c r="D486" s="2092"/>
      <c r="E486" s="2117">
        <f t="shared" si="9"/>
        <v>0</v>
      </c>
      <c r="F486" s="2080"/>
      <c r="G486" s="2080"/>
      <c r="H486" s="2080"/>
      <c r="I486" s="2080"/>
      <c r="J486" s="2118" t="s">
        <v>545</v>
      </c>
    </row>
    <row r="487" s="2075" customFormat="1" spans="1:10">
      <c r="A487" s="2082" t="s">
        <v>384</v>
      </c>
      <c r="B487" s="2048">
        <f>ROUND(SUM(B477:B486),2)</f>
        <v>0</v>
      </c>
      <c r="C487" s="2048">
        <f>ROUND(SUM(C477:C486),2)</f>
        <v>0</v>
      </c>
      <c r="D487" s="2048"/>
      <c r="E487" s="2093">
        <f t="shared" si="9"/>
        <v>0</v>
      </c>
      <c r="F487" s="2080"/>
      <c r="G487" s="2080"/>
      <c r="H487" s="2080"/>
      <c r="I487" s="2080"/>
      <c r="J487" s="2118" t="s">
        <v>546</v>
      </c>
    </row>
    <row r="488" s="2075" customFormat="1" spans="1:10">
      <c r="A488" s="2103"/>
      <c r="B488" s="2080"/>
      <c r="C488" s="2080"/>
      <c r="D488" s="2080"/>
      <c r="E488" s="2080"/>
      <c r="F488" s="2080"/>
      <c r="G488" s="2080"/>
      <c r="H488" s="2080"/>
      <c r="I488" s="2080"/>
      <c r="J488" s="2141"/>
    </row>
    <row r="489" s="2075" customFormat="1" spans="1:10">
      <c r="A489" s="2096" t="s">
        <v>508</v>
      </c>
      <c r="B489" s="2080"/>
      <c r="C489" s="2080"/>
      <c r="D489" s="2080"/>
      <c r="E489" s="2080"/>
      <c r="F489" s="2080"/>
      <c r="G489" s="2080"/>
      <c r="H489" s="2080"/>
      <c r="I489" s="2080"/>
      <c r="J489" s="2141"/>
    </row>
    <row r="490" s="2075" customFormat="1" spans="1:10">
      <c r="A490" s="2082" t="s">
        <v>314</v>
      </c>
      <c r="B490" s="2082" t="s">
        <v>509</v>
      </c>
      <c r="C490" s="2082" t="s">
        <v>510</v>
      </c>
      <c r="D490" s="2082" t="s">
        <v>488</v>
      </c>
      <c r="E490" s="2082" t="s">
        <v>511</v>
      </c>
      <c r="F490" s="2080"/>
      <c r="G490" s="2080"/>
      <c r="H490" s="2080"/>
      <c r="I490" s="2080"/>
      <c r="J490" s="2141"/>
    </row>
    <row r="491" s="2075" customFormat="1" spans="1:10">
      <c r="A491" s="2092"/>
      <c r="B491" s="2085"/>
      <c r="C491" s="2085"/>
      <c r="D491" s="2092"/>
      <c r="E491" s="2092"/>
      <c r="F491" s="2080"/>
      <c r="G491" s="2080"/>
      <c r="H491" s="2080"/>
      <c r="I491" s="2080"/>
      <c r="J491" s="2118" t="s">
        <v>547</v>
      </c>
    </row>
    <row r="492" s="2075" customFormat="1" spans="1:10">
      <c r="A492" s="2092"/>
      <c r="B492" s="2085"/>
      <c r="C492" s="2085"/>
      <c r="D492" s="2092"/>
      <c r="E492" s="2092"/>
      <c r="F492" s="2080"/>
      <c r="G492" s="2080"/>
      <c r="H492" s="2080"/>
      <c r="I492" s="2080"/>
      <c r="J492" s="2118" t="s">
        <v>547</v>
      </c>
    </row>
    <row r="493" s="2075" customFormat="1" spans="1:10">
      <c r="A493" s="2092"/>
      <c r="B493" s="2085"/>
      <c r="C493" s="2085"/>
      <c r="D493" s="2092"/>
      <c r="E493" s="2092"/>
      <c r="F493" s="2080"/>
      <c r="G493" s="2080"/>
      <c r="H493" s="2080"/>
      <c r="I493" s="2080"/>
      <c r="J493" s="2118" t="s">
        <v>547</v>
      </c>
    </row>
    <row r="494" s="2075" customFormat="1" spans="1:10">
      <c r="A494" s="2092"/>
      <c r="B494" s="2085"/>
      <c r="C494" s="2085"/>
      <c r="D494" s="2092"/>
      <c r="E494" s="2092"/>
      <c r="F494" s="2080"/>
      <c r="G494" s="2080"/>
      <c r="H494" s="2080"/>
      <c r="I494" s="2080"/>
      <c r="J494" s="2118" t="s">
        <v>547</v>
      </c>
    </row>
    <row r="495" s="2075" customFormat="1" spans="1:10">
      <c r="A495" s="2092"/>
      <c r="B495" s="2085"/>
      <c r="C495" s="2085"/>
      <c r="D495" s="2092"/>
      <c r="E495" s="2092"/>
      <c r="F495" s="2080"/>
      <c r="G495" s="2080"/>
      <c r="H495" s="2080"/>
      <c r="I495" s="2080"/>
      <c r="J495" s="2118" t="s">
        <v>547</v>
      </c>
    </row>
    <row r="496" s="2075" customFormat="1" spans="1:10">
      <c r="A496" s="2092"/>
      <c r="B496" s="2085"/>
      <c r="C496" s="2085"/>
      <c r="D496" s="2092"/>
      <c r="E496" s="2092"/>
      <c r="F496" s="2080"/>
      <c r="G496" s="2080"/>
      <c r="H496" s="2080"/>
      <c r="I496" s="2080"/>
      <c r="J496" s="2118" t="s">
        <v>547</v>
      </c>
    </row>
    <row r="497" s="2075" customFormat="1" spans="1:10">
      <c r="A497" s="2092"/>
      <c r="B497" s="2085"/>
      <c r="C497" s="2085"/>
      <c r="D497" s="2092"/>
      <c r="E497" s="2092"/>
      <c r="F497" s="2080"/>
      <c r="G497" s="2080"/>
      <c r="H497" s="2080"/>
      <c r="I497" s="2080"/>
      <c r="J497" s="2118" t="s">
        <v>547</v>
      </c>
    </row>
    <row r="498" s="2075" customFormat="1" spans="1:10">
      <c r="A498" s="2092"/>
      <c r="B498" s="2085"/>
      <c r="C498" s="2085"/>
      <c r="D498" s="2092"/>
      <c r="E498" s="2092"/>
      <c r="F498" s="2080"/>
      <c r="G498" s="2080"/>
      <c r="H498" s="2080"/>
      <c r="I498" s="2080"/>
      <c r="J498" s="2118" t="s">
        <v>547</v>
      </c>
    </row>
    <row r="499" s="2075" customFormat="1" spans="1:10">
      <c r="A499" s="2092"/>
      <c r="B499" s="2085"/>
      <c r="C499" s="2085"/>
      <c r="D499" s="2092"/>
      <c r="E499" s="2092"/>
      <c r="F499" s="2080"/>
      <c r="G499" s="2080"/>
      <c r="H499" s="2080"/>
      <c r="I499" s="2080"/>
      <c r="J499" s="2118" t="s">
        <v>547</v>
      </c>
    </row>
    <row r="500" s="2075" customFormat="1" spans="1:10">
      <c r="A500" s="2092"/>
      <c r="B500" s="2085"/>
      <c r="C500" s="2085"/>
      <c r="D500" s="2092"/>
      <c r="E500" s="2092"/>
      <c r="F500" s="2080"/>
      <c r="G500" s="2080"/>
      <c r="H500" s="2080"/>
      <c r="I500" s="2080"/>
      <c r="J500" s="2118" t="s">
        <v>547</v>
      </c>
    </row>
    <row r="501" s="2075" customFormat="1" spans="1:10">
      <c r="A501" s="2082" t="s">
        <v>384</v>
      </c>
      <c r="B501" s="2048">
        <f>ROUND(SUM(B491:B500),2)</f>
        <v>0</v>
      </c>
      <c r="C501" s="2048">
        <f>ROUND(SUM(C491:C500),2)</f>
        <v>0</v>
      </c>
      <c r="D501" s="2048"/>
      <c r="E501" s="2048"/>
      <c r="F501" s="2080"/>
      <c r="G501" s="2080"/>
      <c r="H501" s="2080"/>
      <c r="I501" s="2080"/>
      <c r="J501" s="2118" t="s">
        <v>548</v>
      </c>
    </row>
    <row r="502" s="2075" customFormat="1" spans="1:10">
      <c r="A502" s="2103"/>
      <c r="B502" s="2080"/>
      <c r="C502" s="2080"/>
      <c r="D502" s="2080"/>
      <c r="E502" s="2080"/>
      <c r="F502" s="2080"/>
      <c r="G502" s="2080"/>
      <c r="H502" s="2080"/>
      <c r="I502" s="2080"/>
      <c r="J502" s="2141"/>
    </row>
    <row r="503" s="2075" customFormat="1" spans="1:10">
      <c r="A503" s="2096" t="s">
        <v>514</v>
      </c>
      <c r="B503" s="2080"/>
      <c r="C503" s="2080"/>
      <c r="D503" s="2080"/>
      <c r="E503" s="2080"/>
      <c r="F503" s="2080"/>
      <c r="G503" s="2080"/>
      <c r="H503" s="2080"/>
      <c r="I503" s="2080"/>
      <c r="J503" s="2141"/>
    </row>
    <row r="504" s="2075" customFormat="1" spans="1:10">
      <c r="A504" s="2082" t="s">
        <v>314</v>
      </c>
      <c r="B504" s="2082" t="s">
        <v>315</v>
      </c>
      <c r="C504" s="2082" t="s">
        <v>516</v>
      </c>
      <c r="D504" s="2080"/>
      <c r="E504" s="2080"/>
      <c r="F504" s="2080"/>
      <c r="G504" s="2080"/>
      <c r="H504" s="2080"/>
      <c r="I504" s="2080"/>
      <c r="J504" s="2141"/>
    </row>
    <row r="505" s="2075" customFormat="1" spans="1:10">
      <c r="A505" s="2092"/>
      <c r="B505" s="2085"/>
      <c r="C505" s="2092"/>
      <c r="D505" s="2080"/>
      <c r="E505" s="2080"/>
      <c r="F505" s="2080"/>
      <c r="G505" s="2080"/>
      <c r="H505" s="2080"/>
      <c r="I505" s="2080"/>
      <c r="J505" s="2118" t="s">
        <v>549</v>
      </c>
    </row>
    <row r="506" s="2075" customFormat="1" spans="1:10">
      <c r="A506" s="2092"/>
      <c r="B506" s="2085"/>
      <c r="C506" s="2092"/>
      <c r="D506" s="2080"/>
      <c r="E506" s="2080"/>
      <c r="F506" s="2080"/>
      <c r="G506" s="2080"/>
      <c r="H506" s="2080"/>
      <c r="I506" s="2080"/>
      <c r="J506" s="2118" t="s">
        <v>549</v>
      </c>
    </row>
    <row r="507" s="2075" customFormat="1" spans="1:10">
      <c r="A507" s="2092"/>
      <c r="B507" s="2085"/>
      <c r="C507" s="2092"/>
      <c r="D507" s="2080"/>
      <c r="E507" s="2080"/>
      <c r="F507" s="2080"/>
      <c r="G507" s="2080"/>
      <c r="H507" s="2080"/>
      <c r="I507" s="2080"/>
      <c r="J507" s="2118" t="s">
        <v>549</v>
      </c>
    </row>
    <row r="508" s="2075" customFormat="1" spans="1:10">
      <c r="A508" s="2092"/>
      <c r="B508" s="2085"/>
      <c r="C508" s="2092"/>
      <c r="D508" s="2080"/>
      <c r="E508" s="2080"/>
      <c r="F508" s="2080"/>
      <c r="G508" s="2080"/>
      <c r="H508" s="2080"/>
      <c r="I508" s="2080"/>
      <c r="J508" s="2118" t="s">
        <v>549</v>
      </c>
    </row>
    <row r="509" s="2075" customFormat="1" spans="1:10">
      <c r="A509" s="2092"/>
      <c r="B509" s="2085"/>
      <c r="C509" s="2092"/>
      <c r="D509" s="2080"/>
      <c r="E509" s="2080"/>
      <c r="F509" s="2080"/>
      <c r="G509" s="2080"/>
      <c r="H509" s="2080"/>
      <c r="I509" s="2080"/>
      <c r="J509" s="2118" t="s">
        <v>549</v>
      </c>
    </row>
    <row r="510" s="2075" customFormat="1" spans="1:10">
      <c r="A510" s="2092"/>
      <c r="B510" s="2085"/>
      <c r="C510" s="2092"/>
      <c r="D510" s="2080"/>
      <c r="E510" s="2080"/>
      <c r="F510" s="2080"/>
      <c r="G510" s="2080"/>
      <c r="H510" s="2080"/>
      <c r="I510" s="2080"/>
      <c r="J510" s="2118" t="s">
        <v>549</v>
      </c>
    </row>
    <row r="511" s="2075" customFormat="1" spans="1:10">
      <c r="A511" s="2092"/>
      <c r="B511" s="2085"/>
      <c r="C511" s="2092"/>
      <c r="D511" s="2080"/>
      <c r="E511" s="2080"/>
      <c r="F511" s="2080"/>
      <c r="G511" s="2080"/>
      <c r="H511" s="2080"/>
      <c r="I511" s="2080"/>
      <c r="J511" s="2118" t="s">
        <v>549</v>
      </c>
    </row>
    <row r="512" s="2075" customFormat="1" spans="1:10">
      <c r="A512" s="2092"/>
      <c r="B512" s="2085"/>
      <c r="C512" s="2092"/>
      <c r="D512" s="2080"/>
      <c r="E512" s="2080"/>
      <c r="F512" s="2080"/>
      <c r="G512" s="2080"/>
      <c r="H512" s="2080"/>
      <c r="I512" s="2080"/>
      <c r="J512" s="2118" t="s">
        <v>549</v>
      </c>
    </row>
    <row r="513" s="2075" customFormat="1" spans="1:10">
      <c r="A513" s="2092"/>
      <c r="B513" s="2085"/>
      <c r="C513" s="2092"/>
      <c r="D513" s="2080"/>
      <c r="E513" s="2080"/>
      <c r="F513" s="2080"/>
      <c r="G513" s="2080"/>
      <c r="H513" s="2080"/>
      <c r="I513" s="2080"/>
      <c r="J513" s="2118" t="s">
        <v>549</v>
      </c>
    </row>
    <row r="514" s="2075" customFormat="1" spans="1:10">
      <c r="A514" s="2092"/>
      <c r="B514" s="2085"/>
      <c r="C514" s="2092"/>
      <c r="D514" s="2080"/>
      <c r="E514" s="2080"/>
      <c r="F514" s="2080"/>
      <c r="G514" s="2080"/>
      <c r="H514" s="2080"/>
      <c r="I514" s="2080"/>
      <c r="J514" s="2118" t="s">
        <v>549</v>
      </c>
    </row>
    <row r="515" s="2075" customFormat="1" spans="1:10">
      <c r="A515" s="2082" t="s">
        <v>384</v>
      </c>
      <c r="B515" s="2048">
        <f>ROUND(SUM(B505:B514),2)</f>
        <v>0</v>
      </c>
      <c r="C515" s="2048"/>
      <c r="D515" s="2080"/>
      <c r="E515" s="2080"/>
      <c r="F515" s="2080"/>
      <c r="G515" s="2080"/>
      <c r="H515" s="2080"/>
      <c r="I515" s="2080"/>
      <c r="J515" s="2118" t="s">
        <v>550</v>
      </c>
    </row>
    <row r="516" s="2075" customFormat="1" spans="1:10">
      <c r="A516" s="2103"/>
      <c r="B516" s="2080"/>
      <c r="C516" s="2080"/>
      <c r="D516" s="2080"/>
      <c r="E516" s="2080"/>
      <c r="F516" s="2080"/>
      <c r="G516" s="2080"/>
      <c r="H516" s="2080"/>
      <c r="I516" s="2080"/>
      <c r="J516" s="2141"/>
    </row>
    <row r="517" s="2075" customFormat="1" spans="1:10">
      <c r="A517" s="2103"/>
      <c r="B517" s="2080"/>
      <c r="C517" s="2080"/>
      <c r="D517" s="2080"/>
      <c r="E517" s="2080"/>
      <c r="F517" s="2080"/>
      <c r="G517" s="2080"/>
      <c r="H517" s="2080"/>
      <c r="I517" s="2080"/>
      <c r="J517" s="2141"/>
    </row>
    <row r="518" s="2075" customFormat="1" spans="1:10">
      <c r="A518" s="2079" t="s">
        <v>551</v>
      </c>
      <c r="B518" s="2080"/>
      <c r="C518" s="2080"/>
      <c r="D518" s="2080"/>
      <c r="E518" s="2080"/>
      <c r="F518" s="2080"/>
      <c r="G518" s="2080"/>
      <c r="H518" s="2080"/>
      <c r="I518" s="2080"/>
      <c r="J518" s="2141"/>
    </row>
    <row r="519" s="2075" customFormat="1" spans="1:10">
      <c r="A519" s="2081" t="s">
        <v>552</v>
      </c>
      <c r="B519" s="2080"/>
      <c r="C519" s="2080"/>
      <c r="D519" s="2080"/>
      <c r="E519" s="2080"/>
      <c r="F519" s="2080"/>
      <c r="G519" s="2080"/>
      <c r="H519" s="2080"/>
      <c r="I519" s="2080"/>
      <c r="J519" s="2076"/>
    </row>
    <row r="520" s="2075" customFormat="1" spans="1:10">
      <c r="A520" s="2089" t="s">
        <v>442</v>
      </c>
      <c r="B520" s="2114" t="s">
        <v>315</v>
      </c>
      <c r="C520" s="2155"/>
      <c r="D520" s="2082" t="s">
        <v>316</v>
      </c>
      <c r="E520" s="2082"/>
      <c r="F520" s="2080"/>
      <c r="G520" s="2080"/>
      <c r="H520" s="2080"/>
      <c r="I520" s="2080"/>
      <c r="J520" s="2076"/>
    </row>
    <row r="521" s="2075" customFormat="1" spans="1:10">
      <c r="A521" s="2090"/>
      <c r="B521" s="2082" t="s">
        <v>443</v>
      </c>
      <c r="C521" s="2082" t="s">
        <v>444</v>
      </c>
      <c r="D521" s="2082" t="s">
        <v>443</v>
      </c>
      <c r="E521" s="2082" t="s">
        <v>444</v>
      </c>
      <c r="F521" s="2080"/>
      <c r="G521" s="2080"/>
      <c r="H521" s="2080"/>
      <c r="I521" s="2080"/>
      <c r="J521" s="2076"/>
    </row>
    <row r="522" s="2075" customFormat="1" spans="1:10">
      <c r="A522" s="2087" t="s">
        <v>447</v>
      </c>
      <c r="B522" s="2085"/>
      <c r="C522" s="2117">
        <f>IF(B522=0,0,1-C523-C524-C525)</f>
        <v>0</v>
      </c>
      <c r="D522" s="2085"/>
      <c r="E522" s="2117">
        <f>IF(D522=0,0,1-E523-E524-E525)</f>
        <v>0</v>
      </c>
      <c r="F522" s="2080"/>
      <c r="G522" s="2080"/>
      <c r="H522" s="2080"/>
      <c r="I522" s="2080"/>
      <c r="J522" s="2118" t="s">
        <v>553</v>
      </c>
    </row>
    <row r="523" s="2075" customFormat="1" spans="1:10">
      <c r="A523" s="2087" t="s">
        <v>449</v>
      </c>
      <c r="B523" s="2085"/>
      <c r="C523" s="2117">
        <f>IF(B523=0,0,IF(B522=0,ROUND(1-C524-C525,4),ROUND(B523/B$526,4)))</f>
        <v>0</v>
      </c>
      <c r="D523" s="2085"/>
      <c r="E523" s="2117">
        <f>IF(D523=0,0,IF(D522=0,ROUND(1-E524-E525,4),ROUND(D523/D$526,4)))</f>
        <v>0</v>
      </c>
      <c r="F523" s="2080"/>
      <c r="G523" s="2080"/>
      <c r="H523" s="2080"/>
      <c r="I523" s="2080"/>
      <c r="J523" s="2118" t="s">
        <v>554</v>
      </c>
    </row>
    <row r="524" s="2075" customFormat="1" spans="1:10">
      <c r="A524" s="2087" t="s">
        <v>451</v>
      </c>
      <c r="B524" s="2085"/>
      <c r="C524" s="2117">
        <f>IF(B524=0,0,IF(AND(B522=0,B523=0),ROUND(1-C525,4),ROUND(B524/B$526,4)))</f>
        <v>0</v>
      </c>
      <c r="D524" s="2085"/>
      <c r="E524" s="2117">
        <f>IF(D524=0,0,IF(AND(D522=0,D523=0),ROUND(1-E525,4),ROUND(D524/D$526,4)))</f>
        <v>0</v>
      </c>
      <c r="F524" s="2080"/>
      <c r="G524" s="2080"/>
      <c r="H524" s="2080"/>
      <c r="I524" s="2080"/>
      <c r="J524" s="2118" t="s">
        <v>555</v>
      </c>
    </row>
    <row r="525" s="2075" customFormat="1" spans="1:10">
      <c r="A525" s="2087" t="s">
        <v>556</v>
      </c>
      <c r="B525" s="2085"/>
      <c r="C525" s="2117">
        <f>IF(B525=0,0,ROUND(B525/B$526,4))</f>
        <v>0</v>
      </c>
      <c r="D525" s="2085"/>
      <c r="E525" s="2117">
        <f>IF(D525=0,0,ROUND(D525/D$526,4))</f>
        <v>0</v>
      </c>
      <c r="F525" s="2080"/>
      <c r="G525" s="2080"/>
      <c r="H525" s="2080"/>
      <c r="I525" s="2080"/>
      <c r="J525" s="2118" t="s">
        <v>557</v>
      </c>
    </row>
    <row r="526" s="2075" customFormat="1" spans="1:10">
      <c r="A526" s="2082" t="s">
        <v>384</v>
      </c>
      <c r="B526" s="2048">
        <f>ROUND(SUM(B522:B525),2)</f>
        <v>0</v>
      </c>
      <c r="C526" s="2093">
        <f>IF(B526=0,0,1)</f>
        <v>0</v>
      </c>
      <c r="D526" s="2048">
        <f>ROUND(SUM(D522:D525),2)</f>
        <v>0</v>
      </c>
      <c r="E526" s="2093">
        <f>IF(D526=0,0,1)</f>
        <v>0</v>
      </c>
      <c r="F526" s="2080"/>
      <c r="G526" s="2080"/>
      <c r="H526" s="2080"/>
      <c r="I526" s="2080"/>
      <c r="J526" s="2118" t="s">
        <v>558</v>
      </c>
    </row>
    <row r="527" s="2075" customFormat="1" spans="1:10">
      <c r="A527" s="2103"/>
      <c r="B527" s="2080"/>
      <c r="C527" s="2080"/>
      <c r="D527" s="2080"/>
      <c r="E527" s="2080"/>
      <c r="F527" s="2080"/>
      <c r="G527" s="2080"/>
      <c r="H527" s="2080"/>
      <c r="I527" s="2080"/>
      <c r="J527" s="2141"/>
    </row>
    <row r="528" s="2075" customFormat="1" spans="1:10">
      <c r="A528" s="2081" t="s">
        <v>559</v>
      </c>
      <c r="B528" s="2080"/>
      <c r="C528" s="2080"/>
      <c r="D528" s="2080"/>
      <c r="E528" s="2080"/>
      <c r="F528" s="2080"/>
      <c r="G528" s="2080"/>
      <c r="H528" s="2080"/>
      <c r="I528" s="2080"/>
      <c r="J528" s="2141"/>
    </row>
    <row r="529" s="2075" customFormat="1" spans="1:10">
      <c r="A529" s="2082" t="s">
        <v>314</v>
      </c>
      <c r="B529" s="2082" t="s">
        <v>315</v>
      </c>
      <c r="C529" s="2082" t="s">
        <v>560</v>
      </c>
      <c r="D529" s="2082" t="s">
        <v>561</v>
      </c>
      <c r="E529" s="2080"/>
      <c r="F529" s="2080"/>
      <c r="G529" s="2080"/>
      <c r="H529" s="2080"/>
      <c r="I529" s="2080"/>
      <c r="J529" s="2141"/>
    </row>
    <row r="530" s="2075" customFormat="1" spans="1:10">
      <c r="A530" s="2092"/>
      <c r="B530" s="2085"/>
      <c r="C530" s="2092"/>
      <c r="D530" s="2092"/>
      <c r="E530" s="2080"/>
      <c r="F530" s="2080"/>
      <c r="G530" s="2080"/>
      <c r="H530" s="2080"/>
      <c r="I530" s="2080"/>
      <c r="J530" s="2118" t="s">
        <v>562</v>
      </c>
    </row>
    <row r="531" s="2075" customFormat="1" spans="1:10">
      <c r="A531" s="2092"/>
      <c r="B531" s="2085"/>
      <c r="C531" s="2092"/>
      <c r="D531" s="2092"/>
      <c r="E531" s="2080"/>
      <c r="F531" s="2080"/>
      <c r="G531" s="2080"/>
      <c r="H531" s="2080"/>
      <c r="I531" s="2080"/>
      <c r="J531" s="2118" t="s">
        <v>562</v>
      </c>
    </row>
    <row r="532" s="2075" customFormat="1" spans="1:10">
      <c r="A532" s="2092"/>
      <c r="B532" s="2085"/>
      <c r="C532" s="2092"/>
      <c r="D532" s="2092"/>
      <c r="E532" s="2080"/>
      <c r="F532" s="2080"/>
      <c r="G532" s="2080"/>
      <c r="H532" s="2080"/>
      <c r="I532" s="2080"/>
      <c r="J532" s="2118" t="s">
        <v>562</v>
      </c>
    </row>
    <row r="533" s="2075" customFormat="1" spans="1:10">
      <c r="A533" s="2092"/>
      <c r="B533" s="2085"/>
      <c r="C533" s="2092"/>
      <c r="D533" s="2092"/>
      <c r="E533" s="2080"/>
      <c r="F533" s="2080"/>
      <c r="G533" s="2080"/>
      <c r="H533" s="2080"/>
      <c r="I533" s="2080"/>
      <c r="J533" s="2118" t="s">
        <v>562</v>
      </c>
    </row>
    <row r="534" s="2075" customFormat="1" spans="1:10">
      <c r="A534" s="2092"/>
      <c r="B534" s="2085"/>
      <c r="C534" s="2092"/>
      <c r="D534" s="2092"/>
      <c r="E534" s="2080"/>
      <c r="F534" s="2080"/>
      <c r="G534" s="2080"/>
      <c r="H534" s="2080"/>
      <c r="I534" s="2080"/>
      <c r="J534" s="2118" t="s">
        <v>562</v>
      </c>
    </row>
    <row r="535" s="2075" customFormat="1" spans="1:10">
      <c r="A535" s="2092"/>
      <c r="B535" s="2085"/>
      <c r="C535" s="2092"/>
      <c r="D535" s="2092"/>
      <c r="E535" s="2080"/>
      <c r="F535" s="2080"/>
      <c r="G535" s="2080"/>
      <c r="H535" s="2080"/>
      <c r="I535" s="2080"/>
      <c r="J535" s="2118" t="s">
        <v>562</v>
      </c>
    </row>
    <row r="536" s="2075" customFormat="1" spans="1:10">
      <c r="A536" s="2092"/>
      <c r="B536" s="2085"/>
      <c r="C536" s="2092"/>
      <c r="D536" s="2092"/>
      <c r="E536" s="2080"/>
      <c r="F536" s="2080"/>
      <c r="G536" s="2080"/>
      <c r="H536" s="2080"/>
      <c r="I536" s="2080"/>
      <c r="J536" s="2118" t="s">
        <v>562</v>
      </c>
    </row>
    <row r="537" s="2075" customFormat="1" spans="1:10">
      <c r="A537" s="2092"/>
      <c r="B537" s="2085"/>
      <c r="C537" s="2092"/>
      <c r="D537" s="2092"/>
      <c r="E537" s="2080"/>
      <c r="F537" s="2080"/>
      <c r="G537" s="2080"/>
      <c r="H537" s="2080"/>
      <c r="I537" s="2080"/>
      <c r="J537" s="2118" t="s">
        <v>562</v>
      </c>
    </row>
    <row r="538" s="2075" customFormat="1" spans="1:10">
      <c r="A538" s="2092"/>
      <c r="B538" s="2085"/>
      <c r="C538" s="2092"/>
      <c r="D538" s="2092"/>
      <c r="E538" s="2080"/>
      <c r="F538" s="2080"/>
      <c r="G538" s="2080"/>
      <c r="H538" s="2080"/>
      <c r="I538" s="2080"/>
      <c r="J538" s="2118" t="s">
        <v>562</v>
      </c>
    </row>
    <row r="539" s="2075" customFormat="1" spans="1:10">
      <c r="A539" s="2092"/>
      <c r="B539" s="2085"/>
      <c r="C539" s="2092"/>
      <c r="D539" s="2092"/>
      <c r="E539" s="2080"/>
      <c r="F539" s="2080"/>
      <c r="G539" s="2080"/>
      <c r="H539" s="2080"/>
      <c r="I539" s="2080"/>
      <c r="J539" s="2118" t="s">
        <v>562</v>
      </c>
    </row>
    <row r="540" s="2075" customFormat="1" spans="1:10">
      <c r="A540" s="2082" t="s">
        <v>384</v>
      </c>
      <c r="B540" s="2048">
        <f>ROUND(SUM(B530:B539),2)</f>
        <v>0</v>
      </c>
      <c r="C540" s="2048"/>
      <c r="D540" s="2048"/>
      <c r="E540" s="2080"/>
      <c r="F540" s="2080"/>
      <c r="G540" s="2080"/>
      <c r="H540" s="2080"/>
      <c r="I540" s="2080"/>
      <c r="J540" s="2118" t="s">
        <v>563</v>
      </c>
    </row>
    <row r="541" s="2075" customFormat="1" spans="1:10">
      <c r="A541" s="2103"/>
      <c r="B541" s="2080"/>
      <c r="C541" s="2080"/>
      <c r="D541" s="2080"/>
      <c r="E541" s="2080"/>
      <c r="F541" s="2080"/>
      <c r="G541" s="2080"/>
      <c r="H541" s="2080"/>
      <c r="I541" s="2080"/>
      <c r="J541" s="2141"/>
    </row>
    <row r="542" s="2075" customFormat="1" spans="1:10">
      <c r="A542" s="2096" t="s">
        <v>564</v>
      </c>
      <c r="B542" s="2080"/>
      <c r="C542" s="2080"/>
      <c r="D542" s="2080"/>
      <c r="E542" s="2080"/>
      <c r="F542" s="2080"/>
      <c r="G542" s="2080"/>
      <c r="H542" s="2080"/>
      <c r="I542" s="2080"/>
      <c r="J542" s="2141"/>
    </row>
    <row r="543" s="2075" customFormat="1" spans="1:10">
      <c r="A543" s="2082" t="s">
        <v>494</v>
      </c>
      <c r="B543" s="2082" t="s">
        <v>315</v>
      </c>
      <c r="C543" s="2082" t="s">
        <v>316</v>
      </c>
      <c r="D543" s="2082" t="s">
        <v>495</v>
      </c>
      <c r="E543" s="2080"/>
      <c r="F543" s="2080"/>
      <c r="G543" s="2080"/>
      <c r="H543" s="2080"/>
      <c r="I543" s="2080"/>
      <c r="J543" s="2141"/>
    </row>
    <row r="544" s="2075" customFormat="1" spans="1:10">
      <c r="A544" s="2092"/>
      <c r="B544" s="2085"/>
      <c r="C544" s="2085"/>
      <c r="D544" s="2092"/>
      <c r="E544" s="2080"/>
      <c r="F544" s="2080"/>
      <c r="G544" s="2080"/>
      <c r="H544" s="2080"/>
      <c r="I544" s="2080"/>
      <c r="J544" s="2118" t="s">
        <v>565</v>
      </c>
    </row>
    <row r="545" s="2075" customFormat="1" spans="1:10">
      <c r="A545" s="2092"/>
      <c r="B545" s="2085"/>
      <c r="C545" s="2085"/>
      <c r="D545" s="2092"/>
      <c r="E545" s="2080"/>
      <c r="F545" s="2080"/>
      <c r="G545" s="2080"/>
      <c r="H545" s="2080"/>
      <c r="I545" s="2080"/>
      <c r="J545" s="2118" t="s">
        <v>565</v>
      </c>
    </row>
    <row r="546" s="2075" customFormat="1" spans="1:10">
      <c r="A546" s="2092"/>
      <c r="B546" s="2085"/>
      <c r="C546" s="2085"/>
      <c r="D546" s="2092"/>
      <c r="E546" s="2080"/>
      <c r="F546" s="2080"/>
      <c r="G546" s="2080"/>
      <c r="H546" s="2080"/>
      <c r="I546" s="2080"/>
      <c r="J546" s="2118" t="s">
        <v>565</v>
      </c>
    </row>
    <row r="547" s="2075" customFormat="1" spans="1:10">
      <c r="A547" s="2092"/>
      <c r="B547" s="2085"/>
      <c r="C547" s="2085"/>
      <c r="D547" s="2092"/>
      <c r="E547" s="2080"/>
      <c r="F547" s="2080"/>
      <c r="G547" s="2080"/>
      <c r="H547" s="2080"/>
      <c r="I547" s="2080"/>
      <c r="J547" s="2118" t="s">
        <v>565</v>
      </c>
    </row>
    <row r="548" s="2075" customFormat="1" spans="1:10">
      <c r="A548" s="2092"/>
      <c r="B548" s="2085"/>
      <c r="C548" s="2085"/>
      <c r="D548" s="2092"/>
      <c r="E548" s="2080"/>
      <c r="F548" s="2080"/>
      <c r="G548" s="2080"/>
      <c r="H548" s="2080"/>
      <c r="I548" s="2080"/>
      <c r="J548" s="2118" t="s">
        <v>565</v>
      </c>
    </row>
    <row r="549" s="2075" customFormat="1" spans="1:10">
      <c r="A549" s="2092"/>
      <c r="B549" s="2085"/>
      <c r="C549" s="2085"/>
      <c r="D549" s="2092"/>
      <c r="E549" s="2080"/>
      <c r="F549" s="2080"/>
      <c r="G549" s="2080"/>
      <c r="H549" s="2080"/>
      <c r="I549" s="2080"/>
      <c r="J549" s="2118" t="s">
        <v>565</v>
      </c>
    </row>
    <row r="550" s="2075" customFormat="1" spans="1:10">
      <c r="A550" s="2092"/>
      <c r="B550" s="2085"/>
      <c r="C550" s="2085"/>
      <c r="D550" s="2092"/>
      <c r="E550" s="2080"/>
      <c r="F550" s="2080"/>
      <c r="G550" s="2080"/>
      <c r="H550" s="2080"/>
      <c r="I550" s="2080"/>
      <c r="J550" s="2118" t="s">
        <v>565</v>
      </c>
    </row>
    <row r="551" s="2075" customFormat="1" spans="1:10">
      <c r="A551" s="2092"/>
      <c r="B551" s="2085"/>
      <c r="C551" s="2085"/>
      <c r="D551" s="2092"/>
      <c r="E551" s="2080"/>
      <c r="F551" s="2080"/>
      <c r="G551" s="2080"/>
      <c r="H551" s="2080"/>
      <c r="I551" s="2080"/>
      <c r="J551" s="2118" t="s">
        <v>565</v>
      </c>
    </row>
    <row r="552" s="2075" customFormat="1" spans="1:10">
      <c r="A552" s="2092"/>
      <c r="B552" s="2085"/>
      <c r="C552" s="2085"/>
      <c r="D552" s="2092"/>
      <c r="E552" s="2080"/>
      <c r="F552" s="2080"/>
      <c r="G552" s="2080"/>
      <c r="H552" s="2080"/>
      <c r="I552" s="2080"/>
      <c r="J552" s="2118" t="s">
        <v>565</v>
      </c>
    </row>
    <row r="553" s="2075" customFormat="1" spans="1:10">
      <c r="A553" s="2092"/>
      <c r="B553" s="2085"/>
      <c r="C553" s="2085"/>
      <c r="D553" s="2092"/>
      <c r="E553" s="2080"/>
      <c r="F553" s="2080"/>
      <c r="G553" s="2080"/>
      <c r="H553" s="2080"/>
      <c r="I553" s="2080"/>
      <c r="J553" s="2118" t="s">
        <v>565</v>
      </c>
    </row>
    <row r="554" s="2075" customFormat="1" spans="1:10">
      <c r="A554" s="2082" t="s">
        <v>384</v>
      </c>
      <c r="B554" s="2048">
        <f>ROUND(SUM(B544:B553),2)</f>
        <v>0</v>
      </c>
      <c r="C554" s="2048">
        <f>ROUND(SUM(C544:C553),2)</f>
        <v>0</v>
      </c>
      <c r="D554" s="2048"/>
      <c r="E554" s="2080"/>
      <c r="F554" s="2080"/>
      <c r="G554" s="2080"/>
      <c r="H554" s="2080"/>
      <c r="I554" s="2080"/>
      <c r="J554" s="2118" t="s">
        <v>566</v>
      </c>
    </row>
    <row r="555" s="2075" customFormat="1" spans="1:10">
      <c r="A555" s="2103"/>
      <c r="B555" s="2080"/>
      <c r="C555" s="2080"/>
      <c r="D555" s="2080"/>
      <c r="E555" s="2080"/>
      <c r="F555" s="2080"/>
      <c r="G555" s="2080"/>
      <c r="H555" s="2080"/>
      <c r="I555" s="2080"/>
      <c r="J555" s="2141"/>
    </row>
    <row r="556" s="2075" customFormat="1" spans="1:10">
      <c r="A556" s="2096" t="s">
        <v>567</v>
      </c>
      <c r="B556" s="2080"/>
      <c r="C556" s="2080"/>
      <c r="D556" s="2080"/>
      <c r="E556" s="2080"/>
      <c r="F556" s="2080"/>
      <c r="G556" s="2080"/>
      <c r="H556" s="2080"/>
      <c r="I556" s="2080"/>
      <c r="J556" s="2141"/>
    </row>
    <row r="557" s="2075" customFormat="1" spans="1:10">
      <c r="A557" s="2082" t="s">
        <v>568</v>
      </c>
      <c r="B557" s="2082" t="s">
        <v>315</v>
      </c>
      <c r="C557" s="2082" t="s">
        <v>316</v>
      </c>
      <c r="D557" s="2082" t="s">
        <v>495</v>
      </c>
      <c r="E557" s="2080"/>
      <c r="F557" s="2080"/>
      <c r="G557" s="2080"/>
      <c r="H557" s="2080"/>
      <c r="I557" s="2080"/>
      <c r="J557" s="2141"/>
    </row>
    <row r="558" s="2075" customFormat="1" spans="1:10">
      <c r="A558" s="2092"/>
      <c r="B558" s="2085"/>
      <c r="C558" s="2085"/>
      <c r="D558" s="2092"/>
      <c r="E558" s="2080"/>
      <c r="F558" s="2080"/>
      <c r="G558" s="2080"/>
      <c r="H558" s="2080"/>
      <c r="I558" s="2080"/>
      <c r="J558" s="2118" t="s">
        <v>569</v>
      </c>
    </row>
    <row r="559" s="2075" customFormat="1" spans="1:10">
      <c r="A559" s="2092"/>
      <c r="B559" s="2085"/>
      <c r="C559" s="2085"/>
      <c r="D559" s="2092"/>
      <c r="E559" s="2080"/>
      <c r="F559" s="2080"/>
      <c r="G559" s="2080"/>
      <c r="H559" s="2080"/>
      <c r="I559" s="2080"/>
      <c r="J559" s="2118" t="s">
        <v>569</v>
      </c>
    </row>
    <row r="560" s="2075" customFormat="1" spans="1:10">
      <c r="A560" s="2092"/>
      <c r="B560" s="2085"/>
      <c r="C560" s="2085"/>
      <c r="D560" s="2092"/>
      <c r="E560" s="2080"/>
      <c r="F560" s="2080"/>
      <c r="G560" s="2080"/>
      <c r="H560" s="2080"/>
      <c r="I560" s="2080"/>
      <c r="J560" s="2118" t="s">
        <v>569</v>
      </c>
    </row>
    <row r="561" s="2075" customFormat="1" spans="1:10">
      <c r="A561" s="2092"/>
      <c r="B561" s="2085"/>
      <c r="C561" s="2085"/>
      <c r="D561" s="2092"/>
      <c r="E561" s="2080"/>
      <c r="F561" s="2080"/>
      <c r="G561" s="2080"/>
      <c r="H561" s="2080"/>
      <c r="I561" s="2080"/>
      <c r="J561" s="2118" t="s">
        <v>569</v>
      </c>
    </row>
    <row r="562" s="2075" customFormat="1" spans="1:10">
      <c r="A562" s="2092"/>
      <c r="B562" s="2085"/>
      <c r="C562" s="2085"/>
      <c r="D562" s="2092"/>
      <c r="E562" s="2080"/>
      <c r="F562" s="2080"/>
      <c r="G562" s="2080"/>
      <c r="H562" s="2080"/>
      <c r="I562" s="2080"/>
      <c r="J562" s="2118" t="s">
        <v>569</v>
      </c>
    </row>
    <row r="563" s="2075" customFormat="1" spans="1:10">
      <c r="A563" s="2092"/>
      <c r="B563" s="2085"/>
      <c r="C563" s="2085"/>
      <c r="D563" s="2092"/>
      <c r="E563" s="2080"/>
      <c r="F563" s="2080"/>
      <c r="G563" s="2080"/>
      <c r="H563" s="2080"/>
      <c r="I563" s="2080"/>
      <c r="J563" s="2118" t="s">
        <v>569</v>
      </c>
    </row>
    <row r="564" s="2075" customFormat="1" spans="1:10">
      <c r="A564" s="2092"/>
      <c r="B564" s="2085"/>
      <c r="C564" s="2085"/>
      <c r="D564" s="2092"/>
      <c r="E564" s="2080"/>
      <c r="F564" s="2080"/>
      <c r="G564" s="2080"/>
      <c r="H564" s="2080"/>
      <c r="I564" s="2080"/>
      <c r="J564" s="2118" t="s">
        <v>569</v>
      </c>
    </row>
    <row r="565" s="2075" customFormat="1" spans="1:10">
      <c r="A565" s="2092"/>
      <c r="B565" s="2085"/>
      <c r="C565" s="2085"/>
      <c r="D565" s="2092"/>
      <c r="E565" s="2080"/>
      <c r="F565" s="2080"/>
      <c r="G565" s="2080"/>
      <c r="H565" s="2080"/>
      <c r="I565" s="2080"/>
      <c r="J565" s="2118" t="s">
        <v>569</v>
      </c>
    </row>
    <row r="566" s="2075" customFormat="1" spans="1:10">
      <c r="A566" s="2092"/>
      <c r="B566" s="2085"/>
      <c r="C566" s="2085"/>
      <c r="D566" s="2092"/>
      <c r="E566" s="2080"/>
      <c r="F566" s="2080"/>
      <c r="G566" s="2080"/>
      <c r="H566" s="2080"/>
      <c r="I566" s="2080"/>
      <c r="J566" s="2118" t="s">
        <v>569</v>
      </c>
    </row>
    <row r="567" s="2075" customFormat="1" spans="1:10">
      <c r="A567" s="2092"/>
      <c r="B567" s="2085"/>
      <c r="C567" s="2085"/>
      <c r="D567" s="2092"/>
      <c r="E567" s="2080"/>
      <c r="F567" s="2080"/>
      <c r="G567" s="2080"/>
      <c r="H567" s="2080"/>
      <c r="I567" s="2080"/>
      <c r="J567" s="2118" t="s">
        <v>569</v>
      </c>
    </row>
    <row r="568" s="2075" customFormat="1" spans="1:10">
      <c r="A568" s="2082" t="s">
        <v>384</v>
      </c>
      <c r="B568" s="2048">
        <f>ROUND(SUM(B558:B567),2)</f>
        <v>0</v>
      </c>
      <c r="C568" s="2048">
        <f>ROUND(SUM(C558:C567),2)</f>
        <v>0</v>
      </c>
      <c r="D568" s="2048"/>
      <c r="E568" s="2080"/>
      <c r="F568" s="2080"/>
      <c r="G568" s="2080"/>
      <c r="H568" s="2080"/>
      <c r="I568" s="2080"/>
      <c r="J568" s="2118" t="s">
        <v>570</v>
      </c>
    </row>
    <row r="569" s="2075" customFormat="1" spans="1:10">
      <c r="A569" s="2103"/>
      <c r="B569" s="2080"/>
      <c r="C569" s="2080"/>
      <c r="D569" s="2080"/>
      <c r="E569" s="2080"/>
      <c r="F569" s="2080"/>
      <c r="G569" s="2080"/>
      <c r="H569" s="2080"/>
      <c r="I569" s="2080"/>
      <c r="J569" s="2141"/>
    </row>
    <row r="570" s="2075" customFormat="1" spans="1:10">
      <c r="A570" s="2096" t="s">
        <v>571</v>
      </c>
      <c r="B570" s="2080"/>
      <c r="C570" s="2080"/>
      <c r="D570" s="2080"/>
      <c r="E570" s="2080"/>
      <c r="F570" s="2080"/>
      <c r="G570" s="2080"/>
      <c r="H570" s="2080"/>
      <c r="I570" s="2080"/>
      <c r="J570" s="2141"/>
    </row>
    <row r="571" s="2075" customFormat="1" spans="1:10">
      <c r="A571" s="2082" t="s">
        <v>314</v>
      </c>
      <c r="B571" s="2082" t="s">
        <v>315</v>
      </c>
      <c r="C571" s="2082" t="s">
        <v>488</v>
      </c>
      <c r="D571" s="2082" t="s">
        <v>572</v>
      </c>
      <c r="E571" s="2080"/>
      <c r="F571" s="2080"/>
      <c r="G571" s="2080"/>
      <c r="H571" s="2080"/>
      <c r="I571" s="2080"/>
      <c r="J571" s="2141"/>
    </row>
    <row r="572" s="2075" customFormat="1" spans="1:10">
      <c r="A572" s="2092"/>
      <c r="B572" s="2085"/>
      <c r="C572" s="2092"/>
      <c r="D572" s="2092"/>
      <c r="E572" s="2080"/>
      <c r="F572" s="2080"/>
      <c r="G572" s="2080"/>
      <c r="H572" s="2080"/>
      <c r="I572" s="2080"/>
      <c r="J572" s="2118" t="s">
        <v>573</v>
      </c>
    </row>
    <row r="573" s="2075" customFormat="1" spans="1:10">
      <c r="A573" s="2092"/>
      <c r="B573" s="2085"/>
      <c r="C573" s="2092"/>
      <c r="D573" s="2092"/>
      <c r="E573" s="2080"/>
      <c r="F573" s="2080"/>
      <c r="G573" s="2080"/>
      <c r="H573" s="2080"/>
      <c r="I573" s="2080"/>
      <c r="J573" s="2118" t="s">
        <v>573</v>
      </c>
    </row>
    <row r="574" s="2075" customFormat="1" spans="1:10">
      <c r="A574" s="2092"/>
      <c r="B574" s="2085"/>
      <c r="C574" s="2092"/>
      <c r="D574" s="2092"/>
      <c r="E574" s="2080"/>
      <c r="F574" s="2080"/>
      <c r="G574" s="2080"/>
      <c r="H574" s="2080"/>
      <c r="I574" s="2080"/>
      <c r="J574" s="2118" t="s">
        <v>573</v>
      </c>
    </row>
    <row r="575" s="2075" customFormat="1" spans="1:10">
      <c r="A575" s="2092"/>
      <c r="B575" s="2085"/>
      <c r="C575" s="2092"/>
      <c r="D575" s="2092"/>
      <c r="E575" s="2080"/>
      <c r="F575" s="2080"/>
      <c r="G575" s="2080"/>
      <c r="H575" s="2080"/>
      <c r="I575" s="2080"/>
      <c r="J575" s="2118" t="s">
        <v>573</v>
      </c>
    </row>
    <row r="576" s="2075" customFormat="1" spans="1:10">
      <c r="A576" s="2092"/>
      <c r="B576" s="2085"/>
      <c r="C576" s="2092"/>
      <c r="D576" s="2092"/>
      <c r="E576" s="2080"/>
      <c r="F576" s="2080"/>
      <c r="G576" s="2080"/>
      <c r="H576" s="2080"/>
      <c r="I576" s="2080"/>
      <c r="J576" s="2118" t="s">
        <v>573</v>
      </c>
    </row>
    <row r="577" s="2075" customFormat="1" spans="1:10">
      <c r="A577" s="2092"/>
      <c r="B577" s="2085"/>
      <c r="C577" s="2092"/>
      <c r="D577" s="2092"/>
      <c r="E577" s="2080"/>
      <c r="F577" s="2080"/>
      <c r="G577" s="2080"/>
      <c r="H577" s="2080"/>
      <c r="I577" s="2080"/>
      <c r="J577" s="2118" t="s">
        <v>573</v>
      </c>
    </row>
    <row r="578" s="2075" customFormat="1" spans="1:10">
      <c r="A578" s="2092"/>
      <c r="B578" s="2085"/>
      <c r="C578" s="2092"/>
      <c r="D578" s="2092"/>
      <c r="E578" s="2080"/>
      <c r="F578" s="2080"/>
      <c r="G578" s="2080"/>
      <c r="H578" s="2080"/>
      <c r="I578" s="2080"/>
      <c r="J578" s="2118" t="s">
        <v>573</v>
      </c>
    </row>
    <row r="579" s="2075" customFormat="1" spans="1:10">
      <c r="A579" s="2092"/>
      <c r="B579" s="2085"/>
      <c r="C579" s="2092"/>
      <c r="D579" s="2092"/>
      <c r="E579" s="2080"/>
      <c r="F579" s="2080"/>
      <c r="G579" s="2080"/>
      <c r="H579" s="2080"/>
      <c r="I579" s="2080"/>
      <c r="J579" s="2118" t="s">
        <v>573</v>
      </c>
    </row>
    <row r="580" s="2075" customFormat="1" spans="1:10">
      <c r="A580" s="2092"/>
      <c r="B580" s="2085"/>
      <c r="C580" s="2092"/>
      <c r="D580" s="2092"/>
      <c r="E580" s="2080"/>
      <c r="F580" s="2080"/>
      <c r="G580" s="2080"/>
      <c r="H580" s="2080"/>
      <c r="I580" s="2080"/>
      <c r="J580" s="2118" t="s">
        <v>573</v>
      </c>
    </row>
    <row r="581" s="2075" customFormat="1" spans="1:10">
      <c r="A581" s="2092"/>
      <c r="B581" s="2085"/>
      <c r="C581" s="2092"/>
      <c r="D581" s="2092"/>
      <c r="E581" s="2080"/>
      <c r="F581" s="2080"/>
      <c r="G581" s="2080"/>
      <c r="H581" s="2080"/>
      <c r="I581" s="2080"/>
      <c r="J581" s="2118" t="s">
        <v>573</v>
      </c>
    </row>
    <row r="582" s="2075" customFormat="1" spans="1:10">
      <c r="A582" s="2082" t="s">
        <v>384</v>
      </c>
      <c r="B582" s="2048">
        <f>ROUND(SUM(B572:B581),2)</f>
        <v>0</v>
      </c>
      <c r="C582" s="2048"/>
      <c r="D582" s="2048"/>
      <c r="E582" s="2080"/>
      <c r="F582" s="2080"/>
      <c r="G582" s="2080"/>
      <c r="H582" s="2080"/>
      <c r="I582" s="2080"/>
      <c r="J582" s="2118" t="s">
        <v>574</v>
      </c>
    </row>
    <row r="583" s="2075" customFormat="1" spans="1:10">
      <c r="A583" s="2103"/>
      <c r="B583" s="2080"/>
      <c r="C583" s="2080"/>
      <c r="D583" s="2080"/>
      <c r="E583" s="2080"/>
      <c r="F583" s="2080"/>
      <c r="G583" s="2080"/>
      <c r="H583" s="2080"/>
      <c r="I583" s="2080"/>
      <c r="J583" s="2141"/>
    </row>
    <row r="584" s="2075" customFormat="1" spans="1:10">
      <c r="A584" s="2096" t="s">
        <v>575</v>
      </c>
      <c r="B584" s="2080"/>
      <c r="C584" s="2080"/>
      <c r="D584" s="2080"/>
      <c r="E584" s="2080"/>
      <c r="F584" s="2080"/>
      <c r="G584" s="2080"/>
      <c r="H584" s="2080"/>
      <c r="I584" s="2080"/>
      <c r="J584" s="2141"/>
    </row>
    <row r="585" s="2075" customFormat="1" spans="1:10">
      <c r="A585" s="2082" t="s">
        <v>576</v>
      </c>
      <c r="B585" s="2080"/>
      <c r="C585" s="2080"/>
      <c r="D585" s="2080"/>
      <c r="E585" s="2080"/>
      <c r="F585" s="2080"/>
      <c r="G585" s="2080"/>
      <c r="H585" s="2080"/>
      <c r="I585" s="2080"/>
      <c r="J585" s="2141"/>
    </row>
    <row r="586" s="2075" customFormat="1" spans="1:10">
      <c r="A586" s="2092"/>
      <c r="B586" s="2080"/>
      <c r="C586" s="2080"/>
      <c r="D586" s="2080"/>
      <c r="E586" s="2080"/>
      <c r="F586" s="2080"/>
      <c r="G586" s="2080"/>
      <c r="H586" s="2080"/>
      <c r="I586" s="2080"/>
      <c r="J586" s="2118" t="s">
        <v>577</v>
      </c>
    </row>
    <row r="587" s="2075" customFormat="1" spans="1:10">
      <c r="A587" s="2103"/>
      <c r="B587" s="2080"/>
      <c r="C587" s="2080"/>
      <c r="D587" s="2080"/>
      <c r="E587" s="2080"/>
      <c r="F587" s="2080"/>
      <c r="G587" s="2080"/>
      <c r="H587" s="2080"/>
      <c r="I587" s="2080"/>
      <c r="J587" s="2141"/>
    </row>
    <row r="588" s="2075" customFormat="1" spans="1:10">
      <c r="A588" s="2103"/>
      <c r="B588" s="2080"/>
      <c r="C588" s="2080"/>
      <c r="D588" s="2080"/>
      <c r="E588" s="2080"/>
      <c r="F588" s="2080"/>
      <c r="G588" s="2080"/>
      <c r="H588" s="2080"/>
      <c r="I588" s="2080"/>
      <c r="J588" s="2141"/>
    </row>
    <row r="589" s="2075" customFormat="1" spans="1:10">
      <c r="A589" s="2079" t="s">
        <v>578</v>
      </c>
      <c r="B589" s="2080"/>
      <c r="C589" s="2080"/>
      <c r="D589" s="2080"/>
      <c r="E589" s="2080"/>
      <c r="F589" s="2080"/>
      <c r="G589" s="2080"/>
      <c r="H589" s="2080"/>
      <c r="I589" s="2080"/>
      <c r="J589" s="2141"/>
    </row>
    <row r="590" s="2075" customFormat="1" spans="1:10">
      <c r="A590" s="2081" t="s">
        <v>579</v>
      </c>
      <c r="B590" s="2080"/>
      <c r="C590" s="2080"/>
      <c r="D590" s="2080"/>
      <c r="E590" s="2080"/>
      <c r="F590" s="2080"/>
      <c r="G590" s="2080"/>
      <c r="H590" s="2080"/>
      <c r="I590" s="2080"/>
      <c r="J590" s="2141"/>
    </row>
    <row r="591" s="2075" customFormat="1" spans="1:11">
      <c r="A591" s="2082" t="s">
        <v>580</v>
      </c>
      <c r="B591" s="2114" t="s">
        <v>316</v>
      </c>
      <c r="C591" s="2155"/>
      <c r="D591" s="2089" t="s">
        <v>581</v>
      </c>
      <c r="E591" s="2089" t="s">
        <v>582</v>
      </c>
      <c r="F591" s="2114" t="s">
        <v>315</v>
      </c>
      <c r="G591" s="2155"/>
      <c r="H591" s="2080"/>
      <c r="I591" s="2080"/>
      <c r="J591" s="2141"/>
      <c r="K591" s="2141"/>
    </row>
    <row r="592" s="2075" customFormat="1" spans="1:11">
      <c r="A592" s="2082"/>
      <c r="B592" s="2082" t="s">
        <v>443</v>
      </c>
      <c r="C592" s="2082" t="s">
        <v>583</v>
      </c>
      <c r="D592" s="2090"/>
      <c r="E592" s="2090"/>
      <c r="F592" s="2082" t="s">
        <v>443</v>
      </c>
      <c r="G592" s="2082" t="s">
        <v>583</v>
      </c>
      <c r="H592" s="2080"/>
      <c r="I592" s="2080"/>
      <c r="J592" s="2141"/>
      <c r="K592" s="2141"/>
    </row>
    <row r="593" s="2075" customFormat="1" spans="1:11">
      <c r="A593" s="2129" t="s">
        <v>584</v>
      </c>
      <c r="B593" s="2085"/>
      <c r="C593" s="2085"/>
      <c r="D593" s="2085"/>
      <c r="E593" s="2085"/>
      <c r="F593" s="2048">
        <f t="shared" ref="F593:F603" si="10">ROUND(B593+D593-E593,2)</f>
        <v>0</v>
      </c>
      <c r="G593" s="2085"/>
      <c r="H593" s="2080"/>
      <c r="I593" s="2080"/>
      <c r="J593" s="2118" t="s">
        <v>585</v>
      </c>
      <c r="K593" s="2141"/>
    </row>
    <row r="594" s="2075" customFormat="1" spans="1:11">
      <c r="A594" s="2129" t="s">
        <v>586</v>
      </c>
      <c r="B594" s="2085"/>
      <c r="C594" s="2085"/>
      <c r="D594" s="2085"/>
      <c r="E594" s="2085"/>
      <c r="F594" s="2048">
        <f t="shared" si="10"/>
        <v>0</v>
      </c>
      <c r="G594" s="2085"/>
      <c r="H594" s="2080"/>
      <c r="I594" s="2080"/>
      <c r="J594" s="2118" t="s">
        <v>587</v>
      </c>
      <c r="K594" s="2141"/>
    </row>
    <row r="595" s="2075" customFormat="1" spans="1:11">
      <c r="A595" s="2084" t="s">
        <v>588</v>
      </c>
      <c r="B595" s="2085"/>
      <c r="C595" s="2085"/>
      <c r="D595" s="2085"/>
      <c r="E595" s="2085"/>
      <c r="F595" s="2048">
        <f t="shared" si="10"/>
        <v>0</v>
      </c>
      <c r="G595" s="2085"/>
      <c r="H595" s="2080"/>
      <c r="I595" s="2080"/>
      <c r="J595" s="2118" t="s">
        <v>589</v>
      </c>
      <c r="K595" s="2141"/>
    </row>
    <row r="596" s="2075" customFormat="1" spans="1:11">
      <c r="A596" s="2084" t="s">
        <v>590</v>
      </c>
      <c r="B596" s="2085"/>
      <c r="C596" s="2085"/>
      <c r="D596" s="2085"/>
      <c r="E596" s="2085"/>
      <c r="F596" s="2048">
        <f t="shared" si="10"/>
        <v>0</v>
      </c>
      <c r="G596" s="2085"/>
      <c r="H596" s="2080"/>
      <c r="I596" s="2080"/>
      <c r="J596" s="2118" t="s">
        <v>591</v>
      </c>
      <c r="K596" s="2141"/>
    </row>
    <row r="597" s="2075" customFormat="1" spans="1:11">
      <c r="A597" s="2084" t="s">
        <v>592</v>
      </c>
      <c r="B597" s="2085"/>
      <c r="C597" s="2085"/>
      <c r="D597" s="2085"/>
      <c r="E597" s="2085"/>
      <c r="F597" s="2048">
        <f t="shared" si="10"/>
        <v>0</v>
      </c>
      <c r="G597" s="2085"/>
      <c r="H597" s="2080"/>
      <c r="I597" s="2080"/>
      <c r="J597" s="2118" t="s">
        <v>593</v>
      </c>
      <c r="K597" s="2141"/>
    </row>
    <row r="598" s="2075" customFormat="1" spans="1:11">
      <c r="A598" s="2084" t="s">
        <v>594</v>
      </c>
      <c r="B598" s="2085"/>
      <c r="C598" s="2085"/>
      <c r="D598" s="2085"/>
      <c r="E598" s="2085"/>
      <c r="F598" s="2048">
        <f t="shared" si="10"/>
        <v>0</v>
      </c>
      <c r="G598" s="2085"/>
      <c r="H598" s="2080"/>
      <c r="I598" s="2080"/>
      <c r="J598" s="2118" t="s">
        <v>595</v>
      </c>
      <c r="K598" s="2141"/>
    </row>
    <row r="599" s="2075" customFormat="1" spans="1:11">
      <c r="A599" s="2084" t="s">
        <v>596</v>
      </c>
      <c r="B599" s="2085"/>
      <c r="C599" s="2085"/>
      <c r="D599" s="2085"/>
      <c r="E599" s="2085"/>
      <c r="F599" s="2048">
        <f t="shared" si="10"/>
        <v>0</v>
      </c>
      <c r="G599" s="2085"/>
      <c r="H599" s="2080"/>
      <c r="I599" s="2080"/>
      <c r="J599" s="2118" t="s">
        <v>597</v>
      </c>
      <c r="K599" s="2141"/>
    </row>
    <row r="600" s="2075" customFormat="1" spans="1:11">
      <c r="A600" s="2084" t="s">
        <v>598</v>
      </c>
      <c r="B600" s="2085"/>
      <c r="C600" s="2085"/>
      <c r="D600" s="2085"/>
      <c r="E600" s="2085"/>
      <c r="F600" s="2048">
        <f t="shared" si="10"/>
        <v>0</v>
      </c>
      <c r="G600" s="2085"/>
      <c r="H600" s="2080"/>
      <c r="I600" s="2080"/>
      <c r="J600" s="2118" t="s">
        <v>599</v>
      </c>
      <c r="K600" s="2141"/>
    </row>
    <row r="601" s="2075" customFormat="1" spans="1:11">
      <c r="A601" s="2084" t="s">
        <v>600</v>
      </c>
      <c r="B601" s="2085"/>
      <c r="C601" s="2085"/>
      <c r="D601" s="2085"/>
      <c r="E601" s="2085"/>
      <c r="F601" s="2048">
        <f t="shared" si="10"/>
        <v>0</v>
      </c>
      <c r="G601" s="2085"/>
      <c r="H601" s="2080"/>
      <c r="I601" s="2080"/>
      <c r="J601" s="2118" t="s">
        <v>601</v>
      </c>
      <c r="K601" s="2141"/>
    </row>
    <row r="602" s="2075" customFormat="1" spans="1:11">
      <c r="A602" s="2084" t="s">
        <v>602</v>
      </c>
      <c r="B602" s="2085"/>
      <c r="C602" s="2085"/>
      <c r="D602" s="2085"/>
      <c r="E602" s="2085"/>
      <c r="F602" s="2048">
        <f t="shared" si="10"/>
        <v>0</v>
      </c>
      <c r="G602" s="2085"/>
      <c r="H602" s="2080"/>
      <c r="I602" s="2080"/>
      <c r="J602" s="2118" t="s">
        <v>603</v>
      </c>
      <c r="K602" s="2141"/>
    </row>
    <row r="603" s="2075" customFormat="1" spans="1:11">
      <c r="A603" s="2084" t="s">
        <v>279</v>
      </c>
      <c r="B603" s="2085"/>
      <c r="C603" s="2085"/>
      <c r="D603" s="2085"/>
      <c r="E603" s="2085"/>
      <c r="F603" s="2048">
        <f t="shared" si="10"/>
        <v>0</v>
      </c>
      <c r="G603" s="2085"/>
      <c r="H603" s="2080"/>
      <c r="I603" s="2080"/>
      <c r="J603" s="2118" t="s">
        <v>604</v>
      </c>
      <c r="K603" s="2141"/>
    </row>
    <row r="604" s="2075" customFormat="1" spans="1:11">
      <c r="A604" s="2082" t="s">
        <v>384</v>
      </c>
      <c r="B604" s="2048">
        <f t="shared" ref="B604:G604" si="11">ROUND(SUM(B593:B603),2)</f>
        <v>0</v>
      </c>
      <c r="C604" s="2048">
        <f t="shared" si="11"/>
        <v>0</v>
      </c>
      <c r="D604" s="2048">
        <f t="shared" si="11"/>
        <v>0</v>
      </c>
      <c r="E604" s="2048">
        <f t="shared" si="11"/>
        <v>0</v>
      </c>
      <c r="F604" s="2048">
        <f t="shared" si="11"/>
        <v>0</v>
      </c>
      <c r="G604" s="2048">
        <f t="shared" si="11"/>
        <v>0</v>
      </c>
      <c r="H604" s="2080"/>
      <c r="I604" s="2080"/>
      <c r="J604" s="2118" t="s">
        <v>605</v>
      </c>
      <c r="K604" s="2141"/>
    </row>
    <row r="605" s="2075" customFormat="1" spans="1:10">
      <c r="A605" s="2103"/>
      <c r="B605" s="2080"/>
      <c r="C605" s="2080"/>
      <c r="D605" s="2080"/>
      <c r="E605" s="2080"/>
      <c r="F605" s="2080"/>
      <c r="G605" s="2080"/>
      <c r="H605" s="2080"/>
      <c r="I605" s="2080"/>
      <c r="J605" s="2141"/>
    </row>
    <row r="606" s="2075" customFormat="1" spans="1:10">
      <c r="A606" s="2081" t="s">
        <v>606</v>
      </c>
      <c r="B606" s="2080"/>
      <c r="C606" s="2080"/>
      <c r="D606" s="2080"/>
      <c r="E606" s="2080"/>
      <c r="F606" s="2080"/>
      <c r="G606" s="2080"/>
      <c r="H606" s="2080"/>
      <c r="I606" s="2080"/>
      <c r="J606" s="2141"/>
    </row>
    <row r="607" s="2075" customFormat="1" spans="1:10">
      <c r="A607" s="2089" t="s">
        <v>580</v>
      </c>
      <c r="B607" s="2082" t="s">
        <v>316</v>
      </c>
      <c r="C607" s="2082" t="s">
        <v>607</v>
      </c>
      <c r="D607" s="2114" t="s">
        <v>582</v>
      </c>
      <c r="E607" s="2115"/>
      <c r="F607" s="2082" t="s">
        <v>315</v>
      </c>
      <c r="G607" s="2082" t="s">
        <v>608</v>
      </c>
      <c r="H607" s="2082" t="s">
        <v>609</v>
      </c>
      <c r="I607" s="2082" t="s">
        <v>610</v>
      </c>
      <c r="J607" s="2141"/>
    </row>
    <row r="608" s="2075" customFormat="1" spans="1:10">
      <c r="A608" s="2116"/>
      <c r="B608" s="2083"/>
      <c r="C608" s="2083"/>
      <c r="D608" s="2082" t="s">
        <v>611</v>
      </c>
      <c r="E608" s="2082" t="s">
        <v>612</v>
      </c>
      <c r="F608" s="2083"/>
      <c r="G608" s="2083"/>
      <c r="H608" s="2083"/>
      <c r="I608" s="2083"/>
      <c r="J608" s="2141"/>
    </row>
    <row r="609" s="2075" customFormat="1" spans="1:10">
      <c r="A609" s="2129" t="s">
        <v>584</v>
      </c>
      <c r="B609" s="2085"/>
      <c r="C609" s="2085"/>
      <c r="D609" s="2085"/>
      <c r="E609" s="2085"/>
      <c r="F609" s="2048">
        <f>ROUND(B609+C609-D609-E609,2)</f>
        <v>0</v>
      </c>
      <c r="G609" s="2092"/>
      <c r="H609" s="2092"/>
      <c r="I609" s="2117">
        <f>IF(F593=0,0,ROUND(D609/F593,4))</f>
        <v>0</v>
      </c>
      <c r="J609" s="2118" t="s">
        <v>613</v>
      </c>
    </row>
    <row r="610" s="2075" customFormat="1" spans="1:10">
      <c r="A610" s="2129" t="s">
        <v>586</v>
      </c>
      <c r="B610" s="2085"/>
      <c r="C610" s="2085"/>
      <c r="D610" s="2085"/>
      <c r="E610" s="2085"/>
      <c r="F610" s="2048">
        <f t="shared" ref="F610:F619" si="12">ROUND(B610+C610-D610-E610,2)</f>
        <v>0</v>
      </c>
      <c r="G610" s="2092"/>
      <c r="H610" s="2092"/>
      <c r="I610" s="2117">
        <f t="shared" ref="I610:I620" si="13">IF(F594=0,0,ROUND(D610/F594,4))</f>
        <v>0</v>
      </c>
      <c r="J610" s="2118" t="s">
        <v>614</v>
      </c>
    </row>
    <row r="611" s="2075" customFormat="1" spans="1:10">
      <c r="A611" s="2084" t="s">
        <v>588</v>
      </c>
      <c r="B611" s="2085"/>
      <c r="C611" s="2085"/>
      <c r="D611" s="2085"/>
      <c r="E611" s="2085"/>
      <c r="F611" s="2048">
        <f t="shared" si="12"/>
        <v>0</v>
      </c>
      <c r="G611" s="2092"/>
      <c r="H611" s="2092"/>
      <c r="I611" s="2117">
        <f t="shared" si="13"/>
        <v>0</v>
      </c>
      <c r="J611" s="2118" t="s">
        <v>615</v>
      </c>
    </row>
    <row r="612" s="2075" customFormat="1" spans="1:10">
      <c r="A612" s="2084" t="s">
        <v>590</v>
      </c>
      <c r="B612" s="2085"/>
      <c r="C612" s="2085"/>
      <c r="D612" s="2085"/>
      <c r="E612" s="2085"/>
      <c r="F612" s="2048">
        <f t="shared" si="12"/>
        <v>0</v>
      </c>
      <c r="G612" s="2092"/>
      <c r="H612" s="2092"/>
      <c r="I612" s="2117">
        <f t="shared" si="13"/>
        <v>0</v>
      </c>
      <c r="J612" s="2118" t="s">
        <v>616</v>
      </c>
    </row>
    <row r="613" s="2075" customFormat="1" spans="1:10">
      <c r="A613" s="2084" t="s">
        <v>592</v>
      </c>
      <c r="B613" s="2085"/>
      <c r="C613" s="2085"/>
      <c r="D613" s="2085"/>
      <c r="E613" s="2085"/>
      <c r="F613" s="2048">
        <f t="shared" si="12"/>
        <v>0</v>
      </c>
      <c r="G613" s="2092"/>
      <c r="H613" s="2092"/>
      <c r="I613" s="2117">
        <f t="shared" si="13"/>
        <v>0</v>
      </c>
      <c r="J613" s="2118" t="s">
        <v>617</v>
      </c>
    </row>
    <row r="614" s="2075" customFormat="1" spans="1:10">
      <c r="A614" s="2084" t="s">
        <v>594</v>
      </c>
      <c r="B614" s="2085"/>
      <c r="C614" s="2085"/>
      <c r="D614" s="2085"/>
      <c r="E614" s="2085"/>
      <c r="F614" s="2048">
        <f t="shared" si="12"/>
        <v>0</v>
      </c>
      <c r="G614" s="2092"/>
      <c r="H614" s="2092"/>
      <c r="I614" s="2117">
        <f t="shared" si="13"/>
        <v>0</v>
      </c>
      <c r="J614" s="2118" t="s">
        <v>618</v>
      </c>
    </row>
    <row r="615" s="2075" customFormat="1" spans="1:10">
      <c r="A615" s="2084" t="s">
        <v>596</v>
      </c>
      <c r="B615" s="2085"/>
      <c r="C615" s="2085"/>
      <c r="D615" s="2085"/>
      <c r="E615" s="2085"/>
      <c r="F615" s="2048">
        <f t="shared" si="12"/>
        <v>0</v>
      </c>
      <c r="G615" s="2092"/>
      <c r="H615" s="2092"/>
      <c r="I615" s="2117">
        <f t="shared" si="13"/>
        <v>0</v>
      </c>
      <c r="J615" s="2118" t="s">
        <v>619</v>
      </c>
    </row>
    <row r="616" s="2075" customFormat="1" spans="1:10">
      <c r="A616" s="2084" t="s">
        <v>598</v>
      </c>
      <c r="B616" s="2085"/>
      <c r="C616" s="2085"/>
      <c r="D616" s="2085"/>
      <c r="E616" s="2085"/>
      <c r="F616" s="2048">
        <f t="shared" si="12"/>
        <v>0</v>
      </c>
      <c r="G616" s="2092"/>
      <c r="H616" s="2092"/>
      <c r="I616" s="2117">
        <f t="shared" si="13"/>
        <v>0</v>
      </c>
      <c r="J616" s="2118" t="s">
        <v>620</v>
      </c>
    </row>
    <row r="617" s="2075" customFormat="1" spans="1:10">
      <c r="A617" s="2084" t="s">
        <v>600</v>
      </c>
      <c r="B617" s="2085"/>
      <c r="C617" s="2085"/>
      <c r="D617" s="2085"/>
      <c r="E617" s="2085"/>
      <c r="F617" s="2048">
        <f t="shared" si="12"/>
        <v>0</v>
      </c>
      <c r="G617" s="2092"/>
      <c r="H617" s="2092"/>
      <c r="I617" s="2117">
        <f t="shared" si="13"/>
        <v>0</v>
      </c>
      <c r="J617" s="2118" t="s">
        <v>621</v>
      </c>
    </row>
    <row r="618" s="2075" customFormat="1" spans="1:10">
      <c r="A618" s="2084" t="s">
        <v>602</v>
      </c>
      <c r="B618" s="2085"/>
      <c r="C618" s="2085"/>
      <c r="D618" s="2085"/>
      <c r="E618" s="2085"/>
      <c r="F618" s="2048">
        <f t="shared" si="12"/>
        <v>0</v>
      </c>
      <c r="G618" s="2092"/>
      <c r="H618" s="2092"/>
      <c r="I618" s="2117">
        <f t="shared" si="13"/>
        <v>0</v>
      </c>
      <c r="J618" s="2118" t="s">
        <v>622</v>
      </c>
    </row>
    <row r="619" s="2075" customFormat="1" spans="1:10">
      <c r="A619" s="2084" t="s">
        <v>279</v>
      </c>
      <c r="B619" s="2085"/>
      <c r="C619" s="2085"/>
      <c r="D619" s="2085"/>
      <c r="E619" s="2085"/>
      <c r="F619" s="2048">
        <f t="shared" si="12"/>
        <v>0</v>
      </c>
      <c r="G619" s="2092"/>
      <c r="H619" s="2092"/>
      <c r="I619" s="2117">
        <f t="shared" si="13"/>
        <v>0</v>
      </c>
      <c r="J619" s="2118" t="s">
        <v>623</v>
      </c>
    </row>
    <row r="620" s="2075" customFormat="1" spans="1:10">
      <c r="A620" s="2082" t="s">
        <v>384</v>
      </c>
      <c r="B620" s="2048">
        <f>ROUND(SUM(B609:B619),2)</f>
        <v>0</v>
      </c>
      <c r="C620" s="2048">
        <f>ROUND(SUM(C609:C619),2)</f>
        <v>0</v>
      </c>
      <c r="D620" s="2048">
        <f>ROUND(SUM(D609:D619),2)</f>
        <v>0</v>
      </c>
      <c r="E620" s="2048">
        <f>ROUND(SUM(E609:E619),2)</f>
        <v>0</v>
      </c>
      <c r="F620" s="2048">
        <f>ROUND(SUM(F609:F619),2)</f>
        <v>0</v>
      </c>
      <c r="G620" s="2048"/>
      <c r="H620" s="2048"/>
      <c r="I620" s="2093">
        <f t="shared" si="13"/>
        <v>0</v>
      </c>
      <c r="J620" s="2118" t="s">
        <v>624</v>
      </c>
    </row>
    <row r="621" s="2075" customFormat="1" spans="1:10">
      <c r="A621" s="2119"/>
      <c r="B621" s="2119"/>
      <c r="C621" s="2119"/>
      <c r="D621" s="2119"/>
      <c r="E621" s="2119"/>
      <c r="F621" s="2119"/>
      <c r="G621" s="2119"/>
      <c r="H621" s="2119"/>
      <c r="I621" s="2119"/>
      <c r="J621" s="2141"/>
    </row>
    <row r="622" s="2075" customFormat="1" spans="1:10">
      <c r="A622" s="2103"/>
      <c r="B622" s="2080"/>
      <c r="C622" s="2080"/>
      <c r="D622" s="2080"/>
      <c r="E622" s="2080"/>
      <c r="F622" s="2080"/>
      <c r="G622" s="2080"/>
      <c r="H622" s="2080"/>
      <c r="I622" s="2080"/>
      <c r="J622" s="2141"/>
    </row>
    <row r="623" s="2075" customFormat="1" spans="1:10">
      <c r="A623" s="2079" t="s">
        <v>625</v>
      </c>
      <c r="B623" s="2080"/>
      <c r="C623" s="2080"/>
      <c r="D623" s="2080"/>
      <c r="E623" s="2080"/>
      <c r="F623" s="2080"/>
      <c r="G623" s="2080"/>
      <c r="H623" s="2080"/>
      <c r="I623" s="2080"/>
      <c r="J623" s="2141"/>
    </row>
    <row r="624" s="2075" customFormat="1" spans="1:10">
      <c r="A624" s="2082" t="s">
        <v>372</v>
      </c>
      <c r="B624" s="2082" t="s">
        <v>626</v>
      </c>
      <c r="C624" s="2082" t="s">
        <v>627</v>
      </c>
      <c r="D624" s="2082" t="s">
        <v>572</v>
      </c>
      <c r="E624" s="2082" t="s">
        <v>488</v>
      </c>
      <c r="F624" s="2080"/>
      <c r="G624" s="2080"/>
      <c r="H624" s="2080"/>
      <c r="I624" s="2080"/>
      <c r="J624" s="2141"/>
    </row>
    <row r="625" s="2075" customFormat="1" spans="1:10">
      <c r="A625" s="2092"/>
      <c r="B625" s="2085"/>
      <c r="C625" s="2085"/>
      <c r="D625" s="2092"/>
      <c r="E625" s="2092"/>
      <c r="F625" s="2080"/>
      <c r="G625" s="2080"/>
      <c r="H625" s="2080"/>
      <c r="I625" s="2080"/>
      <c r="J625" s="2118" t="s">
        <v>215</v>
      </c>
    </row>
    <row r="626" s="2075" customFormat="1" spans="1:10">
      <c r="A626" s="2092"/>
      <c r="B626" s="2085"/>
      <c r="C626" s="2085"/>
      <c r="D626" s="2092"/>
      <c r="E626" s="2092"/>
      <c r="F626" s="2080"/>
      <c r="G626" s="2080"/>
      <c r="H626" s="2080"/>
      <c r="I626" s="2080"/>
      <c r="J626" s="2118" t="s">
        <v>215</v>
      </c>
    </row>
    <row r="627" s="2075" customFormat="1" spans="1:10">
      <c r="A627" s="2092"/>
      <c r="B627" s="2085"/>
      <c r="C627" s="2085"/>
      <c r="D627" s="2092"/>
      <c r="E627" s="2092"/>
      <c r="F627" s="2080"/>
      <c r="G627" s="2080"/>
      <c r="H627" s="2080"/>
      <c r="I627" s="2080"/>
      <c r="J627" s="2118" t="s">
        <v>215</v>
      </c>
    </row>
    <row r="628" s="2075" customFormat="1" spans="1:10">
      <c r="A628" s="2092"/>
      <c r="B628" s="2085"/>
      <c r="C628" s="2085"/>
      <c r="D628" s="2092"/>
      <c r="E628" s="2092"/>
      <c r="F628" s="2080"/>
      <c r="G628" s="2080"/>
      <c r="H628" s="2080"/>
      <c r="I628" s="2080"/>
      <c r="J628" s="2118" t="s">
        <v>215</v>
      </c>
    </row>
    <row r="629" s="2075" customFormat="1" spans="1:10">
      <c r="A629" s="2092"/>
      <c r="B629" s="2085"/>
      <c r="C629" s="2085"/>
      <c r="D629" s="2092"/>
      <c r="E629" s="2092"/>
      <c r="F629" s="2080"/>
      <c r="G629" s="2080"/>
      <c r="H629" s="2080"/>
      <c r="I629" s="2080"/>
      <c r="J629" s="2118" t="s">
        <v>215</v>
      </c>
    </row>
    <row r="630" s="2075" customFormat="1" spans="1:10">
      <c r="A630" s="2092"/>
      <c r="B630" s="2085"/>
      <c r="C630" s="2085"/>
      <c r="D630" s="2092"/>
      <c r="E630" s="2092"/>
      <c r="F630" s="2080"/>
      <c r="G630" s="2080"/>
      <c r="H630" s="2080"/>
      <c r="I630" s="2080"/>
      <c r="J630" s="2118" t="s">
        <v>215</v>
      </c>
    </row>
    <row r="631" s="2075" customFormat="1" spans="1:10">
      <c r="A631" s="2092"/>
      <c r="B631" s="2085"/>
      <c r="C631" s="2085"/>
      <c r="D631" s="2092"/>
      <c r="E631" s="2092"/>
      <c r="F631" s="2080"/>
      <c r="G631" s="2080"/>
      <c r="H631" s="2080"/>
      <c r="I631" s="2080"/>
      <c r="J631" s="2118" t="s">
        <v>215</v>
      </c>
    </row>
    <row r="632" s="2075" customFormat="1" spans="1:10">
      <c r="A632" s="2092"/>
      <c r="B632" s="2085"/>
      <c r="C632" s="2085"/>
      <c r="D632" s="2092"/>
      <c r="E632" s="2092"/>
      <c r="F632" s="2080"/>
      <c r="G632" s="2080"/>
      <c r="H632" s="2080"/>
      <c r="I632" s="2080"/>
      <c r="J632" s="2118" t="s">
        <v>215</v>
      </c>
    </row>
    <row r="633" s="2075" customFormat="1" spans="1:10">
      <c r="A633" s="2092"/>
      <c r="B633" s="2085"/>
      <c r="C633" s="2085"/>
      <c r="D633" s="2092"/>
      <c r="E633" s="2092"/>
      <c r="F633" s="2080"/>
      <c r="G633" s="2080"/>
      <c r="H633" s="2080"/>
      <c r="I633" s="2080"/>
      <c r="J633" s="2118" t="s">
        <v>215</v>
      </c>
    </row>
    <row r="634" s="2075" customFormat="1" spans="1:10">
      <c r="A634" s="2092"/>
      <c r="B634" s="2085"/>
      <c r="C634" s="2085"/>
      <c r="D634" s="2092"/>
      <c r="E634" s="2092"/>
      <c r="F634" s="2080"/>
      <c r="G634" s="2080"/>
      <c r="H634" s="2080"/>
      <c r="I634" s="2080"/>
      <c r="J634" s="2118" t="s">
        <v>215</v>
      </c>
    </row>
    <row r="635" s="2075" customFormat="1" spans="1:10">
      <c r="A635" s="2082" t="s">
        <v>384</v>
      </c>
      <c r="B635" s="2048">
        <f>ROUND(SUM(B625:B634),2)</f>
        <v>0</v>
      </c>
      <c r="C635" s="2048">
        <f>ROUND(SUM(C625:C634),2)</f>
        <v>0</v>
      </c>
      <c r="D635" s="2048"/>
      <c r="E635" s="2048"/>
      <c r="F635" s="2080"/>
      <c r="G635" s="2080"/>
      <c r="H635" s="2080"/>
      <c r="I635" s="2080"/>
      <c r="J635" s="2118" t="s">
        <v>628</v>
      </c>
    </row>
    <row r="636" s="2075" customFormat="1" spans="1:10">
      <c r="A636" s="2138"/>
      <c r="B636" s="2080"/>
      <c r="C636" s="2080"/>
      <c r="D636" s="2080"/>
      <c r="E636" s="2080"/>
      <c r="F636" s="2080"/>
      <c r="G636" s="2080"/>
      <c r="H636" s="2080"/>
      <c r="I636" s="2080"/>
      <c r="J636" s="2118" t="s">
        <v>629</v>
      </c>
    </row>
  </sheetData>
  <mergeCells count="29">
    <mergeCell ref="A1:F1"/>
    <mergeCell ref="B4:D4"/>
    <mergeCell ref="E4:G4"/>
    <mergeCell ref="B236:E236"/>
    <mergeCell ref="F236:I236"/>
    <mergeCell ref="B247:E247"/>
    <mergeCell ref="F247:I247"/>
    <mergeCell ref="B378:E378"/>
    <mergeCell ref="F378:I378"/>
    <mergeCell ref="B389:E389"/>
    <mergeCell ref="F389:I389"/>
    <mergeCell ref="B520:C520"/>
    <mergeCell ref="D520:E520"/>
    <mergeCell ref="B591:C591"/>
    <mergeCell ref="F591:G591"/>
    <mergeCell ref="D607:E607"/>
    <mergeCell ref="A4:A5"/>
    <mergeCell ref="A247:A248"/>
    <mergeCell ref="A389:A390"/>
    <mergeCell ref="A520:A521"/>
    <mergeCell ref="A607:A608"/>
    <mergeCell ref="B607:B608"/>
    <mergeCell ref="C607:C608"/>
    <mergeCell ref="D591:D592"/>
    <mergeCell ref="E591:E592"/>
    <mergeCell ref="F607:F608"/>
    <mergeCell ref="G607:G608"/>
    <mergeCell ref="H607:H608"/>
    <mergeCell ref="I607:I608"/>
  </mergeCells>
  <pageMargins left="0.75" right="0.75" top="1" bottom="1" header="0.5" footer="0.5"/>
  <headerFooter alignWithMargins="0"/>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26"/>
  <sheetViews>
    <sheetView showGridLines="0" showZeros="0" zoomScale="105" zoomScaleNormal="105" workbookViewId="0">
      <pane xSplit="1" ySplit="1" topLeftCell="B2" activePane="bottomRight" state="frozen"/>
      <selection/>
      <selection pane="topRight"/>
      <selection pane="bottomLeft"/>
      <selection pane="bottomRight" activeCell="B6" sqref="B6"/>
    </sheetView>
  </sheetViews>
  <sheetFormatPr defaultColWidth="9" defaultRowHeight="12.75"/>
  <cols>
    <col min="1" max="1" width="37.75" style="2303" customWidth="1"/>
    <col min="2" max="9" width="12.25" style="2303" customWidth="1"/>
    <col min="10" max="10" width="31.25" style="2304" hidden="1" customWidth="1"/>
    <col min="11" max="16384" width="9" style="2303"/>
  </cols>
  <sheetData>
    <row r="1" s="2074" customFormat="1" ht="25.5" spans="1:10">
      <c r="A1" s="2077" t="s">
        <v>311</v>
      </c>
      <c r="B1" s="2077"/>
      <c r="C1" s="2077"/>
      <c r="D1" s="2077"/>
      <c r="E1" s="2077"/>
      <c r="F1" s="2077"/>
      <c r="G1" s="2077"/>
      <c r="H1" s="2077"/>
      <c r="I1" s="2077"/>
      <c r="J1" s="2078"/>
    </row>
    <row r="2" s="2074" customFormat="1" spans="1:10">
      <c r="A2" s="2125" t="s">
        <v>630</v>
      </c>
      <c r="B2" s="2126"/>
      <c r="C2" s="2126"/>
      <c r="D2" s="2126"/>
      <c r="E2" s="2126"/>
      <c r="F2" s="2126"/>
      <c r="G2" s="2126"/>
      <c r="H2" s="2126"/>
      <c r="I2" s="2126"/>
      <c r="J2" s="2078"/>
    </row>
    <row r="3" s="2074" customFormat="1" spans="1:10">
      <c r="A3" s="2127" t="s">
        <v>313</v>
      </c>
      <c r="B3" s="2126"/>
      <c r="C3" s="2126"/>
      <c r="D3" s="2126"/>
      <c r="E3" s="2126"/>
      <c r="F3" s="2126"/>
      <c r="G3" s="2126"/>
      <c r="H3" s="2126"/>
      <c r="I3" s="2126"/>
      <c r="J3" s="2078"/>
    </row>
    <row r="4" s="2074" customFormat="1" spans="1:10">
      <c r="A4" s="2089" t="s">
        <v>372</v>
      </c>
      <c r="B4" s="2082" t="s">
        <v>315</v>
      </c>
      <c r="C4" s="2082"/>
      <c r="D4" s="2082"/>
      <c r="E4" s="2082" t="s">
        <v>316</v>
      </c>
      <c r="F4" s="2082"/>
      <c r="G4" s="2082"/>
      <c r="H4" s="2099"/>
      <c r="I4" s="2099"/>
      <c r="J4" s="2078"/>
    </row>
    <row r="5" s="2074" customFormat="1" spans="1:10">
      <c r="A5" s="2090"/>
      <c r="B5" s="2082" t="s">
        <v>443</v>
      </c>
      <c r="C5" s="2082" t="s">
        <v>631</v>
      </c>
      <c r="D5" s="2108" t="s">
        <v>632</v>
      </c>
      <c r="E5" s="2082" t="s">
        <v>443</v>
      </c>
      <c r="F5" s="2082" t="s">
        <v>631</v>
      </c>
      <c r="G5" s="2108" t="s">
        <v>632</v>
      </c>
      <c r="H5" s="2128"/>
      <c r="I5" s="2128"/>
      <c r="J5" s="2078"/>
    </row>
    <row r="6" s="2074" customFormat="1" spans="1:10">
      <c r="A6" s="2129" t="s">
        <v>633</v>
      </c>
      <c r="B6" s="2085"/>
      <c r="C6" s="2085"/>
      <c r="D6" s="2117">
        <f>IF(B6=0,0,ROUND(C6/B6,4))</f>
        <v>0</v>
      </c>
      <c r="E6" s="2085"/>
      <c r="F6" s="2085"/>
      <c r="G6" s="2117">
        <f>IF(E6=0,0,ROUND(F6/E6,4))</f>
        <v>0</v>
      </c>
      <c r="H6" s="2130"/>
      <c r="I6" s="2130"/>
      <c r="J6" s="2135" t="s">
        <v>634</v>
      </c>
    </row>
    <row r="7" s="2074" customFormat="1" spans="1:10">
      <c r="A7" s="2129" t="s">
        <v>635</v>
      </c>
      <c r="B7" s="2085"/>
      <c r="C7" s="2085"/>
      <c r="D7" s="2117">
        <f>IF(B7=0,0,ROUND(C7/B7,4))</f>
        <v>0</v>
      </c>
      <c r="E7" s="2085"/>
      <c r="F7" s="2085"/>
      <c r="G7" s="2117">
        <f>IF(E7=0,0,ROUND(F7/E7,4))</f>
        <v>0</v>
      </c>
      <c r="H7" s="2130"/>
      <c r="I7" s="2130"/>
      <c r="J7" s="2135" t="s">
        <v>636</v>
      </c>
    </row>
    <row r="8" s="2074" customFormat="1" spans="1:10">
      <c r="A8" s="2129" t="s">
        <v>279</v>
      </c>
      <c r="B8" s="2085"/>
      <c r="C8" s="2085"/>
      <c r="D8" s="2117">
        <f>IF(B8=0,0,ROUND(C8/B8,4))</f>
        <v>0</v>
      </c>
      <c r="E8" s="2085"/>
      <c r="F8" s="2085"/>
      <c r="G8" s="2117">
        <f>IF(E8=0,0,ROUND(F8/E8,4))</f>
        <v>0</v>
      </c>
      <c r="H8" s="2130"/>
      <c r="I8" s="2130"/>
      <c r="J8" s="2135" t="s">
        <v>637</v>
      </c>
    </row>
    <row r="9" s="2074" customFormat="1" spans="1:10">
      <c r="A9" s="2082" t="s">
        <v>384</v>
      </c>
      <c r="B9" s="2131">
        <f>ROUND(SUM(B6:B8),2)</f>
        <v>0</v>
      </c>
      <c r="C9" s="2131">
        <f>ROUND(SUM(C6:C8),2)</f>
        <v>0</v>
      </c>
      <c r="D9" s="2093">
        <f>IF(B9=0,0,ROUND(C9/B9,4))</f>
        <v>0</v>
      </c>
      <c r="E9" s="2131">
        <f>ROUND(SUM(E6:E8),2)</f>
        <v>0</v>
      </c>
      <c r="F9" s="2131">
        <f>ROUND(SUM(F6:F8),2)</f>
        <v>0</v>
      </c>
      <c r="G9" s="2093">
        <f>IF(E9=0,0,ROUND(F9/E9,4))</f>
        <v>0</v>
      </c>
      <c r="H9" s="2122"/>
      <c r="I9" s="2122"/>
      <c r="J9" s="2135" t="s">
        <v>638</v>
      </c>
    </row>
    <row r="10" s="2074" customFormat="1" spans="1:10">
      <c r="A10" s="2132"/>
      <c r="B10" s="2094"/>
      <c r="C10" s="2094"/>
      <c r="D10" s="2126"/>
      <c r="E10" s="2126"/>
      <c r="F10" s="2126"/>
      <c r="G10" s="2126"/>
      <c r="H10" s="2126"/>
      <c r="I10" s="2126"/>
      <c r="J10" s="2078"/>
    </row>
    <row r="11" s="2074" customFormat="1" spans="1:10">
      <c r="A11" s="2133" t="s">
        <v>639</v>
      </c>
      <c r="B11" s="2126"/>
      <c r="C11" s="2126"/>
      <c r="D11" s="2126"/>
      <c r="E11" s="2126"/>
      <c r="F11" s="2126"/>
      <c r="G11" s="2126"/>
      <c r="H11" s="2126"/>
      <c r="I11" s="2126"/>
      <c r="J11" s="2078"/>
    </row>
    <row r="12" s="2074" customFormat="1" spans="1:10">
      <c r="A12" s="2082" t="s">
        <v>372</v>
      </c>
      <c r="B12" s="2082" t="s">
        <v>640</v>
      </c>
      <c r="C12" s="2082" t="s">
        <v>641</v>
      </c>
      <c r="D12" s="2082" t="s">
        <v>642</v>
      </c>
      <c r="E12" s="2082" t="s">
        <v>643</v>
      </c>
      <c r="F12" s="2082" t="s">
        <v>644</v>
      </c>
      <c r="G12" s="2082" t="s">
        <v>645</v>
      </c>
      <c r="H12" s="2082" t="s">
        <v>515</v>
      </c>
      <c r="I12" s="2099"/>
      <c r="J12" s="2078"/>
    </row>
    <row r="13" s="2074" customFormat="1" spans="1:10">
      <c r="A13" s="2092"/>
      <c r="B13" s="2085"/>
      <c r="C13" s="2111"/>
      <c r="D13" s="2085"/>
      <c r="E13" s="2113"/>
      <c r="F13" s="2085"/>
      <c r="G13" s="2085"/>
      <c r="H13" s="2085"/>
      <c r="I13" s="2099"/>
      <c r="J13" s="2135" t="s">
        <v>646</v>
      </c>
    </row>
    <row r="14" s="2074" customFormat="1" spans="1:10">
      <c r="A14" s="2092"/>
      <c r="B14" s="2085"/>
      <c r="C14" s="2111"/>
      <c r="D14" s="2085"/>
      <c r="E14" s="2113"/>
      <c r="F14" s="2085"/>
      <c r="G14" s="2085"/>
      <c r="H14" s="2085"/>
      <c r="I14" s="2099"/>
      <c r="J14" s="2135" t="s">
        <v>646</v>
      </c>
    </row>
    <row r="15" s="2074" customFormat="1" spans="1:10">
      <c r="A15" s="2092"/>
      <c r="B15" s="2085"/>
      <c r="C15" s="2111"/>
      <c r="D15" s="2085"/>
      <c r="E15" s="2113"/>
      <c r="F15" s="2085"/>
      <c r="G15" s="2085"/>
      <c r="H15" s="2085"/>
      <c r="I15" s="2099"/>
      <c r="J15" s="2135" t="s">
        <v>646</v>
      </c>
    </row>
    <row r="16" s="2074" customFormat="1" spans="1:10">
      <c r="A16" s="2092"/>
      <c r="B16" s="2085"/>
      <c r="C16" s="2111"/>
      <c r="D16" s="2085"/>
      <c r="E16" s="2113"/>
      <c r="F16" s="2085"/>
      <c r="G16" s="2085"/>
      <c r="H16" s="2085"/>
      <c r="I16" s="2099"/>
      <c r="J16" s="2135" t="s">
        <v>646</v>
      </c>
    </row>
    <row r="17" s="2074" customFormat="1" spans="1:10">
      <c r="A17" s="2092"/>
      <c r="B17" s="2085"/>
      <c r="C17" s="2111"/>
      <c r="D17" s="2085"/>
      <c r="E17" s="2113"/>
      <c r="F17" s="2085"/>
      <c r="G17" s="2085"/>
      <c r="H17" s="2085"/>
      <c r="I17" s="2099"/>
      <c r="J17" s="2135" t="s">
        <v>646</v>
      </c>
    </row>
    <row r="18" s="2074" customFormat="1" spans="1:10">
      <c r="A18" s="2092"/>
      <c r="B18" s="2085"/>
      <c r="C18" s="2111"/>
      <c r="D18" s="2085"/>
      <c r="E18" s="2113"/>
      <c r="F18" s="2085"/>
      <c r="G18" s="2085"/>
      <c r="H18" s="2085"/>
      <c r="I18" s="2099"/>
      <c r="J18" s="2135" t="s">
        <v>646</v>
      </c>
    </row>
    <row r="19" s="2074" customFormat="1" spans="1:10">
      <c r="A19" s="2092"/>
      <c r="B19" s="2085"/>
      <c r="C19" s="2111"/>
      <c r="D19" s="2085"/>
      <c r="E19" s="2113"/>
      <c r="F19" s="2085"/>
      <c r="G19" s="2085"/>
      <c r="H19" s="2085"/>
      <c r="I19" s="2099"/>
      <c r="J19" s="2135" t="s">
        <v>646</v>
      </c>
    </row>
    <row r="20" s="2074" customFormat="1" spans="1:10">
      <c r="A20" s="2092"/>
      <c r="B20" s="2085"/>
      <c r="C20" s="2111"/>
      <c r="D20" s="2085"/>
      <c r="E20" s="2113"/>
      <c r="F20" s="2085"/>
      <c r="G20" s="2085"/>
      <c r="H20" s="2085"/>
      <c r="I20" s="2099"/>
      <c r="J20" s="2135" t="s">
        <v>646</v>
      </c>
    </row>
    <row r="21" s="2074" customFormat="1" spans="1:10">
      <c r="A21" s="2092"/>
      <c r="B21" s="2085"/>
      <c r="C21" s="2111"/>
      <c r="D21" s="2085"/>
      <c r="E21" s="2113"/>
      <c r="F21" s="2085"/>
      <c r="G21" s="2085"/>
      <c r="H21" s="2085"/>
      <c r="I21" s="2099"/>
      <c r="J21" s="2135" t="s">
        <v>646</v>
      </c>
    </row>
    <row r="22" s="2074" customFormat="1" spans="1:10">
      <c r="A22" s="2092"/>
      <c r="B22" s="2085"/>
      <c r="C22" s="2111"/>
      <c r="D22" s="2085"/>
      <c r="E22" s="2113"/>
      <c r="F22" s="2085"/>
      <c r="G22" s="2085"/>
      <c r="H22" s="2085"/>
      <c r="I22" s="2099"/>
      <c r="J22" s="2135" t="s">
        <v>646</v>
      </c>
    </row>
    <row r="23" s="2074" customFormat="1" spans="1:10">
      <c r="A23" s="2082" t="s">
        <v>384</v>
      </c>
      <c r="B23" s="2048">
        <f>ROUND(SUM(B13:B22),2)</f>
        <v>0</v>
      </c>
      <c r="C23" s="2048"/>
      <c r="D23" s="2048">
        <f>ROUND(SUM(D13:D22),2)</f>
        <v>0</v>
      </c>
      <c r="E23" s="2048"/>
      <c r="F23" s="2048">
        <f>ROUND(SUM(F13:F22),2)</f>
        <v>0</v>
      </c>
      <c r="G23" s="2048">
        <f>ROUND(SUM(G13:G22),2)</f>
        <v>0</v>
      </c>
      <c r="H23" s="2048">
        <f>ROUND(SUM(H13:H22),2)</f>
        <v>0</v>
      </c>
      <c r="I23" s="2099"/>
      <c r="J23" s="2135" t="s">
        <v>647</v>
      </c>
    </row>
    <row r="24" s="2074" customFormat="1" spans="1:10">
      <c r="A24" s="2132"/>
      <c r="B24" s="2094"/>
      <c r="C24" s="2094"/>
      <c r="D24" s="2126"/>
      <c r="E24" s="2126"/>
      <c r="F24" s="2126"/>
      <c r="G24" s="2126"/>
      <c r="H24" s="2126"/>
      <c r="I24" s="2099"/>
      <c r="J24" s="2078"/>
    </row>
    <row r="25" s="2074" customFormat="1" spans="1:10">
      <c r="A25" s="2132"/>
      <c r="B25" s="2094"/>
      <c r="C25" s="2094"/>
      <c r="D25" s="2126"/>
      <c r="E25" s="2126"/>
      <c r="F25" s="2126"/>
      <c r="G25" s="2126"/>
      <c r="H25" s="2126"/>
      <c r="I25" s="2126"/>
      <c r="J25" s="2078"/>
    </row>
    <row r="26" s="2074" customFormat="1" spans="1:10">
      <c r="A26" s="2134" t="s">
        <v>648</v>
      </c>
      <c r="B26" s="2126"/>
      <c r="C26" s="2126"/>
      <c r="D26" s="2126"/>
      <c r="E26" s="2126"/>
      <c r="F26" s="2126"/>
      <c r="G26" s="2126"/>
      <c r="H26" s="2126"/>
      <c r="I26" s="2126"/>
      <c r="J26" s="2078"/>
    </row>
    <row r="27" s="2074" customFormat="1" spans="1:10">
      <c r="A27" s="2133" t="s">
        <v>649</v>
      </c>
      <c r="B27" s="2126"/>
      <c r="C27" s="2126"/>
      <c r="D27" s="2126"/>
      <c r="E27" s="2126"/>
      <c r="F27" s="2126"/>
      <c r="G27" s="2126"/>
      <c r="H27" s="2126"/>
      <c r="I27" s="2126"/>
      <c r="J27" s="2078"/>
    </row>
    <row r="28" s="2074" customFormat="1" spans="1:10">
      <c r="A28" s="2082" t="s">
        <v>372</v>
      </c>
      <c r="B28" s="2082" t="s">
        <v>315</v>
      </c>
      <c r="C28" s="2082" t="s">
        <v>316</v>
      </c>
      <c r="D28" s="2126"/>
      <c r="E28" s="2126"/>
      <c r="F28" s="2126"/>
      <c r="G28" s="2126"/>
      <c r="H28" s="2126"/>
      <c r="I28" s="2126"/>
      <c r="J28" s="2078"/>
    </row>
    <row r="29" s="2074" customFormat="1" spans="1:10">
      <c r="A29" s="2092"/>
      <c r="B29" s="2085"/>
      <c r="C29" s="2085"/>
      <c r="D29" s="2126"/>
      <c r="E29" s="2126"/>
      <c r="F29" s="2126"/>
      <c r="G29" s="2126"/>
      <c r="H29" s="2126"/>
      <c r="I29" s="2126"/>
      <c r="J29" s="2135" t="s">
        <v>650</v>
      </c>
    </row>
    <row r="30" s="2074" customFormat="1" spans="1:10">
      <c r="A30" s="2092"/>
      <c r="B30" s="2085"/>
      <c r="C30" s="2085"/>
      <c r="D30" s="2126"/>
      <c r="E30" s="2126"/>
      <c r="F30" s="2126"/>
      <c r="G30" s="2126"/>
      <c r="H30" s="2126"/>
      <c r="I30" s="2126"/>
      <c r="J30" s="2135" t="s">
        <v>650</v>
      </c>
    </row>
    <row r="31" s="2074" customFormat="1" spans="1:10">
      <c r="A31" s="2092"/>
      <c r="B31" s="2085"/>
      <c r="C31" s="2085"/>
      <c r="D31" s="2126"/>
      <c r="E31" s="2126"/>
      <c r="F31" s="2126"/>
      <c r="G31" s="2126"/>
      <c r="H31" s="2126"/>
      <c r="I31" s="2126"/>
      <c r="J31" s="2135" t="s">
        <v>650</v>
      </c>
    </row>
    <row r="32" s="2074" customFormat="1" spans="1:10">
      <c r="A32" s="2092"/>
      <c r="B32" s="2085"/>
      <c r="C32" s="2085"/>
      <c r="D32" s="2126"/>
      <c r="E32" s="2126"/>
      <c r="F32" s="2126"/>
      <c r="G32" s="2126"/>
      <c r="H32" s="2126"/>
      <c r="I32" s="2126"/>
      <c r="J32" s="2135" t="s">
        <v>650</v>
      </c>
    </row>
    <row r="33" s="2074" customFormat="1" spans="1:10">
      <c r="A33" s="2092"/>
      <c r="B33" s="2085"/>
      <c r="C33" s="2085"/>
      <c r="D33" s="2126"/>
      <c r="E33" s="2126"/>
      <c r="F33" s="2126"/>
      <c r="G33" s="2126"/>
      <c r="H33" s="2126"/>
      <c r="I33" s="2126"/>
      <c r="J33" s="2135" t="s">
        <v>650</v>
      </c>
    </row>
    <row r="34" s="2074" customFormat="1" spans="1:10">
      <c r="A34" s="2092"/>
      <c r="B34" s="2085"/>
      <c r="C34" s="2085"/>
      <c r="D34" s="2126"/>
      <c r="E34" s="2126"/>
      <c r="F34" s="2126"/>
      <c r="G34" s="2126"/>
      <c r="H34" s="2126"/>
      <c r="I34" s="2126"/>
      <c r="J34" s="2135" t="s">
        <v>650</v>
      </c>
    </row>
    <row r="35" s="2074" customFormat="1" spans="1:10">
      <c r="A35" s="2092"/>
      <c r="B35" s="2085"/>
      <c r="C35" s="2085"/>
      <c r="D35" s="2126"/>
      <c r="E35" s="2126"/>
      <c r="F35" s="2126"/>
      <c r="G35" s="2126"/>
      <c r="H35" s="2126"/>
      <c r="I35" s="2126"/>
      <c r="J35" s="2135" t="s">
        <v>650</v>
      </c>
    </row>
    <row r="36" s="2074" customFormat="1" spans="1:10">
      <c r="A36" s="2092"/>
      <c r="B36" s="2085"/>
      <c r="C36" s="2085"/>
      <c r="D36" s="2126"/>
      <c r="E36" s="2126"/>
      <c r="F36" s="2126"/>
      <c r="G36" s="2126"/>
      <c r="H36" s="2126"/>
      <c r="I36" s="2126"/>
      <c r="J36" s="2135" t="s">
        <v>650</v>
      </c>
    </row>
    <row r="37" s="2074" customFormat="1" spans="1:10">
      <c r="A37" s="2092"/>
      <c r="B37" s="2085"/>
      <c r="C37" s="2085"/>
      <c r="D37" s="2126"/>
      <c r="E37" s="2126"/>
      <c r="F37" s="2126"/>
      <c r="G37" s="2126"/>
      <c r="H37" s="2126"/>
      <c r="I37" s="2126"/>
      <c r="J37" s="2135" t="s">
        <v>650</v>
      </c>
    </row>
    <row r="38" s="2074" customFormat="1" spans="1:10">
      <c r="A38" s="2092"/>
      <c r="B38" s="2085"/>
      <c r="C38" s="2085"/>
      <c r="D38" s="2126"/>
      <c r="E38" s="2126"/>
      <c r="F38" s="2126"/>
      <c r="G38" s="2126"/>
      <c r="H38" s="2126"/>
      <c r="I38" s="2126"/>
      <c r="J38" s="2135" t="s">
        <v>650</v>
      </c>
    </row>
    <row r="39" s="2074" customFormat="1" spans="1:10">
      <c r="A39" s="2082" t="s">
        <v>384</v>
      </c>
      <c r="B39" s="2048">
        <f>ROUND(SUM(B29:B38),2)</f>
        <v>0</v>
      </c>
      <c r="C39" s="2048">
        <f>ROUND(SUM(C29:C38),2)</f>
        <v>0</v>
      </c>
      <c r="D39" s="2126"/>
      <c r="E39" s="2126"/>
      <c r="F39" s="2126"/>
      <c r="G39" s="2126"/>
      <c r="H39" s="2126"/>
      <c r="I39" s="2126"/>
      <c r="J39" s="2135" t="s">
        <v>651</v>
      </c>
    </row>
    <row r="40" s="2074" customFormat="1" spans="1:10">
      <c r="A40" s="2094"/>
      <c r="B40" s="2094"/>
      <c r="C40" s="2094"/>
      <c r="D40" s="2126"/>
      <c r="E40" s="2126"/>
      <c r="F40" s="2126"/>
      <c r="G40" s="2126"/>
      <c r="H40" s="2126"/>
      <c r="I40" s="2126"/>
      <c r="J40" s="2078"/>
    </row>
    <row r="41" s="2074" customFormat="1" spans="1:10">
      <c r="A41" s="2127" t="s">
        <v>652</v>
      </c>
      <c r="B41" s="2126"/>
      <c r="C41" s="2126"/>
      <c r="D41" s="2126"/>
      <c r="E41" s="2126"/>
      <c r="F41" s="2126"/>
      <c r="G41" s="2126"/>
      <c r="H41" s="2126"/>
      <c r="I41" s="2126"/>
      <c r="J41" s="2078"/>
    </row>
    <row r="42" s="2074" customFormat="1" spans="1:10">
      <c r="A42" s="2082" t="s">
        <v>372</v>
      </c>
      <c r="B42" s="2082" t="s">
        <v>653</v>
      </c>
      <c r="C42" s="2082" t="s">
        <v>654</v>
      </c>
      <c r="D42" s="2082" t="s">
        <v>444</v>
      </c>
      <c r="E42" s="2126"/>
      <c r="F42" s="2126"/>
      <c r="G42" s="2126"/>
      <c r="H42" s="2126"/>
      <c r="I42" s="2126"/>
      <c r="J42" s="2078"/>
    </row>
    <row r="43" s="2074" customFormat="1" spans="1:10">
      <c r="A43" s="2092"/>
      <c r="B43" s="2085"/>
      <c r="C43" s="2085"/>
      <c r="D43" s="2117">
        <f>IF(C43=0,0,ROUND(B43/C43,4))</f>
        <v>0</v>
      </c>
      <c r="E43" s="2126"/>
      <c r="F43" s="2126"/>
      <c r="G43" s="2126"/>
      <c r="H43" s="2126"/>
      <c r="I43" s="2126"/>
      <c r="J43" s="2135" t="s">
        <v>655</v>
      </c>
    </row>
    <row r="44" s="2074" customFormat="1" spans="1:10">
      <c r="A44" s="2092"/>
      <c r="B44" s="2085"/>
      <c r="C44" s="2085"/>
      <c r="D44" s="2117">
        <f t="shared" ref="D44:D53" si="0">IF(C44=0,0,ROUND(B44/C44,4))</f>
        <v>0</v>
      </c>
      <c r="E44" s="2126"/>
      <c r="F44" s="2126"/>
      <c r="G44" s="2126"/>
      <c r="H44" s="2126"/>
      <c r="I44" s="2126"/>
      <c r="J44" s="2135" t="s">
        <v>655</v>
      </c>
    </row>
    <row r="45" s="2074" customFormat="1" spans="1:10">
      <c r="A45" s="2092"/>
      <c r="B45" s="2085"/>
      <c r="C45" s="2085"/>
      <c r="D45" s="2117">
        <f t="shared" si="0"/>
        <v>0</v>
      </c>
      <c r="E45" s="2126"/>
      <c r="F45" s="2126"/>
      <c r="G45" s="2126"/>
      <c r="H45" s="2126"/>
      <c r="I45" s="2126"/>
      <c r="J45" s="2135" t="s">
        <v>655</v>
      </c>
    </row>
    <row r="46" s="2074" customFormat="1" spans="1:10">
      <c r="A46" s="2092"/>
      <c r="B46" s="2085"/>
      <c r="C46" s="2085"/>
      <c r="D46" s="2117">
        <f t="shared" si="0"/>
        <v>0</v>
      </c>
      <c r="E46" s="2126"/>
      <c r="F46" s="2126"/>
      <c r="G46" s="2126"/>
      <c r="H46" s="2126"/>
      <c r="I46" s="2126"/>
      <c r="J46" s="2135" t="s">
        <v>655</v>
      </c>
    </row>
    <row r="47" s="2074" customFormat="1" spans="1:10">
      <c r="A47" s="2092"/>
      <c r="B47" s="2085"/>
      <c r="C47" s="2085"/>
      <c r="D47" s="2117">
        <f t="shared" si="0"/>
        <v>0</v>
      </c>
      <c r="E47" s="2126"/>
      <c r="F47" s="2126"/>
      <c r="G47" s="2126"/>
      <c r="H47" s="2126"/>
      <c r="I47" s="2126"/>
      <c r="J47" s="2135" t="s">
        <v>655</v>
      </c>
    </row>
    <row r="48" s="2074" customFormat="1" spans="1:10">
      <c r="A48" s="2092"/>
      <c r="B48" s="2085"/>
      <c r="C48" s="2085"/>
      <c r="D48" s="2117">
        <f t="shared" si="0"/>
        <v>0</v>
      </c>
      <c r="E48" s="2126"/>
      <c r="F48" s="2126"/>
      <c r="G48" s="2126"/>
      <c r="H48" s="2126"/>
      <c r="I48" s="2126"/>
      <c r="J48" s="2135" t="s">
        <v>655</v>
      </c>
    </row>
    <row r="49" s="2074" customFormat="1" spans="1:10">
      <c r="A49" s="2092"/>
      <c r="B49" s="2085"/>
      <c r="C49" s="2085"/>
      <c r="D49" s="2117">
        <f t="shared" si="0"/>
        <v>0</v>
      </c>
      <c r="E49" s="2126"/>
      <c r="F49" s="2126"/>
      <c r="G49" s="2126"/>
      <c r="H49" s="2126"/>
      <c r="I49" s="2126"/>
      <c r="J49" s="2135" t="s">
        <v>655</v>
      </c>
    </row>
    <row r="50" s="2074" customFormat="1" spans="1:10">
      <c r="A50" s="2092"/>
      <c r="B50" s="2085"/>
      <c r="C50" s="2085"/>
      <c r="D50" s="2117">
        <f t="shared" si="0"/>
        <v>0</v>
      </c>
      <c r="E50" s="2126"/>
      <c r="F50" s="2126"/>
      <c r="G50" s="2126"/>
      <c r="H50" s="2126"/>
      <c r="I50" s="2126"/>
      <c r="J50" s="2135" t="s">
        <v>655</v>
      </c>
    </row>
    <row r="51" s="2074" customFormat="1" spans="1:10">
      <c r="A51" s="2092"/>
      <c r="B51" s="2085"/>
      <c r="C51" s="2085"/>
      <c r="D51" s="2117">
        <f t="shared" si="0"/>
        <v>0</v>
      </c>
      <c r="E51" s="2126"/>
      <c r="F51" s="2126"/>
      <c r="G51" s="2126"/>
      <c r="H51" s="2126"/>
      <c r="I51" s="2126"/>
      <c r="J51" s="2135" t="s">
        <v>655</v>
      </c>
    </row>
    <row r="52" s="2074" customFormat="1" spans="1:10">
      <c r="A52" s="2092"/>
      <c r="B52" s="2085"/>
      <c r="C52" s="2085"/>
      <c r="D52" s="2117">
        <f t="shared" si="0"/>
        <v>0</v>
      </c>
      <c r="E52" s="2126"/>
      <c r="F52" s="2126"/>
      <c r="G52" s="2126"/>
      <c r="H52" s="2126"/>
      <c r="I52" s="2126"/>
      <c r="J52" s="2135" t="s">
        <v>655</v>
      </c>
    </row>
    <row r="53" s="2074" customFormat="1" spans="1:10">
      <c r="A53" s="2082" t="s">
        <v>384</v>
      </c>
      <c r="B53" s="2048">
        <f>ROUND(SUM(B43:B52),2)</f>
        <v>0</v>
      </c>
      <c r="C53" s="2048">
        <f>ROUND(SUM(C43:C52),2)</f>
        <v>0</v>
      </c>
      <c r="D53" s="2093">
        <f t="shared" si="0"/>
        <v>0</v>
      </c>
      <c r="E53" s="2126"/>
      <c r="F53" s="2126"/>
      <c r="G53" s="2126"/>
      <c r="H53" s="2126"/>
      <c r="I53" s="2126"/>
      <c r="J53" s="2135" t="s">
        <v>656</v>
      </c>
    </row>
    <row r="54" s="2074" customFormat="1" spans="1:10">
      <c r="A54" s="2132"/>
      <c r="B54" s="2094"/>
      <c r="C54" s="2094"/>
      <c r="D54" s="2126"/>
      <c r="E54" s="2126"/>
      <c r="F54" s="2126"/>
      <c r="G54" s="2126"/>
      <c r="H54" s="2126"/>
      <c r="I54" s="2126"/>
      <c r="J54" s="2078"/>
    </row>
    <row r="55" s="2074" customFormat="1" spans="1:10">
      <c r="A55" s="2132"/>
      <c r="B55" s="2094"/>
      <c r="C55" s="2094"/>
      <c r="D55" s="2126"/>
      <c r="E55" s="2126"/>
      <c r="F55" s="2126"/>
      <c r="G55" s="2126"/>
      <c r="H55" s="2126"/>
      <c r="I55" s="2126"/>
      <c r="J55" s="2078"/>
    </row>
    <row r="56" s="2074" customFormat="1" spans="1:10">
      <c r="A56" s="2134" t="s">
        <v>657</v>
      </c>
      <c r="B56" s="2126"/>
      <c r="C56" s="2126"/>
      <c r="D56" s="2126"/>
      <c r="E56" s="2126"/>
      <c r="F56" s="2126"/>
      <c r="G56" s="2126"/>
      <c r="H56" s="2126"/>
      <c r="I56" s="2126"/>
      <c r="J56" s="2078"/>
    </row>
    <row r="57" s="2074" customFormat="1" spans="1:10">
      <c r="A57" s="2082" t="s">
        <v>372</v>
      </c>
      <c r="B57" s="2082" t="s">
        <v>315</v>
      </c>
      <c r="C57" s="2082" t="s">
        <v>316</v>
      </c>
      <c r="D57" s="2126"/>
      <c r="E57" s="2126"/>
      <c r="F57" s="2126"/>
      <c r="G57" s="2126"/>
      <c r="H57" s="2126"/>
      <c r="I57" s="2126"/>
      <c r="J57" s="2078"/>
    </row>
    <row r="58" s="2074" customFormat="1" spans="1:10">
      <c r="A58" s="2084" t="s">
        <v>658</v>
      </c>
      <c r="B58" s="2085"/>
      <c r="C58" s="2085"/>
      <c r="D58" s="2126"/>
      <c r="E58" s="2126"/>
      <c r="F58" s="2126"/>
      <c r="G58" s="2126"/>
      <c r="H58" s="2126"/>
      <c r="I58" s="2126"/>
      <c r="J58" s="2135" t="s">
        <v>659</v>
      </c>
    </row>
    <row r="59" s="2074" customFormat="1" spans="1:10">
      <c r="A59" s="2084" t="s">
        <v>660</v>
      </c>
      <c r="B59" s="2085"/>
      <c r="C59" s="2085"/>
      <c r="D59" s="2126"/>
      <c r="E59" s="2126"/>
      <c r="F59" s="2126"/>
      <c r="G59" s="2126"/>
      <c r="H59" s="2126"/>
      <c r="I59" s="2126"/>
      <c r="J59" s="2135" t="s">
        <v>661</v>
      </c>
    </row>
    <row r="60" s="2074" customFormat="1" spans="1:10">
      <c r="A60" s="2084" t="s">
        <v>662</v>
      </c>
      <c r="B60" s="2085"/>
      <c r="C60" s="2085"/>
      <c r="D60" s="2126"/>
      <c r="E60" s="2126"/>
      <c r="F60" s="2126"/>
      <c r="G60" s="2126"/>
      <c r="H60" s="2126"/>
      <c r="I60" s="2126"/>
      <c r="J60" s="2135" t="s">
        <v>663</v>
      </c>
    </row>
    <row r="61" s="2074" customFormat="1" spans="1:10">
      <c r="A61" s="2084" t="s">
        <v>279</v>
      </c>
      <c r="B61" s="2085"/>
      <c r="C61" s="2085"/>
      <c r="D61" s="2126"/>
      <c r="E61" s="2126"/>
      <c r="F61" s="2126"/>
      <c r="G61" s="2126"/>
      <c r="H61" s="2126"/>
      <c r="I61" s="2126"/>
      <c r="J61" s="2135" t="s">
        <v>664</v>
      </c>
    </row>
    <row r="62" s="2074" customFormat="1" spans="1:10">
      <c r="A62" s="2082" t="s">
        <v>384</v>
      </c>
      <c r="B62" s="2048">
        <f>ROUND(SUM(B58:B61),2)</f>
        <v>0</v>
      </c>
      <c r="C62" s="2048">
        <f>ROUND(SUM(C58:C61),2)</f>
        <v>0</v>
      </c>
      <c r="D62" s="2126"/>
      <c r="E62" s="2126"/>
      <c r="F62" s="2126"/>
      <c r="G62" s="2126"/>
      <c r="H62" s="2126"/>
      <c r="I62" s="2126"/>
      <c r="J62" s="2135" t="s">
        <v>665</v>
      </c>
    </row>
    <row r="63" s="2074" customFormat="1" spans="1:10">
      <c r="A63" s="2099"/>
      <c r="B63" s="2100"/>
      <c r="C63" s="2100"/>
      <c r="D63" s="2126"/>
      <c r="E63" s="2126"/>
      <c r="F63" s="2126"/>
      <c r="G63" s="2126"/>
      <c r="H63" s="2126"/>
      <c r="I63" s="2126"/>
      <c r="J63" s="2135"/>
    </row>
    <row r="64" s="2074" customFormat="1" spans="1:10">
      <c r="A64" s="2094"/>
      <c r="B64" s="2094"/>
      <c r="C64" s="2094"/>
      <c r="D64" s="2126"/>
      <c r="E64" s="2126"/>
      <c r="F64" s="2126"/>
      <c r="G64" s="2126"/>
      <c r="H64" s="2126"/>
      <c r="I64" s="2126"/>
      <c r="J64" s="2078"/>
    </row>
    <row r="65" s="2074" customFormat="1" spans="1:10">
      <c r="A65" s="2134" t="s">
        <v>666</v>
      </c>
      <c r="B65" s="2126"/>
      <c r="C65" s="2126"/>
      <c r="D65" s="2126"/>
      <c r="E65" s="2126"/>
      <c r="F65" s="2126"/>
      <c r="G65" s="2126"/>
      <c r="H65" s="2126"/>
      <c r="I65" s="2126"/>
      <c r="J65" s="2078"/>
    </row>
    <row r="66" s="2074" customFormat="1" spans="1:10">
      <c r="A66" s="2133" t="s">
        <v>667</v>
      </c>
      <c r="B66" s="2126"/>
      <c r="C66" s="2126"/>
      <c r="D66" s="2126"/>
      <c r="E66" s="2126"/>
      <c r="F66" s="2126"/>
      <c r="G66" s="2126"/>
      <c r="H66" s="2126"/>
      <c r="I66" s="2126"/>
      <c r="J66" s="2078"/>
    </row>
    <row r="67" s="2074" customFormat="1" spans="1:10">
      <c r="A67" s="2082" t="s">
        <v>668</v>
      </c>
      <c r="B67" s="2082" t="s">
        <v>669</v>
      </c>
      <c r="C67" s="2082" t="s">
        <v>670</v>
      </c>
      <c r="D67" s="2082" t="s">
        <v>671</v>
      </c>
      <c r="E67" s="2082" t="s">
        <v>672</v>
      </c>
      <c r="F67" s="2082" t="s">
        <v>515</v>
      </c>
      <c r="G67" s="2082" t="s">
        <v>673</v>
      </c>
      <c r="H67" s="2126"/>
      <c r="I67" s="2126"/>
      <c r="J67" s="2078"/>
    </row>
    <row r="68" s="2074" customFormat="1" spans="1:10">
      <c r="A68" s="2084" t="s">
        <v>674</v>
      </c>
      <c r="B68" s="2124"/>
      <c r="C68" s="2124"/>
      <c r="D68" s="2124"/>
      <c r="E68" s="2124"/>
      <c r="F68" s="2124"/>
      <c r="G68" s="2124"/>
      <c r="H68" s="2126"/>
      <c r="I68" s="2126"/>
      <c r="J68" s="2135"/>
    </row>
    <row r="69" s="2074" customFormat="1" spans="1:10">
      <c r="A69" s="2092"/>
      <c r="B69" s="2085"/>
      <c r="C69" s="2085"/>
      <c r="D69" s="2085"/>
      <c r="E69" s="2085"/>
      <c r="F69" s="2048">
        <f>ROUND(C69+D69-E69,2)</f>
        <v>0</v>
      </c>
      <c r="G69" s="2085"/>
      <c r="H69" s="2126"/>
      <c r="I69" s="2126"/>
      <c r="J69" s="2135" t="s">
        <v>675</v>
      </c>
    </row>
    <row r="70" s="2074" customFormat="1" spans="1:10">
      <c r="A70" s="2092"/>
      <c r="B70" s="2085"/>
      <c r="C70" s="2085"/>
      <c r="D70" s="2085"/>
      <c r="E70" s="2085"/>
      <c r="F70" s="2048">
        <f t="shared" ref="F70:F78" si="1">ROUND(C70+D70-E70,2)</f>
        <v>0</v>
      </c>
      <c r="G70" s="2085"/>
      <c r="H70" s="2126"/>
      <c r="I70" s="2126"/>
      <c r="J70" s="2135" t="s">
        <v>675</v>
      </c>
    </row>
    <row r="71" s="2074" customFormat="1" spans="1:10">
      <c r="A71" s="2092"/>
      <c r="B71" s="2085"/>
      <c r="C71" s="2085"/>
      <c r="D71" s="2085"/>
      <c r="E71" s="2085"/>
      <c r="F71" s="2048">
        <f t="shared" si="1"/>
        <v>0</v>
      </c>
      <c r="G71" s="2085"/>
      <c r="H71" s="2126"/>
      <c r="I71" s="2126"/>
      <c r="J71" s="2135" t="s">
        <v>675</v>
      </c>
    </row>
    <row r="72" s="2074" customFormat="1" spans="1:10">
      <c r="A72" s="2092"/>
      <c r="B72" s="2085"/>
      <c r="C72" s="2085"/>
      <c r="D72" s="2085"/>
      <c r="E72" s="2085"/>
      <c r="F72" s="2048">
        <f t="shared" si="1"/>
        <v>0</v>
      </c>
      <c r="G72" s="2085"/>
      <c r="H72" s="2126"/>
      <c r="I72" s="2126"/>
      <c r="J72" s="2135" t="s">
        <v>675</v>
      </c>
    </row>
    <row r="73" s="2074" customFormat="1" spans="1:10">
      <c r="A73" s="2092"/>
      <c r="B73" s="2085"/>
      <c r="C73" s="2085"/>
      <c r="D73" s="2085"/>
      <c r="E73" s="2085"/>
      <c r="F73" s="2048">
        <f t="shared" si="1"/>
        <v>0</v>
      </c>
      <c r="G73" s="2085"/>
      <c r="H73" s="2126"/>
      <c r="I73" s="2126"/>
      <c r="J73" s="2135" t="s">
        <v>675</v>
      </c>
    </row>
    <row r="74" s="2074" customFormat="1" spans="1:10">
      <c r="A74" s="2092"/>
      <c r="B74" s="2085"/>
      <c r="C74" s="2085"/>
      <c r="D74" s="2085"/>
      <c r="E74" s="2085"/>
      <c r="F74" s="2048">
        <f t="shared" si="1"/>
        <v>0</v>
      </c>
      <c r="G74" s="2085"/>
      <c r="H74" s="2126"/>
      <c r="I74" s="2126"/>
      <c r="J74" s="2135" t="s">
        <v>675</v>
      </c>
    </row>
    <row r="75" s="2074" customFormat="1" spans="1:10">
      <c r="A75" s="2092"/>
      <c r="B75" s="2085"/>
      <c r="C75" s="2085"/>
      <c r="D75" s="2085"/>
      <c r="E75" s="2085"/>
      <c r="F75" s="2048">
        <f t="shared" si="1"/>
        <v>0</v>
      </c>
      <c r="G75" s="2085"/>
      <c r="H75" s="2126"/>
      <c r="I75" s="2126"/>
      <c r="J75" s="2135" t="s">
        <v>675</v>
      </c>
    </row>
    <row r="76" s="2074" customFormat="1" spans="1:10">
      <c r="A76" s="2092"/>
      <c r="B76" s="2085"/>
      <c r="C76" s="2085"/>
      <c r="D76" s="2085"/>
      <c r="E76" s="2085"/>
      <c r="F76" s="2048">
        <f t="shared" si="1"/>
        <v>0</v>
      </c>
      <c r="G76" s="2085"/>
      <c r="H76" s="2126"/>
      <c r="I76" s="2126"/>
      <c r="J76" s="2135" t="s">
        <v>675</v>
      </c>
    </row>
    <row r="77" s="2074" customFormat="1" spans="1:10">
      <c r="A77" s="2092"/>
      <c r="B77" s="2085"/>
      <c r="C77" s="2085"/>
      <c r="D77" s="2085"/>
      <c r="E77" s="2085"/>
      <c r="F77" s="2048">
        <f t="shared" si="1"/>
        <v>0</v>
      </c>
      <c r="G77" s="2085"/>
      <c r="H77" s="2126"/>
      <c r="I77" s="2126"/>
      <c r="J77" s="2135" t="s">
        <v>675</v>
      </c>
    </row>
    <row r="78" s="2074" customFormat="1" spans="1:10">
      <c r="A78" s="2092"/>
      <c r="B78" s="2085"/>
      <c r="C78" s="2085"/>
      <c r="D78" s="2085"/>
      <c r="E78" s="2085"/>
      <c r="F78" s="2048">
        <f t="shared" si="1"/>
        <v>0</v>
      </c>
      <c r="G78" s="2085"/>
      <c r="H78" s="2126"/>
      <c r="I78" s="2126"/>
      <c r="J78" s="2135" t="s">
        <v>675</v>
      </c>
    </row>
    <row r="79" s="2074" customFormat="1" spans="1:10">
      <c r="A79" s="2082" t="s">
        <v>676</v>
      </c>
      <c r="B79" s="2048">
        <f t="shared" ref="B79:G79" si="2">ROUND(SUM(B69:B78),2)</f>
        <v>0</v>
      </c>
      <c r="C79" s="2048">
        <f t="shared" si="2"/>
        <v>0</v>
      </c>
      <c r="D79" s="2048">
        <f t="shared" si="2"/>
        <v>0</v>
      </c>
      <c r="E79" s="2048">
        <f t="shared" si="2"/>
        <v>0</v>
      </c>
      <c r="F79" s="2048">
        <f t="shared" si="2"/>
        <v>0</v>
      </c>
      <c r="G79" s="2048">
        <f t="shared" si="2"/>
        <v>0</v>
      </c>
      <c r="H79" s="2126"/>
      <c r="I79" s="2126"/>
      <c r="J79" s="2135" t="s">
        <v>677</v>
      </c>
    </row>
    <row r="80" s="2074" customFormat="1" spans="1:10">
      <c r="A80" s="2087"/>
      <c r="B80" s="2087"/>
      <c r="C80" s="2087"/>
      <c r="D80" s="2124"/>
      <c r="E80" s="2124"/>
      <c r="F80" s="2124"/>
      <c r="G80" s="2124"/>
      <c r="H80" s="2126"/>
      <c r="I80" s="2126"/>
      <c r="J80" s="2135"/>
    </row>
    <row r="81" s="2074" customFormat="1" spans="1:10">
      <c r="A81" s="2084" t="s">
        <v>678</v>
      </c>
      <c r="B81" s="2124"/>
      <c r="C81" s="2124"/>
      <c r="D81" s="2124"/>
      <c r="E81" s="2124"/>
      <c r="F81" s="2124"/>
      <c r="G81" s="2124"/>
      <c r="H81" s="2126"/>
      <c r="I81" s="2126"/>
      <c r="J81" s="2135"/>
    </row>
    <row r="82" s="2074" customFormat="1" spans="1:10">
      <c r="A82" s="2092"/>
      <c r="B82" s="2085"/>
      <c r="C82" s="2085"/>
      <c r="D82" s="2085"/>
      <c r="E82" s="2085"/>
      <c r="F82" s="2048">
        <f>ROUND(C82+D82-E82,2)</f>
        <v>0</v>
      </c>
      <c r="G82" s="2085"/>
      <c r="H82" s="2126"/>
      <c r="I82" s="2126"/>
      <c r="J82" s="2135" t="s">
        <v>679</v>
      </c>
    </row>
    <row r="83" s="2074" customFormat="1" spans="1:10">
      <c r="A83" s="2092"/>
      <c r="B83" s="2085"/>
      <c r="C83" s="2085"/>
      <c r="D83" s="2085"/>
      <c r="E83" s="2085"/>
      <c r="F83" s="2048">
        <f t="shared" ref="F83:F91" si="3">ROUND(C83+D83-E83,2)</f>
        <v>0</v>
      </c>
      <c r="G83" s="2085"/>
      <c r="H83" s="2126"/>
      <c r="I83" s="2126"/>
      <c r="J83" s="2135" t="s">
        <v>679</v>
      </c>
    </row>
    <row r="84" s="2074" customFormat="1" spans="1:10">
      <c r="A84" s="2092"/>
      <c r="B84" s="2085"/>
      <c r="C84" s="2085"/>
      <c r="D84" s="2085"/>
      <c r="E84" s="2085"/>
      <c r="F84" s="2048">
        <f t="shared" si="3"/>
        <v>0</v>
      </c>
      <c r="G84" s="2085"/>
      <c r="H84" s="2126"/>
      <c r="I84" s="2126"/>
      <c r="J84" s="2135" t="s">
        <v>679</v>
      </c>
    </row>
    <row r="85" s="2074" customFormat="1" spans="1:10">
      <c r="A85" s="2092"/>
      <c r="B85" s="2085"/>
      <c r="C85" s="2085"/>
      <c r="D85" s="2085"/>
      <c r="E85" s="2085"/>
      <c r="F85" s="2048">
        <f t="shared" si="3"/>
        <v>0</v>
      </c>
      <c r="G85" s="2085"/>
      <c r="H85" s="2126"/>
      <c r="I85" s="2126"/>
      <c r="J85" s="2135" t="s">
        <v>679</v>
      </c>
    </row>
    <row r="86" s="2074" customFormat="1" spans="1:10">
      <c r="A86" s="2092"/>
      <c r="B86" s="2085"/>
      <c r="C86" s="2085"/>
      <c r="D86" s="2085"/>
      <c r="E86" s="2085"/>
      <c r="F86" s="2048">
        <f t="shared" si="3"/>
        <v>0</v>
      </c>
      <c r="G86" s="2085"/>
      <c r="H86" s="2126"/>
      <c r="I86" s="2126"/>
      <c r="J86" s="2135" t="s">
        <v>679</v>
      </c>
    </row>
    <row r="87" s="2074" customFormat="1" spans="1:10">
      <c r="A87" s="2092"/>
      <c r="B87" s="2085"/>
      <c r="C87" s="2085"/>
      <c r="D87" s="2085"/>
      <c r="E87" s="2085"/>
      <c r="F87" s="2048">
        <f t="shared" si="3"/>
        <v>0</v>
      </c>
      <c r="G87" s="2085"/>
      <c r="H87" s="2126"/>
      <c r="I87" s="2126"/>
      <c r="J87" s="2135" t="s">
        <v>679</v>
      </c>
    </row>
    <row r="88" s="2074" customFormat="1" spans="1:10">
      <c r="A88" s="2092"/>
      <c r="B88" s="2085"/>
      <c r="C88" s="2085"/>
      <c r="D88" s="2085"/>
      <c r="E88" s="2085"/>
      <c r="F88" s="2048">
        <f t="shared" si="3"/>
        <v>0</v>
      </c>
      <c r="G88" s="2085"/>
      <c r="H88" s="2126"/>
      <c r="I88" s="2126"/>
      <c r="J88" s="2135" t="s">
        <v>679</v>
      </c>
    </row>
    <row r="89" s="2074" customFormat="1" spans="1:10">
      <c r="A89" s="2092"/>
      <c r="B89" s="2085"/>
      <c r="C89" s="2085"/>
      <c r="D89" s="2085"/>
      <c r="E89" s="2085"/>
      <c r="F89" s="2048">
        <f t="shared" si="3"/>
        <v>0</v>
      </c>
      <c r="G89" s="2085"/>
      <c r="H89" s="2126"/>
      <c r="I89" s="2126"/>
      <c r="J89" s="2135" t="s">
        <v>679</v>
      </c>
    </row>
    <row r="90" s="2074" customFormat="1" spans="1:10">
      <c r="A90" s="2092"/>
      <c r="B90" s="2085"/>
      <c r="C90" s="2085"/>
      <c r="D90" s="2085"/>
      <c r="E90" s="2085"/>
      <c r="F90" s="2048">
        <f t="shared" si="3"/>
        <v>0</v>
      </c>
      <c r="G90" s="2085"/>
      <c r="H90" s="2126"/>
      <c r="I90" s="2126"/>
      <c r="J90" s="2135" t="s">
        <v>679</v>
      </c>
    </row>
    <row r="91" s="2074" customFormat="1" spans="1:10">
      <c r="A91" s="2092"/>
      <c r="B91" s="2085"/>
      <c r="C91" s="2085"/>
      <c r="D91" s="2085"/>
      <c r="E91" s="2085"/>
      <c r="F91" s="2048">
        <f t="shared" si="3"/>
        <v>0</v>
      </c>
      <c r="G91" s="2085"/>
      <c r="H91" s="2126"/>
      <c r="I91" s="2126"/>
      <c r="J91" s="2135" t="s">
        <v>679</v>
      </c>
    </row>
    <row r="92" s="2074" customFormat="1" spans="1:10">
      <c r="A92" s="2082" t="s">
        <v>676</v>
      </c>
      <c r="B92" s="2048">
        <f t="shared" ref="B92:G92" si="4">ROUND(SUM(B82:B91),2)</f>
        <v>0</v>
      </c>
      <c r="C92" s="2048">
        <f t="shared" si="4"/>
        <v>0</v>
      </c>
      <c r="D92" s="2048">
        <f t="shared" si="4"/>
        <v>0</v>
      </c>
      <c r="E92" s="2048">
        <f t="shared" si="4"/>
        <v>0</v>
      </c>
      <c r="F92" s="2048">
        <f t="shared" si="4"/>
        <v>0</v>
      </c>
      <c r="G92" s="2048">
        <f t="shared" si="4"/>
        <v>0</v>
      </c>
      <c r="H92" s="2126"/>
      <c r="I92" s="2126"/>
      <c r="J92" s="2135" t="s">
        <v>680</v>
      </c>
    </row>
    <row r="93" s="2074" customFormat="1" spans="1:10">
      <c r="A93" s="2087"/>
      <c r="B93" s="2087"/>
      <c r="C93" s="2087"/>
      <c r="D93" s="2124"/>
      <c r="E93" s="2124"/>
      <c r="F93" s="2124"/>
      <c r="G93" s="2124"/>
      <c r="H93" s="2126"/>
      <c r="I93" s="2126"/>
      <c r="J93" s="2135"/>
    </row>
    <row r="94" s="2074" customFormat="1" spans="1:10">
      <c r="A94" s="2082" t="s">
        <v>384</v>
      </c>
      <c r="B94" s="2048">
        <f t="shared" ref="B94:G94" si="5">ROUND(B79+B92,2)</f>
        <v>0</v>
      </c>
      <c r="C94" s="2048">
        <f t="shared" si="5"/>
        <v>0</v>
      </c>
      <c r="D94" s="2048">
        <f t="shared" si="5"/>
        <v>0</v>
      </c>
      <c r="E94" s="2048">
        <f t="shared" si="5"/>
        <v>0</v>
      </c>
      <c r="F94" s="2048">
        <f t="shared" si="5"/>
        <v>0</v>
      </c>
      <c r="G94" s="2048">
        <f t="shared" si="5"/>
        <v>0</v>
      </c>
      <c r="H94" s="2126"/>
      <c r="I94" s="2126"/>
      <c r="J94" s="2135" t="s">
        <v>681</v>
      </c>
    </row>
    <row r="95" s="2074" customFormat="1" spans="1:10">
      <c r="A95" s="2132"/>
      <c r="B95" s="2100"/>
      <c r="C95" s="2100"/>
      <c r="D95" s="2126"/>
      <c r="E95" s="2126"/>
      <c r="F95" s="2126"/>
      <c r="G95" s="2126"/>
      <c r="H95" s="2126"/>
      <c r="I95" s="2126"/>
      <c r="J95" s="2078"/>
    </row>
    <row r="96" s="2074" customFormat="1" spans="1:10">
      <c r="A96" s="2133" t="s">
        <v>682</v>
      </c>
      <c r="B96" s="2126"/>
      <c r="C96" s="2126"/>
      <c r="D96" s="2126"/>
      <c r="E96" s="2126"/>
      <c r="F96" s="2126"/>
      <c r="G96" s="2126"/>
      <c r="H96" s="2126"/>
      <c r="I96" s="2126"/>
      <c r="J96" s="2078"/>
    </row>
    <row r="97" s="2074" customFormat="1" spans="1:10">
      <c r="A97" s="2082" t="s">
        <v>668</v>
      </c>
      <c r="B97" s="2082" t="s">
        <v>683</v>
      </c>
      <c r="C97" s="2082" t="s">
        <v>670</v>
      </c>
      <c r="D97" s="2082" t="s">
        <v>671</v>
      </c>
      <c r="E97" s="2082" t="s">
        <v>672</v>
      </c>
      <c r="F97" s="2082" t="s">
        <v>515</v>
      </c>
      <c r="G97" s="2126"/>
      <c r="H97" s="2126"/>
      <c r="I97" s="2126"/>
      <c r="J97" s="2078"/>
    </row>
    <row r="98" s="2074" customFormat="1" spans="1:10">
      <c r="A98" s="2084" t="s">
        <v>674</v>
      </c>
      <c r="B98" s="2124"/>
      <c r="C98" s="2124"/>
      <c r="D98" s="2124"/>
      <c r="E98" s="2124"/>
      <c r="F98" s="2124"/>
      <c r="G98" s="2126"/>
      <c r="H98" s="2126"/>
      <c r="I98" s="2126"/>
      <c r="J98" s="2135"/>
    </row>
    <row r="99" s="2074" customFormat="1" spans="1:10">
      <c r="A99" s="2092"/>
      <c r="B99" s="2092"/>
      <c r="C99" s="2085"/>
      <c r="D99" s="2085"/>
      <c r="E99" s="2085"/>
      <c r="F99" s="2048">
        <f>ROUND(C99+D99-E99,2)</f>
        <v>0</v>
      </c>
      <c r="G99" s="2126"/>
      <c r="H99" s="2126"/>
      <c r="I99" s="2126"/>
      <c r="J99" s="2135" t="s">
        <v>684</v>
      </c>
    </row>
    <row r="100" s="2074" customFormat="1" spans="1:10">
      <c r="A100" s="2092"/>
      <c r="B100" s="2092"/>
      <c r="C100" s="2085"/>
      <c r="D100" s="2085"/>
      <c r="E100" s="2085"/>
      <c r="F100" s="2048">
        <f t="shared" ref="F100:F108" si="6">ROUND(C100+D100-E100,2)</f>
        <v>0</v>
      </c>
      <c r="G100" s="2126"/>
      <c r="H100" s="2126"/>
      <c r="I100" s="2126"/>
      <c r="J100" s="2135" t="s">
        <v>684</v>
      </c>
    </row>
    <row r="101" s="2074" customFormat="1" spans="1:10">
      <c r="A101" s="2092"/>
      <c r="B101" s="2092"/>
      <c r="C101" s="2085"/>
      <c r="D101" s="2085"/>
      <c r="E101" s="2085"/>
      <c r="F101" s="2048">
        <f t="shared" si="6"/>
        <v>0</v>
      </c>
      <c r="G101" s="2126"/>
      <c r="H101" s="2126"/>
      <c r="I101" s="2126"/>
      <c r="J101" s="2135" t="s">
        <v>684</v>
      </c>
    </row>
    <row r="102" s="2074" customFormat="1" spans="1:10">
      <c r="A102" s="2092"/>
      <c r="B102" s="2092"/>
      <c r="C102" s="2085"/>
      <c r="D102" s="2085"/>
      <c r="E102" s="2085"/>
      <c r="F102" s="2048">
        <f t="shared" si="6"/>
        <v>0</v>
      </c>
      <c r="G102" s="2126"/>
      <c r="H102" s="2126"/>
      <c r="I102" s="2126"/>
      <c r="J102" s="2135" t="s">
        <v>684</v>
      </c>
    </row>
    <row r="103" s="2074" customFormat="1" spans="1:10">
      <c r="A103" s="2092"/>
      <c r="B103" s="2092"/>
      <c r="C103" s="2085"/>
      <c r="D103" s="2085"/>
      <c r="E103" s="2085"/>
      <c r="F103" s="2048">
        <f t="shared" si="6"/>
        <v>0</v>
      </c>
      <c r="G103" s="2126"/>
      <c r="H103" s="2126"/>
      <c r="I103" s="2126"/>
      <c r="J103" s="2135" t="s">
        <v>684</v>
      </c>
    </row>
    <row r="104" s="2074" customFormat="1" spans="1:10">
      <c r="A104" s="2092"/>
      <c r="B104" s="2092"/>
      <c r="C104" s="2085"/>
      <c r="D104" s="2085"/>
      <c r="E104" s="2085"/>
      <c r="F104" s="2048">
        <f t="shared" si="6"/>
        <v>0</v>
      </c>
      <c r="G104" s="2126"/>
      <c r="H104" s="2126"/>
      <c r="I104" s="2126"/>
      <c r="J104" s="2135" t="s">
        <v>684</v>
      </c>
    </row>
    <row r="105" s="2074" customFormat="1" spans="1:10">
      <c r="A105" s="2092"/>
      <c r="B105" s="2092"/>
      <c r="C105" s="2085"/>
      <c r="D105" s="2085"/>
      <c r="E105" s="2085"/>
      <c r="F105" s="2048">
        <f t="shared" si="6"/>
        <v>0</v>
      </c>
      <c r="G105" s="2126"/>
      <c r="H105" s="2126"/>
      <c r="I105" s="2126"/>
      <c r="J105" s="2135" t="s">
        <v>684</v>
      </c>
    </row>
    <row r="106" s="2074" customFormat="1" spans="1:10">
      <c r="A106" s="2092"/>
      <c r="B106" s="2092"/>
      <c r="C106" s="2085"/>
      <c r="D106" s="2085"/>
      <c r="E106" s="2085"/>
      <c r="F106" s="2048">
        <f t="shared" si="6"/>
        <v>0</v>
      </c>
      <c r="G106" s="2126"/>
      <c r="H106" s="2126"/>
      <c r="I106" s="2126"/>
      <c r="J106" s="2135" t="s">
        <v>684</v>
      </c>
    </row>
    <row r="107" s="2074" customFormat="1" spans="1:10">
      <c r="A107" s="2092"/>
      <c r="B107" s="2092"/>
      <c r="C107" s="2085"/>
      <c r="D107" s="2085"/>
      <c r="E107" s="2085"/>
      <c r="F107" s="2048">
        <f t="shared" si="6"/>
        <v>0</v>
      </c>
      <c r="G107" s="2126"/>
      <c r="H107" s="2126"/>
      <c r="I107" s="2126"/>
      <c r="J107" s="2135" t="s">
        <v>684</v>
      </c>
    </row>
    <row r="108" s="2074" customFormat="1" spans="1:10">
      <c r="A108" s="2092"/>
      <c r="B108" s="2092"/>
      <c r="C108" s="2085"/>
      <c r="D108" s="2085"/>
      <c r="E108" s="2085"/>
      <c r="F108" s="2048">
        <f t="shared" si="6"/>
        <v>0</v>
      </c>
      <c r="G108" s="2126"/>
      <c r="H108" s="2126"/>
      <c r="I108" s="2126"/>
      <c r="J108" s="2135" t="s">
        <v>684</v>
      </c>
    </row>
    <row r="109" s="2074" customFormat="1" spans="1:10">
      <c r="A109" s="2082" t="s">
        <v>676</v>
      </c>
      <c r="B109" s="2048"/>
      <c r="C109" s="2048">
        <f>ROUND(SUM(C99:C108),2)</f>
        <v>0</v>
      </c>
      <c r="D109" s="2048">
        <f>ROUND(SUM(D99:D108),2)</f>
        <v>0</v>
      </c>
      <c r="E109" s="2048">
        <f>ROUND(SUM(E99:E108),2)</f>
        <v>0</v>
      </c>
      <c r="F109" s="2048">
        <f>ROUND(SUM(F99:F108),2)</f>
        <v>0</v>
      </c>
      <c r="G109" s="2126"/>
      <c r="H109" s="2126"/>
      <c r="I109" s="2126"/>
      <c r="J109" s="2135" t="s">
        <v>685</v>
      </c>
    </row>
    <row r="110" s="2074" customFormat="1" spans="1:10">
      <c r="A110" s="2087"/>
      <c r="B110" s="2087"/>
      <c r="C110" s="2087"/>
      <c r="D110" s="2124"/>
      <c r="E110" s="2124"/>
      <c r="F110" s="2124"/>
      <c r="G110" s="2126"/>
      <c r="H110" s="2126"/>
      <c r="I110" s="2126"/>
      <c r="J110" s="2135"/>
    </row>
    <row r="111" s="2074" customFormat="1" spans="1:10">
      <c r="A111" s="2084" t="s">
        <v>678</v>
      </c>
      <c r="B111" s="2124"/>
      <c r="C111" s="2124"/>
      <c r="D111" s="2124"/>
      <c r="E111" s="2124"/>
      <c r="F111" s="2124"/>
      <c r="G111" s="2126"/>
      <c r="H111" s="2126"/>
      <c r="I111" s="2126"/>
      <c r="J111" s="2135"/>
    </row>
    <row r="112" s="2074" customFormat="1" spans="1:10">
      <c r="A112" s="2092"/>
      <c r="B112" s="2092"/>
      <c r="C112" s="2085"/>
      <c r="D112" s="2085"/>
      <c r="E112" s="2085"/>
      <c r="F112" s="2048">
        <f>ROUND(C112+D112-E112,2)</f>
        <v>0</v>
      </c>
      <c r="G112" s="2126"/>
      <c r="H112" s="2126"/>
      <c r="I112" s="2126"/>
      <c r="J112" s="2135" t="s">
        <v>686</v>
      </c>
    </row>
    <row r="113" s="2074" customFormat="1" spans="1:10">
      <c r="A113" s="2092"/>
      <c r="B113" s="2092"/>
      <c r="C113" s="2085"/>
      <c r="D113" s="2085"/>
      <c r="E113" s="2085"/>
      <c r="F113" s="2048">
        <f t="shared" ref="F113:F121" si="7">ROUND(C113+D113-E113,2)</f>
        <v>0</v>
      </c>
      <c r="G113" s="2126"/>
      <c r="H113" s="2126"/>
      <c r="I113" s="2126"/>
      <c r="J113" s="2135" t="s">
        <v>686</v>
      </c>
    </row>
    <row r="114" s="2074" customFormat="1" spans="1:10">
      <c r="A114" s="2092"/>
      <c r="B114" s="2092"/>
      <c r="C114" s="2085"/>
      <c r="D114" s="2085"/>
      <c r="E114" s="2085"/>
      <c r="F114" s="2048">
        <f t="shared" si="7"/>
        <v>0</v>
      </c>
      <c r="G114" s="2126"/>
      <c r="H114" s="2126"/>
      <c r="I114" s="2126"/>
      <c r="J114" s="2135" t="s">
        <v>686</v>
      </c>
    </row>
    <row r="115" s="2074" customFormat="1" spans="1:10">
      <c r="A115" s="2092"/>
      <c r="B115" s="2092"/>
      <c r="C115" s="2085"/>
      <c r="D115" s="2085"/>
      <c r="E115" s="2085"/>
      <c r="F115" s="2048">
        <f t="shared" si="7"/>
        <v>0</v>
      </c>
      <c r="G115" s="2126"/>
      <c r="H115" s="2126"/>
      <c r="I115" s="2126"/>
      <c r="J115" s="2135" t="s">
        <v>686</v>
      </c>
    </row>
    <row r="116" s="2074" customFormat="1" spans="1:10">
      <c r="A116" s="2092"/>
      <c r="B116" s="2092"/>
      <c r="C116" s="2085"/>
      <c r="D116" s="2085"/>
      <c r="E116" s="2085"/>
      <c r="F116" s="2048">
        <f t="shared" si="7"/>
        <v>0</v>
      </c>
      <c r="G116" s="2126"/>
      <c r="H116" s="2126"/>
      <c r="I116" s="2126"/>
      <c r="J116" s="2135" t="s">
        <v>686</v>
      </c>
    </row>
    <row r="117" s="2074" customFormat="1" spans="1:10">
      <c r="A117" s="2092"/>
      <c r="B117" s="2092"/>
      <c r="C117" s="2085"/>
      <c r="D117" s="2085"/>
      <c r="E117" s="2085"/>
      <c r="F117" s="2048">
        <f t="shared" si="7"/>
        <v>0</v>
      </c>
      <c r="G117" s="2126"/>
      <c r="H117" s="2126"/>
      <c r="I117" s="2126"/>
      <c r="J117" s="2135" t="s">
        <v>686</v>
      </c>
    </row>
    <row r="118" s="2074" customFormat="1" spans="1:10">
      <c r="A118" s="2092"/>
      <c r="B118" s="2092"/>
      <c r="C118" s="2085"/>
      <c r="D118" s="2085"/>
      <c r="E118" s="2085"/>
      <c r="F118" s="2048">
        <f t="shared" si="7"/>
        <v>0</v>
      </c>
      <c r="G118" s="2126"/>
      <c r="H118" s="2126"/>
      <c r="I118" s="2126"/>
      <c r="J118" s="2135" t="s">
        <v>686</v>
      </c>
    </row>
    <row r="119" s="2074" customFormat="1" spans="1:10">
      <c r="A119" s="2092"/>
      <c r="B119" s="2092"/>
      <c r="C119" s="2085"/>
      <c r="D119" s="2085"/>
      <c r="E119" s="2085"/>
      <c r="F119" s="2048">
        <f t="shared" si="7"/>
        <v>0</v>
      </c>
      <c r="G119" s="2126"/>
      <c r="H119" s="2126"/>
      <c r="I119" s="2126"/>
      <c r="J119" s="2135" t="s">
        <v>686</v>
      </c>
    </row>
    <row r="120" s="2074" customFormat="1" spans="1:10">
      <c r="A120" s="2092"/>
      <c r="B120" s="2092"/>
      <c r="C120" s="2085"/>
      <c r="D120" s="2085"/>
      <c r="E120" s="2085"/>
      <c r="F120" s="2048">
        <f t="shared" si="7"/>
        <v>0</v>
      </c>
      <c r="G120" s="2126"/>
      <c r="H120" s="2126"/>
      <c r="I120" s="2126"/>
      <c r="J120" s="2135" t="s">
        <v>686</v>
      </c>
    </row>
    <row r="121" s="2074" customFormat="1" spans="1:10">
      <c r="A121" s="2092"/>
      <c r="B121" s="2092"/>
      <c r="C121" s="2085"/>
      <c r="D121" s="2085"/>
      <c r="E121" s="2085"/>
      <c r="F121" s="2048">
        <f t="shared" si="7"/>
        <v>0</v>
      </c>
      <c r="G121" s="2126"/>
      <c r="H121" s="2126"/>
      <c r="I121" s="2126"/>
      <c r="J121" s="2135" t="s">
        <v>686</v>
      </c>
    </row>
    <row r="122" s="2074" customFormat="1" spans="1:10">
      <c r="A122" s="2082" t="s">
        <v>676</v>
      </c>
      <c r="B122" s="2048"/>
      <c r="C122" s="2048">
        <f>ROUND(SUM(C112:C121),2)</f>
        <v>0</v>
      </c>
      <c r="D122" s="2048">
        <f>ROUND(SUM(D112:D121),2)</f>
        <v>0</v>
      </c>
      <c r="E122" s="2048">
        <f>ROUND(SUM(E112:E121),2)</f>
        <v>0</v>
      </c>
      <c r="F122" s="2048">
        <f>ROUND(SUM(F112:F121),2)</f>
        <v>0</v>
      </c>
      <c r="G122" s="2126"/>
      <c r="H122" s="2126"/>
      <c r="I122" s="2126"/>
      <c r="J122" s="2135" t="s">
        <v>687</v>
      </c>
    </row>
    <row r="123" s="2074" customFormat="1" spans="1:10">
      <c r="A123" s="2087"/>
      <c r="B123" s="2087"/>
      <c r="C123" s="2087"/>
      <c r="D123" s="2124"/>
      <c r="E123" s="2124"/>
      <c r="F123" s="2124"/>
      <c r="G123" s="2126"/>
      <c r="H123" s="2126"/>
      <c r="I123" s="2126"/>
      <c r="J123" s="2135"/>
    </row>
    <row r="124" s="2074" customFormat="1" spans="1:10">
      <c r="A124" s="2082" t="s">
        <v>384</v>
      </c>
      <c r="B124" s="2048"/>
      <c r="C124" s="2048">
        <f>ROUND(C109+C122,2)</f>
        <v>0</v>
      </c>
      <c r="D124" s="2048">
        <f>ROUND(D109+D122,2)</f>
        <v>0</v>
      </c>
      <c r="E124" s="2048">
        <f>ROUND(E109+E122,2)</f>
        <v>0</v>
      </c>
      <c r="F124" s="2048">
        <f>ROUND(F109+F122,2)</f>
        <v>0</v>
      </c>
      <c r="G124" s="2126"/>
      <c r="H124" s="2126"/>
      <c r="I124" s="2126"/>
      <c r="J124" s="2135" t="s">
        <v>688</v>
      </c>
    </row>
    <row r="125" s="2074" customFormat="1" spans="1:10">
      <c r="A125" s="2099"/>
      <c r="B125" s="2100"/>
      <c r="C125" s="2100"/>
      <c r="D125" s="2100"/>
      <c r="E125" s="2100"/>
      <c r="F125" s="2100"/>
      <c r="G125" s="2100"/>
      <c r="H125" s="2126"/>
      <c r="I125" s="2126"/>
      <c r="J125" s="2135"/>
    </row>
    <row r="126" s="2074" customFormat="1" spans="1:10">
      <c r="A126" s="2096" t="s">
        <v>689</v>
      </c>
      <c r="B126" s="2126"/>
      <c r="C126" s="2126"/>
      <c r="D126" s="2126"/>
      <c r="E126" s="2126"/>
      <c r="F126" s="2126"/>
      <c r="G126" s="2126"/>
      <c r="H126" s="2126"/>
      <c r="I126" s="2126"/>
      <c r="J126" s="2078"/>
    </row>
    <row r="127" s="2074" customFormat="1" spans="1:10">
      <c r="A127" s="2082" t="s">
        <v>419</v>
      </c>
      <c r="B127" s="2082" t="s">
        <v>690</v>
      </c>
      <c r="C127" s="2082" t="s">
        <v>349</v>
      </c>
      <c r="D127" s="2126"/>
      <c r="E127" s="2126"/>
      <c r="F127" s="2126"/>
      <c r="G127" s="2126"/>
      <c r="H127" s="2126"/>
      <c r="I127" s="2126"/>
      <c r="J127" s="2078"/>
    </row>
    <row r="128" s="2074" customFormat="1" spans="1:10">
      <c r="A128" s="2092"/>
      <c r="B128" s="2092"/>
      <c r="C128" s="2092"/>
      <c r="D128" s="2126"/>
      <c r="E128" s="2126"/>
      <c r="F128" s="2126"/>
      <c r="G128" s="2126"/>
      <c r="H128" s="2126"/>
      <c r="I128" s="2126"/>
      <c r="J128" s="2135" t="s">
        <v>691</v>
      </c>
    </row>
    <row r="129" s="2074" customFormat="1" spans="1:10">
      <c r="A129" s="2092"/>
      <c r="B129" s="2092"/>
      <c r="C129" s="2092"/>
      <c r="D129" s="2126"/>
      <c r="E129" s="2126"/>
      <c r="F129" s="2126"/>
      <c r="G129" s="2126"/>
      <c r="H129" s="2126"/>
      <c r="I129" s="2126"/>
      <c r="J129" s="2135" t="s">
        <v>691</v>
      </c>
    </row>
    <row r="130" s="2074" customFormat="1" spans="1:10">
      <c r="A130" s="2092"/>
      <c r="B130" s="2092"/>
      <c r="C130" s="2092"/>
      <c r="D130" s="2126"/>
      <c r="E130" s="2126"/>
      <c r="F130" s="2126"/>
      <c r="G130" s="2126"/>
      <c r="H130" s="2126"/>
      <c r="I130" s="2126"/>
      <c r="J130" s="2135" t="s">
        <v>691</v>
      </c>
    </row>
    <row r="131" s="2074" customFormat="1" spans="1:10">
      <c r="A131" s="2092"/>
      <c r="B131" s="2092"/>
      <c r="C131" s="2092"/>
      <c r="D131" s="2126"/>
      <c r="E131" s="2126"/>
      <c r="F131" s="2126"/>
      <c r="G131" s="2126"/>
      <c r="H131" s="2126"/>
      <c r="I131" s="2126"/>
      <c r="J131" s="2135" t="s">
        <v>691</v>
      </c>
    </row>
    <row r="132" s="2074" customFormat="1" spans="1:10">
      <c r="A132" s="2092"/>
      <c r="B132" s="2092"/>
      <c r="C132" s="2092"/>
      <c r="D132" s="2126"/>
      <c r="E132" s="2126"/>
      <c r="F132" s="2126"/>
      <c r="G132" s="2126"/>
      <c r="H132" s="2126"/>
      <c r="I132" s="2126"/>
      <c r="J132" s="2135" t="s">
        <v>691</v>
      </c>
    </row>
    <row r="133" s="2074" customFormat="1" spans="1:10">
      <c r="A133" s="2092"/>
      <c r="B133" s="2092"/>
      <c r="C133" s="2092"/>
      <c r="D133" s="2126"/>
      <c r="E133" s="2126"/>
      <c r="F133" s="2126"/>
      <c r="G133" s="2126"/>
      <c r="H133" s="2126"/>
      <c r="I133" s="2126"/>
      <c r="J133" s="2135" t="s">
        <v>691</v>
      </c>
    </row>
    <row r="134" s="2074" customFormat="1" spans="1:10">
      <c r="A134" s="2092"/>
      <c r="B134" s="2092"/>
      <c r="C134" s="2092"/>
      <c r="D134" s="2126"/>
      <c r="E134" s="2126"/>
      <c r="F134" s="2126"/>
      <c r="G134" s="2126"/>
      <c r="H134" s="2126"/>
      <c r="I134" s="2126"/>
      <c r="J134" s="2135" t="s">
        <v>691</v>
      </c>
    </row>
    <row r="135" s="2074" customFormat="1" spans="1:10">
      <c r="A135" s="2092"/>
      <c r="B135" s="2092"/>
      <c r="C135" s="2092"/>
      <c r="D135" s="2126"/>
      <c r="E135" s="2126"/>
      <c r="F135" s="2126"/>
      <c r="G135" s="2126"/>
      <c r="H135" s="2126"/>
      <c r="I135" s="2126"/>
      <c r="J135" s="2135" t="s">
        <v>691</v>
      </c>
    </row>
    <row r="136" s="2074" customFormat="1" spans="1:10">
      <c r="A136" s="2092"/>
      <c r="B136" s="2092"/>
      <c r="C136" s="2092"/>
      <c r="D136" s="2126"/>
      <c r="E136" s="2126"/>
      <c r="F136" s="2126"/>
      <c r="G136" s="2126"/>
      <c r="H136" s="2126"/>
      <c r="I136" s="2126"/>
      <c r="J136" s="2135" t="s">
        <v>691</v>
      </c>
    </row>
    <row r="137" s="2074" customFormat="1" spans="1:10">
      <c r="A137" s="2092"/>
      <c r="B137" s="2092"/>
      <c r="C137" s="2092"/>
      <c r="D137" s="2126"/>
      <c r="E137" s="2126"/>
      <c r="F137" s="2126"/>
      <c r="G137" s="2126"/>
      <c r="H137" s="2126"/>
      <c r="I137" s="2126"/>
      <c r="J137" s="2135" t="s">
        <v>691</v>
      </c>
    </row>
    <row r="138" s="2074" customFormat="1" spans="1:10">
      <c r="A138" s="2132"/>
      <c r="B138" s="2100"/>
      <c r="C138" s="2100"/>
      <c r="D138" s="2126"/>
      <c r="E138" s="2126"/>
      <c r="F138" s="2126"/>
      <c r="G138" s="2126"/>
      <c r="H138" s="2126"/>
      <c r="I138" s="2126"/>
      <c r="J138" s="2078"/>
    </row>
    <row r="139" s="2074" customFormat="1" spans="1:10">
      <c r="A139" s="2081" t="s">
        <v>692</v>
      </c>
      <c r="B139" s="2126"/>
      <c r="C139" s="2126"/>
      <c r="D139" s="2126"/>
      <c r="E139" s="2126"/>
      <c r="F139" s="2126"/>
      <c r="G139" s="2126"/>
      <c r="H139" s="2126"/>
      <c r="I139" s="2126"/>
      <c r="J139" s="2078"/>
    </row>
    <row r="140" s="2074" customFormat="1" spans="1:10">
      <c r="A140" s="2082" t="s">
        <v>419</v>
      </c>
      <c r="B140" s="2082" t="s">
        <v>693</v>
      </c>
      <c r="C140" s="2082" t="s">
        <v>694</v>
      </c>
      <c r="D140" s="2126"/>
      <c r="E140" s="2126"/>
      <c r="F140" s="2126"/>
      <c r="G140" s="2126"/>
      <c r="H140" s="2126"/>
      <c r="I140" s="2126"/>
      <c r="J140" s="2078"/>
    </row>
    <row r="141" s="2074" customFormat="1" spans="1:10">
      <c r="A141" s="2092"/>
      <c r="B141" s="2085"/>
      <c r="C141" s="2085"/>
      <c r="D141" s="2126"/>
      <c r="E141" s="2126"/>
      <c r="F141" s="2126"/>
      <c r="G141" s="2126"/>
      <c r="H141" s="2126"/>
      <c r="I141" s="2126"/>
      <c r="J141" s="2135" t="s">
        <v>695</v>
      </c>
    </row>
    <row r="142" s="2074" customFormat="1" spans="1:10">
      <c r="A142" s="2092"/>
      <c r="B142" s="2085"/>
      <c r="C142" s="2085"/>
      <c r="D142" s="2126"/>
      <c r="E142" s="2126"/>
      <c r="F142" s="2126"/>
      <c r="G142" s="2126"/>
      <c r="H142" s="2126"/>
      <c r="I142" s="2126"/>
      <c r="J142" s="2135" t="s">
        <v>695</v>
      </c>
    </row>
    <row r="143" s="2074" customFormat="1" spans="1:10">
      <c r="A143" s="2092"/>
      <c r="B143" s="2085"/>
      <c r="C143" s="2085"/>
      <c r="D143" s="2126"/>
      <c r="E143" s="2126"/>
      <c r="F143" s="2126"/>
      <c r="G143" s="2126"/>
      <c r="H143" s="2126"/>
      <c r="I143" s="2126"/>
      <c r="J143" s="2135" t="s">
        <v>695</v>
      </c>
    </row>
    <row r="144" s="2074" customFormat="1" spans="1:10">
      <c r="A144" s="2092"/>
      <c r="B144" s="2085"/>
      <c r="C144" s="2085"/>
      <c r="D144" s="2126"/>
      <c r="E144" s="2126"/>
      <c r="F144" s="2126"/>
      <c r="G144" s="2126"/>
      <c r="H144" s="2126"/>
      <c r="I144" s="2126"/>
      <c r="J144" s="2135" t="s">
        <v>695</v>
      </c>
    </row>
    <row r="145" s="2074" customFormat="1" spans="1:10">
      <c r="A145" s="2092"/>
      <c r="B145" s="2085"/>
      <c r="C145" s="2085"/>
      <c r="D145" s="2126"/>
      <c r="E145" s="2126"/>
      <c r="F145" s="2126"/>
      <c r="G145" s="2126"/>
      <c r="H145" s="2126"/>
      <c r="I145" s="2126"/>
      <c r="J145" s="2135" t="s">
        <v>695</v>
      </c>
    </row>
    <row r="146" s="2074" customFormat="1" spans="1:10">
      <c r="A146" s="2092"/>
      <c r="B146" s="2085"/>
      <c r="C146" s="2085"/>
      <c r="D146" s="2126"/>
      <c r="E146" s="2126"/>
      <c r="F146" s="2126"/>
      <c r="G146" s="2126"/>
      <c r="H146" s="2126"/>
      <c r="I146" s="2126"/>
      <c r="J146" s="2135" t="s">
        <v>695</v>
      </c>
    </row>
    <row r="147" s="2074" customFormat="1" spans="1:10">
      <c r="A147" s="2092"/>
      <c r="B147" s="2085"/>
      <c r="C147" s="2085"/>
      <c r="D147" s="2126"/>
      <c r="E147" s="2126"/>
      <c r="F147" s="2126"/>
      <c r="G147" s="2126"/>
      <c r="H147" s="2126"/>
      <c r="I147" s="2126"/>
      <c r="J147" s="2135" t="s">
        <v>695</v>
      </c>
    </row>
    <row r="148" s="2074" customFormat="1" spans="1:10">
      <c r="A148" s="2092"/>
      <c r="B148" s="2085"/>
      <c r="C148" s="2085"/>
      <c r="D148" s="2126"/>
      <c r="E148" s="2126"/>
      <c r="F148" s="2126"/>
      <c r="G148" s="2126"/>
      <c r="H148" s="2126"/>
      <c r="I148" s="2126"/>
      <c r="J148" s="2135" t="s">
        <v>695</v>
      </c>
    </row>
    <row r="149" s="2074" customFormat="1" spans="1:10">
      <c r="A149" s="2092"/>
      <c r="B149" s="2085"/>
      <c r="C149" s="2085"/>
      <c r="D149" s="2126"/>
      <c r="E149" s="2126"/>
      <c r="F149" s="2126"/>
      <c r="G149" s="2126"/>
      <c r="H149" s="2126"/>
      <c r="I149" s="2126"/>
      <c r="J149" s="2135" t="s">
        <v>695</v>
      </c>
    </row>
    <row r="150" s="2074" customFormat="1" spans="1:10">
      <c r="A150" s="2092"/>
      <c r="B150" s="2085"/>
      <c r="C150" s="2085"/>
      <c r="D150" s="2126"/>
      <c r="E150" s="2126"/>
      <c r="F150" s="2126"/>
      <c r="G150" s="2126"/>
      <c r="H150" s="2126"/>
      <c r="I150" s="2126"/>
      <c r="J150" s="2135" t="s">
        <v>695</v>
      </c>
    </row>
    <row r="151" s="2074" customFormat="1" spans="1:10">
      <c r="A151" s="2082" t="s">
        <v>384</v>
      </c>
      <c r="B151" s="2048">
        <f>ROUND(SUM(B141:B150),2)</f>
        <v>0</v>
      </c>
      <c r="C151" s="2048">
        <f>ROUND(SUM(C141:C150),2)</f>
        <v>0</v>
      </c>
      <c r="D151" s="2126"/>
      <c r="E151" s="2126"/>
      <c r="F151" s="2126"/>
      <c r="G151" s="2126"/>
      <c r="H151" s="2126"/>
      <c r="I151" s="2126"/>
      <c r="J151" s="2135" t="s">
        <v>696</v>
      </c>
    </row>
    <row r="152" s="2074" customFormat="1" spans="1:10">
      <c r="A152" s="2132"/>
      <c r="B152" s="2100"/>
      <c r="C152" s="2100"/>
      <c r="D152" s="2126"/>
      <c r="E152" s="2126"/>
      <c r="F152" s="2126"/>
      <c r="G152" s="2126"/>
      <c r="H152" s="2126"/>
      <c r="I152" s="2126"/>
      <c r="J152" s="2078"/>
    </row>
    <row r="153" s="2074" customFormat="1" spans="1:10">
      <c r="A153" s="2081" t="s">
        <v>697</v>
      </c>
      <c r="B153" s="2126"/>
      <c r="C153" s="2126"/>
      <c r="D153" s="2126"/>
      <c r="E153" s="2126"/>
      <c r="F153" s="2126"/>
      <c r="G153" s="2126"/>
      <c r="H153" s="2126"/>
      <c r="I153" s="2126"/>
      <c r="J153" s="2078"/>
    </row>
    <row r="154" s="2074" customFormat="1" spans="1:10">
      <c r="A154" s="2082" t="s">
        <v>668</v>
      </c>
      <c r="B154" s="2082" t="s">
        <v>698</v>
      </c>
      <c r="C154" s="2082" t="s">
        <v>699</v>
      </c>
      <c r="D154" s="2082" t="s">
        <v>700</v>
      </c>
      <c r="E154" s="2082" t="s">
        <v>701</v>
      </c>
      <c r="F154" s="2082" t="s">
        <v>702</v>
      </c>
      <c r="G154" s="2082" t="s">
        <v>703</v>
      </c>
      <c r="H154" s="2082" t="s">
        <v>704</v>
      </c>
      <c r="I154" s="2099"/>
      <c r="J154" s="2078"/>
    </row>
    <row r="155" s="2074" customFormat="1" spans="1:10">
      <c r="A155" s="2084" t="s">
        <v>705</v>
      </c>
      <c r="B155" s="2124"/>
      <c r="C155" s="2124"/>
      <c r="D155" s="2124"/>
      <c r="E155" s="2124"/>
      <c r="F155" s="2124"/>
      <c r="G155" s="2124"/>
      <c r="H155" s="2124"/>
      <c r="I155" s="2102"/>
      <c r="J155" s="2135"/>
    </row>
    <row r="156" s="2074" customFormat="1" spans="1:10">
      <c r="A156" s="2092"/>
      <c r="B156" s="2092"/>
      <c r="C156" s="2092"/>
      <c r="D156" s="2111"/>
      <c r="E156" s="2111"/>
      <c r="F156" s="2085"/>
      <c r="G156" s="2085"/>
      <c r="H156" s="2085"/>
      <c r="I156" s="2102"/>
      <c r="J156" s="2135" t="s">
        <v>706</v>
      </c>
    </row>
    <row r="157" s="2074" customFormat="1" spans="1:10">
      <c r="A157" s="2092"/>
      <c r="B157" s="2092"/>
      <c r="C157" s="2092"/>
      <c r="D157" s="2111"/>
      <c r="E157" s="2111"/>
      <c r="F157" s="2085"/>
      <c r="G157" s="2085"/>
      <c r="H157" s="2085"/>
      <c r="I157" s="2102"/>
      <c r="J157" s="2135" t="s">
        <v>706</v>
      </c>
    </row>
    <row r="158" s="2074" customFormat="1" spans="1:10">
      <c r="A158" s="2092"/>
      <c r="B158" s="2092"/>
      <c r="C158" s="2092"/>
      <c r="D158" s="2111"/>
      <c r="E158" s="2111"/>
      <c r="F158" s="2085"/>
      <c r="G158" s="2085"/>
      <c r="H158" s="2085"/>
      <c r="I158" s="2102"/>
      <c r="J158" s="2135" t="s">
        <v>706</v>
      </c>
    </row>
    <row r="159" s="2074" customFormat="1" spans="1:10">
      <c r="A159" s="2092"/>
      <c r="B159" s="2092"/>
      <c r="C159" s="2092"/>
      <c r="D159" s="2111"/>
      <c r="E159" s="2111"/>
      <c r="F159" s="2085"/>
      <c r="G159" s="2085"/>
      <c r="H159" s="2085"/>
      <c r="I159" s="2102"/>
      <c r="J159" s="2135" t="s">
        <v>706</v>
      </c>
    </row>
    <row r="160" s="2074" customFormat="1" spans="1:10">
      <c r="A160" s="2092"/>
      <c r="B160" s="2092"/>
      <c r="C160" s="2092"/>
      <c r="D160" s="2111"/>
      <c r="E160" s="2111"/>
      <c r="F160" s="2085"/>
      <c r="G160" s="2085"/>
      <c r="H160" s="2085"/>
      <c r="I160" s="2102"/>
      <c r="J160" s="2135" t="s">
        <v>706</v>
      </c>
    </row>
    <row r="161" s="2074" customFormat="1" spans="1:10">
      <c r="A161" s="2092"/>
      <c r="B161" s="2092"/>
      <c r="C161" s="2092"/>
      <c r="D161" s="2111"/>
      <c r="E161" s="2111"/>
      <c r="F161" s="2085"/>
      <c r="G161" s="2085"/>
      <c r="H161" s="2085"/>
      <c r="I161" s="2102"/>
      <c r="J161" s="2135" t="s">
        <v>706</v>
      </c>
    </row>
    <row r="162" s="2074" customFormat="1" spans="1:10">
      <c r="A162" s="2092"/>
      <c r="B162" s="2092"/>
      <c r="C162" s="2092"/>
      <c r="D162" s="2111"/>
      <c r="E162" s="2111"/>
      <c r="F162" s="2085"/>
      <c r="G162" s="2085"/>
      <c r="H162" s="2085"/>
      <c r="I162" s="2102"/>
      <c r="J162" s="2135" t="s">
        <v>706</v>
      </c>
    </row>
    <row r="163" s="2074" customFormat="1" spans="1:10">
      <c r="A163" s="2092"/>
      <c r="B163" s="2092"/>
      <c r="C163" s="2092"/>
      <c r="D163" s="2111"/>
      <c r="E163" s="2111"/>
      <c r="F163" s="2085"/>
      <c r="G163" s="2085"/>
      <c r="H163" s="2085"/>
      <c r="I163" s="2102"/>
      <c r="J163" s="2135" t="s">
        <v>706</v>
      </c>
    </row>
    <row r="164" s="2074" customFormat="1" spans="1:10">
      <c r="A164" s="2092"/>
      <c r="B164" s="2092"/>
      <c r="C164" s="2092"/>
      <c r="D164" s="2111"/>
      <c r="E164" s="2111"/>
      <c r="F164" s="2085"/>
      <c r="G164" s="2085"/>
      <c r="H164" s="2085"/>
      <c r="I164" s="2102"/>
      <c r="J164" s="2135" t="s">
        <v>706</v>
      </c>
    </row>
    <row r="165" s="2074" customFormat="1" spans="1:10">
      <c r="A165" s="2092"/>
      <c r="B165" s="2092"/>
      <c r="C165" s="2092"/>
      <c r="D165" s="2111"/>
      <c r="E165" s="2111"/>
      <c r="F165" s="2085"/>
      <c r="G165" s="2085"/>
      <c r="H165" s="2085"/>
      <c r="I165" s="2102"/>
      <c r="J165" s="2135" t="s">
        <v>706</v>
      </c>
    </row>
    <row r="166" s="2074" customFormat="1" spans="1:10">
      <c r="A166" s="2082" t="s">
        <v>676</v>
      </c>
      <c r="B166" s="2087"/>
      <c r="C166" s="2087"/>
      <c r="D166" s="2124"/>
      <c r="E166" s="2124"/>
      <c r="F166" s="2048">
        <f>ROUND(SUM(F156:F165),2)</f>
        <v>0</v>
      </c>
      <c r="G166" s="2048">
        <f>ROUND(SUM(G156:G165),2)</f>
        <v>0</v>
      </c>
      <c r="H166" s="2048">
        <f>ROUND(SUM(H156:H165),2)</f>
        <v>0</v>
      </c>
      <c r="I166" s="2102"/>
      <c r="J166" s="2135" t="s">
        <v>707</v>
      </c>
    </row>
    <row r="167" s="2074" customFormat="1" spans="1:10">
      <c r="A167" s="2087"/>
      <c r="B167" s="2087"/>
      <c r="C167" s="2087"/>
      <c r="D167" s="2124"/>
      <c r="E167" s="2124"/>
      <c r="F167" s="2124"/>
      <c r="G167" s="2124"/>
      <c r="H167" s="2124"/>
      <c r="I167" s="2102"/>
      <c r="J167" s="2135"/>
    </row>
    <row r="168" s="2074" customFormat="1" spans="1:10">
      <c r="A168" s="2084" t="s">
        <v>708</v>
      </c>
      <c r="B168" s="2124"/>
      <c r="C168" s="2124"/>
      <c r="D168" s="2124"/>
      <c r="E168" s="2124"/>
      <c r="F168" s="2124"/>
      <c r="G168" s="2124"/>
      <c r="H168" s="2124"/>
      <c r="I168" s="2102"/>
      <c r="J168" s="2135"/>
    </row>
    <row r="169" s="2074" customFormat="1" spans="1:10">
      <c r="A169" s="2092"/>
      <c r="B169" s="2092"/>
      <c r="C169" s="2092"/>
      <c r="D169" s="2111"/>
      <c r="E169" s="2111"/>
      <c r="F169" s="2085"/>
      <c r="G169" s="2085"/>
      <c r="H169" s="2085"/>
      <c r="I169" s="2102"/>
      <c r="J169" s="2135" t="s">
        <v>709</v>
      </c>
    </row>
    <row r="170" s="2074" customFormat="1" spans="1:10">
      <c r="A170" s="2092"/>
      <c r="B170" s="2092"/>
      <c r="C170" s="2092"/>
      <c r="D170" s="2111"/>
      <c r="E170" s="2111"/>
      <c r="F170" s="2085"/>
      <c r="G170" s="2085"/>
      <c r="H170" s="2085"/>
      <c r="I170" s="2102"/>
      <c r="J170" s="2135" t="s">
        <v>709</v>
      </c>
    </row>
    <row r="171" s="2074" customFormat="1" spans="1:10">
      <c r="A171" s="2092"/>
      <c r="B171" s="2092"/>
      <c r="C171" s="2092"/>
      <c r="D171" s="2111"/>
      <c r="E171" s="2111"/>
      <c r="F171" s="2085"/>
      <c r="G171" s="2085"/>
      <c r="H171" s="2085"/>
      <c r="I171" s="2102"/>
      <c r="J171" s="2135" t="s">
        <v>709</v>
      </c>
    </row>
    <row r="172" s="2074" customFormat="1" spans="1:10">
      <c r="A172" s="2092"/>
      <c r="B172" s="2092"/>
      <c r="C172" s="2092"/>
      <c r="D172" s="2111"/>
      <c r="E172" s="2111"/>
      <c r="F172" s="2085"/>
      <c r="G172" s="2085"/>
      <c r="H172" s="2085"/>
      <c r="I172" s="2102"/>
      <c r="J172" s="2135" t="s">
        <v>709</v>
      </c>
    </row>
    <row r="173" s="2074" customFormat="1" spans="1:10">
      <c r="A173" s="2092"/>
      <c r="B173" s="2092"/>
      <c r="C173" s="2092"/>
      <c r="D173" s="2111"/>
      <c r="E173" s="2111"/>
      <c r="F173" s="2085"/>
      <c r="G173" s="2085"/>
      <c r="H173" s="2085"/>
      <c r="I173" s="2102"/>
      <c r="J173" s="2135" t="s">
        <v>709</v>
      </c>
    </row>
    <row r="174" s="2074" customFormat="1" spans="1:10">
      <c r="A174" s="2092"/>
      <c r="B174" s="2092"/>
      <c r="C174" s="2092"/>
      <c r="D174" s="2111"/>
      <c r="E174" s="2111"/>
      <c r="F174" s="2085"/>
      <c r="G174" s="2085"/>
      <c r="H174" s="2085"/>
      <c r="I174" s="2102"/>
      <c r="J174" s="2135" t="s">
        <v>709</v>
      </c>
    </row>
    <row r="175" s="2074" customFormat="1" spans="1:10">
      <c r="A175" s="2092"/>
      <c r="B175" s="2092"/>
      <c r="C175" s="2092"/>
      <c r="D175" s="2111"/>
      <c r="E175" s="2111"/>
      <c r="F175" s="2085"/>
      <c r="G175" s="2085"/>
      <c r="H175" s="2085"/>
      <c r="I175" s="2102"/>
      <c r="J175" s="2135" t="s">
        <v>709</v>
      </c>
    </row>
    <row r="176" s="2074" customFormat="1" spans="1:10">
      <c r="A176" s="2092"/>
      <c r="B176" s="2092"/>
      <c r="C176" s="2092"/>
      <c r="D176" s="2111"/>
      <c r="E176" s="2111"/>
      <c r="F176" s="2085"/>
      <c r="G176" s="2085"/>
      <c r="H176" s="2085"/>
      <c r="I176" s="2102"/>
      <c r="J176" s="2135" t="s">
        <v>709</v>
      </c>
    </row>
    <row r="177" s="2074" customFormat="1" spans="1:10">
      <c r="A177" s="2092"/>
      <c r="B177" s="2092"/>
      <c r="C177" s="2092"/>
      <c r="D177" s="2111"/>
      <c r="E177" s="2111"/>
      <c r="F177" s="2085"/>
      <c r="G177" s="2085"/>
      <c r="H177" s="2085"/>
      <c r="I177" s="2102"/>
      <c r="J177" s="2135" t="s">
        <v>709</v>
      </c>
    </row>
    <row r="178" s="2074" customFormat="1" spans="1:10">
      <c r="A178" s="2092"/>
      <c r="B178" s="2092"/>
      <c r="C178" s="2092"/>
      <c r="D178" s="2111"/>
      <c r="E178" s="2111"/>
      <c r="F178" s="2085"/>
      <c r="G178" s="2085"/>
      <c r="H178" s="2085"/>
      <c r="I178" s="2102"/>
      <c r="J178" s="2135" t="s">
        <v>709</v>
      </c>
    </row>
    <row r="179" s="2074" customFormat="1" spans="1:10">
      <c r="A179" s="2082" t="s">
        <v>676</v>
      </c>
      <c r="B179" s="2087"/>
      <c r="C179" s="2087"/>
      <c r="D179" s="2124"/>
      <c r="E179" s="2124"/>
      <c r="F179" s="2048">
        <f>ROUND(SUM(F169:F178),2)</f>
        <v>0</v>
      </c>
      <c r="G179" s="2048">
        <f>ROUND(SUM(G169:G178),2)</f>
        <v>0</v>
      </c>
      <c r="H179" s="2048">
        <f>ROUND(SUM(H169:H178),2)</f>
        <v>0</v>
      </c>
      <c r="I179" s="2102"/>
      <c r="J179" s="2135" t="s">
        <v>710</v>
      </c>
    </row>
    <row r="180" s="2074" customFormat="1" spans="1:10">
      <c r="A180" s="2087"/>
      <c r="B180" s="2087"/>
      <c r="C180" s="2087"/>
      <c r="D180" s="2124"/>
      <c r="E180" s="2124"/>
      <c r="F180" s="2124"/>
      <c r="G180" s="2124"/>
      <c r="H180" s="2124"/>
      <c r="I180" s="2102"/>
      <c r="J180" s="2135"/>
    </row>
    <row r="181" s="2074" customFormat="1" spans="1:10">
      <c r="A181" s="2082" t="s">
        <v>384</v>
      </c>
      <c r="B181" s="2048"/>
      <c r="C181" s="2048"/>
      <c r="D181" s="2048"/>
      <c r="E181" s="2048"/>
      <c r="F181" s="2048">
        <f>ROUND(F166+F179,2)</f>
        <v>0</v>
      </c>
      <c r="G181" s="2048">
        <f>ROUND(G166+G179,2)</f>
        <v>0</v>
      </c>
      <c r="H181" s="2048">
        <f>ROUND(H166+H179,2)</f>
        <v>0</v>
      </c>
      <c r="I181" s="2100"/>
      <c r="J181" s="2135" t="s">
        <v>711</v>
      </c>
    </row>
    <row r="182" s="2074" customFormat="1" spans="1:10">
      <c r="A182" s="2136"/>
      <c r="B182" s="2126"/>
      <c r="C182" s="2126"/>
      <c r="D182" s="2126"/>
      <c r="E182" s="2126"/>
      <c r="F182" s="2126"/>
      <c r="G182" s="2126"/>
      <c r="H182" s="2126"/>
      <c r="I182" s="2126"/>
      <c r="J182" s="2078"/>
    </row>
    <row r="183" s="2074" customFormat="1" spans="1:10">
      <c r="A183" s="2136"/>
      <c r="B183" s="2126"/>
      <c r="C183" s="2126"/>
      <c r="D183" s="2126"/>
      <c r="E183" s="2126"/>
      <c r="F183" s="2126"/>
      <c r="G183" s="2126"/>
      <c r="H183" s="2126"/>
      <c r="I183" s="2126"/>
      <c r="J183" s="2078"/>
    </row>
    <row r="184" s="2074" customFormat="1" spans="1:10">
      <c r="A184" s="2134" t="s">
        <v>712</v>
      </c>
      <c r="B184" s="2126"/>
      <c r="C184" s="2126"/>
      <c r="D184" s="2126"/>
      <c r="E184" s="2126"/>
      <c r="F184" s="2126"/>
      <c r="G184" s="2126"/>
      <c r="H184" s="2126"/>
      <c r="I184" s="2126"/>
      <c r="J184" s="2078"/>
    </row>
    <row r="185" s="2074" customFormat="1" spans="1:10">
      <c r="A185" s="2127" t="s">
        <v>713</v>
      </c>
      <c r="B185" s="2126"/>
      <c r="C185" s="2126"/>
      <c r="D185" s="2126"/>
      <c r="E185" s="2126"/>
      <c r="F185" s="2126"/>
      <c r="G185" s="2126"/>
      <c r="H185" s="2126"/>
      <c r="I185" s="2126"/>
      <c r="J185" s="2078"/>
    </row>
    <row r="186" s="2074" customFormat="1" spans="1:10">
      <c r="A186" s="2082" t="s">
        <v>372</v>
      </c>
      <c r="B186" s="2082" t="s">
        <v>316</v>
      </c>
      <c r="C186" s="2082" t="s">
        <v>581</v>
      </c>
      <c r="D186" s="2082" t="s">
        <v>582</v>
      </c>
      <c r="E186" s="2082" t="s">
        <v>315</v>
      </c>
      <c r="F186" s="2126"/>
      <c r="G186" s="2126"/>
      <c r="H186" s="2126"/>
      <c r="I186" s="2126"/>
      <c r="J186" s="2078"/>
    </row>
    <row r="187" s="2074" customFormat="1" spans="1:10">
      <c r="A187" s="2129" t="s">
        <v>714</v>
      </c>
      <c r="B187" s="2048">
        <f>ROUND(B188+B189,2)</f>
        <v>0</v>
      </c>
      <c r="C187" s="2048">
        <f>ROUND(C188+C189,2)</f>
        <v>0</v>
      </c>
      <c r="D187" s="2048">
        <f>ROUND(D188+D189,2)</f>
        <v>0</v>
      </c>
      <c r="E187" s="2048">
        <f>ROUND(E188+E189,2)</f>
        <v>0</v>
      </c>
      <c r="F187" s="2126"/>
      <c r="G187" s="2126"/>
      <c r="H187" s="2126"/>
      <c r="I187" s="2126"/>
      <c r="J187" s="2135" t="s">
        <v>715</v>
      </c>
    </row>
    <row r="188" s="2074" customFormat="1" spans="1:10">
      <c r="A188" s="2137" t="s">
        <v>716</v>
      </c>
      <c r="B188" s="2085"/>
      <c r="C188" s="2085"/>
      <c r="D188" s="2085"/>
      <c r="E188" s="2048">
        <f>ROUND(B188+C188-D188,2)</f>
        <v>0</v>
      </c>
      <c r="F188" s="2126"/>
      <c r="G188" s="2126"/>
      <c r="H188" s="2126"/>
      <c r="I188" s="2126"/>
      <c r="J188" s="2135" t="s">
        <v>717</v>
      </c>
    </row>
    <row r="189" s="2074" customFormat="1" spans="1:10">
      <c r="A189" s="2137" t="s">
        <v>718</v>
      </c>
      <c r="B189" s="2085"/>
      <c r="C189" s="2085"/>
      <c r="D189" s="2085"/>
      <c r="E189" s="2048">
        <f>ROUND(B189+C189-D189,2)</f>
        <v>0</v>
      </c>
      <c r="F189" s="2126"/>
      <c r="G189" s="2126"/>
      <c r="H189" s="2126"/>
      <c r="I189" s="2126"/>
      <c r="J189" s="2135" t="s">
        <v>719</v>
      </c>
    </row>
    <row r="190" s="2074" customFormat="1" spans="1:10">
      <c r="A190" s="2137"/>
      <c r="B190" s="2137"/>
      <c r="C190" s="2137"/>
      <c r="D190" s="2137"/>
      <c r="E190" s="2137"/>
      <c r="F190" s="2126"/>
      <c r="G190" s="2126"/>
      <c r="H190" s="2126"/>
      <c r="I190" s="2126"/>
      <c r="J190" s="2078"/>
    </row>
    <row r="191" s="2074" customFormat="1" spans="1:10">
      <c r="A191" s="2129" t="s">
        <v>720</v>
      </c>
      <c r="B191" s="2048">
        <f>ROUND(B192+B193,2)</f>
        <v>0</v>
      </c>
      <c r="C191" s="2048">
        <f>ROUND(C192+C193,2)</f>
        <v>0</v>
      </c>
      <c r="D191" s="2048">
        <f>ROUND(D192+D193,2)</f>
        <v>0</v>
      </c>
      <c r="E191" s="2048">
        <f>ROUND(E192+E193,2)</f>
        <v>0</v>
      </c>
      <c r="F191" s="2126"/>
      <c r="G191" s="2126"/>
      <c r="H191" s="2126"/>
      <c r="I191" s="2126"/>
      <c r="J191" s="2135" t="s">
        <v>721</v>
      </c>
    </row>
    <row r="192" s="2074" customFormat="1" spans="1:10">
      <c r="A192" s="2137" t="s">
        <v>716</v>
      </c>
      <c r="B192" s="2085"/>
      <c r="C192" s="2085"/>
      <c r="D192" s="2085"/>
      <c r="E192" s="2048">
        <f>ROUND(B192+C192-D192,2)</f>
        <v>0</v>
      </c>
      <c r="F192" s="2126"/>
      <c r="G192" s="2126"/>
      <c r="H192" s="2126"/>
      <c r="I192" s="2126"/>
      <c r="J192" s="2135" t="s">
        <v>722</v>
      </c>
    </row>
    <row r="193" s="2074" customFormat="1" spans="1:10">
      <c r="A193" s="2137" t="s">
        <v>718</v>
      </c>
      <c r="B193" s="2085"/>
      <c r="C193" s="2085"/>
      <c r="D193" s="2085"/>
      <c r="E193" s="2048">
        <f>ROUND(B193+C193-D193,2)</f>
        <v>0</v>
      </c>
      <c r="F193" s="2126"/>
      <c r="G193" s="2126"/>
      <c r="H193" s="2126"/>
      <c r="I193" s="2126"/>
      <c r="J193" s="2135" t="s">
        <v>723</v>
      </c>
    </row>
    <row r="194" s="2074" customFormat="1" spans="1:10">
      <c r="A194" s="2137"/>
      <c r="B194" s="2137"/>
      <c r="C194" s="2137"/>
      <c r="D194" s="2137"/>
      <c r="E194" s="2137"/>
      <c r="F194" s="2126"/>
      <c r="G194" s="2126"/>
      <c r="H194" s="2126"/>
      <c r="I194" s="2126"/>
      <c r="J194" s="2078"/>
    </row>
    <row r="195" s="2074" customFormat="1" spans="1:10">
      <c r="A195" s="2129" t="s">
        <v>724</v>
      </c>
      <c r="B195" s="2048">
        <f>ROUND(B196+B197,2)</f>
        <v>0</v>
      </c>
      <c r="C195" s="2048">
        <f>ROUND(C196+C197,2)</f>
        <v>0</v>
      </c>
      <c r="D195" s="2048">
        <f>ROUND(D196+D197,2)</f>
        <v>0</v>
      </c>
      <c r="E195" s="2048">
        <f>ROUND(E196+E197,2)</f>
        <v>0</v>
      </c>
      <c r="F195" s="2126"/>
      <c r="G195" s="2126"/>
      <c r="H195" s="2126"/>
      <c r="I195" s="2126"/>
      <c r="J195" s="2135" t="s">
        <v>725</v>
      </c>
    </row>
    <row r="196" s="2074" customFormat="1" spans="1:10">
      <c r="A196" s="2137" t="s">
        <v>716</v>
      </c>
      <c r="B196" s="2085"/>
      <c r="C196" s="2085"/>
      <c r="D196" s="2085"/>
      <c r="E196" s="2048">
        <f>ROUND(B196+C196-D196,2)</f>
        <v>0</v>
      </c>
      <c r="F196" s="2126"/>
      <c r="G196" s="2126"/>
      <c r="H196" s="2126"/>
      <c r="I196" s="2126"/>
      <c r="J196" s="2135" t="s">
        <v>726</v>
      </c>
    </row>
    <row r="197" s="2074" customFormat="1" spans="1:10">
      <c r="A197" s="2137" t="s">
        <v>718</v>
      </c>
      <c r="B197" s="2085"/>
      <c r="C197" s="2085"/>
      <c r="D197" s="2085"/>
      <c r="E197" s="2048">
        <f>ROUND(B197+C197-D197,2)</f>
        <v>0</v>
      </c>
      <c r="F197" s="2126"/>
      <c r="G197" s="2126"/>
      <c r="H197" s="2126"/>
      <c r="I197" s="2126"/>
      <c r="J197" s="2135" t="s">
        <v>727</v>
      </c>
    </row>
    <row r="198" s="2074" customFormat="1" spans="1:10">
      <c r="A198" s="2137"/>
      <c r="B198" s="2137"/>
      <c r="C198" s="2137"/>
      <c r="D198" s="2137"/>
      <c r="E198" s="2137"/>
      <c r="F198" s="2126"/>
      <c r="G198" s="2126"/>
      <c r="H198" s="2126"/>
      <c r="I198" s="2126"/>
      <c r="J198" s="2078"/>
    </row>
    <row r="199" s="2074" customFormat="1" spans="1:10">
      <c r="A199" s="2129" t="s">
        <v>728</v>
      </c>
      <c r="B199" s="2048">
        <f>ROUND(B187-B191-B195,2)</f>
        <v>0</v>
      </c>
      <c r="C199" s="2048">
        <f>ROUND(C187-C191-C195,2)</f>
        <v>0</v>
      </c>
      <c r="D199" s="2048">
        <f>ROUND(D187-D191-D195,2)</f>
        <v>0</v>
      </c>
      <c r="E199" s="2048">
        <f>ROUND(E187-E191-E195,2)</f>
        <v>0</v>
      </c>
      <c r="F199" s="2126"/>
      <c r="G199" s="2126"/>
      <c r="H199" s="2126"/>
      <c r="I199" s="2126"/>
      <c r="J199" s="2078"/>
    </row>
    <row r="200" s="2074" customFormat="1" spans="1:10">
      <c r="A200" s="2137" t="s">
        <v>716</v>
      </c>
      <c r="B200" s="1830">
        <f t="shared" ref="B200:D201" si="8">ROUND(B188-B192-B196,2)</f>
        <v>0</v>
      </c>
      <c r="C200" s="1830">
        <f t="shared" si="8"/>
        <v>0</v>
      </c>
      <c r="D200" s="1830">
        <f t="shared" si="8"/>
        <v>0</v>
      </c>
      <c r="E200" s="2048">
        <f>ROUND(B200+C200-D200,2)</f>
        <v>0</v>
      </c>
      <c r="F200" s="2126"/>
      <c r="G200" s="2126"/>
      <c r="H200" s="2126"/>
      <c r="I200" s="2126"/>
      <c r="J200" s="2078"/>
    </row>
    <row r="201" s="2074" customFormat="1" spans="1:10">
      <c r="A201" s="2137" t="s">
        <v>718</v>
      </c>
      <c r="B201" s="1830">
        <f t="shared" si="8"/>
        <v>0</v>
      </c>
      <c r="C201" s="1830">
        <f t="shared" si="8"/>
        <v>0</v>
      </c>
      <c r="D201" s="1830">
        <f t="shared" si="8"/>
        <v>0</v>
      </c>
      <c r="E201" s="2048">
        <f>ROUND(B201+C201-D201,2)</f>
        <v>0</v>
      </c>
      <c r="F201" s="2126"/>
      <c r="G201" s="2126"/>
      <c r="H201" s="2126"/>
      <c r="I201" s="2126"/>
      <c r="J201" s="2078"/>
    </row>
    <row r="202" s="2074" customFormat="1" spans="1:10">
      <c r="A202" s="2132"/>
      <c r="B202" s="2094"/>
      <c r="C202" s="2094"/>
      <c r="D202" s="2094"/>
      <c r="E202" s="2094"/>
      <c r="F202" s="2126"/>
      <c r="G202" s="2126"/>
      <c r="H202" s="2126"/>
      <c r="I202" s="2126"/>
      <c r="J202" s="2078"/>
    </row>
    <row r="203" s="2074" customFormat="1" spans="1:10">
      <c r="A203" s="2096" t="s">
        <v>729</v>
      </c>
      <c r="B203" s="2126"/>
      <c r="C203" s="2126"/>
      <c r="D203" s="2126"/>
      <c r="E203" s="2126"/>
      <c r="F203" s="2126"/>
      <c r="G203" s="2126"/>
      <c r="H203" s="2126"/>
      <c r="I203" s="2126"/>
      <c r="J203" s="2078"/>
    </row>
    <row r="204" s="2074" customFormat="1" spans="1:10">
      <c r="A204" s="2082" t="s">
        <v>372</v>
      </c>
      <c r="B204" s="2082" t="s">
        <v>374</v>
      </c>
      <c r="C204" s="2082" t="s">
        <v>581</v>
      </c>
      <c r="D204" s="2082" t="s">
        <v>582</v>
      </c>
      <c r="E204" s="2082" t="s">
        <v>373</v>
      </c>
      <c r="F204" s="2108" t="s">
        <v>730</v>
      </c>
      <c r="G204" s="2128"/>
      <c r="H204" s="2128"/>
      <c r="I204" s="2128"/>
      <c r="J204" s="2078"/>
    </row>
    <row r="205" s="2074" customFormat="1" spans="1:10">
      <c r="A205" s="2129" t="s">
        <v>714</v>
      </c>
      <c r="B205" s="2048">
        <f>ROUND(B206+B207,2)</f>
        <v>0</v>
      </c>
      <c r="C205" s="2048">
        <f>ROUND(C206+C207,2)</f>
        <v>0</v>
      </c>
      <c r="D205" s="2048">
        <f>ROUND(D206+D207,2)</f>
        <v>0</v>
      </c>
      <c r="E205" s="2048">
        <f>ROUND(E206+E207,2)</f>
        <v>0</v>
      </c>
      <c r="F205" s="2124"/>
      <c r="G205" s="2102"/>
      <c r="H205" s="2102"/>
      <c r="I205" s="2102"/>
      <c r="J205" s="2135" t="s">
        <v>731</v>
      </c>
    </row>
    <row r="206" s="2074" customFormat="1" spans="1:10">
      <c r="A206" s="2137" t="s">
        <v>716</v>
      </c>
      <c r="B206" s="2085"/>
      <c r="C206" s="2085"/>
      <c r="D206" s="2085"/>
      <c r="E206" s="2048">
        <f>ROUND(B206+C206-D206,2)</f>
        <v>0</v>
      </c>
      <c r="F206" s="2092"/>
      <c r="G206" s="2102"/>
      <c r="H206" s="2102"/>
      <c r="I206" s="2102"/>
      <c r="J206" s="2135" t="s">
        <v>732</v>
      </c>
    </row>
    <row r="207" s="2074" customFormat="1" spans="1:10">
      <c r="A207" s="2137" t="s">
        <v>718</v>
      </c>
      <c r="B207" s="2085"/>
      <c r="C207" s="2085"/>
      <c r="D207" s="2085"/>
      <c r="E207" s="2048">
        <f>ROUND(B207+C207-D207,2)</f>
        <v>0</v>
      </c>
      <c r="F207" s="2092"/>
      <c r="G207" s="2102"/>
      <c r="H207" s="2102"/>
      <c r="I207" s="2102"/>
      <c r="J207" s="2135" t="s">
        <v>733</v>
      </c>
    </row>
    <row r="208" s="2074" customFormat="1" spans="1:10">
      <c r="A208" s="2137"/>
      <c r="B208" s="2137"/>
      <c r="C208" s="2137"/>
      <c r="D208" s="2137"/>
      <c r="E208" s="2137"/>
      <c r="F208" s="2137"/>
      <c r="G208" s="2102"/>
      <c r="H208" s="2102"/>
      <c r="I208" s="2102"/>
      <c r="J208" s="2078"/>
    </row>
    <row r="209" s="2074" customFormat="1" spans="1:10">
      <c r="A209" s="2129" t="s">
        <v>720</v>
      </c>
      <c r="B209" s="2048">
        <f>ROUND(B210+B211,2)</f>
        <v>0</v>
      </c>
      <c r="C209" s="2048">
        <f>ROUND(C210+C211,2)</f>
        <v>0</v>
      </c>
      <c r="D209" s="2048">
        <f>ROUND(D210+D211,2)</f>
        <v>0</v>
      </c>
      <c r="E209" s="2048">
        <f>ROUND(E210+E211,2)</f>
        <v>0</v>
      </c>
      <c r="F209" s="2124"/>
      <c r="G209" s="2102"/>
      <c r="H209" s="2102"/>
      <c r="I209" s="2102"/>
      <c r="J209" s="2135" t="s">
        <v>734</v>
      </c>
    </row>
    <row r="210" s="2074" customFormat="1" spans="1:10">
      <c r="A210" s="2137" t="s">
        <v>716</v>
      </c>
      <c r="B210" s="2085"/>
      <c r="C210" s="2085"/>
      <c r="D210" s="2085"/>
      <c r="E210" s="2048">
        <f>ROUND(B210+C210-D210,2)</f>
        <v>0</v>
      </c>
      <c r="F210" s="2124"/>
      <c r="G210" s="2102"/>
      <c r="H210" s="2102"/>
      <c r="I210" s="2102"/>
      <c r="J210" s="2135" t="s">
        <v>735</v>
      </c>
    </row>
    <row r="211" s="2074" customFormat="1" spans="1:10">
      <c r="A211" s="2137" t="s">
        <v>718</v>
      </c>
      <c r="B211" s="2085"/>
      <c r="C211" s="2085"/>
      <c r="D211" s="2085"/>
      <c r="E211" s="2048">
        <f>ROUND(B211+C211-D211,2)</f>
        <v>0</v>
      </c>
      <c r="F211" s="2124"/>
      <c r="G211" s="2102"/>
      <c r="H211" s="2102"/>
      <c r="I211" s="2102"/>
      <c r="J211" s="2135" t="s">
        <v>736</v>
      </c>
    </row>
    <row r="212" s="2074" customFormat="1" spans="1:10">
      <c r="A212" s="2137"/>
      <c r="B212" s="2137"/>
      <c r="C212" s="2137"/>
      <c r="D212" s="2137"/>
      <c r="E212" s="2137"/>
      <c r="F212" s="2137"/>
      <c r="G212" s="2102"/>
      <c r="H212" s="2102"/>
      <c r="I212" s="2102"/>
      <c r="J212" s="2078"/>
    </row>
    <row r="213" s="2074" customFormat="1" spans="1:10">
      <c r="A213" s="2129" t="s">
        <v>724</v>
      </c>
      <c r="B213" s="2048">
        <f>ROUND(B214+B215,2)</f>
        <v>0</v>
      </c>
      <c r="C213" s="2048">
        <f>ROUND(C214+C215,2)</f>
        <v>0</v>
      </c>
      <c r="D213" s="2048">
        <f>ROUND(D214+D215,2)</f>
        <v>0</v>
      </c>
      <c r="E213" s="2048">
        <f>ROUND(E214+E215,2)</f>
        <v>0</v>
      </c>
      <c r="F213" s="2124"/>
      <c r="G213" s="2102"/>
      <c r="H213" s="2102"/>
      <c r="I213" s="2102"/>
      <c r="J213" s="2135" t="s">
        <v>737</v>
      </c>
    </row>
    <row r="214" s="2074" customFormat="1" spans="1:10">
      <c r="A214" s="2137" t="s">
        <v>716</v>
      </c>
      <c r="B214" s="2085"/>
      <c r="C214" s="2085"/>
      <c r="D214" s="2085"/>
      <c r="E214" s="2048">
        <f>ROUND(B214+C214-D214,2)</f>
        <v>0</v>
      </c>
      <c r="F214" s="2124"/>
      <c r="G214" s="2102"/>
      <c r="H214" s="2102"/>
      <c r="I214" s="2102"/>
      <c r="J214" s="2135" t="s">
        <v>738</v>
      </c>
    </row>
    <row r="215" s="2074" customFormat="1" spans="1:10">
      <c r="A215" s="2137" t="s">
        <v>718</v>
      </c>
      <c r="B215" s="2085"/>
      <c r="C215" s="2085"/>
      <c r="D215" s="2085"/>
      <c r="E215" s="2048">
        <f>ROUND(B215+C215-D215,2)</f>
        <v>0</v>
      </c>
      <c r="F215" s="2124"/>
      <c r="G215" s="2102"/>
      <c r="H215" s="2102"/>
      <c r="I215" s="2102"/>
      <c r="J215" s="2135" t="s">
        <v>739</v>
      </c>
    </row>
    <row r="216" s="2074" customFormat="1" spans="1:10">
      <c r="A216" s="2137"/>
      <c r="B216" s="2137"/>
      <c r="C216" s="2137"/>
      <c r="D216" s="2137"/>
      <c r="E216" s="2137"/>
      <c r="F216" s="2137"/>
      <c r="G216" s="2132"/>
      <c r="H216" s="2132"/>
      <c r="I216" s="2132"/>
      <c r="J216" s="2078"/>
    </row>
    <row r="217" s="2074" customFormat="1" spans="1:10">
      <c r="A217" s="2129" t="s">
        <v>728</v>
      </c>
      <c r="B217" s="2048">
        <f>ROUND(B205-B209-B213,2)</f>
        <v>0</v>
      </c>
      <c r="C217" s="2048">
        <f>ROUND(C205-C209-C213,2)</f>
        <v>0</v>
      </c>
      <c r="D217" s="2048">
        <f>ROUND(D205-D209-D213,2)</f>
        <v>0</v>
      </c>
      <c r="E217" s="2048">
        <f>ROUND(E205-E209-E213,2)</f>
        <v>0</v>
      </c>
      <c r="F217" s="2124"/>
      <c r="G217" s="2102"/>
      <c r="H217" s="2102"/>
      <c r="I217" s="2102"/>
      <c r="J217" s="2078"/>
    </row>
    <row r="218" s="2074" customFormat="1" spans="1:10">
      <c r="A218" s="2137" t="s">
        <v>716</v>
      </c>
      <c r="B218" s="1830">
        <f t="shared" ref="B218:D219" si="9">ROUND(B206-B210-B214,2)</f>
        <v>0</v>
      </c>
      <c r="C218" s="1830">
        <f t="shared" si="9"/>
        <v>0</v>
      </c>
      <c r="D218" s="1830">
        <f t="shared" si="9"/>
        <v>0</v>
      </c>
      <c r="E218" s="2048">
        <f>ROUND(B218+C218-D218,2)</f>
        <v>0</v>
      </c>
      <c r="F218" s="2124"/>
      <c r="G218" s="2102"/>
      <c r="H218" s="2102"/>
      <c r="I218" s="2102"/>
      <c r="J218" s="2078"/>
    </row>
    <row r="219" s="2074" customFormat="1" spans="1:10">
      <c r="A219" s="2137" t="s">
        <v>718</v>
      </c>
      <c r="B219" s="1830">
        <f t="shared" si="9"/>
        <v>0</v>
      </c>
      <c r="C219" s="1830">
        <f t="shared" si="9"/>
        <v>0</v>
      </c>
      <c r="D219" s="1830">
        <f t="shared" si="9"/>
        <v>0</v>
      </c>
      <c r="E219" s="2048">
        <f>ROUND(B219+C219-D219,2)</f>
        <v>0</v>
      </c>
      <c r="F219" s="2124"/>
      <c r="G219" s="2102"/>
      <c r="H219" s="2102"/>
      <c r="I219" s="2102"/>
      <c r="J219" s="2078"/>
    </row>
    <row r="220" s="2074" customFormat="1" spans="1:10">
      <c r="A220" s="2138"/>
      <c r="B220" s="2126"/>
      <c r="C220" s="2126"/>
      <c r="D220" s="2126"/>
      <c r="E220" s="2126"/>
      <c r="F220" s="2126"/>
      <c r="G220" s="2126"/>
      <c r="H220" s="2126"/>
      <c r="I220" s="2126"/>
      <c r="J220" s="2078"/>
    </row>
    <row r="221" s="2074" customFormat="1" spans="1:10">
      <c r="A221" s="2096" t="s">
        <v>740</v>
      </c>
      <c r="B221" s="2126"/>
      <c r="C221" s="2126"/>
      <c r="D221" s="2126"/>
      <c r="E221" s="2126"/>
      <c r="F221" s="2126"/>
      <c r="G221" s="2126"/>
      <c r="H221" s="2126"/>
      <c r="I221" s="2126"/>
      <c r="J221" s="2078"/>
    </row>
    <row r="222" s="2074" customFormat="1" spans="1:10">
      <c r="A222" s="2082" t="s">
        <v>741</v>
      </c>
      <c r="B222" s="2082" t="s">
        <v>742</v>
      </c>
      <c r="C222" s="2082" t="s">
        <v>743</v>
      </c>
      <c r="D222" s="2082" t="s">
        <v>744</v>
      </c>
      <c r="E222" s="2082" t="s">
        <v>745</v>
      </c>
      <c r="F222" s="2082" t="s">
        <v>746</v>
      </c>
      <c r="G222" s="2099"/>
      <c r="H222" s="2099"/>
      <c r="I222" s="2099"/>
      <c r="J222" s="2078"/>
    </row>
    <row r="223" s="2074" customFormat="1" spans="1:10">
      <c r="A223" s="2092"/>
      <c r="B223" s="2092"/>
      <c r="C223" s="2085"/>
      <c r="D223" s="2085"/>
      <c r="E223" s="2085"/>
      <c r="F223" s="2092"/>
      <c r="G223" s="2099"/>
      <c r="H223" s="2099"/>
      <c r="I223" s="2099"/>
      <c r="J223" s="2135" t="s">
        <v>747</v>
      </c>
    </row>
    <row r="224" s="2074" customFormat="1" spans="1:10">
      <c r="A224" s="2092"/>
      <c r="B224" s="2092"/>
      <c r="C224" s="2085"/>
      <c r="D224" s="2085"/>
      <c r="E224" s="2085"/>
      <c r="F224" s="2092"/>
      <c r="G224" s="2099"/>
      <c r="H224" s="2099"/>
      <c r="I224" s="2099"/>
      <c r="J224" s="2135" t="s">
        <v>747</v>
      </c>
    </row>
    <row r="225" s="2074" customFormat="1" spans="1:10">
      <c r="A225" s="2092"/>
      <c r="B225" s="2092"/>
      <c r="C225" s="2085"/>
      <c r="D225" s="2085"/>
      <c r="E225" s="2085"/>
      <c r="F225" s="2092"/>
      <c r="G225" s="2099"/>
      <c r="H225" s="2099"/>
      <c r="I225" s="2099"/>
      <c r="J225" s="2135" t="s">
        <v>747</v>
      </c>
    </row>
    <row r="226" s="2074" customFormat="1" spans="1:10">
      <c r="A226" s="2092"/>
      <c r="B226" s="2092"/>
      <c r="C226" s="2085"/>
      <c r="D226" s="2085"/>
      <c r="E226" s="2085"/>
      <c r="F226" s="2092"/>
      <c r="G226" s="2099"/>
      <c r="H226" s="2099"/>
      <c r="I226" s="2099"/>
      <c r="J226" s="2135" t="s">
        <v>747</v>
      </c>
    </row>
    <row r="227" s="2074" customFormat="1" spans="1:10">
      <c r="A227" s="2092"/>
      <c r="B227" s="2092"/>
      <c r="C227" s="2085"/>
      <c r="D227" s="2085"/>
      <c r="E227" s="2085"/>
      <c r="F227" s="2092"/>
      <c r="G227" s="2099"/>
      <c r="H227" s="2099"/>
      <c r="I227" s="2099"/>
      <c r="J227" s="2135" t="s">
        <v>747</v>
      </c>
    </row>
    <row r="228" s="2074" customFormat="1" spans="1:10">
      <c r="A228" s="2092"/>
      <c r="B228" s="2092"/>
      <c r="C228" s="2085"/>
      <c r="D228" s="2085"/>
      <c r="E228" s="2085"/>
      <c r="F228" s="2092"/>
      <c r="G228" s="2099"/>
      <c r="H228" s="2099"/>
      <c r="I228" s="2099"/>
      <c r="J228" s="2135" t="s">
        <v>747</v>
      </c>
    </row>
    <row r="229" s="2074" customFormat="1" spans="1:10">
      <c r="A229" s="2092"/>
      <c r="B229" s="2092"/>
      <c r="C229" s="2085"/>
      <c r="D229" s="2085"/>
      <c r="E229" s="2085"/>
      <c r="F229" s="2092"/>
      <c r="G229" s="2099"/>
      <c r="H229" s="2099"/>
      <c r="I229" s="2099"/>
      <c r="J229" s="2135" t="s">
        <v>747</v>
      </c>
    </row>
    <row r="230" s="2074" customFormat="1" spans="1:10">
      <c r="A230" s="2092"/>
      <c r="B230" s="2092"/>
      <c r="C230" s="2085"/>
      <c r="D230" s="2085"/>
      <c r="E230" s="2085"/>
      <c r="F230" s="2092"/>
      <c r="G230" s="2099"/>
      <c r="H230" s="2099"/>
      <c r="I230" s="2099"/>
      <c r="J230" s="2135" t="s">
        <v>747</v>
      </c>
    </row>
    <row r="231" s="2074" customFormat="1" spans="1:10">
      <c r="A231" s="2092"/>
      <c r="B231" s="2092"/>
      <c r="C231" s="2085"/>
      <c r="D231" s="2085"/>
      <c r="E231" s="2085"/>
      <c r="F231" s="2092"/>
      <c r="G231" s="2099"/>
      <c r="H231" s="2099"/>
      <c r="I231" s="2099"/>
      <c r="J231" s="2135" t="s">
        <v>747</v>
      </c>
    </row>
    <row r="232" s="2074" customFormat="1" spans="1:10">
      <c r="A232" s="2092"/>
      <c r="B232" s="2092"/>
      <c r="C232" s="2085"/>
      <c r="D232" s="2085"/>
      <c r="E232" s="2085"/>
      <c r="F232" s="2092"/>
      <c r="G232" s="2099"/>
      <c r="H232" s="2099"/>
      <c r="I232" s="2099"/>
      <c r="J232" s="2135" t="s">
        <v>747</v>
      </c>
    </row>
    <row r="233" s="2074" customFormat="1" spans="1:10">
      <c r="A233" s="2082" t="s">
        <v>384</v>
      </c>
      <c r="B233" s="2137"/>
      <c r="C233" s="2048">
        <f>ROUND(SUM(C223:C232),2)</f>
        <v>0</v>
      </c>
      <c r="D233" s="2048">
        <f>ROUND(SUM(D223:D232),2)</f>
        <v>0</v>
      </c>
      <c r="E233" s="2048">
        <f>ROUND(SUM(E223:E232),2)</f>
        <v>0</v>
      </c>
      <c r="F233" s="2048"/>
      <c r="G233" s="2100"/>
      <c r="H233" s="2100"/>
      <c r="I233" s="2100"/>
      <c r="J233" s="2135" t="s">
        <v>748</v>
      </c>
    </row>
    <row r="234" s="2074" customFormat="1" spans="1:10">
      <c r="A234" s="2138"/>
      <c r="B234" s="2126"/>
      <c r="C234" s="2126"/>
      <c r="D234" s="2126"/>
      <c r="E234" s="2126"/>
      <c r="F234" s="2126"/>
      <c r="G234" s="2126"/>
      <c r="H234" s="2126"/>
      <c r="I234" s="2126"/>
      <c r="J234" s="2078"/>
    </row>
    <row r="235" s="2074" customFormat="1" spans="1:10">
      <c r="A235" s="2138"/>
      <c r="B235" s="2126"/>
      <c r="C235" s="2126"/>
      <c r="D235" s="2126"/>
      <c r="E235" s="2126"/>
      <c r="F235" s="2126"/>
      <c r="G235" s="2126"/>
      <c r="H235" s="2126"/>
      <c r="I235" s="2126"/>
      <c r="J235" s="2078"/>
    </row>
    <row r="236" s="2074" customFormat="1" spans="1:10">
      <c r="A236" s="2134" t="s">
        <v>749</v>
      </c>
      <c r="B236" s="2126"/>
      <c r="C236" s="2126"/>
      <c r="D236" s="2126"/>
      <c r="E236" s="2126"/>
      <c r="F236" s="2126"/>
      <c r="G236" s="2126"/>
      <c r="H236" s="2126"/>
      <c r="I236" s="2126"/>
      <c r="J236" s="2078"/>
    </row>
    <row r="237" s="2074" customFormat="1" spans="1:10">
      <c r="A237" s="2133" t="s">
        <v>750</v>
      </c>
      <c r="B237" s="2126"/>
      <c r="C237" s="2126"/>
      <c r="D237" s="2126"/>
      <c r="E237" s="2126"/>
      <c r="F237" s="2126"/>
      <c r="G237" s="2126"/>
      <c r="H237" s="2126"/>
      <c r="I237" s="2126"/>
      <c r="J237" s="2078"/>
    </row>
    <row r="238" s="2074" customFormat="1" spans="1:10">
      <c r="A238" s="2082" t="s">
        <v>372</v>
      </c>
      <c r="B238" s="2082" t="s">
        <v>316</v>
      </c>
      <c r="C238" s="2082" t="s">
        <v>581</v>
      </c>
      <c r="D238" s="2082" t="s">
        <v>582</v>
      </c>
      <c r="E238" s="2082" t="s">
        <v>315</v>
      </c>
      <c r="F238" s="2126"/>
      <c r="G238" s="2126"/>
      <c r="H238" s="2126"/>
      <c r="I238" s="2126"/>
      <c r="J238" s="2078"/>
    </row>
    <row r="239" s="2074" customFormat="1" spans="1:10">
      <c r="A239" s="2129" t="s">
        <v>714</v>
      </c>
      <c r="B239" s="2048">
        <f>ROUND(SUM(B240:B243),2)</f>
        <v>0</v>
      </c>
      <c r="C239" s="2048">
        <f>ROUND(SUM(C240:C243),2)</f>
        <v>0</v>
      </c>
      <c r="D239" s="2048">
        <f>ROUND(SUM(D240:D243),2)</f>
        <v>0</v>
      </c>
      <c r="E239" s="2048">
        <f>ROUND(SUM(E240:E243),2)</f>
        <v>0</v>
      </c>
      <c r="F239" s="2126"/>
      <c r="G239" s="2126"/>
      <c r="H239" s="2126"/>
      <c r="I239" s="2126"/>
      <c r="J239" s="2135" t="s">
        <v>751</v>
      </c>
    </row>
    <row r="240" s="2074" customFormat="1" spans="1:10">
      <c r="A240" s="2137" t="s">
        <v>716</v>
      </c>
      <c r="B240" s="2085"/>
      <c r="C240" s="2085"/>
      <c r="D240" s="2085"/>
      <c r="E240" s="2048">
        <f>ROUND(B240+C240-D240,2)</f>
        <v>0</v>
      </c>
      <c r="F240" s="2126"/>
      <c r="G240" s="2126"/>
      <c r="H240" s="2126"/>
      <c r="I240" s="2126"/>
      <c r="J240" s="2135" t="s">
        <v>752</v>
      </c>
    </row>
    <row r="241" s="2074" customFormat="1" spans="1:10">
      <c r="A241" s="2137" t="s">
        <v>753</v>
      </c>
      <c r="B241" s="2085"/>
      <c r="C241" s="2085"/>
      <c r="D241" s="2085"/>
      <c r="E241" s="2048">
        <f>ROUND(B241+C241-D241,2)</f>
        <v>0</v>
      </c>
      <c r="F241" s="2126"/>
      <c r="G241" s="2126"/>
      <c r="H241" s="2126"/>
      <c r="I241" s="2126"/>
      <c r="J241" s="2135" t="s">
        <v>754</v>
      </c>
    </row>
    <row r="242" s="2074" customFormat="1" spans="1:10">
      <c r="A242" s="2137" t="s">
        <v>755</v>
      </c>
      <c r="B242" s="2085"/>
      <c r="C242" s="2085"/>
      <c r="D242" s="2085"/>
      <c r="E242" s="2048">
        <f>ROUND(B242+C242-D242,2)</f>
        <v>0</v>
      </c>
      <c r="F242" s="2126"/>
      <c r="G242" s="2126"/>
      <c r="H242" s="2126"/>
      <c r="I242" s="2126"/>
      <c r="J242" s="2135" t="s">
        <v>756</v>
      </c>
    </row>
    <row r="243" s="2074" customFormat="1" spans="1:10">
      <c r="A243" s="2137" t="s">
        <v>757</v>
      </c>
      <c r="B243" s="2085"/>
      <c r="C243" s="2085"/>
      <c r="D243" s="2085"/>
      <c r="E243" s="2048">
        <f>ROUND(B243+C243-D243,2)</f>
        <v>0</v>
      </c>
      <c r="F243" s="2126"/>
      <c r="G243" s="2126"/>
      <c r="H243" s="2126"/>
      <c r="I243" s="2126"/>
      <c r="J243" s="2135" t="s">
        <v>758</v>
      </c>
    </row>
    <row r="244" s="2074" customFormat="1" spans="1:10">
      <c r="A244" s="2137"/>
      <c r="B244" s="2137"/>
      <c r="C244" s="2137"/>
      <c r="D244" s="2137"/>
      <c r="E244" s="2137"/>
      <c r="F244" s="2126"/>
      <c r="G244" s="2126"/>
      <c r="H244" s="2126"/>
      <c r="I244" s="2126"/>
      <c r="J244" s="2078"/>
    </row>
    <row r="245" s="2074" customFormat="1" spans="1:10">
      <c r="A245" s="2129" t="s">
        <v>759</v>
      </c>
      <c r="B245" s="2048">
        <f>ROUND(SUM(B246:B249),2)</f>
        <v>0</v>
      </c>
      <c r="C245" s="2048">
        <f>ROUND(SUM(C246:C249),2)</f>
        <v>0</v>
      </c>
      <c r="D245" s="2048">
        <f>ROUND(SUM(D246:D249),2)</f>
        <v>0</v>
      </c>
      <c r="E245" s="2048">
        <f>ROUND(SUM(E246:E249),2)</f>
        <v>0</v>
      </c>
      <c r="F245" s="2126"/>
      <c r="G245" s="2126"/>
      <c r="H245" s="2126"/>
      <c r="I245" s="2126"/>
      <c r="J245" s="2135" t="s">
        <v>760</v>
      </c>
    </row>
    <row r="246" s="2074" customFormat="1" spans="1:10">
      <c r="A246" s="2137" t="s">
        <v>716</v>
      </c>
      <c r="B246" s="2085"/>
      <c r="C246" s="2085"/>
      <c r="D246" s="2085"/>
      <c r="E246" s="2048">
        <f>ROUND(B246+C246-D246,2)</f>
        <v>0</v>
      </c>
      <c r="F246" s="2126"/>
      <c r="G246" s="2126"/>
      <c r="H246" s="2126"/>
      <c r="I246" s="2126"/>
      <c r="J246" s="2135" t="s">
        <v>761</v>
      </c>
    </row>
    <row r="247" s="2074" customFormat="1" spans="1:10">
      <c r="A247" s="2137" t="s">
        <v>753</v>
      </c>
      <c r="B247" s="2085"/>
      <c r="C247" s="2085"/>
      <c r="D247" s="2085"/>
      <c r="E247" s="2048">
        <f>ROUND(B247+C247-D247,2)</f>
        <v>0</v>
      </c>
      <c r="F247" s="2126"/>
      <c r="G247" s="2126"/>
      <c r="H247" s="2126"/>
      <c r="I247" s="2126"/>
      <c r="J247" s="2135" t="s">
        <v>762</v>
      </c>
    </row>
    <row r="248" s="2074" customFormat="1" spans="1:10">
      <c r="A248" s="2137" t="s">
        <v>755</v>
      </c>
      <c r="B248" s="2085"/>
      <c r="C248" s="2085"/>
      <c r="D248" s="2085"/>
      <c r="E248" s="2048">
        <f>ROUND(B248+C248-D248,2)</f>
        <v>0</v>
      </c>
      <c r="F248" s="2126"/>
      <c r="G248" s="2126"/>
      <c r="H248" s="2126"/>
      <c r="I248" s="2126"/>
      <c r="J248" s="2135" t="s">
        <v>763</v>
      </c>
    </row>
    <row r="249" s="2074" customFormat="1" spans="1:10">
      <c r="A249" s="2137" t="s">
        <v>757</v>
      </c>
      <c r="B249" s="2085"/>
      <c r="C249" s="2085"/>
      <c r="D249" s="2085"/>
      <c r="E249" s="2048">
        <f>ROUND(B249+C249-D249,2)</f>
        <v>0</v>
      </c>
      <c r="F249" s="2126"/>
      <c r="G249" s="2126"/>
      <c r="H249" s="2126"/>
      <c r="I249" s="2126"/>
      <c r="J249" s="2135" t="s">
        <v>764</v>
      </c>
    </row>
    <row r="250" s="2074" customFormat="1" spans="1:10">
      <c r="A250" s="2137"/>
      <c r="B250" s="2083"/>
      <c r="C250" s="2083"/>
      <c r="D250" s="2083"/>
      <c r="E250" s="2083"/>
      <c r="F250" s="2126"/>
      <c r="G250" s="2126"/>
      <c r="H250" s="2126"/>
      <c r="I250" s="2126"/>
      <c r="J250" s="2078"/>
    </row>
    <row r="251" s="2074" customFormat="1" spans="1:10">
      <c r="A251" s="2129" t="s">
        <v>765</v>
      </c>
      <c r="B251" s="2048">
        <f>ROUND(SUM(B252:B255),2)</f>
        <v>0</v>
      </c>
      <c r="C251" s="2048">
        <f>ROUND(SUM(C252:C255),2)</f>
        <v>0</v>
      </c>
      <c r="D251" s="2048">
        <f>ROUND(SUM(D252:D255),2)</f>
        <v>0</v>
      </c>
      <c r="E251" s="2048">
        <f>ROUND(SUM(E252:E255),2)</f>
        <v>0</v>
      </c>
      <c r="F251" s="2126"/>
      <c r="G251" s="2126"/>
      <c r="H251" s="2126"/>
      <c r="I251" s="2126"/>
      <c r="J251" s="2135" t="s">
        <v>766</v>
      </c>
    </row>
    <row r="252" s="2074" customFormat="1" spans="1:10">
      <c r="A252" s="2137" t="s">
        <v>716</v>
      </c>
      <c r="B252" s="2085"/>
      <c r="C252" s="2085"/>
      <c r="D252" s="2085"/>
      <c r="E252" s="2048">
        <f>ROUND(B252+C252-D252,2)</f>
        <v>0</v>
      </c>
      <c r="F252" s="2126"/>
      <c r="G252" s="2126"/>
      <c r="H252" s="2126"/>
      <c r="I252" s="2126"/>
      <c r="J252" s="2135" t="s">
        <v>767</v>
      </c>
    </row>
    <row r="253" s="2074" customFormat="1" spans="1:10">
      <c r="A253" s="2137" t="s">
        <v>753</v>
      </c>
      <c r="B253" s="2085"/>
      <c r="C253" s="2085"/>
      <c r="D253" s="2085"/>
      <c r="E253" s="2048">
        <f>ROUND(B253+C253-D253,2)</f>
        <v>0</v>
      </c>
      <c r="F253" s="2126"/>
      <c r="G253" s="2126"/>
      <c r="H253" s="2126"/>
      <c r="I253" s="2126"/>
      <c r="J253" s="2135" t="s">
        <v>768</v>
      </c>
    </row>
    <row r="254" s="2074" customFormat="1" spans="1:10">
      <c r="A254" s="2137" t="s">
        <v>755</v>
      </c>
      <c r="B254" s="2085"/>
      <c r="C254" s="2085"/>
      <c r="D254" s="2085"/>
      <c r="E254" s="2048">
        <f>ROUND(B254+C254-D254,2)</f>
        <v>0</v>
      </c>
      <c r="F254" s="2126"/>
      <c r="G254" s="2126"/>
      <c r="H254" s="2126"/>
      <c r="I254" s="2126"/>
      <c r="J254" s="2135" t="s">
        <v>769</v>
      </c>
    </row>
    <row r="255" s="2074" customFormat="1" spans="1:10">
      <c r="A255" s="2137" t="s">
        <v>757</v>
      </c>
      <c r="B255" s="2085"/>
      <c r="C255" s="2085"/>
      <c r="D255" s="2085"/>
      <c r="E255" s="2048">
        <f>ROUND(B255+C255-D255,2)</f>
        <v>0</v>
      </c>
      <c r="F255" s="2126"/>
      <c r="G255" s="2126"/>
      <c r="H255" s="2126"/>
      <c r="I255" s="2126"/>
      <c r="J255" s="2135" t="s">
        <v>770</v>
      </c>
    </row>
    <row r="256" s="2074" customFormat="1" spans="1:10">
      <c r="A256" s="2137"/>
      <c r="B256" s="2083"/>
      <c r="C256" s="2083"/>
      <c r="D256" s="2083"/>
      <c r="E256" s="2083"/>
      <c r="F256" s="2126"/>
      <c r="G256" s="2126"/>
      <c r="H256" s="2126"/>
      <c r="I256" s="2126"/>
      <c r="J256" s="2078"/>
    </row>
    <row r="257" s="2074" customFormat="1" spans="1:10">
      <c r="A257" s="2129" t="s">
        <v>771</v>
      </c>
      <c r="B257" s="2048">
        <f>ROUND(SUM(B258:B261),2)</f>
        <v>0</v>
      </c>
      <c r="C257" s="2048">
        <f>ROUND(SUM(C258:C261),2)</f>
        <v>0</v>
      </c>
      <c r="D257" s="2048">
        <f>ROUND(SUM(D258:D261),2)</f>
        <v>0</v>
      </c>
      <c r="E257" s="2048">
        <f>ROUND(SUM(E258:E261),2)</f>
        <v>0</v>
      </c>
      <c r="F257" s="2126"/>
      <c r="G257" s="2126"/>
      <c r="H257" s="2126"/>
      <c r="I257" s="2126"/>
      <c r="J257" s="2078"/>
    </row>
    <row r="258" s="2074" customFormat="1" spans="1:10">
      <c r="A258" s="2137" t="s">
        <v>716</v>
      </c>
      <c r="B258" s="2139">
        <f>ROUND(B240-B246-B252,2)</f>
        <v>0</v>
      </c>
      <c r="C258" s="2139">
        <f>ROUND(C240-C246-C252,2)</f>
        <v>0</v>
      </c>
      <c r="D258" s="2139">
        <f>ROUND(D240-D246-D252,2)</f>
        <v>0</v>
      </c>
      <c r="E258" s="2048">
        <f>ROUND(B258+C258-D258,2)</f>
        <v>0</v>
      </c>
      <c r="F258" s="2126"/>
      <c r="G258" s="2126"/>
      <c r="H258" s="2126"/>
      <c r="I258" s="2126"/>
      <c r="J258" s="2078"/>
    </row>
    <row r="259" s="2074" customFormat="1" spans="1:10">
      <c r="A259" s="2137" t="s">
        <v>753</v>
      </c>
      <c r="B259" s="2139">
        <f t="shared" ref="B259:D261" si="10">ROUND(B241-B247-B253,2)</f>
        <v>0</v>
      </c>
      <c r="C259" s="2139">
        <f t="shared" si="10"/>
        <v>0</v>
      </c>
      <c r="D259" s="2139">
        <f t="shared" si="10"/>
        <v>0</v>
      </c>
      <c r="E259" s="2048">
        <f>ROUND(B259+C259-D259,2)</f>
        <v>0</v>
      </c>
      <c r="F259" s="2126"/>
      <c r="G259" s="2126"/>
      <c r="H259" s="2126"/>
      <c r="I259" s="2126"/>
      <c r="J259" s="2078"/>
    </row>
    <row r="260" s="2074" customFormat="1" spans="1:10">
      <c r="A260" s="2137" t="s">
        <v>755</v>
      </c>
      <c r="B260" s="2139">
        <f t="shared" si="10"/>
        <v>0</v>
      </c>
      <c r="C260" s="2139">
        <f t="shared" si="10"/>
        <v>0</v>
      </c>
      <c r="D260" s="2139">
        <f t="shared" si="10"/>
        <v>0</v>
      </c>
      <c r="E260" s="2048">
        <f>ROUND(B260+C260-D260,2)</f>
        <v>0</v>
      </c>
      <c r="F260" s="2126"/>
      <c r="G260" s="2126"/>
      <c r="H260" s="2126"/>
      <c r="I260" s="2126"/>
      <c r="J260" s="2078"/>
    </row>
    <row r="261" s="2074" customFormat="1" spans="1:10">
      <c r="A261" s="2137" t="s">
        <v>757</v>
      </c>
      <c r="B261" s="2139">
        <f t="shared" si="10"/>
        <v>0</v>
      </c>
      <c r="C261" s="2139">
        <f t="shared" si="10"/>
        <v>0</v>
      </c>
      <c r="D261" s="2139">
        <f t="shared" si="10"/>
        <v>0</v>
      </c>
      <c r="E261" s="2048">
        <f>ROUND(B261+C261-D261,2)</f>
        <v>0</v>
      </c>
      <c r="F261" s="2126"/>
      <c r="G261" s="2126"/>
      <c r="H261" s="2126"/>
      <c r="I261" s="2126"/>
      <c r="J261" s="2078"/>
    </row>
    <row r="262" s="2074" customFormat="1" spans="1:10">
      <c r="A262" s="2132"/>
      <c r="B262" s="2094"/>
      <c r="C262" s="2094"/>
      <c r="D262" s="2094"/>
      <c r="E262" s="2094"/>
      <c r="F262" s="2126"/>
      <c r="G262" s="2126"/>
      <c r="H262" s="2126"/>
      <c r="I262" s="2126"/>
      <c r="J262" s="2078"/>
    </row>
    <row r="263" s="2074" customFormat="1" spans="1:10">
      <c r="A263" s="2133" t="s">
        <v>772</v>
      </c>
      <c r="B263" s="2126"/>
      <c r="C263" s="2126"/>
      <c r="D263" s="2126"/>
      <c r="E263" s="2126"/>
      <c r="F263" s="2126"/>
      <c r="G263" s="2126"/>
      <c r="H263" s="2126"/>
      <c r="I263" s="2126"/>
      <c r="J263" s="2078"/>
    </row>
    <row r="264" s="2074" customFormat="1" spans="1:10">
      <c r="A264" s="2082" t="s">
        <v>372</v>
      </c>
      <c r="B264" s="2082" t="s">
        <v>773</v>
      </c>
      <c r="C264" s="2082" t="s">
        <v>774</v>
      </c>
      <c r="D264" s="2082" t="s">
        <v>775</v>
      </c>
      <c r="E264" s="2082" t="s">
        <v>776</v>
      </c>
      <c r="F264" s="2126"/>
      <c r="G264" s="2126"/>
      <c r="H264" s="2126"/>
      <c r="I264" s="2126"/>
      <c r="J264" s="2078"/>
    </row>
    <row r="265" s="2074" customFormat="1" spans="1:10">
      <c r="A265" s="2129" t="s">
        <v>777</v>
      </c>
      <c r="B265" s="2048">
        <f>ROUND(SUM(B266:B269),2)</f>
        <v>0</v>
      </c>
      <c r="C265" s="2048">
        <f>ROUND(SUM(C266:C269),2)</f>
        <v>0</v>
      </c>
      <c r="D265" s="2048">
        <f>ROUND(SUM(D266:D269),2)</f>
        <v>0</v>
      </c>
      <c r="E265" s="2048">
        <f>ROUND(SUM(E266:E269),2)</f>
        <v>0</v>
      </c>
      <c r="F265" s="2126"/>
      <c r="G265" s="2126"/>
      <c r="H265" s="2126"/>
      <c r="I265" s="2126"/>
      <c r="J265" s="2135" t="s">
        <v>778</v>
      </c>
    </row>
    <row r="266" s="2074" customFormat="1" spans="1:10">
      <c r="A266" s="2137" t="s">
        <v>716</v>
      </c>
      <c r="B266" s="2085"/>
      <c r="C266" s="2085"/>
      <c r="D266" s="2085"/>
      <c r="E266" s="2048">
        <f>ROUND(B266-C266-D266,2)</f>
        <v>0</v>
      </c>
      <c r="F266" s="2126"/>
      <c r="G266" s="2126"/>
      <c r="H266" s="2126"/>
      <c r="I266" s="2126"/>
      <c r="J266" s="2135" t="s">
        <v>779</v>
      </c>
    </row>
    <row r="267" s="2074" customFormat="1" spans="1:10">
      <c r="A267" s="2137" t="s">
        <v>753</v>
      </c>
      <c r="B267" s="2085"/>
      <c r="C267" s="2085"/>
      <c r="D267" s="2085"/>
      <c r="E267" s="2048">
        <f>ROUND(B267-C267-D267,2)</f>
        <v>0</v>
      </c>
      <c r="F267" s="2126"/>
      <c r="G267" s="2126"/>
      <c r="H267" s="2126"/>
      <c r="I267" s="2126"/>
      <c r="J267" s="2135" t="s">
        <v>780</v>
      </c>
    </row>
    <row r="268" s="2074" customFormat="1" spans="1:10">
      <c r="A268" s="2137" t="s">
        <v>755</v>
      </c>
      <c r="B268" s="2085"/>
      <c r="C268" s="2085"/>
      <c r="D268" s="2085"/>
      <c r="E268" s="2048">
        <f>ROUND(B268-C268-D268,2)</f>
        <v>0</v>
      </c>
      <c r="F268" s="2126"/>
      <c r="G268" s="2126"/>
      <c r="H268" s="2126"/>
      <c r="I268" s="2126"/>
      <c r="J268" s="2135" t="s">
        <v>781</v>
      </c>
    </row>
    <row r="269" s="2074" customFormat="1" spans="1:10">
      <c r="A269" s="2137" t="s">
        <v>757</v>
      </c>
      <c r="B269" s="2085"/>
      <c r="C269" s="2085"/>
      <c r="D269" s="2085"/>
      <c r="E269" s="2048">
        <f>ROUND(B269-C269-D269,2)</f>
        <v>0</v>
      </c>
      <c r="F269" s="2126"/>
      <c r="G269" s="2126"/>
      <c r="H269" s="2126"/>
      <c r="I269" s="2126"/>
      <c r="J269" s="2135" t="s">
        <v>782</v>
      </c>
    </row>
    <row r="270" s="2074" customFormat="1" spans="1:10">
      <c r="A270" s="2137"/>
      <c r="B270" s="2137"/>
      <c r="C270" s="2137"/>
      <c r="D270" s="2137"/>
      <c r="E270" s="2137"/>
      <c r="F270" s="2126"/>
      <c r="G270" s="2126"/>
      <c r="H270" s="2126"/>
      <c r="I270" s="2126"/>
      <c r="J270" s="2078"/>
    </row>
    <row r="271" s="2074" customFormat="1" spans="1:10">
      <c r="A271" s="2129" t="s">
        <v>783</v>
      </c>
      <c r="B271" s="2048">
        <f>ROUND(SUM(B272:B275),2)</f>
        <v>0</v>
      </c>
      <c r="C271" s="2048">
        <f>ROUND(SUM(C272:C275),2)</f>
        <v>0</v>
      </c>
      <c r="D271" s="2048">
        <f>ROUND(SUM(D272:D275),2)</f>
        <v>0</v>
      </c>
      <c r="E271" s="2048">
        <f>ROUND(SUM(E272:E275),2)</f>
        <v>0</v>
      </c>
      <c r="F271" s="2126"/>
      <c r="G271" s="2126"/>
      <c r="H271" s="2126"/>
      <c r="I271" s="2126"/>
      <c r="J271" s="2135" t="s">
        <v>784</v>
      </c>
    </row>
    <row r="272" s="2074" customFormat="1" spans="1:10">
      <c r="A272" s="2137" t="s">
        <v>716</v>
      </c>
      <c r="B272" s="2085"/>
      <c r="C272" s="2085"/>
      <c r="D272" s="2085"/>
      <c r="E272" s="2048">
        <f>ROUND(B272-C272-D272,2)</f>
        <v>0</v>
      </c>
      <c r="F272" s="2126"/>
      <c r="G272" s="2126"/>
      <c r="H272" s="2126"/>
      <c r="I272" s="2126"/>
      <c r="J272" s="2135" t="s">
        <v>785</v>
      </c>
    </row>
    <row r="273" s="2074" customFormat="1" spans="1:10">
      <c r="A273" s="2137" t="s">
        <v>753</v>
      </c>
      <c r="B273" s="2085"/>
      <c r="C273" s="2085"/>
      <c r="D273" s="2085"/>
      <c r="E273" s="2048">
        <f>ROUND(B273-C273-D273,2)</f>
        <v>0</v>
      </c>
      <c r="F273" s="2126"/>
      <c r="G273" s="2126"/>
      <c r="H273" s="2126"/>
      <c r="I273" s="2126"/>
      <c r="J273" s="2135" t="s">
        <v>786</v>
      </c>
    </row>
    <row r="274" s="2074" customFormat="1" spans="1:10">
      <c r="A274" s="2137" t="s">
        <v>755</v>
      </c>
      <c r="B274" s="2085"/>
      <c r="C274" s="2085"/>
      <c r="D274" s="2085"/>
      <c r="E274" s="2048">
        <f>ROUND(B274-C274-D274,2)</f>
        <v>0</v>
      </c>
      <c r="F274" s="2126"/>
      <c r="G274" s="2126"/>
      <c r="H274" s="2126"/>
      <c r="I274" s="2126"/>
      <c r="J274" s="2135" t="s">
        <v>787</v>
      </c>
    </row>
    <row r="275" s="2074" customFormat="1" spans="1:10">
      <c r="A275" s="2137" t="s">
        <v>757</v>
      </c>
      <c r="B275" s="2085"/>
      <c r="C275" s="2085"/>
      <c r="D275" s="2085"/>
      <c r="E275" s="2048">
        <f>ROUND(B275-C275-D275,2)</f>
        <v>0</v>
      </c>
      <c r="F275" s="2126"/>
      <c r="G275" s="2126"/>
      <c r="H275" s="2126"/>
      <c r="I275" s="2126"/>
      <c r="J275" s="2135" t="s">
        <v>788</v>
      </c>
    </row>
    <row r="276" s="2074" customFormat="1" spans="1:10">
      <c r="A276" s="2137"/>
      <c r="B276" s="2083"/>
      <c r="C276" s="2083"/>
      <c r="D276" s="2083"/>
      <c r="E276" s="2083"/>
      <c r="F276" s="2126"/>
      <c r="G276" s="2126"/>
      <c r="H276" s="2126"/>
      <c r="I276" s="2126"/>
      <c r="J276" s="2078"/>
    </row>
    <row r="277" s="2074" customFormat="1" spans="1:10">
      <c r="A277" s="2129" t="s">
        <v>789</v>
      </c>
      <c r="B277" s="2048">
        <f>ROUND(SUM(B278:B281),2)</f>
        <v>0</v>
      </c>
      <c r="C277" s="2048">
        <f>ROUND(SUM(C278:C281),2)</f>
        <v>0</v>
      </c>
      <c r="D277" s="2048">
        <f>ROUND(SUM(D278:D281),2)</f>
        <v>0</v>
      </c>
      <c r="E277" s="2048">
        <f>ROUND(SUM(E278:E281),2)</f>
        <v>0</v>
      </c>
      <c r="F277" s="2126"/>
      <c r="G277" s="2126"/>
      <c r="H277" s="2126"/>
      <c r="I277" s="2126"/>
      <c r="J277" s="2135" t="s">
        <v>790</v>
      </c>
    </row>
    <row r="278" s="2074" customFormat="1" spans="1:10">
      <c r="A278" s="2137" t="s">
        <v>716</v>
      </c>
      <c r="B278" s="2085"/>
      <c r="C278" s="2085"/>
      <c r="D278" s="2085"/>
      <c r="E278" s="2048">
        <f>ROUND(B278-C278-D278,2)</f>
        <v>0</v>
      </c>
      <c r="F278" s="2126"/>
      <c r="G278" s="2126"/>
      <c r="H278" s="2126"/>
      <c r="I278" s="2126"/>
      <c r="J278" s="2135" t="s">
        <v>791</v>
      </c>
    </row>
    <row r="279" s="2074" customFormat="1" spans="1:10">
      <c r="A279" s="2137" t="s">
        <v>753</v>
      </c>
      <c r="B279" s="2085"/>
      <c r="C279" s="2085"/>
      <c r="D279" s="2085"/>
      <c r="E279" s="2048">
        <f>ROUND(B279-C279-D279,2)</f>
        <v>0</v>
      </c>
      <c r="F279" s="2126"/>
      <c r="G279" s="2126"/>
      <c r="H279" s="2126"/>
      <c r="I279" s="2126"/>
      <c r="J279" s="2135" t="s">
        <v>792</v>
      </c>
    </row>
    <row r="280" s="2074" customFormat="1" spans="1:10">
      <c r="A280" s="2137" t="s">
        <v>755</v>
      </c>
      <c r="B280" s="2085"/>
      <c r="C280" s="2085"/>
      <c r="D280" s="2085"/>
      <c r="E280" s="2048">
        <f>ROUND(B280-C280-D280,2)</f>
        <v>0</v>
      </c>
      <c r="F280" s="2126"/>
      <c r="G280" s="2126"/>
      <c r="H280" s="2126"/>
      <c r="I280" s="2126"/>
      <c r="J280" s="2135" t="s">
        <v>793</v>
      </c>
    </row>
    <row r="281" s="2074" customFormat="1" spans="1:10">
      <c r="A281" s="2137" t="s">
        <v>757</v>
      </c>
      <c r="B281" s="2085"/>
      <c r="C281" s="2085"/>
      <c r="D281" s="2085"/>
      <c r="E281" s="2048">
        <f>ROUND(B281-C281-D281,2)</f>
        <v>0</v>
      </c>
      <c r="F281" s="2126"/>
      <c r="G281" s="2126"/>
      <c r="H281" s="2126"/>
      <c r="I281" s="2126"/>
      <c r="J281" s="2135" t="s">
        <v>794</v>
      </c>
    </row>
    <row r="282" s="2074" customFormat="1" spans="1:10">
      <c r="A282" s="2137"/>
      <c r="B282" s="2083"/>
      <c r="C282" s="2083"/>
      <c r="D282" s="2083"/>
      <c r="E282" s="2083"/>
      <c r="F282" s="2126"/>
      <c r="G282" s="2126"/>
      <c r="H282" s="2126"/>
      <c r="I282" s="2126"/>
      <c r="J282" s="2078"/>
    </row>
    <row r="283" s="2074" customFormat="1" spans="1:10">
      <c r="A283" s="2129" t="s">
        <v>795</v>
      </c>
      <c r="B283" s="2048">
        <f>ROUND(SUM(B284:B287),2)</f>
        <v>0</v>
      </c>
      <c r="C283" s="2048">
        <f>ROUND(SUM(C284:C287),2)</f>
        <v>0</v>
      </c>
      <c r="D283" s="2048">
        <f>ROUND(SUM(D284:D287),2)</f>
        <v>0</v>
      </c>
      <c r="E283" s="2048">
        <f>ROUND(SUM(E284:E287),2)</f>
        <v>0</v>
      </c>
      <c r="F283" s="2126"/>
      <c r="G283" s="2126"/>
      <c r="H283" s="2126"/>
      <c r="I283" s="2126"/>
      <c r="J283" s="2135" t="s">
        <v>796</v>
      </c>
    </row>
    <row r="284" s="2074" customFormat="1" spans="1:10">
      <c r="A284" s="2137" t="s">
        <v>716</v>
      </c>
      <c r="B284" s="2085"/>
      <c r="C284" s="2085"/>
      <c r="D284" s="2085"/>
      <c r="E284" s="2048">
        <f>ROUND(B284-C284-D284,2)</f>
        <v>0</v>
      </c>
      <c r="F284" s="2126"/>
      <c r="G284" s="2126"/>
      <c r="H284" s="2126"/>
      <c r="I284" s="2126"/>
      <c r="J284" s="2135" t="s">
        <v>797</v>
      </c>
    </row>
    <row r="285" s="2074" customFormat="1" spans="1:10">
      <c r="A285" s="2137" t="s">
        <v>753</v>
      </c>
      <c r="B285" s="2085"/>
      <c r="C285" s="2085"/>
      <c r="D285" s="2085"/>
      <c r="E285" s="2048">
        <f>ROUND(B285-C285-D285,2)</f>
        <v>0</v>
      </c>
      <c r="F285" s="2126"/>
      <c r="G285" s="2126"/>
      <c r="H285" s="2126"/>
      <c r="I285" s="2126"/>
      <c r="J285" s="2135" t="s">
        <v>798</v>
      </c>
    </row>
    <row r="286" s="2074" customFormat="1" spans="1:10">
      <c r="A286" s="2137" t="s">
        <v>755</v>
      </c>
      <c r="B286" s="2085"/>
      <c r="C286" s="2085"/>
      <c r="D286" s="2085"/>
      <c r="E286" s="2048">
        <f>ROUND(B286-C286-D286,2)</f>
        <v>0</v>
      </c>
      <c r="F286" s="2126"/>
      <c r="G286" s="2126"/>
      <c r="H286" s="2126"/>
      <c r="I286" s="2126"/>
      <c r="J286" s="2135" t="s">
        <v>799</v>
      </c>
    </row>
    <row r="287" s="2074" customFormat="1" spans="1:10">
      <c r="A287" s="2137" t="s">
        <v>757</v>
      </c>
      <c r="B287" s="2085"/>
      <c r="C287" s="2085"/>
      <c r="D287" s="2085"/>
      <c r="E287" s="2048">
        <f>ROUND(B287-C287-D287,2)</f>
        <v>0</v>
      </c>
      <c r="F287" s="2126"/>
      <c r="G287" s="2126"/>
      <c r="H287" s="2126"/>
      <c r="I287" s="2126"/>
      <c r="J287" s="2135" t="s">
        <v>800</v>
      </c>
    </row>
    <row r="288" s="2074" customFormat="1" spans="1:10">
      <c r="A288" s="2132"/>
      <c r="B288" s="2094"/>
      <c r="C288" s="2094"/>
      <c r="D288" s="2094"/>
      <c r="E288" s="2094"/>
      <c r="F288" s="2126"/>
      <c r="G288" s="2126"/>
      <c r="H288" s="2126"/>
      <c r="I288" s="2126"/>
      <c r="J288" s="2078"/>
    </row>
    <row r="289" s="2074" customFormat="1" spans="1:10">
      <c r="A289" s="2127" t="s">
        <v>801</v>
      </c>
      <c r="B289" s="2126"/>
      <c r="C289" s="2126"/>
      <c r="D289" s="2126"/>
      <c r="E289" s="2126"/>
      <c r="F289" s="2126"/>
      <c r="G289" s="2126"/>
      <c r="H289" s="2126"/>
      <c r="I289" s="2126"/>
      <c r="J289" s="2078"/>
    </row>
    <row r="290" s="2074" customFormat="1" spans="1:10">
      <c r="A290" s="2082" t="s">
        <v>802</v>
      </c>
      <c r="B290" s="2082" t="s">
        <v>773</v>
      </c>
      <c r="C290" s="2082" t="s">
        <v>774</v>
      </c>
      <c r="D290" s="2082" t="s">
        <v>776</v>
      </c>
      <c r="E290" s="2082" t="s">
        <v>803</v>
      </c>
      <c r="F290" s="2082" t="s">
        <v>804</v>
      </c>
      <c r="G290" s="2126"/>
      <c r="H290" s="2126"/>
      <c r="I290" s="2126"/>
      <c r="J290" s="2078"/>
    </row>
    <row r="291" s="2074" customFormat="1" spans="1:10">
      <c r="A291" s="2092"/>
      <c r="B291" s="2085"/>
      <c r="C291" s="2085"/>
      <c r="D291" s="2048">
        <f>ROUND(B291-C291,2)</f>
        <v>0</v>
      </c>
      <c r="E291" s="2092"/>
      <c r="F291" s="2085"/>
      <c r="G291" s="2126"/>
      <c r="H291" s="2126"/>
      <c r="I291" s="2126"/>
      <c r="J291" s="2135" t="s">
        <v>805</v>
      </c>
    </row>
    <row r="292" s="2074" customFormat="1" spans="1:10">
      <c r="A292" s="2092"/>
      <c r="B292" s="2085"/>
      <c r="C292" s="2085"/>
      <c r="D292" s="2048">
        <f t="shared" ref="D292:D300" si="11">ROUND(B292-C292,2)</f>
        <v>0</v>
      </c>
      <c r="E292" s="2092"/>
      <c r="F292" s="2085"/>
      <c r="G292" s="2126"/>
      <c r="H292" s="2126"/>
      <c r="I292" s="2126"/>
      <c r="J292" s="2135" t="s">
        <v>805</v>
      </c>
    </row>
    <row r="293" s="2074" customFormat="1" spans="1:10">
      <c r="A293" s="2092"/>
      <c r="B293" s="2085"/>
      <c r="C293" s="2085"/>
      <c r="D293" s="2048">
        <f t="shared" si="11"/>
        <v>0</v>
      </c>
      <c r="E293" s="2092"/>
      <c r="F293" s="2085"/>
      <c r="G293" s="2126"/>
      <c r="H293" s="2126"/>
      <c r="I293" s="2126"/>
      <c r="J293" s="2135" t="s">
        <v>805</v>
      </c>
    </row>
    <row r="294" s="2074" customFormat="1" spans="1:10">
      <c r="A294" s="2092"/>
      <c r="B294" s="2085"/>
      <c r="C294" s="2085"/>
      <c r="D294" s="2048">
        <f t="shared" si="11"/>
        <v>0</v>
      </c>
      <c r="E294" s="2092"/>
      <c r="F294" s="2085"/>
      <c r="G294" s="2126"/>
      <c r="H294" s="2126"/>
      <c r="I294" s="2126"/>
      <c r="J294" s="2135" t="s">
        <v>805</v>
      </c>
    </row>
    <row r="295" s="2074" customFormat="1" spans="1:10">
      <c r="A295" s="2092"/>
      <c r="B295" s="2085"/>
      <c r="C295" s="2085"/>
      <c r="D295" s="2048">
        <f t="shared" si="11"/>
        <v>0</v>
      </c>
      <c r="E295" s="2092"/>
      <c r="F295" s="2085"/>
      <c r="G295" s="2126"/>
      <c r="H295" s="2126"/>
      <c r="I295" s="2126"/>
      <c r="J295" s="2135" t="s">
        <v>805</v>
      </c>
    </row>
    <row r="296" s="2074" customFormat="1" spans="1:10">
      <c r="A296" s="2092"/>
      <c r="B296" s="2085"/>
      <c r="C296" s="2085"/>
      <c r="D296" s="2048">
        <f t="shared" si="11"/>
        <v>0</v>
      </c>
      <c r="E296" s="2092"/>
      <c r="F296" s="2085"/>
      <c r="G296" s="2126"/>
      <c r="H296" s="2126"/>
      <c r="I296" s="2126"/>
      <c r="J296" s="2135" t="s">
        <v>805</v>
      </c>
    </row>
    <row r="297" s="2074" customFormat="1" spans="1:10">
      <c r="A297" s="2092"/>
      <c r="B297" s="2085"/>
      <c r="C297" s="2085"/>
      <c r="D297" s="2048">
        <f t="shared" si="11"/>
        <v>0</v>
      </c>
      <c r="E297" s="2092"/>
      <c r="F297" s="2085"/>
      <c r="G297" s="2126"/>
      <c r="H297" s="2126"/>
      <c r="I297" s="2126"/>
      <c r="J297" s="2135" t="s">
        <v>805</v>
      </c>
    </row>
    <row r="298" s="2074" customFormat="1" spans="1:10">
      <c r="A298" s="2092"/>
      <c r="B298" s="2085"/>
      <c r="C298" s="2085"/>
      <c r="D298" s="2048">
        <f t="shared" si="11"/>
        <v>0</v>
      </c>
      <c r="E298" s="2092"/>
      <c r="F298" s="2085"/>
      <c r="G298" s="2126"/>
      <c r="H298" s="2126"/>
      <c r="I298" s="2126"/>
      <c r="J298" s="2135" t="s">
        <v>805</v>
      </c>
    </row>
    <row r="299" s="2074" customFormat="1" spans="1:10">
      <c r="A299" s="2092"/>
      <c r="B299" s="2085"/>
      <c r="C299" s="2085"/>
      <c r="D299" s="2048">
        <f t="shared" si="11"/>
        <v>0</v>
      </c>
      <c r="E299" s="2092"/>
      <c r="F299" s="2085"/>
      <c r="G299" s="2126"/>
      <c r="H299" s="2126"/>
      <c r="I299" s="2126"/>
      <c r="J299" s="2135" t="s">
        <v>805</v>
      </c>
    </row>
    <row r="300" s="2074" customFormat="1" spans="1:10">
      <c r="A300" s="2092"/>
      <c r="B300" s="2085"/>
      <c r="C300" s="2085"/>
      <c r="D300" s="2048">
        <f t="shared" si="11"/>
        <v>0</v>
      </c>
      <c r="E300" s="2092"/>
      <c r="F300" s="2085"/>
      <c r="G300" s="2126"/>
      <c r="H300" s="2126"/>
      <c r="I300" s="2126"/>
      <c r="J300" s="2135" t="s">
        <v>805</v>
      </c>
    </row>
    <row r="301" s="2074" customFormat="1" spans="1:10">
      <c r="A301" s="2082" t="s">
        <v>384</v>
      </c>
      <c r="B301" s="2048">
        <f>ROUND(SUM(B291:B300),2)</f>
        <v>0</v>
      </c>
      <c r="C301" s="2048">
        <f>ROUND(SUM(C291:C300),2)</f>
        <v>0</v>
      </c>
      <c r="D301" s="2048">
        <f>ROUND(SUM(D291:D300),2)</f>
        <v>0</v>
      </c>
      <c r="E301" s="2048"/>
      <c r="F301" s="2048"/>
      <c r="G301" s="2126"/>
      <c r="H301" s="2126"/>
      <c r="I301" s="2126"/>
      <c r="J301" s="2135" t="s">
        <v>806</v>
      </c>
    </row>
    <row r="302" s="2074" customFormat="1" spans="1:10">
      <c r="A302" s="2132"/>
      <c r="B302" s="2094"/>
      <c r="C302" s="2094"/>
      <c r="D302" s="2094"/>
      <c r="E302" s="2094"/>
      <c r="F302" s="2126"/>
      <c r="G302" s="2126"/>
      <c r="H302" s="2126"/>
      <c r="I302" s="2126"/>
      <c r="J302" s="2078"/>
    </row>
    <row r="303" s="2074" customFormat="1" spans="1:9">
      <c r="A303" s="2127" t="s">
        <v>807</v>
      </c>
      <c r="B303" s="2126"/>
      <c r="C303" s="2126"/>
      <c r="D303" s="2126"/>
      <c r="E303" s="2126"/>
      <c r="F303" s="2126"/>
      <c r="G303" s="2126"/>
      <c r="H303" s="2126"/>
      <c r="I303" s="2126"/>
    </row>
    <row r="304" s="2074" customFormat="1" spans="1:11">
      <c r="A304" s="2082" t="s">
        <v>802</v>
      </c>
      <c r="B304" s="2082" t="s">
        <v>773</v>
      </c>
      <c r="C304" s="2082" t="s">
        <v>774</v>
      </c>
      <c r="D304" s="2082" t="s">
        <v>775</v>
      </c>
      <c r="E304" s="2082" t="s">
        <v>776</v>
      </c>
      <c r="F304" s="2082" t="s">
        <v>808</v>
      </c>
      <c r="G304" s="2082" t="s">
        <v>809</v>
      </c>
      <c r="H304" s="2126"/>
      <c r="I304" s="2126"/>
      <c r="J304" s="2078"/>
      <c r="K304" s="2078"/>
    </row>
    <row r="305" s="2074" customFormat="1" spans="1:11">
      <c r="A305" s="2092"/>
      <c r="B305" s="2085"/>
      <c r="C305" s="2085"/>
      <c r="D305" s="2085"/>
      <c r="E305" s="2048">
        <f t="shared" ref="E305:E314" si="12">ROUND(B305-C305-D305,2)</f>
        <v>0</v>
      </c>
      <c r="F305" s="2092"/>
      <c r="G305" s="2085"/>
      <c r="H305" s="2126"/>
      <c r="I305" s="2126"/>
      <c r="J305" s="2135" t="s">
        <v>810</v>
      </c>
      <c r="K305" s="2135"/>
    </row>
    <row r="306" s="2074" customFormat="1" spans="1:11">
      <c r="A306" s="2092"/>
      <c r="B306" s="2085"/>
      <c r="C306" s="2085"/>
      <c r="D306" s="2085"/>
      <c r="E306" s="2048">
        <f t="shared" si="12"/>
        <v>0</v>
      </c>
      <c r="F306" s="2092"/>
      <c r="G306" s="2085"/>
      <c r="H306" s="2126"/>
      <c r="I306" s="2126"/>
      <c r="J306" s="2135" t="s">
        <v>810</v>
      </c>
      <c r="K306" s="2135"/>
    </row>
    <row r="307" s="2074" customFormat="1" spans="1:11">
      <c r="A307" s="2092"/>
      <c r="B307" s="2085"/>
      <c r="C307" s="2085"/>
      <c r="D307" s="2085"/>
      <c r="E307" s="2048">
        <f t="shared" si="12"/>
        <v>0</v>
      </c>
      <c r="F307" s="2092"/>
      <c r="G307" s="2085"/>
      <c r="H307" s="2126"/>
      <c r="I307" s="2126"/>
      <c r="J307" s="2135" t="s">
        <v>810</v>
      </c>
      <c r="K307" s="2135"/>
    </row>
    <row r="308" s="2074" customFormat="1" spans="1:11">
      <c r="A308" s="2092"/>
      <c r="B308" s="2085"/>
      <c r="C308" s="2085"/>
      <c r="D308" s="2085"/>
      <c r="E308" s="2048">
        <f t="shared" si="12"/>
        <v>0</v>
      </c>
      <c r="F308" s="2092"/>
      <c r="G308" s="2085"/>
      <c r="H308" s="2126"/>
      <c r="I308" s="2126"/>
      <c r="J308" s="2135" t="s">
        <v>810</v>
      </c>
      <c r="K308" s="2135"/>
    </row>
    <row r="309" s="2074" customFormat="1" spans="1:11">
      <c r="A309" s="2092"/>
      <c r="B309" s="2085"/>
      <c r="C309" s="2085"/>
      <c r="D309" s="2085"/>
      <c r="E309" s="2048">
        <f t="shared" si="12"/>
        <v>0</v>
      </c>
      <c r="F309" s="2092"/>
      <c r="G309" s="2085"/>
      <c r="H309" s="2126"/>
      <c r="I309" s="2126"/>
      <c r="J309" s="2135" t="s">
        <v>810</v>
      </c>
      <c r="K309" s="2135"/>
    </row>
    <row r="310" s="2074" customFormat="1" spans="1:11">
      <c r="A310" s="2092"/>
      <c r="B310" s="2085"/>
      <c r="C310" s="2085"/>
      <c r="D310" s="2085"/>
      <c r="E310" s="2048">
        <f t="shared" si="12"/>
        <v>0</v>
      </c>
      <c r="F310" s="2092"/>
      <c r="G310" s="2085"/>
      <c r="H310" s="2126"/>
      <c r="I310" s="2126"/>
      <c r="J310" s="2135" t="s">
        <v>810</v>
      </c>
      <c r="K310" s="2135"/>
    </row>
    <row r="311" s="2074" customFormat="1" spans="1:11">
      <c r="A311" s="2092"/>
      <c r="B311" s="2085"/>
      <c r="C311" s="2085"/>
      <c r="D311" s="2085"/>
      <c r="E311" s="2048">
        <f t="shared" si="12"/>
        <v>0</v>
      </c>
      <c r="F311" s="2092"/>
      <c r="G311" s="2085"/>
      <c r="H311" s="2126"/>
      <c r="I311" s="2126"/>
      <c r="J311" s="2135" t="s">
        <v>810</v>
      </c>
      <c r="K311" s="2135"/>
    </row>
    <row r="312" s="2074" customFormat="1" spans="1:11">
      <c r="A312" s="2092"/>
      <c r="B312" s="2085"/>
      <c r="C312" s="2085"/>
      <c r="D312" s="2085"/>
      <c r="E312" s="2048">
        <f t="shared" si="12"/>
        <v>0</v>
      </c>
      <c r="F312" s="2092"/>
      <c r="G312" s="2085"/>
      <c r="H312" s="2126"/>
      <c r="I312" s="2126"/>
      <c r="J312" s="2135" t="s">
        <v>810</v>
      </c>
      <c r="K312" s="2135"/>
    </row>
    <row r="313" s="2074" customFormat="1" spans="1:11">
      <c r="A313" s="2092"/>
      <c r="B313" s="2085"/>
      <c r="C313" s="2085"/>
      <c r="D313" s="2085"/>
      <c r="E313" s="2048">
        <f t="shared" si="12"/>
        <v>0</v>
      </c>
      <c r="F313" s="2092"/>
      <c r="G313" s="2085"/>
      <c r="H313" s="2126"/>
      <c r="I313" s="2126"/>
      <c r="J313" s="2135" t="s">
        <v>810</v>
      </c>
      <c r="K313" s="2135"/>
    </row>
    <row r="314" s="2074" customFormat="1" spans="1:11">
      <c r="A314" s="2092"/>
      <c r="B314" s="2085"/>
      <c r="C314" s="2085"/>
      <c r="D314" s="2085"/>
      <c r="E314" s="2048">
        <f t="shared" si="12"/>
        <v>0</v>
      </c>
      <c r="F314" s="2092"/>
      <c r="G314" s="2085"/>
      <c r="H314" s="2126"/>
      <c r="I314" s="2126"/>
      <c r="J314" s="2135" t="s">
        <v>810</v>
      </c>
      <c r="K314" s="2135"/>
    </row>
    <row r="315" s="2074" customFormat="1" spans="1:11">
      <c r="A315" s="2082" t="s">
        <v>384</v>
      </c>
      <c r="B315" s="2048">
        <f>ROUND(SUM(B305:B314),2)</f>
        <v>0</v>
      </c>
      <c r="C315" s="2048">
        <f>ROUND(SUM(C305:C314),2)</f>
        <v>0</v>
      </c>
      <c r="D315" s="2048">
        <f>ROUND(SUM(D305:D314),2)</f>
        <v>0</v>
      </c>
      <c r="E315" s="2048">
        <f>ROUND(SUM(E305:E314),2)</f>
        <v>0</v>
      </c>
      <c r="F315" s="2048"/>
      <c r="G315" s="2048"/>
      <c r="H315" s="2126"/>
      <c r="I315" s="2126"/>
      <c r="J315" s="2135" t="s">
        <v>811</v>
      </c>
      <c r="K315" s="2135"/>
    </row>
    <row r="316" s="2074" customFormat="1" spans="1:10">
      <c r="A316" s="2140"/>
      <c r="B316" s="2126"/>
      <c r="C316" s="2126"/>
      <c r="D316" s="2126"/>
      <c r="E316" s="2126"/>
      <c r="F316" s="2126"/>
      <c r="G316" s="2126"/>
      <c r="H316" s="2126"/>
      <c r="I316" s="2126"/>
      <c r="J316" s="2078"/>
    </row>
    <row r="317" s="2074" customFormat="1" spans="1:10">
      <c r="A317" s="2138"/>
      <c r="B317" s="2126"/>
      <c r="C317" s="2126"/>
      <c r="D317" s="2126"/>
      <c r="E317" s="2126"/>
      <c r="F317" s="2126"/>
      <c r="G317" s="2126"/>
      <c r="H317" s="2126"/>
      <c r="I317" s="2126"/>
      <c r="J317" s="2078"/>
    </row>
    <row r="318" s="2074" customFormat="1" spans="1:10">
      <c r="A318" s="2107" t="s">
        <v>812</v>
      </c>
      <c r="B318" s="2126"/>
      <c r="C318" s="2126"/>
      <c r="D318" s="2126"/>
      <c r="E318" s="2126"/>
      <c r="F318" s="2126"/>
      <c r="G318" s="2126"/>
      <c r="H318" s="2126"/>
      <c r="I318" s="2126"/>
      <c r="J318" s="2078"/>
    </row>
    <row r="319" s="2074" customFormat="1" spans="1:10">
      <c r="A319" s="2096" t="s">
        <v>813</v>
      </c>
      <c r="B319" s="2126"/>
      <c r="C319" s="2126"/>
      <c r="D319" s="2126"/>
      <c r="E319" s="2126"/>
      <c r="F319" s="2126"/>
      <c r="G319" s="2126"/>
      <c r="H319" s="2126"/>
      <c r="I319" s="2126"/>
      <c r="J319" s="2078"/>
    </row>
    <row r="320" s="2074" customFormat="1" spans="1:10">
      <c r="A320" s="2082" t="s">
        <v>814</v>
      </c>
      <c r="B320" s="2082" t="s">
        <v>815</v>
      </c>
      <c r="C320" s="2082" t="s">
        <v>670</v>
      </c>
      <c r="D320" s="2082" t="s">
        <v>581</v>
      </c>
      <c r="E320" s="2082" t="s">
        <v>816</v>
      </c>
      <c r="F320" s="2082" t="s">
        <v>817</v>
      </c>
      <c r="G320" s="2082" t="s">
        <v>515</v>
      </c>
      <c r="H320" s="2082" t="s">
        <v>818</v>
      </c>
      <c r="I320" s="2082" t="s">
        <v>819</v>
      </c>
      <c r="J320" s="2078"/>
    </row>
    <row r="321" s="2074" customFormat="1" spans="1:10">
      <c r="A321" s="2092"/>
      <c r="B321" s="2085"/>
      <c r="C321" s="2085"/>
      <c r="D321" s="2085"/>
      <c r="E321" s="2085"/>
      <c r="F321" s="2085"/>
      <c r="G321" s="2048">
        <f>ROUND(C321+D321-E321-F321,2)</f>
        <v>0</v>
      </c>
      <c r="H321" s="2092"/>
      <c r="I321" s="2111"/>
      <c r="J321" s="2135" t="s">
        <v>820</v>
      </c>
    </row>
    <row r="322" s="2074" customFormat="1" spans="1:10">
      <c r="A322" s="2092"/>
      <c r="B322" s="2085"/>
      <c r="C322" s="2085"/>
      <c r="D322" s="2085"/>
      <c r="E322" s="2085"/>
      <c r="F322" s="2085"/>
      <c r="G322" s="2048">
        <f t="shared" ref="G322:G330" si="13">ROUND(C322+D322-E322-F322,2)</f>
        <v>0</v>
      </c>
      <c r="H322" s="2092"/>
      <c r="I322" s="2111"/>
      <c r="J322" s="2135" t="s">
        <v>820</v>
      </c>
    </row>
    <row r="323" s="2074" customFormat="1" spans="1:10">
      <c r="A323" s="2092"/>
      <c r="B323" s="2085"/>
      <c r="C323" s="2085"/>
      <c r="D323" s="2085"/>
      <c r="E323" s="2085"/>
      <c r="F323" s="2085"/>
      <c r="G323" s="2048">
        <f t="shared" si="13"/>
        <v>0</v>
      </c>
      <c r="H323" s="2092"/>
      <c r="I323" s="2111"/>
      <c r="J323" s="2135" t="s">
        <v>820</v>
      </c>
    </row>
    <row r="324" s="2074" customFormat="1" spans="1:10">
      <c r="A324" s="2092"/>
      <c r="B324" s="2085"/>
      <c r="C324" s="2085"/>
      <c r="D324" s="2085"/>
      <c r="E324" s="2085"/>
      <c r="F324" s="2085"/>
      <c r="G324" s="2048">
        <f t="shared" si="13"/>
        <v>0</v>
      </c>
      <c r="H324" s="2092"/>
      <c r="I324" s="2111"/>
      <c r="J324" s="2135" t="s">
        <v>820</v>
      </c>
    </row>
    <row r="325" s="2074" customFormat="1" spans="1:10">
      <c r="A325" s="2092"/>
      <c r="B325" s="2085"/>
      <c r="C325" s="2085"/>
      <c r="D325" s="2085"/>
      <c r="E325" s="2085"/>
      <c r="F325" s="2085"/>
      <c r="G325" s="2048">
        <f t="shared" si="13"/>
        <v>0</v>
      </c>
      <c r="H325" s="2092"/>
      <c r="I325" s="2111"/>
      <c r="J325" s="2135" t="s">
        <v>820</v>
      </c>
    </row>
    <row r="326" s="2074" customFormat="1" spans="1:10">
      <c r="A326" s="2092"/>
      <c r="B326" s="2085"/>
      <c r="C326" s="2085"/>
      <c r="D326" s="2085"/>
      <c r="E326" s="2085"/>
      <c r="F326" s="2085"/>
      <c r="G326" s="2048">
        <f t="shared" si="13"/>
        <v>0</v>
      </c>
      <c r="H326" s="2092"/>
      <c r="I326" s="2111"/>
      <c r="J326" s="2135" t="s">
        <v>820</v>
      </c>
    </row>
    <row r="327" s="2074" customFormat="1" spans="1:10">
      <c r="A327" s="2092"/>
      <c r="B327" s="2085"/>
      <c r="C327" s="2085"/>
      <c r="D327" s="2085"/>
      <c r="E327" s="2085"/>
      <c r="F327" s="2085"/>
      <c r="G327" s="2048">
        <f t="shared" si="13"/>
        <v>0</v>
      </c>
      <c r="H327" s="2092"/>
      <c r="I327" s="2111"/>
      <c r="J327" s="2135" t="s">
        <v>820</v>
      </c>
    </row>
    <row r="328" s="2074" customFormat="1" spans="1:10">
      <c r="A328" s="2092"/>
      <c r="B328" s="2085"/>
      <c r="C328" s="2085"/>
      <c r="D328" s="2085"/>
      <c r="E328" s="2085"/>
      <c r="F328" s="2085"/>
      <c r="G328" s="2048">
        <f t="shared" si="13"/>
        <v>0</v>
      </c>
      <c r="H328" s="2092"/>
      <c r="I328" s="2111"/>
      <c r="J328" s="2135" t="s">
        <v>820</v>
      </c>
    </row>
    <row r="329" s="2074" customFormat="1" spans="1:10">
      <c r="A329" s="2092"/>
      <c r="B329" s="2085"/>
      <c r="C329" s="2085"/>
      <c r="D329" s="2085"/>
      <c r="E329" s="2085"/>
      <c r="F329" s="2085"/>
      <c r="G329" s="2048">
        <f t="shared" si="13"/>
        <v>0</v>
      </c>
      <c r="H329" s="2092"/>
      <c r="I329" s="2111"/>
      <c r="J329" s="2135" t="s">
        <v>820</v>
      </c>
    </row>
    <row r="330" s="2074" customFormat="1" spans="1:10">
      <c r="A330" s="2092"/>
      <c r="B330" s="2085"/>
      <c r="C330" s="2085"/>
      <c r="D330" s="2085"/>
      <c r="E330" s="2085"/>
      <c r="F330" s="2085"/>
      <c r="G330" s="2048">
        <f t="shared" si="13"/>
        <v>0</v>
      </c>
      <c r="H330" s="2092"/>
      <c r="I330" s="2111"/>
      <c r="J330" s="2135" t="s">
        <v>820</v>
      </c>
    </row>
    <row r="331" s="2074" customFormat="1" spans="1:10">
      <c r="A331" s="2082" t="s">
        <v>384</v>
      </c>
      <c r="B331" s="2048">
        <f t="shared" ref="B331:G331" si="14">ROUND(SUM(B321:B330),2)</f>
        <v>0</v>
      </c>
      <c r="C331" s="2048">
        <f t="shared" si="14"/>
        <v>0</v>
      </c>
      <c r="D331" s="2048">
        <f t="shared" si="14"/>
        <v>0</v>
      </c>
      <c r="E331" s="2048">
        <f t="shared" si="14"/>
        <v>0</v>
      </c>
      <c r="F331" s="2048">
        <f t="shared" si="14"/>
        <v>0</v>
      </c>
      <c r="G331" s="2048">
        <f t="shared" si="14"/>
        <v>0</v>
      </c>
      <c r="H331" s="2048"/>
      <c r="I331" s="2048"/>
      <c r="J331" s="2135" t="s">
        <v>821</v>
      </c>
    </row>
    <row r="332" s="2074" customFormat="1" spans="1:10">
      <c r="A332" s="2099"/>
      <c r="B332" s="2132"/>
      <c r="C332" s="2100"/>
      <c r="D332" s="2100"/>
      <c r="E332" s="2100"/>
      <c r="F332" s="2100"/>
      <c r="G332" s="2100"/>
      <c r="H332" s="2100"/>
      <c r="I332" s="2100"/>
      <c r="J332" s="2135"/>
    </row>
    <row r="333" s="2074" customFormat="1" spans="1:10">
      <c r="A333" s="2096" t="s">
        <v>822</v>
      </c>
      <c r="B333" s="2126"/>
      <c r="C333" s="2126"/>
      <c r="D333" s="2126"/>
      <c r="E333" s="2126"/>
      <c r="F333" s="2126"/>
      <c r="G333" s="2126"/>
      <c r="H333" s="2126"/>
      <c r="I333" s="2126"/>
      <c r="J333" s="2078"/>
    </row>
    <row r="334" s="2074" customFormat="1" spans="1:9">
      <c r="A334" s="2082" t="s">
        <v>814</v>
      </c>
      <c r="B334" s="2082" t="s">
        <v>670</v>
      </c>
      <c r="C334" s="2082" t="s">
        <v>581</v>
      </c>
      <c r="D334" s="2082" t="s">
        <v>816</v>
      </c>
      <c r="E334" s="2082" t="s">
        <v>817</v>
      </c>
      <c r="F334" s="2082" t="s">
        <v>515</v>
      </c>
      <c r="G334" s="2126"/>
      <c r="H334" s="2126"/>
      <c r="I334" s="2126"/>
    </row>
    <row r="335" s="2074" customFormat="1" spans="1:10">
      <c r="A335" s="2092"/>
      <c r="B335" s="2085"/>
      <c r="C335" s="2085"/>
      <c r="D335" s="2085"/>
      <c r="E335" s="2085"/>
      <c r="F335" s="2048">
        <f>ROUND(B335+C335-D335-E335,2)</f>
        <v>0</v>
      </c>
      <c r="G335" s="2126"/>
      <c r="H335" s="2126"/>
      <c r="I335" s="2126"/>
      <c r="J335" s="2135" t="s">
        <v>823</v>
      </c>
    </row>
    <row r="336" s="2074" customFormat="1" spans="1:10">
      <c r="A336" s="2092"/>
      <c r="B336" s="2085"/>
      <c r="C336" s="2085"/>
      <c r="D336" s="2085"/>
      <c r="E336" s="2085"/>
      <c r="F336" s="2048">
        <f t="shared" ref="F336:F344" si="15">ROUND(B336+C336-D336-E336,2)</f>
        <v>0</v>
      </c>
      <c r="G336" s="2126"/>
      <c r="H336" s="2126"/>
      <c r="I336" s="2126"/>
      <c r="J336" s="2135" t="s">
        <v>823</v>
      </c>
    </row>
    <row r="337" s="2074" customFormat="1" spans="1:10">
      <c r="A337" s="2092"/>
      <c r="B337" s="2085"/>
      <c r="C337" s="2085"/>
      <c r="D337" s="2085"/>
      <c r="E337" s="2085"/>
      <c r="F337" s="2048">
        <f t="shared" si="15"/>
        <v>0</v>
      </c>
      <c r="G337" s="2126"/>
      <c r="H337" s="2126"/>
      <c r="I337" s="2126"/>
      <c r="J337" s="2135" t="s">
        <v>823</v>
      </c>
    </row>
    <row r="338" s="2074" customFormat="1" spans="1:10">
      <c r="A338" s="2092"/>
      <c r="B338" s="2085"/>
      <c r="C338" s="2085"/>
      <c r="D338" s="2085"/>
      <c r="E338" s="2085"/>
      <c r="F338" s="2048">
        <f t="shared" si="15"/>
        <v>0</v>
      </c>
      <c r="G338" s="2126"/>
      <c r="H338" s="2126"/>
      <c r="I338" s="2126"/>
      <c r="J338" s="2135" t="s">
        <v>823</v>
      </c>
    </row>
    <row r="339" s="2074" customFormat="1" spans="1:10">
      <c r="A339" s="2092"/>
      <c r="B339" s="2085"/>
      <c r="C339" s="2085"/>
      <c r="D339" s="2085"/>
      <c r="E339" s="2085"/>
      <c r="F339" s="2048">
        <f t="shared" si="15"/>
        <v>0</v>
      </c>
      <c r="G339" s="2126"/>
      <c r="H339" s="2126"/>
      <c r="I339" s="2126"/>
      <c r="J339" s="2135" t="s">
        <v>823</v>
      </c>
    </row>
    <row r="340" s="2074" customFormat="1" spans="1:10">
      <c r="A340" s="2092"/>
      <c r="B340" s="2085"/>
      <c r="C340" s="2085"/>
      <c r="D340" s="2085"/>
      <c r="E340" s="2085"/>
      <c r="F340" s="2048">
        <f t="shared" si="15"/>
        <v>0</v>
      </c>
      <c r="G340" s="2126"/>
      <c r="H340" s="2126"/>
      <c r="I340" s="2126"/>
      <c r="J340" s="2135" t="s">
        <v>823</v>
      </c>
    </row>
    <row r="341" s="2074" customFormat="1" spans="1:10">
      <c r="A341" s="2092"/>
      <c r="B341" s="2085"/>
      <c r="C341" s="2085"/>
      <c r="D341" s="2085"/>
      <c r="E341" s="2085"/>
      <c r="F341" s="2048">
        <f t="shared" si="15"/>
        <v>0</v>
      </c>
      <c r="G341" s="2126"/>
      <c r="H341" s="2126"/>
      <c r="I341" s="2126"/>
      <c r="J341" s="2135" t="s">
        <v>823</v>
      </c>
    </row>
    <row r="342" s="2074" customFormat="1" spans="1:10">
      <c r="A342" s="2092"/>
      <c r="B342" s="2085"/>
      <c r="C342" s="2085"/>
      <c r="D342" s="2085"/>
      <c r="E342" s="2085"/>
      <c r="F342" s="2048">
        <f t="shared" si="15"/>
        <v>0</v>
      </c>
      <c r="G342" s="2126"/>
      <c r="H342" s="2126"/>
      <c r="I342" s="2126"/>
      <c r="J342" s="2135" t="s">
        <v>823</v>
      </c>
    </row>
    <row r="343" s="2074" customFormat="1" spans="1:10">
      <c r="A343" s="2092"/>
      <c r="B343" s="2085"/>
      <c r="C343" s="2085"/>
      <c r="D343" s="2085"/>
      <c r="E343" s="2085"/>
      <c r="F343" s="2048">
        <f t="shared" si="15"/>
        <v>0</v>
      </c>
      <c r="G343" s="2126"/>
      <c r="H343" s="2126"/>
      <c r="I343" s="2126"/>
      <c r="J343" s="2135" t="s">
        <v>823</v>
      </c>
    </row>
    <row r="344" s="2074" customFormat="1" spans="1:10">
      <c r="A344" s="2092"/>
      <c r="B344" s="2085"/>
      <c r="C344" s="2085"/>
      <c r="D344" s="2085"/>
      <c r="E344" s="2085"/>
      <c r="F344" s="2048">
        <f t="shared" si="15"/>
        <v>0</v>
      </c>
      <c r="G344" s="2126"/>
      <c r="H344" s="2126"/>
      <c r="I344" s="2126"/>
      <c r="J344" s="2135" t="s">
        <v>823</v>
      </c>
    </row>
    <row r="345" s="2074" customFormat="1" spans="1:10">
      <c r="A345" s="2082" t="s">
        <v>384</v>
      </c>
      <c r="B345" s="2048">
        <f>ROUND(SUM(B335:B344),2)</f>
        <v>0</v>
      </c>
      <c r="C345" s="2048">
        <f>ROUND(SUM(C335:C344),2)</f>
        <v>0</v>
      </c>
      <c r="D345" s="2048">
        <f>ROUND(SUM(D335:D344),2)</f>
        <v>0</v>
      </c>
      <c r="E345" s="2048">
        <f>ROUND(SUM(E335:E344),2)</f>
        <v>0</v>
      </c>
      <c r="F345" s="2048">
        <f>ROUND(SUM(F335:F344),2)</f>
        <v>0</v>
      </c>
      <c r="G345" s="2126"/>
      <c r="H345" s="2126"/>
      <c r="I345" s="2126"/>
      <c r="J345" s="2135" t="s">
        <v>824</v>
      </c>
    </row>
    <row r="346" s="2074" customFormat="1" spans="1:10">
      <c r="A346" s="2099"/>
      <c r="B346" s="2132"/>
      <c r="C346" s="2100"/>
      <c r="D346" s="2100"/>
      <c r="E346" s="2100"/>
      <c r="F346" s="2100"/>
      <c r="G346" s="2100"/>
      <c r="H346" s="2100"/>
      <c r="I346" s="2100"/>
      <c r="J346" s="2135"/>
    </row>
    <row r="347" s="2074" customFormat="1" spans="1:10">
      <c r="A347" s="2096" t="s">
        <v>825</v>
      </c>
      <c r="B347" s="2126"/>
      <c r="C347" s="2126"/>
      <c r="D347" s="2126"/>
      <c r="E347" s="2126"/>
      <c r="F347" s="2126"/>
      <c r="G347" s="2126"/>
      <c r="H347" s="2126"/>
      <c r="I347" s="2126"/>
      <c r="J347" s="2078"/>
    </row>
    <row r="348" s="2074" customFormat="1" spans="1:9">
      <c r="A348" s="2082" t="s">
        <v>814</v>
      </c>
      <c r="B348" s="2082" t="s">
        <v>670</v>
      </c>
      <c r="C348" s="2082" t="s">
        <v>581</v>
      </c>
      <c r="D348" s="2082" t="s">
        <v>816</v>
      </c>
      <c r="E348" s="2082" t="s">
        <v>817</v>
      </c>
      <c r="F348" s="2082" t="s">
        <v>515</v>
      </c>
      <c r="G348" s="2082" t="s">
        <v>826</v>
      </c>
      <c r="H348" s="2126"/>
      <c r="I348" s="2126"/>
    </row>
    <row r="349" s="2074" customFormat="1" spans="1:10">
      <c r="A349" s="2092"/>
      <c r="B349" s="2085"/>
      <c r="C349" s="2085"/>
      <c r="D349" s="2085"/>
      <c r="E349" s="2085"/>
      <c r="F349" s="2048">
        <f>ROUND(B349+C349-D349-E349,2)</f>
        <v>0</v>
      </c>
      <c r="G349" s="2092"/>
      <c r="H349" s="2126"/>
      <c r="I349" s="2126"/>
      <c r="J349" s="2135" t="s">
        <v>827</v>
      </c>
    </row>
    <row r="350" s="2074" customFormat="1" spans="1:10">
      <c r="A350" s="2092"/>
      <c r="B350" s="2085"/>
      <c r="C350" s="2085"/>
      <c r="D350" s="2085"/>
      <c r="E350" s="2085"/>
      <c r="F350" s="2048">
        <f t="shared" ref="F350:F358" si="16">ROUND(B350+C350-D350-E350,2)</f>
        <v>0</v>
      </c>
      <c r="G350" s="2092"/>
      <c r="H350" s="2126"/>
      <c r="I350" s="2126"/>
      <c r="J350" s="2135" t="s">
        <v>827</v>
      </c>
    </row>
    <row r="351" s="2074" customFormat="1" spans="1:10">
      <c r="A351" s="2092"/>
      <c r="B351" s="2085"/>
      <c r="C351" s="2085"/>
      <c r="D351" s="2085"/>
      <c r="E351" s="2085"/>
      <c r="F351" s="2048">
        <f t="shared" si="16"/>
        <v>0</v>
      </c>
      <c r="G351" s="2092"/>
      <c r="H351" s="2126"/>
      <c r="I351" s="2126"/>
      <c r="J351" s="2135" t="s">
        <v>827</v>
      </c>
    </row>
    <row r="352" s="2074" customFormat="1" spans="1:10">
      <c r="A352" s="2092"/>
      <c r="B352" s="2085"/>
      <c r="C352" s="2085"/>
      <c r="D352" s="2085"/>
      <c r="E352" s="2085"/>
      <c r="F352" s="2048">
        <f t="shared" si="16"/>
        <v>0</v>
      </c>
      <c r="G352" s="2092"/>
      <c r="H352" s="2126"/>
      <c r="I352" s="2126"/>
      <c r="J352" s="2135" t="s">
        <v>827</v>
      </c>
    </row>
    <row r="353" s="2074" customFormat="1" spans="1:10">
      <c r="A353" s="2092"/>
      <c r="B353" s="2085"/>
      <c r="C353" s="2085"/>
      <c r="D353" s="2085"/>
      <c r="E353" s="2085"/>
      <c r="F353" s="2048">
        <f t="shared" si="16"/>
        <v>0</v>
      </c>
      <c r="G353" s="2092"/>
      <c r="H353" s="2126"/>
      <c r="I353" s="2126"/>
      <c r="J353" s="2135" t="s">
        <v>827</v>
      </c>
    </row>
    <row r="354" s="2074" customFormat="1" spans="1:10">
      <c r="A354" s="2092"/>
      <c r="B354" s="2085"/>
      <c r="C354" s="2085"/>
      <c r="D354" s="2085"/>
      <c r="E354" s="2085"/>
      <c r="F354" s="2048">
        <f t="shared" si="16"/>
        <v>0</v>
      </c>
      <c r="G354" s="2092"/>
      <c r="H354" s="2126"/>
      <c r="I354" s="2126"/>
      <c r="J354" s="2135" t="s">
        <v>827</v>
      </c>
    </row>
    <row r="355" s="2074" customFormat="1" spans="1:10">
      <c r="A355" s="2092"/>
      <c r="B355" s="2085"/>
      <c r="C355" s="2085"/>
      <c r="D355" s="2085"/>
      <c r="E355" s="2085"/>
      <c r="F355" s="2048">
        <f t="shared" si="16"/>
        <v>0</v>
      </c>
      <c r="G355" s="2092"/>
      <c r="H355" s="2126"/>
      <c r="I355" s="2126"/>
      <c r="J355" s="2135" t="s">
        <v>827</v>
      </c>
    </row>
    <row r="356" s="2074" customFormat="1" spans="1:10">
      <c r="A356" s="2092"/>
      <c r="B356" s="2085"/>
      <c r="C356" s="2085"/>
      <c r="D356" s="2085"/>
      <c r="E356" s="2085"/>
      <c r="F356" s="2048">
        <f t="shared" si="16"/>
        <v>0</v>
      </c>
      <c r="G356" s="2092"/>
      <c r="H356" s="2126"/>
      <c r="I356" s="2126"/>
      <c r="J356" s="2135" t="s">
        <v>827</v>
      </c>
    </row>
    <row r="357" s="2074" customFormat="1" spans="1:10">
      <c r="A357" s="2092"/>
      <c r="B357" s="2085"/>
      <c r="C357" s="2085"/>
      <c r="D357" s="2085"/>
      <c r="E357" s="2085"/>
      <c r="F357" s="2048">
        <f t="shared" si="16"/>
        <v>0</v>
      </c>
      <c r="G357" s="2092"/>
      <c r="H357" s="2126"/>
      <c r="I357" s="2126"/>
      <c r="J357" s="2135" t="s">
        <v>827</v>
      </c>
    </row>
    <row r="358" s="2074" customFormat="1" spans="1:10">
      <c r="A358" s="2092"/>
      <c r="B358" s="2085"/>
      <c r="C358" s="2085"/>
      <c r="D358" s="2085"/>
      <c r="E358" s="2085"/>
      <c r="F358" s="2048">
        <f t="shared" si="16"/>
        <v>0</v>
      </c>
      <c r="G358" s="2092"/>
      <c r="H358" s="2126"/>
      <c r="I358" s="2126"/>
      <c r="J358" s="2135" t="s">
        <v>827</v>
      </c>
    </row>
    <row r="359" s="2074" customFormat="1" spans="1:10">
      <c r="A359" s="2082" t="s">
        <v>384</v>
      </c>
      <c r="B359" s="2048">
        <f>ROUND(SUM(B349:B358),2)</f>
        <v>0</v>
      </c>
      <c r="C359" s="2048">
        <f>ROUND(SUM(C349:C358),2)</f>
        <v>0</v>
      </c>
      <c r="D359" s="2048">
        <f>ROUND(SUM(D349:D358),2)</f>
        <v>0</v>
      </c>
      <c r="E359" s="2048">
        <f>ROUND(SUM(E349:E358),2)</f>
        <v>0</v>
      </c>
      <c r="F359" s="2048">
        <f>ROUND(SUM(F349:F358),2)</f>
        <v>0</v>
      </c>
      <c r="G359" s="2048"/>
      <c r="H359" s="2126"/>
      <c r="I359" s="2126"/>
      <c r="J359" s="2135" t="s">
        <v>828</v>
      </c>
    </row>
    <row r="360" s="2075" customFormat="1" spans="1:10">
      <c r="A360" s="2119"/>
      <c r="B360" s="2119"/>
      <c r="C360" s="2119"/>
      <c r="D360" s="2119"/>
      <c r="E360" s="2119"/>
      <c r="F360" s="2119"/>
      <c r="G360" s="2119"/>
      <c r="H360" s="2119"/>
      <c r="I360" s="2119"/>
      <c r="J360" s="2141"/>
    </row>
    <row r="361" s="2075" customFormat="1" spans="1:10">
      <c r="A361" s="2103"/>
      <c r="B361" s="2080"/>
      <c r="C361" s="2080"/>
      <c r="D361" s="2080"/>
      <c r="E361" s="2080"/>
      <c r="F361" s="2080"/>
      <c r="G361" s="2080"/>
      <c r="H361" s="2080"/>
      <c r="I361" s="2080"/>
      <c r="J361" s="2141"/>
    </row>
    <row r="362" s="2075" customFormat="1" spans="1:10">
      <c r="A362" s="2079" t="s">
        <v>829</v>
      </c>
      <c r="B362" s="2080"/>
      <c r="C362" s="2080"/>
      <c r="D362" s="2080"/>
      <c r="E362" s="2080"/>
      <c r="F362" s="2080"/>
      <c r="G362" s="2080"/>
      <c r="H362" s="2080"/>
      <c r="I362" s="2080"/>
      <c r="J362" s="2141"/>
    </row>
    <row r="363" s="2075" customFormat="1" spans="1:10">
      <c r="A363" s="2082" t="s">
        <v>372</v>
      </c>
      <c r="B363" s="2082" t="s">
        <v>626</v>
      </c>
      <c r="C363" s="2082" t="s">
        <v>627</v>
      </c>
      <c r="D363" s="2080"/>
      <c r="E363" s="2080"/>
      <c r="F363" s="2080"/>
      <c r="G363" s="2080"/>
      <c r="H363" s="2080"/>
      <c r="I363" s="2080"/>
      <c r="J363" s="2141"/>
    </row>
    <row r="364" s="2075" customFormat="1" spans="1:10">
      <c r="A364" s="2092"/>
      <c r="B364" s="2085"/>
      <c r="C364" s="2085"/>
      <c r="D364" s="2080"/>
      <c r="E364" s="2080"/>
      <c r="F364" s="2080"/>
      <c r="G364" s="2080"/>
      <c r="H364" s="2080"/>
      <c r="I364" s="2080"/>
      <c r="J364" s="2118" t="s">
        <v>237</v>
      </c>
    </row>
    <row r="365" s="2075" customFormat="1" spans="1:10">
      <c r="A365" s="2092"/>
      <c r="B365" s="2085"/>
      <c r="C365" s="2085"/>
      <c r="D365" s="2080"/>
      <c r="E365" s="2080"/>
      <c r="F365" s="2080"/>
      <c r="G365" s="2080"/>
      <c r="H365" s="2080"/>
      <c r="I365" s="2080"/>
      <c r="J365" s="2118" t="s">
        <v>237</v>
      </c>
    </row>
    <row r="366" s="2075" customFormat="1" spans="1:10">
      <c r="A366" s="2092"/>
      <c r="B366" s="2085"/>
      <c r="C366" s="2085"/>
      <c r="D366" s="2080"/>
      <c r="E366" s="2080"/>
      <c r="F366" s="2080"/>
      <c r="G366" s="2080"/>
      <c r="H366" s="2080"/>
      <c r="I366" s="2080"/>
      <c r="J366" s="2118" t="s">
        <v>237</v>
      </c>
    </row>
    <row r="367" s="2075" customFormat="1" spans="1:10">
      <c r="A367" s="2092"/>
      <c r="B367" s="2085"/>
      <c r="C367" s="2085"/>
      <c r="D367" s="2080"/>
      <c r="E367" s="2080"/>
      <c r="F367" s="2080"/>
      <c r="G367" s="2080"/>
      <c r="H367" s="2080"/>
      <c r="I367" s="2080"/>
      <c r="J367" s="2118" t="s">
        <v>237</v>
      </c>
    </row>
    <row r="368" s="2075" customFormat="1" spans="1:10">
      <c r="A368" s="2092"/>
      <c r="B368" s="2085"/>
      <c r="C368" s="2085"/>
      <c r="D368" s="2080"/>
      <c r="E368" s="2080"/>
      <c r="F368" s="2080"/>
      <c r="G368" s="2080"/>
      <c r="H368" s="2080"/>
      <c r="I368" s="2080"/>
      <c r="J368" s="2118" t="s">
        <v>237</v>
      </c>
    </row>
    <row r="369" s="2075" customFormat="1" spans="1:10">
      <c r="A369" s="2092"/>
      <c r="B369" s="2085"/>
      <c r="C369" s="2085"/>
      <c r="D369" s="2080"/>
      <c r="E369" s="2080"/>
      <c r="F369" s="2080"/>
      <c r="G369" s="2080"/>
      <c r="H369" s="2080"/>
      <c r="I369" s="2080"/>
      <c r="J369" s="2118" t="s">
        <v>237</v>
      </c>
    </row>
    <row r="370" s="2075" customFormat="1" spans="1:10">
      <c r="A370" s="2092"/>
      <c r="B370" s="2085"/>
      <c r="C370" s="2085"/>
      <c r="D370" s="2080"/>
      <c r="E370" s="2080"/>
      <c r="F370" s="2080"/>
      <c r="G370" s="2080"/>
      <c r="H370" s="2080"/>
      <c r="I370" s="2080"/>
      <c r="J370" s="2118" t="s">
        <v>237</v>
      </c>
    </row>
    <row r="371" s="2075" customFormat="1" spans="1:10">
      <c r="A371" s="2092"/>
      <c r="B371" s="2085"/>
      <c r="C371" s="2085"/>
      <c r="D371" s="2080"/>
      <c r="E371" s="2080"/>
      <c r="F371" s="2080"/>
      <c r="G371" s="2080"/>
      <c r="H371" s="2080"/>
      <c r="I371" s="2080"/>
      <c r="J371" s="2118" t="s">
        <v>237</v>
      </c>
    </row>
    <row r="372" s="2075" customFormat="1" spans="1:10">
      <c r="A372" s="2092"/>
      <c r="B372" s="2085"/>
      <c r="C372" s="2085"/>
      <c r="D372" s="2080"/>
      <c r="E372" s="2080"/>
      <c r="F372" s="2080"/>
      <c r="G372" s="2080"/>
      <c r="H372" s="2080"/>
      <c r="I372" s="2080"/>
      <c r="J372" s="2118" t="s">
        <v>237</v>
      </c>
    </row>
    <row r="373" s="2075" customFormat="1" spans="1:10">
      <c r="A373" s="2092"/>
      <c r="B373" s="2085"/>
      <c r="C373" s="2085"/>
      <c r="D373" s="2080"/>
      <c r="E373" s="2080"/>
      <c r="F373" s="2080"/>
      <c r="G373" s="2080"/>
      <c r="H373" s="2080"/>
      <c r="I373" s="2080"/>
      <c r="J373" s="2118" t="s">
        <v>237</v>
      </c>
    </row>
    <row r="374" s="2075" customFormat="1" spans="1:10">
      <c r="A374" s="2082" t="s">
        <v>384</v>
      </c>
      <c r="B374" s="2048">
        <f>ROUND(SUM(B364:B373),2)</f>
        <v>0</v>
      </c>
      <c r="C374" s="2048">
        <f>ROUND(SUM(C364:C373),2)</f>
        <v>0</v>
      </c>
      <c r="D374" s="2080"/>
      <c r="E374" s="2080"/>
      <c r="F374" s="2080"/>
      <c r="G374" s="2080"/>
      <c r="H374" s="2080"/>
      <c r="I374" s="2080"/>
      <c r="J374" s="2118" t="s">
        <v>830</v>
      </c>
    </row>
    <row r="375" s="2075" customFormat="1" spans="1:10">
      <c r="A375" s="2119"/>
      <c r="B375" s="2119"/>
      <c r="C375" s="2119"/>
      <c r="D375" s="2119"/>
      <c r="E375" s="2119"/>
      <c r="F375" s="2119"/>
      <c r="G375" s="2119"/>
      <c r="H375" s="2119"/>
      <c r="I375" s="2119"/>
      <c r="J375" s="2141"/>
    </row>
    <row r="376" s="2075" customFormat="1" spans="1:10">
      <c r="A376" s="2103"/>
      <c r="B376" s="2080"/>
      <c r="C376" s="2080"/>
      <c r="D376" s="2080"/>
      <c r="E376" s="2080"/>
      <c r="F376" s="2080"/>
      <c r="G376" s="2080"/>
      <c r="H376" s="2080"/>
      <c r="I376" s="2080"/>
      <c r="J376" s="2141"/>
    </row>
    <row r="377" s="2075" customFormat="1" spans="1:10">
      <c r="A377" s="2079" t="s">
        <v>831</v>
      </c>
      <c r="B377" s="2080"/>
      <c r="C377" s="2080"/>
      <c r="D377" s="2080"/>
      <c r="E377" s="2080"/>
      <c r="F377" s="2080"/>
      <c r="G377" s="2080"/>
      <c r="H377" s="2080"/>
      <c r="I377" s="2080"/>
      <c r="J377" s="2141"/>
    </row>
    <row r="378" s="2075" customFormat="1" spans="1:10">
      <c r="A378" s="2082" t="s">
        <v>372</v>
      </c>
      <c r="B378" s="2082" t="s">
        <v>626</v>
      </c>
      <c r="C378" s="2082" t="s">
        <v>627</v>
      </c>
      <c r="D378" s="2082" t="s">
        <v>832</v>
      </c>
      <c r="E378" s="2080"/>
      <c r="F378" s="2080"/>
      <c r="G378" s="2080"/>
      <c r="H378" s="2080"/>
      <c r="I378" s="2080"/>
      <c r="J378" s="2141"/>
    </row>
    <row r="379" s="2075" customFormat="1" spans="1:10">
      <c r="A379" s="2092"/>
      <c r="B379" s="2085"/>
      <c r="C379" s="2085"/>
      <c r="D379" s="2092"/>
      <c r="E379" s="2080"/>
      <c r="F379" s="2080"/>
      <c r="G379" s="2080"/>
      <c r="H379" s="2080"/>
      <c r="I379" s="2080"/>
      <c r="J379" s="2118" t="s">
        <v>239</v>
      </c>
    </row>
    <row r="380" s="2075" customFormat="1" spans="1:10">
      <c r="A380" s="2092"/>
      <c r="B380" s="2085"/>
      <c r="C380" s="2085"/>
      <c r="D380" s="2092"/>
      <c r="E380" s="2080"/>
      <c r="F380" s="2080"/>
      <c r="G380" s="2080"/>
      <c r="H380" s="2080"/>
      <c r="I380" s="2080"/>
      <c r="J380" s="2118" t="s">
        <v>239</v>
      </c>
    </row>
    <row r="381" s="2075" customFormat="1" spans="1:10">
      <c r="A381" s="2092"/>
      <c r="B381" s="2085"/>
      <c r="C381" s="2085"/>
      <c r="D381" s="2092"/>
      <c r="E381" s="2080"/>
      <c r="F381" s="2080"/>
      <c r="G381" s="2080"/>
      <c r="H381" s="2080"/>
      <c r="I381" s="2080"/>
      <c r="J381" s="2118" t="s">
        <v>239</v>
      </c>
    </row>
    <row r="382" s="2075" customFormat="1" spans="1:10">
      <c r="A382" s="2092"/>
      <c r="B382" s="2085"/>
      <c r="C382" s="2085"/>
      <c r="D382" s="2092"/>
      <c r="E382" s="2080"/>
      <c r="F382" s="2080"/>
      <c r="G382" s="2080"/>
      <c r="H382" s="2080"/>
      <c r="I382" s="2080"/>
      <c r="J382" s="2118" t="s">
        <v>239</v>
      </c>
    </row>
    <row r="383" s="2075" customFormat="1" spans="1:10">
      <c r="A383" s="2092"/>
      <c r="B383" s="2085"/>
      <c r="C383" s="2085"/>
      <c r="D383" s="2092"/>
      <c r="E383" s="2080"/>
      <c r="F383" s="2080"/>
      <c r="G383" s="2080"/>
      <c r="H383" s="2080"/>
      <c r="I383" s="2080"/>
      <c r="J383" s="2118" t="s">
        <v>239</v>
      </c>
    </row>
    <row r="384" s="2075" customFormat="1" spans="1:10">
      <c r="A384" s="2092"/>
      <c r="B384" s="2085"/>
      <c r="C384" s="2085"/>
      <c r="D384" s="2092"/>
      <c r="E384" s="2080"/>
      <c r="F384" s="2080"/>
      <c r="G384" s="2080"/>
      <c r="H384" s="2080"/>
      <c r="I384" s="2080"/>
      <c r="J384" s="2118" t="s">
        <v>239</v>
      </c>
    </row>
    <row r="385" s="2075" customFormat="1" spans="1:10">
      <c r="A385" s="2092"/>
      <c r="B385" s="2085"/>
      <c r="C385" s="2085"/>
      <c r="D385" s="2092"/>
      <c r="E385" s="2080"/>
      <c r="F385" s="2080"/>
      <c r="G385" s="2080"/>
      <c r="H385" s="2080"/>
      <c r="I385" s="2080"/>
      <c r="J385" s="2118" t="s">
        <v>239</v>
      </c>
    </row>
    <row r="386" s="2075" customFormat="1" spans="1:10">
      <c r="A386" s="2092"/>
      <c r="B386" s="2085"/>
      <c r="C386" s="2085"/>
      <c r="D386" s="2092"/>
      <c r="E386" s="2080"/>
      <c r="F386" s="2080"/>
      <c r="G386" s="2080"/>
      <c r="H386" s="2080"/>
      <c r="I386" s="2080"/>
      <c r="J386" s="2118" t="s">
        <v>239</v>
      </c>
    </row>
    <row r="387" s="2075" customFormat="1" spans="1:10">
      <c r="A387" s="2092"/>
      <c r="B387" s="2085"/>
      <c r="C387" s="2085"/>
      <c r="D387" s="2092"/>
      <c r="E387" s="2080"/>
      <c r="F387" s="2080"/>
      <c r="G387" s="2080"/>
      <c r="H387" s="2080"/>
      <c r="I387" s="2080"/>
      <c r="J387" s="2118" t="s">
        <v>239</v>
      </c>
    </row>
    <row r="388" s="2075" customFormat="1" spans="1:10">
      <c r="A388" s="2092"/>
      <c r="B388" s="2085"/>
      <c r="C388" s="2085"/>
      <c r="D388" s="2092"/>
      <c r="E388" s="2080"/>
      <c r="F388" s="2080"/>
      <c r="G388" s="2080"/>
      <c r="H388" s="2080"/>
      <c r="I388" s="2080"/>
      <c r="J388" s="2118" t="s">
        <v>239</v>
      </c>
    </row>
    <row r="389" s="2075" customFormat="1" spans="1:10">
      <c r="A389" s="2082" t="s">
        <v>384</v>
      </c>
      <c r="B389" s="2048">
        <f>ROUND(SUM(B379:B388),2)</f>
        <v>0</v>
      </c>
      <c r="C389" s="2048">
        <f>ROUND(SUM(C379:C388),2)</f>
        <v>0</v>
      </c>
      <c r="D389" s="2048"/>
      <c r="E389" s="2080"/>
      <c r="F389" s="2080"/>
      <c r="G389" s="2080"/>
      <c r="H389" s="2080"/>
      <c r="I389" s="2080"/>
      <c r="J389" s="2118" t="s">
        <v>833</v>
      </c>
    </row>
    <row r="390" s="2074" customFormat="1" spans="1:10">
      <c r="A390" s="2140"/>
      <c r="B390" s="2126"/>
      <c r="C390" s="2126"/>
      <c r="D390" s="2126"/>
      <c r="E390" s="2126"/>
      <c r="F390" s="2126"/>
      <c r="G390" s="2126"/>
      <c r="H390" s="2126"/>
      <c r="I390" s="2126"/>
      <c r="J390" s="2078"/>
    </row>
    <row r="391" s="2074" customFormat="1" spans="1:10">
      <c r="A391" s="2140"/>
      <c r="B391" s="2126"/>
      <c r="C391" s="2126"/>
      <c r="D391" s="2126"/>
      <c r="E391" s="2126"/>
      <c r="F391" s="2126"/>
      <c r="G391" s="2126"/>
      <c r="H391" s="2126"/>
      <c r="I391" s="2126"/>
      <c r="J391" s="2078"/>
    </row>
    <row r="392" s="2074" customFormat="1" spans="1:10">
      <c r="A392" s="2125" t="s">
        <v>834</v>
      </c>
      <c r="B392" s="2126"/>
      <c r="C392" s="2126"/>
      <c r="D392" s="2126"/>
      <c r="E392" s="2126"/>
      <c r="F392" s="2126"/>
      <c r="G392" s="2126"/>
      <c r="H392" s="2126"/>
      <c r="I392" s="2126"/>
      <c r="J392" s="2078"/>
    </row>
    <row r="393" s="2074" customFormat="1" spans="1:10">
      <c r="A393" s="2127" t="s">
        <v>835</v>
      </c>
      <c r="B393" s="2126"/>
      <c r="C393" s="2126"/>
      <c r="D393" s="2126"/>
      <c r="E393" s="2126"/>
      <c r="F393" s="2126"/>
      <c r="G393" s="2126"/>
      <c r="H393" s="2126"/>
      <c r="I393" s="2126"/>
      <c r="J393" s="2078"/>
    </row>
    <row r="394" s="2075" customFormat="1" spans="1:10">
      <c r="A394" s="2082" t="s">
        <v>372</v>
      </c>
      <c r="B394" s="2082" t="s">
        <v>316</v>
      </c>
      <c r="C394" s="2082" t="s">
        <v>581</v>
      </c>
      <c r="D394" s="2082" t="s">
        <v>582</v>
      </c>
      <c r="E394" s="2082" t="s">
        <v>315</v>
      </c>
      <c r="F394" s="2108" t="s">
        <v>836</v>
      </c>
      <c r="G394" s="2128"/>
      <c r="H394" s="2128"/>
      <c r="I394" s="2128"/>
      <c r="J394" s="2141"/>
    </row>
    <row r="395" s="2075" customFormat="1" spans="1:10">
      <c r="A395" s="2084" t="s">
        <v>837</v>
      </c>
      <c r="B395" s="2087"/>
      <c r="C395" s="2087"/>
      <c r="D395" s="2087"/>
      <c r="E395" s="2087"/>
      <c r="F395" s="2098"/>
      <c r="G395" s="2095"/>
      <c r="H395" s="2095"/>
      <c r="I395" s="2095"/>
      <c r="J395" s="2141"/>
    </row>
    <row r="396" s="2075" customFormat="1" spans="1:10">
      <c r="A396" s="2092"/>
      <c r="B396" s="2085"/>
      <c r="C396" s="2085"/>
      <c r="D396" s="2085"/>
      <c r="E396" s="2048">
        <f>ROUND(B396+C396-D396,2)</f>
        <v>0</v>
      </c>
      <c r="F396" s="2142"/>
      <c r="G396" s="2095"/>
      <c r="H396" s="2095"/>
      <c r="I396" s="2095"/>
      <c r="J396" s="2118" t="s">
        <v>838</v>
      </c>
    </row>
    <row r="397" s="2075" customFormat="1" spans="1:10">
      <c r="A397" s="2092"/>
      <c r="B397" s="2085"/>
      <c r="C397" s="2085"/>
      <c r="D397" s="2085"/>
      <c r="E397" s="2048">
        <f t="shared" ref="E397:E405" si="17">ROUND(B397+C397-D397,2)</f>
        <v>0</v>
      </c>
      <c r="F397" s="2142"/>
      <c r="G397" s="2095"/>
      <c r="H397" s="2095"/>
      <c r="I397" s="2095"/>
      <c r="J397" s="2118" t="s">
        <v>838</v>
      </c>
    </row>
    <row r="398" s="2075" customFormat="1" spans="1:10">
      <c r="A398" s="2092"/>
      <c r="B398" s="2085"/>
      <c r="C398" s="2085"/>
      <c r="D398" s="2085"/>
      <c r="E398" s="2048">
        <f t="shared" si="17"/>
        <v>0</v>
      </c>
      <c r="F398" s="2142"/>
      <c r="G398" s="2095"/>
      <c r="H398" s="2095"/>
      <c r="I398" s="2095"/>
      <c r="J398" s="2118" t="s">
        <v>838</v>
      </c>
    </row>
    <row r="399" s="2075" customFormat="1" spans="1:10">
      <c r="A399" s="2092"/>
      <c r="B399" s="2085"/>
      <c r="C399" s="2085"/>
      <c r="D399" s="2085"/>
      <c r="E399" s="2048">
        <f t="shared" si="17"/>
        <v>0</v>
      </c>
      <c r="F399" s="2142"/>
      <c r="G399" s="2095"/>
      <c r="H399" s="2095"/>
      <c r="I399" s="2095"/>
      <c r="J399" s="2118" t="s">
        <v>838</v>
      </c>
    </row>
    <row r="400" s="2075" customFormat="1" spans="1:10">
      <c r="A400" s="2092"/>
      <c r="B400" s="2085"/>
      <c r="C400" s="2085"/>
      <c r="D400" s="2085"/>
      <c r="E400" s="2048">
        <f t="shared" si="17"/>
        <v>0</v>
      </c>
      <c r="F400" s="2142"/>
      <c r="G400" s="2095"/>
      <c r="H400" s="2095"/>
      <c r="I400" s="2095"/>
      <c r="J400" s="2118" t="s">
        <v>838</v>
      </c>
    </row>
    <row r="401" s="2075" customFormat="1" spans="1:10">
      <c r="A401" s="2092"/>
      <c r="B401" s="2085"/>
      <c r="C401" s="2085"/>
      <c r="D401" s="2085"/>
      <c r="E401" s="2048">
        <f t="shared" si="17"/>
        <v>0</v>
      </c>
      <c r="F401" s="2142"/>
      <c r="G401" s="2095"/>
      <c r="H401" s="2095"/>
      <c r="I401" s="2095"/>
      <c r="J401" s="2118" t="s">
        <v>838</v>
      </c>
    </row>
    <row r="402" s="2075" customFormat="1" spans="1:10">
      <c r="A402" s="2092"/>
      <c r="B402" s="2085"/>
      <c r="C402" s="2085"/>
      <c r="D402" s="2085"/>
      <c r="E402" s="2048">
        <f t="shared" si="17"/>
        <v>0</v>
      </c>
      <c r="F402" s="2142"/>
      <c r="G402" s="2095"/>
      <c r="H402" s="2095"/>
      <c r="I402" s="2095"/>
      <c r="J402" s="2118" t="s">
        <v>838</v>
      </c>
    </row>
    <row r="403" s="2075" customFormat="1" spans="1:10">
      <c r="A403" s="2092"/>
      <c r="B403" s="2085"/>
      <c r="C403" s="2085"/>
      <c r="D403" s="2085"/>
      <c r="E403" s="2048">
        <f t="shared" si="17"/>
        <v>0</v>
      </c>
      <c r="F403" s="2142"/>
      <c r="G403" s="2095"/>
      <c r="H403" s="2095"/>
      <c r="I403" s="2095"/>
      <c r="J403" s="2118" t="s">
        <v>838</v>
      </c>
    </row>
    <row r="404" s="2075" customFormat="1" spans="1:10">
      <c r="A404" s="2092"/>
      <c r="B404" s="2085"/>
      <c r="C404" s="2085"/>
      <c r="D404" s="2085"/>
      <c r="E404" s="2048">
        <f t="shared" si="17"/>
        <v>0</v>
      </c>
      <c r="F404" s="2142"/>
      <c r="G404" s="2095"/>
      <c r="H404" s="2095"/>
      <c r="I404" s="2095"/>
      <c r="J404" s="2118" t="s">
        <v>838</v>
      </c>
    </row>
    <row r="405" s="2075" customFormat="1" spans="1:10">
      <c r="A405" s="2092"/>
      <c r="B405" s="2085"/>
      <c r="C405" s="2085"/>
      <c r="D405" s="2085"/>
      <c r="E405" s="2048">
        <f t="shared" si="17"/>
        <v>0</v>
      </c>
      <c r="F405" s="2142"/>
      <c r="G405" s="2095"/>
      <c r="H405" s="2095"/>
      <c r="I405" s="2095"/>
      <c r="J405" s="2118" t="s">
        <v>838</v>
      </c>
    </row>
    <row r="406" s="2075" customFormat="1" spans="1:10">
      <c r="A406" s="2082" t="s">
        <v>676</v>
      </c>
      <c r="B406" s="2048">
        <f>ROUND(SUM(B396:B405),2)</f>
        <v>0</v>
      </c>
      <c r="C406" s="2048">
        <f>ROUND(SUM(C396:C405),2)</f>
        <v>0</v>
      </c>
      <c r="D406" s="2048">
        <f>ROUND(SUM(D396:D405),2)</f>
        <v>0</v>
      </c>
      <c r="E406" s="2048">
        <f>ROUND(SUM(E396:E405),2)</f>
        <v>0</v>
      </c>
      <c r="F406" s="2098"/>
      <c r="G406" s="2095"/>
      <c r="H406" s="2095"/>
      <c r="I406" s="2095"/>
      <c r="J406" s="2118" t="s">
        <v>839</v>
      </c>
    </row>
    <row r="407" s="2075" customFormat="1" spans="1:10">
      <c r="A407" s="2087"/>
      <c r="B407" s="2087"/>
      <c r="C407" s="2087"/>
      <c r="D407" s="2087"/>
      <c r="E407" s="2087"/>
      <c r="F407" s="2098"/>
      <c r="G407" s="2095"/>
      <c r="H407" s="2095"/>
      <c r="I407" s="2095"/>
      <c r="J407" s="2141"/>
    </row>
    <row r="408" s="2075" customFormat="1" spans="1:10">
      <c r="A408" s="2084" t="s">
        <v>840</v>
      </c>
      <c r="B408" s="2087"/>
      <c r="C408" s="2087"/>
      <c r="D408" s="2087"/>
      <c r="E408" s="2087"/>
      <c r="F408" s="2098"/>
      <c r="G408" s="2095"/>
      <c r="H408" s="2095"/>
      <c r="I408" s="2095"/>
      <c r="J408" s="2141"/>
    </row>
    <row r="409" s="2075" customFormat="1" spans="1:10">
      <c r="A409" s="2092"/>
      <c r="B409" s="2085"/>
      <c r="C409" s="2085"/>
      <c r="D409" s="2085"/>
      <c r="E409" s="2048">
        <f>ROUND(B409+C409-D409,2)</f>
        <v>0</v>
      </c>
      <c r="F409" s="2142"/>
      <c r="G409" s="2095"/>
      <c r="H409" s="2095"/>
      <c r="I409" s="2095"/>
      <c r="J409" s="2118" t="s">
        <v>841</v>
      </c>
    </row>
    <row r="410" s="2075" customFormat="1" spans="1:10">
      <c r="A410" s="2092"/>
      <c r="B410" s="2085"/>
      <c r="C410" s="2085"/>
      <c r="D410" s="2085"/>
      <c r="E410" s="2048">
        <f t="shared" ref="E410:E418" si="18">ROUND(B410+C410-D410,2)</f>
        <v>0</v>
      </c>
      <c r="F410" s="2142"/>
      <c r="G410" s="2095"/>
      <c r="H410" s="2095"/>
      <c r="I410" s="2095"/>
      <c r="J410" s="2118" t="s">
        <v>841</v>
      </c>
    </row>
    <row r="411" s="2075" customFormat="1" spans="1:10">
      <c r="A411" s="2092"/>
      <c r="B411" s="2085"/>
      <c r="C411" s="2085"/>
      <c r="D411" s="2085"/>
      <c r="E411" s="2048">
        <f t="shared" si="18"/>
        <v>0</v>
      </c>
      <c r="F411" s="2142"/>
      <c r="G411" s="2095"/>
      <c r="H411" s="2095"/>
      <c r="I411" s="2095"/>
      <c r="J411" s="2118" t="s">
        <v>841</v>
      </c>
    </row>
    <row r="412" s="2075" customFormat="1" spans="1:10">
      <c r="A412" s="2092"/>
      <c r="B412" s="2085"/>
      <c r="C412" s="2085"/>
      <c r="D412" s="2085"/>
      <c r="E412" s="2048">
        <f t="shared" si="18"/>
        <v>0</v>
      </c>
      <c r="F412" s="2142"/>
      <c r="G412" s="2095"/>
      <c r="H412" s="2095"/>
      <c r="I412" s="2095"/>
      <c r="J412" s="2118" t="s">
        <v>841</v>
      </c>
    </row>
    <row r="413" s="2075" customFormat="1" spans="1:10">
      <c r="A413" s="2092"/>
      <c r="B413" s="2085"/>
      <c r="C413" s="2085"/>
      <c r="D413" s="2085"/>
      <c r="E413" s="2048">
        <f t="shared" si="18"/>
        <v>0</v>
      </c>
      <c r="F413" s="2142"/>
      <c r="G413" s="2095"/>
      <c r="H413" s="2095"/>
      <c r="I413" s="2095"/>
      <c r="J413" s="2118" t="s">
        <v>841</v>
      </c>
    </row>
    <row r="414" s="2075" customFormat="1" spans="1:10">
      <c r="A414" s="2092"/>
      <c r="B414" s="2085"/>
      <c r="C414" s="2085"/>
      <c r="D414" s="2085"/>
      <c r="E414" s="2048">
        <f t="shared" si="18"/>
        <v>0</v>
      </c>
      <c r="F414" s="2142"/>
      <c r="G414" s="2095"/>
      <c r="H414" s="2095"/>
      <c r="I414" s="2095"/>
      <c r="J414" s="2118" t="s">
        <v>841</v>
      </c>
    </row>
    <row r="415" s="2075" customFormat="1" spans="1:10">
      <c r="A415" s="2092"/>
      <c r="B415" s="2085"/>
      <c r="C415" s="2085"/>
      <c r="D415" s="2085"/>
      <c r="E415" s="2048">
        <f t="shared" si="18"/>
        <v>0</v>
      </c>
      <c r="F415" s="2142"/>
      <c r="G415" s="2095"/>
      <c r="H415" s="2095"/>
      <c r="I415" s="2095"/>
      <c r="J415" s="2118" t="s">
        <v>841</v>
      </c>
    </row>
    <row r="416" s="2075" customFormat="1" spans="1:10">
      <c r="A416" s="2092"/>
      <c r="B416" s="2085"/>
      <c r="C416" s="2085"/>
      <c r="D416" s="2085"/>
      <c r="E416" s="2048">
        <f t="shared" si="18"/>
        <v>0</v>
      </c>
      <c r="F416" s="2142"/>
      <c r="G416" s="2095"/>
      <c r="H416" s="2095"/>
      <c r="I416" s="2095"/>
      <c r="J416" s="2118" t="s">
        <v>841</v>
      </c>
    </row>
    <row r="417" s="2075" customFormat="1" spans="1:10">
      <c r="A417" s="2092"/>
      <c r="B417" s="2085"/>
      <c r="C417" s="2085"/>
      <c r="D417" s="2085"/>
      <c r="E417" s="2048">
        <f t="shared" si="18"/>
        <v>0</v>
      </c>
      <c r="F417" s="2142"/>
      <c r="G417" s="2095"/>
      <c r="H417" s="2095"/>
      <c r="I417" s="2095"/>
      <c r="J417" s="2118" t="s">
        <v>841</v>
      </c>
    </row>
    <row r="418" s="2075" customFormat="1" spans="1:10">
      <c r="A418" s="2092"/>
      <c r="B418" s="2085"/>
      <c r="C418" s="2085"/>
      <c r="D418" s="2085"/>
      <c r="E418" s="2048">
        <f t="shared" si="18"/>
        <v>0</v>
      </c>
      <c r="F418" s="2142"/>
      <c r="G418" s="2095"/>
      <c r="H418" s="2095"/>
      <c r="I418" s="2095"/>
      <c r="J418" s="2118" t="s">
        <v>841</v>
      </c>
    </row>
    <row r="419" s="2075" customFormat="1" spans="1:10">
      <c r="A419" s="2082" t="s">
        <v>676</v>
      </c>
      <c r="B419" s="2048">
        <f>ROUND(SUM(B409:B418),2)</f>
        <v>0</v>
      </c>
      <c r="C419" s="2048">
        <f>ROUND(SUM(C409:C418),2)</f>
        <v>0</v>
      </c>
      <c r="D419" s="2048">
        <f>ROUND(SUM(D409:D418),2)</f>
        <v>0</v>
      </c>
      <c r="E419" s="2048">
        <f>ROUND(SUM(E409:E418),2)</f>
        <v>0</v>
      </c>
      <c r="F419" s="2098"/>
      <c r="G419" s="2095"/>
      <c r="H419" s="2095"/>
      <c r="I419" s="2095"/>
      <c r="J419" s="2118" t="s">
        <v>842</v>
      </c>
    </row>
    <row r="420" s="2075" customFormat="1" spans="1:10">
      <c r="A420" s="2087"/>
      <c r="B420" s="2087"/>
      <c r="C420" s="2087"/>
      <c r="D420" s="2087"/>
      <c r="E420" s="2087"/>
      <c r="F420" s="2098"/>
      <c r="G420" s="2095"/>
      <c r="H420" s="2095"/>
      <c r="I420" s="2095"/>
      <c r="J420" s="2141"/>
    </row>
    <row r="421" s="2075" customFormat="1" spans="1:10">
      <c r="A421" s="2084" t="s">
        <v>843</v>
      </c>
      <c r="B421" s="2087"/>
      <c r="C421" s="2087"/>
      <c r="D421" s="2087"/>
      <c r="E421" s="2087"/>
      <c r="F421" s="2098"/>
      <c r="G421" s="2095"/>
      <c r="H421" s="2095"/>
      <c r="I421" s="2095"/>
      <c r="J421" s="2141"/>
    </row>
    <row r="422" s="2075" customFormat="1" spans="1:10">
      <c r="A422" s="2092"/>
      <c r="B422" s="2085"/>
      <c r="C422" s="2085"/>
      <c r="D422" s="2085"/>
      <c r="E422" s="2048">
        <f>ROUND(B422+C422-D422,2)</f>
        <v>0</v>
      </c>
      <c r="F422" s="2142"/>
      <c r="G422" s="2095"/>
      <c r="H422" s="2095"/>
      <c r="I422" s="2095"/>
      <c r="J422" s="2118" t="s">
        <v>844</v>
      </c>
    </row>
    <row r="423" s="2075" customFormat="1" spans="1:10">
      <c r="A423" s="2092"/>
      <c r="B423" s="2085"/>
      <c r="C423" s="2085"/>
      <c r="D423" s="2085"/>
      <c r="E423" s="2048">
        <f t="shared" ref="E423:E431" si="19">ROUND(B423+C423-D423,2)</f>
        <v>0</v>
      </c>
      <c r="F423" s="2142"/>
      <c r="G423" s="2095"/>
      <c r="H423" s="2095"/>
      <c r="I423" s="2095"/>
      <c r="J423" s="2118" t="s">
        <v>844</v>
      </c>
    </row>
    <row r="424" s="2075" customFormat="1" spans="1:10">
      <c r="A424" s="2092"/>
      <c r="B424" s="2085"/>
      <c r="C424" s="2085"/>
      <c r="D424" s="2085"/>
      <c r="E424" s="2048">
        <f t="shared" si="19"/>
        <v>0</v>
      </c>
      <c r="F424" s="2142"/>
      <c r="G424" s="2095"/>
      <c r="H424" s="2095"/>
      <c r="I424" s="2095"/>
      <c r="J424" s="2118" t="s">
        <v>844</v>
      </c>
    </row>
    <row r="425" s="2075" customFormat="1" spans="1:10">
      <c r="A425" s="2092"/>
      <c r="B425" s="2085"/>
      <c r="C425" s="2085"/>
      <c r="D425" s="2085"/>
      <c r="E425" s="2048">
        <f t="shared" si="19"/>
        <v>0</v>
      </c>
      <c r="F425" s="2142"/>
      <c r="G425" s="2095"/>
      <c r="H425" s="2095"/>
      <c r="I425" s="2095"/>
      <c r="J425" s="2118" t="s">
        <v>844</v>
      </c>
    </row>
    <row r="426" s="2075" customFormat="1" spans="1:10">
      <c r="A426" s="2092"/>
      <c r="B426" s="2085"/>
      <c r="C426" s="2085"/>
      <c r="D426" s="2085"/>
      <c r="E426" s="2048">
        <f t="shared" si="19"/>
        <v>0</v>
      </c>
      <c r="F426" s="2142"/>
      <c r="G426" s="2095"/>
      <c r="H426" s="2095"/>
      <c r="I426" s="2095"/>
      <c r="J426" s="2118" t="s">
        <v>844</v>
      </c>
    </row>
    <row r="427" s="2075" customFormat="1" spans="1:10">
      <c r="A427" s="2092"/>
      <c r="B427" s="2085"/>
      <c r="C427" s="2085"/>
      <c r="D427" s="2085"/>
      <c r="E427" s="2048">
        <f t="shared" si="19"/>
        <v>0</v>
      </c>
      <c r="F427" s="2142"/>
      <c r="G427" s="2095"/>
      <c r="H427" s="2095"/>
      <c r="I427" s="2095"/>
      <c r="J427" s="2118" t="s">
        <v>844</v>
      </c>
    </row>
    <row r="428" s="2075" customFormat="1" spans="1:10">
      <c r="A428" s="2092"/>
      <c r="B428" s="2085"/>
      <c r="C428" s="2085"/>
      <c r="D428" s="2085"/>
      <c r="E428" s="2048">
        <f t="shared" si="19"/>
        <v>0</v>
      </c>
      <c r="F428" s="2142"/>
      <c r="G428" s="2095"/>
      <c r="H428" s="2095"/>
      <c r="I428" s="2095"/>
      <c r="J428" s="2118" t="s">
        <v>844</v>
      </c>
    </row>
    <row r="429" s="2075" customFormat="1" spans="1:10">
      <c r="A429" s="2092"/>
      <c r="B429" s="2085"/>
      <c r="C429" s="2085"/>
      <c r="D429" s="2085"/>
      <c r="E429" s="2048">
        <f t="shared" si="19"/>
        <v>0</v>
      </c>
      <c r="F429" s="2142"/>
      <c r="G429" s="2095"/>
      <c r="H429" s="2095"/>
      <c r="I429" s="2095"/>
      <c r="J429" s="2118" t="s">
        <v>844</v>
      </c>
    </row>
    <row r="430" s="2075" customFormat="1" spans="1:10">
      <c r="A430" s="2092"/>
      <c r="B430" s="2085"/>
      <c r="C430" s="2085"/>
      <c r="D430" s="2085"/>
      <c r="E430" s="2048">
        <f t="shared" si="19"/>
        <v>0</v>
      </c>
      <c r="F430" s="2142"/>
      <c r="G430" s="2095"/>
      <c r="H430" s="2095"/>
      <c r="I430" s="2095"/>
      <c r="J430" s="2118" t="s">
        <v>844</v>
      </c>
    </row>
    <row r="431" s="2075" customFormat="1" spans="1:10">
      <c r="A431" s="2092"/>
      <c r="B431" s="2085"/>
      <c r="C431" s="2085"/>
      <c r="D431" s="2085"/>
      <c r="E431" s="2048">
        <f t="shared" si="19"/>
        <v>0</v>
      </c>
      <c r="F431" s="2142"/>
      <c r="G431" s="2095"/>
      <c r="H431" s="2095"/>
      <c r="I431" s="2095"/>
      <c r="J431" s="2118" t="s">
        <v>844</v>
      </c>
    </row>
    <row r="432" s="2075" customFormat="1" spans="1:10">
      <c r="A432" s="2082" t="s">
        <v>676</v>
      </c>
      <c r="B432" s="2048">
        <f>ROUND(SUM(B422:B431),2)</f>
        <v>0</v>
      </c>
      <c r="C432" s="2048">
        <f>ROUND(SUM(C422:C431),2)</f>
        <v>0</v>
      </c>
      <c r="D432" s="2048">
        <f>ROUND(SUM(D422:D431),2)</f>
        <v>0</v>
      </c>
      <c r="E432" s="2048">
        <f>ROUND(SUM(E422:E431),2)</f>
        <v>0</v>
      </c>
      <c r="F432" s="2098"/>
      <c r="G432" s="2095"/>
      <c r="H432" s="2095"/>
      <c r="I432" s="2095"/>
      <c r="J432" s="2118" t="s">
        <v>845</v>
      </c>
    </row>
    <row r="433" s="2075" customFormat="1" spans="1:10">
      <c r="A433" s="2087"/>
      <c r="B433" s="2087"/>
      <c r="C433" s="2087"/>
      <c r="D433" s="2087"/>
      <c r="E433" s="2087"/>
      <c r="F433" s="2098"/>
      <c r="G433" s="2095"/>
      <c r="H433" s="2095"/>
      <c r="I433" s="2095"/>
      <c r="J433" s="2141"/>
    </row>
    <row r="434" s="2075" customFormat="1" spans="1:10">
      <c r="A434" s="2084" t="s">
        <v>846</v>
      </c>
      <c r="B434" s="2087"/>
      <c r="C434" s="2087"/>
      <c r="D434" s="2087"/>
      <c r="E434" s="2087"/>
      <c r="F434" s="2098"/>
      <c r="G434" s="2095"/>
      <c r="H434" s="2095"/>
      <c r="I434" s="2095"/>
      <c r="J434" s="2141"/>
    </row>
    <row r="435" s="2075" customFormat="1" spans="1:10">
      <c r="A435" s="2092"/>
      <c r="B435" s="2085"/>
      <c r="C435" s="2085"/>
      <c r="D435" s="2085"/>
      <c r="E435" s="2048">
        <f>ROUND(B435+C435-D435,2)</f>
        <v>0</v>
      </c>
      <c r="F435" s="2142"/>
      <c r="G435" s="2095"/>
      <c r="H435" s="2095"/>
      <c r="I435" s="2095"/>
      <c r="J435" s="2118" t="s">
        <v>847</v>
      </c>
    </row>
    <row r="436" s="2075" customFormat="1" spans="1:10">
      <c r="A436" s="2092"/>
      <c r="B436" s="2085"/>
      <c r="C436" s="2085"/>
      <c r="D436" s="2085"/>
      <c r="E436" s="2048">
        <f t="shared" ref="E436:E444" si="20">ROUND(B436+C436-D436,2)</f>
        <v>0</v>
      </c>
      <c r="F436" s="2142"/>
      <c r="G436" s="2095"/>
      <c r="H436" s="2095"/>
      <c r="I436" s="2095"/>
      <c r="J436" s="2118" t="s">
        <v>847</v>
      </c>
    </row>
    <row r="437" s="2075" customFormat="1" spans="1:10">
      <c r="A437" s="2092"/>
      <c r="B437" s="2085"/>
      <c r="C437" s="2085"/>
      <c r="D437" s="2085"/>
      <c r="E437" s="2048">
        <f t="shared" si="20"/>
        <v>0</v>
      </c>
      <c r="F437" s="2142"/>
      <c r="G437" s="2095"/>
      <c r="H437" s="2095"/>
      <c r="I437" s="2095"/>
      <c r="J437" s="2118" t="s">
        <v>847</v>
      </c>
    </row>
    <row r="438" s="2075" customFormat="1" spans="1:10">
      <c r="A438" s="2092"/>
      <c r="B438" s="2085"/>
      <c r="C438" s="2085"/>
      <c r="D438" s="2085"/>
      <c r="E438" s="2048">
        <f t="shared" si="20"/>
        <v>0</v>
      </c>
      <c r="F438" s="2142"/>
      <c r="G438" s="2095"/>
      <c r="H438" s="2095"/>
      <c r="I438" s="2095"/>
      <c r="J438" s="2118" t="s">
        <v>847</v>
      </c>
    </row>
    <row r="439" s="2075" customFormat="1" spans="1:10">
      <c r="A439" s="2092"/>
      <c r="B439" s="2085"/>
      <c r="C439" s="2085"/>
      <c r="D439" s="2085"/>
      <c r="E439" s="2048">
        <f t="shared" si="20"/>
        <v>0</v>
      </c>
      <c r="F439" s="2142"/>
      <c r="G439" s="2095"/>
      <c r="H439" s="2095"/>
      <c r="I439" s="2095"/>
      <c r="J439" s="2118" t="s">
        <v>847</v>
      </c>
    </row>
    <row r="440" s="2075" customFormat="1" spans="1:10">
      <c r="A440" s="2092"/>
      <c r="B440" s="2085"/>
      <c r="C440" s="2085"/>
      <c r="D440" s="2085"/>
      <c r="E440" s="2048">
        <f t="shared" si="20"/>
        <v>0</v>
      </c>
      <c r="F440" s="2142"/>
      <c r="G440" s="2095"/>
      <c r="H440" s="2095"/>
      <c r="I440" s="2095"/>
      <c r="J440" s="2118" t="s">
        <v>847</v>
      </c>
    </row>
    <row r="441" s="2075" customFormat="1" spans="1:10">
      <c r="A441" s="2092"/>
      <c r="B441" s="2085"/>
      <c r="C441" s="2085"/>
      <c r="D441" s="2085"/>
      <c r="E441" s="2048">
        <f t="shared" si="20"/>
        <v>0</v>
      </c>
      <c r="F441" s="2142"/>
      <c r="G441" s="2095"/>
      <c r="H441" s="2095"/>
      <c r="I441" s="2095"/>
      <c r="J441" s="2118" t="s">
        <v>847</v>
      </c>
    </row>
    <row r="442" s="2075" customFormat="1" spans="1:10">
      <c r="A442" s="2092"/>
      <c r="B442" s="2085"/>
      <c r="C442" s="2085"/>
      <c r="D442" s="2085"/>
      <c r="E442" s="2048">
        <f t="shared" si="20"/>
        <v>0</v>
      </c>
      <c r="F442" s="2142"/>
      <c r="G442" s="2095"/>
      <c r="H442" s="2095"/>
      <c r="I442" s="2095"/>
      <c r="J442" s="2118" t="s">
        <v>847</v>
      </c>
    </row>
    <row r="443" s="2075" customFormat="1" spans="1:10">
      <c r="A443" s="2092"/>
      <c r="B443" s="2085"/>
      <c r="C443" s="2085"/>
      <c r="D443" s="2085"/>
      <c r="E443" s="2048">
        <f t="shared" si="20"/>
        <v>0</v>
      </c>
      <c r="F443" s="2142"/>
      <c r="G443" s="2095"/>
      <c r="H443" s="2095"/>
      <c r="I443" s="2095"/>
      <c r="J443" s="2118" t="s">
        <v>847</v>
      </c>
    </row>
    <row r="444" s="2075" customFormat="1" spans="1:10">
      <c r="A444" s="2092"/>
      <c r="B444" s="2085"/>
      <c r="C444" s="2085"/>
      <c r="D444" s="2085"/>
      <c r="E444" s="2048">
        <f t="shared" si="20"/>
        <v>0</v>
      </c>
      <c r="F444" s="2142"/>
      <c r="G444" s="2095"/>
      <c r="H444" s="2095"/>
      <c r="I444" s="2095"/>
      <c r="J444" s="2118" t="s">
        <v>847</v>
      </c>
    </row>
    <row r="445" s="2075" customFormat="1" spans="1:10">
      <c r="A445" s="2082" t="s">
        <v>676</v>
      </c>
      <c r="B445" s="2048">
        <f>ROUND(SUM(B435:B444),2)</f>
        <v>0</v>
      </c>
      <c r="C445" s="2048">
        <f>ROUND(SUM(C435:C444),2)</f>
        <v>0</v>
      </c>
      <c r="D445" s="2048">
        <f>ROUND(SUM(D435:D444),2)</f>
        <v>0</v>
      </c>
      <c r="E445" s="2048">
        <f>ROUND(SUM(E435:E444),2)</f>
        <v>0</v>
      </c>
      <c r="F445" s="2098"/>
      <c r="G445" s="2095"/>
      <c r="H445" s="2095"/>
      <c r="I445" s="2095"/>
      <c r="J445" s="2118" t="s">
        <v>848</v>
      </c>
    </row>
    <row r="446" s="2075" customFormat="1" spans="1:10">
      <c r="A446" s="2087"/>
      <c r="B446" s="2087"/>
      <c r="C446" s="2087"/>
      <c r="D446" s="2087"/>
      <c r="E446" s="2087"/>
      <c r="F446" s="2098"/>
      <c r="G446" s="2095"/>
      <c r="H446" s="2095"/>
      <c r="I446" s="2095"/>
      <c r="J446" s="2141"/>
    </row>
    <row r="447" s="2075" customFormat="1" spans="1:10">
      <c r="A447" s="2082" t="s">
        <v>384</v>
      </c>
      <c r="B447" s="2048">
        <f>ROUND(B406+B419+B432+B445,2)</f>
        <v>0</v>
      </c>
      <c r="C447" s="2048">
        <f>ROUND(C406+C419+C432+C445,2)</f>
        <v>0</v>
      </c>
      <c r="D447" s="2048">
        <f>ROUND(D406+D419+D432+D445,2)</f>
        <v>0</v>
      </c>
      <c r="E447" s="2048">
        <f>ROUND(E406+E419+E432+E445,2)</f>
        <v>0</v>
      </c>
      <c r="F447" s="2098"/>
      <c r="G447" s="2095"/>
      <c r="H447" s="2095"/>
      <c r="I447" s="2095"/>
      <c r="J447" s="2141"/>
    </row>
    <row r="448" s="2075" customFormat="1" spans="1:10">
      <c r="A448" s="2105"/>
      <c r="B448" s="2100"/>
      <c r="C448" s="2100"/>
      <c r="D448" s="2100"/>
      <c r="E448" s="2100"/>
      <c r="F448" s="2095"/>
      <c r="G448" s="2095"/>
      <c r="H448" s="2095"/>
      <c r="I448" s="2095"/>
      <c r="J448" s="2141"/>
    </row>
    <row r="449" s="2074" customFormat="1" spans="1:10">
      <c r="A449" s="2127" t="s">
        <v>849</v>
      </c>
      <c r="B449" s="2126"/>
      <c r="C449" s="2126"/>
      <c r="D449" s="2126"/>
      <c r="E449" s="2126"/>
      <c r="F449" s="2126"/>
      <c r="G449" s="2126"/>
      <c r="H449" s="2126"/>
      <c r="I449" s="2126"/>
      <c r="J449" s="2078"/>
    </row>
    <row r="450" s="2074" customFormat="1" spans="1:10">
      <c r="A450" s="2082" t="s">
        <v>850</v>
      </c>
      <c r="B450" s="2082" t="s">
        <v>851</v>
      </c>
      <c r="C450" s="2082" t="s">
        <v>852</v>
      </c>
      <c r="D450" s="2082" t="s">
        <v>853</v>
      </c>
      <c r="E450" s="2082" t="s">
        <v>353</v>
      </c>
      <c r="F450" s="2126"/>
      <c r="G450" s="2126"/>
      <c r="H450" s="2126"/>
      <c r="I450" s="2126"/>
      <c r="J450" s="2078"/>
    </row>
    <row r="451" s="2074" customFormat="1" spans="1:10">
      <c r="A451" s="2092"/>
      <c r="B451" s="2092"/>
      <c r="C451" s="2092"/>
      <c r="D451" s="2142"/>
      <c r="E451" s="2092"/>
      <c r="F451" s="2126"/>
      <c r="G451" s="2126"/>
      <c r="H451" s="2126"/>
      <c r="I451" s="2126"/>
      <c r="J451" s="2118" t="s">
        <v>854</v>
      </c>
    </row>
    <row r="452" s="2074" customFormat="1" spans="1:10">
      <c r="A452" s="2092"/>
      <c r="B452" s="2092"/>
      <c r="C452" s="2092"/>
      <c r="D452" s="2142"/>
      <c r="E452" s="2092"/>
      <c r="F452" s="2126"/>
      <c r="G452" s="2126"/>
      <c r="H452" s="2126"/>
      <c r="I452" s="2126"/>
      <c r="J452" s="2118" t="s">
        <v>854</v>
      </c>
    </row>
    <row r="453" s="2074" customFormat="1" spans="1:10">
      <c r="A453" s="2092"/>
      <c r="B453" s="2092"/>
      <c r="C453" s="2092"/>
      <c r="D453" s="2142"/>
      <c r="E453" s="2092"/>
      <c r="F453" s="2126"/>
      <c r="G453" s="2126"/>
      <c r="H453" s="2126"/>
      <c r="I453" s="2126"/>
      <c r="J453" s="2118" t="s">
        <v>854</v>
      </c>
    </row>
    <row r="454" s="2074" customFormat="1" spans="1:10">
      <c r="A454" s="2092"/>
      <c r="B454" s="2092"/>
      <c r="C454" s="2092"/>
      <c r="D454" s="2142"/>
      <c r="E454" s="2092"/>
      <c r="F454" s="2126"/>
      <c r="G454" s="2126"/>
      <c r="H454" s="2126"/>
      <c r="I454" s="2126"/>
      <c r="J454" s="2118" t="s">
        <v>854</v>
      </c>
    </row>
    <row r="455" s="2074" customFormat="1" spans="1:10">
      <c r="A455" s="2092"/>
      <c r="B455" s="2092"/>
      <c r="C455" s="2092"/>
      <c r="D455" s="2142"/>
      <c r="E455" s="2092"/>
      <c r="F455" s="2126"/>
      <c r="G455" s="2126"/>
      <c r="H455" s="2126"/>
      <c r="I455" s="2126"/>
      <c r="J455" s="2118" t="s">
        <v>854</v>
      </c>
    </row>
    <row r="456" s="2074" customFormat="1" spans="1:10">
      <c r="A456" s="2092"/>
      <c r="B456" s="2092"/>
      <c r="C456" s="2092"/>
      <c r="D456" s="2142"/>
      <c r="E456" s="2092"/>
      <c r="F456" s="2126"/>
      <c r="G456" s="2126"/>
      <c r="H456" s="2126"/>
      <c r="I456" s="2126"/>
      <c r="J456" s="2118" t="s">
        <v>854</v>
      </c>
    </row>
    <row r="457" s="2074" customFormat="1" spans="1:10">
      <c r="A457" s="2092"/>
      <c r="B457" s="2092"/>
      <c r="C457" s="2092"/>
      <c r="D457" s="2142"/>
      <c r="E457" s="2092"/>
      <c r="F457" s="2126"/>
      <c r="G457" s="2126"/>
      <c r="H457" s="2126"/>
      <c r="I457" s="2126"/>
      <c r="J457" s="2118" t="s">
        <v>854</v>
      </c>
    </row>
    <row r="458" s="2074" customFormat="1" spans="1:10">
      <c r="A458" s="2092"/>
      <c r="B458" s="2092"/>
      <c r="C458" s="2092"/>
      <c r="D458" s="2142"/>
      <c r="E458" s="2092"/>
      <c r="F458" s="2126"/>
      <c r="G458" s="2126"/>
      <c r="H458" s="2126"/>
      <c r="I458" s="2126"/>
      <c r="J458" s="2118" t="s">
        <v>854</v>
      </c>
    </row>
    <row r="459" s="2074" customFormat="1" spans="1:10">
      <c r="A459" s="2092"/>
      <c r="B459" s="2092"/>
      <c r="C459" s="2092"/>
      <c r="D459" s="2142"/>
      <c r="E459" s="2092"/>
      <c r="F459" s="2126"/>
      <c r="G459" s="2126"/>
      <c r="H459" s="2126"/>
      <c r="I459" s="2126"/>
      <c r="J459" s="2118" t="s">
        <v>854</v>
      </c>
    </row>
    <row r="460" s="2074" customFormat="1" spans="1:10">
      <c r="A460" s="2092"/>
      <c r="B460" s="2092"/>
      <c r="C460" s="2092"/>
      <c r="D460" s="2142"/>
      <c r="E460" s="2092"/>
      <c r="F460" s="2126"/>
      <c r="G460" s="2126"/>
      <c r="H460" s="2126"/>
      <c r="I460" s="2126"/>
      <c r="J460" s="2118" t="s">
        <v>854</v>
      </c>
    </row>
    <row r="461" s="2074" customFormat="1" spans="1:10">
      <c r="A461" s="2143"/>
      <c r="B461" s="2126"/>
      <c r="C461" s="2126"/>
      <c r="D461" s="2126"/>
      <c r="E461" s="2126"/>
      <c r="F461" s="2126"/>
      <c r="G461" s="2126"/>
      <c r="H461" s="2126"/>
      <c r="I461" s="2126"/>
      <c r="J461" s="2078"/>
    </row>
    <row r="462" s="2074" customFormat="1" spans="1:10">
      <c r="A462" s="2127" t="s">
        <v>855</v>
      </c>
      <c r="B462" s="2126"/>
      <c r="C462" s="2126"/>
      <c r="D462" s="2126"/>
      <c r="E462" s="2126"/>
      <c r="F462" s="2126"/>
      <c r="G462" s="2126"/>
      <c r="H462" s="2126"/>
      <c r="I462" s="2126"/>
      <c r="J462" s="2078"/>
    </row>
    <row r="463" s="2074" customFormat="1" spans="1:10">
      <c r="A463" s="2082" t="s">
        <v>851</v>
      </c>
      <c r="B463" s="2082" t="s">
        <v>856</v>
      </c>
      <c r="C463" s="2082" t="s">
        <v>857</v>
      </c>
      <c r="D463" s="2082" t="s">
        <v>858</v>
      </c>
      <c r="E463" s="2082" t="s">
        <v>859</v>
      </c>
      <c r="F463" s="2082" t="s">
        <v>775</v>
      </c>
      <c r="G463" s="2099"/>
      <c r="H463" s="2099"/>
      <c r="I463" s="2099"/>
      <c r="J463" s="2078"/>
    </row>
    <row r="464" s="2074" customFormat="1" spans="1:10">
      <c r="A464" s="2084" t="s">
        <v>860</v>
      </c>
      <c r="B464" s="2085"/>
      <c r="C464" s="2111"/>
      <c r="D464" s="2144"/>
      <c r="E464" s="2085"/>
      <c r="F464" s="2085"/>
      <c r="G464" s="2099"/>
      <c r="H464" s="2099"/>
      <c r="I464" s="2099"/>
      <c r="J464" s="2135" t="s">
        <v>861</v>
      </c>
    </row>
    <row r="465" s="2074" customFormat="1" spans="1:10">
      <c r="A465" s="2084" t="s">
        <v>862</v>
      </c>
      <c r="B465" s="2085"/>
      <c r="C465" s="2111"/>
      <c r="D465" s="2144"/>
      <c r="E465" s="2085"/>
      <c r="F465" s="2085"/>
      <c r="G465" s="2099"/>
      <c r="H465" s="2099"/>
      <c r="I465" s="2099"/>
      <c r="J465" s="2135" t="s">
        <v>863</v>
      </c>
    </row>
    <row r="466" s="2074" customFormat="1" spans="1:10">
      <c r="A466" s="2084" t="s">
        <v>864</v>
      </c>
      <c r="B466" s="2085"/>
      <c r="C466" s="2111"/>
      <c r="D466" s="2144"/>
      <c r="E466" s="2085"/>
      <c r="F466" s="2085"/>
      <c r="G466" s="2099"/>
      <c r="H466" s="2099"/>
      <c r="I466" s="2099"/>
      <c r="J466" s="2135" t="s">
        <v>865</v>
      </c>
    </row>
    <row r="467" s="2074" customFormat="1" spans="1:10">
      <c r="A467" s="2084" t="s">
        <v>866</v>
      </c>
      <c r="B467" s="2085"/>
      <c r="C467" s="2111"/>
      <c r="D467" s="2144"/>
      <c r="E467" s="2085"/>
      <c r="F467" s="2085"/>
      <c r="G467" s="2099"/>
      <c r="H467" s="2099"/>
      <c r="I467" s="2099"/>
      <c r="J467" s="2135" t="s">
        <v>867</v>
      </c>
    </row>
    <row r="468" s="2074" customFormat="1" spans="1:10">
      <c r="A468" s="2143"/>
      <c r="B468" s="2126"/>
      <c r="C468" s="2126"/>
      <c r="D468" s="2126"/>
      <c r="E468" s="2126"/>
      <c r="F468" s="2126"/>
      <c r="G468" s="2099"/>
      <c r="H468" s="2099"/>
      <c r="I468" s="2099"/>
      <c r="J468" s="2078"/>
    </row>
    <row r="469" s="2074" customFormat="1" spans="1:10">
      <c r="A469" s="2127" t="s">
        <v>868</v>
      </c>
      <c r="B469" s="2126"/>
      <c r="C469" s="2126"/>
      <c r="D469" s="2126"/>
      <c r="E469" s="2126"/>
      <c r="F469" s="2126"/>
      <c r="G469" s="2099"/>
      <c r="H469" s="2099"/>
      <c r="I469" s="2099"/>
      <c r="J469" s="2078"/>
    </row>
    <row r="470" s="2074" customFormat="1" spans="1:10">
      <c r="A470" s="2082" t="s">
        <v>850</v>
      </c>
      <c r="B470" s="2082" t="s">
        <v>851</v>
      </c>
      <c r="C470" s="2082" t="s">
        <v>869</v>
      </c>
      <c r="D470" s="2082" t="s">
        <v>870</v>
      </c>
      <c r="E470" s="2082" t="s">
        <v>871</v>
      </c>
      <c r="F470" s="2126"/>
      <c r="G470" s="2099"/>
      <c r="H470" s="2099"/>
      <c r="I470" s="2099"/>
      <c r="J470" s="2078"/>
    </row>
    <row r="471" s="2074" customFormat="1" spans="1:10">
      <c r="A471" s="2092"/>
      <c r="B471" s="2092"/>
      <c r="C471" s="2085"/>
      <c r="D471" s="2092"/>
      <c r="E471" s="2092"/>
      <c r="F471" s="2126"/>
      <c r="G471" s="2099"/>
      <c r="H471" s="2099"/>
      <c r="I471" s="2099"/>
      <c r="J471" s="2135" t="s">
        <v>872</v>
      </c>
    </row>
    <row r="472" s="2074" customFormat="1" spans="1:10">
      <c r="A472" s="2092"/>
      <c r="B472" s="2092"/>
      <c r="C472" s="2085"/>
      <c r="D472" s="2092"/>
      <c r="E472" s="2092"/>
      <c r="F472" s="2126"/>
      <c r="G472" s="2099"/>
      <c r="H472" s="2099"/>
      <c r="I472" s="2099"/>
      <c r="J472" s="2135" t="s">
        <v>872</v>
      </c>
    </row>
    <row r="473" s="2074" customFormat="1" spans="1:10">
      <c r="A473" s="2092"/>
      <c r="B473" s="2092"/>
      <c r="C473" s="2085"/>
      <c r="D473" s="2092"/>
      <c r="E473" s="2092"/>
      <c r="F473" s="2126"/>
      <c r="G473" s="2099"/>
      <c r="H473" s="2099"/>
      <c r="I473" s="2099"/>
      <c r="J473" s="2135" t="s">
        <v>872</v>
      </c>
    </row>
    <row r="474" s="2074" customFormat="1" spans="1:10">
      <c r="A474" s="2092"/>
      <c r="B474" s="2092"/>
      <c r="C474" s="2085"/>
      <c r="D474" s="2092"/>
      <c r="E474" s="2092"/>
      <c r="F474" s="2126"/>
      <c r="G474" s="2126"/>
      <c r="H474" s="2126"/>
      <c r="I474" s="2126"/>
      <c r="J474" s="2135" t="s">
        <v>872</v>
      </c>
    </row>
    <row r="475" s="2074" customFormat="1" spans="1:10">
      <c r="A475" s="2092"/>
      <c r="B475" s="2092"/>
      <c r="C475" s="2085"/>
      <c r="D475" s="2092"/>
      <c r="E475" s="2092"/>
      <c r="F475" s="2126"/>
      <c r="G475" s="2126"/>
      <c r="H475" s="2126"/>
      <c r="I475" s="2126"/>
      <c r="J475" s="2135" t="s">
        <v>872</v>
      </c>
    </row>
    <row r="476" s="2074" customFormat="1" spans="1:10">
      <c r="A476" s="2092"/>
      <c r="B476" s="2092"/>
      <c r="C476" s="2085"/>
      <c r="D476" s="2092"/>
      <c r="E476" s="2092"/>
      <c r="F476" s="2126"/>
      <c r="G476" s="2126"/>
      <c r="H476" s="2126"/>
      <c r="I476" s="2126"/>
      <c r="J476" s="2135" t="s">
        <v>872</v>
      </c>
    </row>
    <row r="477" s="2074" customFormat="1" spans="1:10">
      <c r="A477" s="2092"/>
      <c r="B477" s="2092"/>
      <c r="C477" s="2085"/>
      <c r="D477" s="2092"/>
      <c r="E477" s="2092"/>
      <c r="F477" s="2126"/>
      <c r="G477" s="2126"/>
      <c r="H477" s="2126"/>
      <c r="I477" s="2126"/>
      <c r="J477" s="2135" t="s">
        <v>872</v>
      </c>
    </row>
    <row r="478" s="2074" customFormat="1" spans="1:10">
      <c r="A478" s="2092"/>
      <c r="B478" s="2092"/>
      <c r="C478" s="2085"/>
      <c r="D478" s="2092"/>
      <c r="E478" s="2092"/>
      <c r="F478" s="2126"/>
      <c r="G478" s="2126"/>
      <c r="H478" s="2126"/>
      <c r="I478" s="2126"/>
      <c r="J478" s="2135" t="s">
        <v>872</v>
      </c>
    </row>
    <row r="479" s="2074" customFormat="1" spans="1:10">
      <c r="A479" s="2092"/>
      <c r="B479" s="2092"/>
      <c r="C479" s="2085"/>
      <c r="D479" s="2092"/>
      <c r="E479" s="2092"/>
      <c r="F479" s="2126"/>
      <c r="G479" s="2126"/>
      <c r="H479" s="2126"/>
      <c r="I479" s="2126"/>
      <c r="J479" s="2135" t="s">
        <v>872</v>
      </c>
    </row>
    <row r="480" s="2074" customFormat="1" spans="1:10">
      <c r="A480" s="2092"/>
      <c r="B480" s="2092"/>
      <c r="C480" s="2085"/>
      <c r="D480" s="2092"/>
      <c r="E480" s="2092"/>
      <c r="F480" s="2126"/>
      <c r="G480" s="2126"/>
      <c r="H480" s="2126"/>
      <c r="I480" s="2126"/>
      <c r="J480" s="2135" t="s">
        <v>872</v>
      </c>
    </row>
    <row r="481" s="2074" customFormat="1" spans="1:10">
      <c r="A481" s="2082" t="s">
        <v>384</v>
      </c>
      <c r="B481" s="2048"/>
      <c r="C481" s="2048">
        <f>ROUND(SUM(C471:C480),2)</f>
        <v>0</v>
      </c>
      <c r="D481" s="2048"/>
      <c r="E481" s="2048"/>
      <c r="F481" s="2126"/>
      <c r="G481" s="2126"/>
      <c r="H481" s="2126"/>
      <c r="I481" s="2126"/>
      <c r="J481" s="2135" t="s">
        <v>872</v>
      </c>
    </row>
    <row r="482" s="2074" customFormat="1" spans="1:10">
      <c r="A482" s="2143"/>
      <c r="B482" s="2126"/>
      <c r="C482" s="2126"/>
      <c r="D482" s="2126"/>
      <c r="E482" s="2126"/>
      <c r="F482" s="2126"/>
      <c r="G482" s="2126"/>
      <c r="H482" s="2126"/>
      <c r="I482" s="2126"/>
      <c r="J482" s="2078"/>
    </row>
    <row r="483" s="2074" customFormat="1" spans="1:10">
      <c r="A483" s="2143"/>
      <c r="B483" s="2126"/>
      <c r="C483" s="2126"/>
      <c r="D483" s="2126"/>
      <c r="E483" s="2126"/>
      <c r="F483" s="2126"/>
      <c r="G483" s="2126"/>
      <c r="H483" s="2126"/>
      <c r="I483" s="2126"/>
      <c r="J483" s="2078"/>
    </row>
    <row r="484" s="2074" customFormat="1" spans="1:10">
      <c r="A484" s="2125" t="s">
        <v>873</v>
      </c>
      <c r="B484" s="2126"/>
      <c r="C484" s="2126"/>
      <c r="D484" s="2126"/>
      <c r="E484" s="2126"/>
      <c r="F484" s="2126"/>
      <c r="G484" s="2126"/>
      <c r="H484" s="2126"/>
      <c r="I484" s="2126"/>
      <c r="J484" s="2078"/>
    </row>
    <row r="485" s="2074" customFormat="1" spans="1:10">
      <c r="A485" s="2127" t="s">
        <v>874</v>
      </c>
      <c r="B485" s="2126"/>
      <c r="C485" s="2126"/>
      <c r="D485" s="2126"/>
      <c r="E485" s="2126"/>
      <c r="F485" s="2126"/>
      <c r="G485" s="2126"/>
      <c r="H485" s="2126"/>
      <c r="I485" s="2126"/>
      <c r="J485" s="2078"/>
    </row>
    <row r="486" s="2074" customFormat="1" spans="1:10">
      <c r="A486" s="2082" t="s">
        <v>875</v>
      </c>
      <c r="B486" s="2082" t="s">
        <v>876</v>
      </c>
      <c r="C486" s="2082" t="s">
        <v>877</v>
      </c>
      <c r="D486" s="2082" t="s">
        <v>878</v>
      </c>
      <c r="E486" s="2082" t="s">
        <v>879</v>
      </c>
      <c r="F486" s="2126"/>
      <c r="G486" s="2126"/>
      <c r="H486" s="2126"/>
      <c r="I486" s="2126"/>
      <c r="J486" s="2078"/>
    </row>
    <row r="487" s="2074" customFormat="1" spans="1:10">
      <c r="A487" s="2092"/>
      <c r="B487" s="2113"/>
      <c r="C487" s="2085"/>
      <c r="D487" s="2085"/>
      <c r="E487" s="2085"/>
      <c r="F487" s="2126"/>
      <c r="G487" s="2126"/>
      <c r="H487" s="2126"/>
      <c r="I487" s="2126"/>
      <c r="J487" s="2135" t="s">
        <v>880</v>
      </c>
    </row>
    <row r="488" s="2074" customFormat="1" spans="1:10">
      <c r="A488" s="2092"/>
      <c r="B488" s="2113"/>
      <c r="C488" s="2085"/>
      <c r="D488" s="2085"/>
      <c r="E488" s="2085"/>
      <c r="F488" s="2126"/>
      <c r="G488" s="2126"/>
      <c r="H488" s="2126"/>
      <c r="I488" s="2126"/>
      <c r="J488" s="2135" t="s">
        <v>880</v>
      </c>
    </row>
    <row r="489" s="2074" customFormat="1" spans="1:10">
      <c r="A489" s="2092"/>
      <c r="B489" s="2113"/>
      <c r="C489" s="2085"/>
      <c r="D489" s="2085"/>
      <c r="E489" s="2085"/>
      <c r="F489" s="2126"/>
      <c r="G489" s="2126"/>
      <c r="H489" s="2126"/>
      <c r="I489" s="2126"/>
      <c r="J489" s="2135" t="s">
        <v>880</v>
      </c>
    </row>
    <row r="490" s="2074" customFormat="1" spans="1:10">
      <c r="A490" s="2092"/>
      <c r="B490" s="2113"/>
      <c r="C490" s="2085"/>
      <c r="D490" s="2085"/>
      <c r="E490" s="2085"/>
      <c r="F490" s="2126"/>
      <c r="G490" s="2126"/>
      <c r="H490" s="2126"/>
      <c r="I490" s="2126"/>
      <c r="J490" s="2135" t="s">
        <v>880</v>
      </c>
    </row>
    <row r="491" s="2074" customFormat="1" spans="1:10">
      <c r="A491" s="2092"/>
      <c r="B491" s="2113"/>
      <c r="C491" s="2085"/>
      <c r="D491" s="2085"/>
      <c r="E491" s="2085"/>
      <c r="F491" s="2126"/>
      <c r="G491" s="2126"/>
      <c r="H491" s="2126"/>
      <c r="I491" s="2126"/>
      <c r="J491" s="2135" t="s">
        <v>880</v>
      </c>
    </row>
    <row r="492" s="2074" customFormat="1" spans="1:10">
      <c r="A492" s="2092"/>
      <c r="B492" s="2113"/>
      <c r="C492" s="2085"/>
      <c r="D492" s="2085"/>
      <c r="E492" s="2085"/>
      <c r="F492" s="2126"/>
      <c r="G492" s="2126"/>
      <c r="H492" s="2126"/>
      <c r="I492" s="2126"/>
      <c r="J492" s="2135" t="s">
        <v>880</v>
      </c>
    </row>
    <row r="493" s="2074" customFormat="1" spans="1:10">
      <c r="A493" s="2092"/>
      <c r="B493" s="2113"/>
      <c r="C493" s="2085"/>
      <c r="D493" s="2085"/>
      <c r="E493" s="2085"/>
      <c r="F493" s="2126"/>
      <c r="G493" s="2126"/>
      <c r="H493" s="2126"/>
      <c r="I493" s="2126"/>
      <c r="J493" s="2135" t="s">
        <v>880</v>
      </c>
    </row>
    <row r="494" s="2074" customFormat="1" spans="1:10">
      <c r="A494" s="2092"/>
      <c r="B494" s="2113"/>
      <c r="C494" s="2085"/>
      <c r="D494" s="2085"/>
      <c r="E494" s="2085"/>
      <c r="F494" s="2126"/>
      <c r="G494" s="2126"/>
      <c r="H494" s="2126"/>
      <c r="I494" s="2126"/>
      <c r="J494" s="2135" t="s">
        <v>880</v>
      </c>
    </row>
    <row r="495" s="2074" customFormat="1" spans="1:10">
      <c r="A495" s="2092"/>
      <c r="B495" s="2113"/>
      <c r="C495" s="2085"/>
      <c r="D495" s="2085"/>
      <c r="E495" s="2085"/>
      <c r="F495" s="2126"/>
      <c r="G495" s="2126"/>
      <c r="H495" s="2126"/>
      <c r="I495" s="2126"/>
      <c r="J495" s="2135" t="s">
        <v>880</v>
      </c>
    </row>
    <row r="496" s="2074" customFormat="1" spans="1:10">
      <c r="A496" s="2092"/>
      <c r="B496" s="2113"/>
      <c r="C496" s="2085"/>
      <c r="D496" s="2085"/>
      <c r="E496" s="2085"/>
      <c r="F496" s="2126"/>
      <c r="G496" s="2126"/>
      <c r="H496" s="2126"/>
      <c r="I496" s="2126"/>
      <c r="J496" s="2135" t="s">
        <v>880</v>
      </c>
    </row>
    <row r="497" s="2074" customFormat="1" spans="1:10">
      <c r="A497" s="2082" t="s">
        <v>384</v>
      </c>
      <c r="B497" s="2048"/>
      <c r="C497" s="2048">
        <f>ROUND(SUM(C487:C496),2)</f>
        <v>0</v>
      </c>
      <c r="D497" s="2048">
        <f>ROUND(SUM(D487:D496),2)</f>
        <v>0</v>
      </c>
      <c r="E497" s="2048">
        <f>ROUND(SUM(E487:E496),2)</f>
        <v>0</v>
      </c>
      <c r="F497" s="2126"/>
      <c r="G497" s="2126"/>
      <c r="H497" s="2126"/>
      <c r="I497" s="2126"/>
      <c r="J497" s="2135" t="s">
        <v>880</v>
      </c>
    </row>
    <row r="498" s="2074" customFormat="1" spans="1:10">
      <c r="A498" s="2127"/>
      <c r="B498" s="2126"/>
      <c r="C498" s="2126"/>
      <c r="D498" s="2126"/>
      <c r="E498" s="2126"/>
      <c r="F498" s="2126"/>
      <c r="G498" s="2126"/>
      <c r="H498" s="2126"/>
      <c r="I498" s="2126"/>
      <c r="J498" s="2078"/>
    </row>
    <row r="499" s="2074" customFormat="1" spans="1:10">
      <c r="A499" s="2127" t="s">
        <v>881</v>
      </c>
      <c r="B499" s="2126"/>
      <c r="C499" s="2126"/>
      <c r="D499" s="2126"/>
      <c r="E499" s="2126"/>
      <c r="F499" s="2126"/>
      <c r="G499" s="2126"/>
      <c r="H499" s="2126"/>
      <c r="I499" s="2126"/>
      <c r="J499" s="2078"/>
    </row>
    <row r="500" s="2074" customFormat="1" spans="1:10">
      <c r="A500" s="2082" t="s">
        <v>372</v>
      </c>
      <c r="B500" s="2082" t="s">
        <v>316</v>
      </c>
      <c r="C500" s="2082" t="s">
        <v>581</v>
      </c>
      <c r="D500" s="2082" t="s">
        <v>582</v>
      </c>
      <c r="E500" s="2082" t="s">
        <v>315</v>
      </c>
      <c r="F500" s="2126"/>
      <c r="G500" s="2126"/>
      <c r="H500" s="2126"/>
      <c r="I500" s="2126"/>
      <c r="J500" s="2078"/>
    </row>
    <row r="501" s="2074" customFormat="1" spans="1:10">
      <c r="A501" s="2129" t="s">
        <v>714</v>
      </c>
      <c r="B501" s="2048">
        <f>ROUND(SUM(B502:B504),2)</f>
        <v>0</v>
      </c>
      <c r="C501" s="2048">
        <f>ROUND(SUM(C502:C504),2)</f>
        <v>0</v>
      </c>
      <c r="D501" s="2048">
        <f>ROUND(SUM(D502:D504),2)</f>
        <v>0</v>
      </c>
      <c r="E501" s="2048">
        <f>ROUND(SUM(E502:E504),2)</f>
        <v>0</v>
      </c>
      <c r="F501" s="2126"/>
      <c r="G501" s="2126"/>
      <c r="H501" s="2126"/>
      <c r="I501" s="2126"/>
      <c r="J501" s="2135" t="s">
        <v>882</v>
      </c>
    </row>
    <row r="502" s="2074" customFormat="1" spans="1:10">
      <c r="A502" s="2137" t="s">
        <v>883</v>
      </c>
      <c r="B502" s="2085"/>
      <c r="C502" s="2085"/>
      <c r="D502" s="2085"/>
      <c r="E502" s="2048">
        <f>ROUND(B502+C502-D502,2)</f>
        <v>0</v>
      </c>
      <c r="F502" s="2126"/>
      <c r="G502" s="2126"/>
      <c r="H502" s="2126"/>
      <c r="I502" s="2126"/>
      <c r="J502" s="2135" t="s">
        <v>884</v>
      </c>
    </row>
    <row r="503" s="2074" customFormat="1" spans="1:10">
      <c r="A503" s="2137" t="s">
        <v>885</v>
      </c>
      <c r="B503" s="2085"/>
      <c r="C503" s="2085"/>
      <c r="D503" s="2085"/>
      <c r="E503" s="2048">
        <f>ROUND(B503+C503-D503,2)</f>
        <v>0</v>
      </c>
      <c r="F503" s="2126"/>
      <c r="G503" s="2126"/>
      <c r="H503" s="2126"/>
      <c r="I503" s="2126"/>
      <c r="J503" s="2135" t="s">
        <v>886</v>
      </c>
    </row>
    <row r="504" s="2074" customFormat="1" spans="1:10">
      <c r="A504" s="2137" t="s">
        <v>887</v>
      </c>
      <c r="B504" s="2085"/>
      <c r="C504" s="2085"/>
      <c r="D504" s="2085"/>
      <c r="E504" s="2048">
        <f>ROUND(B504+C504-D504,2)</f>
        <v>0</v>
      </c>
      <c r="F504" s="2126"/>
      <c r="G504" s="2126"/>
      <c r="H504" s="2126"/>
      <c r="I504" s="2126"/>
      <c r="J504" s="2135" t="s">
        <v>888</v>
      </c>
    </row>
    <row r="505" s="2074" customFormat="1" spans="1:10">
      <c r="A505" s="2137"/>
      <c r="B505" s="2083"/>
      <c r="C505" s="2083"/>
      <c r="D505" s="2083"/>
      <c r="E505" s="2083"/>
      <c r="F505" s="2126"/>
      <c r="G505" s="2126"/>
      <c r="H505" s="2126"/>
      <c r="I505" s="2126"/>
      <c r="J505" s="2078"/>
    </row>
    <row r="506" s="2074" customFormat="1" spans="1:10">
      <c r="A506" s="2129" t="s">
        <v>889</v>
      </c>
      <c r="B506" s="2048">
        <f>ROUND(SUM(B507:B509),2)</f>
        <v>0</v>
      </c>
      <c r="C506" s="2048">
        <f>ROUND(SUM(C507:C509),2)</f>
        <v>0</v>
      </c>
      <c r="D506" s="2048">
        <f>ROUND(SUM(D507:D509),2)</f>
        <v>0</v>
      </c>
      <c r="E506" s="2048">
        <f>ROUND(SUM(E507:E509),2)</f>
        <v>0</v>
      </c>
      <c r="F506" s="2126"/>
      <c r="G506" s="2126"/>
      <c r="H506" s="2126"/>
      <c r="I506" s="2126"/>
      <c r="J506" s="2135" t="s">
        <v>890</v>
      </c>
    </row>
    <row r="507" s="2074" customFormat="1" spans="1:10">
      <c r="A507" s="2137" t="s">
        <v>883</v>
      </c>
      <c r="B507" s="2085"/>
      <c r="C507" s="2085"/>
      <c r="D507" s="2085"/>
      <c r="E507" s="2048">
        <f>ROUND(B507+C507-D507,2)</f>
        <v>0</v>
      </c>
      <c r="F507" s="2126"/>
      <c r="G507" s="2126"/>
      <c r="H507" s="2126"/>
      <c r="I507" s="2126"/>
      <c r="J507" s="2135" t="s">
        <v>891</v>
      </c>
    </row>
    <row r="508" s="2074" customFormat="1" spans="1:10">
      <c r="A508" s="2137" t="s">
        <v>885</v>
      </c>
      <c r="B508" s="2085"/>
      <c r="C508" s="2085"/>
      <c r="D508" s="2085"/>
      <c r="E508" s="2048">
        <f>ROUND(B508+C508-D508,2)</f>
        <v>0</v>
      </c>
      <c r="F508" s="2126"/>
      <c r="G508" s="2126"/>
      <c r="H508" s="2126"/>
      <c r="I508" s="2126"/>
      <c r="J508" s="2135" t="s">
        <v>892</v>
      </c>
    </row>
    <row r="509" s="2074" customFormat="1" spans="1:10">
      <c r="A509" s="2137" t="s">
        <v>887</v>
      </c>
      <c r="B509" s="2085"/>
      <c r="C509" s="2085"/>
      <c r="D509" s="2085"/>
      <c r="E509" s="2048">
        <f>ROUND(B509+C509-D509,2)</f>
        <v>0</v>
      </c>
      <c r="F509" s="2126"/>
      <c r="G509" s="2126"/>
      <c r="H509" s="2126"/>
      <c r="I509" s="2126"/>
      <c r="J509" s="2135" t="s">
        <v>893</v>
      </c>
    </row>
    <row r="510" s="2074" customFormat="1" spans="1:10">
      <c r="A510" s="2137"/>
      <c r="B510" s="2083"/>
      <c r="C510" s="2083"/>
      <c r="D510" s="2083"/>
      <c r="E510" s="2083"/>
      <c r="F510" s="2126"/>
      <c r="G510" s="2126"/>
      <c r="H510" s="2126"/>
      <c r="I510" s="2126"/>
      <c r="J510" s="2078"/>
    </row>
    <row r="511" s="2074" customFormat="1" spans="1:10">
      <c r="A511" s="2129" t="s">
        <v>894</v>
      </c>
      <c r="B511" s="2048">
        <f>ROUND(SUM(B512:B514),2)</f>
        <v>0</v>
      </c>
      <c r="C511" s="2048">
        <f>ROUND(SUM(C512:C514),2)</f>
        <v>0</v>
      </c>
      <c r="D511" s="2048">
        <f>ROUND(SUM(D512:D514),2)</f>
        <v>0</v>
      </c>
      <c r="E511" s="2048">
        <f>ROUND(SUM(E512:E514),2)</f>
        <v>0</v>
      </c>
      <c r="F511" s="2126"/>
      <c r="G511" s="2126"/>
      <c r="H511" s="2126"/>
      <c r="I511" s="2126"/>
      <c r="J511" s="2135" t="s">
        <v>895</v>
      </c>
    </row>
    <row r="512" s="2074" customFormat="1" spans="1:10">
      <c r="A512" s="2137" t="s">
        <v>883</v>
      </c>
      <c r="B512" s="2085"/>
      <c r="C512" s="2085"/>
      <c r="D512" s="2085"/>
      <c r="E512" s="2048">
        <f>ROUND(B512+C512-D512,2)</f>
        <v>0</v>
      </c>
      <c r="F512" s="2126"/>
      <c r="G512" s="2126"/>
      <c r="H512" s="2126"/>
      <c r="I512" s="2126"/>
      <c r="J512" s="2135" t="s">
        <v>896</v>
      </c>
    </row>
    <row r="513" s="2074" customFormat="1" spans="1:10">
      <c r="A513" s="2137" t="s">
        <v>885</v>
      </c>
      <c r="B513" s="2085"/>
      <c r="C513" s="2085"/>
      <c r="D513" s="2085"/>
      <c r="E513" s="2048">
        <f>ROUND(B513+C513-D513,2)</f>
        <v>0</v>
      </c>
      <c r="F513" s="2126"/>
      <c r="G513" s="2126"/>
      <c r="H513" s="2126"/>
      <c r="I513" s="2126"/>
      <c r="J513" s="2135" t="s">
        <v>897</v>
      </c>
    </row>
    <row r="514" s="2074" customFormat="1" spans="1:10">
      <c r="A514" s="2137" t="s">
        <v>887</v>
      </c>
      <c r="B514" s="2085"/>
      <c r="C514" s="2085"/>
      <c r="D514" s="2085"/>
      <c r="E514" s="2048">
        <f>ROUND(B514+C514-D514,2)</f>
        <v>0</v>
      </c>
      <c r="F514" s="2126"/>
      <c r="G514" s="2126"/>
      <c r="H514" s="2126"/>
      <c r="I514" s="2126"/>
      <c r="J514" s="2135" t="s">
        <v>898</v>
      </c>
    </row>
    <row r="515" s="2074" customFormat="1" spans="1:10">
      <c r="A515" s="2137"/>
      <c r="B515" s="2083"/>
      <c r="C515" s="2083"/>
      <c r="D515" s="2083"/>
      <c r="E515" s="2083"/>
      <c r="F515" s="2126"/>
      <c r="G515" s="2126"/>
      <c r="H515" s="2126"/>
      <c r="I515" s="2126"/>
      <c r="J515" s="2078"/>
    </row>
    <row r="516" s="2074" customFormat="1" spans="1:10">
      <c r="A516" s="2129" t="s">
        <v>899</v>
      </c>
      <c r="B516" s="2048">
        <f>ROUND(SUM(B517:B519),2)</f>
        <v>0</v>
      </c>
      <c r="C516" s="2048">
        <f>ROUND(SUM(C517:C519),2)</f>
        <v>0</v>
      </c>
      <c r="D516" s="2048">
        <f>ROUND(SUM(D517:D519),2)</f>
        <v>0</v>
      </c>
      <c r="E516" s="2048">
        <f>ROUND(SUM(E517:E519),2)</f>
        <v>0</v>
      </c>
      <c r="F516" s="2126"/>
      <c r="G516" s="2126"/>
      <c r="H516" s="2126"/>
      <c r="I516" s="2126"/>
      <c r="J516" s="2078"/>
    </row>
    <row r="517" s="2074" customFormat="1" spans="1:10">
      <c r="A517" s="2137" t="s">
        <v>883</v>
      </c>
      <c r="B517" s="1830">
        <f t="shared" ref="B517:D519" si="21">ROUND(B502-B507-B512,2)</f>
        <v>0</v>
      </c>
      <c r="C517" s="1830">
        <f t="shared" si="21"/>
        <v>0</v>
      </c>
      <c r="D517" s="1830">
        <f t="shared" si="21"/>
        <v>0</v>
      </c>
      <c r="E517" s="2048">
        <f>ROUND(B517+C517-D517,2)</f>
        <v>0</v>
      </c>
      <c r="F517" s="2126"/>
      <c r="G517" s="2126"/>
      <c r="H517" s="2126"/>
      <c r="I517" s="2126"/>
      <c r="J517" s="2078"/>
    </row>
    <row r="518" s="2074" customFormat="1" spans="1:10">
      <c r="A518" s="2137" t="s">
        <v>885</v>
      </c>
      <c r="B518" s="1830">
        <f t="shared" si="21"/>
        <v>0</v>
      </c>
      <c r="C518" s="1830">
        <f t="shared" si="21"/>
        <v>0</v>
      </c>
      <c r="D518" s="1830">
        <f t="shared" si="21"/>
        <v>0</v>
      </c>
      <c r="E518" s="2048">
        <f>ROUND(B518+C518-D518,2)</f>
        <v>0</v>
      </c>
      <c r="F518" s="2126"/>
      <c r="G518" s="2126"/>
      <c r="H518" s="2126"/>
      <c r="I518" s="2126"/>
      <c r="J518" s="2078"/>
    </row>
    <row r="519" s="2074" customFormat="1" spans="1:10">
      <c r="A519" s="2137" t="s">
        <v>887</v>
      </c>
      <c r="B519" s="1830">
        <f t="shared" si="21"/>
        <v>0</v>
      </c>
      <c r="C519" s="1830">
        <f t="shared" si="21"/>
        <v>0</v>
      </c>
      <c r="D519" s="1830">
        <f t="shared" si="21"/>
        <v>0</v>
      </c>
      <c r="E519" s="2048">
        <f>ROUND(B519+C519-D519,2)</f>
        <v>0</v>
      </c>
      <c r="F519" s="2126"/>
      <c r="G519" s="2126"/>
      <c r="H519" s="2126"/>
      <c r="I519" s="2126"/>
      <c r="J519" s="2078"/>
    </row>
    <row r="520" s="2074" customFormat="1" spans="1:10">
      <c r="A520" s="2126"/>
      <c r="B520" s="2126"/>
      <c r="C520" s="2126"/>
      <c r="D520" s="2126"/>
      <c r="E520" s="2126"/>
      <c r="F520" s="2126"/>
      <c r="G520" s="2126"/>
      <c r="H520" s="2126"/>
      <c r="I520" s="2126"/>
      <c r="J520" s="2078"/>
    </row>
    <row r="521" s="2074" customFormat="1" spans="1:10">
      <c r="A521" s="2136"/>
      <c r="B521" s="2126"/>
      <c r="C521" s="2126"/>
      <c r="D521" s="2126"/>
      <c r="E521" s="2126"/>
      <c r="F521" s="2126"/>
      <c r="G521" s="2126"/>
      <c r="H521" s="2126"/>
      <c r="I521" s="2126"/>
      <c r="J521" s="2078"/>
    </row>
    <row r="522" s="2074" customFormat="1" spans="1:10">
      <c r="A522" s="2134" t="s">
        <v>900</v>
      </c>
      <c r="B522" s="2126"/>
      <c r="C522" s="2126"/>
      <c r="D522" s="2126"/>
      <c r="E522" s="2126"/>
      <c r="F522" s="2126"/>
      <c r="G522" s="2126"/>
      <c r="H522" s="2126"/>
      <c r="I522" s="2126"/>
      <c r="J522" s="2078"/>
    </row>
    <row r="523" s="2074" customFormat="1" spans="1:10">
      <c r="A523" s="2133" t="s">
        <v>901</v>
      </c>
      <c r="B523" s="2126"/>
      <c r="C523" s="2126"/>
      <c r="D523" s="2126"/>
      <c r="E523" s="2126"/>
      <c r="F523" s="2126"/>
      <c r="G523" s="2126"/>
      <c r="H523" s="2126"/>
      <c r="I523" s="2126"/>
      <c r="J523" s="2078"/>
    </row>
    <row r="524" s="2074" customFormat="1" spans="1:10">
      <c r="A524" s="2082" t="s">
        <v>372</v>
      </c>
      <c r="B524" s="2082" t="s">
        <v>316</v>
      </c>
      <c r="C524" s="2082" t="s">
        <v>581</v>
      </c>
      <c r="D524" s="2082" t="s">
        <v>582</v>
      </c>
      <c r="E524" s="2082" t="s">
        <v>315</v>
      </c>
      <c r="F524" s="2126"/>
      <c r="G524" s="2126"/>
      <c r="H524" s="2126"/>
      <c r="I524" s="2126"/>
      <c r="J524" s="2078"/>
    </row>
    <row r="525" s="2074" customFormat="1" spans="1:10">
      <c r="A525" s="2129" t="s">
        <v>714</v>
      </c>
      <c r="B525" s="2048">
        <f>ROUND(SUM(B526:B535),2)</f>
        <v>0</v>
      </c>
      <c r="C525" s="2048">
        <f>ROUND(SUM(C526:C535),2)</f>
        <v>0</v>
      </c>
      <c r="D525" s="2048">
        <f>ROUND(SUM(D526:D535),2)</f>
        <v>0</v>
      </c>
      <c r="E525" s="2048">
        <f>ROUND(SUM(E526:E535),2)</f>
        <v>0</v>
      </c>
      <c r="F525" s="2126"/>
      <c r="G525" s="2126"/>
      <c r="H525" s="2126"/>
      <c r="I525" s="2126"/>
      <c r="J525" s="2118" t="s">
        <v>902</v>
      </c>
    </row>
    <row r="526" s="2075" customFormat="1" spans="1:10">
      <c r="A526" s="2092"/>
      <c r="B526" s="2085"/>
      <c r="C526" s="2085"/>
      <c r="D526" s="2085"/>
      <c r="E526" s="2048">
        <f>ROUND(B526+C526-D526,2)</f>
        <v>0</v>
      </c>
      <c r="F526" s="2080"/>
      <c r="G526" s="2080"/>
      <c r="H526" s="2080"/>
      <c r="I526" s="2080"/>
      <c r="J526" s="2118" t="s">
        <v>903</v>
      </c>
    </row>
    <row r="527" s="2075" customFormat="1" spans="1:10">
      <c r="A527" s="2092"/>
      <c r="B527" s="2085"/>
      <c r="C527" s="2085"/>
      <c r="D527" s="2085"/>
      <c r="E527" s="2048">
        <f t="shared" ref="E527:E535" si="22">ROUND(B527+C527-D527,2)</f>
        <v>0</v>
      </c>
      <c r="F527" s="2080"/>
      <c r="G527" s="2080"/>
      <c r="H527" s="2080"/>
      <c r="I527" s="2080"/>
      <c r="J527" s="2118" t="s">
        <v>903</v>
      </c>
    </row>
    <row r="528" s="2075" customFormat="1" spans="1:10">
      <c r="A528" s="2092"/>
      <c r="B528" s="2085"/>
      <c r="C528" s="2085"/>
      <c r="D528" s="2085"/>
      <c r="E528" s="2048">
        <f t="shared" si="22"/>
        <v>0</v>
      </c>
      <c r="F528" s="2080"/>
      <c r="G528" s="2080"/>
      <c r="H528" s="2080"/>
      <c r="I528" s="2080"/>
      <c r="J528" s="2118" t="s">
        <v>903</v>
      </c>
    </row>
    <row r="529" s="2075" customFormat="1" spans="1:10">
      <c r="A529" s="2092"/>
      <c r="B529" s="2085"/>
      <c r="C529" s="2085"/>
      <c r="D529" s="2085"/>
      <c r="E529" s="2048">
        <f t="shared" si="22"/>
        <v>0</v>
      </c>
      <c r="F529" s="2080"/>
      <c r="G529" s="2080"/>
      <c r="H529" s="2080"/>
      <c r="I529" s="2080"/>
      <c r="J529" s="2118" t="s">
        <v>903</v>
      </c>
    </row>
    <row r="530" s="2075" customFormat="1" spans="1:10">
      <c r="A530" s="2092"/>
      <c r="B530" s="2085"/>
      <c r="C530" s="2085"/>
      <c r="D530" s="2085"/>
      <c r="E530" s="2048">
        <f t="shared" si="22"/>
        <v>0</v>
      </c>
      <c r="F530" s="2080"/>
      <c r="G530" s="2080"/>
      <c r="H530" s="2080"/>
      <c r="I530" s="2080"/>
      <c r="J530" s="2118" t="s">
        <v>903</v>
      </c>
    </row>
    <row r="531" s="2075" customFormat="1" spans="1:10">
      <c r="A531" s="2092"/>
      <c r="B531" s="2085"/>
      <c r="C531" s="2085"/>
      <c r="D531" s="2085"/>
      <c r="E531" s="2048">
        <f t="shared" si="22"/>
        <v>0</v>
      </c>
      <c r="F531" s="2080"/>
      <c r="G531" s="2080"/>
      <c r="H531" s="2080"/>
      <c r="I531" s="2080"/>
      <c r="J531" s="2118" t="s">
        <v>903</v>
      </c>
    </row>
    <row r="532" s="2075" customFormat="1" spans="1:10">
      <c r="A532" s="2092"/>
      <c r="B532" s="2085"/>
      <c r="C532" s="2085"/>
      <c r="D532" s="2085"/>
      <c r="E532" s="2048">
        <f t="shared" si="22"/>
        <v>0</v>
      </c>
      <c r="F532" s="2080"/>
      <c r="G532" s="2080"/>
      <c r="H532" s="2080"/>
      <c r="I532" s="2080"/>
      <c r="J532" s="2118" t="s">
        <v>903</v>
      </c>
    </row>
    <row r="533" s="2075" customFormat="1" spans="1:10">
      <c r="A533" s="2092"/>
      <c r="B533" s="2085"/>
      <c r="C533" s="2085"/>
      <c r="D533" s="2085"/>
      <c r="E533" s="2048">
        <f t="shared" si="22"/>
        <v>0</v>
      </c>
      <c r="F533" s="2080"/>
      <c r="G533" s="2080"/>
      <c r="H533" s="2080"/>
      <c r="I533" s="2080"/>
      <c r="J533" s="2118" t="s">
        <v>903</v>
      </c>
    </row>
    <row r="534" s="2075" customFormat="1" spans="1:10">
      <c r="A534" s="2092"/>
      <c r="B534" s="2085"/>
      <c r="C534" s="2085"/>
      <c r="D534" s="2085"/>
      <c r="E534" s="2048">
        <f t="shared" si="22"/>
        <v>0</v>
      </c>
      <c r="F534" s="2080"/>
      <c r="G534" s="2080"/>
      <c r="H534" s="2080"/>
      <c r="I534" s="2080"/>
      <c r="J534" s="2118" t="s">
        <v>903</v>
      </c>
    </row>
    <row r="535" s="2075" customFormat="1" spans="1:10">
      <c r="A535" s="2092"/>
      <c r="B535" s="2085"/>
      <c r="C535" s="2085"/>
      <c r="D535" s="2085"/>
      <c r="E535" s="2048">
        <f t="shared" si="22"/>
        <v>0</v>
      </c>
      <c r="F535" s="2080"/>
      <c r="G535" s="2080"/>
      <c r="H535" s="2080"/>
      <c r="I535" s="2080"/>
      <c r="J535" s="2118" t="s">
        <v>903</v>
      </c>
    </row>
    <row r="536" s="2074" customFormat="1" spans="1:10">
      <c r="A536" s="2137"/>
      <c r="B536" s="2083"/>
      <c r="C536" s="2083"/>
      <c r="D536" s="2083"/>
      <c r="E536" s="2083"/>
      <c r="F536" s="2126"/>
      <c r="G536" s="2126"/>
      <c r="H536" s="2126"/>
      <c r="I536" s="2126"/>
      <c r="J536" s="2078"/>
    </row>
    <row r="537" s="2074" customFormat="1" spans="1:10">
      <c r="A537" s="2129" t="s">
        <v>904</v>
      </c>
      <c r="B537" s="2048">
        <f>ROUND(SUM(B538:B547),2)</f>
        <v>0</v>
      </c>
      <c r="C537" s="2048">
        <f>ROUND(SUM(C538:C547),2)</f>
        <v>0</v>
      </c>
      <c r="D537" s="2048">
        <f>ROUND(SUM(D538:D547),2)</f>
        <v>0</v>
      </c>
      <c r="E537" s="2048">
        <f>ROUND(SUM(E538:E547),2)</f>
        <v>0</v>
      </c>
      <c r="F537" s="2126"/>
      <c r="G537" s="2126"/>
      <c r="H537" s="2126"/>
      <c r="I537" s="2126"/>
      <c r="J537" s="2118" t="s">
        <v>905</v>
      </c>
    </row>
    <row r="538" s="2075" customFormat="1" spans="1:10">
      <c r="A538" s="2087" t="str">
        <f>IF(A526="","",A526)</f>
        <v/>
      </c>
      <c r="B538" s="2085"/>
      <c r="C538" s="2085"/>
      <c r="D538" s="2085"/>
      <c r="E538" s="2048">
        <f>ROUND(B538+C538-D538,2)</f>
        <v>0</v>
      </c>
      <c r="F538" s="2080"/>
      <c r="G538" s="2080"/>
      <c r="H538" s="2080"/>
      <c r="I538" s="2080"/>
      <c r="J538" s="2118" t="s">
        <v>906</v>
      </c>
    </row>
    <row r="539" s="2075" customFormat="1" spans="1:10">
      <c r="A539" s="2087" t="str">
        <f t="shared" ref="A539:A547" si="23">IF(A527="","",A527)</f>
        <v/>
      </c>
      <c r="B539" s="2085"/>
      <c r="C539" s="2085"/>
      <c r="D539" s="2085"/>
      <c r="E539" s="2048">
        <f t="shared" ref="E539:E547" si="24">ROUND(B539+C539-D539,2)</f>
        <v>0</v>
      </c>
      <c r="F539" s="2080"/>
      <c r="G539" s="2080"/>
      <c r="H539" s="2080"/>
      <c r="I539" s="2080"/>
      <c r="J539" s="2118" t="s">
        <v>906</v>
      </c>
    </row>
    <row r="540" s="2075" customFormat="1" spans="1:10">
      <c r="A540" s="2087" t="str">
        <f t="shared" si="23"/>
        <v/>
      </c>
      <c r="B540" s="2085"/>
      <c r="C540" s="2085"/>
      <c r="D540" s="2085"/>
      <c r="E540" s="2048">
        <f t="shared" si="24"/>
        <v>0</v>
      </c>
      <c r="F540" s="2080"/>
      <c r="G540" s="2080"/>
      <c r="H540" s="2080"/>
      <c r="I540" s="2080"/>
      <c r="J540" s="2118" t="s">
        <v>906</v>
      </c>
    </row>
    <row r="541" s="2075" customFormat="1" spans="1:10">
      <c r="A541" s="2087" t="str">
        <f t="shared" si="23"/>
        <v/>
      </c>
      <c r="B541" s="2085"/>
      <c r="C541" s="2085"/>
      <c r="D541" s="2085"/>
      <c r="E541" s="2048">
        <f t="shared" si="24"/>
        <v>0</v>
      </c>
      <c r="F541" s="2080"/>
      <c r="G541" s="2080"/>
      <c r="H541" s="2080"/>
      <c r="I541" s="2080"/>
      <c r="J541" s="2118" t="s">
        <v>906</v>
      </c>
    </row>
    <row r="542" s="2075" customFormat="1" spans="1:10">
      <c r="A542" s="2087" t="str">
        <f t="shared" si="23"/>
        <v/>
      </c>
      <c r="B542" s="2085"/>
      <c r="C542" s="2085"/>
      <c r="D542" s="2085"/>
      <c r="E542" s="2048">
        <f t="shared" si="24"/>
        <v>0</v>
      </c>
      <c r="F542" s="2080"/>
      <c r="G542" s="2080"/>
      <c r="H542" s="2080"/>
      <c r="I542" s="2080"/>
      <c r="J542" s="2118" t="s">
        <v>906</v>
      </c>
    </row>
    <row r="543" s="2075" customFormat="1" spans="1:10">
      <c r="A543" s="2087" t="str">
        <f t="shared" si="23"/>
        <v/>
      </c>
      <c r="B543" s="2085"/>
      <c r="C543" s="2085"/>
      <c r="D543" s="2085"/>
      <c r="E543" s="2048">
        <f t="shared" si="24"/>
        <v>0</v>
      </c>
      <c r="F543" s="2080"/>
      <c r="G543" s="2080"/>
      <c r="H543" s="2080"/>
      <c r="I543" s="2080"/>
      <c r="J543" s="2118" t="s">
        <v>906</v>
      </c>
    </row>
    <row r="544" s="2075" customFormat="1" spans="1:10">
      <c r="A544" s="2087" t="str">
        <f t="shared" si="23"/>
        <v/>
      </c>
      <c r="B544" s="2085"/>
      <c r="C544" s="2085"/>
      <c r="D544" s="2085"/>
      <c r="E544" s="2048">
        <f t="shared" si="24"/>
        <v>0</v>
      </c>
      <c r="F544" s="2080"/>
      <c r="G544" s="2080"/>
      <c r="H544" s="2080"/>
      <c r="I544" s="2080"/>
      <c r="J544" s="2118" t="s">
        <v>906</v>
      </c>
    </row>
    <row r="545" s="2075" customFormat="1" spans="1:10">
      <c r="A545" s="2087" t="str">
        <f t="shared" si="23"/>
        <v/>
      </c>
      <c r="B545" s="2085"/>
      <c r="C545" s="2085"/>
      <c r="D545" s="2085"/>
      <c r="E545" s="2048">
        <f t="shared" si="24"/>
        <v>0</v>
      </c>
      <c r="F545" s="2080"/>
      <c r="G545" s="2080"/>
      <c r="H545" s="2080"/>
      <c r="I545" s="2080"/>
      <c r="J545" s="2118" t="s">
        <v>906</v>
      </c>
    </row>
    <row r="546" s="2075" customFormat="1" spans="1:10">
      <c r="A546" s="2087" t="str">
        <f t="shared" si="23"/>
        <v/>
      </c>
      <c r="B546" s="2085"/>
      <c r="C546" s="2085"/>
      <c r="D546" s="2085"/>
      <c r="E546" s="2048">
        <f t="shared" si="24"/>
        <v>0</v>
      </c>
      <c r="F546" s="2080"/>
      <c r="G546" s="2080"/>
      <c r="H546" s="2080"/>
      <c r="I546" s="2080"/>
      <c r="J546" s="2118" t="s">
        <v>906</v>
      </c>
    </row>
    <row r="547" s="2075" customFormat="1" spans="1:10">
      <c r="A547" s="2087" t="str">
        <f t="shared" si="23"/>
        <v/>
      </c>
      <c r="B547" s="2085"/>
      <c r="C547" s="2085"/>
      <c r="D547" s="2085"/>
      <c r="E547" s="2048">
        <f t="shared" si="24"/>
        <v>0</v>
      </c>
      <c r="F547" s="2080"/>
      <c r="G547" s="2080"/>
      <c r="H547" s="2080"/>
      <c r="I547" s="2080"/>
      <c r="J547" s="2118" t="s">
        <v>906</v>
      </c>
    </row>
    <row r="548" s="2074" customFormat="1" spans="1:10">
      <c r="A548" s="2137"/>
      <c r="B548" s="2083"/>
      <c r="C548" s="2083"/>
      <c r="D548" s="2083"/>
      <c r="E548" s="2083"/>
      <c r="F548" s="2126"/>
      <c r="G548" s="2126"/>
      <c r="H548" s="2126"/>
      <c r="I548" s="2126"/>
      <c r="J548" s="2078"/>
    </row>
    <row r="549" s="2074" customFormat="1" spans="1:10">
      <c r="A549" s="2129" t="s">
        <v>907</v>
      </c>
      <c r="B549" s="2048">
        <f>ROUND(SUM(B550:B559),2)</f>
        <v>0</v>
      </c>
      <c r="C549" s="2048">
        <f>ROUND(SUM(C550:C559),2)</f>
        <v>0</v>
      </c>
      <c r="D549" s="2048">
        <f>ROUND(SUM(D550:D559),2)</f>
        <v>0</v>
      </c>
      <c r="E549" s="2048">
        <f>ROUND(SUM(E550:E559),2)</f>
        <v>0</v>
      </c>
      <c r="F549" s="2126"/>
      <c r="G549" s="2126"/>
      <c r="H549" s="2126"/>
      <c r="I549" s="2126"/>
      <c r="J549" s="2118" t="s">
        <v>908</v>
      </c>
    </row>
    <row r="550" s="2075" customFormat="1" spans="1:10">
      <c r="A550" s="2087" t="str">
        <f>IF(A526="","",A526)</f>
        <v/>
      </c>
      <c r="B550" s="2085"/>
      <c r="C550" s="2085"/>
      <c r="D550" s="2085"/>
      <c r="E550" s="2048">
        <f>ROUND(B550+C550-D550,2)</f>
        <v>0</v>
      </c>
      <c r="F550" s="2080"/>
      <c r="G550" s="2080"/>
      <c r="H550" s="2080"/>
      <c r="I550" s="2080"/>
      <c r="J550" s="2118" t="s">
        <v>909</v>
      </c>
    </row>
    <row r="551" s="2075" customFormat="1" spans="1:10">
      <c r="A551" s="2087" t="str">
        <f t="shared" ref="A551:A559" si="25">IF(A527="","",A527)</f>
        <v/>
      </c>
      <c r="B551" s="2085"/>
      <c r="C551" s="2085"/>
      <c r="D551" s="2085"/>
      <c r="E551" s="2048">
        <f t="shared" ref="E551:E559" si="26">ROUND(B551+C551-D551,2)</f>
        <v>0</v>
      </c>
      <c r="F551" s="2080"/>
      <c r="G551" s="2080"/>
      <c r="H551" s="2080"/>
      <c r="I551" s="2080"/>
      <c r="J551" s="2118" t="s">
        <v>909</v>
      </c>
    </row>
    <row r="552" s="2075" customFormat="1" spans="1:10">
      <c r="A552" s="2087" t="str">
        <f t="shared" si="25"/>
        <v/>
      </c>
      <c r="B552" s="2085"/>
      <c r="C552" s="2085"/>
      <c r="D552" s="2085"/>
      <c r="E552" s="2048">
        <f t="shared" si="26"/>
        <v>0</v>
      </c>
      <c r="F552" s="2080"/>
      <c r="G552" s="2080"/>
      <c r="H552" s="2080"/>
      <c r="I552" s="2080"/>
      <c r="J552" s="2118" t="s">
        <v>909</v>
      </c>
    </row>
    <row r="553" s="2075" customFormat="1" spans="1:10">
      <c r="A553" s="2087" t="str">
        <f t="shared" si="25"/>
        <v/>
      </c>
      <c r="B553" s="2085"/>
      <c r="C553" s="2085"/>
      <c r="D553" s="2085"/>
      <c r="E553" s="2048">
        <f t="shared" si="26"/>
        <v>0</v>
      </c>
      <c r="F553" s="2080"/>
      <c r="G553" s="2080"/>
      <c r="H553" s="2080"/>
      <c r="I553" s="2080"/>
      <c r="J553" s="2118" t="s">
        <v>909</v>
      </c>
    </row>
    <row r="554" s="2075" customFormat="1" spans="1:10">
      <c r="A554" s="2087" t="str">
        <f t="shared" si="25"/>
        <v/>
      </c>
      <c r="B554" s="2085"/>
      <c r="C554" s="2085"/>
      <c r="D554" s="2085"/>
      <c r="E554" s="2048">
        <f t="shared" si="26"/>
        <v>0</v>
      </c>
      <c r="F554" s="2080"/>
      <c r="G554" s="2080"/>
      <c r="H554" s="2080"/>
      <c r="I554" s="2080"/>
      <c r="J554" s="2118" t="s">
        <v>909</v>
      </c>
    </row>
    <row r="555" s="2075" customFormat="1" spans="1:10">
      <c r="A555" s="2087" t="str">
        <f t="shared" si="25"/>
        <v/>
      </c>
      <c r="B555" s="2085"/>
      <c r="C555" s="2085"/>
      <c r="D555" s="2085"/>
      <c r="E555" s="2048">
        <f t="shared" si="26"/>
        <v>0</v>
      </c>
      <c r="F555" s="2080"/>
      <c r="G555" s="2080"/>
      <c r="H555" s="2080"/>
      <c r="I555" s="2080"/>
      <c r="J555" s="2118" t="s">
        <v>909</v>
      </c>
    </row>
    <row r="556" s="2075" customFormat="1" spans="1:10">
      <c r="A556" s="2087" t="str">
        <f t="shared" si="25"/>
        <v/>
      </c>
      <c r="B556" s="2085"/>
      <c r="C556" s="2085"/>
      <c r="D556" s="2085"/>
      <c r="E556" s="2048">
        <f t="shared" si="26"/>
        <v>0</v>
      </c>
      <c r="F556" s="2080"/>
      <c r="G556" s="2080"/>
      <c r="H556" s="2080"/>
      <c r="I556" s="2080"/>
      <c r="J556" s="2118" t="s">
        <v>909</v>
      </c>
    </row>
    <row r="557" s="2075" customFormat="1" spans="1:10">
      <c r="A557" s="2087" t="str">
        <f t="shared" si="25"/>
        <v/>
      </c>
      <c r="B557" s="2085"/>
      <c r="C557" s="2085"/>
      <c r="D557" s="2085"/>
      <c r="E557" s="2048">
        <f t="shared" si="26"/>
        <v>0</v>
      </c>
      <c r="F557" s="2080"/>
      <c r="G557" s="2080"/>
      <c r="H557" s="2080"/>
      <c r="I557" s="2080"/>
      <c r="J557" s="2118" t="s">
        <v>909</v>
      </c>
    </row>
    <row r="558" s="2075" customFormat="1" spans="1:10">
      <c r="A558" s="2087" t="str">
        <f t="shared" si="25"/>
        <v/>
      </c>
      <c r="B558" s="2085"/>
      <c r="C558" s="2085"/>
      <c r="D558" s="2085"/>
      <c r="E558" s="2048">
        <f t="shared" si="26"/>
        <v>0</v>
      </c>
      <c r="F558" s="2080"/>
      <c r="G558" s="2080"/>
      <c r="H558" s="2080"/>
      <c r="I558" s="2080"/>
      <c r="J558" s="2118" t="s">
        <v>909</v>
      </c>
    </row>
    <row r="559" s="2075" customFormat="1" spans="1:10">
      <c r="A559" s="2087" t="str">
        <f t="shared" si="25"/>
        <v/>
      </c>
      <c r="B559" s="2085"/>
      <c r="C559" s="2085"/>
      <c r="D559" s="2085"/>
      <c r="E559" s="2048">
        <f t="shared" si="26"/>
        <v>0</v>
      </c>
      <c r="F559" s="2080"/>
      <c r="G559" s="2080"/>
      <c r="H559" s="2080"/>
      <c r="I559" s="2080"/>
      <c r="J559" s="2118" t="s">
        <v>909</v>
      </c>
    </row>
    <row r="560" s="2074" customFormat="1" spans="1:10">
      <c r="A560" s="2137"/>
      <c r="B560" s="2083"/>
      <c r="C560" s="2083"/>
      <c r="D560" s="2083"/>
      <c r="E560" s="2083"/>
      <c r="F560" s="2126"/>
      <c r="G560" s="2126"/>
      <c r="H560" s="2126"/>
      <c r="I560" s="2126"/>
      <c r="J560" s="2078"/>
    </row>
    <row r="561" s="2074" customFormat="1" spans="1:10">
      <c r="A561" s="2129" t="s">
        <v>910</v>
      </c>
      <c r="B561" s="2048">
        <f>ROUND(SUM(B562:B571),2)</f>
        <v>0</v>
      </c>
      <c r="C561" s="2048">
        <f>ROUND(SUM(C562:C571),2)</f>
        <v>0</v>
      </c>
      <c r="D561" s="2048">
        <f>ROUND(SUM(D562:D571),2)</f>
        <v>0</v>
      </c>
      <c r="E561" s="2048">
        <f>ROUND(SUM(E562:E571),2)</f>
        <v>0</v>
      </c>
      <c r="F561" s="2126"/>
      <c r="G561" s="2126"/>
      <c r="H561" s="2126"/>
      <c r="I561" s="2126"/>
      <c r="J561" s="2078"/>
    </row>
    <row r="562" s="2075" customFormat="1" spans="1:10">
      <c r="A562" s="2087" t="str">
        <f>IF(A526="","",A526)</f>
        <v/>
      </c>
      <c r="B562" s="1830">
        <f t="shared" ref="B562:D571" si="27">ROUND(B526-B538-B550,2)</f>
        <v>0</v>
      </c>
      <c r="C562" s="1830">
        <f t="shared" si="27"/>
        <v>0</v>
      </c>
      <c r="D562" s="1830">
        <f t="shared" si="27"/>
        <v>0</v>
      </c>
      <c r="E562" s="2048">
        <f>ROUND(B562+C562-D562,2)</f>
        <v>0</v>
      </c>
      <c r="F562" s="2080"/>
      <c r="G562" s="2080"/>
      <c r="H562" s="2080"/>
      <c r="I562" s="2080"/>
      <c r="J562" s="2141"/>
    </row>
    <row r="563" s="2075" customFormat="1" spans="1:10">
      <c r="A563" s="2087" t="str">
        <f t="shared" ref="A563:A571" si="28">IF(A527="","",A527)</f>
        <v/>
      </c>
      <c r="B563" s="1830">
        <f t="shared" si="27"/>
        <v>0</v>
      </c>
      <c r="C563" s="1830">
        <f t="shared" si="27"/>
        <v>0</v>
      </c>
      <c r="D563" s="1830">
        <f t="shared" si="27"/>
        <v>0</v>
      </c>
      <c r="E563" s="2048">
        <f t="shared" ref="E563:E571" si="29">ROUND(B563+C563-D563,2)</f>
        <v>0</v>
      </c>
      <c r="F563" s="2080"/>
      <c r="G563" s="2080"/>
      <c r="H563" s="2080"/>
      <c r="I563" s="2080"/>
      <c r="J563" s="2141"/>
    </row>
    <row r="564" s="2075" customFormat="1" spans="1:10">
      <c r="A564" s="2087" t="str">
        <f t="shared" si="28"/>
        <v/>
      </c>
      <c r="B564" s="1830">
        <f t="shared" si="27"/>
        <v>0</v>
      </c>
      <c r="C564" s="1830">
        <f t="shared" si="27"/>
        <v>0</v>
      </c>
      <c r="D564" s="1830">
        <f t="shared" si="27"/>
        <v>0</v>
      </c>
      <c r="E564" s="2048">
        <f t="shared" si="29"/>
        <v>0</v>
      </c>
      <c r="F564" s="2080"/>
      <c r="G564" s="2080"/>
      <c r="H564" s="2080"/>
      <c r="I564" s="2080"/>
      <c r="J564" s="2141"/>
    </row>
    <row r="565" s="2075" customFormat="1" spans="1:10">
      <c r="A565" s="2087" t="str">
        <f t="shared" si="28"/>
        <v/>
      </c>
      <c r="B565" s="1830">
        <f t="shared" si="27"/>
        <v>0</v>
      </c>
      <c r="C565" s="1830">
        <f t="shared" si="27"/>
        <v>0</v>
      </c>
      <c r="D565" s="1830">
        <f t="shared" si="27"/>
        <v>0</v>
      </c>
      <c r="E565" s="2048">
        <f t="shared" si="29"/>
        <v>0</v>
      </c>
      <c r="F565" s="2080"/>
      <c r="G565" s="2080"/>
      <c r="H565" s="2080"/>
      <c r="I565" s="2080"/>
      <c r="J565" s="2141"/>
    </row>
    <row r="566" s="2075" customFormat="1" spans="1:10">
      <c r="A566" s="2087" t="str">
        <f t="shared" si="28"/>
        <v/>
      </c>
      <c r="B566" s="1830">
        <f t="shared" si="27"/>
        <v>0</v>
      </c>
      <c r="C566" s="1830">
        <f t="shared" si="27"/>
        <v>0</v>
      </c>
      <c r="D566" s="1830">
        <f t="shared" si="27"/>
        <v>0</v>
      </c>
      <c r="E566" s="2048">
        <f t="shared" si="29"/>
        <v>0</v>
      </c>
      <c r="F566" s="2080"/>
      <c r="G566" s="2080"/>
      <c r="H566" s="2080"/>
      <c r="I566" s="2080"/>
      <c r="J566" s="2141"/>
    </row>
    <row r="567" s="2075" customFormat="1" spans="1:10">
      <c r="A567" s="2087" t="str">
        <f t="shared" si="28"/>
        <v/>
      </c>
      <c r="B567" s="1830">
        <f t="shared" si="27"/>
        <v>0</v>
      </c>
      <c r="C567" s="1830">
        <f t="shared" si="27"/>
        <v>0</v>
      </c>
      <c r="D567" s="1830">
        <f t="shared" si="27"/>
        <v>0</v>
      </c>
      <c r="E567" s="2048">
        <f t="shared" si="29"/>
        <v>0</v>
      </c>
      <c r="F567" s="2080"/>
      <c r="G567" s="2080"/>
      <c r="H567" s="2080"/>
      <c r="I567" s="2080"/>
      <c r="J567" s="2141"/>
    </row>
    <row r="568" s="2075" customFormat="1" spans="1:10">
      <c r="A568" s="2087" t="str">
        <f t="shared" si="28"/>
        <v/>
      </c>
      <c r="B568" s="1830">
        <f t="shared" si="27"/>
        <v>0</v>
      </c>
      <c r="C568" s="1830">
        <f t="shared" si="27"/>
        <v>0</v>
      </c>
      <c r="D568" s="1830">
        <f t="shared" si="27"/>
        <v>0</v>
      </c>
      <c r="E568" s="2048">
        <f t="shared" si="29"/>
        <v>0</v>
      </c>
      <c r="F568" s="2080"/>
      <c r="G568" s="2080"/>
      <c r="H568" s="2080"/>
      <c r="I568" s="2080"/>
      <c r="J568" s="2141"/>
    </row>
    <row r="569" s="2075" customFormat="1" spans="1:10">
      <c r="A569" s="2087" t="str">
        <f t="shared" si="28"/>
        <v/>
      </c>
      <c r="B569" s="1830">
        <f t="shared" si="27"/>
        <v>0</v>
      </c>
      <c r="C569" s="1830">
        <f t="shared" si="27"/>
        <v>0</v>
      </c>
      <c r="D569" s="1830">
        <f t="shared" si="27"/>
        <v>0</v>
      </c>
      <c r="E569" s="2048">
        <f t="shared" si="29"/>
        <v>0</v>
      </c>
      <c r="F569" s="2080"/>
      <c r="G569" s="2080"/>
      <c r="H569" s="2080"/>
      <c r="I569" s="2080"/>
      <c r="J569" s="2141"/>
    </row>
    <row r="570" s="2075" customFormat="1" spans="1:10">
      <c r="A570" s="2087" t="str">
        <f t="shared" si="28"/>
        <v/>
      </c>
      <c r="B570" s="1830">
        <f t="shared" si="27"/>
        <v>0</v>
      </c>
      <c r="C570" s="1830">
        <f t="shared" si="27"/>
        <v>0</v>
      </c>
      <c r="D570" s="1830">
        <f t="shared" si="27"/>
        <v>0</v>
      </c>
      <c r="E570" s="2048">
        <f t="shared" si="29"/>
        <v>0</v>
      </c>
      <c r="F570" s="2080"/>
      <c r="G570" s="2080"/>
      <c r="H570" s="2080"/>
      <c r="I570" s="2080"/>
      <c r="J570" s="2141"/>
    </row>
    <row r="571" s="2075" customFormat="1" spans="1:10">
      <c r="A571" s="2087" t="str">
        <f t="shared" si="28"/>
        <v/>
      </c>
      <c r="B571" s="1830">
        <f t="shared" si="27"/>
        <v>0</v>
      </c>
      <c r="C571" s="1830">
        <f t="shared" si="27"/>
        <v>0</v>
      </c>
      <c r="D571" s="1830">
        <f t="shared" si="27"/>
        <v>0</v>
      </c>
      <c r="E571" s="2048">
        <f t="shared" si="29"/>
        <v>0</v>
      </c>
      <c r="F571" s="2080"/>
      <c r="G571" s="2080"/>
      <c r="H571" s="2080"/>
      <c r="I571" s="2080"/>
      <c r="J571" s="2141"/>
    </row>
    <row r="572" s="2074" customFormat="1" spans="1:10">
      <c r="A572" s="2143"/>
      <c r="B572" s="2126"/>
      <c r="C572" s="2126"/>
      <c r="D572" s="2126"/>
      <c r="E572" s="2126"/>
      <c r="F572" s="2126"/>
      <c r="G572" s="2126"/>
      <c r="H572" s="2126"/>
      <c r="I572" s="2126"/>
      <c r="J572" s="2078"/>
    </row>
    <row r="573" s="2074" customFormat="1" spans="1:10">
      <c r="A573" s="2127" t="s">
        <v>911</v>
      </c>
      <c r="B573" s="2126"/>
      <c r="C573" s="2126"/>
      <c r="D573" s="2126"/>
      <c r="E573" s="2126"/>
      <c r="F573" s="2126"/>
      <c r="G573" s="2126"/>
      <c r="H573" s="2126"/>
      <c r="I573" s="2126"/>
      <c r="J573" s="2078"/>
    </row>
    <row r="574" s="2074" customFormat="1" spans="1:10">
      <c r="A574" s="2082" t="s">
        <v>372</v>
      </c>
      <c r="B574" s="2082" t="s">
        <v>912</v>
      </c>
      <c r="C574" s="2082" t="s">
        <v>913</v>
      </c>
      <c r="D574" s="2082" t="s">
        <v>914</v>
      </c>
      <c r="E574" s="2126"/>
      <c r="F574" s="2126"/>
      <c r="G574" s="2126"/>
      <c r="H574" s="2126"/>
      <c r="I574" s="2126"/>
      <c r="J574" s="2078"/>
    </row>
    <row r="575" s="2075" customFormat="1" spans="1:10">
      <c r="A575" s="2092"/>
      <c r="B575" s="2085"/>
      <c r="C575" s="2085"/>
      <c r="D575" s="2048">
        <f>ROUND(B575+C575,2)</f>
        <v>0</v>
      </c>
      <c r="E575" s="2126"/>
      <c r="F575" s="2080"/>
      <c r="G575" s="2080"/>
      <c r="H575" s="2080"/>
      <c r="I575" s="2080"/>
      <c r="J575" s="2118" t="s">
        <v>915</v>
      </c>
    </row>
    <row r="576" s="2075" customFormat="1" spans="1:10">
      <c r="A576" s="2092"/>
      <c r="B576" s="2085"/>
      <c r="C576" s="2085"/>
      <c r="D576" s="2048">
        <f t="shared" ref="D576:D584" si="30">ROUND(B576+C576,2)</f>
        <v>0</v>
      </c>
      <c r="E576" s="2126"/>
      <c r="F576" s="2080"/>
      <c r="G576" s="2080"/>
      <c r="H576" s="2080"/>
      <c r="I576" s="2080"/>
      <c r="J576" s="2118" t="s">
        <v>915</v>
      </c>
    </row>
    <row r="577" s="2075" customFormat="1" spans="1:10">
      <c r="A577" s="2092"/>
      <c r="B577" s="2085"/>
      <c r="C577" s="2085"/>
      <c r="D577" s="2048">
        <f t="shared" si="30"/>
        <v>0</v>
      </c>
      <c r="E577" s="2126"/>
      <c r="F577" s="2080"/>
      <c r="G577" s="2080"/>
      <c r="H577" s="2080"/>
      <c r="I577" s="2080"/>
      <c r="J577" s="2118" t="s">
        <v>915</v>
      </c>
    </row>
    <row r="578" s="2075" customFormat="1" spans="1:10">
      <c r="A578" s="2092"/>
      <c r="B578" s="2085"/>
      <c r="C578" s="2085"/>
      <c r="D578" s="2048">
        <f t="shared" si="30"/>
        <v>0</v>
      </c>
      <c r="E578" s="2126"/>
      <c r="F578" s="2080"/>
      <c r="G578" s="2080"/>
      <c r="H578" s="2080"/>
      <c r="I578" s="2080"/>
      <c r="J578" s="2118" t="s">
        <v>915</v>
      </c>
    </row>
    <row r="579" s="2075" customFormat="1" spans="1:10">
      <c r="A579" s="2092"/>
      <c r="B579" s="2085"/>
      <c r="C579" s="2085"/>
      <c r="D579" s="2048">
        <f t="shared" si="30"/>
        <v>0</v>
      </c>
      <c r="E579" s="2126"/>
      <c r="F579" s="2080"/>
      <c r="G579" s="2080"/>
      <c r="H579" s="2080"/>
      <c r="I579" s="2080"/>
      <c r="J579" s="2118" t="s">
        <v>915</v>
      </c>
    </row>
    <row r="580" s="2075" customFormat="1" spans="1:10">
      <c r="A580" s="2092"/>
      <c r="B580" s="2085"/>
      <c r="C580" s="2085"/>
      <c r="D580" s="2048">
        <f t="shared" si="30"/>
        <v>0</v>
      </c>
      <c r="E580" s="2126"/>
      <c r="F580" s="2080"/>
      <c r="G580" s="2080"/>
      <c r="H580" s="2080"/>
      <c r="I580" s="2080"/>
      <c r="J580" s="2118" t="s">
        <v>915</v>
      </c>
    </row>
    <row r="581" s="2075" customFormat="1" spans="1:10">
      <c r="A581" s="2092"/>
      <c r="B581" s="2085"/>
      <c r="C581" s="2085"/>
      <c r="D581" s="2048">
        <f t="shared" si="30"/>
        <v>0</v>
      </c>
      <c r="E581" s="2126"/>
      <c r="F581" s="2080"/>
      <c r="G581" s="2080"/>
      <c r="H581" s="2080"/>
      <c r="I581" s="2080"/>
      <c r="J581" s="2118" t="s">
        <v>915</v>
      </c>
    </row>
    <row r="582" s="2075" customFormat="1" spans="1:10">
      <c r="A582" s="2092"/>
      <c r="B582" s="2085"/>
      <c r="C582" s="2085"/>
      <c r="D582" s="2048">
        <f t="shared" si="30"/>
        <v>0</v>
      </c>
      <c r="E582" s="2126"/>
      <c r="F582" s="2080"/>
      <c r="G582" s="2080"/>
      <c r="H582" s="2080"/>
      <c r="I582" s="2080"/>
      <c r="J582" s="2118" t="s">
        <v>915</v>
      </c>
    </row>
    <row r="583" s="2075" customFormat="1" spans="1:10">
      <c r="A583" s="2092"/>
      <c r="B583" s="2085"/>
      <c r="C583" s="2085"/>
      <c r="D583" s="2048">
        <f t="shared" si="30"/>
        <v>0</v>
      </c>
      <c r="E583" s="2126"/>
      <c r="F583" s="2080"/>
      <c r="G583" s="2080"/>
      <c r="H583" s="2080"/>
      <c r="I583" s="2080"/>
      <c r="J583" s="2118" t="s">
        <v>915</v>
      </c>
    </row>
    <row r="584" s="2075" customFormat="1" spans="1:10">
      <c r="A584" s="2092"/>
      <c r="B584" s="2085"/>
      <c r="C584" s="2085"/>
      <c r="D584" s="2048">
        <f t="shared" si="30"/>
        <v>0</v>
      </c>
      <c r="E584" s="2126"/>
      <c r="F584" s="2080"/>
      <c r="G584" s="2080"/>
      <c r="H584" s="2080"/>
      <c r="I584" s="2080"/>
      <c r="J584" s="2118" t="s">
        <v>915</v>
      </c>
    </row>
    <row r="585" s="2074" customFormat="1" spans="1:10">
      <c r="A585" s="2082" t="s">
        <v>384</v>
      </c>
      <c r="B585" s="2048">
        <f>ROUND(SUM(B575:B584),2)</f>
        <v>0</v>
      </c>
      <c r="C585" s="2048">
        <f>ROUND(SUM(C575:C584),2)</f>
        <v>0</v>
      </c>
      <c r="D585" s="2048">
        <f>ROUND(SUM(D575:D584),2)</f>
        <v>0</v>
      </c>
      <c r="E585" s="2126"/>
      <c r="F585" s="2126"/>
      <c r="G585" s="2126"/>
      <c r="H585" s="2126"/>
      <c r="I585" s="2126"/>
      <c r="J585" s="2118" t="s">
        <v>916</v>
      </c>
    </row>
    <row r="586" s="2074" customFormat="1" spans="1:10">
      <c r="A586" s="2143"/>
      <c r="B586" s="2126"/>
      <c r="C586" s="2126"/>
      <c r="D586" s="2126"/>
      <c r="E586" s="2126"/>
      <c r="F586" s="2126"/>
      <c r="G586" s="2126"/>
      <c r="H586" s="2126"/>
      <c r="I586" s="2126"/>
      <c r="J586" s="2078"/>
    </row>
    <row r="587" s="2074" customFormat="1" spans="1:10">
      <c r="A587" s="2127" t="s">
        <v>917</v>
      </c>
      <c r="B587" s="2126"/>
      <c r="C587" s="2126"/>
      <c r="D587" s="2126"/>
      <c r="E587" s="2126"/>
      <c r="F587" s="2126"/>
      <c r="G587" s="2126"/>
      <c r="H587" s="2126"/>
      <c r="I587" s="2126"/>
      <c r="J587" s="2078"/>
    </row>
    <row r="588" s="2074" customFormat="1" spans="1:10">
      <c r="A588" s="2082" t="s">
        <v>372</v>
      </c>
      <c r="B588" s="2082" t="s">
        <v>918</v>
      </c>
      <c r="C588" s="2082" t="s">
        <v>919</v>
      </c>
      <c r="D588" s="2082" t="s">
        <v>920</v>
      </c>
      <c r="E588" s="2082" t="s">
        <v>921</v>
      </c>
      <c r="F588" s="2126"/>
      <c r="G588" s="2126"/>
      <c r="H588" s="2126"/>
      <c r="I588" s="2126"/>
      <c r="J588" s="2078"/>
    </row>
    <row r="589" s="2075" customFormat="1" spans="1:10">
      <c r="A589" s="2092"/>
      <c r="B589" s="2085"/>
      <c r="C589" s="2085"/>
      <c r="D589" s="2092"/>
      <c r="E589" s="2092"/>
      <c r="F589" s="2080"/>
      <c r="G589" s="2080"/>
      <c r="H589" s="2080"/>
      <c r="I589" s="2080"/>
      <c r="J589" s="2118" t="s">
        <v>922</v>
      </c>
    </row>
    <row r="590" s="2075" customFormat="1" spans="1:10">
      <c r="A590" s="2092"/>
      <c r="B590" s="2085"/>
      <c r="C590" s="2085"/>
      <c r="D590" s="2092"/>
      <c r="E590" s="2092"/>
      <c r="F590" s="2080"/>
      <c r="G590" s="2080"/>
      <c r="H590" s="2080"/>
      <c r="I590" s="2080"/>
      <c r="J590" s="2118" t="s">
        <v>922</v>
      </c>
    </row>
    <row r="591" s="2075" customFormat="1" spans="1:10">
      <c r="A591" s="2092"/>
      <c r="B591" s="2085"/>
      <c r="C591" s="2085"/>
      <c r="D591" s="2092"/>
      <c r="E591" s="2092"/>
      <c r="F591" s="2080"/>
      <c r="G591" s="2080"/>
      <c r="H591" s="2080"/>
      <c r="I591" s="2080"/>
      <c r="J591" s="2118" t="s">
        <v>922</v>
      </c>
    </row>
    <row r="592" s="2075" customFormat="1" spans="1:10">
      <c r="A592" s="2092"/>
      <c r="B592" s="2085"/>
      <c r="C592" s="2085"/>
      <c r="D592" s="2092"/>
      <c r="E592" s="2092"/>
      <c r="F592" s="2080"/>
      <c r="G592" s="2080"/>
      <c r="H592" s="2080"/>
      <c r="I592" s="2080"/>
      <c r="J592" s="2118" t="s">
        <v>922</v>
      </c>
    </row>
    <row r="593" s="2075" customFormat="1" spans="1:10">
      <c r="A593" s="2092"/>
      <c r="B593" s="2085"/>
      <c r="C593" s="2085"/>
      <c r="D593" s="2092"/>
      <c r="E593" s="2092"/>
      <c r="F593" s="2080"/>
      <c r="G593" s="2080"/>
      <c r="H593" s="2080"/>
      <c r="I593" s="2080"/>
      <c r="J593" s="2118" t="s">
        <v>922</v>
      </c>
    </row>
    <row r="594" s="2075" customFormat="1" spans="1:10">
      <c r="A594" s="2092"/>
      <c r="B594" s="2085"/>
      <c r="C594" s="2085"/>
      <c r="D594" s="2092"/>
      <c r="E594" s="2092"/>
      <c r="F594" s="2080"/>
      <c r="G594" s="2080"/>
      <c r="H594" s="2080"/>
      <c r="I594" s="2080"/>
      <c r="J594" s="2118" t="s">
        <v>922</v>
      </c>
    </row>
    <row r="595" s="2075" customFormat="1" spans="1:10">
      <c r="A595" s="2092"/>
      <c r="B595" s="2085"/>
      <c r="C595" s="2085"/>
      <c r="D595" s="2092"/>
      <c r="E595" s="2092"/>
      <c r="F595" s="2080"/>
      <c r="G595" s="2080"/>
      <c r="H595" s="2080"/>
      <c r="I595" s="2080"/>
      <c r="J595" s="2118" t="s">
        <v>922</v>
      </c>
    </row>
    <row r="596" s="2075" customFormat="1" spans="1:10">
      <c r="A596" s="2092"/>
      <c r="B596" s="2085"/>
      <c r="C596" s="2085"/>
      <c r="D596" s="2092"/>
      <c r="E596" s="2092"/>
      <c r="F596" s="2080"/>
      <c r="G596" s="2080"/>
      <c r="H596" s="2080"/>
      <c r="I596" s="2080"/>
      <c r="J596" s="2118" t="s">
        <v>922</v>
      </c>
    </row>
    <row r="597" s="2075" customFormat="1" spans="1:10">
      <c r="A597" s="2092"/>
      <c r="B597" s="2085"/>
      <c r="C597" s="2085"/>
      <c r="D597" s="2092"/>
      <c r="E597" s="2092"/>
      <c r="F597" s="2080"/>
      <c r="G597" s="2080"/>
      <c r="H597" s="2080"/>
      <c r="I597" s="2080"/>
      <c r="J597" s="2118" t="s">
        <v>922</v>
      </c>
    </row>
    <row r="598" s="2075" customFormat="1" spans="1:10">
      <c r="A598" s="2092"/>
      <c r="B598" s="2085"/>
      <c r="C598" s="2085"/>
      <c r="D598" s="2092"/>
      <c r="E598" s="2092"/>
      <c r="F598" s="2080"/>
      <c r="G598" s="2080"/>
      <c r="H598" s="2080"/>
      <c r="I598" s="2080"/>
      <c r="J598" s="2118" t="s">
        <v>922</v>
      </c>
    </row>
    <row r="599" s="2074" customFormat="1" spans="1:10">
      <c r="A599" s="2082" t="s">
        <v>384</v>
      </c>
      <c r="B599" s="2048">
        <f>ROUND(SUM(B589:B598),2)</f>
        <v>0</v>
      </c>
      <c r="C599" s="2048">
        <f>ROUND(SUM(C589:C598),2)</f>
        <v>0</v>
      </c>
      <c r="D599" s="2048"/>
      <c r="E599" s="2048"/>
      <c r="F599" s="2126"/>
      <c r="G599" s="2126"/>
      <c r="H599" s="2126"/>
      <c r="I599" s="2126"/>
      <c r="J599" s="2118" t="s">
        <v>923</v>
      </c>
    </row>
    <row r="600" s="2074" customFormat="1" spans="1:10">
      <c r="A600" s="2145"/>
      <c r="B600" s="2100"/>
      <c r="C600" s="2126"/>
      <c r="D600" s="2126"/>
      <c r="E600" s="2126"/>
      <c r="F600" s="2126"/>
      <c r="G600" s="2126"/>
      <c r="H600" s="2126"/>
      <c r="I600" s="2126"/>
      <c r="J600" s="2078"/>
    </row>
    <row r="601" s="2074" customFormat="1" spans="1:10">
      <c r="A601" s="2143"/>
      <c r="B601" s="2126"/>
      <c r="C601" s="2126"/>
      <c r="D601" s="2126"/>
      <c r="E601" s="2126"/>
      <c r="F601" s="2126"/>
      <c r="G601" s="2126"/>
      <c r="H601" s="2126"/>
      <c r="I601" s="2126"/>
      <c r="J601" s="2078"/>
    </row>
    <row r="602" s="2074" customFormat="1" spans="1:10">
      <c r="A602" s="2125" t="s">
        <v>924</v>
      </c>
      <c r="B602" s="2126"/>
      <c r="C602" s="2126"/>
      <c r="D602" s="2126"/>
      <c r="E602" s="2126"/>
      <c r="F602" s="2126"/>
      <c r="G602" s="2126"/>
      <c r="H602" s="2126"/>
      <c r="I602" s="2126"/>
      <c r="J602" s="2078"/>
    </row>
    <row r="603" s="2074" customFormat="1" spans="1:10">
      <c r="A603" s="2082" t="s">
        <v>372</v>
      </c>
      <c r="B603" s="2082" t="s">
        <v>316</v>
      </c>
      <c r="C603" s="2082" t="s">
        <v>581</v>
      </c>
      <c r="D603" s="2082" t="s">
        <v>582</v>
      </c>
      <c r="E603" s="2082" t="s">
        <v>315</v>
      </c>
      <c r="F603" s="2082" t="s">
        <v>925</v>
      </c>
      <c r="G603" s="2099"/>
      <c r="H603" s="2099"/>
      <c r="I603" s="2099"/>
      <c r="J603" s="2078"/>
    </row>
    <row r="604" s="2075" customFormat="1" spans="1:10">
      <c r="A604" s="2092"/>
      <c r="B604" s="2085"/>
      <c r="C604" s="2085"/>
      <c r="D604" s="2085"/>
      <c r="E604" s="2048">
        <f>ROUND(B604+C604-D604,2)</f>
        <v>0</v>
      </c>
      <c r="F604" s="2092"/>
      <c r="G604" s="2099"/>
      <c r="H604" s="2099"/>
      <c r="I604" s="2099"/>
      <c r="J604" s="2118" t="s">
        <v>247</v>
      </c>
    </row>
    <row r="605" s="2075" customFormat="1" spans="1:10">
      <c r="A605" s="2092"/>
      <c r="B605" s="2085"/>
      <c r="C605" s="2085"/>
      <c r="D605" s="2085"/>
      <c r="E605" s="2048">
        <f t="shared" ref="E605:E613" si="31">ROUND(B605+C605-D605,2)</f>
        <v>0</v>
      </c>
      <c r="F605" s="2092"/>
      <c r="G605" s="2099"/>
      <c r="H605" s="2099"/>
      <c r="I605" s="2099"/>
      <c r="J605" s="2118" t="s">
        <v>247</v>
      </c>
    </row>
    <row r="606" s="2075" customFormat="1" spans="1:10">
      <c r="A606" s="2092"/>
      <c r="B606" s="2085"/>
      <c r="C606" s="2085"/>
      <c r="D606" s="2085"/>
      <c r="E606" s="2048">
        <f t="shared" si="31"/>
        <v>0</v>
      </c>
      <c r="F606" s="2092"/>
      <c r="G606" s="2099"/>
      <c r="H606" s="2099"/>
      <c r="I606" s="2099"/>
      <c r="J606" s="2118" t="s">
        <v>247</v>
      </c>
    </row>
    <row r="607" s="2075" customFormat="1" spans="1:10">
      <c r="A607" s="2092"/>
      <c r="B607" s="2085"/>
      <c r="C607" s="2085"/>
      <c r="D607" s="2085"/>
      <c r="E607" s="2048">
        <f t="shared" si="31"/>
        <v>0</v>
      </c>
      <c r="F607" s="2092"/>
      <c r="G607" s="2099"/>
      <c r="H607" s="2099"/>
      <c r="I607" s="2099"/>
      <c r="J607" s="2118" t="s">
        <v>247</v>
      </c>
    </row>
    <row r="608" s="2075" customFormat="1" spans="1:10">
      <c r="A608" s="2092"/>
      <c r="B608" s="2085"/>
      <c r="C608" s="2085"/>
      <c r="D608" s="2085"/>
      <c r="E608" s="2048">
        <f t="shared" si="31"/>
        <v>0</v>
      </c>
      <c r="F608" s="2092"/>
      <c r="G608" s="2099"/>
      <c r="H608" s="2099"/>
      <c r="I608" s="2099"/>
      <c r="J608" s="2118" t="s">
        <v>247</v>
      </c>
    </row>
    <row r="609" s="2075" customFormat="1" spans="1:10">
      <c r="A609" s="2092"/>
      <c r="B609" s="2085"/>
      <c r="C609" s="2085"/>
      <c r="D609" s="2085"/>
      <c r="E609" s="2048">
        <f t="shared" si="31"/>
        <v>0</v>
      </c>
      <c r="F609" s="2092"/>
      <c r="G609" s="2099"/>
      <c r="H609" s="2099"/>
      <c r="I609" s="2099"/>
      <c r="J609" s="2118" t="s">
        <v>247</v>
      </c>
    </row>
    <row r="610" s="2075" customFormat="1" spans="1:10">
      <c r="A610" s="2092"/>
      <c r="B610" s="2085"/>
      <c r="C610" s="2085"/>
      <c r="D610" s="2085"/>
      <c r="E610" s="2048">
        <f t="shared" si="31"/>
        <v>0</v>
      </c>
      <c r="F610" s="2092"/>
      <c r="G610" s="2099"/>
      <c r="H610" s="2099"/>
      <c r="I610" s="2099"/>
      <c r="J610" s="2118" t="s">
        <v>247</v>
      </c>
    </row>
    <row r="611" s="2075" customFormat="1" spans="1:10">
      <c r="A611" s="2092"/>
      <c r="B611" s="2085"/>
      <c r="C611" s="2085"/>
      <c r="D611" s="2085"/>
      <c r="E611" s="2048">
        <f t="shared" si="31"/>
        <v>0</v>
      </c>
      <c r="F611" s="2092"/>
      <c r="G611" s="2099"/>
      <c r="H611" s="2099"/>
      <c r="I611" s="2099"/>
      <c r="J611" s="2118" t="s">
        <v>247</v>
      </c>
    </row>
    <row r="612" s="2075" customFormat="1" spans="1:10">
      <c r="A612" s="2092"/>
      <c r="B612" s="2085"/>
      <c r="C612" s="2085"/>
      <c r="D612" s="2085"/>
      <c r="E612" s="2048">
        <f t="shared" si="31"/>
        <v>0</v>
      </c>
      <c r="F612" s="2092"/>
      <c r="G612" s="2099"/>
      <c r="H612" s="2099"/>
      <c r="I612" s="2099"/>
      <c r="J612" s="2118" t="s">
        <v>247</v>
      </c>
    </row>
    <row r="613" s="2075" customFormat="1" spans="1:10">
      <c r="A613" s="2092"/>
      <c r="B613" s="2085"/>
      <c r="C613" s="2085"/>
      <c r="D613" s="2085"/>
      <c r="E613" s="2048">
        <f t="shared" si="31"/>
        <v>0</v>
      </c>
      <c r="F613" s="2092"/>
      <c r="G613" s="2099"/>
      <c r="H613" s="2099"/>
      <c r="I613" s="2099"/>
      <c r="J613" s="2118" t="s">
        <v>247</v>
      </c>
    </row>
    <row r="614" s="2074" customFormat="1" spans="1:10">
      <c r="A614" s="2082" t="s">
        <v>384</v>
      </c>
      <c r="B614" s="2048">
        <f>ROUND(SUM(B604:B613),2)</f>
        <v>0</v>
      </c>
      <c r="C614" s="2048">
        <f>ROUND(SUM(C604:C613),2)</f>
        <v>0</v>
      </c>
      <c r="D614" s="2048">
        <f>ROUND(SUM(D604:D613),2)</f>
        <v>0</v>
      </c>
      <c r="E614" s="2048">
        <f>ROUND(SUM(E604:E613),2)</f>
        <v>0</v>
      </c>
      <c r="F614" s="2048"/>
      <c r="G614" s="2099"/>
      <c r="H614" s="2099"/>
      <c r="I614" s="2099"/>
      <c r="J614" s="2118" t="s">
        <v>926</v>
      </c>
    </row>
    <row r="615" s="2075" customFormat="1" spans="1:10">
      <c r="A615" s="2119"/>
      <c r="B615" s="2119"/>
      <c r="C615" s="2119"/>
      <c r="D615" s="2119"/>
      <c r="E615" s="2119"/>
      <c r="F615" s="2119"/>
      <c r="G615" s="2119"/>
      <c r="H615" s="2119"/>
      <c r="I615" s="2119"/>
      <c r="J615" s="2141"/>
    </row>
    <row r="616" s="2075" customFormat="1" spans="1:10">
      <c r="A616" s="2103"/>
      <c r="B616" s="2080"/>
      <c r="C616" s="2080"/>
      <c r="D616" s="2080"/>
      <c r="E616" s="2080"/>
      <c r="F616" s="2080"/>
      <c r="G616" s="2080"/>
      <c r="H616" s="2080"/>
      <c r="I616" s="2080"/>
      <c r="J616" s="2141"/>
    </row>
    <row r="617" s="2075" customFormat="1" spans="1:10">
      <c r="A617" s="2079" t="s">
        <v>927</v>
      </c>
      <c r="B617" s="2080"/>
      <c r="C617" s="2080"/>
      <c r="D617" s="2080"/>
      <c r="E617" s="2080"/>
      <c r="F617" s="2080"/>
      <c r="G617" s="2080"/>
      <c r="H617" s="2080"/>
      <c r="I617" s="2080"/>
      <c r="J617" s="2141"/>
    </row>
    <row r="618" s="2075" customFormat="1" spans="1:10">
      <c r="A618" s="2082" t="s">
        <v>372</v>
      </c>
      <c r="B618" s="2082" t="s">
        <v>928</v>
      </c>
      <c r="C618" s="2082" t="s">
        <v>627</v>
      </c>
      <c r="D618" s="2082" t="s">
        <v>581</v>
      </c>
      <c r="E618" s="2082" t="s">
        <v>582</v>
      </c>
      <c r="F618" s="2082" t="s">
        <v>315</v>
      </c>
      <c r="G618" s="2082" t="s">
        <v>929</v>
      </c>
      <c r="H618" s="2080"/>
      <c r="I618" s="2080"/>
      <c r="J618" s="2141"/>
    </row>
    <row r="619" s="2075" customFormat="1" spans="1:10">
      <c r="A619" s="2092"/>
      <c r="B619" s="2085"/>
      <c r="C619" s="2085"/>
      <c r="D619" s="2085"/>
      <c r="E619" s="2085"/>
      <c r="F619" s="2048">
        <f>ROUND(C619+D619-E619,2)</f>
        <v>0</v>
      </c>
      <c r="G619" s="2092"/>
      <c r="H619" s="2080"/>
      <c r="I619" s="2080"/>
      <c r="J619" s="2118" t="s">
        <v>249</v>
      </c>
    </row>
    <row r="620" s="2075" customFormat="1" spans="1:10">
      <c r="A620" s="2092"/>
      <c r="B620" s="2085"/>
      <c r="C620" s="2085"/>
      <c r="D620" s="2085"/>
      <c r="E620" s="2085"/>
      <c r="F620" s="2048">
        <f t="shared" ref="F620:F628" si="32">ROUND(C620+D620-E620,2)</f>
        <v>0</v>
      </c>
      <c r="G620" s="2092"/>
      <c r="H620" s="2080"/>
      <c r="I620" s="2080"/>
      <c r="J620" s="2118" t="s">
        <v>249</v>
      </c>
    </row>
    <row r="621" s="2075" customFormat="1" spans="1:10">
      <c r="A621" s="2092"/>
      <c r="B621" s="2085"/>
      <c r="C621" s="2085"/>
      <c r="D621" s="2085"/>
      <c r="E621" s="2085"/>
      <c r="F621" s="2048">
        <f t="shared" si="32"/>
        <v>0</v>
      </c>
      <c r="G621" s="2092"/>
      <c r="H621" s="2080"/>
      <c r="I621" s="2080"/>
      <c r="J621" s="2118" t="s">
        <v>249</v>
      </c>
    </row>
    <row r="622" s="2075" customFormat="1" spans="1:10">
      <c r="A622" s="2092"/>
      <c r="B622" s="2085"/>
      <c r="C622" s="2085"/>
      <c r="D622" s="2085"/>
      <c r="E622" s="2085"/>
      <c r="F622" s="2048">
        <f t="shared" si="32"/>
        <v>0</v>
      </c>
      <c r="G622" s="2092"/>
      <c r="H622" s="2080"/>
      <c r="I622" s="2080"/>
      <c r="J622" s="2118" t="s">
        <v>249</v>
      </c>
    </row>
    <row r="623" s="2075" customFormat="1" spans="1:10">
      <c r="A623" s="2092"/>
      <c r="B623" s="2085"/>
      <c r="C623" s="2085"/>
      <c r="D623" s="2085"/>
      <c r="E623" s="2085"/>
      <c r="F623" s="2048">
        <f t="shared" si="32"/>
        <v>0</v>
      </c>
      <c r="G623" s="2092"/>
      <c r="H623" s="2080"/>
      <c r="I623" s="2080"/>
      <c r="J623" s="2118" t="s">
        <v>249</v>
      </c>
    </row>
    <row r="624" s="2075" customFormat="1" spans="1:10">
      <c r="A624" s="2092"/>
      <c r="B624" s="2085"/>
      <c r="C624" s="2085"/>
      <c r="D624" s="2085"/>
      <c r="E624" s="2085"/>
      <c r="F624" s="2048">
        <f t="shared" si="32"/>
        <v>0</v>
      </c>
      <c r="G624" s="2092"/>
      <c r="H624" s="2080"/>
      <c r="I624" s="2080"/>
      <c r="J624" s="2118" t="s">
        <v>249</v>
      </c>
    </row>
    <row r="625" s="2075" customFormat="1" spans="1:10">
      <c r="A625" s="2092"/>
      <c r="B625" s="2085"/>
      <c r="C625" s="2085"/>
      <c r="D625" s="2085"/>
      <c r="E625" s="2085"/>
      <c r="F625" s="2048">
        <f t="shared" si="32"/>
        <v>0</v>
      </c>
      <c r="G625" s="2092"/>
      <c r="H625" s="2080"/>
      <c r="I625" s="2080"/>
      <c r="J625" s="2118" t="s">
        <v>249</v>
      </c>
    </row>
    <row r="626" s="2075" customFormat="1" spans="1:10">
      <c r="A626" s="2092"/>
      <c r="B626" s="2085"/>
      <c r="C626" s="2085"/>
      <c r="D626" s="2085"/>
      <c r="E626" s="2085"/>
      <c r="F626" s="2048">
        <f t="shared" si="32"/>
        <v>0</v>
      </c>
      <c r="G626" s="2092"/>
      <c r="H626" s="2080"/>
      <c r="I626" s="2080"/>
      <c r="J626" s="2118" t="s">
        <v>249</v>
      </c>
    </row>
    <row r="627" s="2075" customFormat="1" spans="1:10">
      <c r="A627" s="2092"/>
      <c r="B627" s="2085"/>
      <c r="C627" s="2085"/>
      <c r="D627" s="2085"/>
      <c r="E627" s="2085"/>
      <c r="F627" s="2048">
        <f t="shared" si="32"/>
        <v>0</v>
      </c>
      <c r="G627" s="2092"/>
      <c r="H627" s="2080"/>
      <c r="I627" s="2080"/>
      <c r="J627" s="2118" t="s">
        <v>249</v>
      </c>
    </row>
    <row r="628" s="2075" customFormat="1" spans="1:10">
      <c r="A628" s="2092"/>
      <c r="B628" s="2085"/>
      <c r="C628" s="2085"/>
      <c r="D628" s="2085"/>
      <c r="E628" s="2085"/>
      <c r="F628" s="2048">
        <f t="shared" si="32"/>
        <v>0</v>
      </c>
      <c r="G628" s="2092"/>
      <c r="H628" s="2080"/>
      <c r="I628" s="2080"/>
      <c r="J628" s="2118" t="s">
        <v>249</v>
      </c>
    </row>
    <row r="629" s="2075" customFormat="1" spans="1:10">
      <c r="A629" s="2082" t="s">
        <v>384</v>
      </c>
      <c r="B629" s="2048">
        <f>ROUND(SUM(B619:B628),2)</f>
        <v>0</v>
      </c>
      <c r="C629" s="2048">
        <f>ROUND(SUM(C619:C628),2)</f>
        <v>0</v>
      </c>
      <c r="D629" s="2048">
        <f>ROUND(SUM(D619:D628),2)</f>
        <v>0</v>
      </c>
      <c r="E629" s="2048">
        <f>ROUND(SUM(E619:E628),2)</f>
        <v>0</v>
      </c>
      <c r="F629" s="2048">
        <f>ROUND(SUM(F619:F628),2)</f>
        <v>0</v>
      </c>
      <c r="G629" s="2048"/>
      <c r="H629" s="2080"/>
      <c r="I629" s="2080"/>
      <c r="J629" s="2118" t="s">
        <v>930</v>
      </c>
    </row>
    <row r="630" s="2075" customFormat="1" spans="1:10">
      <c r="A630" s="2119"/>
      <c r="B630" s="2119"/>
      <c r="C630" s="2119"/>
      <c r="D630" s="2119"/>
      <c r="E630" s="2119"/>
      <c r="F630" s="2119"/>
      <c r="G630" s="2119"/>
      <c r="H630" s="2119"/>
      <c r="I630" s="2119"/>
      <c r="J630" s="2141"/>
    </row>
    <row r="631" s="2075" customFormat="1" spans="1:10">
      <c r="A631" s="2103"/>
      <c r="B631" s="2080"/>
      <c r="C631" s="2080"/>
      <c r="D631" s="2080"/>
      <c r="E631" s="2080"/>
      <c r="F631" s="2080"/>
      <c r="G631" s="2080"/>
      <c r="H631" s="2080"/>
      <c r="I631" s="2080"/>
      <c r="J631" s="2141"/>
    </row>
    <row r="632" s="2075" customFormat="1" spans="1:10">
      <c r="A632" s="2079" t="s">
        <v>931</v>
      </c>
      <c r="B632" s="2080"/>
      <c r="C632" s="2080"/>
      <c r="D632" s="2080"/>
      <c r="E632" s="2080"/>
      <c r="F632" s="2080"/>
      <c r="G632" s="2080"/>
      <c r="H632" s="2080"/>
      <c r="I632" s="2080"/>
      <c r="J632" s="2141"/>
    </row>
    <row r="633" s="2075" customFormat="1" spans="1:10">
      <c r="A633" s="2082" t="s">
        <v>372</v>
      </c>
      <c r="B633" s="2082" t="s">
        <v>626</v>
      </c>
      <c r="C633" s="2082" t="s">
        <v>627</v>
      </c>
      <c r="D633" s="2082" t="s">
        <v>572</v>
      </c>
      <c r="E633" s="2082" t="s">
        <v>488</v>
      </c>
      <c r="F633" s="2080"/>
      <c r="G633" s="2080"/>
      <c r="H633" s="2080"/>
      <c r="I633" s="2080"/>
      <c r="J633" s="2141"/>
    </row>
    <row r="634" s="2075" customFormat="1" spans="1:10">
      <c r="A634" s="2092"/>
      <c r="B634" s="2085"/>
      <c r="C634" s="2085"/>
      <c r="D634" s="2092"/>
      <c r="E634" s="2092"/>
      <c r="F634" s="2080"/>
      <c r="G634" s="2080"/>
      <c r="H634" s="2080"/>
      <c r="I634" s="2080"/>
      <c r="J634" s="2118" t="s">
        <v>253</v>
      </c>
    </row>
    <row r="635" s="2075" customFormat="1" spans="1:10">
      <c r="A635" s="2092"/>
      <c r="B635" s="2085"/>
      <c r="C635" s="2085"/>
      <c r="D635" s="2092"/>
      <c r="E635" s="2092"/>
      <c r="F635" s="2080"/>
      <c r="G635" s="2080"/>
      <c r="H635" s="2080"/>
      <c r="I635" s="2080"/>
      <c r="J635" s="2118" t="s">
        <v>253</v>
      </c>
    </row>
    <row r="636" s="2075" customFormat="1" spans="1:10">
      <c r="A636" s="2092"/>
      <c r="B636" s="2085"/>
      <c r="C636" s="2085"/>
      <c r="D636" s="2092"/>
      <c r="E636" s="2092"/>
      <c r="F636" s="2080"/>
      <c r="G636" s="2080"/>
      <c r="H636" s="2080"/>
      <c r="I636" s="2080"/>
      <c r="J636" s="2118" t="s">
        <v>253</v>
      </c>
    </row>
    <row r="637" s="2075" customFormat="1" spans="1:10">
      <c r="A637" s="2092"/>
      <c r="B637" s="2085"/>
      <c r="C637" s="2085"/>
      <c r="D637" s="2092"/>
      <c r="E637" s="2092"/>
      <c r="F637" s="2080"/>
      <c r="G637" s="2080"/>
      <c r="H637" s="2080"/>
      <c r="I637" s="2080"/>
      <c r="J637" s="2118" t="s">
        <v>253</v>
      </c>
    </row>
    <row r="638" s="2075" customFormat="1" spans="1:10">
      <c r="A638" s="2092"/>
      <c r="B638" s="2085"/>
      <c r="C638" s="2085"/>
      <c r="D638" s="2092"/>
      <c r="E638" s="2092"/>
      <c r="F638" s="2080"/>
      <c r="G638" s="2080"/>
      <c r="H638" s="2080"/>
      <c r="I638" s="2080"/>
      <c r="J638" s="2118" t="s">
        <v>253</v>
      </c>
    </row>
    <row r="639" s="2075" customFormat="1" spans="1:10">
      <c r="A639" s="2092"/>
      <c r="B639" s="2085"/>
      <c r="C639" s="2085"/>
      <c r="D639" s="2092"/>
      <c r="E639" s="2092"/>
      <c r="F639" s="2080"/>
      <c r="G639" s="2080"/>
      <c r="H639" s="2080"/>
      <c r="I639" s="2080"/>
      <c r="J639" s="2118" t="s">
        <v>253</v>
      </c>
    </row>
    <row r="640" s="2075" customFormat="1" spans="1:10">
      <c r="A640" s="2092"/>
      <c r="B640" s="2085"/>
      <c r="C640" s="2085"/>
      <c r="D640" s="2092"/>
      <c r="E640" s="2092"/>
      <c r="F640" s="2080"/>
      <c r="G640" s="2080"/>
      <c r="H640" s="2080"/>
      <c r="I640" s="2080"/>
      <c r="J640" s="2118" t="s">
        <v>253</v>
      </c>
    </row>
    <row r="641" s="2075" customFormat="1" spans="1:10">
      <c r="A641" s="2092"/>
      <c r="B641" s="2085"/>
      <c r="C641" s="2085"/>
      <c r="D641" s="2092"/>
      <c r="E641" s="2092"/>
      <c r="F641" s="2080"/>
      <c r="G641" s="2080"/>
      <c r="H641" s="2080"/>
      <c r="I641" s="2080"/>
      <c r="J641" s="2118" t="s">
        <v>253</v>
      </c>
    </row>
    <row r="642" s="2075" customFormat="1" spans="1:10">
      <c r="A642" s="2092"/>
      <c r="B642" s="2085"/>
      <c r="C642" s="2085"/>
      <c r="D642" s="2092"/>
      <c r="E642" s="2092"/>
      <c r="F642" s="2080"/>
      <c r="G642" s="2080"/>
      <c r="H642" s="2080"/>
      <c r="I642" s="2080"/>
      <c r="J642" s="2118" t="s">
        <v>253</v>
      </c>
    </row>
    <row r="643" s="2075" customFormat="1" spans="1:10">
      <c r="A643" s="2092"/>
      <c r="B643" s="2085"/>
      <c r="C643" s="2085"/>
      <c r="D643" s="2092"/>
      <c r="E643" s="2092"/>
      <c r="F643" s="2080"/>
      <c r="G643" s="2080"/>
      <c r="H643" s="2080"/>
      <c r="I643" s="2080"/>
      <c r="J643" s="2118" t="s">
        <v>253</v>
      </c>
    </row>
    <row r="644" s="2075" customFormat="1" spans="1:10">
      <c r="A644" s="2082" t="s">
        <v>384</v>
      </c>
      <c r="B644" s="2048">
        <f>ROUND(SUM(B634:B643),2)</f>
        <v>0</v>
      </c>
      <c r="C644" s="2048">
        <f>ROUND(SUM(C634:C643),2)</f>
        <v>0</v>
      </c>
      <c r="D644" s="2048"/>
      <c r="E644" s="2048"/>
      <c r="F644" s="2080"/>
      <c r="G644" s="2080"/>
      <c r="H644" s="2080"/>
      <c r="I644" s="2080"/>
      <c r="J644" s="2118" t="s">
        <v>932</v>
      </c>
    </row>
    <row r="645" s="2074" customFormat="1" spans="1:10">
      <c r="A645" s="2136"/>
      <c r="B645" s="2126"/>
      <c r="C645" s="2126"/>
      <c r="D645" s="2126"/>
      <c r="E645" s="2126"/>
      <c r="F645" s="2126"/>
      <c r="G645" s="2099"/>
      <c r="H645" s="2099"/>
      <c r="I645" s="2099"/>
      <c r="J645" s="2078"/>
    </row>
    <row r="646" s="2074" customFormat="1" spans="1:10">
      <c r="A646" s="2136"/>
      <c r="B646" s="2126"/>
      <c r="C646" s="2126"/>
      <c r="D646" s="2126"/>
      <c r="E646" s="2126"/>
      <c r="F646" s="2126"/>
      <c r="G646" s="2099"/>
      <c r="H646" s="2099"/>
      <c r="I646" s="2099"/>
      <c r="J646" s="2078"/>
    </row>
    <row r="647" s="2074" customFormat="1" spans="1:10">
      <c r="A647" s="2125" t="s">
        <v>933</v>
      </c>
      <c r="B647" s="2126"/>
      <c r="C647" s="2126"/>
      <c r="D647" s="2126"/>
      <c r="E647" s="2126"/>
      <c r="F647" s="2126"/>
      <c r="G647" s="2099"/>
      <c r="H647" s="2099"/>
      <c r="I647" s="2099"/>
      <c r="J647" s="2078"/>
    </row>
    <row r="648" s="2074" customFormat="1" spans="1:10">
      <c r="A648" s="2082" t="s">
        <v>372</v>
      </c>
      <c r="B648" s="2082" t="s">
        <v>315</v>
      </c>
      <c r="C648" s="2082" t="s">
        <v>316</v>
      </c>
      <c r="D648" s="2126"/>
      <c r="E648" s="2126"/>
      <c r="F648" s="2126"/>
      <c r="G648" s="2099"/>
      <c r="H648" s="2099"/>
      <c r="I648" s="2099"/>
      <c r="J648" s="2078"/>
    </row>
    <row r="649" s="2074" customFormat="1" spans="1:10">
      <c r="A649" s="2129" t="s">
        <v>934</v>
      </c>
      <c r="B649" s="2083"/>
      <c r="C649" s="2083"/>
      <c r="D649" s="2126"/>
      <c r="E649" s="2126"/>
      <c r="F649" s="2126"/>
      <c r="G649" s="2126"/>
      <c r="H649" s="2126"/>
      <c r="I649" s="2126"/>
      <c r="J649" s="2078"/>
    </row>
    <row r="650" s="2075" customFormat="1" spans="1:10">
      <c r="A650" s="2092"/>
      <c r="B650" s="2085"/>
      <c r="C650" s="2085"/>
      <c r="D650" s="2126"/>
      <c r="E650" s="2126"/>
      <c r="F650" s="2126"/>
      <c r="G650" s="2126"/>
      <c r="H650" s="2126"/>
      <c r="I650" s="2126"/>
      <c r="J650" s="2118" t="s">
        <v>251</v>
      </c>
    </row>
    <row r="651" s="2075" customFormat="1" spans="1:10">
      <c r="A651" s="2092"/>
      <c r="B651" s="2085"/>
      <c r="C651" s="2085"/>
      <c r="D651" s="2126"/>
      <c r="E651" s="2126"/>
      <c r="F651" s="2126"/>
      <c r="G651" s="2126"/>
      <c r="H651" s="2126"/>
      <c r="I651" s="2126"/>
      <c r="J651" s="2118" t="s">
        <v>251</v>
      </c>
    </row>
    <row r="652" s="2075" customFormat="1" spans="1:10">
      <c r="A652" s="2092"/>
      <c r="B652" s="2085"/>
      <c r="C652" s="2085"/>
      <c r="D652" s="2126"/>
      <c r="E652" s="2126"/>
      <c r="F652" s="2126"/>
      <c r="G652" s="2126"/>
      <c r="H652" s="2126"/>
      <c r="I652" s="2126"/>
      <c r="J652" s="2118" t="s">
        <v>251</v>
      </c>
    </row>
    <row r="653" s="2075" customFormat="1" spans="1:10">
      <c r="A653" s="2092"/>
      <c r="B653" s="2085"/>
      <c r="C653" s="2085"/>
      <c r="D653" s="2126"/>
      <c r="E653" s="2126"/>
      <c r="F653" s="2126"/>
      <c r="G653" s="2126"/>
      <c r="H653" s="2126"/>
      <c r="I653" s="2126"/>
      <c r="J653" s="2118" t="s">
        <v>251</v>
      </c>
    </row>
    <row r="654" s="2075" customFormat="1" spans="1:10">
      <c r="A654" s="2092"/>
      <c r="B654" s="2085"/>
      <c r="C654" s="2085"/>
      <c r="D654" s="2126"/>
      <c r="E654" s="2126"/>
      <c r="F654" s="2126"/>
      <c r="G654" s="2126"/>
      <c r="H654" s="2126"/>
      <c r="I654" s="2126"/>
      <c r="J654" s="2118" t="s">
        <v>251</v>
      </c>
    </row>
    <row r="655" s="2075" customFormat="1" spans="1:10">
      <c r="A655" s="2092"/>
      <c r="B655" s="2085"/>
      <c r="C655" s="2085"/>
      <c r="D655" s="2126"/>
      <c r="E655" s="2126"/>
      <c r="F655" s="2126"/>
      <c r="G655" s="2126"/>
      <c r="H655" s="2126"/>
      <c r="I655" s="2126"/>
      <c r="J655" s="2118" t="s">
        <v>251</v>
      </c>
    </row>
    <row r="656" s="2075" customFormat="1" spans="1:10">
      <c r="A656" s="2092"/>
      <c r="B656" s="2085"/>
      <c r="C656" s="2085"/>
      <c r="D656" s="2126"/>
      <c r="E656" s="2126"/>
      <c r="F656" s="2126"/>
      <c r="G656" s="2126"/>
      <c r="H656" s="2126"/>
      <c r="I656" s="2126"/>
      <c r="J656" s="2118" t="s">
        <v>251</v>
      </c>
    </row>
    <row r="657" s="2075" customFormat="1" spans="1:10">
      <c r="A657" s="2092"/>
      <c r="B657" s="2085"/>
      <c r="C657" s="2085"/>
      <c r="D657" s="2126"/>
      <c r="E657" s="2126"/>
      <c r="F657" s="2126"/>
      <c r="G657" s="2126"/>
      <c r="H657" s="2126"/>
      <c r="I657" s="2126"/>
      <c r="J657" s="2118" t="s">
        <v>251</v>
      </c>
    </row>
    <row r="658" s="2075" customFormat="1" spans="1:10">
      <c r="A658" s="2092"/>
      <c r="B658" s="2085"/>
      <c r="C658" s="2085"/>
      <c r="D658" s="2126"/>
      <c r="E658" s="2126"/>
      <c r="F658" s="2126"/>
      <c r="G658" s="2126"/>
      <c r="H658" s="2126"/>
      <c r="I658" s="2126"/>
      <c r="J658" s="2118" t="s">
        <v>251</v>
      </c>
    </row>
    <row r="659" s="2075" customFormat="1" spans="1:10">
      <c r="A659" s="2092"/>
      <c r="B659" s="2085"/>
      <c r="C659" s="2085"/>
      <c r="D659" s="2126"/>
      <c r="E659" s="2126"/>
      <c r="F659" s="2126"/>
      <c r="G659" s="2126"/>
      <c r="H659" s="2126"/>
      <c r="I659" s="2126"/>
      <c r="J659" s="2118" t="s">
        <v>251</v>
      </c>
    </row>
    <row r="660" s="2074" customFormat="1" spans="1:10">
      <c r="A660" s="2082" t="s">
        <v>384</v>
      </c>
      <c r="B660" s="2048">
        <f>ROUND(SUM(B650:B659),2)</f>
        <v>0</v>
      </c>
      <c r="C660" s="2048">
        <f>ROUND(SUM(C650:C659),2)</f>
        <v>0</v>
      </c>
      <c r="D660" s="2126"/>
      <c r="E660" s="2126"/>
      <c r="F660" s="2126"/>
      <c r="G660" s="2126"/>
      <c r="H660" s="2126"/>
      <c r="I660" s="2126"/>
      <c r="J660" s="2118" t="s">
        <v>935</v>
      </c>
    </row>
    <row r="661" s="2074" customFormat="1" spans="1:10">
      <c r="A661" s="2082"/>
      <c r="B661" s="2083"/>
      <c r="C661" s="2083"/>
      <c r="D661" s="2126"/>
      <c r="E661" s="2126"/>
      <c r="F661" s="2126"/>
      <c r="G661" s="2126"/>
      <c r="H661" s="2126"/>
      <c r="I661" s="2126"/>
      <c r="J661" s="2078"/>
    </row>
    <row r="662" s="2074" customFormat="1" spans="1:10">
      <c r="A662" s="2129" t="s">
        <v>936</v>
      </c>
      <c r="B662" s="2083"/>
      <c r="C662" s="2083"/>
      <c r="D662" s="2126"/>
      <c r="E662" s="2126"/>
      <c r="F662" s="2126"/>
      <c r="G662" s="2126"/>
      <c r="H662" s="2126"/>
      <c r="I662" s="2126"/>
      <c r="J662" s="2078"/>
    </row>
    <row r="663" s="2075" customFormat="1" spans="1:10">
      <c r="A663" s="2092"/>
      <c r="B663" s="2085"/>
      <c r="C663" s="2085"/>
      <c r="D663" s="2126"/>
      <c r="E663" s="2126"/>
      <c r="F663" s="2126"/>
      <c r="G663" s="2126"/>
      <c r="H663" s="2126"/>
      <c r="I663" s="2126"/>
      <c r="J663" s="2118" t="s">
        <v>236</v>
      </c>
    </row>
    <row r="664" s="2075" customFormat="1" spans="1:10">
      <c r="A664" s="2092"/>
      <c r="B664" s="2085"/>
      <c r="C664" s="2085"/>
      <c r="D664" s="2126"/>
      <c r="E664" s="2126"/>
      <c r="F664" s="2126"/>
      <c r="G664" s="2126"/>
      <c r="H664" s="2126"/>
      <c r="I664" s="2126"/>
      <c r="J664" s="2118" t="s">
        <v>236</v>
      </c>
    </row>
    <row r="665" s="2075" customFormat="1" spans="1:10">
      <c r="A665" s="2092"/>
      <c r="B665" s="2085"/>
      <c r="C665" s="2085"/>
      <c r="D665" s="2126"/>
      <c r="E665" s="2126"/>
      <c r="F665" s="2126"/>
      <c r="G665" s="2126"/>
      <c r="H665" s="2126"/>
      <c r="I665" s="2126"/>
      <c r="J665" s="2118" t="s">
        <v>236</v>
      </c>
    </row>
    <row r="666" s="2075" customFormat="1" spans="1:10">
      <c r="A666" s="2092"/>
      <c r="B666" s="2085"/>
      <c r="C666" s="2085"/>
      <c r="D666" s="2126"/>
      <c r="E666" s="2126"/>
      <c r="F666" s="2126"/>
      <c r="G666" s="2126"/>
      <c r="H666" s="2126"/>
      <c r="I666" s="2126"/>
      <c r="J666" s="2118" t="s">
        <v>236</v>
      </c>
    </row>
    <row r="667" s="2075" customFormat="1" spans="1:10">
      <c r="A667" s="2092"/>
      <c r="B667" s="2085"/>
      <c r="C667" s="2085"/>
      <c r="D667" s="2126"/>
      <c r="E667" s="2126"/>
      <c r="F667" s="2126"/>
      <c r="G667" s="2126"/>
      <c r="H667" s="2126"/>
      <c r="I667" s="2126"/>
      <c r="J667" s="2118" t="s">
        <v>236</v>
      </c>
    </row>
    <row r="668" s="2075" customFormat="1" spans="1:10">
      <c r="A668" s="2092"/>
      <c r="B668" s="2085"/>
      <c r="C668" s="2085"/>
      <c r="D668" s="2126"/>
      <c r="E668" s="2126"/>
      <c r="F668" s="2126"/>
      <c r="G668" s="2126"/>
      <c r="H668" s="2126"/>
      <c r="I668" s="2126"/>
      <c r="J668" s="2118" t="s">
        <v>236</v>
      </c>
    </row>
    <row r="669" s="2075" customFormat="1" spans="1:10">
      <c r="A669" s="2092"/>
      <c r="B669" s="2085"/>
      <c r="C669" s="2085"/>
      <c r="D669" s="2126"/>
      <c r="E669" s="2126"/>
      <c r="F669" s="2126"/>
      <c r="G669" s="2126"/>
      <c r="H669" s="2126"/>
      <c r="I669" s="2126"/>
      <c r="J669" s="2118" t="s">
        <v>236</v>
      </c>
    </row>
    <row r="670" s="2075" customFormat="1" spans="1:10">
      <c r="A670" s="2092"/>
      <c r="B670" s="2085"/>
      <c r="C670" s="2085"/>
      <c r="D670" s="2126"/>
      <c r="E670" s="2126"/>
      <c r="F670" s="2126"/>
      <c r="G670" s="2126"/>
      <c r="H670" s="2126"/>
      <c r="I670" s="2126"/>
      <c r="J670" s="2118" t="s">
        <v>236</v>
      </c>
    </row>
    <row r="671" s="2075" customFormat="1" spans="1:10">
      <c r="A671" s="2092"/>
      <c r="B671" s="2085"/>
      <c r="C671" s="2085"/>
      <c r="D671" s="2126"/>
      <c r="E671" s="2126"/>
      <c r="F671" s="2126"/>
      <c r="G671" s="2126"/>
      <c r="H671" s="2126"/>
      <c r="I671" s="2126"/>
      <c r="J671" s="2118" t="s">
        <v>236</v>
      </c>
    </row>
    <row r="672" s="2075" customFormat="1" spans="1:10">
      <c r="A672" s="2092"/>
      <c r="B672" s="2085"/>
      <c r="C672" s="2085"/>
      <c r="D672" s="2126"/>
      <c r="E672" s="2126"/>
      <c r="F672" s="2126"/>
      <c r="G672" s="2126"/>
      <c r="H672" s="2126"/>
      <c r="I672" s="2126"/>
      <c r="J672" s="2118" t="s">
        <v>236</v>
      </c>
    </row>
    <row r="673" s="2074" customFormat="1" spans="1:10">
      <c r="A673" s="2082" t="s">
        <v>384</v>
      </c>
      <c r="B673" s="2048">
        <f>ROUND(SUM(B663:B672),2)</f>
        <v>0</v>
      </c>
      <c r="C673" s="2048">
        <f>ROUND(SUM(C663:C672),2)</f>
        <v>0</v>
      </c>
      <c r="D673" s="2126"/>
      <c r="E673" s="2126"/>
      <c r="F673" s="2126"/>
      <c r="G673" s="2126"/>
      <c r="H673" s="2126"/>
      <c r="I673" s="2126"/>
      <c r="J673" s="2118" t="s">
        <v>937</v>
      </c>
    </row>
    <row r="674" s="2074" customFormat="1" spans="1:10">
      <c r="A674" s="2143"/>
      <c r="B674" s="2126"/>
      <c r="C674" s="2126"/>
      <c r="D674" s="2126"/>
      <c r="E674" s="2126"/>
      <c r="F674" s="2126"/>
      <c r="G674" s="2126"/>
      <c r="H674" s="2126"/>
      <c r="I674" s="2126"/>
      <c r="J674" s="2078"/>
    </row>
    <row r="675" s="2074" customFormat="1" spans="1:10">
      <c r="A675" s="2143"/>
      <c r="B675" s="2126"/>
      <c r="C675" s="2126"/>
      <c r="D675" s="2126"/>
      <c r="E675" s="2126"/>
      <c r="F675" s="2126"/>
      <c r="G675" s="2126"/>
      <c r="H675" s="2126"/>
      <c r="I675" s="2126"/>
      <c r="J675" s="2078"/>
    </row>
    <row r="676" s="2074" customFormat="1" spans="1:10">
      <c r="A676" s="2134" t="s">
        <v>938</v>
      </c>
      <c r="B676" s="2126"/>
      <c r="C676" s="2126"/>
      <c r="D676" s="2126"/>
      <c r="E676" s="2126"/>
      <c r="F676" s="2126"/>
      <c r="G676" s="2126"/>
      <c r="H676" s="2126"/>
      <c r="I676" s="2126"/>
      <c r="J676" s="2078"/>
    </row>
    <row r="677" s="2074" customFormat="1" spans="1:10">
      <c r="A677" s="2082" t="s">
        <v>372</v>
      </c>
      <c r="B677" s="2082" t="s">
        <v>316</v>
      </c>
      <c r="C677" s="2082" t="s">
        <v>607</v>
      </c>
      <c r="D677" s="2082" t="s">
        <v>582</v>
      </c>
      <c r="E677" s="2083"/>
      <c r="F677" s="2082" t="s">
        <v>315</v>
      </c>
      <c r="G677" s="2099"/>
      <c r="H677" s="2099"/>
      <c r="I677" s="2099"/>
      <c r="J677" s="2078"/>
    </row>
    <row r="678" s="2074" customFormat="1" spans="1:10">
      <c r="A678" s="2083"/>
      <c r="B678" s="2083"/>
      <c r="C678" s="2083"/>
      <c r="D678" s="2082" t="s">
        <v>611</v>
      </c>
      <c r="E678" s="2082" t="s">
        <v>612</v>
      </c>
      <c r="F678" s="2083"/>
      <c r="G678" s="2094"/>
      <c r="H678" s="2094"/>
      <c r="I678" s="2094"/>
      <c r="J678" s="2078"/>
    </row>
    <row r="679" s="2074" customFormat="1" spans="1:10">
      <c r="A679" s="2129" t="s">
        <v>939</v>
      </c>
      <c r="B679" s="2085"/>
      <c r="C679" s="2085"/>
      <c r="D679" s="2085"/>
      <c r="E679" s="2085"/>
      <c r="F679" s="2048">
        <f>ROUND(B679+C679-D679-E679,2)</f>
        <v>0</v>
      </c>
      <c r="G679" s="2100"/>
      <c r="H679" s="2100"/>
      <c r="I679" s="2100"/>
      <c r="J679" s="2135" t="s">
        <v>940</v>
      </c>
    </row>
    <row r="680" s="2074" customFormat="1" spans="1:10">
      <c r="A680" s="2129" t="s">
        <v>941</v>
      </c>
      <c r="B680" s="2085"/>
      <c r="C680" s="2085"/>
      <c r="D680" s="2085"/>
      <c r="E680" s="2085"/>
      <c r="F680" s="2048">
        <f t="shared" ref="F680:F693" si="33">ROUND(B680+C680-D680-E680,2)</f>
        <v>0</v>
      </c>
      <c r="G680" s="2100"/>
      <c r="H680" s="2100"/>
      <c r="I680" s="2100"/>
      <c r="J680" s="2135" t="s">
        <v>942</v>
      </c>
    </row>
    <row r="681" s="2074" customFormat="1" spans="1:10">
      <c r="A681" s="2129" t="s">
        <v>943</v>
      </c>
      <c r="B681" s="2085"/>
      <c r="C681" s="2085"/>
      <c r="D681" s="2085"/>
      <c r="E681" s="2085"/>
      <c r="F681" s="2048">
        <f t="shared" si="33"/>
        <v>0</v>
      </c>
      <c r="G681" s="2100"/>
      <c r="H681" s="2100"/>
      <c r="I681" s="2100"/>
      <c r="J681" s="2135" t="s">
        <v>944</v>
      </c>
    </row>
    <row r="682" s="2074" customFormat="1" spans="1:10">
      <c r="A682" s="2129" t="s">
        <v>945</v>
      </c>
      <c r="B682" s="2085"/>
      <c r="C682" s="2085"/>
      <c r="D682" s="2085"/>
      <c r="E682" s="2085"/>
      <c r="F682" s="2048">
        <f t="shared" si="33"/>
        <v>0</v>
      </c>
      <c r="G682" s="2100"/>
      <c r="H682" s="2100"/>
      <c r="I682" s="2100"/>
      <c r="J682" s="2135" t="s">
        <v>946</v>
      </c>
    </row>
    <row r="683" s="2074" customFormat="1" spans="1:10">
      <c r="A683" s="2129" t="s">
        <v>947</v>
      </c>
      <c r="B683" s="2085"/>
      <c r="C683" s="2085"/>
      <c r="D683" s="2085"/>
      <c r="E683" s="2085"/>
      <c r="F683" s="2048">
        <f t="shared" si="33"/>
        <v>0</v>
      </c>
      <c r="G683" s="2100"/>
      <c r="H683" s="2100"/>
      <c r="I683" s="2100"/>
      <c r="J683" s="2135" t="s">
        <v>948</v>
      </c>
    </row>
    <row r="684" s="2074" customFormat="1" spans="1:10">
      <c r="A684" s="2129" t="s">
        <v>949</v>
      </c>
      <c r="B684" s="2085"/>
      <c r="C684" s="2085"/>
      <c r="D684" s="2085"/>
      <c r="E684" s="2085"/>
      <c r="F684" s="2048">
        <f t="shared" si="33"/>
        <v>0</v>
      </c>
      <c r="G684" s="2100"/>
      <c r="H684" s="2100"/>
      <c r="I684" s="2100"/>
      <c r="J684" s="2135" t="s">
        <v>950</v>
      </c>
    </row>
    <row r="685" s="2074" customFormat="1" spans="1:10">
      <c r="A685" s="2129" t="s">
        <v>951</v>
      </c>
      <c r="B685" s="2085"/>
      <c r="C685" s="2085"/>
      <c r="D685" s="2085"/>
      <c r="E685" s="2085"/>
      <c r="F685" s="2048">
        <f t="shared" si="33"/>
        <v>0</v>
      </c>
      <c r="G685" s="2100"/>
      <c r="H685" s="2100"/>
      <c r="I685" s="2100"/>
      <c r="J685" s="2135" t="s">
        <v>952</v>
      </c>
    </row>
    <row r="686" s="2074" customFormat="1" spans="1:10">
      <c r="A686" s="2129" t="s">
        <v>953</v>
      </c>
      <c r="B686" s="2085"/>
      <c r="C686" s="2085"/>
      <c r="D686" s="2085"/>
      <c r="E686" s="2085"/>
      <c r="F686" s="2048">
        <f t="shared" si="33"/>
        <v>0</v>
      </c>
      <c r="G686" s="2100"/>
      <c r="H686" s="2100"/>
      <c r="I686" s="2100"/>
      <c r="J686" s="2135" t="s">
        <v>954</v>
      </c>
    </row>
    <row r="687" s="2074" customFormat="1" spans="1:10">
      <c r="A687" s="2129" t="s">
        <v>955</v>
      </c>
      <c r="B687" s="2085"/>
      <c r="C687" s="2085"/>
      <c r="D687" s="2085"/>
      <c r="E687" s="2085"/>
      <c r="F687" s="2048">
        <f t="shared" si="33"/>
        <v>0</v>
      </c>
      <c r="G687" s="2100"/>
      <c r="H687" s="2100"/>
      <c r="I687" s="2100"/>
      <c r="J687" s="2135" t="s">
        <v>956</v>
      </c>
    </row>
    <row r="688" s="2074" customFormat="1" spans="1:10">
      <c r="A688" s="2129" t="s">
        <v>957</v>
      </c>
      <c r="B688" s="2085"/>
      <c r="C688" s="2085"/>
      <c r="D688" s="2085"/>
      <c r="E688" s="2085"/>
      <c r="F688" s="2048">
        <f t="shared" si="33"/>
        <v>0</v>
      </c>
      <c r="G688" s="2100"/>
      <c r="H688" s="2100"/>
      <c r="I688" s="2100"/>
      <c r="J688" s="2135" t="s">
        <v>958</v>
      </c>
    </row>
    <row r="689" s="2074" customFormat="1" spans="1:10">
      <c r="A689" s="2129" t="s">
        <v>959</v>
      </c>
      <c r="B689" s="2085"/>
      <c r="C689" s="2085"/>
      <c r="D689" s="2085"/>
      <c r="E689" s="2085"/>
      <c r="F689" s="2048">
        <f t="shared" si="33"/>
        <v>0</v>
      </c>
      <c r="G689" s="2100"/>
      <c r="H689" s="2100"/>
      <c r="I689" s="2100"/>
      <c r="J689" s="2135" t="s">
        <v>960</v>
      </c>
    </row>
    <row r="690" s="2074" customFormat="1" spans="1:10">
      <c r="A690" s="2129" t="s">
        <v>961</v>
      </c>
      <c r="B690" s="2085"/>
      <c r="C690" s="2085"/>
      <c r="D690" s="2085"/>
      <c r="E690" s="2085"/>
      <c r="F690" s="2048">
        <f t="shared" si="33"/>
        <v>0</v>
      </c>
      <c r="G690" s="2100"/>
      <c r="H690" s="2100"/>
      <c r="I690" s="2100"/>
      <c r="J690" s="2135" t="s">
        <v>962</v>
      </c>
    </row>
    <row r="691" s="2074" customFormat="1" spans="1:10">
      <c r="A691" s="2129" t="s">
        <v>963</v>
      </c>
      <c r="B691" s="2085"/>
      <c r="C691" s="2085"/>
      <c r="D691" s="2085"/>
      <c r="E691" s="2085"/>
      <c r="F691" s="2048">
        <f t="shared" si="33"/>
        <v>0</v>
      </c>
      <c r="G691" s="2100"/>
      <c r="H691" s="2100"/>
      <c r="I691" s="2100"/>
      <c r="J691" s="2135" t="s">
        <v>964</v>
      </c>
    </row>
    <row r="692" s="2074" customFormat="1" spans="1:10">
      <c r="A692" s="2129" t="s">
        <v>965</v>
      </c>
      <c r="B692" s="2085"/>
      <c r="C692" s="2085"/>
      <c r="D692" s="2085"/>
      <c r="E692" s="2085"/>
      <c r="F692" s="2048">
        <f t="shared" si="33"/>
        <v>0</v>
      </c>
      <c r="G692" s="2100"/>
      <c r="H692" s="2100"/>
      <c r="I692" s="2100"/>
      <c r="J692" s="2135" t="s">
        <v>966</v>
      </c>
    </row>
    <row r="693" s="2074" customFormat="1" spans="1:10">
      <c r="A693" s="2129" t="s">
        <v>967</v>
      </c>
      <c r="B693" s="2085"/>
      <c r="C693" s="2085"/>
      <c r="D693" s="2085"/>
      <c r="E693" s="2085"/>
      <c r="F693" s="2048">
        <f t="shared" si="33"/>
        <v>0</v>
      </c>
      <c r="G693" s="2100"/>
      <c r="H693" s="2100"/>
      <c r="I693" s="2100"/>
      <c r="J693" s="2135" t="s">
        <v>968</v>
      </c>
    </row>
    <row r="694" s="2074" customFormat="1" spans="1:10">
      <c r="A694" s="2082" t="s">
        <v>384</v>
      </c>
      <c r="B694" s="2048">
        <f>ROUND(SUM(B679:B693),2)</f>
        <v>0</v>
      </c>
      <c r="C694" s="2048">
        <f>ROUND(SUM(C679:C693),2)</f>
        <v>0</v>
      </c>
      <c r="D694" s="2048">
        <f>ROUND(SUM(D679:D693),2)</f>
        <v>0</v>
      </c>
      <c r="E694" s="2048">
        <f>ROUND(SUM(E679:E693),2)</f>
        <v>0</v>
      </c>
      <c r="F694" s="2048">
        <f>ROUND(SUM(F679:F693),2)</f>
        <v>0</v>
      </c>
      <c r="G694" s="2100"/>
      <c r="H694" s="2100"/>
      <c r="I694" s="2100"/>
      <c r="J694" s="2135" t="s">
        <v>969</v>
      </c>
    </row>
    <row r="695" s="2074" customFormat="1" spans="1:10">
      <c r="A695" s="2136"/>
      <c r="B695" s="2126"/>
      <c r="C695" s="2126"/>
      <c r="D695" s="2126"/>
      <c r="E695" s="2126"/>
      <c r="F695" s="2126"/>
      <c r="G695" s="2126"/>
      <c r="H695" s="2126"/>
      <c r="I695" s="2126"/>
      <c r="J695" s="2078"/>
    </row>
    <row r="696" s="2074" customFormat="1" spans="1:10">
      <c r="A696" s="2136"/>
      <c r="B696" s="2126"/>
      <c r="C696" s="2126"/>
      <c r="D696" s="2126"/>
      <c r="E696" s="2126"/>
      <c r="F696" s="2126"/>
      <c r="G696" s="2126"/>
      <c r="H696" s="2126"/>
      <c r="I696" s="2126"/>
      <c r="J696" s="2078"/>
    </row>
    <row r="697" s="2074" customFormat="1" spans="1:10">
      <c r="A697" s="2125" t="s">
        <v>970</v>
      </c>
      <c r="B697" s="2126"/>
      <c r="C697" s="2126"/>
      <c r="D697" s="2126"/>
      <c r="E697" s="2126"/>
      <c r="F697" s="2126"/>
      <c r="G697" s="2126"/>
      <c r="H697" s="2126"/>
      <c r="I697" s="2126"/>
      <c r="J697" s="2078"/>
    </row>
    <row r="698" s="2074" customFormat="1" spans="1:10">
      <c r="A698" s="2082" t="s">
        <v>971</v>
      </c>
      <c r="B698" s="2082" t="s">
        <v>627</v>
      </c>
      <c r="C698" s="2082" t="s">
        <v>581</v>
      </c>
      <c r="D698" s="2082" t="s">
        <v>582</v>
      </c>
      <c r="E698" s="2082" t="s">
        <v>626</v>
      </c>
      <c r="F698" s="2082" t="s">
        <v>972</v>
      </c>
      <c r="G698" s="2126"/>
      <c r="H698" s="2126"/>
      <c r="I698" s="2126"/>
      <c r="J698" s="2078"/>
    </row>
    <row r="699" s="2074" customFormat="1" spans="1:10">
      <c r="A699" s="2129" t="s">
        <v>973</v>
      </c>
      <c r="B699" s="2083"/>
      <c r="C699" s="2083"/>
      <c r="D699" s="2083"/>
      <c r="E699" s="2083"/>
      <c r="F699" s="2083"/>
      <c r="G699" s="2126"/>
      <c r="H699" s="2126"/>
      <c r="I699" s="2126"/>
      <c r="J699" s="2078"/>
    </row>
    <row r="700" s="2075" customFormat="1" spans="1:10">
      <c r="A700" s="2092"/>
      <c r="B700" s="2085"/>
      <c r="C700" s="2085"/>
      <c r="D700" s="2085"/>
      <c r="E700" s="2048">
        <f>ROUND(B700+C700-D700,2)</f>
        <v>0</v>
      </c>
      <c r="F700" s="2092"/>
      <c r="G700" s="2126"/>
      <c r="H700" s="2126"/>
      <c r="I700" s="2126"/>
      <c r="J700" s="2118" t="s">
        <v>974</v>
      </c>
    </row>
    <row r="701" s="2075" customFormat="1" spans="1:10">
      <c r="A701" s="2092"/>
      <c r="B701" s="2085"/>
      <c r="C701" s="2085"/>
      <c r="D701" s="2085"/>
      <c r="E701" s="2048">
        <f t="shared" ref="E701:E709" si="34">ROUND(B701+C701-D701,2)</f>
        <v>0</v>
      </c>
      <c r="F701" s="2092"/>
      <c r="G701" s="2126"/>
      <c r="H701" s="2126"/>
      <c r="I701" s="2126"/>
      <c r="J701" s="2118" t="s">
        <v>974</v>
      </c>
    </row>
    <row r="702" s="2075" customFormat="1" spans="1:10">
      <c r="A702" s="2092"/>
      <c r="B702" s="2085"/>
      <c r="C702" s="2085"/>
      <c r="D702" s="2085"/>
      <c r="E702" s="2048">
        <f t="shared" si="34"/>
        <v>0</v>
      </c>
      <c r="F702" s="2092"/>
      <c r="G702" s="2126"/>
      <c r="H702" s="2126"/>
      <c r="I702" s="2126"/>
      <c r="J702" s="2118" t="s">
        <v>974</v>
      </c>
    </row>
    <row r="703" s="2075" customFormat="1" spans="1:10">
      <c r="A703" s="2092"/>
      <c r="B703" s="2085"/>
      <c r="C703" s="2085"/>
      <c r="D703" s="2085"/>
      <c r="E703" s="2048">
        <f t="shared" si="34"/>
        <v>0</v>
      </c>
      <c r="F703" s="2092"/>
      <c r="G703" s="2126"/>
      <c r="H703" s="2126"/>
      <c r="I703" s="2126"/>
      <c r="J703" s="2118" t="s">
        <v>974</v>
      </c>
    </row>
    <row r="704" s="2075" customFormat="1" spans="1:10">
      <c r="A704" s="2092"/>
      <c r="B704" s="2085"/>
      <c r="C704" s="2085"/>
      <c r="D704" s="2085"/>
      <c r="E704" s="2048">
        <f t="shared" si="34"/>
        <v>0</v>
      </c>
      <c r="F704" s="2092"/>
      <c r="G704" s="2126"/>
      <c r="H704" s="2126"/>
      <c r="I704" s="2126"/>
      <c r="J704" s="2118" t="s">
        <v>974</v>
      </c>
    </row>
    <row r="705" s="2075" customFormat="1" spans="1:10">
      <c r="A705" s="2092"/>
      <c r="B705" s="2085"/>
      <c r="C705" s="2085"/>
      <c r="D705" s="2085"/>
      <c r="E705" s="2048">
        <f t="shared" si="34"/>
        <v>0</v>
      </c>
      <c r="F705" s="2092"/>
      <c r="G705" s="2126"/>
      <c r="H705" s="2126"/>
      <c r="I705" s="2126"/>
      <c r="J705" s="2118" t="s">
        <v>974</v>
      </c>
    </row>
    <row r="706" s="2075" customFormat="1" spans="1:10">
      <c r="A706" s="2092"/>
      <c r="B706" s="2085"/>
      <c r="C706" s="2085"/>
      <c r="D706" s="2085"/>
      <c r="E706" s="2048">
        <f t="shared" si="34"/>
        <v>0</v>
      </c>
      <c r="F706" s="2092"/>
      <c r="G706" s="2126"/>
      <c r="H706" s="2126"/>
      <c r="I706" s="2126"/>
      <c r="J706" s="2118" t="s">
        <v>974</v>
      </c>
    </row>
    <row r="707" s="2075" customFormat="1" spans="1:10">
      <c r="A707" s="2092"/>
      <c r="B707" s="2085"/>
      <c r="C707" s="2085"/>
      <c r="D707" s="2085"/>
      <c r="E707" s="2048">
        <f t="shared" si="34"/>
        <v>0</v>
      </c>
      <c r="F707" s="2092"/>
      <c r="G707" s="2126"/>
      <c r="H707" s="2126"/>
      <c r="I707" s="2126"/>
      <c r="J707" s="2118" t="s">
        <v>974</v>
      </c>
    </row>
    <row r="708" s="2075" customFormat="1" spans="1:10">
      <c r="A708" s="2092"/>
      <c r="B708" s="2085"/>
      <c r="C708" s="2085"/>
      <c r="D708" s="2085"/>
      <c r="E708" s="2048">
        <f t="shared" si="34"/>
        <v>0</v>
      </c>
      <c r="F708" s="2092"/>
      <c r="G708" s="2126"/>
      <c r="H708" s="2126"/>
      <c r="I708" s="2126"/>
      <c r="J708" s="2118" t="s">
        <v>974</v>
      </c>
    </row>
    <row r="709" s="2075" customFormat="1" spans="1:10">
      <c r="A709" s="2092"/>
      <c r="B709" s="2085"/>
      <c r="C709" s="2085"/>
      <c r="D709" s="2085"/>
      <c r="E709" s="2048">
        <f t="shared" si="34"/>
        <v>0</v>
      </c>
      <c r="F709" s="2092"/>
      <c r="G709" s="2126"/>
      <c r="H709" s="2126"/>
      <c r="I709" s="2126"/>
      <c r="J709" s="2118" t="s">
        <v>974</v>
      </c>
    </row>
    <row r="710" s="2074" customFormat="1" spans="1:10">
      <c r="A710" s="2082" t="s">
        <v>676</v>
      </c>
      <c r="B710" s="2048">
        <f>ROUND(SUM(B700:B709),2)</f>
        <v>0</v>
      </c>
      <c r="C710" s="2048">
        <f>ROUND(SUM(C700:C709),2)</f>
        <v>0</v>
      </c>
      <c r="D710" s="2048">
        <f>ROUND(SUM(D700:D709),2)</f>
        <v>0</v>
      </c>
      <c r="E710" s="2048">
        <f>ROUND(SUM(E700:E709),2)</f>
        <v>0</v>
      </c>
      <c r="F710" s="2048"/>
      <c r="G710" s="2126"/>
      <c r="H710" s="2126"/>
      <c r="I710" s="2126"/>
      <c r="J710" s="2118" t="s">
        <v>975</v>
      </c>
    </row>
    <row r="711" s="2074" customFormat="1" spans="1:10">
      <c r="A711" s="2083"/>
      <c r="B711" s="2083"/>
      <c r="C711" s="2083"/>
      <c r="D711" s="2083"/>
      <c r="E711" s="2083"/>
      <c r="F711" s="2083"/>
      <c r="G711" s="2126"/>
      <c r="H711" s="2126"/>
      <c r="I711" s="2126"/>
      <c r="J711" s="2078"/>
    </row>
    <row r="712" s="2074" customFormat="1" spans="1:10">
      <c r="A712" s="2129" t="s">
        <v>976</v>
      </c>
      <c r="B712" s="2083"/>
      <c r="C712" s="2083"/>
      <c r="D712" s="2083"/>
      <c r="E712" s="2083"/>
      <c r="F712" s="2083"/>
      <c r="G712" s="2126"/>
      <c r="H712" s="2126"/>
      <c r="I712" s="2126"/>
      <c r="J712" s="2078"/>
    </row>
    <row r="713" s="2075" customFormat="1" spans="1:10">
      <c r="A713" s="2092"/>
      <c r="B713" s="2085"/>
      <c r="C713" s="2085"/>
      <c r="D713" s="2085"/>
      <c r="E713" s="2048">
        <f>ROUND(B713+C713-D713,2)</f>
        <v>0</v>
      </c>
      <c r="F713" s="2092"/>
      <c r="G713" s="2126"/>
      <c r="H713" s="2126"/>
      <c r="I713" s="2126"/>
      <c r="J713" s="2118" t="s">
        <v>977</v>
      </c>
    </row>
    <row r="714" s="2075" customFormat="1" spans="1:10">
      <c r="A714" s="2092"/>
      <c r="B714" s="2085"/>
      <c r="C714" s="2085"/>
      <c r="D714" s="2085"/>
      <c r="E714" s="2048">
        <f t="shared" ref="E714:E722" si="35">ROUND(B714+C714-D714,2)</f>
        <v>0</v>
      </c>
      <c r="F714" s="2092"/>
      <c r="G714" s="2126"/>
      <c r="H714" s="2126"/>
      <c r="I714" s="2126"/>
      <c r="J714" s="2118" t="s">
        <v>977</v>
      </c>
    </row>
    <row r="715" s="2075" customFormat="1" spans="1:10">
      <c r="A715" s="2092"/>
      <c r="B715" s="2085"/>
      <c r="C715" s="2085"/>
      <c r="D715" s="2085"/>
      <c r="E715" s="2048">
        <f t="shared" si="35"/>
        <v>0</v>
      </c>
      <c r="F715" s="2092"/>
      <c r="G715" s="2126"/>
      <c r="H715" s="2126"/>
      <c r="I715" s="2126"/>
      <c r="J715" s="2118" t="s">
        <v>977</v>
      </c>
    </row>
    <row r="716" s="2075" customFormat="1" spans="1:10">
      <c r="A716" s="2092"/>
      <c r="B716" s="2085"/>
      <c r="C716" s="2085"/>
      <c r="D716" s="2085"/>
      <c r="E716" s="2048">
        <f t="shared" si="35"/>
        <v>0</v>
      </c>
      <c r="F716" s="2092"/>
      <c r="G716" s="2126"/>
      <c r="H716" s="2126"/>
      <c r="I716" s="2126"/>
      <c r="J716" s="2118" t="s">
        <v>977</v>
      </c>
    </row>
    <row r="717" s="2075" customFormat="1" spans="1:10">
      <c r="A717" s="2092"/>
      <c r="B717" s="2085"/>
      <c r="C717" s="2085"/>
      <c r="D717" s="2085"/>
      <c r="E717" s="2048">
        <f t="shared" si="35"/>
        <v>0</v>
      </c>
      <c r="F717" s="2092"/>
      <c r="G717" s="2126"/>
      <c r="H717" s="2126"/>
      <c r="I717" s="2126"/>
      <c r="J717" s="2118" t="s">
        <v>977</v>
      </c>
    </row>
    <row r="718" s="2075" customFormat="1" spans="1:10">
      <c r="A718" s="2092"/>
      <c r="B718" s="2085"/>
      <c r="C718" s="2085"/>
      <c r="D718" s="2085"/>
      <c r="E718" s="2048">
        <f t="shared" si="35"/>
        <v>0</v>
      </c>
      <c r="F718" s="2092"/>
      <c r="G718" s="2126"/>
      <c r="H718" s="2126"/>
      <c r="I718" s="2126"/>
      <c r="J718" s="2118" t="s">
        <v>977</v>
      </c>
    </row>
    <row r="719" s="2075" customFormat="1" spans="1:10">
      <c r="A719" s="2092"/>
      <c r="B719" s="2085"/>
      <c r="C719" s="2085"/>
      <c r="D719" s="2085"/>
      <c r="E719" s="2048">
        <f t="shared" si="35"/>
        <v>0</v>
      </c>
      <c r="F719" s="2092"/>
      <c r="G719" s="2126"/>
      <c r="H719" s="2126"/>
      <c r="I719" s="2126"/>
      <c r="J719" s="2118" t="s">
        <v>977</v>
      </c>
    </row>
    <row r="720" s="2075" customFormat="1" spans="1:10">
      <c r="A720" s="2092"/>
      <c r="B720" s="2085"/>
      <c r="C720" s="2085"/>
      <c r="D720" s="2085"/>
      <c r="E720" s="2048">
        <f t="shared" si="35"/>
        <v>0</v>
      </c>
      <c r="F720" s="2092"/>
      <c r="G720" s="2126"/>
      <c r="H720" s="2126"/>
      <c r="I720" s="2126"/>
      <c r="J720" s="2118" t="s">
        <v>977</v>
      </c>
    </row>
    <row r="721" s="2075" customFormat="1" spans="1:10">
      <c r="A721" s="2092"/>
      <c r="B721" s="2085"/>
      <c r="C721" s="2085"/>
      <c r="D721" s="2085"/>
      <c r="E721" s="2048">
        <f t="shared" si="35"/>
        <v>0</v>
      </c>
      <c r="F721" s="2092"/>
      <c r="G721" s="2126"/>
      <c r="H721" s="2126"/>
      <c r="I721" s="2126"/>
      <c r="J721" s="2118" t="s">
        <v>977</v>
      </c>
    </row>
    <row r="722" s="2075" customFormat="1" spans="1:10">
      <c r="A722" s="2092"/>
      <c r="B722" s="2085"/>
      <c r="C722" s="2085"/>
      <c r="D722" s="2085"/>
      <c r="E722" s="2048">
        <f t="shared" si="35"/>
        <v>0</v>
      </c>
      <c r="F722" s="2092"/>
      <c r="G722" s="2126"/>
      <c r="H722" s="2126"/>
      <c r="I722" s="2126"/>
      <c r="J722" s="2118" t="s">
        <v>977</v>
      </c>
    </row>
    <row r="723" s="2074" customFormat="1" spans="1:10">
      <c r="A723" s="2082" t="s">
        <v>676</v>
      </c>
      <c r="B723" s="2048">
        <f>ROUND(SUM(B713:B722),2)</f>
        <v>0</v>
      </c>
      <c r="C723" s="2048">
        <f>ROUND(SUM(C713:C722),2)</f>
        <v>0</v>
      </c>
      <c r="D723" s="2048">
        <f>ROUND(SUM(D713:D722),2)</f>
        <v>0</v>
      </c>
      <c r="E723" s="2048">
        <f>ROUND(SUM(E713:E722),2)</f>
        <v>0</v>
      </c>
      <c r="F723" s="2048"/>
      <c r="G723" s="2126"/>
      <c r="H723" s="2126"/>
      <c r="I723" s="2126"/>
      <c r="J723" s="2118" t="s">
        <v>978</v>
      </c>
    </row>
    <row r="724" s="2074" customFormat="1" spans="1:10">
      <c r="A724" s="2082"/>
      <c r="B724" s="2048"/>
      <c r="C724" s="2048"/>
      <c r="D724" s="2048"/>
      <c r="E724" s="2048"/>
      <c r="F724" s="2083"/>
      <c r="G724" s="2126"/>
      <c r="H724" s="2126"/>
      <c r="I724" s="2126"/>
      <c r="J724" s="2078"/>
    </row>
    <row r="725" s="2074" customFormat="1" spans="1:10">
      <c r="A725" s="2082" t="s">
        <v>384</v>
      </c>
      <c r="B725" s="2048">
        <f>ROUND(B710+B723,2)</f>
        <v>0</v>
      </c>
      <c r="C725" s="2048">
        <f>ROUND(C710+C723,2)</f>
        <v>0</v>
      </c>
      <c r="D725" s="2048">
        <f>ROUND(D710+D723,2)</f>
        <v>0</v>
      </c>
      <c r="E725" s="2048">
        <f>ROUND(E710+E723,2)</f>
        <v>0</v>
      </c>
      <c r="F725" s="2083"/>
      <c r="G725" s="2126"/>
      <c r="H725" s="2126"/>
      <c r="I725" s="2126"/>
      <c r="J725" s="2118" t="s">
        <v>979</v>
      </c>
    </row>
    <row r="726" s="2074" customFormat="1" spans="1:10">
      <c r="A726" s="2126"/>
      <c r="B726" s="2126"/>
      <c r="C726" s="2126"/>
      <c r="D726" s="2126"/>
      <c r="E726" s="2126"/>
      <c r="F726" s="2126"/>
      <c r="G726" s="2126"/>
      <c r="H726" s="2126"/>
      <c r="I726" s="2126"/>
      <c r="J726" s="2135" t="s">
        <v>629</v>
      </c>
    </row>
  </sheetData>
  <mergeCells count="9">
    <mergeCell ref="A1:F1"/>
    <mergeCell ref="B4:D4"/>
    <mergeCell ref="E4:G4"/>
    <mergeCell ref="D677:E677"/>
    <mergeCell ref="A4:A5"/>
    <mergeCell ref="A677:A678"/>
    <mergeCell ref="B677:B678"/>
    <mergeCell ref="C677:C678"/>
    <mergeCell ref="F677:F678"/>
  </mergeCells>
  <pageMargins left="0.75" right="0.75" top="1" bottom="1" header="0.5" footer="0.5"/>
  <headerFooter alignWithMargins="0"/>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521"/>
  <sheetViews>
    <sheetView showGridLines="0" showZeros="0" zoomScale="105" zoomScaleNormal="105" workbookViewId="0">
      <pane xSplit="1" ySplit="1" topLeftCell="B2" activePane="bottomRight" state="frozen"/>
      <selection/>
      <selection pane="topRight"/>
      <selection pane="bottomLeft"/>
      <selection pane="bottomRight" activeCell="B5" sqref="B5"/>
    </sheetView>
  </sheetViews>
  <sheetFormatPr defaultColWidth="9" defaultRowHeight="12.75"/>
  <cols>
    <col min="1" max="1" width="37.75" style="2299" customWidth="1"/>
    <col min="2" max="8" width="12.25" style="2299" customWidth="1"/>
    <col min="9" max="9" width="35.75" style="2302" hidden="1" customWidth="1"/>
    <col min="10" max="16384" width="9" style="2299"/>
  </cols>
  <sheetData>
    <row r="1" s="2074" customFormat="1" ht="25.5" spans="1:10">
      <c r="A1" s="2077" t="s">
        <v>980</v>
      </c>
      <c r="B1" s="2077"/>
      <c r="C1" s="2077"/>
      <c r="D1" s="2077"/>
      <c r="E1" s="2077"/>
      <c r="F1" s="2077"/>
      <c r="G1" s="2077"/>
      <c r="H1" s="2077"/>
      <c r="I1" s="2078"/>
      <c r="J1" s="2078"/>
    </row>
    <row r="2" s="2075" customFormat="1" spans="1:9">
      <c r="A2" s="2079" t="s">
        <v>981</v>
      </c>
      <c r="B2" s="2080"/>
      <c r="C2" s="2080"/>
      <c r="D2" s="2080"/>
      <c r="E2" s="2080"/>
      <c r="F2" s="2080"/>
      <c r="G2" s="2080"/>
      <c r="H2" s="2080"/>
      <c r="I2" s="2076"/>
    </row>
    <row r="3" s="2075" customFormat="1" spans="1:9">
      <c r="A3" s="2081" t="s">
        <v>313</v>
      </c>
      <c r="B3" s="2080"/>
      <c r="C3" s="2080"/>
      <c r="D3" s="2080"/>
      <c r="E3" s="2080"/>
      <c r="F3" s="2080"/>
      <c r="G3" s="2080"/>
      <c r="H3" s="2080"/>
      <c r="I3" s="2076"/>
    </row>
    <row r="4" s="2075" customFormat="1" spans="1:9">
      <c r="A4" s="2082" t="s">
        <v>372</v>
      </c>
      <c r="B4" s="2082" t="s">
        <v>315</v>
      </c>
      <c r="C4" s="2082" t="s">
        <v>316</v>
      </c>
      <c r="D4" s="2080"/>
      <c r="E4" s="2080"/>
      <c r="F4" s="2080"/>
      <c r="G4" s="2080"/>
      <c r="H4" s="2080"/>
      <c r="I4" s="2076"/>
    </row>
    <row r="5" s="2075" customFormat="1" spans="1:9">
      <c r="A5" s="2084" t="s">
        <v>982</v>
      </c>
      <c r="B5" s="2085"/>
      <c r="C5" s="2085"/>
      <c r="D5" s="2080"/>
      <c r="E5" s="2080"/>
      <c r="F5" s="2080"/>
      <c r="G5" s="2080"/>
      <c r="H5" s="2080"/>
      <c r="I5" s="2086" t="s">
        <v>983</v>
      </c>
    </row>
    <row r="6" s="2075" customFormat="1" spans="1:9">
      <c r="A6" s="2084" t="s">
        <v>984</v>
      </c>
      <c r="B6" s="2085"/>
      <c r="C6" s="2085"/>
      <c r="D6" s="2080"/>
      <c r="E6" s="2080"/>
      <c r="F6" s="2080"/>
      <c r="G6" s="2080"/>
      <c r="H6" s="2080"/>
      <c r="I6" s="2086" t="s">
        <v>985</v>
      </c>
    </row>
    <row r="7" s="2075" customFormat="1" spans="1:9">
      <c r="A7" s="2084" t="s">
        <v>986</v>
      </c>
      <c r="B7" s="2085"/>
      <c r="C7" s="2085"/>
      <c r="D7" s="2080"/>
      <c r="E7" s="2080"/>
      <c r="F7" s="2080"/>
      <c r="G7" s="2080"/>
      <c r="H7" s="2080"/>
      <c r="I7" s="2086" t="s">
        <v>987</v>
      </c>
    </row>
    <row r="8" s="2075" customFormat="1" spans="1:9">
      <c r="A8" s="2084" t="s">
        <v>988</v>
      </c>
      <c r="B8" s="2085"/>
      <c r="C8" s="2085"/>
      <c r="D8" s="2080"/>
      <c r="E8" s="2080"/>
      <c r="F8" s="2080"/>
      <c r="G8" s="2080"/>
      <c r="H8" s="2080"/>
      <c r="I8" s="2086" t="s">
        <v>989</v>
      </c>
    </row>
    <row r="9" s="2075" customFormat="1" spans="1:9">
      <c r="A9" s="2082" t="s">
        <v>384</v>
      </c>
      <c r="B9" s="2048">
        <f>ROUND(SUM(B5:B8),2)</f>
        <v>0</v>
      </c>
      <c r="C9" s="2048">
        <f>ROUND(SUM(C5:C8),2)</f>
        <v>0</v>
      </c>
      <c r="D9" s="2080"/>
      <c r="E9" s="2080"/>
      <c r="F9" s="2080"/>
      <c r="G9" s="2080"/>
      <c r="H9" s="2080"/>
      <c r="I9" s="2086" t="s">
        <v>990</v>
      </c>
    </row>
    <row r="10" s="2075" customFormat="1" spans="1:9">
      <c r="A10" s="2080"/>
      <c r="B10" s="2080"/>
      <c r="C10" s="2080"/>
      <c r="D10" s="2080"/>
      <c r="E10" s="2080"/>
      <c r="F10" s="2080"/>
      <c r="G10" s="2080"/>
      <c r="H10" s="2080"/>
      <c r="I10" s="2076"/>
    </row>
    <row r="11" s="2075" customFormat="1" spans="1:9">
      <c r="A11" s="2088" t="s">
        <v>991</v>
      </c>
      <c r="B11" s="2080"/>
      <c r="C11" s="2080"/>
      <c r="D11" s="2080"/>
      <c r="E11" s="2080"/>
      <c r="F11" s="2080"/>
      <c r="G11" s="2080"/>
      <c r="H11" s="2080"/>
      <c r="I11" s="2076"/>
    </row>
    <row r="12" s="2075" customFormat="1" spans="1:9">
      <c r="A12" s="2108" t="s">
        <v>992</v>
      </c>
      <c r="B12" s="2108" t="s">
        <v>993</v>
      </c>
      <c r="C12" s="2108" t="s">
        <v>994</v>
      </c>
      <c r="D12" s="2108" t="s">
        <v>995</v>
      </c>
      <c r="E12" s="2108" t="s">
        <v>996</v>
      </c>
      <c r="F12" s="2108" t="s">
        <v>997</v>
      </c>
      <c r="G12" s="2080"/>
      <c r="H12" s="2080"/>
      <c r="I12" s="2076"/>
    </row>
    <row r="13" s="2075" customFormat="1" spans="1:9">
      <c r="A13" s="2092"/>
      <c r="B13" s="2085"/>
      <c r="C13" s="2111"/>
      <c r="D13" s="2092"/>
      <c r="E13" s="2092"/>
      <c r="F13" s="2092"/>
      <c r="G13" s="2080"/>
      <c r="H13" s="2080"/>
      <c r="I13" s="2086" t="s">
        <v>998</v>
      </c>
    </row>
    <row r="14" s="2075" customFormat="1" spans="1:9">
      <c r="A14" s="2092"/>
      <c r="B14" s="2085"/>
      <c r="C14" s="2111"/>
      <c r="D14" s="2092"/>
      <c r="E14" s="2092"/>
      <c r="F14" s="2092"/>
      <c r="G14" s="2080"/>
      <c r="H14" s="2080"/>
      <c r="I14" s="2086" t="s">
        <v>998</v>
      </c>
    </row>
    <row r="15" s="2075" customFormat="1" spans="1:9">
      <c r="A15" s="2092"/>
      <c r="B15" s="2085"/>
      <c r="C15" s="2111"/>
      <c r="D15" s="2092"/>
      <c r="E15" s="2092"/>
      <c r="F15" s="2092"/>
      <c r="G15" s="2080"/>
      <c r="H15" s="2080"/>
      <c r="I15" s="2086" t="s">
        <v>998</v>
      </c>
    </row>
    <row r="16" s="2075" customFormat="1" spans="1:9">
      <c r="A16" s="2092"/>
      <c r="B16" s="2085"/>
      <c r="C16" s="2111"/>
      <c r="D16" s="2092"/>
      <c r="E16" s="2092"/>
      <c r="F16" s="2092"/>
      <c r="G16" s="2080"/>
      <c r="H16" s="2080"/>
      <c r="I16" s="2086" t="s">
        <v>998</v>
      </c>
    </row>
    <row r="17" s="2075" customFormat="1" spans="1:9">
      <c r="A17" s="2092"/>
      <c r="B17" s="2085"/>
      <c r="C17" s="2111"/>
      <c r="D17" s="2092"/>
      <c r="E17" s="2092"/>
      <c r="F17" s="2092"/>
      <c r="G17" s="2080"/>
      <c r="H17" s="2080"/>
      <c r="I17" s="2086" t="s">
        <v>998</v>
      </c>
    </row>
    <row r="18" s="2075" customFormat="1" spans="1:9">
      <c r="A18" s="2092"/>
      <c r="B18" s="2085"/>
      <c r="C18" s="2111"/>
      <c r="D18" s="2092"/>
      <c r="E18" s="2092"/>
      <c r="F18" s="2092"/>
      <c r="G18" s="2080"/>
      <c r="H18" s="2080"/>
      <c r="I18" s="2086" t="s">
        <v>998</v>
      </c>
    </row>
    <row r="19" s="2075" customFormat="1" spans="1:9">
      <c r="A19" s="2092"/>
      <c r="B19" s="2085"/>
      <c r="C19" s="2111"/>
      <c r="D19" s="2092"/>
      <c r="E19" s="2092"/>
      <c r="F19" s="2092"/>
      <c r="G19" s="2080"/>
      <c r="H19" s="2080"/>
      <c r="I19" s="2086" t="s">
        <v>998</v>
      </c>
    </row>
    <row r="20" s="2075" customFormat="1" spans="1:9">
      <c r="A20" s="2092"/>
      <c r="B20" s="2085"/>
      <c r="C20" s="2111"/>
      <c r="D20" s="2092"/>
      <c r="E20" s="2092"/>
      <c r="F20" s="2092"/>
      <c r="G20" s="2080"/>
      <c r="H20" s="2080"/>
      <c r="I20" s="2086" t="s">
        <v>998</v>
      </c>
    </row>
    <row r="21" s="2075" customFormat="1" spans="1:9">
      <c r="A21" s="2092"/>
      <c r="B21" s="2085"/>
      <c r="C21" s="2111"/>
      <c r="D21" s="2092"/>
      <c r="E21" s="2092"/>
      <c r="F21" s="2092"/>
      <c r="G21" s="2080"/>
      <c r="H21" s="2080"/>
      <c r="I21" s="2086" t="s">
        <v>998</v>
      </c>
    </row>
    <row r="22" s="2075" customFormat="1" spans="1:9">
      <c r="A22" s="2092"/>
      <c r="B22" s="2085"/>
      <c r="C22" s="2111"/>
      <c r="D22" s="2092"/>
      <c r="E22" s="2092"/>
      <c r="F22" s="2092"/>
      <c r="G22" s="2080"/>
      <c r="H22" s="2080"/>
      <c r="I22" s="2086" t="s">
        <v>998</v>
      </c>
    </row>
    <row r="23" s="2075" customFormat="1" spans="1:9">
      <c r="A23" s="2082" t="s">
        <v>384</v>
      </c>
      <c r="B23" s="2048">
        <f>ROUND(SUM(B13:B22),2)</f>
        <v>0</v>
      </c>
      <c r="C23" s="2048"/>
      <c r="D23" s="2048"/>
      <c r="E23" s="2048"/>
      <c r="F23" s="2048"/>
      <c r="G23" s="2080"/>
      <c r="H23" s="2080"/>
      <c r="I23" s="2086" t="s">
        <v>999</v>
      </c>
    </row>
    <row r="24" s="2075" customFormat="1" spans="1:9">
      <c r="A24" s="2080"/>
      <c r="B24" s="2080"/>
      <c r="C24" s="2080"/>
      <c r="D24" s="2080"/>
      <c r="E24" s="2080"/>
      <c r="F24" s="2080"/>
      <c r="G24" s="2080"/>
      <c r="H24" s="2080"/>
      <c r="I24" s="2076"/>
    </row>
    <row r="25" s="2075" customFormat="1" spans="1:9">
      <c r="A25" s="2088" t="s">
        <v>1000</v>
      </c>
      <c r="B25" s="2080"/>
      <c r="C25" s="2080"/>
      <c r="D25" s="2080"/>
      <c r="E25" s="2080"/>
      <c r="F25" s="2080"/>
      <c r="G25" s="2080"/>
      <c r="H25" s="2080"/>
      <c r="I25" s="2076"/>
    </row>
    <row r="26" s="2075" customFormat="1" spans="1:9">
      <c r="A26" s="2108" t="s">
        <v>992</v>
      </c>
      <c r="B26" s="2108" t="s">
        <v>993</v>
      </c>
      <c r="C26" s="2108" t="s">
        <v>994</v>
      </c>
      <c r="D26" s="2108" t="s">
        <v>995</v>
      </c>
      <c r="E26" s="2108" t="s">
        <v>1001</v>
      </c>
      <c r="F26" s="2108" t="s">
        <v>1002</v>
      </c>
      <c r="G26" s="2080"/>
      <c r="H26" s="2080"/>
      <c r="I26" s="2076"/>
    </row>
    <row r="27" s="2075" customFormat="1" spans="1:9">
      <c r="A27" s="2092"/>
      <c r="B27" s="2085"/>
      <c r="C27" s="2111"/>
      <c r="D27" s="2092"/>
      <c r="E27" s="2092"/>
      <c r="F27" s="2113"/>
      <c r="G27" s="2080"/>
      <c r="H27" s="2080"/>
      <c r="I27" s="2086" t="s">
        <v>1003</v>
      </c>
    </row>
    <row r="28" s="2075" customFormat="1" spans="1:9">
      <c r="A28" s="2092"/>
      <c r="B28" s="2085"/>
      <c r="C28" s="2111"/>
      <c r="D28" s="2092"/>
      <c r="E28" s="2092"/>
      <c r="F28" s="2113"/>
      <c r="G28" s="2080"/>
      <c r="H28" s="2080"/>
      <c r="I28" s="2086" t="s">
        <v>1003</v>
      </c>
    </row>
    <row r="29" s="2075" customFormat="1" spans="1:9">
      <c r="A29" s="2092"/>
      <c r="B29" s="2085"/>
      <c r="C29" s="2111"/>
      <c r="D29" s="2092"/>
      <c r="E29" s="2092"/>
      <c r="F29" s="2113"/>
      <c r="G29" s="2080"/>
      <c r="H29" s="2080"/>
      <c r="I29" s="2086" t="s">
        <v>1003</v>
      </c>
    </row>
    <row r="30" s="2075" customFormat="1" spans="1:9">
      <c r="A30" s="2092"/>
      <c r="B30" s="2085"/>
      <c r="C30" s="2111"/>
      <c r="D30" s="2092"/>
      <c r="E30" s="2092"/>
      <c r="F30" s="2113"/>
      <c r="G30" s="2080"/>
      <c r="H30" s="2080"/>
      <c r="I30" s="2086" t="s">
        <v>1003</v>
      </c>
    </row>
    <row r="31" s="2075" customFormat="1" spans="1:9">
      <c r="A31" s="2092"/>
      <c r="B31" s="2085"/>
      <c r="C31" s="2111"/>
      <c r="D31" s="2092"/>
      <c r="E31" s="2092"/>
      <c r="F31" s="2113"/>
      <c r="G31" s="2080"/>
      <c r="H31" s="2080"/>
      <c r="I31" s="2086" t="s">
        <v>1003</v>
      </c>
    </row>
    <row r="32" s="2075" customFormat="1" spans="1:9">
      <c r="A32" s="2092"/>
      <c r="B32" s="2085"/>
      <c r="C32" s="2111"/>
      <c r="D32" s="2092"/>
      <c r="E32" s="2092"/>
      <c r="F32" s="2113"/>
      <c r="G32" s="2080"/>
      <c r="H32" s="2080"/>
      <c r="I32" s="2086" t="s">
        <v>1003</v>
      </c>
    </row>
    <row r="33" s="2075" customFormat="1" spans="1:9">
      <c r="A33" s="2092"/>
      <c r="B33" s="2085"/>
      <c r="C33" s="2111"/>
      <c r="D33" s="2092"/>
      <c r="E33" s="2092"/>
      <c r="F33" s="2113"/>
      <c r="G33" s="2080"/>
      <c r="H33" s="2080"/>
      <c r="I33" s="2086" t="s">
        <v>1003</v>
      </c>
    </row>
    <row r="34" s="2075" customFormat="1" spans="1:9">
      <c r="A34" s="2092"/>
      <c r="B34" s="2085"/>
      <c r="C34" s="2111"/>
      <c r="D34" s="2092"/>
      <c r="E34" s="2092"/>
      <c r="F34" s="2113"/>
      <c r="G34" s="2080"/>
      <c r="H34" s="2080"/>
      <c r="I34" s="2086" t="s">
        <v>1003</v>
      </c>
    </row>
    <row r="35" s="2075" customFormat="1" spans="1:9">
      <c r="A35" s="2092"/>
      <c r="B35" s="2085"/>
      <c r="C35" s="2111"/>
      <c r="D35" s="2092"/>
      <c r="E35" s="2092"/>
      <c r="F35" s="2113"/>
      <c r="G35" s="2080"/>
      <c r="H35" s="2080"/>
      <c r="I35" s="2086" t="s">
        <v>1003</v>
      </c>
    </row>
    <row r="36" s="2075" customFormat="1" spans="1:9">
      <c r="A36" s="2092"/>
      <c r="B36" s="2085"/>
      <c r="C36" s="2111"/>
      <c r="D36" s="2092"/>
      <c r="E36" s="2092"/>
      <c r="F36" s="2113"/>
      <c r="G36" s="2080"/>
      <c r="H36" s="2080"/>
      <c r="I36" s="2086" t="s">
        <v>1003</v>
      </c>
    </row>
    <row r="37" s="2075" customFormat="1" spans="1:9">
      <c r="A37" s="2082" t="s">
        <v>384</v>
      </c>
      <c r="B37" s="2048">
        <f>ROUND(SUM(B27:B36),2)</f>
        <v>0</v>
      </c>
      <c r="C37" s="2048"/>
      <c r="D37" s="2048"/>
      <c r="E37" s="2048"/>
      <c r="F37" s="2048"/>
      <c r="G37" s="2080"/>
      <c r="H37" s="2080"/>
      <c r="I37" s="2086" t="s">
        <v>1004</v>
      </c>
    </row>
    <row r="38" s="2075" customFormat="1" spans="1:9">
      <c r="A38" s="2080"/>
      <c r="B38" s="2080"/>
      <c r="C38" s="2080"/>
      <c r="D38" s="2080"/>
      <c r="E38" s="2080"/>
      <c r="F38" s="2080"/>
      <c r="G38" s="2080"/>
      <c r="H38" s="2080"/>
      <c r="I38" s="2076"/>
    </row>
    <row r="39" s="2075" customFormat="1" spans="1:9">
      <c r="A39" s="2080"/>
      <c r="B39" s="2080"/>
      <c r="C39" s="2080"/>
      <c r="D39" s="2080"/>
      <c r="E39" s="2080"/>
      <c r="F39" s="2080"/>
      <c r="G39" s="2080"/>
      <c r="H39" s="2080"/>
      <c r="I39" s="2076"/>
    </row>
    <row r="40" s="2075" customFormat="1" spans="1:9">
      <c r="A40" s="2079" t="s">
        <v>1005</v>
      </c>
      <c r="B40" s="2080"/>
      <c r="C40" s="2080"/>
      <c r="D40" s="2080"/>
      <c r="E40" s="2080"/>
      <c r="F40" s="2080"/>
      <c r="G40" s="2080"/>
      <c r="H40" s="2080"/>
      <c r="I40" s="2076"/>
    </row>
    <row r="41" s="2075" customFormat="1" spans="1:9">
      <c r="A41" s="2084" t="s">
        <v>372</v>
      </c>
      <c r="B41" s="2084" t="s">
        <v>373</v>
      </c>
      <c r="C41" s="2084" t="s">
        <v>374</v>
      </c>
      <c r="D41" s="2080"/>
      <c r="E41" s="2080"/>
      <c r="F41" s="2080"/>
      <c r="G41" s="2080"/>
      <c r="H41" s="2080"/>
      <c r="I41" s="2076"/>
    </row>
    <row r="42" s="2075" customFormat="1" spans="1:9">
      <c r="A42" s="2084" t="s">
        <v>1006</v>
      </c>
      <c r="B42" s="2085"/>
      <c r="C42" s="2085"/>
      <c r="D42" s="2080"/>
      <c r="E42" s="2080"/>
      <c r="F42" s="2080"/>
      <c r="G42" s="2080"/>
      <c r="H42" s="2080"/>
      <c r="I42" s="2086" t="s">
        <v>1007</v>
      </c>
    </row>
    <row r="43" s="2075" customFormat="1" spans="1:9">
      <c r="A43" s="2084" t="s">
        <v>1008</v>
      </c>
      <c r="B43" s="2085"/>
      <c r="C43" s="2085"/>
      <c r="D43" s="2080"/>
      <c r="E43" s="2080"/>
      <c r="F43" s="2080"/>
      <c r="G43" s="2080"/>
      <c r="H43" s="2080"/>
      <c r="I43" s="2086" t="s">
        <v>1009</v>
      </c>
    </row>
    <row r="44" s="2075" customFormat="1" spans="1:9">
      <c r="A44" s="2084" t="s">
        <v>1010</v>
      </c>
      <c r="B44" s="2085"/>
      <c r="C44" s="2085"/>
      <c r="D44" s="2080"/>
      <c r="E44" s="2080"/>
      <c r="F44" s="2080"/>
      <c r="G44" s="2080"/>
      <c r="H44" s="2080"/>
      <c r="I44" s="2086" t="s">
        <v>1011</v>
      </c>
    </row>
    <row r="45" s="2075" customFormat="1" spans="1:9">
      <c r="A45" s="2084" t="s">
        <v>279</v>
      </c>
      <c r="B45" s="2085"/>
      <c r="C45" s="2085"/>
      <c r="D45" s="2080"/>
      <c r="E45" s="2080"/>
      <c r="F45" s="2080"/>
      <c r="G45" s="2080"/>
      <c r="H45" s="2080"/>
      <c r="I45" s="2086" t="s">
        <v>1012</v>
      </c>
    </row>
    <row r="46" s="2075" customFormat="1" spans="1:9">
      <c r="A46" s="2084" t="s">
        <v>384</v>
      </c>
      <c r="B46" s="2048">
        <f>ROUND(SUM(B42:B45),2)</f>
        <v>0</v>
      </c>
      <c r="C46" s="2048">
        <f>ROUND(SUM(C42:C45),2)</f>
        <v>0</v>
      </c>
      <c r="D46" s="2080"/>
      <c r="E46" s="2080"/>
      <c r="F46" s="2080"/>
      <c r="G46" s="2080"/>
      <c r="H46" s="2080"/>
      <c r="I46" s="2086" t="s">
        <v>1013</v>
      </c>
    </row>
    <row r="47" s="2075" customFormat="1" spans="1:9">
      <c r="A47" s="2103"/>
      <c r="B47" s="2080"/>
      <c r="C47" s="2080"/>
      <c r="D47" s="2080"/>
      <c r="E47" s="2080"/>
      <c r="F47" s="2080"/>
      <c r="G47" s="2080"/>
      <c r="H47" s="2080"/>
      <c r="I47" s="2076"/>
    </row>
    <row r="48" s="2075" customFormat="1" spans="1:9">
      <c r="A48" s="2103"/>
      <c r="B48" s="2080"/>
      <c r="C48" s="2080"/>
      <c r="D48" s="2080"/>
      <c r="E48" s="2080"/>
      <c r="F48" s="2080"/>
      <c r="G48" s="2080"/>
      <c r="H48" s="2080"/>
      <c r="I48" s="2076"/>
    </row>
    <row r="49" s="2075" customFormat="1" spans="1:9">
      <c r="A49" s="2079" t="s">
        <v>1014</v>
      </c>
      <c r="B49" s="2080"/>
      <c r="C49" s="2080"/>
      <c r="D49" s="2080"/>
      <c r="E49" s="2080"/>
      <c r="F49" s="2080"/>
      <c r="G49" s="2080"/>
      <c r="H49" s="2080"/>
      <c r="I49" s="2076"/>
    </row>
    <row r="50" s="2075" customFormat="1" spans="1:9">
      <c r="A50" s="2081" t="s">
        <v>313</v>
      </c>
      <c r="B50" s="2080"/>
      <c r="C50" s="2080"/>
      <c r="D50" s="2080"/>
      <c r="E50" s="2080"/>
      <c r="F50" s="2080"/>
      <c r="G50" s="2080"/>
      <c r="H50" s="2080"/>
      <c r="I50" s="2076"/>
    </row>
    <row r="51" s="2075" customFormat="1" spans="1:9">
      <c r="A51" s="2083" t="s">
        <v>390</v>
      </c>
      <c r="B51" s="2082" t="s">
        <v>315</v>
      </c>
      <c r="C51" s="2082" t="s">
        <v>316</v>
      </c>
      <c r="D51" s="2082" t="s">
        <v>1015</v>
      </c>
      <c r="E51" s="2080"/>
      <c r="F51" s="2080"/>
      <c r="G51" s="2080"/>
      <c r="H51" s="2080"/>
      <c r="I51" s="2076"/>
    </row>
    <row r="52" s="2075" customFormat="1" spans="1:9">
      <c r="A52" s="2087" t="s">
        <v>391</v>
      </c>
      <c r="B52" s="2085"/>
      <c r="C52" s="2085"/>
      <c r="D52" s="2085"/>
      <c r="E52" s="2080"/>
      <c r="F52" s="2080"/>
      <c r="G52" s="2080"/>
      <c r="H52" s="2080"/>
      <c r="I52" s="2086" t="s">
        <v>1016</v>
      </c>
    </row>
    <row r="53" s="2075" customFormat="1" spans="1:9">
      <c r="A53" s="2087" t="s">
        <v>393</v>
      </c>
      <c r="B53" s="2085"/>
      <c r="C53" s="2085"/>
      <c r="D53" s="2085"/>
      <c r="E53" s="2080"/>
      <c r="F53" s="2080"/>
      <c r="G53" s="2080"/>
      <c r="H53" s="2080"/>
      <c r="I53" s="2086" t="s">
        <v>1017</v>
      </c>
    </row>
    <row r="54" s="2075" customFormat="1" spans="1:9">
      <c r="A54" s="2082" t="s">
        <v>384</v>
      </c>
      <c r="B54" s="2048">
        <f>ROUND(SUM(B52:B53),2)</f>
        <v>0</v>
      </c>
      <c r="C54" s="2048">
        <f>ROUND(SUM(C52:C53),2)</f>
        <v>0</v>
      </c>
      <c r="D54" s="2048">
        <f>ROUND(SUM(D52:D53),2)</f>
        <v>0</v>
      </c>
      <c r="E54" s="2080"/>
      <c r="F54" s="2080"/>
      <c r="G54" s="2080"/>
      <c r="H54" s="2080"/>
      <c r="I54" s="2086" t="s">
        <v>1018</v>
      </c>
    </row>
    <row r="55" s="2075" customFormat="1" spans="1:9">
      <c r="A55" s="2103"/>
      <c r="B55" s="2080"/>
      <c r="C55" s="2080"/>
      <c r="D55" s="2080"/>
      <c r="E55" s="2080"/>
      <c r="F55" s="2080"/>
      <c r="G55" s="2080"/>
      <c r="H55" s="2080"/>
      <c r="I55" s="2076"/>
    </row>
    <row r="56" s="2075" customFormat="1" spans="1:9">
      <c r="A56" s="2103"/>
      <c r="B56" s="2080"/>
      <c r="C56" s="2080"/>
      <c r="D56" s="2080"/>
      <c r="E56" s="2080"/>
      <c r="F56" s="2080"/>
      <c r="G56" s="2080"/>
      <c r="H56" s="2080"/>
      <c r="I56" s="2076"/>
    </row>
    <row r="57" s="2075" customFormat="1" spans="1:9">
      <c r="A57" s="2079" t="s">
        <v>1019</v>
      </c>
      <c r="B57" s="2080"/>
      <c r="C57" s="2080"/>
      <c r="D57" s="2080"/>
      <c r="E57" s="2080"/>
      <c r="F57" s="2080"/>
      <c r="G57" s="2080"/>
      <c r="H57" s="2080"/>
      <c r="I57" s="2076"/>
    </row>
    <row r="58" s="2075" customFormat="1" spans="1:9">
      <c r="A58" s="2081" t="s">
        <v>1020</v>
      </c>
      <c r="B58" s="2080"/>
      <c r="C58" s="2080"/>
      <c r="D58" s="2080"/>
      <c r="E58" s="2080"/>
      <c r="F58" s="2080"/>
      <c r="G58" s="2080"/>
      <c r="H58" s="2080"/>
      <c r="I58" s="2076"/>
    </row>
    <row r="59" s="2075" customFormat="1" spans="1:9">
      <c r="A59" s="2089" t="s">
        <v>442</v>
      </c>
      <c r="B59" s="2114" t="s">
        <v>315</v>
      </c>
      <c r="C59" s="2115"/>
      <c r="D59" s="2082" t="s">
        <v>316</v>
      </c>
      <c r="E59" s="2083"/>
      <c r="F59" s="2080"/>
      <c r="G59" s="2080"/>
      <c r="H59" s="2080"/>
      <c r="I59" s="2076"/>
    </row>
    <row r="60" s="2075" customFormat="1" spans="1:9">
      <c r="A60" s="2116"/>
      <c r="B60" s="2082" t="s">
        <v>443</v>
      </c>
      <c r="C60" s="2082" t="s">
        <v>444</v>
      </c>
      <c r="D60" s="2082" t="s">
        <v>443</v>
      </c>
      <c r="E60" s="2082" t="s">
        <v>444</v>
      </c>
      <c r="F60" s="2080"/>
      <c r="G60" s="2080"/>
      <c r="H60" s="2080"/>
      <c r="I60" s="2076"/>
    </row>
    <row r="61" s="2075" customFormat="1" spans="1:9">
      <c r="A61" s="2087" t="s">
        <v>447</v>
      </c>
      <c r="B61" s="2085"/>
      <c r="C61" s="2117">
        <f>IF(B61=0,0,1-C62-C63-C64)</f>
        <v>0</v>
      </c>
      <c r="D61" s="2085"/>
      <c r="E61" s="2117">
        <f>IF(D61=0,0,1-E62-E63-E64)</f>
        <v>0</v>
      </c>
      <c r="F61" s="2080"/>
      <c r="G61" s="2080"/>
      <c r="H61" s="2080"/>
      <c r="I61" s="2118" t="s">
        <v>1021</v>
      </c>
    </row>
    <row r="62" s="2075" customFormat="1" spans="1:9">
      <c r="A62" s="2087" t="s">
        <v>449</v>
      </c>
      <c r="B62" s="2085"/>
      <c r="C62" s="2117">
        <f>IF(B62=0,0,IF(B61=0,ROUND(1-C63-C64,4),ROUND(B62/B65,4)))</f>
        <v>0</v>
      </c>
      <c r="D62" s="2085"/>
      <c r="E62" s="2117">
        <f>IF(D62=0,0,IF(D61=0,ROUND(1-E63-E64,4),ROUND(D62/D65,4)))</f>
        <v>0</v>
      </c>
      <c r="F62" s="2080"/>
      <c r="G62" s="2080"/>
      <c r="H62" s="2080"/>
      <c r="I62" s="2118" t="s">
        <v>1022</v>
      </c>
    </row>
    <row r="63" s="2075" customFormat="1" spans="1:9">
      <c r="A63" s="2087" t="s">
        <v>451</v>
      </c>
      <c r="B63" s="2085"/>
      <c r="C63" s="2117">
        <f>IF(B63=0,0,IF(AND(B61=0,B62=0),ROUND(1-C64,4),ROUND(B63/B65,4)))</f>
        <v>0</v>
      </c>
      <c r="D63" s="2085"/>
      <c r="E63" s="2117">
        <f>IF(D63=0,0,IF(AND(D61=0,D62=0),ROUND(1-E64,4),ROUND(D63/D65,4)))</f>
        <v>0</v>
      </c>
      <c r="F63" s="2080"/>
      <c r="G63" s="2080"/>
      <c r="H63" s="2080"/>
      <c r="I63" s="2118" t="s">
        <v>1023</v>
      </c>
    </row>
    <row r="64" s="2075" customFormat="1" spans="1:9">
      <c r="A64" s="2087" t="s">
        <v>556</v>
      </c>
      <c r="B64" s="2085"/>
      <c r="C64" s="2117">
        <f>IF(B64=0,0,ROUND(B64/B65,4))</f>
        <v>0</v>
      </c>
      <c r="D64" s="2085"/>
      <c r="E64" s="2117">
        <f>IF(D64=0,0,ROUND(D64/D65,4))</f>
        <v>0</v>
      </c>
      <c r="F64" s="2080"/>
      <c r="G64" s="2080"/>
      <c r="H64" s="2080"/>
      <c r="I64" s="2118" t="s">
        <v>1024</v>
      </c>
    </row>
    <row r="65" s="2075" customFormat="1" spans="1:9">
      <c r="A65" s="2082" t="s">
        <v>384</v>
      </c>
      <c r="B65" s="2048">
        <f>ROUND(SUM(B61:B64),2)</f>
        <v>0</v>
      </c>
      <c r="C65" s="2093">
        <f>IF(B65=0,0,1)</f>
        <v>0</v>
      </c>
      <c r="D65" s="2048">
        <f>ROUND(SUM(D61:D64),2)</f>
        <v>0</v>
      </c>
      <c r="E65" s="2093">
        <f>IF(D65=0,0,1)</f>
        <v>0</v>
      </c>
      <c r="F65" s="2080"/>
      <c r="G65" s="2080"/>
      <c r="H65" s="2080"/>
      <c r="I65" s="2118" t="s">
        <v>1025</v>
      </c>
    </row>
    <row r="66" s="2075" customFormat="1" spans="1:9">
      <c r="A66" s="2103"/>
      <c r="B66" s="2080"/>
      <c r="C66" s="2080"/>
      <c r="D66" s="2080"/>
      <c r="E66" s="2080"/>
      <c r="F66" s="2080"/>
      <c r="G66" s="2080"/>
      <c r="H66" s="2080"/>
      <c r="I66" s="2076"/>
    </row>
    <row r="67" s="2075" customFormat="1" spans="1:9">
      <c r="A67" s="2081" t="s">
        <v>1026</v>
      </c>
      <c r="B67" s="2080"/>
      <c r="C67" s="2080"/>
      <c r="D67" s="2080"/>
      <c r="E67" s="2080"/>
      <c r="F67" s="2080"/>
      <c r="G67" s="2080"/>
      <c r="H67" s="2080"/>
      <c r="I67" s="2076"/>
    </row>
    <row r="68" s="2075" customFormat="1" spans="1:9">
      <c r="A68" s="2082" t="s">
        <v>372</v>
      </c>
      <c r="B68" s="2082" t="s">
        <v>315</v>
      </c>
      <c r="C68" s="2082" t="s">
        <v>495</v>
      </c>
      <c r="D68" s="2082" t="s">
        <v>1027</v>
      </c>
      <c r="E68" s="2080"/>
      <c r="F68" s="2080"/>
      <c r="G68" s="2080"/>
      <c r="H68" s="2080"/>
      <c r="I68" s="2076"/>
    </row>
    <row r="69" s="2075" customFormat="1" spans="1:9">
      <c r="A69" s="2092"/>
      <c r="B69" s="2085"/>
      <c r="C69" s="2092"/>
      <c r="D69" s="2092"/>
      <c r="E69" s="2080"/>
      <c r="F69" s="2080"/>
      <c r="G69" s="2080"/>
      <c r="H69" s="2080"/>
      <c r="I69" s="2118" t="s">
        <v>1028</v>
      </c>
    </row>
    <row r="70" s="2075" customFormat="1" spans="1:9">
      <c r="A70" s="2092"/>
      <c r="B70" s="2085"/>
      <c r="C70" s="2092"/>
      <c r="D70" s="2092"/>
      <c r="E70" s="2080"/>
      <c r="F70" s="2080"/>
      <c r="G70" s="2080"/>
      <c r="H70" s="2080"/>
      <c r="I70" s="2118" t="s">
        <v>1028</v>
      </c>
    </row>
    <row r="71" s="2075" customFormat="1" spans="1:9">
      <c r="A71" s="2092"/>
      <c r="B71" s="2085"/>
      <c r="C71" s="2092"/>
      <c r="D71" s="2092"/>
      <c r="E71" s="2080"/>
      <c r="F71" s="2080"/>
      <c r="G71" s="2080"/>
      <c r="H71" s="2080"/>
      <c r="I71" s="2118" t="s">
        <v>1028</v>
      </c>
    </row>
    <row r="72" s="2075" customFormat="1" spans="1:9">
      <c r="A72" s="2092"/>
      <c r="B72" s="2085"/>
      <c r="C72" s="2092"/>
      <c r="D72" s="2092"/>
      <c r="E72" s="2080"/>
      <c r="F72" s="2080"/>
      <c r="G72" s="2080"/>
      <c r="H72" s="2080"/>
      <c r="I72" s="2118" t="s">
        <v>1028</v>
      </c>
    </row>
    <row r="73" s="2075" customFormat="1" spans="1:9">
      <c r="A73" s="2092"/>
      <c r="B73" s="2085"/>
      <c r="C73" s="2092"/>
      <c r="D73" s="2092"/>
      <c r="E73" s="2080"/>
      <c r="F73" s="2080"/>
      <c r="G73" s="2080"/>
      <c r="H73" s="2080"/>
      <c r="I73" s="2118" t="s">
        <v>1028</v>
      </c>
    </row>
    <row r="74" s="2075" customFormat="1" spans="1:9">
      <c r="A74" s="2092"/>
      <c r="B74" s="2085"/>
      <c r="C74" s="2092"/>
      <c r="D74" s="2092"/>
      <c r="E74" s="2080"/>
      <c r="F74" s="2080"/>
      <c r="G74" s="2080"/>
      <c r="H74" s="2080"/>
      <c r="I74" s="2118" t="s">
        <v>1028</v>
      </c>
    </row>
    <row r="75" s="2075" customFormat="1" spans="1:9">
      <c r="A75" s="2092"/>
      <c r="B75" s="2085"/>
      <c r="C75" s="2092"/>
      <c r="D75" s="2092"/>
      <c r="E75" s="2080"/>
      <c r="F75" s="2080"/>
      <c r="G75" s="2080"/>
      <c r="H75" s="2080"/>
      <c r="I75" s="2118" t="s">
        <v>1028</v>
      </c>
    </row>
    <row r="76" s="2075" customFormat="1" spans="1:9">
      <c r="A76" s="2092"/>
      <c r="B76" s="2085"/>
      <c r="C76" s="2092"/>
      <c r="D76" s="2092"/>
      <c r="E76" s="2080"/>
      <c r="F76" s="2080"/>
      <c r="G76" s="2080"/>
      <c r="H76" s="2080"/>
      <c r="I76" s="2118" t="s">
        <v>1028</v>
      </c>
    </row>
    <row r="77" s="2075" customFormat="1" spans="1:9">
      <c r="A77" s="2092"/>
      <c r="B77" s="2085"/>
      <c r="C77" s="2092"/>
      <c r="D77" s="2092"/>
      <c r="E77" s="2080"/>
      <c r="F77" s="2080"/>
      <c r="G77" s="2080"/>
      <c r="H77" s="2080"/>
      <c r="I77" s="2118" t="s">
        <v>1028</v>
      </c>
    </row>
    <row r="78" s="2075" customFormat="1" spans="1:9">
      <c r="A78" s="2092"/>
      <c r="B78" s="2085"/>
      <c r="C78" s="2092"/>
      <c r="D78" s="2092"/>
      <c r="E78" s="2080"/>
      <c r="F78" s="2080"/>
      <c r="G78" s="2080"/>
      <c r="H78" s="2080"/>
      <c r="I78" s="2118" t="s">
        <v>1028</v>
      </c>
    </row>
    <row r="79" s="2075" customFormat="1" spans="1:9">
      <c r="A79" s="2082" t="s">
        <v>384</v>
      </c>
      <c r="B79" s="2048">
        <f>ROUND(SUM(B69:B78),2)</f>
        <v>0</v>
      </c>
      <c r="C79" s="2048"/>
      <c r="D79" s="2048"/>
      <c r="E79" s="2080"/>
      <c r="F79" s="2080"/>
      <c r="G79" s="2080"/>
      <c r="H79" s="2080"/>
      <c r="I79" s="2118" t="s">
        <v>1029</v>
      </c>
    </row>
    <row r="80" s="2075" customFormat="1" spans="1:9">
      <c r="A80" s="2103"/>
      <c r="B80" s="2080"/>
      <c r="C80" s="2080"/>
      <c r="D80" s="2080"/>
      <c r="E80" s="2080"/>
      <c r="F80" s="2080"/>
      <c r="G80" s="2080"/>
      <c r="H80" s="2080"/>
      <c r="I80" s="2076"/>
    </row>
    <row r="81" s="2075" customFormat="1" spans="1:9">
      <c r="A81" s="2096" t="s">
        <v>1030</v>
      </c>
      <c r="B81" s="2080"/>
      <c r="C81" s="2080"/>
      <c r="D81" s="2080"/>
      <c r="E81" s="2080"/>
      <c r="F81" s="2080"/>
      <c r="G81" s="2080"/>
      <c r="H81" s="2080"/>
      <c r="I81" s="2076"/>
    </row>
    <row r="82" s="2075" customFormat="1" spans="1:9">
      <c r="A82" s="2082" t="s">
        <v>494</v>
      </c>
      <c r="B82" s="2082" t="s">
        <v>315</v>
      </c>
      <c r="C82" s="2082" t="s">
        <v>316</v>
      </c>
      <c r="D82" s="2082" t="s">
        <v>495</v>
      </c>
      <c r="E82" s="2080"/>
      <c r="F82" s="2080"/>
      <c r="G82" s="2080"/>
      <c r="H82" s="2080"/>
      <c r="I82" s="2076"/>
    </row>
    <row r="83" s="2075" customFormat="1" spans="1:9">
      <c r="A83" s="2092"/>
      <c r="B83" s="2085"/>
      <c r="C83" s="2085"/>
      <c r="D83" s="2092"/>
      <c r="E83" s="2080"/>
      <c r="F83" s="2080"/>
      <c r="G83" s="2080"/>
      <c r="H83" s="2080"/>
      <c r="I83" s="2118" t="s">
        <v>1031</v>
      </c>
    </row>
    <row r="84" s="2075" customFormat="1" spans="1:9">
      <c r="A84" s="2092"/>
      <c r="B84" s="2085"/>
      <c r="C84" s="2085"/>
      <c r="D84" s="2092"/>
      <c r="E84" s="2080"/>
      <c r="F84" s="2080"/>
      <c r="G84" s="2080"/>
      <c r="H84" s="2080"/>
      <c r="I84" s="2118" t="s">
        <v>1031</v>
      </c>
    </row>
    <row r="85" s="2075" customFormat="1" spans="1:9">
      <c r="A85" s="2092"/>
      <c r="B85" s="2085"/>
      <c r="C85" s="2085"/>
      <c r="D85" s="2092"/>
      <c r="E85" s="2080"/>
      <c r="F85" s="2080"/>
      <c r="G85" s="2080"/>
      <c r="H85" s="2080"/>
      <c r="I85" s="2118" t="s">
        <v>1031</v>
      </c>
    </row>
    <row r="86" s="2075" customFormat="1" spans="1:9">
      <c r="A86" s="2092"/>
      <c r="B86" s="2085"/>
      <c r="C86" s="2085"/>
      <c r="D86" s="2092"/>
      <c r="E86" s="2080"/>
      <c r="F86" s="2080"/>
      <c r="G86" s="2080"/>
      <c r="H86" s="2080"/>
      <c r="I86" s="2118" t="s">
        <v>1031</v>
      </c>
    </row>
    <row r="87" s="2075" customFormat="1" spans="1:9">
      <c r="A87" s="2092"/>
      <c r="B87" s="2085"/>
      <c r="C87" s="2085"/>
      <c r="D87" s="2092"/>
      <c r="E87" s="2080"/>
      <c r="F87" s="2080"/>
      <c r="G87" s="2080"/>
      <c r="H87" s="2080"/>
      <c r="I87" s="2118" t="s">
        <v>1031</v>
      </c>
    </row>
    <row r="88" s="2075" customFormat="1" spans="1:9">
      <c r="A88" s="2092"/>
      <c r="B88" s="2085"/>
      <c r="C88" s="2085"/>
      <c r="D88" s="2092"/>
      <c r="E88" s="2080"/>
      <c r="F88" s="2080"/>
      <c r="G88" s="2080"/>
      <c r="H88" s="2080"/>
      <c r="I88" s="2118" t="s">
        <v>1031</v>
      </c>
    </row>
    <row r="89" s="2075" customFormat="1" spans="1:9">
      <c r="A89" s="2092"/>
      <c r="B89" s="2085"/>
      <c r="C89" s="2085"/>
      <c r="D89" s="2092"/>
      <c r="E89" s="2080"/>
      <c r="F89" s="2080"/>
      <c r="G89" s="2080"/>
      <c r="H89" s="2080"/>
      <c r="I89" s="2118" t="s">
        <v>1031</v>
      </c>
    </row>
    <row r="90" s="2075" customFormat="1" spans="1:9">
      <c r="A90" s="2092"/>
      <c r="B90" s="2085"/>
      <c r="C90" s="2085"/>
      <c r="D90" s="2092"/>
      <c r="E90" s="2080"/>
      <c r="F90" s="2080"/>
      <c r="G90" s="2080"/>
      <c r="H90" s="2080"/>
      <c r="I90" s="2118" t="s">
        <v>1031</v>
      </c>
    </row>
    <row r="91" s="2075" customFormat="1" spans="1:9">
      <c r="A91" s="2092"/>
      <c r="B91" s="2085"/>
      <c r="C91" s="2085"/>
      <c r="D91" s="2092"/>
      <c r="E91" s="2080"/>
      <c r="F91" s="2080"/>
      <c r="G91" s="2080"/>
      <c r="H91" s="2080"/>
      <c r="I91" s="2118" t="s">
        <v>1031</v>
      </c>
    </row>
    <row r="92" s="2075" customFormat="1" spans="1:9">
      <c r="A92" s="2092"/>
      <c r="B92" s="2085"/>
      <c r="C92" s="2085"/>
      <c r="D92" s="2092"/>
      <c r="E92" s="2080"/>
      <c r="F92" s="2080"/>
      <c r="G92" s="2080"/>
      <c r="H92" s="2080"/>
      <c r="I92" s="2118" t="s">
        <v>1031</v>
      </c>
    </row>
    <row r="93" s="2075" customFormat="1" spans="1:9">
      <c r="A93" s="2082" t="s">
        <v>384</v>
      </c>
      <c r="B93" s="2048">
        <f>ROUND(SUM(B83:B92),2)</f>
        <v>0</v>
      </c>
      <c r="C93" s="2048">
        <f>ROUND(SUM(C83:C92),2)</f>
        <v>0</v>
      </c>
      <c r="D93" s="2048"/>
      <c r="E93" s="2080"/>
      <c r="F93" s="2080"/>
      <c r="G93" s="2080"/>
      <c r="H93" s="2080"/>
      <c r="I93" s="2118" t="s">
        <v>1032</v>
      </c>
    </row>
    <row r="94" s="2075" customFormat="1" spans="1:9">
      <c r="A94" s="2103"/>
      <c r="B94" s="2080"/>
      <c r="C94" s="2080"/>
      <c r="D94" s="2080"/>
      <c r="E94" s="2080"/>
      <c r="F94" s="2080"/>
      <c r="G94" s="2080"/>
      <c r="H94" s="2080"/>
      <c r="I94" s="2076"/>
    </row>
    <row r="95" s="2075" customFormat="1" spans="1:9">
      <c r="A95" s="2081" t="s">
        <v>1033</v>
      </c>
      <c r="B95" s="2080"/>
      <c r="C95" s="2080"/>
      <c r="D95" s="2080"/>
      <c r="E95" s="2080"/>
      <c r="F95" s="2080"/>
      <c r="G95" s="2080"/>
      <c r="H95" s="2080"/>
      <c r="I95" s="2076"/>
    </row>
    <row r="96" s="2075" customFormat="1" spans="1:9">
      <c r="A96" s="2082" t="s">
        <v>568</v>
      </c>
      <c r="B96" s="2082" t="s">
        <v>315</v>
      </c>
      <c r="C96" s="2082" t="s">
        <v>316</v>
      </c>
      <c r="D96" s="2082" t="s">
        <v>495</v>
      </c>
      <c r="E96" s="2080"/>
      <c r="F96" s="2080"/>
      <c r="G96" s="2080"/>
      <c r="H96" s="2080"/>
      <c r="I96" s="2076"/>
    </row>
    <row r="97" s="2075" customFormat="1" spans="1:9">
      <c r="A97" s="2092"/>
      <c r="B97" s="2085"/>
      <c r="C97" s="2085"/>
      <c r="D97" s="2092"/>
      <c r="E97" s="2080"/>
      <c r="F97" s="2080"/>
      <c r="G97" s="2080"/>
      <c r="H97" s="2080"/>
      <c r="I97" s="2118" t="s">
        <v>1034</v>
      </c>
    </row>
    <row r="98" s="2075" customFormat="1" spans="1:9">
      <c r="A98" s="2092"/>
      <c r="B98" s="2085"/>
      <c r="C98" s="2085"/>
      <c r="D98" s="2092"/>
      <c r="E98" s="2080"/>
      <c r="F98" s="2080"/>
      <c r="G98" s="2080"/>
      <c r="H98" s="2080"/>
      <c r="I98" s="2118" t="s">
        <v>1034</v>
      </c>
    </row>
    <row r="99" s="2075" customFormat="1" spans="1:9">
      <c r="A99" s="2092"/>
      <c r="B99" s="2085"/>
      <c r="C99" s="2085"/>
      <c r="D99" s="2092"/>
      <c r="E99" s="2080"/>
      <c r="F99" s="2080"/>
      <c r="G99" s="2080"/>
      <c r="H99" s="2080"/>
      <c r="I99" s="2118" t="s">
        <v>1034</v>
      </c>
    </row>
    <row r="100" s="2075" customFormat="1" spans="1:9">
      <c r="A100" s="2092"/>
      <c r="B100" s="2085"/>
      <c r="C100" s="2085"/>
      <c r="D100" s="2092"/>
      <c r="E100" s="2080"/>
      <c r="F100" s="2080"/>
      <c r="G100" s="2080"/>
      <c r="H100" s="2080"/>
      <c r="I100" s="2118" t="s">
        <v>1034</v>
      </c>
    </row>
    <row r="101" s="2075" customFormat="1" spans="1:9">
      <c r="A101" s="2092"/>
      <c r="B101" s="2085"/>
      <c r="C101" s="2085"/>
      <c r="D101" s="2092"/>
      <c r="E101" s="2080"/>
      <c r="F101" s="2080"/>
      <c r="G101" s="2080"/>
      <c r="H101" s="2080"/>
      <c r="I101" s="2118" t="s">
        <v>1034</v>
      </c>
    </row>
    <row r="102" s="2075" customFormat="1" spans="1:9">
      <c r="A102" s="2092"/>
      <c r="B102" s="2085"/>
      <c r="C102" s="2085"/>
      <c r="D102" s="2092"/>
      <c r="E102" s="2080"/>
      <c r="F102" s="2080"/>
      <c r="G102" s="2080"/>
      <c r="H102" s="2080"/>
      <c r="I102" s="2118" t="s">
        <v>1034</v>
      </c>
    </row>
    <row r="103" s="2075" customFormat="1" spans="1:9">
      <c r="A103" s="2092"/>
      <c r="B103" s="2085"/>
      <c r="C103" s="2085"/>
      <c r="D103" s="2092"/>
      <c r="E103" s="2080"/>
      <c r="F103" s="2080"/>
      <c r="G103" s="2080"/>
      <c r="H103" s="2080"/>
      <c r="I103" s="2118" t="s">
        <v>1034</v>
      </c>
    </row>
    <row r="104" s="2075" customFormat="1" spans="1:9">
      <c r="A104" s="2092"/>
      <c r="B104" s="2085"/>
      <c r="C104" s="2085"/>
      <c r="D104" s="2092"/>
      <c r="E104" s="2080"/>
      <c r="F104" s="2080"/>
      <c r="G104" s="2080"/>
      <c r="H104" s="2080"/>
      <c r="I104" s="2118" t="s">
        <v>1034</v>
      </c>
    </row>
    <row r="105" s="2075" customFormat="1" spans="1:9">
      <c r="A105" s="2092"/>
      <c r="B105" s="2085"/>
      <c r="C105" s="2085"/>
      <c r="D105" s="2092"/>
      <c r="E105" s="2080"/>
      <c r="F105" s="2080"/>
      <c r="G105" s="2080"/>
      <c r="H105" s="2080"/>
      <c r="I105" s="2118" t="s">
        <v>1034</v>
      </c>
    </row>
    <row r="106" s="2075" customFormat="1" spans="1:9">
      <c r="A106" s="2092"/>
      <c r="B106" s="2085"/>
      <c r="C106" s="2085"/>
      <c r="D106" s="2092"/>
      <c r="E106" s="2080"/>
      <c r="F106" s="2080"/>
      <c r="G106" s="2080"/>
      <c r="H106" s="2080"/>
      <c r="I106" s="2118" t="s">
        <v>1034</v>
      </c>
    </row>
    <row r="107" s="2075" customFormat="1" spans="1:9">
      <c r="A107" s="2082" t="s">
        <v>384</v>
      </c>
      <c r="B107" s="2048">
        <f>ROUND(SUM(B97:B106),2)</f>
        <v>0</v>
      </c>
      <c r="C107" s="2048">
        <f>ROUND(SUM(C97:C106),2)</f>
        <v>0</v>
      </c>
      <c r="D107" s="2048"/>
      <c r="E107" s="2080"/>
      <c r="F107" s="2080"/>
      <c r="G107" s="2080"/>
      <c r="H107" s="2080"/>
      <c r="I107" s="2118" t="s">
        <v>1035</v>
      </c>
    </row>
    <row r="108" s="2075" customFormat="1" spans="1:9">
      <c r="A108" s="2103"/>
      <c r="B108" s="2080"/>
      <c r="C108" s="2080"/>
      <c r="D108" s="2080"/>
      <c r="E108" s="2080"/>
      <c r="F108" s="2080"/>
      <c r="G108" s="2080"/>
      <c r="H108" s="2080"/>
      <c r="I108" s="2076"/>
    </row>
    <row r="109" s="2075" customFormat="1" spans="1:9">
      <c r="A109" s="2103"/>
      <c r="B109" s="2080"/>
      <c r="C109" s="2080"/>
      <c r="D109" s="2080"/>
      <c r="E109" s="2080"/>
      <c r="F109" s="2080"/>
      <c r="G109" s="2080"/>
      <c r="H109" s="2080"/>
      <c r="I109" s="2076"/>
    </row>
    <row r="110" s="2075" customFormat="1" spans="1:9">
      <c r="A110" s="2079" t="s">
        <v>1036</v>
      </c>
      <c r="B110" s="2080"/>
      <c r="C110" s="2080"/>
      <c r="D110" s="2080"/>
      <c r="E110" s="2080"/>
      <c r="F110" s="2080"/>
      <c r="G110" s="2080"/>
      <c r="H110" s="2080"/>
      <c r="I110" s="2076"/>
    </row>
    <row r="111" s="2075" customFormat="1" spans="1:9">
      <c r="A111" s="2081" t="s">
        <v>1037</v>
      </c>
      <c r="B111" s="2080"/>
      <c r="C111" s="2080"/>
      <c r="D111" s="2080"/>
      <c r="E111" s="2080"/>
      <c r="F111" s="2080"/>
      <c r="G111" s="2080"/>
      <c r="H111" s="2080"/>
      <c r="I111" s="2076"/>
    </row>
    <row r="112" s="2075" customFormat="1" spans="1:9">
      <c r="A112" s="2089" t="s">
        <v>442</v>
      </c>
      <c r="B112" s="2114" t="s">
        <v>315</v>
      </c>
      <c r="C112" s="2115"/>
      <c r="D112" s="2082" t="s">
        <v>316</v>
      </c>
      <c r="E112" s="2083"/>
      <c r="F112" s="2080"/>
      <c r="G112" s="2080"/>
      <c r="H112" s="2080"/>
      <c r="I112" s="2076"/>
    </row>
    <row r="113" s="2075" customFormat="1" spans="1:9">
      <c r="A113" s="2116"/>
      <c r="B113" s="2082" t="s">
        <v>443</v>
      </c>
      <c r="C113" s="2082" t="s">
        <v>444</v>
      </c>
      <c r="D113" s="2082" t="s">
        <v>443</v>
      </c>
      <c r="E113" s="2082" t="s">
        <v>444</v>
      </c>
      <c r="F113" s="2080"/>
      <c r="G113" s="2080"/>
      <c r="H113" s="2080"/>
      <c r="I113" s="2076"/>
    </row>
    <row r="114" s="2075" customFormat="1" spans="1:9">
      <c r="A114" s="2087" t="s">
        <v>447</v>
      </c>
      <c r="B114" s="2085"/>
      <c r="C114" s="2117">
        <f>IF(B114=0,0,1-C115-C116-C117)</f>
        <v>0</v>
      </c>
      <c r="D114" s="2085"/>
      <c r="E114" s="2117">
        <f>IF(D114=0,0,1-E115-E116-E117)</f>
        <v>0</v>
      </c>
      <c r="F114" s="2080"/>
      <c r="G114" s="2080"/>
      <c r="H114" s="2080"/>
      <c r="I114" s="2118" t="s">
        <v>1038</v>
      </c>
    </row>
    <row r="115" s="2075" customFormat="1" spans="1:9">
      <c r="A115" s="2087" t="s">
        <v>449</v>
      </c>
      <c r="B115" s="2085"/>
      <c r="C115" s="2117">
        <f>IF(B115=0,0,IF(B114=0,ROUND(1-C116-C117,4),ROUND(B115/B118,4)))</f>
        <v>0</v>
      </c>
      <c r="D115" s="2085"/>
      <c r="E115" s="2117">
        <f>IF(D115=0,0,IF(D114=0,ROUND(1-E116-E117,4),ROUND(D115/D118,4)))</f>
        <v>0</v>
      </c>
      <c r="F115" s="2080"/>
      <c r="G115" s="2080"/>
      <c r="H115" s="2080"/>
      <c r="I115" s="2118" t="s">
        <v>1039</v>
      </c>
    </row>
    <row r="116" s="2075" customFormat="1" spans="1:9">
      <c r="A116" s="2087" t="s">
        <v>451</v>
      </c>
      <c r="B116" s="2085"/>
      <c r="C116" s="2117">
        <f>IF(B116=0,0,IF(AND(B114=0,B115=0),ROUND(1-C117,4),ROUND(B116/B118,4)))</f>
        <v>0</v>
      </c>
      <c r="D116" s="2085"/>
      <c r="E116" s="2117">
        <f>IF(D116=0,0,IF(AND(D114=0,D115=0),ROUND(1-E117,4),ROUND(D116/D118,4)))</f>
        <v>0</v>
      </c>
      <c r="F116" s="2080"/>
      <c r="G116" s="2080"/>
      <c r="H116" s="2080"/>
      <c r="I116" s="2118" t="s">
        <v>1040</v>
      </c>
    </row>
    <row r="117" s="2075" customFormat="1" spans="1:9">
      <c r="A117" s="2087" t="s">
        <v>556</v>
      </c>
      <c r="B117" s="2085"/>
      <c r="C117" s="2117">
        <f>IF(B117=0,0,ROUND(B117/B118,4))</f>
        <v>0</v>
      </c>
      <c r="D117" s="2085"/>
      <c r="E117" s="2117">
        <f>IF(D117=0,0,ROUND(D117/D118,4))</f>
        <v>0</v>
      </c>
      <c r="F117" s="2080"/>
      <c r="G117" s="2080"/>
      <c r="H117" s="2080"/>
      <c r="I117" s="2118" t="s">
        <v>1041</v>
      </c>
    </row>
    <row r="118" s="2075" customFormat="1" spans="1:9">
      <c r="A118" s="2082" t="s">
        <v>384</v>
      </c>
      <c r="B118" s="2048">
        <f>ROUND(SUM(B114:B117),2)</f>
        <v>0</v>
      </c>
      <c r="C118" s="2093">
        <f>IF(B118=0,0,1)</f>
        <v>0</v>
      </c>
      <c r="D118" s="2048">
        <f>ROUND(SUM(D114:D117),2)</f>
        <v>0</v>
      </c>
      <c r="E118" s="2093">
        <f>IF(D118=0,0,1)</f>
        <v>0</v>
      </c>
      <c r="F118" s="2080"/>
      <c r="G118" s="2080"/>
      <c r="H118" s="2080"/>
      <c r="I118" s="2118" t="s">
        <v>1042</v>
      </c>
    </row>
    <row r="119" s="2075" customFormat="1" spans="1:9">
      <c r="A119" s="2103"/>
      <c r="B119" s="2080"/>
      <c r="C119" s="2080"/>
      <c r="D119" s="2080"/>
      <c r="E119" s="2080"/>
      <c r="F119" s="2080"/>
      <c r="G119" s="2080"/>
      <c r="H119" s="2080"/>
      <c r="I119" s="2076"/>
    </row>
    <row r="120" s="2075" customFormat="1" spans="1:9">
      <c r="A120" s="2081" t="s">
        <v>1043</v>
      </c>
      <c r="B120" s="2080"/>
      <c r="C120" s="2080"/>
      <c r="D120" s="2080"/>
      <c r="E120" s="2080"/>
      <c r="F120" s="2080"/>
      <c r="G120" s="2080"/>
      <c r="H120" s="2080"/>
      <c r="I120" s="2076"/>
    </row>
    <row r="121" s="2075" customFormat="1" spans="1:9">
      <c r="A121" s="2082" t="s">
        <v>372</v>
      </c>
      <c r="B121" s="2082" t="s">
        <v>315</v>
      </c>
      <c r="C121" s="2082" t="s">
        <v>495</v>
      </c>
      <c r="D121" s="2082" t="s">
        <v>1027</v>
      </c>
      <c r="E121" s="2080"/>
      <c r="F121" s="2080"/>
      <c r="G121" s="2080"/>
      <c r="H121" s="2080"/>
      <c r="I121" s="2076"/>
    </row>
    <row r="122" s="2075" customFormat="1" spans="1:9">
      <c r="A122" s="2092"/>
      <c r="B122" s="2085"/>
      <c r="C122" s="2092"/>
      <c r="D122" s="2092"/>
      <c r="E122" s="2080"/>
      <c r="F122" s="2080"/>
      <c r="G122" s="2080"/>
      <c r="H122" s="2080"/>
      <c r="I122" s="2118" t="s">
        <v>1044</v>
      </c>
    </row>
    <row r="123" s="2075" customFormat="1" spans="1:9">
      <c r="A123" s="2092"/>
      <c r="B123" s="2085"/>
      <c r="C123" s="2092"/>
      <c r="D123" s="2092"/>
      <c r="E123" s="2080"/>
      <c r="F123" s="2080"/>
      <c r="G123" s="2080"/>
      <c r="H123" s="2080"/>
      <c r="I123" s="2118" t="s">
        <v>1044</v>
      </c>
    </row>
    <row r="124" s="2075" customFormat="1" spans="1:9">
      <c r="A124" s="2092"/>
      <c r="B124" s="2085"/>
      <c r="C124" s="2092"/>
      <c r="D124" s="2092"/>
      <c r="E124" s="2080"/>
      <c r="F124" s="2080"/>
      <c r="G124" s="2080"/>
      <c r="H124" s="2080"/>
      <c r="I124" s="2118" t="s">
        <v>1044</v>
      </c>
    </row>
    <row r="125" s="2075" customFormat="1" spans="1:9">
      <c r="A125" s="2092"/>
      <c r="B125" s="2085"/>
      <c r="C125" s="2092"/>
      <c r="D125" s="2092"/>
      <c r="E125" s="2080"/>
      <c r="F125" s="2080"/>
      <c r="G125" s="2080"/>
      <c r="H125" s="2080"/>
      <c r="I125" s="2118" t="s">
        <v>1044</v>
      </c>
    </row>
    <row r="126" s="2075" customFormat="1" spans="1:9">
      <c r="A126" s="2092"/>
      <c r="B126" s="2085"/>
      <c r="C126" s="2092"/>
      <c r="D126" s="2092"/>
      <c r="E126" s="2080"/>
      <c r="F126" s="2080"/>
      <c r="G126" s="2080"/>
      <c r="H126" s="2080"/>
      <c r="I126" s="2118" t="s">
        <v>1044</v>
      </c>
    </row>
    <row r="127" s="2075" customFormat="1" spans="1:9">
      <c r="A127" s="2092"/>
      <c r="B127" s="2085"/>
      <c r="C127" s="2092"/>
      <c r="D127" s="2092"/>
      <c r="E127" s="2080"/>
      <c r="F127" s="2080"/>
      <c r="G127" s="2080"/>
      <c r="H127" s="2080"/>
      <c r="I127" s="2118" t="s">
        <v>1044</v>
      </c>
    </row>
    <row r="128" s="2075" customFormat="1" spans="1:9">
      <c r="A128" s="2092"/>
      <c r="B128" s="2085"/>
      <c r="C128" s="2092"/>
      <c r="D128" s="2092"/>
      <c r="E128" s="2080"/>
      <c r="F128" s="2080"/>
      <c r="G128" s="2080"/>
      <c r="H128" s="2080"/>
      <c r="I128" s="2118" t="s">
        <v>1044</v>
      </c>
    </row>
    <row r="129" s="2075" customFormat="1" spans="1:9">
      <c r="A129" s="2092"/>
      <c r="B129" s="2085"/>
      <c r="C129" s="2092"/>
      <c r="D129" s="2092"/>
      <c r="E129" s="2080"/>
      <c r="F129" s="2080"/>
      <c r="G129" s="2080"/>
      <c r="H129" s="2080"/>
      <c r="I129" s="2118" t="s">
        <v>1044</v>
      </c>
    </row>
    <row r="130" s="2075" customFormat="1" spans="1:9">
      <c r="A130" s="2092"/>
      <c r="B130" s="2085"/>
      <c r="C130" s="2092"/>
      <c r="D130" s="2092"/>
      <c r="E130" s="2080"/>
      <c r="F130" s="2080"/>
      <c r="G130" s="2080"/>
      <c r="H130" s="2080"/>
      <c r="I130" s="2118" t="s">
        <v>1044</v>
      </c>
    </row>
    <row r="131" s="2075" customFormat="1" spans="1:9">
      <c r="A131" s="2092"/>
      <c r="B131" s="2085"/>
      <c r="C131" s="2092"/>
      <c r="D131" s="2092"/>
      <c r="E131" s="2080"/>
      <c r="F131" s="2080"/>
      <c r="G131" s="2080"/>
      <c r="H131" s="2080"/>
      <c r="I131" s="2118" t="s">
        <v>1044</v>
      </c>
    </row>
    <row r="132" s="2075" customFormat="1" spans="1:9">
      <c r="A132" s="2082" t="s">
        <v>384</v>
      </c>
      <c r="B132" s="2048">
        <f>ROUND(SUM(B122:B131),2)</f>
        <v>0</v>
      </c>
      <c r="C132" s="2048"/>
      <c r="D132" s="2048"/>
      <c r="E132" s="2080"/>
      <c r="F132" s="2080"/>
      <c r="G132" s="2080"/>
      <c r="H132" s="2080"/>
      <c r="I132" s="2118" t="s">
        <v>1045</v>
      </c>
    </row>
    <row r="133" s="2075" customFormat="1" spans="1:9">
      <c r="A133" s="2103"/>
      <c r="B133" s="2080"/>
      <c r="C133" s="2080"/>
      <c r="D133" s="2080"/>
      <c r="E133" s="2080"/>
      <c r="F133" s="2080"/>
      <c r="G133" s="2080"/>
      <c r="H133" s="2080"/>
      <c r="I133" s="2076"/>
    </row>
    <row r="134" s="2075" customFormat="1" spans="1:9">
      <c r="A134" s="2096" t="s">
        <v>1030</v>
      </c>
      <c r="B134" s="2080"/>
      <c r="C134" s="2080"/>
      <c r="D134" s="2080"/>
      <c r="E134" s="2080"/>
      <c r="F134" s="2080"/>
      <c r="G134" s="2080"/>
      <c r="H134" s="2080"/>
      <c r="I134" s="2076"/>
    </row>
    <row r="135" s="2075" customFormat="1" spans="1:9">
      <c r="A135" s="2082" t="s">
        <v>494</v>
      </c>
      <c r="B135" s="2082" t="s">
        <v>315</v>
      </c>
      <c r="C135" s="2082" t="s">
        <v>316</v>
      </c>
      <c r="D135" s="2082" t="s">
        <v>495</v>
      </c>
      <c r="E135" s="2080"/>
      <c r="F135" s="2080"/>
      <c r="G135" s="2080"/>
      <c r="H135" s="2080"/>
      <c r="I135" s="2076"/>
    </row>
    <row r="136" s="2075" customFormat="1" spans="1:9">
      <c r="A136" s="2092"/>
      <c r="B136" s="2085"/>
      <c r="C136" s="2085"/>
      <c r="D136" s="2092"/>
      <c r="E136" s="2080"/>
      <c r="F136" s="2080"/>
      <c r="G136" s="2080"/>
      <c r="H136" s="2080"/>
      <c r="I136" s="2118" t="s">
        <v>1046</v>
      </c>
    </row>
    <row r="137" s="2075" customFormat="1" spans="1:9">
      <c r="A137" s="2092"/>
      <c r="B137" s="2085"/>
      <c r="C137" s="2085"/>
      <c r="D137" s="2092"/>
      <c r="E137" s="2080"/>
      <c r="F137" s="2080"/>
      <c r="G137" s="2080"/>
      <c r="H137" s="2080"/>
      <c r="I137" s="2118" t="s">
        <v>1046</v>
      </c>
    </row>
    <row r="138" s="2075" customFormat="1" spans="1:9">
      <c r="A138" s="2092"/>
      <c r="B138" s="2085"/>
      <c r="C138" s="2085"/>
      <c r="D138" s="2092"/>
      <c r="E138" s="2080"/>
      <c r="F138" s="2080"/>
      <c r="G138" s="2080"/>
      <c r="H138" s="2080"/>
      <c r="I138" s="2118" t="s">
        <v>1046</v>
      </c>
    </row>
    <row r="139" s="2075" customFormat="1" spans="1:9">
      <c r="A139" s="2092"/>
      <c r="B139" s="2085"/>
      <c r="C139" s="2085"/>
      <c r="D139" s="2092"/>
      <c r="E139" s="2080"/>
      <c r="F139" s="2080"/>
      <c r="G139" s="2080"/>
      <c r="H139" s="2080"/>
      <c r="I139" s="2118" t="s">
        <v>1046</v>
      </c>
    </row>
    <row r="140" s="2075" customFormat="1" spans="1:9">
      <c r="A140" s="2092"/>
      <c r="B140" s="2085"/>
      <c r="C140" s="2085"/>
      <c r="D140" s="2092"/>
      <c r="E140" s="2080"/>
      <c r="F140" s="2080"/>
      <c r="G140" s="2080"/>
      <c r="H140" s="2080"/>
      <c r="I140" s="2118" t="s">
        <v>1046</v>
      </c>
    </row>
    <row r="141" s="2075" customFormat="1" spans="1:9">
      <c r="A141" s="2092"/>
      <c r="B141" s="2085"/>
      <c r="C141" s="2085"/>
      <c r="D141" s="2092"/>
      <c r="E141" s="2080"/>
      <c r="F141" s="2080"/>
      <c r="G141" s="2080"/>
      <c r="H141" s="2080"/>
      <c r="I141" s="2118" t="s">
        <v>1046</v>
      </c>
    </row>
    <row r="142" s="2075" customFormat="1" spans="1:9">
      <c r="A142" s="2092"/>
      <c r="B142" s="2085"/>
      <c r="C142" s="2085"/>
      <c r="D142" s="2092"/>
      <c r="E142" s="2080"/>
      <c r="F142" s="2080"/>
      <c r="G142" s="2080"/>
      <c r="H142" s="2080"/>
      <c r="I142" s="2118" t="s">
        <v>1046</v>
      </c>
    </row>
    <row r="143" s="2075" customFormat="1" spans="1:9">
      <c r="A143" s="2092"/>
      <c r="B143" s="2085"/>
      <c r="C143" s="2085"/>
      <c r="D143" s="2092"/>
      <c r="E143" s="2080"/>
      <c r="F143" s="2080"/>
      <c r="G143" s="2080"/>
      <c r="H143" s="2080"/>
      <c r="I143" s="2118" t="s">
        <v>1046</v>
      </c>
    </row>
    <row r="144" s="2075" customFormat="1" spans="1:9">
      <c r="A144" s="2092"/>
      <c r="B144" s="2085"/>
      <c r="C144" s="2085"/>
      <c r="D144" s="2092"/>
      <c r="E144" s="2080"/>
      <c r="F144" s="2080"/>
      <c r="G144" s="2080"/>
      <c r="H144" s="2080"/>
      <c r="I144" s="2118" t="s">
        <v>1046</v>
      </c>
    </row>
    <row r="145" s="2075" customFormat="1" spans="1:9">
      <c r="A145" s="2092"/>
      <c r="B145" s="2085"/>
      <c r="C145" s="2085"/>
      <c r="D145" s="2092"/>
      <c r="E145" s="2080"/>
      <c r="F145" s="2080"/>
      <c r="G145" s="2080"/>
      <c r="H145" s="2080"/>
      <c r="I145" s="2118" t="s">
        <v>1046</v>
      </c>
    </row>
    <row r="146" s="2075" customFormat="1" spans="1:9">
      <c r="A146" s="2082" t="s">
        <v>384</v>
      </c>
      <c r="B146" s="2048">
        <f>ROUND(SUM(B136:B145),2)</f>
        <v>0</v>
      </c>
      <c r="C146" s="2048">
        <f>ROUND(SUM(C136:C145),2)</f>
        <v>0</v>
      </c>
      <c r="D146" s="2048"/>
      <c r="E146" s="2080"/>
      <c r="F146" s="2080"/>
      <c r="G146" s="2080"/>
      <c r="H146" s="2080"/>
      <c r="I146" s="2118" t="s">
        <v>1047</v>
      </c>
    </row>
    <row r="147" s="2075" customFormat="1" spans="1:9">
      <c r="A147" s="2103"/>
      <c r="B147" s="2080"/>
      <c r="C147" s="2080"/>
      <c r="D147" s="2080"/>
      <c r="E147" s="2080"/>
      <c r="F147" s="2080"/>
      <c r="G147" s="2080"/>
      <c r="H147" s="2080"/>
      <c r="I147" s="2076"/>
    </row>
    <row r="148" s="2075" customFormat="1" spans="1:9">
      <c r="A148" s="2081" t="s">
        <v>1033</v>
      </c>
      <c r="B148" s="2080"/>
      <c r="C148" s="2080"/>
      <c r="D148" s="2080"/>
      <c r="E148" s="2080"/>
      <c r="F148" s="2080"/>
      <c r="G148" s="2080"/>
      <c r="H148" s="2080"/>
      <c r="I148" s="2076"/>
    </row>
    <row r="149" s="2075" customFormat="1" spans="1:9">
      <c r="A149" s="2082" t="s">
        <v>568</v>
      </c>
      <c r="B149" s="2082" t="s">
        <v>315</v>
      </c>
      <c r="C149" s="2082" t="s">
        <v>316</v>
      </c>
      <c r="D149" s="2082" t="s">
        <v>495</v>
      </c>
      <c r="E149" s="2080"/>
      <c r="F149" s="2080"/>
      <c r="G149" s="2080"/>
      <c r="H149" s="2080"/>
      <c r="I149" s="2076"/>
    </row>
    <row r="150" s="2075" customFormat="1" spans="1:9">
      <c r="A150" s="2092"/>
      <c r="B150" s="2085"/>
      <c r="C150" s="2085"/>
      <c r="D150" s="2092"/>
      <c r="E150" s="2080"/>
      <c r="F150" s="2080"/>
      <c r="G150" s="2080"/>
      <c r="H150" s="2080"/>
      <c r="I150" s="2118" t="s">
        <v>1048</v>
      </c>
    </row>
    <row r="151" s="2075" customFormat="1" spans="1:9">
      <c r="A151" s="2092"/>
      <c r="B151" s="2085"/>
      <c r="C151" s="2085"/>
      <c r="D151" s="2092"/>
      <c r="E151" s="2080"/>
      <c r="F151" s="2080"/>
      <c r="G151" s="2080"/>
      <c r="H151" s="2080"/>
      <c r="I151" s="2118" t="s">
        <v>1048</v>
      </c>
    </row>
    <row r="152" s="2075" customFormat="1" spans="1:9">
      <c r="A152" s="2092"/>
      <c r="B152" s="2085"/>
      <c r="C152" s="2085"/>
      <c r="D152" s="2092"/>
      <c r="E152" s="2080"/>
      <c r="F152" s="2080"/>
      <c r="G152" s="2080"/>
      <c r="H152" s="2080"/>
      <c r="I152" s="2118" t="s">
        <v>1048</v>
      </c>
    </row>
    <row r="153" s="2075" customFormat="1" spans="1:9">
      <c r="A153" s="2092"/>
      <c r="B153" s="2085"/>
      <c r="C153" s="2085"/>
      <c r="D153" s="2092"/>
      <c r="E153" s="2080"/>
      <c r="F153" s="2080"/>
      <c r="G153" s="2080"/>
      <c r="H153" s="2080"/>
      <c r="I153" s="2118" t="s">
        <v>1048</v>
      </c>
    </row>
    <row r="154" s="2075" customFormat="1" spans="1:9">
      <c r="A154" s="2092"/>
      <c r="B154" s="2085"/>
      <c r="C154" s="2085"/>
      <c r="D154" s="2092"/>
      <c r="E154" s="2080"/>
      <c r="F154" s="2080"/>
      <c r="G154" s="2080"/>
      <c r="H154" s="2080"/>
      <c r="I154" s="2118" t="s">
        <v>1048</v>
      </c>
    </row>
    <row r="155" s="2075" customFormat="1" spans="1:9">
      <c r="A155" s="2092"/>
      <c r="B155" s="2085"/>
      <c r="C155" s="2085"/>
      <c r="D155" s="2092"/>
      <c r="E155" s="2080"/>
      <c r="F155" s="2080"/>
      <c r="G155" s="2080"/>
      <c r="H155" s="2080"/>
      <c r="I155" s="2118" t="s">
        <v>1048</v>
      </c>
    </row>
    <row r="156" s="2075" customFormat="1" spans="1:9">
      <c r="A156" s="2092"/>
      <c r="B156" s="2085"/>
      <c r="C156" s="2085"/>
      <c r="D156" s="2092"/>
      <c r="E156" s="2080"/>
      <c r="F156" s="2080"/>
      <c r="G156" s="2080"/>
      <c r="H156" s="2080"/>
      <c r="I156" s="2118" t="s">
        <v>1048</v>
      </c>
    </row>
    <row r="157" s="2075" customFormat="1" spans="1:9">
      <c r="A157" s="2092"/>
      <c r="B157" s="2085"/>
      <c r="C157" s="2085"/>
      <c r="D157" s="2092"/>
      <c r="E157" s="2080"/>
      <c r="F157" s="2080"/>
      <c r="G157" s="2080"/>
      <c r="H157" s="2080"/>
      <c r="I157" s="2118" t="s">
        <v>1048</v>
      </c>
    </row>
    <row r="158" s="2075" customFormat="1" spans="1:9">
      <c r="A158" s="2092"/>
      <c r="B158" s="2085"/>
      <c r="C158" s="2085"/>
      <c r="D158" s="2092"/>
      <c r="E158" s="2080"/>
      <c r="F158" s="2080"/>
      <c r="G158" s="2080"/>
      <c r="H158" s="2080"/>
      <c r="I158" s="2118" t="s">
        <v>1048</v>
      </c>
    </row>
    <row r="159" s="2075" customFormat="1" spans="1:9">
      <c r="A159" s="2092"/>
      <c r="B159" s="2085"/>
      <c r="C159" s="2085"/>
      <c r="D159" s="2092"/>
      <c r="E159" s="2080"/>
      <c r="F159" s="2080"/>
      <c r="G159" s="2080"/>
      <c r="H159" s="2080"/>
      <c r="I159" s="2118" t="s">
        <v>1048</v>
      </c>
    </row>
    <row r="160" s="2075" customFormat="1" spans="1:9">
      <c r="A160" s="2082" t="s">
        <v>384</v>
      </c>
      <c r="B160" s="2048">
        <f>ROUND(SUM(B150:B159),2)</f>
        <v>0</v>
      </c>
      <c r="C160" s="2048">
        <f>ROUND(SUM(C150:C159),2)</f>
        <v>0</v>
      </c>
      <c r="D160" s="2048"/>
      <c r="E160" s="2080"/>
      <c r="F160" s="2080"/>
      <c r="G160" s="2080"/>
      <c r="H160" s="2080"/>
      <c r="I160" s="2118" t="s">
        <v>1049</v>
      </c>
    </row>
    <row r="161" s="2075" customFormat="1" spans="1:9">
      <c r="A161" s="2103"/>
      <c r="B161" s="2080"/>
      <c r="C161" s="2080"/>
      <c r="D161" s="2080"/>
      <c r="E161" s="2080"/>
      <c r="F161" s="2080"/>
      <c r="G161" s="2080"/>
      <c r="H161" s="2080"/>
      <c r="I161" s="2076"/>
    </row>
    <row r="162" s="2075" customFormat="1" spans="1:9">
      <c r="A162" s="2103"/>
      <c r="B162" s="2080"/>
      <c r="C162" s="2080"/>
      <c r="D162" s="2080"/>
      <c r="E162" s="2080"/>
      <c r="F162" s="2080"/>
      <c r="G162" s="2080"/>
      <c r="H162" s="2080"/>
      <c r="I162" s="2076"/>
    </row>
    <row r="163" s="2075" customFormat="1" spans="1:9">
      <c r="A163" s="2079" t="s">
        <v>1050</v>
      </c>
      <c r="B163" s="2080"/>
      <c r="C163" s="2080"/>
      <c r="D163" s="2080"/>
      <c r="E163" s="2080"/>
      <c r="F163" s="2080"/>
      <c r="G163" s="2080"/>
      <c r="H163" s="2080"/>
      <c r="I163" s="2076"/>
    </row>
    <row r="164" s="2075" customFormat="1" spans="1:9">
      <c r="A164" s="2082" t="s">
        <v>372</v>
      </c>
      <c r="B164" s="2082" t="s">
        <v>316</v>
      </c>
      <c r="C164" s="2082" t="s">
        <v>581</v>
      </c>
      <c r="D164" s="2082" t="s">
        <v>1051</v>
      </c>
      <c r="E164" s="2082" t="s">
        <v>315</v>
      </c>
      <c r="F164" s="2080"/>
      <c r="G164" s="2080"/>
      <c r="H164" s="2080"/>
      <c r="I164" s="2076"/>
    </row>
    <row r="165" s="2075" customFormat="1" spans="1:9">
      <c r="A165" s="2084" t="s">
        <v>1052</v>
      </c>
      <c r="B165" s="2085"/>
      <c r="C165" s="2085"/>
      <c r="D165" s="2085"/>
      <c r="E165" s="2048">
        <f>ROUND(B165+C165-D165,2)</f>
        <v>0</v>
      </c>
      <c r="F165" s="2080"/>
      <c r="G165" s="2080"/>
      <c r="H165" s="2080"/>
      <c r="I165" s="2118" t="s">
        <v>1053</v>
      </c>
    </row>
    <row r="166" s="2075" customFormat="1" spans="1:9">
      <c r="A166" s="2084" t="s">
        <v>1054</v>
      </c>
      <c r="B166" s="2085"/>
      <c r="C166" s="2085"/>
      <c r="D166" s="2085"/>
      <c r="E166" s="2048">
        <f t="shared" ref="E166:E180" si="0">ROUND(B166+C166-D166,2)</f>
        <v>0</v>
      </c>
      <c r="F166" s="2080"/>
      <c r="G166" s="2080"/>
      <c r="H166" s="2080"/>
      <c r="I166" s="2118" t="s">
        <v>1055</v>
      </c>
    </row>
    <row r="167" s="2075" customFormat="1" spans="1:9">
      <c r="A167" s="2084" t="s">
        <v>1056</v>
      </c>
      <c r="B167" s="2048">
        <f>ROUND(SUM(B168:B173),2)</f>
        <v>0</v>
      </c>
      <c r="C167" s="2048">
        <f>ROUND(SUM(C168:C173),2)</f>
        <v>0</v>
      </c>
      <c r="D167" s="2048">
        <f>ROUND(SUM(D168:D173),2)</f>
        <v>0</v>
      </c>
      <c r="E167" s="2048">
        <f t="shared" si="0"/>
        <v>0</v>
      </c>
      <c r="F167" s="2080"/>
      <c r="G167" s="2080"/>
      <c r="H167" s="2080"/>
      <c r="I167" s="2118" t="s">
        <v>1057</v>
      </c>
    </row>
    <row r="168" s="2075" customFormat="1" spans="1:9">
      <c r="A168" s="2084" t="s">
        <v>1058</v>
      </c>
      <c r="B168" s="2085"/>
      <c r="C168" s="2085"/>
      <c r="D168" s="2085"/>
      <c r="E168" s="2048">
        <f t="shared" si="0"/>
        <v>0</v>
      </c>
      <c r="F168" s="2080"/>
      <c r="G168" s="2080"/>
      <c r="H168" s="2080"/>
      <c r="I168" s="2118" t="s">
        <v>1059</v>
      </c>
    </row>
    <row r="169" s="2075" customFormat="1" spans="1:9">
      <c r="A169" s="2087" t="s">
        <v>1060</v>
      </c>
      <c r="B169" s="2085"/>
      <c r="C169" s="2085"/>
      <c r="D169" s="2085"/>
      <c r="E169" s="2048">
        <f t="shared" si="0"/>
        <v>0</v>
      </c>
      <c r="F169" s="2080"/>
      <c r="G169" s="2080"/>
      <c r="H169" s="2080"/>
      <c r="I169" s="2118" t="s">
        <v>1061</v>
      </c>
    </row>
    <row r="170" s="2075" customFormat="1" spans="1:9">
      <c r="A170" s="2087" t="s">
        <v>1062</v>
      </c>
      <c r="B170" s="2085"/>
      <c r="C170" s="2085"/>
      <c r="D170" s="2085"/>
      <c r="E170" s="2048">
        <f t="shared" si="0"/>
        <v>0</v>
      </c>
      <c r="F170" s="2080"/>
      <c r="G170" s="2080"/>
      <c r="H170" s="2080"/>
      <c r="I170" s="2118" t="s">
        <v>1063</v>
      </c>
    </row>
    <row r="171" s="2075" customFormat="1" spans="1:9">
      <c r="A171" s="2087" t="s">
        <v>1064</v>
      </c>
      <c r="B171" s="2085"/>
      <c r="C171" s="2085"/>
      <c r="D171" s="2085"/>
      <c r="E171" s="2048">
        <f t="shared" si="0"/>
        <v>0</v>
      </c>
      <c r="F171" s="2080"/>
      <c r="G171" s="2080"/>
      <c r="H171" s="2080"/>
      <c r="I171" s="2118" t="s">
        <v>1065</v>
      </c>
    </row>
    <row r="172" s="2075" customFormat="1" spans="1:9">
      <c r="A172" s="2087" t="s">
        <v>1066</v>
      </c>
      <c r="B172" s="2085"/>
      <c r="C172" s="2085"/>
      <c r="D172" s="2085"/>
      <c r="E172" s="2048">
        <f t="shared" si="0"/>
        <v>0</v>
      </c>
      <c r="F172" s="2080"/>
      <c r="G172" s="2080"/>
      <c r="H172" s="2080"/>
      <c r="I172" s="2118" t="s">
        <v>1067</v>
      </c>
    </row>
    <row r="173" s="2075" customFormat="1" spans="1:9">
      <c r="A173" s="2087" t="s">
        <v>1068</v>
      </c>
      <c r="B173" s="2085"/>
      <c r="C173" s="2085"/>
      <c r="D173" s="2085"/>
      <c r="E173" s="2048">
        <f t="shared" si="0"/>
        <v>0</v>
      </c>
      <c r="F173" s="2080"/>
      <c r="G173" s="2080"/>
      <c r="H173" s="2080"/>
      <c r="I173" s="2118" t="s">
        <v>1069</v>
      </c>
    </row>
    <row r="174" s="2075" customFormat="1" spans="1:9">
      <c r="A174" s="2084" t="s">
        <v>1070</v>
      </c>
      <c r="B174" s="2085"/>
      <c r="C174" s="2085"/>
      <c r="D174" s="2085"/>
      <c r="E174" s="2048">
        <f t="shared" si="0"/>
        <v>0</v>
      </c>
      <c r="F174" s="2080"/>
      <c r="G174" s="2080"/>
      <c r="H174" s="2080"/>
      <c r="I174" s="2118" t="s">
        <v>1071</v>
      </c>
    </row>
    <row r="175" s="2075" customFormat="1" spans="1:9">
      <c r="A175" s="2084" t="s">
        <v>1072</v>
      </c>
      <c r="B175" s="2085"/>
      <c r="C175" s="2085"/>
      <c r="D175" s="2085"/>
      <c r="E175" s="2048">
        <f t="shared" si="0"/>
        <v>0</v>
      </c>
      <c r="F175" s="2080"/>
      <c r="G175" s="2080"/>
      <c r="H175" s="2080"/>
      <c r="I175" s="2118" t="s">
        <v>1073</v>
      </c>
    </row>
    <row r="176" s="2075" customFormat="1" spans="1:9">
      <c r="A176" s="2084" t="s">
        <v>1074</v>
      </c>
      <c r="B176" s="2085"/>
      <c r="C176" s="2085"/>
      <c r="D176" s="2085"/>
      <c r="E176" s="2048">
        <f t="shared" si="0"/>
        <v>0</v>
      </c>
      <c r="F176" s="2080"/>
      <c r="G176" s="2080"/>
      <c r="H176" s="2080"/>
      <c r="I176" s="2118" t="s">
        <v>1075</v>
      </c>
    </row>
    <row r="177" s="2075" customFormat="1" spans="1:9">
      <c r="A177" s="2084" t="s">
        <v>1076</v>
      </c>
      <c r="B177" s="2085"/>
      <c r="C177" s="2085"/>
      <c r="D177" s="2085"/>
      <c r="E177" s="2048">
        <f t="shared" si="0"/>
        <v>0</v>
      </c>
      <c r="F177" s="2080"/>
      <c r="G177" s="2080"/>
      <c r="H177" s="2080"/>
      <c r="I177" s="2118" t="s">
        <v>1077</v>
      </c>
    </row>
    <row r="178" s="2075" customFormat="1" spans="1:9">
      <c r="A178" s="2084" t="s">
        <v>1078</v>
      </c>
      <c r="B178" s="2085"/>
      <c r="C178" s="2085"/>
      <c r="D178" s="2085"/>
      <c r="E178" s="2048">
        <f t="shared" si="0"/>
        <v>0</v>
      </c>
      <c r="F178" s="2080"/>
      <c r="G178" s="2080"/>
      <c r="H178" s="2080"/>
      <c r="I178" s="2118" t="s">
        <v>1079</v>
      </c>
    </row>
    <row r="179" s="2075" customFormat="1" spans="1:9">
      <c r="A179" s="2084" t="s">
        <v>1080</v>
      </c>
      <c r="B179" s="2085"/>
      <c r="C179" s="2085"/>
      <c r="D179" s="2085"/>
      <c r="E179" s="2048">
        <f t="shared" si="0"/>
        <v>0</v>
      </c>
      <c r="F179" s="2080"/>
      <c r="G179" s="2080"/>
      <c r="H179" s="2080"/>
      <c r="I179" s="2118" t="s">
        <v>1081</v>
      </c>
    </row>
    <row r="180" s="2075" customFormat="1" spans="1:9">
      <c r="A180" s="2084" t="s">
        <v>384</v>
      </c>
      <c r="B180" s="2048">
        <f>ROUND(B165+B166+B167+B174+B175+B176+B177+B178,2)</f>
        <v>0</v>
      </c>
      <c r="C180" s="2048">
        <f>ROUND(C165+C166+C167+C174+C175+C176+C177+C178,2)</f>
        <v>0</v>
      </c>
      <c r="D180" s="2048">
        <f>ROUND(D165+D166+D167+D174+D175+D176+D177+D178,2)</f>
        <v>0</v>
      </c>
      <c r="E180" s="2048">
        <f t="shared" si="0"/>
        <v>0</v>
      </c>
      <c r="F180" s="2080"/>
      <c r="G180" s="2080"/>
      <c r="H180" s="2080"/>
      <c r="I180" s="2118" t="s">
        <v>1082</v>
      </c>
    </row>
    <row r="181" s="2075" customFormat="1" spans="1:9">
      <c r="A181" s="2119"/>
      <c r="B181" s="2119"/>
      <c r="C181" s="2119"/>
      <c r="D181" s="2119"/>
      <c r="E181" s="2119"/>
      <c r="F181" s="2080"/>
      <c r="G181" s="2080"/>
      <c r="H181" s="2080"/>
      <c r="I181" s="2076"/>
    </row>
    <row r="182" s="2075" customFormat="1" spans="1:9">
      <c r="A182" s="2119"/>
      <c r="B182" s="2119"/>
      <c r="C182" s="2119"/>
      <c r="D182" s="2119"/>
      <c r="E182" s="2119"/>
      <c r="F182" s="2080"/>
      <c r="G182" s="2080"/>
      <c r="H182" s="2080"/>
      <c r="I182" s="2076"/>
    </row>
    <row r="183" s="2075" customFormat="1" spans="1:9">
      <c r="A183" s="2079" t="s">
        <v>1083</v>
      </c>
      <c r="B183" s="2080"/>
      <c r="C183" s="2080"/>
      <c r="D183" s="2080"/>
      <c r="E183" s="2080"/>
      <c r="F183" s="2080"/>
      <c r="G183" s="2080"/>
      <c r="H183" s="2080"/>
      <c r="I183" s="2076"/>
    </row>
    <row r="184" s="2075" customFormat="1" spans="1:9">
      <c r="A184" s="2082" t="s">
        <v>1084</v>
      </c>
      <c r="B184" s="2082" t="s">
        <v>315</v>
      </c>
      <c r="C184" s="2082" t="s">
        <v>316</v>
      </c>
      <c r="D184" s="2080"/>
      <c r="E184" s="2080"/>
      <c r="F184" s="2080"/>
      <c r="G184" s="2080"/>
      <c r="H184" s="2080"/>
      <c r="I184" s="2076"/>
    </row>
    <row r="185" s="2075" customFormat="1" spans="1:9">
      <c r="A185" s="2084" t="s">
        <v>1085</v>
      </c>
      <c r="B185" s="2085"/>
      <c r="C185" s="2085"/>
      <c r="D185" s="2080"/>
      <c r="E185" s="2080"/>
      <c r="F185" s="2080"/>
      <c r="G185" s="2080"/>
      <c r="H185" s="2080"/>
      <c r="I185" s="2118" t="s">
        <v>1086</v>
      </c>
    </row>
    <row r="186" s="2075" customFormat="1" spans="1:9">
      <c r="A186" s="2084" t="s">
        <v>1087</v>
      </c>
      <c r="B186" s="2085"/>
      <c r="C186" s="2085"/>
      <c r="D186" s="2080"/>
      <c r="E186" s="2080"/>
      <c r="F186" s="2080"/>
      <c r="G186" s="2080"/>
      <c r="H186" s="2080"/>
      <c r="I186" s="2118" t="s">
        <v>1088</v>
      </c>
    </row>
    <row r="187" s="2075" customFormat="1" spans="1:9">
      <c r="A187" s="2084" t="s">
        <v>1089</v>
      </c>
      <c r="B187" s="2085"/>
      <c r="C187" s="2085"/>
      <c r="D187" s="2080"/>
      <c r="E187" s="2080"/>
      <c r="F187" s="2080"/>
      <c r="G187" s="2080"/>
      <c r="H187" s="2080"/>
      <c r="I187" s="2118" t="s">
        <v>1090</v>
      </c>
    </row>
    <row r="188" s="2075" customFormat="1" spans="1:9">
      <c r="A188" s="2084" t="s">
        <v>1091</v>
      </c>
      <c r="B188" s="2085"/>
      <c r="C188" s="2085"/>
      <c r="D188" s="2080"/>
      <c r="E188" s="2080"/>
      <c r="F188" s="2080"/>
      <c r="G188" s="2080"/>
      <c r="H188" s="2080"/>
      <c r="I188" s="2118" t="s">
        <v>1092</v>
      </c>
    </row>
    <row r="189" s="2075" customFormat="1" spans="1:9">
      <c r="A189" s="2084" t="s">
        <v>1093</v>
      </c>
      <c r="B189" s="2085"/>
      <c r="C189" s="2085"/>
      <c r="D189" s="2080"/>
      <c r="E189" s="2080"/>
      <c r="F189" s="2080"/>
      <c r="G189" s="2080"/>
      <c r="H189" s="2080"/>
      <c r="I189" s="2118" t="s">
        <v>1094</v>
      </c>
    </row>
    <row r="190" s="2075" customFormat="1" spans="1:9">
      <c r="A190" s="2084" t="s">
        <v>1095</v>
      </c>
      <c r="B190" s="2085"/>
      <c r="C190" s="2085"/>
      <c r="D190" s="2080"/>
      <c r="E190" s="2080"/>
      <c r="F190" s="2080"/>
      <c r="G190" s="2080"/>
      <c r="H190" s="2080"/>
      <c r="I190" s="2118" t="s">
        <v>1096</v>
      </c>
    </row>
    <row r="191" s="2075" customFormat="1" spans="1:9">
      <c r="A191" s="2084" t="s">
        <v>1097</v>
      </c>
      <c r="B191" s="2085"/>
      <c r="C191" s="2085"/>
      <c r="D191" s="2080"/>
      <c r="E191" s="2080"/>
      <c r="F191" s="2080"/>
      <c r="G191" s="2080"/>
      <c r="H191" s="2080"/>
      <c r="I191" s="2118" t="s">
        <v>1098</v>
      </c>
    </row>
    <row r="192" s="2075" customFormat="1" spans="1:9">
      <c r="A192" s="2084" t="s">
        <v>1099</v>
      </c>
      <c r="B192" s="2085"/>
      <c r="C192" s="2085"/>
      <c r="D192" s="2080"/>
      <c r="E192" s="2080"/>
      <c r="F192" s="2080"/>
      <c r="G192" s="2080"/>
      <c r="H192" s="2080"/>
      <c r="I192" s="2118" t="s">
        <v>1100</v>
      </c>
    </row>
    <row r="193" s="2075" customFormat="1" spans="1:9">
      <c r="A193" s="2084" t="s">
        <v>1101</v>
      </c>
      <c r="B193" s="2085"/>
      <c r="C193" s="2085"/>
      <c r="D193" s="2080"/>
      <c r="E193" s="2080"/>
      <c r="F193" s="2080"/>
      <c r="G193" s="2080"/>
      <c r="H193" s="2080"/>
      <c r="I193" s="2118" t="s">
        <v>1102</v>
      </c>
    </row>
    <row r="194" s="2075" customFormat="1" spans="1:9">
      <c r="A194" s="2084" t="s">
        <v>1103</v>
      </c>
      <c r="B194" s="2085"/>
      <c r="C194" s="2085"/>
      <c r="D194" s="2080"/>
      <c r="E194" s="2080"/>
      <c r="F194" s="2080"/>
      <c r="G194" s="2080"/>
      <c r="H194" s="2080"/>
      <c r="I194" s="2118" t="s">
        <v>1104</v>
      </c>
    </row>
    <row r="195" s="2075" customFormat="1" spans="1:9">
      <c r="A195" s="2084" t="s">
        <v>1105</v>
      </c>
      <c r="B195" s="2085"/>
      <c r="C195" s="2085"/>
      <c r="D195" s="2080"/>
      <c r="E195" s="2080"/>
      <c r="F195" s="2080"/>
      <c r="G195" s="2080"/>
      <c r="H195" s="2080"/>
      <c r="I195" s="2118" t="s">
        <v>1106</v>
      </c>
    </row>
    <row r="196" s="2075" customFormat="1" spans="1:9">
      <c r="A196" s="2084" t="s">
        <v>279</v>
      </c>
      <c r="B196" s="2085"/>
      <c r="C196" s="2085"/>
      <c r="D196" s="2080"/>
      <c r="E196" s="2080"/>
      <c r="F196" s="2080"/>
      <c r="G196" s="2080"/>
      <c r="H196" s="2080"/>
      <c r="I196" s="2118" t="s">
        <v>1107</v>
      </c>
    </row>
    <row r="197" s="2075" customFormat="1" spans="1:9">
      <c r="A197" s="2082" t="s">
        <v>384</v>
      </c>
      <c r="B197" s="2048">
        <f>ROUND(SUM(B185:B196),2)</f>
        <v>0</v>
      </c>
      <c r="C197" s="2048">
        <f>ROUND(SUM(C185:C196),2)</f>
        <v>0</v>
      </c>
      <c r="D197" s="2080"/>
      <c r="E197" s="2080"/>
      <c r="F197" s="2080"/>
      <c r="G197" s="2080"/>
      <c r="H197" s="2080"/>
      <c r="I197" s="2118" t="s">
        <v>1108</v>
      </c>
    </row>
    <row r="198" s="2075" customFormat="1" spans="1:9">
      <c r="A198" s="2080"/>
      <c r="B198" s="2080"/>
      <c r="C198" s="2080"/>
      <c r="D198" s="2080"/>
      <c r="E198" s="2080"/>
      <c r="F198" s="2080"/>
      <c r="G198" s="2080"/>
      <c r="H198" s="2080"/>
      <c r="I198" s="2076"/>
    </row>
    <row r="199" s="2075" customFormat="1" spans="1:9">
      <c r="A199" s="2103"/>
      <c r="B199" s="2080"/>
      <c r="C199" s="2080"/>
      <c r="D199" s="2080"/>
      <c r="E199" s="2080"/>
      <c r="F199" s="2080"/>
      <c r="G199" s="2080"/>
      <c r="H199" s="2080"/>
      <c r="I199" s="2076"/>
    </row>
    <row r="200" s="2075" customFormat="1" spans="1:9">
      <c r="A200" s="2079" t="s">
        <v>1109</v>
      </c>
      <c r="B200" s="2080"/>
      <c r="C200" s="2080"/>
      <c r="D200" s="2080"/>
      <c r="E200" s="2080"/>
      <c r="F200" s="2080"/>
      <c r="G200" s="2080"/>
      <c r="H200" s="2080"/>
      <c r="I200" s="2076"/>
    </row>
    <row r="201" s="2075" customFormat="1" spans="1:9">
      <c r="A201" s="2082" t="s">
        <v>432</v>
      </c>
      <c r="B201" s="2082" t="s">
        <v>315</v>
      </c>
      <c r="C201" s="2082" t="s">
        <v>316</v>
      </c>
      <c r="D201" s="2082" t="s">
        <v>1110</v>
      </c>
      <c r="E201" s="2080"/>
      <c r="F201" s="2080"/>
      <c r="G201" s="2080"/>
      <c r="H201" s="2080"/>
      <c r="I201" s="2076"/>
    </row>
    <row r="202" s="2075" customFormat="1" spans="1:9">
      <c r="A202" s="2092"/>
      <c r="B202" s="2085"/>
      <c r="C202" s="2085"/>
      <c r="D202" s="2092"/>
      <c r="E202" s="2080"/>
      <c r="F202" s="2080"/>
      <c r="G202" s="2080"/>
      <c r="H202" s="2080"/>
      <c r="I202" s="2086" t="s">
        <v>210</v>
      </c>
    </row>
    <row r="203" s="2075" customFormat="1" spans="1:9">
      <c r="A203" s="2092"/>
      <c r="B203" s="2085"/>
      <c r="C203" s="2085"/>
      <c r="D203" s="2092"/>
      <c r="E203" s="2080"/>
      <c r="F203" s="2080"/>
      <c r="G203" s="2080"/>
      <c r="H203" s="2080"/>
      <c r="I203" s="2086" t="s">
        <v>210</v>
      </c>
    </row>
    <row r="204" s="2075" customFormat="1" spans="1:9">
      <c r="A204" s="2092"/>
      <c r="B204" s="2085"/>
      <c r="C204" s="2085"/>
      <c r="D204" s="2092"/>
      <c r="E204" s="2080"/>
      <c r="F204" s="2080"/>
      <c r="G204" s="2080"/>
      <c r="H204" s="2080"/>
      <c r="I204" s="2086" t="s">
        <v>210</v>
      </c>
    </row>
    <row r="205" s="2075" customFormat="1" spans="1:9">
      <c r="A205" s="2092"/>
      <c r="B205" s="2085"/>
      <c r="C205" s="2085"/>
      <c r="D205" s="2092"/>
      <c r="E205" s="2080"/>
      <c r="F205" s="2080"/>
      <c r="G205" s="2080"/>
      <c r="H205" s="2080"/>
      <c r="I205" s="2086" t="s">
        <v>210</v>
      </c>
    </row>
    <row r="206" s="2075" customFormat="1" spans="1:9">
      <c r="A206" s="2092"/>
      <c r="B206" s="2085"/>
      <c r="C206" s="2085"/>
      <c r="D206" s="2092"/>
      <c r="E206" s="2080"/>
      <c r="F206" s="2080"/>
      <c r="G206" s="2080"/>
      <c r="H206" s="2080"/>
      <c r="I206" s="2086" t="s">
        <v>210</v>
      </c>
    </row>
    <row r="207" s="2075" customFormat="1" spans="1:9">
      <c r="A207" s="2092"/>
      <c r="B207" s="2085"/>
      <c r="C207" s="2085"/>
      <c r="D207" s="2092"/>
      <c r="E207" s="2080"/>
      <c r="F207" s="2080"/>
      <c r="G207" s="2080"/>
      <c r="H207" s="2080"/>
      <c r="I207" s="2086" t="s">
        <v>210</v>
      </c>
    </row>
    <row r="208" s="2075" customFormat="1" spans="1:9">
      <c r="A208" s="2092"/>
      <c r="B208" s="2085"/>
      <c r="C208" s="2085"/>
      <c r="D208" s="2092"/>
      <c r="E208" s="2080"/>
      <c r="F208" s="2080"/>
      <c r="G208" s="2080"/>
      <c r="H208" s="2080"/>
      <c r="I208" s="2086" t="s">
        <v>210</v>
      </c>
    </row>
    <row r="209" s="2075" customFormat="1" spans="1:9">
      <c r="A209" s="2092"/>
      <c r="B209" s="2085"/>
      <c r="C209" s="2085"/>
      <c r="D209" s="2092"/>
      <c r="E209" s="2080"/>
      <c r="F209" s="2080"/>
      <c r="G209" s="2080"/>
      <c r="H209" s="2080"/>
      <c r="I209" s="2086" t="s">
        <v>210</v>
      </c>
    </row>
    <row r="210" s="2075" customFormat="1" spans="1:9">
      <c r="A210" s="2092"/>
      <c r="B210" s="2085"/>
      <c r="C210" s="2085"/>
      <c r="D210" s="2092"/>
      <c r="E210" s="2080"/>
      <c r="F210" s="2080"/>
      <c r="G210" s="2080"/>
      <c r="H210" s="2080"/>
      <c r="I210" s="2086" t="s">
        <v>210</v>
      </c>
    </row>
    <row r="211" s="2075" customFormat="1" spans="1:9">
      <c r="A211" s="2092"/>
      <c r="B211" s="2085"/>
      <c r="C211" s="2085"/>
      <c r="D211" s="2092"/>
      <c r="E211" s="2080"/>
      <c r="F211" s="2080"/>
      <c r="G211" s="2080"/>
      <c r="H211" s="2080"/>
      <c r="I211" s="2086" t="s">
        <v>210</v>
      </c>
    </row>
    <row r="212" s="2075" customFormat="1" spans="1:9">
      <c r="A212" s="2082" t="s">
        <v>384</v>
      </c>
      <c r="B212" s="2048">
        <f>ROUND(SUM(B202:B211),2)</f>
        <v>0</v>
      </c>
      <c r="C212" s="2048">
        <f>ROUND(SUM(C202:C211),2)</f>
        <v>0</v>
      </c>
      <c r="D212" s="2048"/>
      <c r="E212" s="2080"/>
      <c r="F212" s="2080"/>
      <c r="G212" s="2080"/>
      <c r="H212" s="2080"/>
      <c r="I212" s="2086" t="s">
        <v>1111</v>
      </c>
    </row>
    <row r="213" s="2075" customFormat="1" spans="1:9">
      <c r="A213" s="2080"/>
      <c r="B213" s="2080"/>
      <c r="C213" s="2080"/>
      <c r="D213" s="2080"/>
      <c r="E213" s="2080"/>
      <c r="F213" s="2080"/>
      <c r="G213" s="2080"/>
      <c r="H213" s="2080"/>
      <c r="I213" s="2076"/>
    </row>
    <row r="214" s="2075" customFormat="1" spans="1:9">
      <c r="A214" s="2103"/>
      <c r="B214" s="2080"/>
      <c r="C214" s="2080"/>
      <c r="D214" s="2080"/>
      <c r="E214" s="2080"/>
      <c r="F214" s="2080"/>
      <c r="G214" s="2080"/>
      <c r="H214" s="2080"/>
      <c r="I214" s="2076"/>
    </row>
    <row r="215" s="2075" customFormat="1" spans="1:9">
      <c r="A215" s="2079" t="s">
        <v>1112</v>
      </c>
      <c r="B215" s="2080"/>
      <c r="C215" s="2080"/>
      <c r="D215" s="2080"/>
      <c r="E215" s="2080"/>
      <c r="F215" s="2080"/>
      <c r="G215" s="2080"/>
      <c r="H215" s="2080"/>
      <c r="I215" s="2076"/>
    </row>
    <row r="216" s="2075" customFormat="1" spans="1:9">
      <c r="A216" s="2082" t="s">
        <v>1113</v>
      </c>
      <c r="B216" s="2082" t="s">
        <v>315</v>
      </c>
      <c r="C216" s="2082" t="s">
        <v>316</v>
      </c>
      <c r="D216" s="2082" t="s">
        <v>1110</v>
      </c>
      <c r="E216" s="2080"/>
      <c r="F216" s="2080"/>
      <c r="G216" s="2080"/>
      <c r="H216" s="2080"/>
      <c r="I216" s="2076"/>
    </row>
    <row r="217" s="2075" customFormat="1" spans="1:9">
      <c r="A217" s="2092"/>
      <c r="B217" s="2085"/>
      <c r="C217" s="2085"/>
      <c r="D217" s="2092"/>
      <c r="E217" s="2080"/>
      <c r="F217" s="2080"/>
      <c r="G217" s="2080"/>
      <c r="H217" s="2080"/>
      <c r="I217" s="2086" t="s">
        <v>212</v>
      </c>
    </row>
    <row r="218" s="2075" customFormat="1" spans="1:9">
      <c r="A218" s="2092"/>
      <c r="B218" s="2085"/>
      <c r="C218" s="2085"/>
      <c r="D218" s="2092"/>
      <c r="E218" s="2080"/>
      <c r="F218" s="2080"/>
      <c r="G218" s="2080"/>
      <c r="H218" s="2080"/>
      <c r="I218" s="2086" t="s">
        <v>212</v>
      </c>
    </row>
    <row r="219" s="2075" customFormat="1" spans="1:9">
      <c r="A219" s="2092"/>
      <c r="B219" s="2085"/>
      <c r="C219" s="2085"/>
      <c r="D219" s="2092"/>
      <c r="E219" s="2080"/>
      <c r="F219" s="2080"/>
      <c r="G219" s="2080"/>
      <c r="H219" s="2080"/>
      <c r="I219" s="2086" t="s">
        <v>212</v>
      </c>
    </row>
    <row r="220" s="2075" customFormat="1" spans="1:9">
      <c r="A220" s="2092"/>
      <c r="B220" s="2085"/>
      <c r="C220" s="2085"/>
      <c r="D220" s="2092"/>
      <c r="E220" s="2080"/>
      <c r="F220" s="2080"/>
      <c r="G220" s="2080"/>
      <c r="H220" s="2080"/>
      <c r="I220" s="2086" t="s">
        <v>212</v>
      </c>
    </row>
    <row r="221" s="2075" customFormat="1" spans="1:9">
      <c r="A221" s="2092"/>
      <c r="B221" s="2085"/>
      <c r="C221" s="2085"/>
      <c r="D221" s="2092"/>
      <c r="E221" s="2080"/>
      <c r="F221" s="2080"/>
      <c r="G221" s="2080"/>
      <c r="H221" s="2080"/>
      <c r="I221" s="2086" t="s">
        <v>212</v>
      </c>
    </row>
    <row r="222" s="2075" customFormat="1" spans="1:9">
      <c r="A222" s="2092"/>
      <c r="B222" s="2085"/>
      <c r="C222" s="2085"/>
      <c r="D222" s="2092"/>
      <c r="E222" s="2080"/>
      <c r="F222" s="2080"/>
      <c r="G222" s="2080"/>
      <c r="H222" s="2080"/>
      <c r="I222" s="2086" t="s">
        <v>212</v>
      </c>
    </row>
    <row r="223" s="2075" customFormat="1" spans="1:9">
      <c r="A223" s="2092"/>
      <c r="B223" s="2085"/>
      <c r="C223" s="2085"/>
      <c r="D223" s="2092"/>
      <c r="E223" s="2080"/>
      <c r="F223" s="2080"/>
      <c r="G223" s="2080"/>
      <c r="H223" s="2080"/>
      <c r="I223" s="2086" t="s">
        <v>212</v>
      </c>
    </row>
    <row r="224" s="2075" customFormat="1" spans="1:9">
      <c r="A224" s="2092"/>
      <c r="B224" s="2085"/>
      <c r="C224" s="2085"/>
      <c r="D224" s="2092"/>
      <c r="E224" s="2080"/>
      <c r="F224" s="2080"/>
      <c r="G224" s="2080"/>
      <c r="H224" s="2080"/>
      <c r="I224" s="2086" t="s">
        <v>212</v>
      </c>
    </row>
    <row r="225" s="2075" customFormat="1" spans="1:9">
      <c r="A225" s="2092"/>
      <c r="B225" s="2085"/>
      <c r="C225" s="2085"/>
      <c r="D225" s="2092"/>
      <c r="E225" s="2080"/>
      <c r="F225" s="2080"/>
      <c r="G225" s="2080"/>
      <c r="H225" s="2080"/>
      <c r="I225" s="2086" t="s">
        <v>212</v>
      </c>
    </row>
    <row r="226" s="2075" customFormat="1" spans="1:9">
      <c r="A226" s="2092"/>
      <c r="B226" s="2085"/>
      <c r="C226" s="2085"/>
      <c r="D226" s="2092"/>
      <c r="E226" s="2080"/>
      <c r="F226" s="2080"/>
      <c r="G226" s="2080"/>
      <c r="H226" s="2080"/>
      <c r="I226" s="2086" t="s">
        <v>212</v>
      </c>
    </row>
    <row r="227" s="2075" customFormat="1" spans="1:9">
      <c r="A227" s="2082" t="s">
        <v>384</v>
      </c>
      <c r="B227" s="2048">
        <f>ROUND(SUM(B217:B226),2)</f>
        <v>0</v>
      </c>
      <c r="C227" s="2048">
        <f>ROUND(SUM(C217:C226),2)</f>
        <v>0</v>
      </c>
      <c r="D227" s="2048"/>
      <c r="E227" s="2080"/>
      <c r="F227" s="2080"/>
      <c r="G227" s="2080"/>
      <c r="H227" s="2080"/>
      <c r="I227" s="2086" t="s">
        <v>1114</v>
      </c>
    </row>
    <row r="228" s="2075" customFormat="1" spans="1:9">
      <c r="A228" s="2103"/>
      <c r="B228" s="2080"/>
      <c r="C228" s="2080"/>
      <c r="D228" s="2080"/>
      <c r="E228" s="2080"/>
      <c r="F228" s="2080"/>
      <c r="G228" s="2080"/>
      <c r="H228" s="2080"/>
      <c r="I228" s="2076"/>
    </row>
    <row r="229" s="2075" customFormat="1" spans="1:9">
      <c r="A229" s="2103"/>
      <c r="B229" s="2080"/>
      <c r="C229" s="2080"/>
      <c r="D229" s="2080"/>
      <c r="E229" s="2080"/>
      <c r="F229" s="2080"/>
      <c r="G229" s="2080"/>
      <c r="H229" s="2080"/>
      <c r="I229" s="2076"/>
    </row>
    <row r="230" s="2075" customFormat="1" spans="1:9">
      <c r="A230" s="2079" t="s">
        <v>1115</v>
      </c>
      <c r="B230" s="2080"/>
      <c r="C230" s="2080"/>
      <c r="D230" s="2080"/>
      <c r="E230" s="2080"/>
      <c r="F230" s="2080"/>
      <c r="G230" s="2080"/>
      <c r="H230" s="2080"/>
      <c r="I230" s="2076"/>
    </row>
    <row r="231" s="2075" customFormat="1" spans="1:9">
      <c r="A231" s="2081" t="s">
        <v>1116</v>
      </c>
      <c r="B231" s="2080"/>
      <c r="C231" s="2080"/>
      <c r="D231" s="2080"/>
      <c r="E231" s="2080"/>
      <c r="F231" s="2080"/>
      <c r="G231" s="2080"/>
      <c r="H231" s="2080"/>
      <c r="I231" s="2076"/>
    </row>
    <row r="232" s="2075" customFormat="1" spans="1:9">
      <c r="A232" s="2089" t="s">
        <v>442</v>
      </c>
      <c r="B232" s="2114" t="s">
        <v>315</v>
      </c>
      <c r="C232" s="2115"/>
      <c r="D232" s="2082" t="s">
        <v>316</v>
      </c>
      <c r="E232" s="2083"/>
      <c r="F232" s="2080"/>
      <c r="G232" s="2080"/>
      <c r="H232" s="2080"/>
      <c r="I232" s="2076"/>
    </row>
    <row r="233" s="2075" customFormat="1" spans="1:9">
      <c r="A233" s="2116"/>
      <c r="B233" s="2082" t="s">
        <v>443</v>
      </c>
      <c r="C233" s="2082" t="s">
        <v>444</v>
      </c>
      <c r="D233" s="2082" t="s">
        <v>443</v>
      </c>
      <c r="E233" s="2082" t="s">
        <v>444</v>
      </c>
      <c r="F233" s="2080"/>
      <c r="G233" s="2080"/>
      <c r="H233" s="2080"/>
      <c r="I233" s="2076"/>
    </row>
    <row r="234" s="2075" customFormat="1" spans="1:9">
      <c r="A234" s="2087" t="s">
        <v>447</v>
      </c>
      <c r="B234" s="2085"/>
      <c r="C234" s="2117">
        <f>IF(B234=0,0,1-C235-C236-C237)</f>
        <v>0</v>
      </c>
      <c r="D234" s="2085"/>
      <c r="E234" s="2117">
        <f>IF(D234=0,0,1-E235-E236-E237)</f>
        <v>0</v>
      </c>
      <c r="F234" s="2080"/>
      <c r="G234" s="2080"/>
      <c r="H234" s="2080"/>
      <c r="I234" s="2118" t="s">
        <v>1117</v>
      </c>
    </row>
    <row r="235" s="2075" customFormat="1" spans="1:9">
      <c r="A235" s="2087" t="s">
        <v>449</v>
      </c>
      <c r="B235" s="2085"/>
      <c r="C235" s="2117">
        <f>IF(B235=0,0,IF(B234=0,ROUND(1-C236-C237,4),ROUND(B235/B238,4)))</f>
        <v>0</v>
      </c>
      <c r="D235" s="2085"/>
      <c r="E235" s="2117">
        <f>IF(D235=0,0,IF(D234=0,ROUND(1-E236-E237,4),ROUND(D235/D238,4)))</f>
        <v>0</v>
      </c>
      <c r="F235" s="2080"/>
      <c r="G235" s="2080"/>
      <c r="H235" s="2080"/>
      <c r="I235" s="2118" t="s">
        <v>1118</v>
      </c>
    </row>
    <row r="236" s="2075" customFormat="1" spans="1:9">
      <c r="A236" s="2087" t="s">
        <v>451</v>
      </c>
      <c r="B236" s="2085"/>
      <c r="C236" s="2117">
        <f>IF(B236=0,0,IF(AND(B234=0,B235=0),ROUND(1-C237,4),ROUND(B236/B238,4)))</f>
        <v>0</v>
      </c>
      <c r="D236" s="2085"/>
      <c r="E236" s="2117">
        <f>IF(D236=0,0,IF(AND(D234=0,D235=0),ROUND(1-E237,4),ROUND(D236/D238,4)))</f>
        <v>0</v>
      </c>
      <c r="F236" s="2080"/>
      <c r="G236" s="2080"/>
      <c r="H236" s="2080"/>
      <c r="I236" s="2118" t="s">
        <v>1119</v>
      </c>
    </row>
    <row r="237" s="2075" customFormat="1" spans="1:9">
      <c r="A237" s="2087" t="s">
        <v>556</v>
      </c>
      <c r="B237" s="2085"/>
      <c r="C237" s="2117">
        <f>IF(B237=0,0,ROUND(B237/B238,4))</f>
        <v>0</v>
      </c>
      <c r="D237" s="2085"/>
      <c r="E237" s="2117">
        <f>IF(D237=0,0,ROUND(D237/D238,4))</f>
        <v>0</v>
      </c>
      <c r="F237" s="2080"/>
      <c r="G237" s="2080"/>
      <c r="H237" s="2080"/>
      <c r="I237" s="2118" t="s">
        <v>1120</v>
      </c>
    </row>
    <row r="238" s="2075" customFormat="1" spans="1:9">
      <c r="A238" s="2082" t="s">
        <v>384</v>
      </c>
      <c r="B238" s="2048">
        <f>ROUND(SUM(B234:B237),2)</f>
        <v>0</v>
      </c>
      <c r="C238" s="2093">
        <f>IF(B238=0,0,1)</f>
        <v>0</v>
      </c>
      <c r="D238" s="2048">
        <f>ROUND(SUM(D234:D237),2)</f>
        <v>0</v>
      </c>
      <c r="E238" s="2093">
        <f>IF(D238=0,0,1)</f>
        <v>0</v>
      </c>
      <c r="F238" s="2080"/>
      <c r="G238" s="2080"/>
      <c r="H238" s="2080"/>
      <c r="I238" s="2118" t="s">
        <v>1121</v>
      </c>
    </row>
    <row r="239" s="2075" customFormat="1" spans="1:9">
      <c r="A239" s="2103"/>
      <c r="B239" s="2080"/>
      <c r="C239" s="2080"/>
      <c r="D239" s="2080"/>
      <c r="E239" s="2080"/>
      <c r="F239" s="2080"/>
      <c r="G239" s="2080"/>
      <c r="H239" s="2080"/>
      <c r="I239" s="2076"/>
    </row>
    <row r="240" s="2075" customFormat="1" spans="1:9">
      <c r="A240" s="2081" t="s">
        <v>1122</v>
      </c>
      <c r="B240" s="2080"/>
      <c r="C240" s="2080"/>
      <c r="D240" s="2080"/>
      <c r="E240" s="2080"/>
      <c r="F240" s="2080"/>
      <c r="G240" s="2080"/>
      <c r="H240" s="2080"/>
      <c r="I240" s="2076"/>
    </row>
    <row r="241" s="2075" customFormat="1" spans="1:9">
      <c r="A241" s="2082" t="s">
        <v>372</v>
      </c>
      <c r="B241" s="2082" t="s">
        <v>315</v>
      </c>
      <c r="C241" s="2082" t="s">
        <v>495</v>
      </c>
      <c r="D241" s="2082" t="s">
        <v>1027</v>
      </c>
      <c r="E241" s="2080"/>
      <c r="F241" s="2080"/>
      <c r="G241" s="2080"/>
      <c r="H241" s="2080"/>
      <c r="I241" s="2076"/>
    </row>
    <row r="242" s="2075" customFormat="1" spans="1:9">
      <c r="A242" s="2092"/>
      <c r="B242" s="2085"/>
      <c r="C242" s="2092"/>
      <c r="D242" s="2092"/>
      <c r="E242" s="2080"/>
      <c r="F242" s="2080"/>
      <c r="G242" s="2080"/>
      <c r="H242" s="2080"/>
      <c r="I242" s="2118" t="s">
        <v>1123</v>
      </c>
    </row>
    <row r="243" s="2075" customFormat="1" spans="1:9">
      <c r="A243" s="2092"/>
      <c r="B243" s="2085"/>
      <c r="C243" s="2092"/>
      <c r="D243" s="2092"/>
      <c r="E243" s="2080"/>
      <c r="F243" s="2080"/>
      <c r="G243" s="2080"/>
      <c r="H243" s="2080"/>
      <c r="I243" s="2118" t="s">
        <v>1123</v>
      </c>
    </row>
    <row r="244" s="2075" customFormat="1" spans="1:9">
      <c r="A244" s="2092"/>
      <c r="B244" s="2085"/>
      <c r="C244" s="2092"/>
      <c r="D244" s="2092"/>
      <c r="E244" s="2080"/>
      <c r="F244" s="2080"/>
      <c r="G244" s="2080"/>
      <c r="H244" s="2080"/>
      <c r="I244" s="2118" t="s">
        <v>1123</v>
      </c>
    </row>
    <row r="245" s="2075" customFormat="1" spans="1:9">
      <c r="A245" s="2092"/>
      <c r="B245" s="2085"/>
      <c r="C245" s="2092"/>
      <c r="D245" s="2092"/>
      <c r="E245" s="2080"/>
      <c r="F245" s="2080"/>
      <c r="G245" s="2080"/>
      <c r="H245" s="2080"/>
      <c r="I245" s="2118" t="s">
        <v>1123</v>
      </c>
    </row>
    <row r="246" s="2075" customFormat="1" spans="1:9">
      <c r="A246" s="2092"/>
      <c r="B246" s="2085"/>
      <c r="C246" s="2092"/>
      <c r="D246" s="2092"/>
      <c r="E246" s="2080"/>
      <c r="F246" s="2080"/>
      <c r="G246" s="2080"/>
      <c r="H246" s="2080"/>
      <c r="I246" s="2118" t="s">
        <v>1123</v>
      </c>
    </row>
    <row r="247" s="2075" customFormat="1" spans="1:9">
      <c r="A247" s="2092"/>
      <c r="B247" s="2085"/>
      <c r="C247" s="2092"/>
      <c r="D247" s="2092"/>
      <c r="E247" s="2080"/>
      <c r="F247" s="2080"/>
      <c r="G247" s="2080"/>
      <c r="H247" s="2080"/>
      <c r="I247" s="2118" t="s">
        <v>1123</v>
      </c>
    </row>
    <row r="248" s="2075" customFormat="1" spans="1:9">
      <c r="A248" s="2092"/>
      <c r="B248" s="2085"/>
      <c r="C248" s="2092"/>
      <c r="D248" s="2092"/>
      <c r="E248" s="2080"/>
      <c r="F248" s="2080"/>
      <c r="G248" s="2080"/>
      <c r="H248" s="2080"/>
      <c r="I248" s="2118" t="s">
        <v>1123</v>
      </c>
    </row>
    <row r="249" s="2075" customFormat="1" spans="1:9">
      <c r="A249" s="2092"/>
      <c r="B249" s="2085"/>
      <c r="C249" s="2092"/>
      <c r="D249" s="2092"/>
      <c r="E249" s="2080"/>
      <c r="F249" s="2080"/>
      <c r="G249" s="2080"/>
      <c r="H249" s="2080"/>
      <c r="I249" s="2118" t="s">
        <v>1123</v>
      </c>
    </row>
    <row r="250" s="2075" customFormat="1" spans="1:9">
      <c r="A250" s="2092"/>
      <c r="B250" s="2085"/>
      <c r="C250" s="2092"/>
      <c r="D250" s="2092"/>
      <c r="E250" s="2080"/>
      <c r="F250" s="2080"/>
      <c r="G250" s="2080"/>
      <c r="H250" s="2080"/>
      <c r="I250" s="2118" t="s">
        <v>1123</v>
      </c>
    </row>
    <row r="251" s="2075" customFormat="1" spans="1:9">
      <c r="A251" s="2092"/>
      <c r="B251" s="2085"/>
      <c r="C251" s="2092"/>
      <c r="D251" s="2092"/>
      <c r="E251" s="2080"/>
      <c r="F251" s="2080"/>
      <c r="G251" s="2080"/>
      <c r="H251" s="2080"/>
      <c r="I251" s="2118" t="s">
        <v>1123</v>
      </c>
    </row>
    <row r="252" s="2075" customFormat="1" spans="1:9">
      <c r="A252" s="2082" t="s">
        <v>384</v>
      </c>
      <c r="B252" s="2048">
        <f>ROUND(SUM(B242:B251),2)</f>
        <v>0</v>
      </c>
      <c r="C252" s="2048"/>
      <c r="D252" s="2048"/>
      <c r="E252" s="2080"/>
      <c r="F252" s="2080"/>
      <c r="G252" s="2080"/>
      <c r="H252" s="2080"/>
      <c r="I252" s="2118" t="s">
        <v>1124</v>
      </c>
    </row>
    <row r="253" s="2075" customFormat="1" spans="1:9">
      <c r="A253" s="2103"/>
      <c r="B253" s="2080"/>
      <c r="C253" s="2080"/>
      <c r="D253" s="2080"/>
      <c r="E253" s="2080"/>
      <c r="F253" s="2080"/>
      <c r="G253" s="2080"/>
      <c r="H253" s="2080"/>
      <c r="I253" s="2076"/>
    </row>
    <row r="254" s="2075" customFormat="1" spans="1:9">
      <c r="A254" s="2096" t="s">
        <v>1030</v>
      </c>
      <c r="B254" s="2080"/>
      <c r="C254" s="2080"/>
      <c r="D254" s="2080"/>
      <c r="E254" s="2080"/>
      <c r="F254" s="2080"/>
      <c r="G254" s="2080"/>
      <c r="H254" s="2080"/>
      <c r="I254" s="2076"/>
    </row>
    <row r="255" s="2075" customFormat="1" spans="1:9">
      <c r="A255" s="2082" t="s">
        <v>494</v>
      </c>
      <c r="B255" s="2082" t="s">
        <v>315</v>
      </c>
      <c r="C255" s="2082" t="s">
        <v>316</v>
      </c>
      <c r="D255" s="2082" t="s">
        <v>495</v>
      </c>
      <c r="E255" s="2080"/>
      <c r="F255" s="2080"/>
      <c r="G255" s="2080"/>
      <c r="H255" s="2080"/>
      <c r="I255" s="2076"/>
    </row>
    <row r="256" s="2075" customFormat="1" spans="1:9">
      <c r="A256" s="2092"/>
      <c r="B256" s="2085"/>
      <c r="C256" s="2085"/>
      <c r="D256" s="2092"/>
      <c r="E256" s="2080"/>
      <c r="F256" s="2080"/>
      <c r="G256" s="2080"/>
      <c r="H256" s="2080"/>
      <c r="I256" s="2118" t="s">
        <v>1125</v>
      </c>
    </row>
    <row r="257" s="2075" customFormat="1" spans="1:9">
      <c r="A257" s="2092"/>
      <c r="B257" s="2085"/>
      <c r="C257" s="2085"/>
      <c r="D257" s="2092"/>
      <c r="E257" s="2080"/>
      <c r="F257" s="2080"/>
      <c r="G257" s="2080"/>
      <c r="H257" s="2080"/>
      <c r="I257" s="2118" t="s">
        <v>1125</v>
      </c>
    </row>
    <row r="258" s="2075" customFormat="1" spans="1:9">
      <c r="A258" s="2092"/>
      <c r="B258" s="2085"/>
      <c r="C258" s="2085"/>
      <c r="D258" s="2092"/>
      <c r="E258" s="2080"/>
      <c r="F258" s="2080"/>
      <c r="G258" s="2080"/>
      <c r="H258" s="2080"/>
      <c r="I258" s="2118" t="s">
        <v>1125</v>
      </c>
    </row>
    <row r="259" s="2075" customFormat="1" spans="1:9">
      <c r="A259" s="2092"/>
      <c r="B259" s="2085"/>
      <c r="C259" s="2085"/>
      <c r="D259" s="2092"/>
      <c r="E259" s="2080"/>
      <c r="F259" s="2080"/>
      <c r="G259" s="2080"/>
      <c r="H259" s="2080"/>
      <c r="I259" s="2118" t="s">
        <v>1125</v>
      </c>
    </row>
    <row r="260" s="2075" customFormat="1" spans="1:9">
      <c r="A260" s="2092"/>
      <c r="B260" s="2085"/>
      <c r="C260" s="2085"/>
      <c r="D260" s="2092"/>
      <c r="E260" s="2080"/>
      <c r="F260" s="2080"/>
      <c r="G260" s="2080"/>
      <c r="H260" s="2080"/>
      <c r="I260" s="2118" t="s">
        <v>1125</v>
      </c>
    </row>
    <row r="261" s="2075" customFormat="1" spans="1:9">
      <c r="A261" s="2092"/>
      <c r="B261" s="2085"/>
      <c r="C261" s="2085"/>
      <c r="D261" s="2092"/>
      <c r="E261" s="2080"/>
      <c r="F261" s="2080"/>
      <c r="G261" s="2080"/>
      <c r="H261" s="2080"/>
      <c r="I261" s="2118" t="s">
        <v>1125</v>
      </c>
    </row>
    <row r="262" s="2075" customFormat="1" spans="1:9">
      <c r="A262" s="2092"/>
      <c r="B262" s="2085"/>
      <c r="C262" s="2085"/>
      <c r="D262" s="2092"/>
      <c r="E262" s="2080"/>
      <c r="F262" s="2080"/>
      <c r="G262" s="2080"/>
      <c r="H262" s="2080"/>
      <c r="I262" s="2118" t="s">
        <v>1125</v>
      </c>
    </row>
    <row r="263" s="2075" customFormat="1" spans="1:9">
      <c r="A263" s="2092"/>
      <c r="B263" s="2085"/>
      <c r="C263" s="2085"/>
      <c r="D263" s="2092"/>
      <c r="E263" s="2080"/>
      <c r="F263" s="2080"/>
      <c r="G263" s="2080"/>
      <c r="H263" s="2080"/>
      <c r="I263" s="2118" t="s">
        <v>1125</v>
      </c>
    </row>
    <row r="264" s="2075" customFormat="1" spans="1:9">
      <c r="A264" s="2092"/>
      <c r="B264" s="2085"/>
      <c r="C264" s="2085"/>
      <c r="D264" s="2092"/>
      <c r="E264" s="2080"/>
      <c r="F264" s="2080"/>
      <c r="G264" s="2080"/>
      <c r="H264" s="2080"/>
      <c r="I264" s="2118" t="s">
        <v>1125</v>
      </c>
    </row>
    <row r="265" s="2075" customFormat="1" spans="1:9">
      <c r="A265" s="2092"/>
      <c r="B265" s="2085"/>
      <c r="C265" s="2085"/>
      <c r="D265" s="2092"/>
      <c r="E265" s="2080"/>
      <c r="F265" s="2080"/>
      <c r="G265" s="2080"/>
      <c r="H265" s="2080"/>
      <c r="I265" s="2118" t="s">
        <v>1125</v>
      </c>
    </row>
    <row r="266" s="2075" customFormat="1" spans="1:9">
      <c r="A266" s="2082" t="s">
        <v>384</v>
      </c>
      <c r="B266" s="2048">
        <f>ROUND(SUM(B256:B265),2)</f>
        <v>0</v>
      </c>
      <c r="C266" s="2048">
        <f>ROUND(SUM(C256:C265),2)</f>
        <v>0</v>
      </c>
      <c r="D266" s="2048"/>
      <c r="E266" s="2080"/>
      <c r="F266" s="2080"/>
      <c r="G266" s="2080"/>
      <c r="H266" s="2080"/>
      <c r="I266" s="2118" t="s">
        <v>1126</v>
      </c>
    </row>
    <row r="267" s="2075" customFormat="1" spans="1:9">
      <c r="A267" s="2103"/>
      <c r="B267" s="2080"/>
      <c r="C267" s="2080"/>
      <c r="D267" s="2080"/>
      <c r="E267" s="2080"/>
      <c r="F267" s="2080"/>
      <c r="G267" s="2080"/>
      <c r="H267" s="2080"/>
      <c r="I267" s="2076"/>
    </row>
    <row r="268" s="2075" customFormat="1" spans="1:9">
      <c r="A268" s="2081" t="s">
        <v>1033</v>
      </c>
      <c r="B268" s="2080"/>
      <c r="C268" s="2080"/>
      <c r="D268" s="2080"/>
      <c r="E268" s="2080"/>
      <c r="F268" s="2080"/>
      <c r="G268" s="2080"/>
      <c r="H268" s="2080"/>
      <c r="I268" s="2076"/>
    </row>
    <row r="269" s="2075" customFormat="1" spans="1:9">
      <c r="A269" s="2082" t="s">
        <v>568</v>
      </c>
      <c r="B269" s="2082" t="s">
        <v>315</v>
      </c>
      <c r="C269" s="2082" t="s">
        <v>316</v>
      </c>
      <c r="D269" s="2082" t="s">
        <v>495</v>
      </c>
      <c r="E269" s="2080"/>
      <c r="F269" s="2080"/>
      <c r="G269" s="2080"/>
      <c r="H269" s="2080"/>
      <c r="I269" s="2076"/>
    </row>
    <row r="270" s="2075" customFormat="1" spans="1:9">
      <c r="A270" s="2092"/>
      <c r="B270" s="2085"/>
      <c r="C270" s="2085"/>
      <c r="D270" s="2092"/>
      <c r="E270" s="2080"/>
      <c r="F270" s="2080"/>
      <c r="G270" s="2080"/>
      <c r="H270" s="2080"/>
      <c r="I270" s="2118" t="s">
        <v>1127</v>
      </c>
    </row>
    <row r="271" s="2075" customFormat="1" spans="1:9">
      <c r="A271" s="2092"/>
      <c r="B271" s="2085"/>
      <c r="C271" s="2085"/>
      <c r="D271" s="2092"/>
      <c r="E271" s="2080"/>
      <c r="F271" s="2080"/>
      <c r="G271" s="2080"/>
      <c r="H271" s="2080"/>
      <c r="I271" s="2118" t="s">
        <v>1127</v>
      </c>
    </row>
    <row r="272" s="2075" customFormat="1" spans="1:9">
      <c r="A272" s="2092"/>
      <c r="B272" s="2085"/>
      <c r="C272" s="2085"/>
      <c r="D272" s="2092"/>
      <c r="E272" s="2080"/>
      <c r="F272" s="2080"/>
      <c r="G272" s="2080"/>
      <c r="H272" s="2080"/>
      <c r="I272" s="2118" t="s">
        <v>1127</v>
      </c>
    </row>
    <row r="273" s="2075" customFormat="1" spans="1:9">
      <c r="A273" s="2092"/>
      <c r="B273" s="2085"/>
      <c r="C273" s="2085"/>
      <c r="D273" s="2092"/>
      <c r="E273" s="2080"/>
      <c r="F273" s="2080"/>
      <c r="G273" s="2080"/>
      <c r="H273" s="2080"/>
      <c r="I273" s="2118" t="s">
        <v>1127</v>
      </c>
    </row>
    <row r="274" s="2075" customFormat="1" spans="1:9">
      <c r="A274" s="2092"/>
      <c r="B274" s="2085"/>
      <c r="C274" s="2085"/>
      <c r="D274" s="2092"/>
      <c r="E274" s="2080"/>
      <c r="F274" s="2080"/>
      <c r="G274" s="2080"/>
      <c r="H274" s="2080"/>
      <c r="I274" s="2118" t="s">
        <v>1127</v>
      </c>
    </row>
    <row r="275" s="2075" customFormat="1" spans="1:9">
      <c r="A275" s="2092"/>
      <c r="B275" s="2085"/>
      <c r="C275" s="2085"/>
      <c r="D275" s="2092"/>
      <c r="E275" s="2080"/>
      <c r="F275" s="2080"/>
      <c r="G275" s="2080"/>
      <c r="H275" s="2080"/>
      <c r="I275" s="2118" t="s">
        <v>1127</v>
      </c>
    </row>
    <row r="276" s="2075" customFormat="1" spans="1:9">
      <c r="A276" s="2092"/>
      <c r="B276" s="2085"/>
      <c r="C276" s="2085"/>
      <c r="D276" s="2092"/>
      <c r="E276" s="2080"/>
      <c r="F276" s="2080"/>
      <c r="G276" s="2080"/>
      <c r="H276" s="2080"/>
      <c r="I276" s="2118" t="s">
        <v>1127</v>
      </c>
    </row>
    <row r="277" s="2075" customFormat="1" spans="1:9">
      <c r="A277" s="2092"/>
      <c r="B277" s="2085"/>
      <c r="C277" s="2085"/>
      <c r="D277" s="2092"/>
      <c r="E277" s="2080"/>
      <c r="F277" s="2080"/>
      <c r="G277" s="2080"/>
      <c r="H277" s="2080"/>
      <c r="I277" s="2118" t="s">
        <v>1127</v>
      </c>
    </row>
    <row r="278" s="2075" customFormat="1" spans="1:9">
      <c r="A278" s="2092"/>
      <c r="B278" s="2085"/>
      <c r="C278" s="2085"/>
      <c r="D278" s="2092"/>
      <c r="E278" s="2080"/>
      <c r="F278" s="2080"/>
      <c r="G278" s="2080"/>
      <c r="H278" s="2080"/>
      <c r="I278" s="2118" t="s">
        <v>1127</v>
      </c>
    </row>
    <row r="279" s="2075" customFormat="1" spans="1:9">
      <c r="A279" s="2092"/>
      <c r="B279" s="2085"/>
      <c r="C279" s="2085"/>
      <c r="D279" s="2092"/>
      <c r="E279" s="2080"/>
      <c r="F279" s="2080"/>
      <c r="G279" s="2080"/>
      <c r="H279" s="2080"/>
      <c r="I279" s="2118" t="s">
        <v>1127</v>
      </c>
    </row>
    <row r="280" s="2075" customFormat="1" spans="1:9">
      <c r="A280" s="2082" t="s">
        <v>384</v>
      </c>
      <c r="B280" s="2048">
        <f>ROUND(SUM(B270:B279),2)</f>
        <v>0</v>
      </c>
      <c r="C280" s="2048">
        <f>ROUND(SUM(C270:C279),2)</f>
        <v>0</v>
      </c>
      <c r="D280" s="2048"/>
      <c r="E280" s="2080"/>
      <c r="F280" s="2080"/>
      <c r="G280" s="2080"/>
      <c r="H280" s="2080"/>
      <c r="I280" s="2118" t="s">
        <v>1128</v>
      </c>
    </row>
    <row r="281" s="2075" customFormat="1" spans="1:9">
      <c r="A281" s="2094"/>
      <c r="B281" s="2100"/>
      <c r="C281" s="2100"/>
      <c r="D281" s="2100"/>
      <c r="E281" s="2080"/>
      <c r="F281" s="2080"/>
      <c r="G281" s="2080"/>
      <c r="H281" s="2080"/>
      <c r="I281" s="2076"/>
    </row>
    <row r="282" s="2075" customFormat="1" spans="1:9">
      <c r="A282" s="2103"/>
      <c r="B282" s="2080"/>
      <c r="C282" s="2080"/>
      <c r="D282" s="2080"/>
      <c r="E282" s="2080"/>
      <c r="F282" s="2080"/>
      <c r="G282" s="2080"/>
      <c r="H282" s="2080"/>
      <c r="I282" s="2076"/>
    </row>
    <row r="283" s="2075" customFormat="1" spans="1:9">
      <c r="A283" s="2079" t="s">
        <v>1129</v>
      </c>
      <c r="B283" s="2080"/>
      <c r="C283" s="2080"/>
      <c r="D283" s="2080"/>
      <c r="E283" s="2080"/>
      <c r="F283" s="2080"/>
      <c r="G283" s="2080"/>
      <c r="H283" s="2080"/>
      <c r="I283" s="2076"/>
    </row>
    <row r="284" s="2075" customFormat="1" spans="1:9">
      <c r="A284" s="2081" t="s">
        <v>1130</v>
      </c>
      <c r="B284" s="2080"/>
      <c r="C284" s="2080"/>
      <c r="D284" s="2080"/>
      <c r="E284" s="2080"/>
      <c r="F284" s="2080"/>
      <c r="G284" s="2080"/>
      <c r="H284" s="2080"/>
      <c r="I284" s="2076"/>
    </row>
    <row r="285" s="2075" customFormat="1" spans="1:9">
      <c r="A285" s="2082" t="s">
        <v>372</v>
      </c>
      <c r="B285" s="2082" t="s">
        <v>315</v>
      </c>
      <c r="C285" s="2082" t="s">
        <v>316</v>
      </c>
      <c r="D285" s="2080"/>
      <c r="E285" s="2080"/>
      <c r="F285" s="2080"/>
      <c r="G285" s="2080"/>
      <c r="H285" s="2080"/>
      <c r="I285" s="2076"/>
    </row>
    <row r="286" s="2075" customFormat="1" spans="1:9">
      <c r="A286" s="2084" t="s">
        <v>226</v>
      </c>
      <c r="B286" s="2085"/>
      <c r="C286" s="2085"/>
      <c r="D286" s="2080"/>
      <c r="E286" s="2080"/>
      <c r="F286" s="2080"/>
      <c r="G286" s="2080"/>
      <c r="H286" s="2080"/>
      <c r="I286" s="2086" t="s">
        <v>1131</v>
      </c>
    </row>
    <row r="287" s="2075" customFormat="1" spans="1:9">
      <c r="A287" s="2084" t="s">
        <v>228</v>
      </c>
      <c r="B287" s="2085"/>
      <c r="C287" s="2085"/>
      <c r="D287" s="2080"/>
      <c r="E287" s="2080"/>
      <c r="F287" s="2080"/>
      <c r="G287" s="2080"/>
      <c r="H287" s="2080"/>
      <c r="I287" s="2086" t="s">
        <v>1132</v>
      </c>
    </row>
    <row r="288" s="2075" customFormat="1" spans="1:9">
      <c r="A288" s="2084" t="s">
        <v>230</v>
      </c>
      <c r="B288" s="2085"/>
      <c r="C288" s="2085"/>
      <c r="D288" s="2080"/>
      <c r="E288" s="2080"/>
      <c r="F288" s="2080"/>
      <c r="G288" s="2080"/>
      <c r="H288" s="2080"/>
      <c r="I288" s="2086" t="s">
        <v>1133</v>
      </c>
    </row>
    <row r="289" s="2075" customFormat="1" spans="1:9">
      <c r="A289" s="2082" t="s">
        <v>384</v>
      </c>
      <c r="B289" s="2048">
        <f>ROUND(SUM(B286:B288),2)</f>
        <v>0</v>
      </c>
      <c r="C289" s="2048">
        <f>ROUND(SUM(C286:C288),2)</f>
        <v>0</v>
      </c>
      <c r="D289" s="2080"/>
      <c r="E289" s="2080"/>
      <c r="F289" s="2080"/>
      <c r="G289" s="2080"/>
      <c r="H289" s="2080"/>
      <c r="I289" s="2086" t="s">
        <v>1134</v>
      </c>
    </row>
    <row r="290" s="2075" customFormat="1" spans="1:9">
      <c r="A290" s="2094"/>
      <c r="B290" s="2100"/>
      <c r="C290" s="2100"/>
      <c r="D290" s="2100"/>
      <c r="E290" s="2080"/>
      <c r="F290" s="2080"/>
      <c r="G290" s="2080"/>
      <c r="H290" s="2080"/>
      <c r="I290" s="2076"/>
    </row>
    <row r="291" s="2075" customFormat="1" spans="1:9">
      <c r="A291" s="2081" t="s">
        <v>1135</v>
      </c>
      <c r="B291" s="2080"/>
      <c r="C291" s="2080"/>
      <c r="D291" s="2080"/>
      <c r="E291" s="2080"/>
      <c r="F291" s="2080"/>
      <c r="G291" s="2080"/>
      <c r="H291" s="2080"/>
      <c r="I291" s="2076"/>
    </row>
    <row r="292" s="2075" customFormat="1" spans="1:9">
      <c r="A292" s="2082" t="s">
        <v>372</v>
      </c>
      <c r="B292" s="2082" t="s">
        <v>315</v>
      </c>
      <c r="C292" s="2082" t="s">
        <v>316</v>
      </c>
      <c r="D292" s="2080"/>
      <c r="E292" s="2080"/>
      <c r="F292" s="2080"/>
      <c r="G292" s="2080"/>
      <c r="H292" s="2080"/>
      <c r="I292" s="2076"/>
    </row>
    <row r="293" s="2075" customFormat="1" spans="1:9">
      <c r="A293" s="2084" t="s">
        <v>982</v>
      </c>
      <c r="B293" s="2085"/>
      <c r="C293" s="2085"/>
      <c r="D293" s="2080"/>
      <c r="E293" s="2080"/>
      <c r="F293" s="2080"/>
      <c r="G293" s="2080"/>
      <c r="H293" s="2080"/>
      <c r="I293" s="2086" t="s">
        <v>1136</v>
      </c>
    </row>
    <row r="294" s="2075" customFormat="1" spans="1:9">
      <c r="A294" s="2084" t="s">
        <v>984</v>
      </c>
      <c r="B294" s="2085"/>
      <c r="C294" s="2085"/>
      <c r="D294" s="2080"/>
      <c r="E294" s="2080"/>
      <c r="F294" s="2080"/>
      <c r="G294" s="2080"/>
      <c r="H294" s="2080"/>
      <c r="I294" s="2086" t="s">
        <v>1137</v>
      </c>
    </row>
    <row r="295" s="2075" customFormat="1" spans="1:9">
      <c r="A295" s="2084" t="s">
        <v>986</v>
      </c>
      <c r="B295" s="2085"/>
      <c r="C295" s="2085"/>
      <c r="D295" s="2080"/>
      <c r="E295" s="2080"/>
      <c r="F295" s="2080"/>
      <c r="G295" s="2080"/>
      <c r="H295" s="2080"/>
      <c r="I295" s="2086" t="s">
        <v>1138</v>
      </c>
    </row>
    <row r="296" s="2075" customFormat="1" spans="1:9">
      <c r="A296" s="2084" t="s">
        <v>988</v>
      </c>
      <c r="B296" s="2120">
        <f>ROUND(B297-B293-B294-B295,2)</f>
        <v>0</v>
      </c>
      <c r="C296" s="2120">
        <f>ROUND(C297-C293-C294-C295,2)</f>
        <v>0</v>
      </c>
      <c r="D296" s="2080"/>
      <c r="E296" s="2080"/>
      <c r="F296" s="2080"/>
      <c r="G296" s="2080"/>
      <c r="H296" s="2080"/>
      <c r="I296" s="2086" t="s">
        <v>1139</v>
      </c>
    </row>
    <row r="297" s="2075" customFormat="1" spans="1:9">
      <c r="A297" s="2082" t="s">
        <v>384</v>
      </c>
      <c r="B297" s="2048">
        <f>ROUND(B286,2)</f>
        <v>0</v>
      </c>
      <c r="C297" s="2048">
        <f>ROUND(C286,2)</f>
        <v>0</v>
      </c>
      <c r="D297" s="2080"/>
      <c r="E297" s="2080"/>
      <c r="F297" s="2080"/>
      <c r="G297" s="2080"/>
      <c r="H297" s="2080"/>
      <c r="I297" s="2086" t="s">
        <v>1140</v>
      </c>
    </row>
    <row r="298" s="2075" customFormat="1" spans="1:9">
      <c r="A298" s="2080"/>
      <c r="B298" s="2080"/>
      <c r="C298" s="2080"/>
      <c r="D298" s="2080"/>
      <c r="E298" s="2080"/>
      <c r="F298" s="2080"/>
      <c r="G298" s="2080"/>
      <c r="H298" s="2080"/>
      <c r="I298" s="2076"/>
    </row>
    <row r="299" s="2075" customFormat="1" spans="1:9">
      <c r="A299" s="2088" t="s">
        <v>1141</v>
      </c>
      <c r="B299" s="2080"/>
      <c r="C299" s="2080"/>
      <c r="D299" s="2080"/>
      <c r="E299" s="2080"/>
      <c r="F299" s="2080"/>
      <c r="G299" s="2080"/>
      <c r="H299" s="2080"/>
      <c r="I299" s="2076"/>
    </row>
    <row r="300" s="2075" customFormat="1" spans="1:9">
      <c r="A300" s="2108" t="s">
        <v>992</v>
      </c>
      <c r="B300" s="2108" t="s">
        <v>993</v>
      </c>
      <c r="C300" s="2108" t="s">
        <v>994</v>
      </c>
      <c r="D300" s="2108" t="s">
        <v>1142</v>
      </c>
      <c r="E300" s="2108" t="s">
        <v>1027</v>
      </c>
      <c r="F300" s="2108" t="s">
        <v>1143</v>
      </c>
      <c r="G300" s="2108" t="s">
        <v>1001</v>
      </c>
      <c r="H300" s="2108" t="s">
        <v>1144</v>
      </c>
      <c r="I300" s="2076"/>
    </row>
    <row r="301" s="2075" customFormat="1" spans="1:9">
      <c r="A301" s="2092"/>
      <c r="B301" s="2085"/>
      <c r="C301" s="2111"/>
      <c r="D301" s="2092"/>
      <c r="E301" s="2092"/>
      <c r="F301" s="2092"/>
      <c r="G301" s="2092"/>
      <c r="H301" s="2113"/>
      <c r="I301" s="2086" t="s">
        <v>1145</v>
      </c>
    </row>
    <row r="302" s="2075" customFormat="1" spans="1:9">
      <c r="A302" s="2092"/>
      <c r="B302" s="2085"/>
      <c r="C302" s="2111"/>
      <c r="D302" s="2092"/>
      <c r="E302" s="2092"/>
      <c r="F302" s="2092"/>
      <c r="G302" s="2092"/>
      <c r="H302" s="2113"/>
      <c r="I302" s="2086" t="s">
        <v>1145</v>
      </c>
    </row>
    <row r="303" s="2075" customFormat="1" spans="1:9">
      <c r="A303" s="2092"/>
      <c r="B303" s="2085"/>
      <c r="C303" s="2111"/>
      <c r="D303" s="2092"/>
      <c r="E303" s="2092"/>
      <c r="F303" s="2092"/>
      <c r="G303" s="2092"/>
      <c r="H303" s="2113"/>
      <c r="I303" s="2086" t="s">
        <v>1145</v>
      </c>
    </row>
    <row r="304" s="2075" customFormat="1" spans="1:9">
      <c r="A304" s="2092"/>
      <c r="B304" s="2085"/>
      <c r="C304" s="2111"/>
      <c r="D304" s="2092"/>
      <c r="E304" s="2092"/>
      <c r="F304" s="2092"/>
      <c r="G304" s="2092"/>
      <c r="H304" s="2113"/>
      <c r="I304" s="2086" t="s">
        <v>1145</v>
      </c>
    </row>
    <row r="305" s="2075" customFormat="1" spans="1:9">
      <c r="A305" s="2092"/>
      <c r="B305" s="2085"/>
      <c r="C305" s="2111"/>
      <c r="D305" s="2092"/>
      <c r="E305" s="2092"/>
      <c r="F305" s="2092"/>
      <c r="G305" s="2092"/>
      <c r="H305" s="2113"/>
      <c r="I305" s="2086" t="s">
        <v>1145</v>
      </c>
    </row>
    <row r="306" s="2075" customFormat="1" spans="1:9">
      <c r="A306" s="2092"/>
      <c r="B306" s="2085"/>
      <c r="C306" s="2111"/>
      <c r="D306" s="2092"/>
      <c r="E306" s="2092"/>
      <c r="F306" s="2092"/>
      <c r="G306" s="2092"/>
      <c r="H306" s="2113"/>
      <c r="I306" s="2086" t="s">
        <v>1145</v>
      </c>
    </row>
    <row r="307" s="2075" customFormat="1" spans="1:9">
      <c r="A307" s="2092"/>
      <c r="B307" s="2085"/>
      <c r="C307" s="2111"/>
      <c r="D307" s="2092"/>
      <c r="E307" s="2092"/>
      <c r="F307" s="2092"/>
      <c r="G307" s="2092"/>
      <c r="H307" s="2113"/>
      <c r="I307" s="2086" t="s">
        <v>1145</v>
      </c>
    </row>
    <row r="308" s="2075" customFormat="1" spans="1:9">
      <c r="A308" s="2092"/>
      <c r="B308" s="2085"/>
      <c r="C308" s="2111"/>
      <c r="D308" s="2092"/>
      <c r="E308" s="2092"/>
      <c r="F308" s="2092"/>
      <c r="G308" s="2092"/>
      <c r="H308" s="2113"/>
      <c r="I308" s="2086" t="s">
        <v>1145</v>
      </c>
    </row>
    <row r="309" s="2075" customFormat="1" spans="1:9">
      <c r="A309" s="2092"/>
      <c r="B309" s="2085"/>
      <c r="C309" s="2111"/>
      <c r="D309" s="2092"/>
      <c r="E309" s="2092"/>
      <c r="F309" s="2092"/>
      <c r="G309" s="2092"/>
      <c r="H309" s="2113"/>
      <c r="I309" s="2086" t="s">
        <v>1145</v>
      </c>
    </row>
    <row r="310" s="2075" customFormat="1" spans="1:9">
      <c r="A310" s="2092"/>
      <c r="B310" s="2085"/>
      <c r="C310" s="2111"/>
      <c r="D310" s="2092"/>
      <c r="E310" s="2092"/>
      <c r="F310" s="2092"/>
      <c r="G310" s="2092"/>
      <c r="H310" s="2113"/>
      <c r="I310" s="2086" t="s">
        <v>1145</v>
      </c>
    </row>
    <row r="311" s="2075" customFormat="1" spans="1:9">
      <c r="A311" s="2082" t="s">
        <v>384</v>
      </c>
      <c r="B311" s="2048">
        <f>ROUND(SUM(B301:B310),2)</f>
        <v>0</v>
      </c>
      <c r="C311" s="2098"/>
      <c r="D311" s="2098"/>
      <c r="E311" s="2098"/>
      <c r="F311" s="2098"/>
      <c r="G311" s="2098"/>
      <c r="H311" s="2098"/>
      <c r="I311" s="2086" t="s">
        <v>1146</v>
      </c>
    </row>
    <row r="312" s="2075" customFormat="1" spans="1:9">
      <c r="A312" s="2103"/>
      <c r="B312" s="2080"/>
      <c r="C312" s="2080"/>
      <c r="D312" s="2080"/>
      <c r="E312" s="2080"/>
      <c r="F312" s="2080"/>
      <c r="G312" s="2080"/>
      <c r="H312" s="2080"/>
      <c r="I312" s="2076"/>
    </row>
    <row r="313" s="2075" customFormat="1" spans="1:9">
      <c r="A313" s="2081" t="s">
        <v>1147</v>
      </c>
      <c r="B313" s="2080"/>
      <c r="C313" s="2080"/>
      <c r="D313" s="2080"/>
      <c r="E313" s="2080"/>
      <c r="F313" s="2080"/>
      <c r="G313" s="2080"/>
      <c r="H313" s="2080"/>
      <c r="I313" s="2076"/>
    </row>
    <row r="314" s="2075" customFormat="1" spans="1:9">
      <c r="A314" s="2082" t="s">
        <v>372</v>
      </c>
      <c r="B314" s="2108" t="s">
        <v>1148</v>
      </c>
      <c r="C314" s="2108" t="s">
        <v>1149</v>
      </c>
      <c r="D314" s="2108" t="s">
        <v>1150</v>
      </c>
      <c r="E314" s="2108" t="s">
        <v>1151</v>
      </c>
      <c r="F314" s="2108" t="s">
        <v>1152</v>
      </c>
      <c r="G314" s="2108" t="s">
        <v>1153</v>
      </c>
      <c r="H314" s="2108" t="s">
        <v>515</v>
      </c>
      <c r="I314" s="2076"/>
    </row>
    <row r="315" s="2075" customFormat="1" spans="1:9">
      <c r="A315" s="2092"/>
      <c r="B315" s="2092"/>
      <c r="C315" s="2092"/>
      <c r="D315" s="2113"/>
      <c r="E315" s="2085"/>
      <c r="F315" s="2085"/>
      <c r="G315" s="2085"/>
      <c r="H315" s="2085"/>
      <c r="I315" s="2086" t="s">
        <v>1154</v>
      </c>
    </row>
    <row r="316" s="2075" customFormat="1" spans="1:9">
      <c r="A316" s="2092"/>
      <c r="B316" s="2092"/>
      <c r="C316" s="2092"/>
      <c r="D316" s="2113"/>
      <c r="E316" s="2085"/>
      <c r="F316" s="2085"/>
      <c r="G316" s="2085"/>
      <c r="H316" s="2085"/>
      <c r="I316" s="2086" t="s">
        <v>1154</v>
      </c>
    </row>
    <row r="317" s="2075" customFormat="1" spans="1:9">
      <c r="A317" s="2092"/>
      <c r="B317" s="2092"/>
      <c r="C317" s="2092"/>
      <c r="D317" s="2113"/>
      <c r="E317" s="2085"/>
      <c r="F317" s="2085"/>
      <c r="G317" s="2085"/>
      <c r="H317" s="2085"/>
      <c r="I317" s="2086" t="s">
        <v>1154</v>
      </c>
    </row>
    <row r="318" s="2075" customFormat="1" spans="1:9">
      <c r="A318" s="2092"/>
      <c r="B318" s="2092"/>
      <c r="C318" s="2092"/>
      <c r="D318" s="2113"/>
      <c r="E318" s="2085"/>
      <c r="F318" s="2085"/>
      <c r="G318" s="2085"/>
      <c r="H318" s="2085"/>
      <c r="I318" s="2086" t="s">
        <v>1154</v>
      </c>
    </row>
    <row r="319" s="2075" customFormat="1" spans="1:9">
      <c r="A319" s="2092"/>
      <c r="B319" s="2092"/>
      <c r="C319" s="2092"/>
      <c r="D319" s="2113"/>
      <c r="E319" s="2085"/>
      <c r="F319" s="2085"/>
      <c r="G319" s="2085"/>
      <c r="H319" s="2085"/>
      <c r="I319" s="2086" t="s">
        <v>1154</v>
      </c>
    </row>
    <row r="320" s="2075" customFormat="1" spans="1:9">
      <c r="A320" s="2092"/>
      <c r="B320" s="2092"/>
      <c r="C320" s="2092"/>
      <c r="D320" s="2113"/>
      <c r="E320" s="2085"/>
      <c r="F320" s="2085"/>
      <c r="G320" s="2085"/>
      <c r="H320" s="2085"/>
      <c r="I320" s="2086" t="s">
        <v>1154</v>
      </c>
    </row>
    <row r="321" s="2075" customFormat="1" spans="1:9">
      <c r="A321" s="2092"/>
      <c r="B321" s="2092"/>
      <c r="C321" s="2092"/>
      <c r="D321" s="2113"/>
      <c r="E321" s="2085"/>
      <c r="F321" s="2085"/>
      <c r="G321" s="2085"/>
      <c r="H321" s="2085"/>
      <c r="I321" s="2086" t="s">
        <v>1154</v>
      </c>
    </row>
    <row r="322" s="2075" customFormat="1" spans="1:9">
      <c r="A322" s="2092"/>
      <c r="B322" s="2092"/>
      <c r="C322" s="2092"/>
      <c r="D322" s="2113"/>
      <c r="E322" s="2085"/>
      <c r="F322" s="2085"/>
      <c r="G322" s="2085"/>
      <c r="H322" s="2085"/>
      <c r="I322" s="2086" t="s">
        <v>1154</v>
      </c>
    </row>
    <row r="323" s="2075" customFormat="1" spans="1:9">
      <c r="A323" s="2092"/>
      <c r="B323" s="2092"/>
      <c r="C323" s="2092"/>
      <c r="D323" s="2113"/>
      <c r="E323" s="2085"/>
      <c r="F323" s="2085"/>
      <c r="G323" s="2085"/>
      <c r="H323" s="2085"/>
      <c r="I323" s="2086" t="s">
        <v>1154</v>
      </c>
    </row>
    <row r="324" s="2075" customFormat="1" spans="1:9">
      <c r="A324" s="2092"/>
      <c r="B324" s="2092"/>
      <c r="C324" s="2092"/>
      <c r="D324" s="2113"/>
      <c r="E324" s="2085"/>
      <c r="F324" s="2085"/>
      <c r="G324" s="2085"/>
      <c r="H324" s="2085"/>
      <c r="I324" s="2086" t="s">
        <v>1154</v>
      </c>
    </row>
    <row r="325" s="2075" customFormat="1" spans="1:9">
      <c r="A325" s="2082" t="s">
        <v>384</v>
      </c>
      <c r="B325" s="2098"/>
      <c r="C325" s="2098"/>
      <c r="D325" s="2098"/>
      <c r="E325" s="2048">
        <f>ROUND(SUM(E315:E324),2)</f>
        <v>0</v>
      </c>
      <c r="F325" s="2048">
        <f>ROUND(SUM(F315:F324),2)</f>
        <v>0</v>
      </c>
      <c r="G325" s="2048">
        <f>ROUND(SUM(G315:G324),2)</f>
        <v>0</v>
      </c>
      <c r="H325" s="2048">
        <f>ROUND(SUM(H315:H324),2)</f>
        <v>0</v>
      </c>
      <c r="I325" s="2086" t="s">
        <v>1155</v>
      </c>
    </row>
    <row r="326" s="2075" customFormat="1" spans="1:9">
      <c r="A326" s="2094"/>
      <c r="B326" s="2095"/>
      <c r="C326" s="2095"/>
      <c r="D326" s="2095"/>
      <c r="E326" s="2095"/>
      <c r="F326" s="2095"/>
      <c r="G326" s="2080"/>
      <c r="H326" s="2080"/>
      <c r="I326" s="2076"/>
    </row>
    <row r="327" s="2075" customFormat="1" spans="1:9">
      <c r="A327" s="2081" t="s">
        <v>1156</v>
      </c>
      <c r="B327" s="2080"/>
      <c r="C327" s="2080"/>
      <c r="D327" s="2080"/>
      <c r="E327" s="2080"/>
      <c r="F327" s="2080"/>
      <c r="G327" s="2080"/>
      <c r="H327" s="2080"/>
      <c r="I327" s="2076"/>
    </row>
    <row r="328" s="2075" customFormat="1" spans="1:9">
      <c r="A328" s="2082" t="s">
        <v>372</v>
      </c>
      <c r="B328" s="2084" t="s">
        <v>626</v>
      </c>
      <c r="C328" s="2084" t="s">
        <v>627</v>
      </c>
      <c r="D328" s="2108" t="s">
        <v>1149</v>
      </c>
      <c r="E328" s="2080"/>
      <c r="F328" s="2080"/>
      <c r="G328" s="2080"/>
      <c r="H328" s="2080"/>
      <c r="I328" s="2076"/>
    </row>
    <row r="329" s="2075" customFormat="1" spans="1:9">
      <c r="A329" s="2092"/>
      <c r="B329" s="2085"/>
      <c r="C329" s="2085"/>
      <c r="D329" s="2092"/>
      <c r="E329" s="2080"/>
      <c r="F329" s="2080"/>
      <c r="G329" s="2080"/>
      <c r="H329" s="2080"/>
      <c r="I329" s="2086" t="s">
        <v>1157</v>
      </c>
    </row>
    <row r="330" s="2075" customFormat="1" spans="1:9">
      <c r="A330" s="2092"/>
      <c r="B330" s="2085"/>
      <c r="C330" s="2085"/>
      <c r="D330" s="2092"/>
      <c r="E330" s="2080"/>
      <c r="F330" s="2080"/>
      <c r="G330" s="2080"/>
      <c r="H330" s="2080"/>
      <c r="I330" s="2086" t="s">
        <v>1157</v>
      </c>
    </row>
    <row r="331" s="2075" customFormat="1" spans="1:9">
      <c r="A331" s="2092"/>
      <c r="B331" s="2085"/>
      <c r="C331" s="2085"/>
      <c r="D331" s="2092"/>
      <c r="E331" s="2080"/>
      <c r="F331" s="2080"/>
      <c r="G331" s="2080"/>
      <c r="H331" s="2080"/>
      <c r="I331" s="2086" t="s">
        <v>1157</v>
      </c>
    </row>
    <row r="332" s="2075" customFormat="1" spans="1:9">
      <c r="A332" s="2092"/>
      <c r="B332" s="2085"/>
      <c r="C332" s="2085"/>
      <c r="D332" s="2092"/>
      <c r="E332" s="2080"/>
      <c r="F332" s="2080"/>
      <c r="G332" s="2080"/>
      <c r="H332" s="2080"/>
      <c r="I332" s="2086" t="s">
        <v>1157</v>
      </c>
    </row>
    <row r="333" s="2075" customFormat="1" spans="1:9">
      <c r="A333" s="2092"/>
      <c r="B333" s="2085"/>
      <c r="C333" s="2085"/>
      <c r="D333" s="2092"/>
      <c r="E333" s="2080"/>
      <c r="F333" s="2080"/>
      <c r="G333" s="2080"/>
      <c r="H333" s="2080"/>
      <c r="I333" s="2086" t="s">
        <v>1157</v>
      </c>
    </row>
    <row r="334" s="2075" customFormat="1" spans="1:9">
      <c r="A334" s="2092"/>
      <c r="B334" s="2085"/>
      <c r="C334" s="2085"/>
      <c r="D334" s="2092"/>
      <c r="E334" s="2080"/>
      <c r="F334" s="2080"/>
      <c r="G334" s="2080"/>
      <c r="H334" s="2080"/>
      <c r="I334" s="2086" t="s">
        <v>1157</v>
      </c>
    </row>
    <row r="335" s="2075" customFormat="1" spans="1:9">
      <c r="A335" s="2092"/>
      <c r="B335" s="2085"/>
      <c r="C335" s="2085"/>
      <c r="D335" s="2092"/>
      <c r="E335" s="2080"/>
      <c r="F335" s="2080"/>
      <c r="G335" s="2080"/>
      <c r="H335" s="2080"/>
      <c r="I335" s="2086" t="s">
        <v>1157</v>
      </c>
    </row>
    <row r="336" s="2075" customFormat="1" spans="1:9">
      <c r="A336" s="2092"/>
      <c r="B336" s="2085"/>
      <c r="C336" s="2085"/>
      <c r="D336" s="2092"/>
      <c r="E336" s="2080"/>
      <c r="F336" s="2080"/>
      <c r="G336" s="2080"/>
      <c r="H336" s="2080"/>
      <c r="I336" s="2086" t="s">
        <v>1157</v>
      </c>
    </row>
    <row r="337" s="2075" customFormat="1" spans="1:9">
      <c r="A337" s="2092"/>
      <c r="B337" s="2085"/>
      <c r="C337" s="2085"/>
      <c r="D337" s="2092"/>
      <c r="E337" s="2080"/>
      <c r="F337" s="2080"/>
      <c r="G337" s="2080"/>
      <c r="H337" s="2080"/>
      <c r="I337" s="2086" t="s">
        <v>1157</v>
      </c>
    </row>
    <row r="338" s="2075" customFormat="1" spans="1:9">
      <c r="A338" s="2092"/>
      <c r="B338" s="2085"/>
      <c r="C338" s="2085"/>
      <c r="D338" s="2092"/>
      <c r="E338" s="2080"/>
      <c r="F338" s="2080"/>
      <c r="G338" s="2080"/>
      <c r="H338" s="2080"/>
      <c r="I338" s="2086" t="s">
        <v>1157</v>
      </c>
    </row>
    <row r="339" s="2075" customFormat="1" spans="1:9">
      <c r="A339" s="2082" t="s">
        <v>384</v>
      </c>
      <c r="B339" s="2048">
        <f>ROUND(SUM(B329:B338),2)</f>
        <v>0</v>
      </c>
      <c r="C339" s="2048">
        <f>ROUND(SUM(C329:C338),2)</f>
        <v>0</v>
      </c>
      <c r="D339" s="2098"/>
      <c r="E339" s="2080"/>
      <c r="F339" s="2080"/>
      <c r="G339" s="2080"/>
      <c r="H339" s="2080"/>
      <c r="I339" s="2086" t="s">
        <v>1158</v>
      </c>
    </row>
    <row r="340" s="2075" customFormat="1" spans="1:9">
      <c r="A340" s="2099"/>
      <c r="B340" s="2100"/>
      <c r="C340" s="2100"/>
      <c r="D340" s="2095"/>
      <c r="E340" s="2080"/>
      <c r="F340" s="2080"/>
      <c r="G340" s="2080"/>
      <c r="H340" s="2080"/>
      <c r="I340" s="2086"/>
    </row>
    <row r="341" s="2075" customFormat="1" spans="1:9">
      <c r="A341" s="2103"/>
      <c r="B341" s="2080"/>
      <c r="C341" s="2080"/>
      <c r="D341" s="2080"/>
      <c r="E341" s="2080"/>
      <c r="F341" s="2080"/>
      <c r="G341" s="2080"/>
      <c r="H341" s="2080"/>
      <c r="I341" s="2076"/>
    </row>
    <row r="342" s="2075" customFormat="1" spans="1:9">
      <c r="A342" s="2079" t="s">
        <v>1159</v>
      </c>
      <c r="B342" s="2080"/>
      <c r="C342" s="2080"/>
      <c r="D342" s="2080"/>
      <c r="E342" s="2080"/>
      <c r="F342" s="2080"/>
      <c r="G342" s="2080"/>
      <c r="H342" s="2080"/>
      <c r="I342" s="2076"/>
    </row>
    <row r="343" s="2075" customFormat="1" spans="1:9">
      <c r="A343" s="2082" t="s">
        <v>372</v>
      </c>
      <c r="B343" s="2082" t="s">
        <v>315</v>
      </c>
      <c r="C343" s="2082" t="s">
        <v>316</v>
      </c>
      <c r="D343" s="2080"/>
      <c r="E343" s="2080"/>
      <c r="F343" s="2080"/>
      <c r="G343" s="2080"/>
      <c r="H343" s="2080"/>
      <c r="I343" s="2076"/>
    </row>
    <row r="344" s="2075" customFormat="1" spans="1:9">
      <c r="A344" s="2092"/>
      <c r="B344" s="2085"/>
      <c r="C344" s="2085"/>
      <c r="D344" s="2080"/>
      <c r="E344" s="2080"/>
      <c r="F344" s="2080"/>
      <c r="G344" s="2080"/>
      <c r="H344" s="2080"/>
      <c r="I344" s="2086" t="s">
        <v>218</v>
      </c>
    </row>
    <row r="345" s="2075" customFormat="1" spans="1:9">
      <c r="A345" s="2092"/>
      <c r="B345" s="2085"/>
      <c r="C345" s="2085"/>
      <c r="D345" s="2080"/>
      <c r="E345" s="2080"/>
      <c r="F345" s="2080"/>
      <c r="G345" s="2080"/>
      <c r="H345" s="2080"/>
      <c r="I345" s="2086" t="s">
        <v>218</v>
      </c>
    </row>
    <row r="346" s="2075" customFormat="1" spans="1:9">
      <c r="A346" s="2092"/>
      <c r="B346" s="2085"/>
      <c r="C346" s="2085"/>
      <c r="D346" s="2080"/>
      <c r="E346" s="2080"/>
      <c r="F346" s="2080"/>
      <c r="G346" s="2080"/>
      <c r="H346" s="2080"/>
      <c r="I346" s="2086" t="s">
        <v>218</v>
      </c>
    </row>
    <row r="347" s="2075" customFormat="1" spans="1:9">
      <c r="A347" s="2092"/>
      <c r="B347" s="2085"/>
      <c r="C347" s="2085"/>
      <c r="D347" s="2080"/>
      <c r="E347" s="2080"/>
      <c r="F347" s="2080"/>
      <c r="G347" s="2080"/>
      <c r="H347" s="2080"/>
      <c r="I347" s="2086" t="s">
        <v>218</v>
      </c>
    </row>
    <row r="348" s="2075" customFormat="1" spans="1:9">
      <c r="A348" s="2092"/>
      <c r="B348" s="2085"/>
      <c r="C348" s="2085"/>
      <c r="D348" s="2080"/>
      <c r="E348" s="2080"/>
      <c r="F348" s="2080"/>
      <c r="G348" s="2080"/>
      <c r="H348" s="2080"/>
      <c r="I348" s="2086" t="s">
        <v>218</v>
      </c>
    </row>
    <row r="349" s="2075" customFormat="1" spans="1:9">
      <c r="A349" s="2092"/>
      <c r="B349" s="2085"/>
      <c r="C349" s="2085"/>
      <c r="D349" s="2080"/>
      <c r="E349" s="2080"/>
      <c r="F349" s="2080"/>
      <c r="G349" s="2080"/>
      <c r="H349" s="2080"/>
      <c r="I349" s="2086" t="s">
        <v>218</v>
      </c>
    </row>
    <row r="350" s="2075" customFormat="1" spans="1:9">
      <c r="A350" s="2092"/>
      <c r="B350" s="2085"/>
      <c r="C350" s="2085"/>
      <c r="D350" s="2080"/>
      <c r="E350" s="2080"/>
      <c r="F350" s="2080"/>
      <c r="G350" s="2080"/>
      <c r="H350" s="2080"/>
      <c r="I350" s="2086" t="s">
        <v>218</v>
      </c>
    </row>
    <row r="351" s="2075" customFormat="1" spans="1:9">
      <c r="A351" s="2092"/>
      <c r="B351" s="2085"/>
      <c r="C351" s="2085"/>
      <c r="D351" s="2080"/>
      <c r="E351" s="2080"/>
      <c r="F351" s="2080"/>
      <c r="G351" s="2080"/>
      <c r="H351" s="2080"/>
      <c r="I351" s="2086" t="s">
        <v>218</v>
      </c>
    </row>
    <row r="352" s="2075" customFormat="1" spans="1:9">
      <c r="A352" s="2092"/>
      <c r="B352" s="2085"/>
      <c r="C352" s="2085"/>
      <c r="D352" s="2080"/>
      <c r="E352" s="2080"/>
      <c r="F352" s="2080"/>
      <c r="G352" s="2080"/>
      <c r="H352" s="2080"/>
      <c r="I352" s="2086" t="s">
        <v>218</v>
      </c>
    </row>
    <row r="353" s="2075" customFormat="1" spans="1:9">
      <c r="A353" s="2092"/>
      <c r="B353" s="2085"/>
      <c r="C353" s="2085"/>
      <c r="D353" s="2080"/>
      <c r="E353" s="2080"/>
      <c r="F353" s="2080"/>
      <c r="G353" s="2080"/>
      <c r="H353" s="2080"/>
      <c r="I353" s="2086" t="s">
        <v>218</v>
      </c>
    </row>
    <row r="354" s="2075" customFormat="1" spans="1:9">
      <c r="A354" s="2082" t="s">
        <v>384</v>
      </c>
      <c r="B354" s="2048">
        <f>ROUND(SUM(B344:B353),2)</f>
        <v>0</v>
      </c>
      <c r="C354" s="2048">
        <f>ROUND(SUM(C344:C353),2)</f>
        <v>0</v>
      </c>
      <c r="D354" s="2080"/>
      <c r="E354" s="2080"/>
      <c r="F354" s="2080"/>
      <c r="G354" s="2080"/>
      <c r="H354" s="2080"/>
      <c r="I354" s="2086" t="s">
        <v>1160</v>
      </c>
    </row>
    <row r="355" s="2075" customFormat="1" spans="1:9">
      <c r="A355" s="2103"/>
      <c r="B355" s="2080"/>
      <c r="C355" s="2080"/>
      <c r="D355" s="2080"/>
      <c r="E355" s="2080"/>
      <c r="F355" s="2080"/>
      <c r="G355" s="2080"/>
      <c r="H355" s="2080"/>
      <c r="I355" s="2076"/>
    </row>
    <row r="356" s="2075" customFormat="1" spans="1:9">
      <c r="A356" s="2103"/>
      <c r="B356" s="2080"/>
      <c r="C356" s="2080"/>
      <c r="D356" s="2080"/>
      <c r="E356" s="2080"/>
      <c r="F356" s="2080"/>
      <c r="G356" s="2080"/>
      <c r="H356" s="2080"/>
      <c r="I356" s="2076"/>
    </row>
    <row r="357" s="2075" customFormat="1" spans="1:9">
      <c r="A357" s="2079" t="s">
        <v>1161</v>
      </c>
      <c r="B357" s="2080"/>
      <c r="C357" s="2080"/>
      <c r="D357" s="2080"/>
      <c r="E357" s="2080"/>
      <c r="F357" s="2080"/>
      <c r="G357" s="2080"/>
      <c r="H357" s="2080"/>
      <c r="I357" s="2076"/>
    </row>
    <row r="358" s="2075" customFormat="1" spans="1:9">
      <c r="A358" s="2081" t="s">
        <v>313</v>
      </c>
      <c r="B358" s="2080"/>
      <c r="C358" s="2080"/>
      <c r="D358" s="2080"/>
      <c r="E358" s="2080"/>
      <c r="F358" s="2080"/>
      <c r="G358" s="2080"/>
      <c r="H358" s="2080"/>
      <c r="I358" s="2076"/>
    </row>
    <row r="359" s="2075" customFormat="1" spans="1:9">
      <c r="A359" s="2082" t="s">
        <v>372</v>
      </c>
      <c r="B359" s="2082" t="s">
        <v>315</v>
      </c>
      <c r="C359" s="2082" t="s">
        <v>316</v>
      </c>
      <c r="D359" s="2080"/>
      <c r="E359" s="2080"/>
      <c r="F359" s="2080"/>
      <c r="G359" s="2080"/>
      <c r="H359" s="2080"/>
      <c r="I359" s="2076"/>
    </row>
    <row r="360" s="2075" customFormat="1" spans="1:9">
      <c r="A360" s="2084" t="s">
        <v>982</v>
      </c>
      <c r="B360" s="2085"/>
      <c r="C360" s="2085"/>
      <c r="D360" s="2080"/>
      <c r="E360" s="2080"/>
      <c r="F360" s="2080"/>
      <c r="G360" s="2080"/>
      <c r="H360" s="2080"/>
      <c r="I360" s="2086" t="s">
        <v>1162</v>
      </c>
    </row>
    <row r="361" s="2075" customFormat="1" spans="1:9">
      <c r="A361" s="2084" t="s">
        <v>984</v>
      </c>
      <c r="B361" s="2085"/>
      <c r="C361" s="2085"/>
      <c r="D361" s="2080"/>
      <c r="E361" s="2080"/>
      <c r="F361" s="2080"/>
      <c r="G361" s="2080"/>
      <c r="H361" s="2080"/>
      <c r="I361" s="2086" t="s">
        <v>1163</v>
      </c>
    </row>
    <row r="362" s="2075" customFormat="1" spans="1:9">
      <c r="A362" s="2084" t="s">
        <v>986</v>
      </c>
      <c r="B362" s="2085"/>
      <c r="C362" s="2085"/>
      <c r="D362" s="2080"/>
      <c r="E362" s="2080"/>
      <c r="F362" s="2080"/>
      <c r="G362" s="2080"/>
      <c r="H362" s="2080"/>
      <c r="I362" s="2086" t="s">
        <v>1164</v>
      </c>
    </row>
    <row r="363" s="2075" customFormat="1" spans="1:9">
      <c r="A363" s="2084" t="s">
        <v>988</v>
      </c>
      <c r="B363" s="2085"/>
      <c r="C363" s="2085"/>
      <c r="D363" s="2080"/>
      <c r="E363" s="2080"/>
      <c r="F363" s="2080"/>
      <c r="G363" s="2080"/>
      <c r="H363" s="2080"/>
      <c r="I363" s="2086" t="s">
        <v>1165</v>
      </c>
    </row>
    <row r="364" s="2075" customFormat="1" spans="1:9">
      <c r="A364" s="2082" t="s">
        <v>384</v>
      </c>
      <c r="B364" s="2048">
        <f>ROUND(SUM(B360:B363),2)</f>
        <v>0</v>
      </c>
      <c r="C364" s="2048">
        <f>ROUND(SUM(C360:C363),2)</f>
        <v>0</v>
      </c>
      <c r="D364" s="2080"/>
      <c r="E364" s="2080"/>
      <c r="F364" s="2080"/>
      <c r="G364" s="2080"/>
      <c r="H364" s="2080"/>
      <c r="I364" s="2086" t="s">
        <v>1166</v>
      </c>
    </row>
    <row r="365" s="2075" customFormat="1" spans="1:9">
      <c r="A365" s="2080"/>
      <c r="B365" s="2080"/>
      <c r="C365" s="2080"/>
      <c r="D365" s="2080"/>
      <c r="E365" s="2080"/>
      <c r="F365" s="2080"/>
      <c r="G365" s="2080"/>
      <c r="H365" s="2080"/>
      <c r="I365" s="2076"/>
    </row>
    <row r="366" s="2075" customFormat="1" spans="1:9">
      <c r="A366" s="2088" t="s">
        <v>1167</v>
      </c>
      <c r="B366" s="2080"/>
      <c r="C366" s="2080"/>
      <c r="D366" s="2080"/>
      <c r="E366" s="2080"/>
      <c r="F366" s="2080"/>
      <c r="G366" s="2080"/>
      <c r="H366" s="2080"/>
      <c r="I366" s="2076"/>
    </row>
    <row r="367" s="2075" customFormat="1" spans="1:9">
      <c r="A367" s="2108" t="s">
        <v>992</v>
      </c>
      <c r="B367" s="2108" t="s">
        <v>993</v>
      </c>
      <c r="C367" s="2108" t="s">
        <v>994</v>
      </c>
      <c r="D367" s="2108" t="s">
        <v>995</v>
      </c>
      <c r="E367" s="2108" t="s">
        <v>1168</v>
      </c>
      <c r="F367" s="2108" t="s">
        <v>1169</v>
      </c>
      <c r="G367" s="2080"/>
      <c r="H367" s="2080"/>
      <c r="I367" s="2076"/>
    </row>
    <row r="368" s="2075" customFormat="1" spans="1:9">
      <c r="A368" s="2092"/>
      <c r="B368" s="2085"/>
      <c r="C368" s="2111"/>
      <c r="D368" s="2092"/>
      <c r="E368" s="2113"/>
      <c r="F368" s="2113"/>
      <c r="G368" s="2080"/>
      <c r="H368" s="2080"/>
      <c r="I368" s="2086" t="s">
        <v>1170</v>
      </c>
    </row>
    <row r="369" s="2075" customFormat="1" spans="1:9">
      <c r="A369" s="2092"/>
      <c r="B369" s="2085"/>
      <c r="C369" s="2111"/>
      <c r="D369" s="2092"/>
      <c r="E369" s="2113"/>
      <c r="F369" s="2113"/>
      <c r="G369" s="2080"/>
      <c r="H369" s="2080"/>
      <c r="I369" s="2086" t="s">
        <v>1170</v>
      </c>
    </row>
    <row r="370" s="2075" customFormat="1" spans="1:9">
      <c r="A370" s="2092"/>
      <c r="B370" s="2085"/>
      <c r="C370" s="2111"/>
      <c r="D370" s="2092"/>
      <c r="E370" s="2113"/>
      <c r="F370" s="2113"/>
      <c r="G370" s="2080"/>
      <c r="H370" s="2080"/>
      <c r="I370" s="2086" t="s">
        <v>1170</v>
      </c>
    </row>
    <row r="371" s="2075" customFormat="1" spans="1:9">
      <c r="A371" s="2092"/>
      <c r="B371" s="2085"/>
      <c r="C371" s="2111"/>
      <c r="D371" s="2092"/>
      <c r="E371" s="2113"/>
      <c r="F371" s="2113"/>
      <c r="G371" s="2080"/>
      <c r="H371" s="2080"/>
      <c r="I371" s="2086" t="s">
        <v>1170</v>
      </c>
    </row>
    <row r="372" s="2075" customFormat="1" spans="1:9">
      <c r="A372" s="2092"/>
      <c r="B372" s="2085"/>
      <c r="C372" s="2111"/>
      <c r="D372" s="2092"/>
      <c r="E372" s="2113"/>
      <c r="F372" s="2113"/>
      <c r="G372" s="2080"/>
      <c r="H372" s="2080"/>
      <c r="I372" s="2086" t="s">
        <v>1170</v>
      </c>
    </row>
    <row r="373" s="2075" customFormat="1" spans="1:9">
      <c r="A373" s="2092"/>
      <c r="B373" s="2085"/>
      <c r="C373" s="2111"/>
      <c r="D373" s="2092"/>
      <c r="E373" s="2113"/>
      <c r="F373" s="2113"/>
      <c r="G373" s="2080"/>
      <c r="H373" s="2080"/>
      <c r="I373" s="2086" t="s">
        <v>1170</v>
      </c>
    </row>
    <row r="374" s="2075" customFormat="1" spans="1:9">
      <c r="A374" s="2092"/>
      <c r="B374" s="2085"/>
      <c r="C374" s="2111"/>
      <c r="D374" s="2092"/>
      <c r="E374" s="2113"/>
      <c r="F374" s="2113"/>
      <c r="G374" s="2080"/>
      <c r="H374" s="2080"/>
      <c r="I374" s="2086" t="s">
        <v>1170</v>
      </c>
    </row>
    <row r="375" s="2075" customFormat="1" spans="1:9">
      <c r="A375" s="2092"/>
      <c r="B375" s="2085"/>
      <c r="C375" s="2111"/>
      <c r="D375" s="2092"/>
      <c r="E375" s="2113"/>
      <c r="F375" s="2113"/>
      <c r="G375" s="2080"/>
      <c r="H375" s="2080"/>
      <c r="I375" s="2086" t="s">
        <v>1170</v>
      </c>
    </row>
    <row r="376" s="2075" customFormat="1" spans="1:9">
      <c r="A376" s="2092"/>
      <c r="B376" s="2085"/>
      <c r="C376" s="2111"/>
      <c r="D376" s="2092"/>
      <c r="E376" s="2113"/>
      <c r="F376" s="2113"/>
      <c r="G376" s="2080"/>
      <c r="H376" s="2080"/>
      <c r="I376" s="2086" t="s">
        <v>1170</v>
      </c>
    </row>
    <row r="377" s="2075" customFormat="1" spans="1:9">
      <c r="A377" s="2092"/>
      <c r="B377" s="2085"/>
      <c r="C377" s="2111"/>
      <c r="D377" s="2092"/>
      <c r="E377" s="2113"/>
      <c r="F377" s="2113"/>
      <c r="G377" s="2080"/>
      <c r="H377" s="2080"/>
      <c r="I377" s="2086" t="s">
        <v>1170</v>
      </c>
    </row>
    <row r="378" s="2075" customFormat="1" spans="1:9">
      <c r="A378" s="2082" t="s">
        <v>384</v>
      </c>
      <c r="B378" s="2048">
        <f>ROUND(SUM(B368:B377),2)</f>
        <v>0</v>
      </c>
      <c r="C378" s="2098"/>
      <c r="D378" s="2098"/>
      <c r="E378" s="2098"/>
      <c r="F378" s="2098"/>
      <c r="G378" s="2080"/>
      <c r="H378" s="2080"/>
      <c r="I378" s="2086" t="s">
        <v>1171</v>
      </c>
    </row>
    <row r="379" s="2075" customFormat="1" spans="1:9">
      <c r="A379" s="2094"/>
      <c r="B379" s="2095"/>
      <c r="C379" s="2095"/>
      <c r="D379" s="2095"/>
      <c r="E379" s="2095"/>
      <c r="F379" s="2095"/>
      <c r="G379" s="2080"/>
      <c r="H379" s="2080"/>
      <c r="I379" s="2076"/>
    </row>
    <row r="380" s="2075" customFormat="1" spans="1:9">
      <c r="A380" s="2103"/>
      <c r="B380" s="2080"/>
      <c r="C380" s="2080"/>
      <c r="D380" s="2080"/>
      <c r="E380" s="2080"/>
      <c r="F380" s="2080"/>
      <c r="G380" s="2080"/>
      <c r="H380" s="2080"/>
      <c r="I380" s="2076"/>
    </row>
    <row r="381" s="2075" customFormat="1" spans="1:9">
      <c r="A381" s="2079" t="s">
        <v>1172</v>
      </c>
      <c r="B381" s="2080"/>
      <c r="C381" s="2080"/>
      <c r="D381" s="2080"/>
      <c r="E381" s="2080"/>
      <c r="F381" s="2080"/>
      <c r="G381" s="2080"/>
      <c r="H381" s="2080"/>
      <c r="I381" s="2076"/>
    </row>
    <row r="382" s="2075" customFormat="1" spans="1:9">
      <c r="A382" s="2082" t="s">
        <v>372</v>
      </c>
      <c r="B382" s="2108" t="s">
        <v>1148</v>
      </c>
      <c r="C382" s="2108" t="s">
        <v>1149</v>
      </c>
      <c r="D382" s="2108" t="s">
        <v>1150</v>
      </c>
      <c r="E382" s="2108" t="s">
        <v>1151</v>
      </c>
      <c r="F382" s="2108" t="s">
        <v>1152</v>
      </c>
      <c r="G382" s="2108" t="s">
        <v>1153</v>
      </c>
      <c r="H382" s="2108" t="s">
        <v>515</v>
      </c>
      <c r="I382" s="2076"/>
    </row>
    <row r="383" s="2075" customFormat="1" spans="1:9">
      <c r="A383" s="2092"/>
      <c r="B383" s="2092"/>
      <c r="C383" s="2092"/>
      <c r="D383" s="2113"/>
      <c r="E383" s="2085"/>
      <c r="F383" s="2085"/>
      <c r="G383" s="2085"/>
      <c r="H383" s="2085"/>
      <c r="I383" s="2086" t="s">
        <v>228</v>
      </c>
    </row>
    <row r="384" s="2075" customFormat="1" spans="1:9">
      <c r="A384" s="2092"/>
      <c r="B384" s="2092"/>
      <c r="C384" s="2092"/>
      <c r="D384" s="2113"/>
      <c r="E384" s="2085"/>
      <c r="F384" s="2085"/>
      <c r="G384" s="2085"/>
      <c r="H384" s="2085"/>
      <c r="I384" s="2086" t="s">
        <v>228</v>
      </c>
    </row>
    <row r="385" s="2075" customFormat="1" spans="1:9">
      <c r="A385" s="2092"/>
      <c r="B385" s="2092"/>
      <c r="C385" s="2092"/>
      <c r="D385" s="2113"/>
      <c r="E385" s="2085"/>
      <c r="F385" s="2085"/>
      <c r="G385" s="2085"/>
      <c r="H385" s="2085"/>
      <c r="I385" s="2086" t="s">
        <v>228</v>
      </c>
    </row>
    <row r="386" s="2075" customFormat="1" spans="1:9">
      <c r="A386" s="2092"/>
      <c r="B386" s="2092"/>
      <c r="C386" s="2092"/>
      <c r="D386" s="2113"/>
      <c r="E386" s="2085"/>
      <c r="F386" s="2085"/>
      <c r="G386" s="2085"/>
      <c r="H386" s="2085"/>
      <c r="I386" s="2086" t="s">
        <v>228</v>
      </c>
    </row>
    <row r="387" s="2075" customFormat="1" spans="1:9">
      <c r="A387" s="2092"/>
      <c r="B387" s="2092"/>
      <c r="C387" s="2092"/>
      <c r="D387" s="2113"/>
      <c r="E387" s="2085"/>
      <c r="F387" s="2085"/>
      <c r="G387" s="2085"/>
      <c r="H387" s="2085"/>
      <c r="I387" s="2086" t="s">
        <v>228</v>
      </c>
    </row>
    <row r="388" s="2075" customFormat="1" spans="1:9">
      <c r="A388" s="2092"/>
      <c r="B388" s="2092"/>
      <c r="C388" s="2092"/>
      <c r="D388" s="2113"/>
      <c r="E388" s="2085"/>
      <c r="F388" s="2085"/>
      <c r="G388" s="2085"/>
      <c r="H388" s="2085"/>
      <c r="I388" s="2086" t="s">
        <v>228</v>
      </c>
    </row>
    <row r="389" s="2075" customFormat="1" spans="1:9">
      <c r="A389" s="2092"/>
      <c r="B389" s="2092"/>
      <c r="C389" s="2092"/>
      <c r="D389" s="2113"/>
      <c r="E389" s="2085"/>
      <c r="F389" s="2085"/>
      <c r="G389" s="2085"/>
      <c r="H389" s="2085"/>
      <c r="I389" s="2086" t="s">
        <v>228</v>
      </c>
    </row>
    <row r="390" s="2075" customFormat="1" spans="1:9">
      <c r="A390" s="2092"/>
      <c r="B390" s="2092"/>
      <c r="C390" s="2092"/>
      <c r="D390" s="2113"/>
      <c r="E390" s="2085"/>
      <c r="F390" s="2085"/>
      <c r="G390" s="2085"/>
      <c r="H390" s="2085"/>
      <c r="I390" s="2086" t="s">
        <v>228</v>
      </c>
    </row>
    <row r="391" s="2075" customFormat="1" spans="1:9">
      <c r="A391" s="2092"/>
      <c r="B391" s="2092"/>
      <c r="C391" s="2092"/>
      <c r="D391" s="2113"/>
      <c r="E391" s="2085"/>
      <c r="F391" s="2085"/>
      <c r="G391" s="2085"/>
      <c r="H391" s="2085"/>
      <c r="I391" s="2086" t="s">
        <v>228</v>
      </c>
    </row>
    <row r="392" s="2075" customFormat="1" spans="1:9">
      <c r="A392" s="2092"/>
      <c r="B392" s="2092"/>
      <c r="C392" s="2092"/>
      <c r="D392" s="2113"/>
      <c r="E392" s="2085"/>
      <c r="F392" s="2085"/>
      <c r="G392" s="2085"/>
      <c r="H392" s="2085"/>
      <c r="I392" s="2086" t="s">
        <v>228</v>
      </c>
    </row>
    <row r="393" s="2075" customFormat="1" spans="1:9">
      <c r="A393" s="2082" t="s">
        <v>384</v>
      </c>
      <c r="B393" s="2098"/>
      <c r="C393" s="2098"/>
      <c r="D393" s="2098"/>
      <c r="E393" s="2048">
        <f>ROUND(SUM(E383:E392),2)</f>
        <v>0</v>
      </c>
      <c r="F393" s="2048">
        <f>ROUND(SUM(F383:F392),2)</f>
        <v>0</v>
      </c>
      <c r="G393" s="2048">
        <f>ROUND(SUM(G383:G392),2)</f>
        <v>0</v>
      </c>
      <c r="H393" s="2048">
        <f>ROUND(SUM(H383:H392),2)</f>
        <v>0</v>
      </c>
      <c r="I393" s="2086" t="s">
        <v>1173</v>
      </c>
    </row>
    <row r="394" s="2075" customFormat="1" spans="1:9">
      <c r="A394" s="2094"/>
      <c r="B394" s="2095"/>
      <c r="C394" s="2095"/>
      <c r="D394" s="2095"/>
      <c r="E394" s="2095"/>
      <c r="F394" s="2095"/>
      <c r="G394" s="2080"/>
      <c r="H394" s="2080"/>
      <c r="I394" s="2076"/>
    </row>
    <row r="395" s="2075" customFormat="1" spans="1:9">
      <c r="A395" s="2094"/>
      <c r="B395" s="2095"/>
      <c r="C395" s="2095"/>
      <c r="D395" s="2095"/>
      <c r="E395" s="2095"/>
      <c r="F395" s="2095"/>
      <c r="G395" s="2080"/>
      <c r="H395" s="2080"/>
      <c r="I395" s="2076"/>
    </row>
    <row r="396" s="2075" customFormat="1" spans="1:9">
      <c r="A396" s="2079" t="s">
        <v>1174</v>
      </c>
      <c r="B396" s="2080"/>
      <c r="C396" s="2080"/>
      <c r="D396" s="2080"/>
      <c r="E396" s="2080"/>
      <c r="F396" s="2080"/>
      <c r="G396" s="2080"/>
      <c r="H396" s="2080"/>
      <c r="I396" s="2076"/>
    </row>
    <row r="397" s="2075" customFormat="1" spans="1:9">
      <c r="A397" s="2082" t="s">
        <v>372</v>
      </c>
      <c r="B397" s="2084" t="s">
        <v>626</v>
      </c>
      <c r="C397" s="2084" t="s">
        <v>627</v>
      </c>
      <c r="D397" s="2108" t="s">
        <v>1149</v>
      </c>
      <c r="E397" s="2080"/>
      <c r="F397" s="2080"/>
      <c r="G397" s="2080"/>
      <c r="H397" s="2080"/>
      <c r="I397" s="2076"/>
    </row>
    <row r="398" s="2075" customFormat="1" spans="1:9">
      <c r="A398" s="2092"/>
      <c r="B398" s="2085"/>
      <c r="C398" s="2085"/>
      <c r="D398" s="2092"/>
      <c r="E398" s="2080"/>
      <c r="F398" s="2080"/>
      <c r="G398" s="2080"/>
      <c r="H398" s="2080"/>
      <c r="I398" s="2086" t="s">
        <v>230</v>
      </c>
    </row>
    <row r="399" s="2075" customFormat="1" spans="1:9">
      <c r="A399" s="2092"/>
      <c r="B399" s="2085"/>
      <c r="C399" s="2085"/>
      <c r="D399" s="2092"/>
      <c r="E399" s="2080"/>
      <c r="F399" s="2080"/>
      <c r="G399" s="2080"/>
      <c r="H399" s="2080"/>
      <c r="I399" s="2086" t="s">
        <v>230</v>
      </c>
    </row>
    <row r="400" s="2075" customFormat="1" spans="1:9">
      <c r="A400" s="2092"/>
      <c r="B400" s="2085"/>
      <c r="C400" s="2085"/>
      <c r="D400" s="2092"/>
      <c r="E400" s="2080"/>
      <c r="F400" s="2080"/>
      <c r="G400" s="2080"/>
      <c r="H400" s="2080"/>
      <c r="I400" s="2086" t="s">
        <v>230</v>
      </c>
    </row>
    <row r="401" s="2075" customFormat="1" spans="1:9">
      <c r="A401" s="2092"/>
      <c r="B401" s="2085"/>
      <c r="C401" s="2085"/>
      <c r="D401" s="2092"/>
      <c r="E401" s="2080"/>
      <c r="F401" s="2080"/>
      <c r="G401" s="2080"/>
      <c r="H401" s="2080"/>
      <c r="I401" s="2086" t="s">
        <v>230</v>
      </c>
    </row>
    <row r="402" s="2075" customFormat="1" spans="1:9">
      <c r="A402" s="2092"/>
      <c r="B402" s="2085"/>
      <c r="C402" s="2085"/>
      <c r="D402" s="2092"/>
      <c r="E402" s="2080"/>
      <c r="F402" s="2080"/>
      <c r="G402" s="2080"/>
      <c r="H402" s="2080"/>
      <c r="I402" s="2086" t="s">
        <v>230</v>
      </c>
    </row>
    <row r="403" s="2075" customFormat="1" spans="1:9">
      <c r="A403" s="2092"/>
      <c r="B403" s="2085"/>
      <c r="C403" s="2085"/>
      <c r="D403" s="2092"/>
      <c r="E403" s="2080"/>
      <c r="F403" s="2080"/>
      <c r="G403" s="2080"/>
      <c r="H403" s="2080"/>
      <c r="I403" s="2086" t="s">
        <v>230</v>
      </c>
    </row>
    <row r="404" s="2075" customFormat="1" spans="1:9">
      <c r="A404" s="2092"/>
      <c r="B404" s="2085"/>
      <c r="C404" s="2085"/>
      <c r="D404" s="2092"/>
      <c r="E404" s="2080"/>
      <c r="F404" s="2080"/>
      <c r="G404" s="2080"/>
      <c r="H404" s="2080"/>
      <c r="I404" s="2086" t="s">
        <v>230</v>
      </c>
    </row>
    <row r="405" s="2075" customFormat="1" spans="1:9">
      <c r="A405" s="2092"/>
      <c r="B405" s="2085"/>
      <c r="C405" s="2085"/>
      <c r="D405" s="2092"/>
      <c r="E405" s="2080"/>
      <c r="F405" s="2080"/>
      <c r="G405" s="2080"/>
      <c r="H405" s="2080"/>
      <c r="I405" s="2086" t="s">
        <v>230</v>
      </c>
    </row>
    <row r="406" s="2075" customFormat="1" spans="1:9">
      <c r="A406" s="2092"/>
      <c r="B406" s="2085"/>
      <c r="C406" s="2085"/>
      <c r="D406" s="2092"/>
      <c r="E406" s="2080"/>
      <c r="F406" s="2080"/>
      <c r="G406" s="2080"/>
      <c r="H406" s="2080"/>
      <c r="I406" s="2086" t="s">
        <v>230</v>
      </c>
    </row>
    <row r="407" s="2075" customFormat="1" spans="1:9">
      <c r="A407" s="2092"/>
      <c r="B407" s="2085"/>
      <c r="C407" s="2085"/>
      <c r="D407" s="2092"/>
      <c r="E407" s="2080"/>
      <c r="F407" s="2080"/>
      <c r="G407" s="2080"/>
      <c r="H407" s="2080"/>
      <c r="I407" s="2086" t="s">
        <v>230</v>
      </c>
    </row>
    <row r="408" s="2075" customFormat="1" spans="1:9">
      <c r="A408" s="2082" t="s">
        <v>384</v>
      </c>
      <c r="B408" s="2048">
        <f>ROUND(SUM(B398:B407),2)</f>
        <v>0</v>
      </c>
      <c r="C408" s="2048">
        <f>ROUND(SUM(C398:C407),2)</f>
        <v>0</v>
      </c>
      <c r="D408" s="2098"/>
      <c r="E408" s="2080"/>
      <c r="F408" s="2080"/>
      <c r="G408" s="2080"/>
      <c r="H408" s="2080"/>
      <c r="I408" s="2086" t="s">
        <v>1175</v>
      </c>
    </row>
    <row r="409" s="2075" customFormat="1" spans="1:9">
      <c r="A409" s="2094"/>
      <c r="B409" s="2095"/>
      <c r="C409" s="2095"/>
      <c r="D409" s="2095"/>
      <c r="E409" s="2095"/>
      <c r="F409" s="2095"/>
      <c r="G409" s="2080"/>
      <c r="H409" s="2080"/>
      <c r="I409" s="2076"/>
    </row>
    <row r="410" s="2075" customFormat="1" spans="1:9">
      <c r="A410" s="2103"/>
      <c r="B410" s="2080"/>
      <c r="C410" s="2080"/>
      <c r="D410" s="2080"/>
      <c r="E410" s="2080"/>
      <c r="F410" s="2080"/>
      <c r="G410" s="2080"/>
      <c r="H410" s="2080"/>
      <c r="I410" s="2076"/>
    </row>
    <row r="411" s="2075" customFormat="1" spans="1:9">
      <c r="A411" s="2079" t="s">
        <v>1176</v>
      </c>
      <c r="B411" s="2080"/>
      <c r="C411" s="2080"/>
      <c r="D411" s="2080"/>
      <c r="E411" s="2080"/>
      <c r="F411" s="2080"/>
      <c r="G411" s="2080"/>
      <c r="H411" s="2080"/>
      <c r="I411" s="2076"/>
    </row>
    <row r="412" s="2075" customFormat="1" spans="1:9">
      <c r="A412" s="2082" t="s">
        <v>372</v>
      </c>
      <c r="B412" s="2108" t="s">
        <v>1148</v>
      </c>
      <c r="C412" s="2084" t="s">
        <v>627</v>
      </c>
      <c r="D412" s="2108" t="s">
        <v>581</v>
      </c>
      <c r="E412" s="2108" t="s">
        <v>582</v>
      </c>
      <c r="F412" s="2084" t="s">
        <v>626</v>
      </c>
      <c r="G412" s="2080"/>
      <c r="H412" s="2080"/>
      <c r="I412" s="2076"/>
    </row>
    <row r="413" s="2075" customFormat="1" spans="1:9">
      <c r="A413" s="2092"/>
      <c r="B413" s="2092"/>
      <c r="C413" s="2085"/>
      <c r="D413" s="2085"/>
      <c r="E413" s="2085"/>
      <c r="F413" s="2048">
        <f>ROUND(C413+D413-E413,2)</f>
        <v>0</v>
      </c>
      <c r="G413" s="2080"/>
      <c r="H413" s="2080"/>
      <c r="I413" s="2086" t="s">
        <v>232</v>
      </c>
    </row>
    <row r="414" s="2075" customFormat="1" spans="1:9">
      <c r="A414" s="2092"/>
      <c r="B414" s="2092"/>
      <c r="C414" s="2085"/>
      <c r="D414" s="2085"/>
      <c r="E414" s="2085"/>
      <c r="F414" s="2048">
        <f t="shared" ref="F414:F422" si="1">ROUND(C414+D414-E414,2)</f>
        <v>0</v>
      </c>
      <c r="G414" s="2080"/>
      <c r="H414" s="2080"/>
      <c r="I414" s="2086" t="s">
        <v>232</v>
      </c>
    </row>
    <row r="415" s="2075" customFormat="1" spans="1:9">
      <c r="A415" s="2092"/>
      <c r="B415" s="2092"/>
      <c r="C415" s="2085"/>
      <c r="D415" s="2085"/>
      <c r="E415" s="2085"/>
      <c r="F415" s="2048">
        <f t="shared" si="1"/>
        <v>0</v>
      </c>
      <c r="G415" s="2080"/>
      <c r="H415" s="2080"/>
      <c r="I415" s="2086" t="s">
        <v>232</v>
      </c>
    </row>
    <row r="416" s="2075" customFormat="1" spans="1:9">
      <c r="A416" s="2092"/>
      <c r="B416" s="2092"/>
      <c r="C416" s="2085"/>
      <c r="D416" s="2085"/>
      <c r="E416" s="2085"/>
      <c r="F416" s="2048">
        <f t="shared" si="1"/>
        <v>0</v>
      </c>
      <c r="G416" s="2080"/>
      <c r="H416" s="2080"/>
      <c r="I416" s="2086" t="s">
        <v>232</v>
      </c>
    </row>
    <row r="417" s="2075" customFormat="1" spans="1:9">
      <c r="A417" s="2092"/>
      <c r="B417" s="2092"/>
      <c r="C417" s="2085"/>
      <c r="D417" s="2085"/>
      <c r="E417" s="2085"/>
      <c r="F417" s="2048">
        <f t="shared" si="1"/>
        <v>0</v>
      </c>
      <c r="G417" s="2080"/>
      <c r="H417" s="2080"/>
      <c r="I417" s="2086" t="s">
        <v>232</v>
      </c>
    </row>
    <row r="418" s="2075" customFormat="1" spans="1:9">
      <c r="A418" s="2092"/>
      <c r="B418" s="2092"/>
      <c r="C418" s="2085"/>
      <c r="D418" s="2085"/>
      <c r="E418" s="2085"/>
      <c r="F418" s="2048">
        <f t="shared" si="1"/>
        <v>0</v>
      </c>
      <c r="G418" s="2080"/>
      <c r="H418" s="2080"/>
      <c r="I418" s="2086" t="s">
        <v>232</v>
      </c>
    </row>
    <row r="419" s="2075" customFormat="1" spans="1:9">
      <c r="A419" s="2092"/>
      <c r="B419" s="2092"/>
      <c r="C419" s="2085"/>
      <c r="D419" s="2085"/>
      <c r="E419" s="2085"/>
      <c r="F419" s="2048">
        <f t="shared" si="1"/>
        <v>0</v>
      </c>
      <c r="G419" s="2080"/>
      <c r="H419" s="2080"/>
      <c r="I419" s="2086" t="s">
        <v>232</v>
      </c>
    </row>
    <row r="420" s="2075" customFormat="1" spans="1:9">
      <c r="A420" s="2092"/>
      <c r="B420" s="2092"/>
      <c r="C420" s="2085"/>
      <c r="D420" s="2085"/>
      <c r="E420" s="2085"/>
      <c r="F420" s="2048">
        <f t="shared" si="1"/>
        <v>0</v>
      </c>
      <c r="G420" s="2080"/>
      <c r="H420" s="2080"/>
      <c r="I420" s="2086" t="s">
        <v>232</v>
      </c>
    </row>
    <row r="421" s="2075" customFormat="1" spans="1:9">
      <c r="A421" s="2092"/>
      <c r="B421" s="2092"/>
      <c r="C421" s="2085"/>
      <c r="D421" s="2085"/>
      <c r="E421" s="2085"/>
      <c r="F421" s="2048">
        <f t="shared" si="1"/>
        <v>0</v>
      </c>
      <c r="G421" s="2080"/>
      <c r="H421" s="2080"/>
      <c r="I421" s="2086" t="s">
        <v>232</v>
      </c>
    </row>
    <row r="422" s="2075" customFormat="1" spans="1:9">
      <c r="A422" s="2092"/>
      <c r="B422" s="2092"/>
      <c r="C422" s="2085"/>
      <c r="D422" s="2085"/>
      <c r="E422" s="2085"/>
      <c r="F422" s="2048">
        <f t="shared" si="1"/>
        <v>0</v>
      </c>
      <c r="G422" s="2080"/>
      <c r="H422" s="2080"/>
      <c r="I422" s="2086" t="s">
        <v>232</v>
      </c>
    </row>
    <row r="423" s="2075" customFormat="1" spans="1:9">
      <c r="A423" s="2082" t="s">
        <v>384</v>
      </c>
      <c r="B423" s="2098"/>
      <c r="C423" s="2048">
        <f>ROUND(SUM(C413:C422),2)</f>
        <v>0</v>
      </c>
      <c r="D423" s="2048">
        <f>ROUND(SUM(D413:D422),2)</f>
        <v>0</v>
      </c>
      <c r="E423" s="2048">
        <f>ROUND(SUM(E413:E422),2)</f>
        <v>0</v>
      </c>
      <c r="F423" s="2048">
        <f>ROUND(SUM(F413:F422),2)</f>
        <v>0</v>
      </c>
      <c r="G423" s="2080"/>
      <c r="H423" s="2080"/>
      <c r="I423" s="2086" t="s">
        <v>1177</v>
      </c>
    </row>
    <row r="424" s="2075" customFormat="1" spans="1:9">
      <c r="A424" s="2094"/>
      <c r="B424" s="2095"/>
      <c r="C424" s="2095"/>
      <c r="D424" s="2095"/>
      <c r="E424" s="2095"/>
      <c r="F424" s="2095"/>
      <c r="G424" s="2080"/>
      <c r="H424" s="2080"/>
      <c r="I424" s="2076"/>
    </row>
    <row r="425" s="2075" customFormat="1" spans="1:9">
      <c r="A425" s="2103"/>
      <c r="B425" s="2080"/>
      <c r="C425" s="2080"/>
      <c r="D425" s="2080"/>
      <c r="E425" s="2080"/>
      <c r="F425" s="2080"/>
      <c r="G425" s="2080"/>
      <c r="H425" s="2080"/>
      <c r="I425" s="2076"/>
    </row>
    <row r="426" s="2075" customFormat="1" spans="1:9">
      <c r="A426" s="2079" t="s">
        <v>1178</v>
      </c>
      <c r="B426" s="2080"/>
      <c r="C426" s="2080"/>
      <c r="D426" s="2080"/>
      <c r="E426" s="2080"/>
      <c r="F426" s="2080"/>
      <c r="G426" s="2080"/>
      <c r="H426" s="2080"/>
      <c r="I426" s="2076"/>
    </row>
    <row r="427" s="2075" customFormat="1" spans="1:9">
      <c r="A427" s="2082" t="s">
        <v>372</v>
      </c>
      <c r="B427" s="2108" t="s">
        <v>1148</v>
      </c>
      <c r="C427" s="2082" t="s">
        <v>1179</v>
      </c>
      <c r="D427" s="2084" t="s">
        <v>627</v>
      </c>
      <c r="E427" s="2108" t="s">
        <v>581</v>
      </c>
      <c r="F427" s="2108" t="s">
        <v>582</v>
      </c>
      <c r="G427" s="2084" t="s">
        <v>626</v>
      </c>
      <c r="H427" s="2080"/>
      <c r="I427" s="2076"/>
    </row>
    <row r="428" s="2075" customFormat="1" spans="1:9">
      <c r="A428" s="2092"/>
      <c r="B428" s="2092"/>
      <c r="C428" s="2092"/>
      <c r="D428" s="2085"/>
      <c r="E428" s="2085"/>
      <c r="F428" s="2085"/>
      <c r="G428" s="2048">
        <f>ROUND(D428+E428-F428,2)</f>
        <v>0</v>
      </c>
      <c r="H428" s="2080"/>
      <c r="I428" s="2086" t="s">
        <v>234</v>
      </c>
    </row>
    <row r="429" s="2075" customFormat="1" spans="1:9">
      <c r="A429" s="2092"/>
      <c r="B429" s="2092"/>
      <c r="C429" s="2092"/>
      <c r="D429" s="2085"/>
      <c r="E429" s="2085"/>
      <c r="F429" s="2085"/>
      <c r="G429" s="2048">
        <f t="shared" ref="G429:G437" si="2">ROUND(D429+E429-F429,2)</f>
        <v>0</v>
      </c>
      <c r="H429" s="2080"/>
      <c r="I429" s="2086" t="s">
        <v>234</v>
      </c>
    </row>
    <row r="430" s="2075" customFormat="1" spans="1:9">
      <c r="A430" s="2092"/>
      <c r="B430" s="2092"/>
      <c r="C430" s="2092"/>
      <c r="D430" s="2085"/>
      <c r="E430" s="2085"/>
      <c r="F430" s="2085"/>
      <c r="G430" s="2048">
        <f t="shared" si="2"/>
        <v>0</v>
      </c>
      <c r="H430" s="2080"/>
      <c r="I430" s="2086" t="s">
        <v>234</v>
      </c>
    </row>
    <row r="431" s="2075" customFormat="1" spans="1:9">
      <c r="A431" s="2092"/>
      <c r="B431" s="2092"/>
      <c r="C431" s="2092"/>
      <c r="D431" s="2085"/>
      <c r="E431" s="2085"/>
      <c r="F431" s="2085"/>
      <c r="G431" s="2048">
        <f t="shared" si="2"/>
        <v>0</v>
      </c>
      <c r="H431" s="2080"/>
      <c r="I431" s="2086" t="s">
        <v>234</v>
      </c>
    </row>
    <row r="432" s="2075" customFormat="1" spans="1:9">
      <c r="A432" s="2092"/>
      <c r="B432" s="2092"/>
      <c r="C432" s="2092"/>
      <c r="D432" s="2085"/>
      <c r="E432" s="2085"/>
      <c r="F432" s="2085"/>
      <c r="G432" s="2048">
        <f t="shared" si="2"/>
        <v>0</v>
      </c>
      <c r="H432" s="2080"/>
      <c r="I432" s="2086" t="s">
        <v>234</v>
      </c>
    </row>
    <row r="433" s="2075" customFormat="1" spans="1:9">
      <c r="A433" s="2092"/>
      <c r="B433" s="2092"/>
      <c r="C433" s="2092"/>
      <c r="D433" s="2085"/>
      <c r="E433" s="2085"/>
      <c r="F433" s="2085"/>
      <c r="G433" s="2048">
        <f t="shared" si="2"/>
        <v>0</v>
      </c>
      <c r="H433" s="2080"/>
      <c r="I433" s="2086" t="s">
        <v>234</v>
      </c>
    </row>
    <row r="434" s="2075" customFormat="1" spans="1:9">
      <c r="A434" s="2092"/>
      <c r="B434" s="2092"/>
      <c r="C434" s="2092"/>
      <c r="D434" s="2085"/>
      <c r="E434" s="2085"/>
      <c r="F434" s="2085"/>
      <c r="G434" s="2048">
        <f t="shared" si="2"/>
        <v>0</v>
      </c>
      <c r="H434" s="2080"/>
      <c r="I434" s="2086" t="s">
        <v>234</v>
      </c>
    </row>
    <row r="435" s="2075" customFormat="1" spans="1:9">
      <c r="A435" s="2092"/>
      <c r="B435" s="2092"/>
      <c r="C435" s="2092"/>
      <c r="D435" s="2085"/>
      <c r="E435" s="2085"/>
      <c r="F435" s="2085"/>
      <c r="G435" s="2048">
        <f t="shared" si="2"/>
        <v>0</v>
      </c>
      <c r="H435" s="2080"/>
      <c r="I435" s="2086" t="s">
        <v>234</v>
      </c>
    </row>
    <row r="436" s="2075" customFormat="1" spans="1:9">
      <c r="A436" s="2092"/>
      <c r="B436" s="2092"/>
      <c r="C436" s="2092"/>
      <c r="D436" s="2085"/>
      <c r="E436" s="2085"/>
      <c r="F436" s="2085"/>
      <c r="G436" s="2048">
        <f t="shared" si="2"/>
        <v>0</v>
      </c>
      <c r="H436" s="2080"/>
      <c r="I436" s="2086" t="s">
        <v>234</v>
      </c>
    </row>
    <row r="437" s="2075" customFormat="1" spans="1:9">
      <c r="A437" s="2092"/>
      <c r="B437" s="2092"/>
      <c r="C437" s="2092"/>
      <c r="D437" s="2085"/>
      <c r="E437" s="2085"/>
      <c r="F437" s="2085"/>
      <c r="G437" s="2048">
        <f t="shared" si="2"/>
        <v>0</v>
      </c>
      <c r="H437" s="2080"/>
      <c r="I437" s="2086" t="s">
        <v>234</v>
      </c>
    </row>
    <row r="438" s="2075" customFormat="1" spans="1:9">
      <c r="A438" s="2082" t="s">
        <v>384</v>
      </c>
      <c r="B438" s="2098"/>
      <c r="C438" s="2048"/>
      <c r="D438" s="2048">
        <f>ROUND(SUM(D428:D437),2)</f>
        <v>0</v>
      </c>
      <c r="E438" s="2048">
        <f>ROUND(SUM(E428:E437),2)</f>
        <v>0</v>
      </c>
      <c r="F438" s="2048">
        <f>ROUND(SUM(F428:F437),2)</f>
        <v>0</v>
      </c>
      <c r="G438" s="2048">
        <f>ROUND(SUM(G428:G437),2)</f>
        <v>0</v>
      </c>
      <c r="H438" s="2080"/>
      <c r="I438" s="2086" t="s">
        <v>1180</v>
      </c>
    </row>
    <row r="439" s="2075" customFormat="1" spans="1:9">
      <c r="A439" s="2099"/>
      <c r="B439" s="2100"/>
      <c r="C439" s="2100"/>
      <c r="D439" s="2095"/>
      <c r="E439" s="2080"/>
      <c r="F439" s="2080"/>
      <c r="G439" s="2080"/>
      <c r="H439" s="2080"/>
      <c r="I439" s="2086"/>
    </row>
    <row r="440" s="2075" customFormat="1" spans="1:9">
      <c r="A440" s="2103"/>
      <c r="B440" s="2080"/>
      <c r="C440" s="2080"/>
      <c r="D440" s="2080"/>
      <c r="E440" s="2080"/>
      <c r="F440" s="2080"/>
      <c r="G440" s="2080"/>
      <c r="H440" s="2080"/>
      <c r="I440" s="2076"/>
    </row>
    <row r="441" s="2075" customFormat="1" spans="1:9">
      <c r="A441" s="2079" t="s">
        <v>1181</v>
      </c>
      <c r="B441" s="2080"/>
      <c r="C441" s="2080"/>
      <c r="D441" s="2080"/>
      <c r="E441" s="2080"/>
      <c r="F441" s="2080"/>
      <c r="G441" s="2080"/>
      <c r="H441" s="2080"/>
      <c r="I441" s="2076"/>
    </row>
    <row r="442" s="2075" customFormat="1" spans="1:9">
      <c r="A442" s="2082" t="s">
        <v>372</v>
      </c>
      <c r="B442" s="2082" t="s">
        <v>315</v>
      </c>
      <c r="C442" s="2082" t="s">
        <v>316</v>
      </c>
      <c r="D442" s="2080"/>
      <c r="E442" s="2080"/>
      <c r="F442" s="2080"/>
      <c r="G442" s="2080"/>
      <c r="H442" s="2080"/>
      <c r="I442" s="2076"/>
    </row>
    <row r="443" s="2075" customFormat="1" spans="1:9">
      <c r="A443" s="2092"/>
      <c r="B443" s="2085"/>
      <c r="C443" s="2085"/>
      <c r="D443" s="2080"/>
      <c r="E443" s="2080"/>
      <c r="F443" s="2080"/>
      <c r="G443" s="2080"/>
      <c r="H443" s="2080"/>
      <c r="I443" s="2086" t="s">
        <v>238</v>
      </c>
    </row>
    <row r="444" s="2075" customFormat="1" spans="1:9">
      <c r="A444" s="2092"/>
      <c r="B444" s="2085"/>
      <c r="C444" s="2085"/>
      <c r="D444" s="2080"/>
      <c r="E444" s="2080"/>
      <c r="F444" s="2080"/>
      <c r="G444" s="2080"/>
      <c r="H444" s="2080"/>
      <c r="I444" s="2086" t="s">
        <v>238</v>
      </c>
    </row>
    <row r="445" s="2075" customFormat="1" spans="1:9">
      <c r="A445" s="2092"/>
      <c r="B445" s="2085"/>
      <c r="C445" s="2085"/>
      <c r="D445" s="2080"/>
      <c r="E445" s="2080"/>
      <c r="F445" s="2080"/>
      <c r="G445" s="2080"/>
      <c r="H445" s="2080"/>
      <c r="I445" s="2086" t="s">
        <v>238</v>
      </c>
    </row>
    <row r="446" s="2075" customFormat="1" spans="1:9">
      <c r="A446" s="2092"/>
      <c r="B446" s="2085"/>
      <c r="C446" s="2085"/>
      <c r="D446" s="2080"/>
      <c r="E446" s="2080"/>
      <c r="F446" s="2080"/>
      <c r="G446" s="2080"/>
      <c r="H446" s="2080"/>
      <c r="I446" s="2086" t="s">
        <v>238</v>
      </c>
    </row>
    <row r="447" s="2075" customFormat="1" spans="1:9">
      <c r="A447" s="2092"/>
      <c r="B447" s="2085"/>
      <c r="C447" s="2085"/>
      <c r="D447" s="2080"/>
      <c r="E447" s="2080"/>
      <c r="F447" s="2080"/>
      <c r="G447" s="2080"/>
      <c r="H447" s="2080"/>
      <c r="I447" s="2086" t="s">
        <v>238</v>
      </c>
    </row>
    <row r="448" s="2075" customFormat="1" spans="1:9">
      <c r="A448" s="2092"/>
      <c r="B448" s="2085"/>
      <c r="C448" s="2085"/>
      <c r="D448" s="2080"/>
      <c r="E448" s="2080"/>
      <c r="F448" s="2080"/>
      <c r="G448" s="2080"/>
      <c r="H448" s="2080"/>
      <c r="I448" s="2086" t="s">
        <v>238</v>
      </c>
    </row>
    <row r="449" s="2075" customFormat="1" spans="1:9">
      <c r="A449" s="2092"/>
      <c r="B449" s="2085"/>
      <c r="C449" s="2085"/>
      <c r="D449" s="2080"/>
      <c r="E449" s="2080"/>
      <c r="F449" s="2080"/>
      <c r="G449" s="2080"/>
      <c r="H449" s="2080"/>
      <c r="I449" s="2086" t="s">
        <v>238</v>
      </c>
    </row>
    <row r="450" s="2075" customFormat="1" spans="1:9">
      <c r="A450" s="2092"/>
      <c r="B450" s="2085"/>
      <c r="C450" s="2085"/>
      <c r="D450" s="2080"/>
      <c r="E450" s="2080"/>
      <c r="F450" s="2080"/>
      <c r="G450" s="2080"/>
      <c r="H450" s="2080"/>
      <c r="I450" s="2086" t="s">
        <v>238</v>
      </c>
    </row>
    <row r="451" s="2075" customFormat="1" spans="1:9">
      <c r="A451" s="2092"/>
      <c r="B451" s="2085"/>
      <c r="C451" s="2085"/>
      <c r="D451" s="2080"/>
      <c r="E451" s="2080"/>
      <c r="F451" s="2080"/>
      <c r="G451" s="2080"/>
      <c r="H451" s="2080"/>
      <c r="I451" s="2086" t="s">
        <v>238</v>
      </c>
    </row>
    <row r="452" s="2075" customFormat="1" spans="1:9">
      <c r="A452" s="2092"/>
      <c r="B452" s="2085"/>
      <c r="C452" s="2085"/>
      <c r="D452" s="2080"/>
      <c r="E452" s="2080"/>
      <c r="F452" s="2080"/>
      <c r="G452" s="2080"/>
      <c r="H452" s="2080"/>
      <c r="I452" s="2086" t="s">
        <v>238</v>
      </c>
    </row>
    <row r="453" s="2075" customFormat="1" spans="1:9">
      <c r="A453" s="2082" t="s">
        <v>384</v>
      </c>
      <c r="B453" s="2048">
        <f>ROUND(SUM(B443:B452),2)</f>
        <v>0</v>
      </c>
      <c r="C453" s="2048">
        <f>ROUND(SUM(C443:C452),2)</f>
        <v>0</v>
      </c>
      <c r="D453" s="2080"/>
      <c r="E453" s="2080"/>
      <c r="F453" s="2080"/>
      <c r="G453" s="2080"/>
      <c r="H453" s="2080"/>
      <c r="I453" s="2086" t="s">
        <v>1182</v>
      </c>
    </row>
    <row r="454" s="2075" customFormat="1" spans="1:9">
      <c r="A454" s="2080"/>
      <c r="B454" s="2080"/>
      <c r="C454" s="2080"/>
      <c r="D454" s="2080"/>
      <c r="E454" s="2080"/>
      <c r="F454" s="2080"/>
      <c r="G454" s="2080"/>
      <c r="H454" s="2080"/>
      <c r="I454" s="2076"/>
    </row>
    <row r="455" s="2075" customFormat="1" spans="1:9">
      <c r="A455" s="2080"/>
      <c r="B455" s="2080"/>
      <c r="C455" s="2080"/>
      <c r="D455" s="2080"/>
      <c r="E455" s="2080"/>
      <c r="F455" s="2080"/>
      <c r="G455" s="2080"/>
      <c r="H455" s="2080"/>
      <c r="I455" s="2076"/>
    </row>
    <row r="456" s="2075" customFormat="1" spans="1:9">
      <c r="A456" s="2079" t="s">
        <v>1183</v>
      </c>
      <c r="B456" s="2080"/>
      <c r="C456" s="2080"/>
      <c r="D456" s="2080"/>
      <c r="E456" s="2080"/>
      <c r="F456" s="2080"/>
      <c r="G456" s="2080"/>
      <c r="H456" s="2080"/>
      <c r="I456" s="2076"/>
    </row>
    <row r="457" s="2075" customFormat="1" spans="1:9">
      <c r="A457" s="2082" t="s">
        <v>1113</v>
      </c>
      <c r="B457" s="2082" t="s">
        <v>627</v>
      </c>
      <c r="C457" s="2082" t="s">
        <v>444</v>
      </c>
      <c r="D457" s="2108" t="s">
        <v>581</v>
      </c>
      <c r="E457" s="2108" t="s">
        <v>582</v>
      </c>
      <c r="F457" s="2082" t="s">
        <v>626</v>
      </c>
      <c r="G457" s="2108" t="s">
        <v>444</v>
      </c>
      <c r="H457" s="2080"/>
      <c r="I457" s="2076"/>
    </row>
    <row r="458" s="2075" customFormat="1" spans="1:9">
      <c r="A458" s="2092"/>
      <c r="B458" s="2085"/>
      <c r="C458" s="2121">
        <f>IF(B468=0,0,IF(B459=B460=B461=B462=B463=B464=B465=B466=B467=0,B458/B468,ROUND(1-C459-C460-C461-C462-C463-C464-C465-C466-C467,4)))</f>
        <v>0</v>
      </c>
      <c r="D458" s="2085"/>
      <c r="E458" s="2085"/>
      <c r="F458" s="2048">
        <f>ROUND(B458+D458-E458,2)</f>
        <v>0</v>
      </c>
      <c r="G458" s="2121">
        <f>IF(F468=0,0,IF(F459=F460=F461=F462=F463=F464=F465=F466=F467=0,F458/F468,ROUND(1-G459-G460-G461-G462-G463-G464-G465-G466-G467,4)))</f>
        <v>0</v>
      </c>
      <c r="H458" s="2080"/>
      <c r="I458" s="2086" t="s">
        <v>1184</v>
      </c>
    </row>
    <row r="459" s="2075" customFormat="1" spans="1:9">
      <c r="A459" s="2092"/>
      <c r="B459" s="2085"/>
      <c r="C459" s="2121">
        <f>IF(B$468=0,0,B459/B$468)</f>
        <v>0</v>
      </c>
      <c r="D459" s="2085"/>
      <c r="E459" s="2085"/>
      <c r="F459" s="2048">
        <f t="shared" ref="F459:F467" si="3">ROUND(B459+D459-E459,2)</f>
        <v>0</v>
      </c>
      <c r="G459" s="2121">
        <f>IF(F$468=0,0,F459/F$468)</f>
        <v>0</v>
      </c>
      <c r="H459" s="2080"/>
      <c r="I459" s="2086" t="s">
        <v>1184</v>
      </c>
    </row>
    <row r="460" s="2075" customFormat="1" spans="1:9">
      <c r="A460" s="2092"/>
      <c r="B460" s="2085"/>
      <c r="C460" s="2121">
        <f t="shared" ref="C460:C467" si="4">IF(B$468=0,0,B460/B$468)</f>
        <v>0</v>
      </c>
      <c r="D460" s="2085"/>
      <c r="E460" s="2085"/>
      <c r="F460" s="2048">
        <f t="shared" si="3"/>
        <v>0</v>
      </c>
      <c r="G460" s="2121">
        <f t="shared" ref="G460:G467" si="5">IF(F$468=0,0,F460/F$468)</f>
        <v>0</v>
      </c>
      <c r="H460" s="2080"/>
      <c r="I460" s="2086" t="s">
        <v>1184</v>
      </c>
    </row>
    <row r="461" s="2075" customFormat="1" spans="1:9">
      <c r="A461" s="2092"/>
      <c r="B461" s="2085"/>
      <c r="C461" s="2121">
        <f t="shared" si="4"/>
        <v>0</v>
      </c>
      <c r="D461" s="2085"/>
      <c r="E461" s="2085"/>
      <c r="F461" s="2048">
        <f t="shared" si="3"/>
        <v>0</v>
      </c>
      <c r="G461" s="2121">
        <f t="shared" si="5"/>
        <v>0</v>
      </c>
      <c r="H461" s="2080"/>
      <c r="I461" s="2086" t="s">
        <v>1184</v>
      </c>
    </row>
    <row r="462" s="2075" customFormat="1" spans="1:9">
      <c r="A462" s="2092"/>
      <c r="B462" s="2085"/>
      <c r="C462" s="2121">
        <f t="shared" si="4"/>
        <v>0</v>
      </c>
      <c r="D462" s="2085"/>
      <c r="E462" s="2085"/>
      <c r="F462" s="2048">
        <f t="shared" si="3"/>
        <v>0</v>
      </c>
      <c r="G462" s="2121">
        <f t="shared" si="5"/>
        <v>0</v>
      </c>
      <c r="H462" s="2080"/>
      <c r="I462" s="2086" t="s">
        <v>1184</v>
      </c>
    </row>
    <row r="463" s="2075" customFormat="1" spans="1:9">
      <c r="A463" s="2092"/>
      <c r="B463" s="2085"/>
      <c r="C463" s="2121">
        <f t="shared" si="4"/>
        <v>0</v>
      </c>
      <c r="D463" s="2085"/>
      <c r="E463" s="2085"/>
      <c r="F463" s="2048">
        <f t="shared" si="3"/>
        <v>0</v>
      </c>
      <c r="G463" s="2121">
        <f t="shared" si="5"/>
        <v>0</v>
      </c>
      <c r="H463" s="2080"/>
      <c r="I463" s="2086" t="s">
        <v>1184</v>
      </c>
    </row>
    <row r="464" s="2075" customFormat="1" spans="1:9">
      <c r="A464" s="2092"/>
      <c r="B464" s="2085"/>
      <c r="C464" s="2121">
        <f t="shared" si="4"/>
        <v>0</v>
      </c>
      <c r="D464" s="2085"/>
      <c r="E464" s="2085"/>
      <c r="F464" s="2048">
        <f t="shared" si="3"/>
        <v>0</v>
      </c>
      <c r="G464" s="2121">
        <f t="shared" si="5"/>
        <v>0</v>
      </c>
      <c r="H464" s="2080"/>
      <c r="I464" s="2086" t="s">
        <v>1184</v>
      </c>
    </row>
    <row r="465" s="2075" customFormat="1" spans="1:9">
      <c r="A465" s="2092"/>
      <c r="B465" s="2085"/>
      <c r="C465" s="2121">
        <f t="shared" si="4"/>
        <v>0</v>
      </c>
      <c r="D465" s="2085"/>
      <c r="E465" s="2085"/>
      <c r="F465" s="2048">
        <f t="shared" si="3"/>
        <v>0</v>
      </c>
      <c r="G465" s="2121">
        <f t="shared" si="5"/>
        <v>0</v>
      </c>
      <c r="H465" s="2080"/>
      <c r="I465" s="2086" t="s">
        <v>1184</v>
      </c>
    </row>
    <row r="466" s="2075" customFormat="1" spans="1:9">
      <c r="A466" s="2092"/>
      <c r="B466" s="2085"/>
      <c r="C466" s="2121">
        <f t="shared" si="4"/>
        <v>0</v>
      </c>
      <c r="D466" s="2085"/>
      <c r="E466" s="2085"/>
      <c r="F466" s="2048">
        <f t="shared" si="3"/>
        <v>0</v>
      </c>
      <c r="G466" s="2121">
        <f t="shared" si="5"/>
        <v>0</v>
      </c>
      <c r="H466" s="2080"/>
      <c r="I466" s="2086" t="s">
        <v>1184</v>
      </c>
    </row>
    <row r="467" s="2075" customFormat="1" spans="1:9">
      <c r="A467" s="2092"/>
      <c r="B467" s="2085"/>
      <c r="C467" s="2121">
        <f t="shared" si="4"/>
        <v>0</v>
      </c>
      <c r="D467" s="2085"/>
      <c r="E467" s="2085"/>
      <c r="F467" s="2048">
        <f t="shared" si="3"/>
        <v>0</v>
      </c>
      <c r="G467" s="2121">
        <f t="shared" si="5"/>
        <v>0</v>
      </c>
      <c r="H467" s="2080"/>
      <c r="I467" s="2086" t="s">
        <v>1184</v>
      </c>
    </row>
    <row r="468" s="2075" customFormat="1" spans="1:9">
      <c r="A468" s="2082" t="s">
        <v>384</v>
      </c>
      <c r="B468" s="2048">
        <f>ROUND(SUM(B458:B467),2)</f>
        <v>0</v>
      </c>
      <c r="C468" s="2093">
        <f>IF(B$468=0,0,1)</f>
        <v>0</v>
      </c>
      <c r="D468" s="2048">
        <f>ROUND(SUM(D458:D467),2)</f>
        <v>0</v>
      </c>
      <c r="E468" s="2048">
        <f>ROUND(SUM(E458:E467),2)</f>
        <v>0</v>
      </c>
      <c r="F468" s="2048">
        <f>ROUND(SUM(F458:F467),2)</f>
        <v>0</v>
      </c>
      <c r="G468" s="2093">
        <f>IF(F$468=0,0,1)</f>
        <v>0</v>
      </c>
      <c r="H468" s="2080"/>
      <c r="I468" s="2086" t="s">
        <v>1185</v>
      </c>
    </row>
    <row r="469" s="2075" customFormat="1" spans="1:9">
      <c r="A469" s="2099"/>
      <c r="B469" s="2100"/>
      <c r="C469" s="2122"/>
      <c r="D469" s="2100"/>
      <c r="E469" s="2100"/>
      <c r="F469" s="2100"/>
      <c r="G469" s="2122"/>
      <c r="H469" s="2080"/>
      <c r="I469" s="2076"/>
    </row>
    <row r="470" s="2075" customFormat="1" spans="1:9">
      <c r="A470" s="2080"/>
      <c r="B470" s="2080"/>
      <c r="C470" s="2080"/>
      <c r="D470" s="2080"/>
      <c r="E470" s="2080"/>
      <c r="F470" s="2080"/>
      <c r="G470" s="2080"/>
      <c r="H470" s="2080"/>
      <c r="I470" s="2076"/>
    </row>
    <row r="471" s="2075" customFormat="1" spans="1:9">
      <c r="A471" s="2079" t="s">
        <v>1186</v>
      </c>
      <c r="B471" s="2080"/>
      <c r="C471" s="2080"/>
      <c r="D471" s="2080"/>
      <c r="E471" s="2080"/>
      <c r="F471" s="2080"/>
      <c r="G471" s="2080"/>
      <c r="H471" s="2080"/>
      <c r="I471" s="2076"/>
    </row>
    <row r="472" s="2075" customFormat="1" spans="1:9">
      <c r="A472" s="2082" t="s">
        <v>372</v>
      </c>
      <c r="B472" s="2084" t="s">
        <v>627</v>
      </c>
      <c r="C472" s="2108" t="s">
        <v>581</v>
      </c>
      <c r="D472" s="2108" t="s">
        <v>582</v>
      </c>
      <c r="E472" s="2084" t="s">
        <v>626</v>
      </c>
      <c r="F472" s="2080"/>
      <c r="G472" s="2080"/>
      <c r="H472" s="2080"/>
      <c r="I472" s="2076"/>
    </row>
    <row r="473" s="2075" customFormat="1" spans="1:9">
      <c r="A473" s="2092"/>
      <c r="B473" s="2085"/>
      <c r="C473" s="2085"/>
      <c r="D473" s="2085"/>
      <c r="E473" s="2048">
        <f>ROUND(B473+C473-D473,2)</f>
        <v>0</v>
      </c>
      <c r="F473" s="2080"/>
      <c r="G473" s="2080"/>
      <c r="H473" s="2080"/>
      <c r="I473" s="2086" t="s">
        <v>252</v>
      </c>
    </row>
    <row r="474" s="2075" customFormat="1" spans="1:9">
      <c r="A474" s="2092"/>
      <c r="B474" s="2085"/>
      <c r="C474" s="2085"/>
      <c r="D474" s="2085"/>
      <c r="E474" s="2048">
        <f t="shared" ref="E474:E482" si="6">ROUND(B474+C474-D474,2)</f>
        <v>0</v>
      </c>
      <c r="F474" s="2080"/>
      <c r="G474" s="2080"/>
      <c r="H474" s="2080"/>
      <c r="I474" s="2086" t="s">
        <v>252</v>
      </c>
    </row>
    <row r="475" s="2075" customFormat="1" spans="1:9">
      <c r="A475" s="2092"/>
      <c r="B475" s="2085"/>
      <c r="C475" s="2085"/>
      <c r="D475" s="2085"/>
      <c r="E475" s="2048">
        <f t="shared" si="6"/>
        <v>0</v>
      </c>
      <c r="F475" s="2080"/>
      <c r="G475" s="2080"/>
      <c r="H475" s="2080"/>
      <c r="I475" s="2086" t="s">
        <v>252</v>
      </c>
    </row>
    <row r="476" s="2075" customFormat="1" spans="1:9">
      <c r="A476" s="2092"/>
      <c r="B476" s="2085"/>
      <c r="C476" s="2085"/>
      <c r="D476" s="2085"/>
      <c r="E476" s="2048">
        <f t="shared" si="6"/>
        <v>0</v>
      </c>
      <c r="F476" s="2080"/>
      <c r="G476" s="2080"/>
      <c r="H476" s="2080"/>
      <c r="I476" s="2086" t="s">
        <v>252</v>
      </c>
    </row>
    <row r="477" s="2075" customFormat="1" spans="1:9">
      <c r="A477" s="2092"/>
      <c r="B477" s="2085"/>
      <c r="C477" s="2085"/>
      <c r="D477" s="2085"/>
      <c r="E477" s="2048">
        <f t="shared" si="6"/>
        <v>0</v>
      </c>
      <c r="F477" s="2080"/>
      <c r="G477" s="2080"/>
      <c r="H477" s="2080"/>
      <c r="I477" s="2086" t="s">
        <v>252</v>
      </c>
    </row>
    <row r="478" s="2075" customFormat="1" spans="1:9">
      <c r="A478" s="2092"/>
      <c r="B478" s="2085"/>
      <c r="C478" s="2085"/>
      <c r="D478" s="2085"/>
      <c r="E478" s="2048">
        <f t="shared" si="6"/>
        <v>0</v>
      </c>
      <c r="F478" s="2080"/>
      <c r="G478" s="2080"/>
      <c r="H478" s="2080"/>
      <c r="I478" s="2086" t="s">
        <v>252</v>
      </c>
    </row>
    <row r="479" s="2075" customFormat="1" spans="1:9">
      <c r="A479" s="2092"/>
      <c r="B479" s="2085"/>
      <c r="C479" s="2085"/>
      <c r="D479" s="2085"/>
      <c r="E479" s="2048">
        <f t="shared" si="6"/>
        <v>0</v>
      </c>
      <c r="F479" s="2080"/>
      <c r="G479" s="2080"/>
      <c r="H479" s="2080"/>
      <c r="I479" s="2086" t="s">
        <v>252</v>
      </c>
    </row>
    <row r="480" s="2075" customFormat="1" spans="1:9">
      <c r="A480" s="2092"/>
      <c r="B480" s="2085"/>
      <c r="C480" s="2085"/>
      <c r="D480" s="2085"/>
      <c r="E480" s="2048">
        <f t="shared" si="6"/>
        <v>0</v>
      </c>
      <c r="F480" s="2080"/>
      <c r="G480" s="2080"/>
      <c r="H480" s="2080"/>
      <c r="I480" s="2086" t="s">
        <v>252</v>
      </c>
    </row>
    <row r="481" s="2075" customFormat="1" spans="1:9">
      <c r="A481" s="2092"/>
      <c r="B481" s="2085"/>
      <c r="C481" s="2085"/>
      <c r="D481" s="2085"/>
      <c r="E481" s="2048">
        <f t="shared" si="6"/>
        <v>0</v>
      </c>
      <c r="F481" s="2080"/>
      <c r="G481" s="2080"/>
      <c r="H481" s="2080"/>
      <c r="I481" s="2086" t="s">
        <v>252</v>
      </c>
    </row>
    <row r="482" s="2075" customFormat="1" spans="1:9">
      <c r="A482" s="2092"/>
      <c r="B482" s="2085"/>
      <c r="C482" s="2085"/>
      <c r="D482" s="2085"/>
      <c r="E482" s="2048">
        <f t="shared" si="6"/>
        <v>0</v>
      </c>
      <c r="F482" s="2080"/>
      <c r="G482" s="2080"/>
      <c r="H482" s="2080"/>
      <c r="I482" s="2086" t="s">
        <v>252</v>
      </c>
    </row>
    <row r="483" s="2075" customFormat="1" spans="1:9">
      <c r="A483" s="2082" t="s">
        <v>384</v>
      </c>
      <c r="B483" s="2048">
        <f>ROUND(SUM(B473:B482),2)</f>
        <v>0</v>
      </c>
      <c r="C483" s="2048">
        <f>ROUND(SUM(C473:C482),2)</f>
        <v>0</v>
      </c>
      <c r="D483" s="2048">
        <f>ROUND(SUM(D473:D482),2)</f>
        <v>0</v>
      </c>
      <c r="E483" s="2048">
        <f>ROUND(SUM(E473:E482),2)</f>
        <v>0</v>
      </c>
      <c r="F483" s="2080"/>
      <c r="G483" s="2080"/>
      <c r="H483" s="2080"/>
      <c r="I483" s="2086" t="s">
        <v>1187</v>
      </c>
    </row>
    <row r="484" s="2075" customFormat="1" spans="1:9">
      <c r="A484" s="2099"/>
      <c r="B484" s="2100"/>
      <c r="C484" s="2100"/>
      <c r="D484" s="2100"/>
      <c r="E484" s="2100"/>
      <c r="F484" s="2080"/>
      <c r="G484" s="2080"/>
      <c r="H484" s="2080"/>
      <c r="I484" s="2076"/>
    </row>
    <row r="485" s="2075" customFormat="1" spans="1:9">
      <c r="A485" s="2080"/>
      <c r="B485" s="2080"/>
      <c r="C485" s="2080"/>
      <c r="D485" s="2080"/>
      <c r="E485" s="2080"/>
      <c r="F485" s="2080"/>
      <c r="G485" s="2080"/>
      <c r="H485" s="2080"/>
      <c r="I485" s="2076"/>
    </row>
    <row r="486" s="2075" customFormat="1" spans="1:9">
      <c r="A486" s="2123" t="s">
        <v>1188</v>
      </c>
      <c r="B486" s="2080"/>
      <c r="C486" s="2080"/>
      <c r="D486" s="2080"/>
      <c r="E486" s="2080"/>
      <c r="F486" s="2080"/>
      <c r="G486" s="2080"/>
      <c r="H486" s="2080"/>
      <c r="I486" s="2076"/>
    </row>
    <row r="487" s="2075" customFormat="1" spans="1:9">
      <c r="A487" s="2112" t="s">
        <v>1189</v>
      </c>
      <c r="B487" s="2080"/>
      <c r="C487" s="2080"/>
      <c r="D487" s="2080"/>
      <c r="E487" s="2080"/>
      <c r="F487" s="2080"/>
      <c r="G487" s="2080"/>
      <c r="H487" s="2080"/>
      <c r="I487" s="2076"/>
    </row>
    <row r="488" s="2075" customFormat="1" spans="1:9">
      <c r="A488" s="2112" t="s">
        <v>1190</v>
      </c>
      <c r="B488" s="2080"/>
      <c r="C488" s="2080"/>
      <c r="D488" s="2080"/>
      <c r="E488" s="2080"/>
      <c r="F488" s="2080"/>
      <c r="G488" s="2080"/>
      <c r="H488" s="2080"/>
      <c r="I488" s="2076"/>
    </row>
    <row r="489" s="2075" customFormat="1" spans="1:9">
      <c r="A489" s="2112" t="s">
        <v>1191</v>
      </c>
      <c r="B489" s="2080"/>
      <c r="C489" s="2080"/>
      <c r="D489" s="2080"/>
      <c r="E489" s="2080"/>
      <c r="F489" s="2080"/>
      <c r="G489" s="2080"/>
      <c r="H489" s="2080"/>
      <c r="I489" s="2076"/>
    </row>
    <row r="490" s="2075" customFormat="1" spans="1:9">
      <c r="A490" s="2112" t="s">
        <v>1192</v>
      </c>
      <c r="B490" s="2080"/>
      <c r="C490" s="2080"/>
      <c r="D490" s="2080"/>
      <c r="E490" s="2080"/>
      <c r="F490" s="2080"/>
      <c r="G490" s="2080"/>
      <c r="H490" s="2080"/>
      <c r="I490" s="2076"/>
    </row>
    <row r="491" s="2075" customFormat="1" spans="1:9">
      <c r="A491" s="2112" t="s">
        <v>1193</v>
      </c>
      <c r="B491" s="2080"/>
      <c r="C491" s="2080"/>
      <c r="D491" s="2080"/>
      <c r="E491" s="2080"/>
      <c r="F491" s="2080"/>
      <c r="G491" s="2080"/>
      <c r="H491" s="2080"/>
      <c r="I491" s="2076"/>
    </row>
    <row r="492" s="2075" customFormat="1" spans="1:9">
      <c r="A492" s="2112"/>
      <c r="B492" s="2080"/>
      <c r="C492" s="2080"/>
      <c r="D492" s="2080"/>
      <c r="E492" s="2080"/>
      <c r="F492" s="2080"/>
      <c r="G492" s="2080"/>
      <c r="H492" s="2080"/>
      <c r="I492" s="2076"/>
    </row>
    <row r="493" s="2075" customFormat="1" spans="1:9">
      <c r="A493" s="2080"/>
      <c r="B493" s="2080"/>
      <c r="C493" s="2080"/>
      <c r="D493" s="2080"/>
      <c r="E493" s="2080"/>
      <c r="F493" s="2080"/>
      <c r="G493" s="2080"/>
      <c r="H493" s="2080"/>
      <c r="I493" s="2076"/>
    </row>
    <row r="494" s="2075" customFormat="1" spans="1:9">
      <c r="A494" s="2097" t="s">
        <v>1194</v>
      </c>
      <c r="B494" s="2080"/>
      <c r="C494" s="2080"/>
      <c r="D494" s="2080"/>
      <c r="E494" s="2080"/>
      <c r="F494" s="2080"/>
      <c r="G494" s="2080"/>
      <c r="H494" s="2080"/>
      <c r="I494" s="2076"/>
    </row>
    <row r="495" s="2075" customFormat="1" spans="1:9">
      <c r="A495" s="2124" t="s">
        <v>1195</v>
      </c>
      <c r="B495" s="2084" t="s">
        <v>627</v>
      </c>
      <c r="C495" s="2108" t="s">
        <v>581</v>
      </c>
      <c r="D495" s="2108" t="s">
        <v>582</v>
      </c>
      <c r="E495" s="2084" t="s">
        <v>626</v>
      </c>
      <c r="F495" s="2098" t="s">
        <v>1196</v>
      </c>
      <c r="G495" s="2080"/>
      <c r="H495" s="2080"/>
      <c r="I495" s="2076"/>
    </row>
    <row r="496" s="2075" customFormat="1" spans="1:9">
      <c r="A496" s="2098" t="s">
        <v>1197</v>
      </c>
      <c r="B496" s="2085"/>
      <c r="C496" s="2085"/>
      <c r="D496" s="2085"/>
      <c r="E496" s="2048">
        <f>ROUND(B496+C496-D496,2)</f>
        <v>0</v>
      </c>
      <c r="F496" s="2092"/>
      <c r="G496" s="2080"/>
      <c r="H496" s="2080"/>
      <c r="I496" s="2086" t="s">
        <v>1198</v>
      </c>
    </row>
    <row r="497" s="2075" customFormat="1" spans="1:9">
      <c r="A497" s="2098" t="s">
        <v>1199</v>
      </c>
      <c r="B497" s="2085"/>
      <c r="C497" s="2085"/>
      <c r="D497" s="2085"/>
      <c r="E497" s="2048">
        <f>ROUND(B497+C497-D497,2)</f>
        <v>0</v>
      </c>
      <c r="F497" s="2092"/>
      <c r="G497" s="2080"/>
      <c r="H497" s="2080"/>
      <c r="I497" s="2086" t="s">
        <v>1200</v>
      </c>
    </row>
    <row r="498" s="2075" customFormat="1" spans="1:9">
      <c r="A498" s="2098" t="s">
        <v>1201</v>
      </c>
      <c r="B498" s="2085"/>
      <c r="C498" s="2085"/>
      <c r="D498" s="2085"/>
      <c r="E498" s="2048">
        <f>ROUND(B498+C498-D498,2)</f>
        <v>0</v>
      </c>
      <c r="F498" s="2092"/>
      <c r="G498" s="2080"/>
      <c r="H498" s="2080"/>
      <c r="I498" s="2086" t="s">
        <v>1202</v>
      </c>
    </row>
    <row r="499" s="2075" customFormat="1" spans="1:9">
      <c r="A499" s="2098" t="s">
        <v>1203</v>
      </c>
      <c r="B499" s="2085"/>
      <c r="C499" s="2085"/>
      <c r="D499" s="2085"/>
      <c r="E499" s="2048">
        <f>ROUND(B499+C499-D499,2)</f>
        <v>0</v>
      </c>
      <c r="F499" s="2092"/>
      <c r="G499" s="2080"/>
      <c r="H499" s="2080"/>
      <c r="I499" s="2086" t="s">
        <v>1204</v>
      </c>
    </row>
    <row r="500" s="2075" customFormat="1" spans="1:9">
      <c r="A500" s="2098" t="s">
        <v>279</v>
      </c>
      <c r="B500" s="2085"/>
      <c r="C500" s="2085"/>
      <c r="D500" s="2085"/>
      <c r="E500" s="2048">
        <f>ROUND(B500+C500-D500,2)</f>
        <v>0</v>
      </c>
      <c r="F500" s="2092"/>
      <c r="G500" s="2080"/>
      <c r="H500" s="2080"/>
      <c r="I500" s="2086" t="s">
        <v>1205</v>
      </c>
    </row>
    <row r="501" s="2075" customFormat="1" spans="1:9">
      <c r="A501" s="2124" t="s">
        <v>1206</v>
      </c>
      <c r="B501" s="2048">
        <f>ROUND(SUM(B496:B500),2)</f>
        <v>0</v>
      </c>
      <c r="C501" s="2048">
        <f>ROUND(SUM(C496:C500),2)</f>
        <v>0</v>
      </c>
      <c r="D501" s="2048">
        <f>ROUND(SUM(D496:D500),2)</f>
        <v>0</v>
      </c>
      <c r="E501" s="2048">
        <f>ROUND(SUM(E496:E500),2)</f>
        <v>0</v>
      </c>
      <c r="F501" s="2098"/>
      <c r="G501" s="2080"/>
      <c r="H501" s="2080"/>
      <c r="I501" s="2086" t="s">
        <v>1207</v>
      </c>
    </row>
    <row r="502" s="2075" customFormat="1" spans="1:9">
      <c r="A502" s="2102"/>
      <c r="B502" s="2100"/>
      <c r="C502" s="2100"/>
      <c r="D502" s="2100"/>
      <c r="E502" s="2100"/>
      <c r="F502" s="2095"/>
      <c r="G502" s="2080"/>
      <c r="H502" s="2080"/>
      <c r="I502" s="2076"/>
    </row>
    <row r="503" s="2075" customFormat="1" spans="1:9">
      <c r="A503" s="2080"/>
      <c r="B503" s="2080"/>
      <c r="C503" s="2080"/>
      <c r="D503" s="2080"/>
      <c r="E503" s="2080"/>
      <c r="F503" s="2080"/>
      <c r="G503" s="2080"/>
      <c r="H503" s="2080"/>
      <c r="I503" s="2076"/>
    </row>
    <row r="504" s="2075" customFormat="1" spans="1:9">
      <c r="A504" s="2097" t="s">
        <v>1208</v>
      </c>
      <c r="B504" s="2080"/>
      <c r="C504" s="2080"/>
      <c r="D504" s="2080"/>
      <c r="E504" s="2080"/>
      <c r="F504" s="2080"/>
      <c r="G504" s="2080"/>
      <c r="H504" s="2080"/>
      <c r="I504" s="2076"/>
    </row>
    <row r="505" s="2075" customFormat="1" spans="1:9">
      <c r="A505" s="2124" t="s">
        <v>60</v>
      </c>
      <c r="B505" s="2124" t="s">
        <v>365</v>
      </c>
      <c r="C505" s="2080"/>
      <c r="D505" s="2080"/>
      <c r="E505" s="2080"/>
      <c r="F505" s="2080"/>
      <c r="G505" s="2080"/>
      <c r="H505" s="2080"/>
      <c r="I505" s="2076"/>
    </row>
    <row r="506" s="2075" customFormat="1" spans="1:9">
      <c r="A506" s="2106" t="s">
        <v>1209</v>
      </c>
      <c r="B506" s="2085"/>
      <c r="C506" s="2080"/>
      <c r="D506" s="2080"/>
      <c r="E506" s="2080"/>
      <c r="F506" s="2080"/>
      <c r="G506" s="2080"/>
      <c r="H506" s="2080"/>
      <c r="I506" s="2086" t="s">
        <v>1210</v>
      </c>
    </row>
    <row r="507" s="2075" customFormat="1" spans="1:9">
      <c r="A507" s="2106" t="s">
        <v>1211</v>
      </c>
      <c r="B507" s="2048">
        <f>ROUND(B508+B509,2)</f>
        <v>0</v>
      </c>
      <c r="C507" s="2080"/>
      <c r="D507" s="2080"/>
      <c r="E507" s="2080"/>
      <c r="F507" s="2080"/>
      <c r="G507" s="2080"/>
      <c r="H507" s="2080"/>
      <c r="I507" s="2086" t="s">
        <v>1212</v>
      </c>
    </row>
    <row r="508" s="2075" customFormat="1" spans="1:9">
      <c r="A508" s="2106" t="s">
        <v>1213</v>
      </c>
      <c r="B508" s="2085"/>
      <c r="C508" s="2080"/>
      <c r="D508" s="2080"/>
      <c r="E508" s="2080"/>
      <c r="F508" s="2080"/>
      <c r="G508" s="2080"/>
      <c r="H508" s="2080"/>
      <c r="I508" s="2086" t="s">
        <v>1214</v>
      </c>
    </row>
    <row r="509" s="2075" customFormat="1" spans="1:9">
      <c r="A509" s="2098" t="s">
        <v>1215</v>
      </c>
      <c r="B509" s="2085"/>
      <c r="C509" s="2080"/>
      <c r="D509" s="2080"/>
      <c r="E509" s="2080"/>
      <c r="F509" s="2080"/>
      <c r="G509" s="2080"/>
      <c r="H509" s="2080"/>
      <c r="I509" s="2086" t="s">
        <v>1216</v>
      </c>
    </row>
    <row r="510" s="2075" customFormat="1" spans="1:9">
      <c r="A510" s="2106" t="s">
        <v>1217</v>
      </c>
      <c r="B510" s="2048">
        <f>ROUND(B506+B507,2)</f>
        <v>0</v>
      </c>
      <c r="C510" s="2080"/>
      <c r="D510" s="2080"/>
      <c r="E510" s="2080"/>
      <c r="F510" s="2080"/>
      <c r="G510" s="2080"/>
      <c r="H510" s="2080"/>
      <c r="I510" s="2086" t="s">
        <v>1218</v>
      </c>
    </row>
    <row r="511" s="2075" customFormat="1" spans="1:9">
      <c r="A511" s="2106" t="s">
        <v>1219</v>
      </c>
      <c r="B511" s="2048">
        <f>ROUND(B512+B513,2)</f>
        <v>0</v>
      </c>
      <c r="C511" s="2080"/>
      <c r="D511" s="2080"/>
      <c r="E511" s="2080"/>
      <c r="F511" s="2080"/>
      <c r="G511" s="2080"/>
      <c r="H511" s="2080"/>
      <c r="I511" s="2086" t="s">
        <v>1220</v>
      </c>
    </row>
    <row r="512" s="2075" customFormat="1" spans="1:9">
      <c r="A512" s="2106" t="s">
        <v>1221</v>
      </c>
      <c r="B512" s="2085"/>
      <c r="C512" s="2080"/>
      <c r="D512" s="2080"/>
      <c r="E512" s="2080"/>
      <c r="F512" s="2080"/>
      <c r="G512" s="2080"/>
      <c r="H512" s="2080"/>
      <c r="I512" s="2086" t="s">
        <v>1222</v>
      </c>
    </row>
    <row r="513" s="2075" customFormat="1" spans="1:9">
      <c r="A513" s="2098" t="s">
        <v>1223</v>
      </c>
      <c r="B513" s="2085"/>
      <c r="C513" s="2080"/>
      <c r="D513" s="2080"/>
      <c r="E513" s="2080"/>
      <c r="F513" s="2080"/>
      <c r="G513" s="2080"/>
      <c r="H513" s="2080"/>
      <c r="I513" s="2086" t="s">
        <v>1224</v>
      </c>
    </row>
    <row r="514" s="2075" customFormat="1" spans="1:9">
      <c r="A514" s="2106" t="s">
        <v>1225</v>
      </c>
      <c r="B514" s="2048">
        <f>ROUND(B515+B516+B517+B518,2)</f>
        <v>0</v>
      </c>
      <c r="C514" s="2080"/>
      <c r="D514" s="2080"/>
      <c r="E514" s="2080"/>
      <c r="F514" s="2080"/>
      <c r="G514" s="2080"/>
      <c r="H514" s="2080"/>
      <c r="I514" s="2086" t="s">
        <v>1226</v>
      </c>
    </row>
    <row r="515" s="2075" customFormat="1" spans="1:9">
      <c r="A515" s="2106" t="s">
        <v>1227</v>
      </c>
      <c r="B515" s="2085"/>
      <c r="C515" s="2080"/>
      <c r="D515" s="2080"/>
      <c r="E515" s="2080"/>
      <c r="F515" s="2080"/>
      <c r="G515" s="2080"/>
      <c r="H515" s="2080"/>
      <c r="I515" s="2086" t="s">
        <v>1228</v>
      </c>
    </row>
    <row r="516" s="2075" customFormat="1" spans="1:9">
      <c r="A516" s="2098" t="s">
        <v>1229</v>
      </c>
      <c r="B516" s="2085"/>
      <c r="C516" s="2080"/>
      <c r="D516" s="2080"/>
      <c r="E516" s="2080"/>
      <c r="F516" s="2080"/>
      <c r="G516" s="2080"/>
      <c r="H516" s="2080"/>
      <c r="I516" s="2086" t="s">
        <v>1230</v>
      </c>
    </row>
    <row r="517" s="2075" customFormat="1" spans="1:9">
      <c r="A517" s="2098" t="s">
        <v>1231</v>
      </c>
      <c r="B517" s="2085"/>
      <c r="C517" s="2080"/>
      <c r="D517" s="2080"/>
      <c r="E517" s="2080"/>
      <c r="F517" s="2080"/>
      <c r="G517" s="2080"/>
      <c r="H517" s="2080"/>
      <c r="I517" s="2086" t="s">
        <v>1232</v>
      </c>
    </row>
    <row r="518" s="2075" customFormat="1" spans="1:9">
      <c r="A518" s="2098" t="s">
        <v>1233</v>
      </c>
      <c r="B518" s="2085"/>
      <c r="C518" s="2080"/>
      <c r="D518" s="2080"/>
      <c r="E518" s="2080"/>
      <c r="F518" s="2080"/>
      <c r="G518" s="2080"/>
      <c r="H518" s="2080"/>
      <c r="I518" s="2086" t="s">
        <v>1234</v>
      </c>
    </row>
    <row r="519" s="2075" customFormat="1" spans="1:9">
      <c r="A519" s="2106" t="s">
        <v>1235</v>
      </c>
      <c r="B519" s="2048">
        <f>ROUND(B510+B511-B514,2)</f>
        <v>0</v>
      </c>
      <c r="C519" s="2080"/>
      <c r="D519" s="2080"/>
      <c r="E519" s="2080"/>
      <c r="F519" s="2080"/>
      <c r="G519" s="2080"/>
      <c r="H519" s="2080"/>
      <c r="I519" s="2086" t="s">
        <v>1236</v>
      </c>
    </row>
    <row r="520" s="2075" customFormat="1" spans="1:9">
      <c r="A520" s="2106" t="s">
        <v>1237</v>
      </c>
      <c r="B520" s="2085"/>
      <c r="C520" s="2080"/>
      <c r="D520" s="2080"/>
      <c r="E520" s="2080"/>
      <c r="F520" s="2080"/>
      <c r="G520" s="2080"/>
      <c r="H520" s="2080"/>
      <c r="I520" s="2086" t="s">
        <v>1238</v>
      </c>
    </row>
    <row r="521" s="2075" customFormat="1" spans="1:9">
      <c r="A521" s="2080"/>
      <c r="B521" s="2080"/>
      <c r="C521" s="2080"/>
      <c r="D521" s="2080"/>
      <c r="E521" s="2080"/>
      <c r="F521" s="2080"/>
      <c r="G521" s="2080"/>
      <c r="H521" s="2080"/>
      <c r="I521" s="2086" t="s">
        <v>629</v>
      </c>
    </row>
  </sheetData>
  <mergeCells count="10">
    <mergeCell ref="A1:H1"/>
    <mergeCell ref="B59:C59"/>
    <mergeCell ref="D59:E59"/>
    <mergeCell ref="B112:C112"/>
    <mergeCell ref="D112:E112"/>
    <mergeCell ref="B232:C232"/>
    <mergeCell ref="D232:E232"/>
    <mergeCell ref="A59:A60"/>
    <mergeCell ref="A112:A113"/>
    <mergeCell ref="A232:A233"/>
  </mergeCells>
  <pageMargins left="0.75" right="0.75" top="1" bottom="1" header="0.5" footer="0.5"/>
  <headerFooter alignWithMargins="0"/>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93"/>
  <sheetViews>
    <sheetView showGridLines="0" showZeros="0" zoomScale="105" zoomScaleNormal="105" workbookViewId="0">
      <pane xSplit="1" ySplit="1" topLeftCell="B2" activePane="bottomRight" state="frozen"/>
      <selection/>
      <selection pane="topRight"/>
      <selection pane="bottomLeft"/>
      <selection pane="bottomRight" activeCell="B6" sqref="B6"/>
    </sheetView>
  </sheetViews>
  <sheetFormatPr defaultColWidth="9" defaultRowHeight="12.75"/>
  <cols>
    <col min="1" max="1" width="37.75" style="2299" customWidth="1"/>
    <col min="2" max="7" width="12.25" style="2299" customWidth="1"/>
    <col min="8" max="8" width="35.25" style="2302" hidden="1" customWidth="1"/>
    <col min="9" max="16384" width="9" style="2299"/>
  </cols>
  <sheetData>
    <row r="1" s="2074" customFormat="1" ht="25.5" spans="1:10">
      <c r="A1" s="2077" t="s">
        <v>980</v>
      </c>
      <c r="B1" s="2077"/>
      <c r="C1" s="2077"/>
      <c r="D1" s="2077"/>
      <c r="E1" s="2077"/>
      <c r="F1" s="2077"/>
      <c r="G1" s="2077"/>
      <c r="H1" s="2078"/>
      <c r="I1" s="2078"/>
      <c r="J1" s="2078"/>
    </row>
    <row r="2" s="2075" customFormat="1" spans="1:8">
      <c r="A2" s="2079" t="s">
        <v>1239</v>
      </c>
      <c r="B2" s="2080"/>
      <c r="C2" s="2080"/>
      <c r="D2" s="2080"/>
      <c r="E2" s="2080"/>
      <c r="F2" s="2080"/>
      <c r="G2" s="2080"/>
      <c r="H2" s="2076"/>
    </row>
    <row r="3" s="2075" customFormat="1" spans="1:8">
      <c r="A3" s="2081" t="s">
        <v>1240</v>
      </c>
      <c r="B3" s="2080"/>
      <c r="C3" s="2080"/>
      <c r="D3" s="2080"/>
      <c r="E3" s="2080"/>
      <c r="F3" s="2080"/>
      <c r="G3" s="2080"/>
      <c r="H3" s="2076"/>
    </row>
    <row r="4" s="2075" customFormat="1" customHeight="1" spans="1:8">
      <c r="A4" s="2082" t="s">
        <v>372</v>
      </c>
      <c r="B4" s="2082" t="s">
        <v>1241</v>
      </c>
      <c r="C4" s="2083"/>
      <c r="D4" s="2083"/>
      <c r="E4" s="2082" t="s">
        <v>1242</v>
      </c>
      <c r="F4" s="2083"/>
      <c r="G4" s="2083"/>
      <c r="H4" s="2076"/>
    </row>
    <row r="5" s="2075" customFormat="1" customHeight="1" spans="1:8">
      <c r="A5" s="2083"/>
      <c r="B5" s="2082" t="s">
        <v>1243</v>
      </c>
      <c r="C5" s="2082" t="s">
        <v>1244</v>
      </c>
      <c r="D5" s="2082" t="s">
        <v>1245</v>
      </c>
      <c r="E5" s="2082" t="s">
        <v>1243</v>
      </c>
      <c r="F5" s="2082" t="s">
        <v>1244</v>
      </c>
      <c r="G5" s="2082" t="s">
        <v>1245</v>
      </c>
      <c r="H5" s="2076"/>
    </row>
    <row r="6" s="2075" customFormat="1" spans="1:8">
      <c r="A6" s="2084" t="s">
        <v>1246</v>
      </c>
      <c r="B6" s="2085"/>
      <c r="C6" s="2085"/>
      <c r="D6" s="2048">
        <f>ROUND(B6-C6,2)</f>
        <v>0</v>
      </c>
      <c r="E6" s="2085"/>
      <c r="F6" s="2085"/>
      <c r="G6" s="2048">
        <f>ROUND(E6-F6,2)</f>
        <v>0</v>
      </c>
      <c r="H6" s="2086" t="s">
        <v>1247</v>
      </c>
    </row>
    <row r="7" s="2075" customFormat="1" spans="1:8">
      <c r="A7" s="2084" t="s">
        <v>1248</v>
      </c>
      <c r="B7" s="2085"/>
      <c r="C7" s="2085"/>
      <c r="D7" s="2048">
        <f>ROUND(B7-C7,2)</f>
        <v>0</v>
      </c>
      <c r="E7" s="2085"/>
      <c r="F7" s="2085"/>
      <c r="G7" s="2048">
        <f>ROUND(E7-F7,2)</f>
        <v>0</v>
      </c>
      <c r="H7" s="2086" t="s">
        <v>1249</v>
      </c>
    </row>
    <row r="8" s="2075" customFormat="1" spans="1:8">
      <c r="A8" s="2084" t="s">
        <v>384</v>
      </c>
      <c r="B8" s="2087">
        <f>ROUND(B6+B7,2)</f>
        <v>0</v>
      </c>
      <c r="C8" s="2087">
        <f>ROUND(C6+C7,2)</f>
        <v>0</v>
      </c>
      <c r="D8" s="2048">
        <f>ROUND(B8-C8,2)</f>
        <v>0</v>
      </c>
      <c r="E8" s="2087">
        <f>ROUND(E6+E7,2)</f>
        <v>0</v>
      </c>
      <c r="F8" s="2087">
        <f>ROUND(F6+F7,2)</f>
        <v>0</v>
      </c>
      <c r="G8" s="2048">
        <f>ROUND(E8-F8,2)</f>
        <v>0</v>
      </c>
      <c r="H8" s="2086" t="s">
        <v>1250</v>
      </c>
    </row>
    <row r="9" s="2075" customFormat="1" spans="1:8">
      <c r="A9" s="2080"/>
      <c r="B9" s="2080"/>
      <c r="C9" s="2080"/>
      <c r="D9" s="2080"/>
      <c r="E9" s="2080"/>
      <c r="F9" s="2080"/>
      <c r="G9" s="2080"/>
      <c r="H9" s="2076"/>
    </row>
    <row r="10" s="2075" customFormat="1" spans="1:8">
      <c r="A10" s="2088" t="s">
        <v>1251</v>
      </c>
      <c r="B10" s="2080"/>
      <c r="C10" s="2080"/>
      <c r="D10" s="2080"/>
      <c r="E10" s="2080"/>
      <c r="F10" s="2080"/>
      <c r="G10" s="2080"/>
      <c r="H10" s="2076"/>
    </row>
    <row r="11" s="2075" customFormat="1" spans="1:8">
      <c r="A11" s="2089" t="s">
        <v>372</v>
      </c>
      <c r="B11" s="2082" t="s">
        <v>1241</v>
      </c>
      <c r="C11" s="2083"/>
      <c r="D11" s="2083"/>
      <c r="E11" s="2082" t="s">
        <v>1242</v>
      </c>
      <c r="F11" s="2083"/>
      <c r="G11" s="2083"/>
      <c r="H11" s="2076"/>
    </row>
    <row r="12" s="2075" customFormat="1" spans="1:8">
      <c r="A12" s="2090"/>
      <c r="B12" s="2082" t="s">
        <v>1243</v>
      </c>
      <c r="C12" s="2082" t="s">
        <v>1244</v>
      </c>
      <c r="D12" s="2082" t="s">
        <v>1245</v>
      </c>
      <c r="E12" s="2082" t="s">
        <v>1243</v>
      </c>
      <c r="F12" s="2082" t="s">
        <v>1244</v>
      </c>
      <c r="G12" s="2082" t="s">
        <v>1245</v>
      </c>
      <c r="H12" s="2076"/>
    </row>
    <row r="13" s="2075" customFormat="1" spans="1:8">
      <c r="A13" s="2091" t="s">
        <v>1252</v>
      </c>
      <c r="B13" s="2082"/>
      <c r="C13" s="2082"/>
      <c r="D13" s="2082"/>
      <c r="E13" s="2082"/>
      <c r="F13" s="2082"/>
      <c r="G13" s="2082"/>
      <c r="H13" s="2076"/>
    </row>
    <row r="14" s="2075" customFormat="1" spans="1:8">
      <c r="A14" s="2092"/>
      <c r="B14" s="2085"/>
      <c r="C14" s="2085"/>
      <c r="D14" s="2048">
        <f t="shared" ref="D14:D23" si="0">ROUND(B14-C14,2)</f>
        <v>0</v>
      </c>
      <c r="E14" s="2085"/>
      <c r="F14" s="2085"/>
      <c r="G14" s="2048">
        <f t="shared" ref="G14:G23" si="1">ROUND(E14-F14,2)</f>
        <v>0</v>
      </c>
      <c r="H14" s="2086" t="s">
        <v>1253</v>
      </c>
    </row>
    <row r="15" s="2075" customFormat="1" spans="1:8">
      <c r="A15" s="2092"/>
      <c r="B15" s="2085"/>
      <c r="C15" s="2085"/>
      <c r="D15" s="2048">
        <f t="shared" si="0"/>
        <v>0</v>
      </c>
      <c r="E15" s="2085"/>
      <c r="F15" s="2085"/>
      <c r="G15" s="2048">
        <f t="shared" si="1"/>
        <v>0</v>
      </c>
      <c r="H15" s="2086" t="s">
        <v>1253</v>
      </c>
    </row>
    <row r="16" s="2075" customFormat="1" spans="1:8">
      <c r="A16" s="2092"/>
      <c r="B16" s="2085"/>
      <c r="C16" s="2085"/>
      <c r="D16" s="2048">
        <f t="shared" si="0"/>
        <v>0</v>
      </c>
      <c r="E16" s="2085"/>
      <c r="F16" s="2085"/>
      <c r="G16" s="2048">
        <f t="shared" si="1"/>
        <v>0</v>
      </c>
      <c r="H16" s="2086" t="s">
        <v>1253</v>
      </c>
    </row>
    <row r="17" s="2075" customFormat="1" spans="1:8">
      <c r="A17" s="2092"/>
      <c r="B17" s="2085"/>
      <c r="C17" s="2085"/>
      <c r="D17" s="2048">
        <f t="shared" si="0"/>
        <v>0</v>
      </c>
      <c r="E17" s="2085"/>
      <c r="F17" s="2085"/>
      <c r="G17" s="2048">
        <f t="shared" si="1"/>
        <v>0</v>
      </c>
      <c r="H17" s="2086" t="s">
        <v>1253</v>
      </c>
    </row>
    <row r="18" s="2075" customFormat="1" spans="1:8">
      <c r="A18" s="2092"/>
      <c r="B18" s="2085"/>
      <c r="C18" s="2085"/>
      <c r="D18" s="2048">
        <f t="shared" si="0"/>
        <v>0</v>
      </c>
      <c r="E18" s="2085"/>
      <c r="F18" s="2085"/>
      <c r="G18" s="2048">
        <f t="shared" si="1"/>
        <v>0</v>
      </c>
      <c r="H18" s="2086" t="s">
        <v>1253</v>
      </c>
    </row>
    <row r="19" s="2075" customFormat="1" spans="1:8">
      <c r="A19" s="2092"/>
      <c r="B19" s="2085"/>
      <c r="C19" s="2085"/>
      <c r="D19" s="2048">
        <f t="shared" si="0"/>
        <v>0</v>
      </c>
      <c r="E19" s="2085"/>
      <c r="F19" s="2085"/>
      <c r="G19" s="2048">
        <f t="shared" si="1"/>
        <v>0</v>
      </c>
      <c r="H19" s="2086" t="s">
        <v>1253</v>
      </c>
    </row>
    <row r="20" s="2075" customFormat="1" spans="1:8">
      <c r="A20" s="2092"/>
      <c r="B20" s="2085"/>
      <c r="C20" s="2085"/>
      <c r="D20" s="2048">
        <f t="shared" si="0"/>
        <v>0</v>
      </c>
      <c r="E20" s="2085"/>
      <c r="F20" s="2085"/>
      <c r="G20" s="2048">
        <f t="shared" si="1"/>
        <v>0</v>
      </c>
      <c r="H20" s="2086" t="s">
        <v>1253</v>
      </c>
    </row>
    <row r="21" s="2075" customFormat="1" spans="1:8">
      <c r="A21" s="2092"/>
      <c r="B21" s="2085"/>
      <c r="C21" s="2085"/>
      <c r="D21" s="2048">
        <f t="shared" si="0"/>
        <v>0</v>
      </c>
      <c r="E21" s="2085"/>
      <c r="F21" s="2085"/>
      <c r="G21" s="2048">
        <f t="shared" si="1"/>
        <v>0</v>
      </c>
      <c r="H21" s="2086" t="s">
        <v>1253</v>
      </c>
    </row>
    <row r="22" s="2075" customFormat="1" spans="1:8">
      <c r="A22" s="2092"/>
      <c r="B22" s="2085"/>
      <c r="C22" s="2085"/>
      <c r="D22" s="2048">
        <f t="shared" si="0"/>
        <v>0</v>
      </c>
      <c r="E22" s="2085"/>
      <c r="F22" s="2085"/>
      <c r="G22" s="2048">
        <f t="shared" si="1"/>
        <v>0</v>
      </c>
      <c r="H22" s="2086" t="s">
        <v>1253</v>
      </c>
    </row>
    <row r="23" s="2075" customFormat="1" spans="1:8">
      <c r="A23" s="2092"/>
      <c r="B23" s="2085"/>
      <c r="C23" s="2085"/>
      <c r="D23" s="2048">
        <f t="shared" si="0"/>
        <v>0</v>
      </c>
      <c r="E23" s="2085"/>
      <c r="F23" s="2085"/>
      <c r="G23" s="2048">
        <f t="shared" si="1"/>
        <v>0</v>
      </c>
      <c r="H23" s="2086" t="s">
        <v>1253</v>
      </c>
    </row>
    <row r="24" s="2075" customFormat="1" spans="1:8">
      <c r="A24" s="2082" t="s">
        <v>384</v>
      </c>
      <c r="B24" s="2048">
        <f t="shared" ref="B24:G24" si="2">ROUND(SUM(B14:B23),2)</f>
        <v>0</v>
      </c>
      <c r="C24" s="2048">
        <f t="shared" si="2"/>
        <v>0</v>
      </c>
      <c r="D24" s="2048">
        <f t="shared" si="2"/>
        <v>0</v>
      </c>
      <c r="E24" s="2048">
        <f t="shared" si="2"/>
        <v>0</v>
      </c>
      <c r="F24" s="2048">
        <f t="shared" si="2"/>
        <v>0</v>
      </c>
      <c r="G24" s="2048">
        <f t="shared" si="2"/>
        <v>0</v>
      </c>
      <c r="H24" s="2086" t="s">
        <v>1254</v>
      </c>
    </row>
    <row r="25" s="2075" customFormat="1" spans="1:8">
      <c r="A25" s="2090"/>
      <c r="B25" s="2048"/>
      <c r="C25" s="2048"/>
      <c r="D25" s="2048"/>
      <c r="E25" s="2048"/>
      <c r="F25" s="2048"/>
      <c r="G25" s="2048"/>
      <c r="H25" s="2086"/>
    </row>
    <row r="26" s="2075" customFormat="1" spans="1:8">
      <c r="A26" s="2091" t="s">
        <v>1255</v>
      </c>
      <c r="B26" s="2082"/>
      <c r="C26" s="2082"/>
      <c r="D26" s="2082"/>
      <c r="E26" s="2082"/>
      <c r="F26" s="2082"/>
      <c r="G26" s="2082"/>
      <c r="H26" s="2076"/>
    </row>
    <row r="27" s="2075" customFormat="1" spans="1:8">
      <c r="A27" s="2092"/>
      <c r="B27" s="2085"/>
      <c r="C27" s="2085"/>
      <c r="D27" s="2048">
        <f t="shared" ref="D27:D36" si="3">ROUND(B27-C27,2)</f>
        <v>0</v>
      </c>
      <c r="E27" s="2085"/>
      <c r="F27" s="2085"/>
      <c r="G27" s="2048">
        <f t="shared" ref="G27:G36" si="4">ROUND(E27-F27,2)</f>
        <v>0</v>
      </c>
      <c r="H27" s="2086" t="s">
        <v>1256</v>
      </c>
    </row>
    <row r="28" s="2075" customFormat="1" spans="1:8">
      <c r="A28" s="2092"/>
      <c r="B28" s="2085"/>
      <c r="C28" s="2085"/>
      <c r="D28" s="2048">
        <f t="shared" si="3"/>
        <v>0</v>
      </c>
      <c r="E28" s="2085"/>
      <c r="F28" s="2085"/>
      <c r="G28" s="2048">
        <f t="shared" si="4"/>
        <v>0</v>
      </c>
      <c r="H28" s="2086" t="s">
        <v>1256</v>
      </c>
    </row>
    <row r="29" s="2075" customFormat="1" spans="1:8">
      <c r="A29" s="2092"/>
      <c r="B29" s="2085"/>
      <c r="C29" s="2085"/>
      <c r="D29" s="2048">
        <f t="shared" si="3"/>
        <v>0</v>
      </c>
      <c r="E29" s="2085"/>
      <c r="F29" s="2085"/>
      <c r="G29" s="2048">
        <f t="shared" si="4"/>
        <v>0</v>
      </c>
      <c r="H29" s="2086" t="s">
        <v>1256</v>
      </c>
    </row>
    <row r="30" s="2075" customFormat="1" spans="1:8">
      <c r="A30" s="2092"/>
      <c r="B30" s="2085"/>
      <c r="C30" s="2085"/>
      <c r="D30" s="2048">
        <f t="shared" si="3"/>
        <v>0</v>
      </c>
      <c r="E30" s="2085"/>
      <c r="F30" s="2085"/>
      <c r="G30" s="2048">
        <f t="shared" si="4"/>
        <v>0</v>
      </c>
      <c r="H30" s="2086" t="s">
        <v>1256</v>
      </c>
    </row>
    <row r="31" s="2075" customFormat="1" spans="1:8">
      <c r="A31" s="2092"/>
      <c r="B31" s="2085"/>
      <c r="C31" s="2085"/>
      <c r="D31" s="2048">
        <f t="shared" si="3"/>
        <v>0</v>
      </c>
      <c r="E31" s="2085"/>
      <c r="F31" s="2085"/>
      <c r="G31" s="2048">
        <f t="shared" si="4"/>
        <v>0</v>
      </c>
      <c r="H31" s="2086" t="s">
        <v>1256</v>
      </c>
    </row>
    <row r="32" s="2075" customFormat="1" spans="1:8">
      <c r="A32" s="2092"/>
      <c r="B32" s="2085"/>
      <c r="C32" s="2085"/>
      <c r="D32" s="2048">
        <f t="shared" si="3"/>
        <v>0</v>
      </c>
      <c r="E32" s="2085"/>
      <c r="F32" s="2085"/>
      <c r="G32" s="2048">
        <f t="shared" si="4"/>
        <v>0</v>
      </c>
      <c r="H32" s="2086" t="s">
        <v>1256</v>
      </c>
    </row>
    <row r="33" s="2075" customFormat="1" spans="1:8">
      <c r="A33" s="2092"/>
      <c r="B33" s="2085"/>
      <c r="C33" s="2085"/>
      <c r="D33" s="2048">
        <f t="shared" si="3"/>
        <v>0</v>
      </c>
      <c r="E33" s="2085"/>
      <c r="F33" s="2085"/>
      <c r="G33" s="2048">
        <f t="shared" si="4"/>
        <v>0</v>
      </c>
      <c r="H33" s="2086" t="s">
        <v>1256</v>
      </c>
    </row>
    <row r="34" s="2075" customFormat="1" spans="1:8">
      <c r="A34" s="2092"/>
      <c r="B34" s="2085"/>
      <c r="C34" s="2085"/>
      <c r="D34" s="2048">
        <f t="shared" si="3"/>
        <v>0</v>
      </c>
      <c r="E34" s="2085"/>
      <c r="F34" s="2085"/>
      <c r="G34" s="2048">
        <f t="shared" si="4"/>
        <v>0</v>
      </c>
      <c r="H34" s="2086" t="s">
        <v>1256</v>
      </c>
    </row>
    <row r="35" s="2075" customFormat="1" spans="1:8">
      <c r="A35" s="2092"/>
      <c r="B35" s="2085"/>
      <c r="C35" s="2085"/>
      <c r="D35" s="2048">
        <f t="shared" si="3"/>
        <v>0</v>
      </c>
      <c r="E35" s="2085"/>
      <c r="F35" s="2085"/>
      <c r="G35" s="2048">
        <f t="shared" si="4"/>
        <v>0</v>
      </c>
      <c r="H35" s="2086" t="s">
        <v>1256</v>
      </c>
    </row>
    <row r="36" s="2075" customFormat="1" spans="1:8">
      <c r="A36" s="2092"/>
      <c r="B36" s="2085"/>
      <c r="C36" s="2085"/>
      <c r="D36" s="2048">
        <f t="shared" si="3"/>
        <v>0</v>
      </c>
      <c r="E36" s="2085"/>
      <c r="F36" s="2085"/>
      <c r="G36" s="2048">
        <f t="shared" si="4"/>
        <v>0</v>
      </c>
      <c r="H36" s="2086" t="s">
        <v>1256</v>
      </c>
    </row>
    <row r="37" s="2075" customFormat="1" spans="1:8">
      <c r="A37" s="2082" t="s">
        <v>384</v>
      </c>
      <c r="B37" s="2048">
        <f t="shared" ref="B37:G37" si="5">ROUND(SUM(B27:B36),2)</f>
        <v>0</v>
      </c>
      <c r="C37" s="2048">
        <f t="shared" si="5"/>
        <v>0</v>
      </c>
      <c r="D37" s="2048">
        <f t="shared" si="5"/>
        <v>0</v>
      </c>
      <c r="E37" s="2048">
        <f t="shared" si="5"/>
        <v>0</v>
      </c>
      <c r="F37" s="2048">
        <f t="shared" si="5"/>
        <v>0</v>
      </c>
      <c r="G37" s="2048">
        <f t="shared" si="5"/>
        <v>0</v>
      </c>
      <c r="H37" s="2086" t="s">
        <v>1257</v>
      </c>
    </row>
    <row r="38" s="2075" customFormat="1" spans="1:8">
      <c r="A38" s="2080"/>
      <c r="B38" s="2080"/>
      <c r="C38" s="2080"/>
      <c r="D38" s="2080"/>
      <c r="E38" s="2080"/>
      <c r="F38" s="2080"/>
      <c r="G38" s="2080"/>
      <c r="H38" s="2076"/>
    </row>
    <row r="39" s="2075" customFormat="1" spans="1:8">
      <c r="A39" s="2088" t="s">
        <v>1258</v>
      </c>
      <c r="B39" s="2080"/>
      <c r="C39" s="2080"/>
      <c r="D39" s="2080"/>
      <c r="E39" s="2080"/>
      <c r="F39" s="2080"/>
      <c r="G39" s="2080"/>
      <c r="H39" s="2076"/>
    </row>
    <row r="40" s="2075" customFormat="1" spans="1:8">
      <c r="A40" s="2082" t="s">
        <v>1259</v>
      </c>
      <c r="B40" s="2082" t="s">
        <v>1260</v>
      </c>
      <c r="C40" s="2082" t="s">
        <v>1261</v>
      </c>
      <c r="D40" s="2080"/>
      <c r="E40" s="2080"/>
      <c r="F40" s="2080"/>
      <c r="G40" s="2080"/>
      <c r="H40" s="2076"/>
    </row>
    <row r="41" s="2075" customFormat="1" spans="1:8">
      <c r="A41" s="2092"/>
      <c r="B41" s="2085"/>
      <c r="C41" s="2093">
        <f t="shared" ref="C41:C46" si="6">IF(B$8=0,0,ROUND(B41/B$8,4))</f>
        <v>0</v>
      </c>
      <c r="D41" s="2080"/>
      <c r="E41" s="2080"/>
      <c r="F41" s="2080"/>
      <c r="G41" s="2080"/>
      <c r="H41" s="2086" t="s">
        <v>1262</v>
      </c>
    </row>
    <row r="42" s="2075" customFormat="1" spans="1:8">
      <c r="A42" s="2092"/>
      <c r="B42" s="2085"/>
      <c r="C42" s="2093">
        <f t="shared" si="6"/>
        <v>0</v>
      </c>
      <c r="D42" s="2080"/>
      <c r="E42" s="2080"/>
      <c r="F42" s="2080"/>
      <c r="G42" s="2080"/>
      <c r="H42" s="2086" t="s">
        <v>1262</v>
      </c>
    </row>
    <row r="43" s="2075" customFormat="1" spans="1:8">
      <c r="A43" s="2092"/>
      <c r="B43" s="2085"/>
      <c r="C43" s="2093">
        <f t="shared" si="6"/>
        <v>0</v>
      </c>
      <c r="D43" s="2080"/>
      <c r="E43" s="2080"/>
      <c r="F43" s="2080"/>
      <c r="G43" s="2080"/>
      <c r="H43" s="2086" t="s">
        <v>1262</v>
      </c>
    </row>
    <row r="44" s="2075" customFormat="1" spans="1:8">
      <c r="A44" s="2092"/>
      <c r="B44" s="2085"/>
      <c r="C44" s="2093">
        <f t="shared" si="6"/>
        <v>0</v>
      </c>
      <c r="D44" s="2080"/>
      <c r="E44" s="2080"/>
      <c r="F44" s="2080"/>
      <c r="G44" s="2080"/>
      <c r="H44" s="2086" t="s">
        <v>1262</v>
      </c>
    </row>
    <row r="45" s="2075" customFormat="1" spans="1:8">
      <c r="A45" s="2092"/>
      <c r="B45" s="2085"/>
      <c r="C45" s="2093">
        <f t="shared" si="6"/>
        <v>0</v>
      </c>
      <c r="D45" s="2080"/>
      <c r="E45" s="2080"/>
      <c r="F45" s="2080"/>
      <c r="G45" s="2080"/>
      <c r="H45" s="2086" t="s">
        <v>1262</v>
      </c>
    </row>
    <row r="46" s="2075" customFormat="1" spans="1:8">
      <c r="A46" s="2082" t="s">
        <v>384</v>
      </c>
      <c r="B46" s="2048">
        <f>ROUND(SUM(B41:B45),2)</f>
        <v>0</v>
      </c>
      <c r="C46" s="2093">
        <f t="shared" si="6"/>
        <v>0</v>
      </c>
      <c r="D46" s="2080"/>
      <c r="E46" s="2080"/>
      <c r="F46" s="2080"/>
      <c r="G46" s="2080"/>
      <c r="H46" s="2086" t="s">
        <v>1263</v>
      </c>
    </row>
    <row r="47" s="2075" customFormat="1" spans="1:8">
      <c r="A47" s="2094"/>
      <c r="B47" s="2095"/>
      <c r="C47" s="2095"/>
      <c r="D47" s="2080"/>
      <c r="E47" s="2080"/>
      <c r="F47" s="2080"/>
      <c r="G47" s="2080"/>
      <c r="H47" s="2076"/>
    </row>
    <row r="48" s="2075" customFormat="1" spans="1:8">
      <c r="A48" s="2096" t="s">
        <v>1264</v>
      </c>
      <c r="B48" s="2080"/>
      <c r="C48" s="2080"/>
      <c r="D48" s="2080"/>
      <c r="E48" s="2080"/>
      <c r="F48" s="2080"/>
      <c r="G48" s="2080"/>
      <c r="H48" s="2076"/>
    </row>
    <row r="49" s="2075" customFormat="1" spans="1:8">
      <c r="A49" s="2082" t="s">
        <v>1265</v>
      </c>
      <c r="B49" s="2082" t="s">
        <v>1266</v>
      </c>
      <c r="C49" s="2082" t="s">
        <v>1267</v>
      </c>
      <c r="D49" s="2082" t="s">
        <v>1268</v>
      </c>
      <c r="E49" s="2082" t="s">
        <v>1269</v>
      </c>
      <c r="F49" s="2080"/>
      <c r="G49" s="2080"/>
      <c r="H49" s="2076"/>
    </row>
    <row r="50" s="2075" customFormat="1" spans="1:8">
      <c r="A50" s="2084" t="s">
        <v>1270</v>
      </c>
      <c r="B50" s="2087"/>
      <c r="C50" s="2087"/>
      <c r="D50" s="2087"/>
      <c r="E50" s="2087"/>
      <c r="F50" s="2080"/>
      <c r="G50" s="2080"/>
      <c r="H50" s="2076"/>
    </row>
    <row r="51" s="2075" customFormat="1" spans="1:8">
      <c r="A51" s="2092"/>
      <c r="B51" s="2085"/>
      <c r="C51" s="2085"/>
      <c r="D51" s="2085"/>
      <c r="E51" s="2085"/>
      <c r="F51" s="2080"/>
      <c r="G51" s="2080"/>
      <c r="H51" s="2086" t="s">
        <v>1271</v>
      </c>
    </row>
    <row r="52" s="2075" customFormat="1" spans="1:8">
      <c r="A52" s="2092"/>
      <c r="B52" s="2085"/>
      <c r="C52" s="2085"/>
      <c r="D52" s="2085"/>
      <c r="E52" s="2085"/>
      <c r="F52" s="2080"/>
      <c r="G52" s="2080"/>
      <c r="H52" s="2086" t="s">
        <v>1271</v>
      </c>
    </row>
    <row r="53" s="2075" customFormat="1" spans="1:8">
      <c r="A53" s="2092"/>
      <c r="B53" s="2085"/>
      <c r="C53" s="2085"/>
      <c r="D53" s="2085"/>
      <c r="E53" s="2085"/>
      <c r="F53" s="2080"/>
      <c r="G53" s="2080"/>
      <c r="H53" s="2086" t="s">
        <v>1271</v>
      </c>
    </row>
    <row r="54" s="2075" customFormat="1" spans="1:8">
      <c r="A54" s="2092"/>
      <c r="B54" s="2085"/>
      <c r="C54" s="2085"/>
      <c r="D54" s="2085"/>
      <c r="E54" s="2085"/>
      <c r="F54" s="2080"/>
      <c r="G54" s="2080"/>
      <c r="H54" s="2086" t="s">
        <v>1271</v>
      </c>
    </row>
    <row r="55" s="2075" customFormat="1" spans="1:8">
      <c r="A55" s="2092"/>
      <c r="B55" s="2085"/>
      <c r="C55" s="2085"/>
      <c r="D55" s="2085"/>
      <c r="E55" s="2085"/>
      <c r="F55" s="2080"/>
      <c r="G55" s="2080"/>
      <c r="H55" s="2086" t="s">
        <v>1271</v>
      </c>
    </row>
    <row r="56" s="2075" customFormat="1" spans="1:8">
      <c r="A56" s="2092"/>
      <c r="B56" s="2085"/>
      <c r="C56" s="2085"/>
      <c r="D56" s="2085"/>
      <c r="E56" s="2085"/>
      <c r="F56" s="2080"/>
      <c r="G56" s="2080"/>
      <c r="H56" s="2086" t="s">
        <v>1271</v>
      </c>
    </row>
    <row r="57" s="2075" customFormat="1" spans="1:8">
      <c r="A57" s="2092"/>
      <c r="B57" s="2085"/>
      <c r="C57" s="2085"/>
      <c r="D57" s="2085"/>
      <c r="E57" s="2085"/>
      <c r="F57" s="2080"/>
      <c r="G57" s="2080"/>
      <c r="H57" s="2086" t="s">
        <v>1271</v>
      </c>
    </row>
    <row r="58" s="2075" customFormat="1" spans="1:8">
      <c r="A58" s="2092"/>
      <c r="B58" s="2085"/>
      <c r="C58" s="2085"/>
      <c r="D58" s="2085"/>
      <c r="E58" s="2085"/>
      <c r="F58" s="2080"/>
      <c r="G58" s="2080"/>
      <c r="H58" s="2086" t="s">
        <v>1271</v>
      </c>
    </row>
    <row r="59" s="2075" customFormat="1" spans="1:8">
      <c r="A59" s="2092"/>
      <c r="B59" s="2085"/>
      <c r="C59" s="2085"/>
      <c r="D59" s="2085"/>
      <c r="E59" s="2085"/>
      <c r="F59" s="2080"/>
      <c r="G59" s="2080"/>
      <c r="H59" s="2086" t="s">
        <v>1271</v>
      </c>
    </row>
    <row r="60" s="2075" customFormat="1" spans="1:8">
      <c r="A60" s="2092"/>
      <c r="B60" s="2085"/>
      <c r="C60" s="2085"/>
      <c r="D60" s="2085"/>
      <c r="E60" s="2085"/>
      <c r="F60" s="2080"/>
      <c r="G60" s="2080"/>
      <c r="H60" s="2086" t="s">
        <v>1271</v>
      </c>
    </row>
    <row r="61" s="2075" customFormat="1" spans="1:8">
      <c r="A61" s="2082" t="s">
        <v>676</v>
      </c>
      <c r="B61" s="2048">
        <f>ROUND(SUM(B51:B60),2)</f>
        <v>0</v>
      </c>
      <c r="C61" s="2048">
        <f>ROUND(SUM(C51:C60),2)</f>
        <v>0</v>
      </c>
      <c r="D61" s="2048">
        <f>ROUND(SUM(D51:D60),2)</f>
        <v>0</v>
      </c>
      <c r="E61" s="2048">
        <f>ROUND(SUM(E51:E60),2)</f>
        <v>0</v>
      </c>
      <c r="F61" s="2080"/>
      <c r="G61" s="2080"/>
      <c r="H61" s="2086" t="s">
        <v>1272</v>
      </c>
    </row>
    <row r="62" s="2075" customFormat="1" spans="1:8">
      <c r="A62" s="2082"/>
      <c r="B62" s="2087"/>
      <c r="C62" s="2087"/>
      <c r="D62" s="2087"/>
      <c r="E62" s="2087"/>
      <c r="F62" s="2080"/>
      <c r="G62" s="2080"/>
      <c r="H62" s="2076"/>
    </row>
    <row r="63" s="2075" customFormat="1" spans="1:8">
      <c r="A63" s="2084" t="s">
        <v>1273</v>
      </c>
      <c r="B63" s="2087"/>
      <c r="C63" s="2087"/>
      <c r="D63" s="2087"/>
      <c r="E63" s="2087"/>
      <c r="F63" s="2080"/>
      <c r="G63" s="2080"/>
      <c r="H63" s="2076"/>
    </row>
    <row r="64" s="2075" customFormat="1" spans="1:8">
      <c r="A64" s="2092"/>
      <c r="B64" s="2085"/>
      <c r="C64" s="2085"/>
      <c r="D64" s="2085"/>
      <c r="E64" s="2085"/>
      <c r="F64" s="2080"/>
      <c r="G64" s="2080"/>
      <c r="H64" s="2086" t="s">
        <v>1274</v>
      </c>
    </row>
    <row r="65" s="2075" customFormat="1" spans="1:8">
      <c r="A65" s="2092"/>
      <c r="B65" s="2085"/>
      <c r="C65" s="2085"/>
      <c r="D65" s="2085"/>
      <c r="E65" s="2085"/>
      <c r="F65" s="2080"/>
      <c r="G65" s="2080"/>
      <c r="H65" s="2086" t="s">
        <v>1274</v>
      </c>
    </row>
    <row r="66" s="2075" customFormat="1" spans="1:8">
      <c r="A66" s="2092"/>
      <c r="B66" s="2085"/>
      <c r="C66" s="2085"/>
      <c r="D66" s="2085"/>
      <c r="E66" s="2085"/>
      <c r="F66" s="2080"/>
      <c r="G66" s="2080"/>
      <c r="H66" s="2086" t="s">
        <v>1274</v>
      </c>
    </row>
    <row r="67" s="2075" customFormat="1" spans="1:8">
      <c r="A67" s="2092"/>
      <c r="B67" s="2085"/>
      <c r="C67" s="2085"/>
      <c r="D67" s="2085"/>
      <c r="E67" s="2085"/>
      <c r="F67" s="2080"/>
      <c r="G67" s="2080"/>
      <c r="H67" s="2086" t="s">
        <v>1274</v>
      </c>
    </row>
    <row r="68" s="2075" customFormat="1" spans="1:8">
      <c r="A68" s="2092"/>
      <c r="B68" s="2085"/>
      <c r="C68" s="2085"/>
      <c r="D68" s="2085"/>
      <c r="E68" s="2085"/>
      <c r="F68" s="2080"/>
      <c r="G68" s="2080"/>
      <c r="H68" s="2086" t="s">
        <v>1274</v>
      </c>
    </row>
    <row r="69" s="2075" customFormat="1" spans="1:8">
      <c r="A69" s="2092"/>
      <c r="B69" s="2085"/>
      <c r="C69" s="2085"/>
      <c r="D69" s="2085"/>
      <c r="E69" s="2085"/>
      <c r="F69" s="2080"/>
      <c r="G69" s="2080"/>
      <c r="H69" s="2086" t="s">
        <v>1274</v>
      </c>
    </row>
    <row r="70" s="2075" customFormat="1" spans="1:8">
      <c r="A70" s="2092"/>
      <c r="B70" s="2085"/>
      <c r="C70" s="2085"/>
      <c r="D70" s="2085"/>
      <c r="E70" s="2085"/>
      <c r="F70" s="2080"/>
      <c r="G70" s="2080"/>
      <c r="H70" s="2086" t="s">
        <v>1274</v>
      </c>
    </row>
    <row r="71" s="2075" customFormat="1" spans="1:8">
      <c r="A71" s="2092"/>
      <c r="B71" s="2085"/>
      <c r="C71" s="2085"/>
      <c r="D71" s="2085"/>
      <c r="E71" s="2085"/>
      <c r="F71" s="2080"/>
      <c r="G71" s="2080"/>
      <c r="H71" s="2086" t="s">
        <v>1274</v>
      </c>
    </row>
    <row r="72" s="2075" customFormat="1" spans="1:8">
      <c r="A72" s="2092"/>
      <c r="B72" s="2085"/>
      <c r="C72" s="2085"/>
      <c r="D72" s="2085"/>
      <c r="E72" s="2085"/>
      <c r="F72" s="2080"/>
      <c r="G72" s="2080"/>
      <c r="H72" s="2086" t="s">
        <v>1274</v>
      </c>
    </row>
    <row r="73" s="2075" customFormat="1" spans="1:8">
      <c r="A73" s="2092"/>
      <c r="B73" s="2085"/>
      <c r="C73" s="2085"/>
      <c r="D73" s="2085"/>
      <c r="E73" s="2085"/>
      <c r="F73" s="2080"/>
      <c r="G73" s="2080"/>
      <c r="H73" s="2086" t="s">
        <v>1274</v>
      </c>
    </row>
    <row r="74" s="2075" customFormat="1" spans="1:8">
      <c r="A74" s="2082" t="s">
        <v>676</v>
      </c>
      <c r="B74" s="2048">
        <f>ROUND(SUM(B64:B73),2)</f>
        <v>0</v>
      </c>
      <c r="C74" s="2048">
        <f>ROUND(SUM(C64:C73),2)</f>
        <v>0</v>
      </c>
      <c r="D74" s="2048">
        <f>ROUND(SUM(D64:D73),2)</f>
        <v>0</v>
      </c>
      <c r="E74" s="2048">
        <f>ROUND(SUM(E64:E73),2)</f>
        <v>0</v>
      </c>
      <c r="F74" s="2080"/>
      <c r="G74" s="2080"/>
      <c r="H74" s="2086" t="s">
        <v>1275</v>
      </c>
    </row>
    <row r="75" s="2075" customFormat="1" spans="1:8">
      <c r="A75" s="2087"/>
      <c r="B75" s="2087"/>
      <c r="C75" s="2087"/>
      <c r="D75" s="2087"/>
      <c r="E75" s="2087"/>
      <c r="F75" s="2080"/>
      <c r="G75" s="2080"/>
      <c r="H75" s="2076"/>
    </row>
    <row r="76" s="2075" customFormat="1" spans="1:8">
      <c r="A76" s="2082" t="s">
        <v>384</v>
      </c>
      <c r="B76" s="2048">
        <f>ROUND(B61+B74,2)</f>
        <v>0</v>
      </c>
      <c r="C76" s="2048">
        <f>ROUND(C61+C74,2)</f>
        <v>0</v>
      </c>
      <c r="D76" s="2048">
        <f>ROUND(D61+D74,2)</f>
        <v>0</v>
      </c>
      <c r="E76" s="2048">
        <f>ROUND(E61+E74,2)</f>
        <v>0</v>
      </c>
      <c r="F76" s="2080"/>
      <c r="G76" s="2080"/>
      <c r="H76" s="2086" t="s">
        <v>1276</v>
      </c>
    </row>
    <row r="77" s="2075" customFormat="1" spans="1:8">
      <c r="A77" s="2080"/>
      <c r="B77" s="2080"/>
      <c r="C77" s="2080"/>
      <c r="D77" s="2080"/>
      <c r="E77" s="2080"/>
      <c r="F77" s="2080"/>
      <c r="G77" s="2080"/>
      <c r="H77" s="2076"/>
    </row>
    <row r="78" s="2075" customFormat="1" spans="1:8">
      <c r="A78" s="2080"/>
      <c r="B78" s="2080"/>
      <c r="C78" s="2080" t="s">
        <v>1277</v>
      </c>
      <c r="D78" s="2080"/>
      <c r="E78" s="2080"/>
      <c r="F78" s="2080"/>
      <c r="G78" s="2080"/>
      <c r="H78" s="2076"/>
    </row>
    <row r="79" s="2075" customFormat="1" spans="1:8">
      <c r="A79" s="2097" t="s">
        <v>1278</v>
      </c>
      <c r="B79" s="2080"/>
      <c r="C79" s="2080"/>
      <c r="D79" s="2080"/>
      <c r="E79" s="2080"/>
      <c r="F79" s="2080"/>
      <c r="G79" s="2080"/>
      <c r="H79" s="2076"/>
    </row>
    <row r="80" s="2075" customFormat="1" spans="1:8">
      <c r="A80" s="2082" t="s">
        <v>372</v>
      </c>
      <c r="B80" s="2082" t="s">
        <v>1279</v>
      </c>
      <c r="C80" s="2082" t="s">
        <v>1241</v>
      </c>
      <c r="D80" s="2082" t="s">
        <v>1242</v>
      </c>
      <c r="E80" s="2080"/>
      <c r="F80" s="2080"/>
      <c r="G80" s="2080"/>
      <c r="H80" s="2076"/>
    </row>
    <row r="81" s="2075" customFormat="1" spans="1:8">
      <c r="A81" s="2092"/>
      <c r="B81" s="2092"/>
      <c r="C81" s="2085"/>
      <c r="D81" s="2085"/>
      <c r="E81" s="2080"/>
      <c r="F81" s="2080"/>
      <c r="G81" s="2080"/>
      <c r="H81" s="2086" t="s">
        <v>1280</v>
      </c>
    </row>
    <row r="82" s="2075" customFormat="1" spans="1:8">
      <c r="A82" s="2092"/>
      <c r="B82" s="2092"/>
      <c r="C82" s="2085"/>
      <c r="D82" s="2085"/>
      <c r="E82" s="2080"/>
      <c r="F82" s="2080"/>
      <c r="G82" s="2080"/>
      <c r="H82" s="2086" t="s">
        <v>1280</v>
      </c>
    </row>
    <row r="83" s="2075" customFormat="1" spans="1:8">
      <c r="A83" s="2092"/>
      <c r="B83" s="2092"/>
      <c r="C83" s="2085"/>
      <c r="D83" s="2085"/>
      <c r="E83" s="2080"/>
      <c r="F83" s="2080"/>
      <c r="G83" s="2080"/>
      <c r="H83" s="2086" t="s">
        <v>1280</v>
      </c>
    </row>
    <row r="84" s="2075" customFormat="1" spans="1:8">
      <c r="A84" s="2092"/>
      <c r="B84" s="2092"/>
      <c r="C84" s="2085"/>
      <c r="D84" s="2085"/>
      <c r="E84" s="2080"/>
      <c r="F84" s="2080"/>
      <c r="G84" s="2080"/>
      <c r="H84" s="2086" t="s">
        <v>1280</v>
      </c>
    </row>
    <row r="85" s="2075" customFormat="1" spans="1:8">
      <c r="A85" s="2092"/>
      <c r="B85" s="2092"/>
      <c r="C85" s="2085"/>
      <c r="D85" s="2085"/>
      <c r="E85" s="2080"/>
      <c r="F85" s="2080"/>
      <c r="G85" s="2080"/>
      <c r="H85" s="2086" t="s">
        <v>1280</v>
      </c>
    </row>
    <row r="86" s="2075" customFormat="1" spans="1:8">
      <c r="A86" s="2092"/>
      <c r="B86" s="2092"/>
      <c r="C86" s="2085"/>
      <c r="D86" s="2085"/>
      <c r="E86" s="2080"/>
      <c r="F86" s="2080"/>
      <c r="G86" s="2080"/>
      <c r="H86" s="2086" t="s">
        <v>1280</v>
      </c>
    </row>
    <row r="87" s="2075" customFormat="1" spans="1:8">
      <c r="A87" s="2092"/>
      <c r="B87" s="2092"/>
      <c r="C87" s="2085"/>
      <c r="D87" s="2085"/>
      <c r="E87" s="2080"/>
      <c r="F87" s="2080"/>
      <c r="G87" s="2080"/>
      <c r="H87" s="2086" t="s">
        <v>1280</v>
      </c>
    </row>
    <row r="88" s="2075" customFormat="1" spans="1:8">
      <c r="A88" s="2092"/>
      <c r="B88" s="2092"/>
      <c r="C88" s="2085"/>
      <c r="D88" s="2085"/>
      <c r="E88" s="2080"/>
      <c r="F88" s="2080"/>
      <c r="G88" s="2080"/>
      <c r="H88" s="2086" t="s">
        <v>1280</v>
      </c>
    </row>
    <row r="89" s="2075" customFormat="1" spans="1:8">
      <c r="A89" s="2092"/>
      <c r="B89" s="2092"/>
      <c r="C89" s="2085"/>
      <c r="D89" s="2085"/>
      <c r="E89" s="2080"/>
      <c r="F89" s="2080"/>
      <c r="G89" s="2080"/>
      <c r="H89" s="2086" t="s">
        <v>1280</v>
      </c>
    </row>
    <row r="90" s="2075" customFormat="1" spans="1:8">
      <c r="A90" s="2092"/>
      <c r="B90" s="2092"/>
      <c r="C90" s="2085"/>
      <c r="D90" s="2085"/>
      <c r="E90" s="2080"/>
      <c r="F90" s="2080"/>
      <c r="G90" s="2080"/>
      <c r="H90" s="2086" t="s">
        <v>1280</v>
      </c>
    </row>
    <row r="91" s="2075" customFormat="1" spans="1:8">
      <c r="A91" s="2082" t="s">
        <v>384</v>
      </c>
      <c r="B91" s="2098"/>
      <c r="C91" s="2048">
        <f>ROUND(SUM(C81:C90),2)</f>
        <v>0</v>
      </c>
      <c r="D91" s="2048">
        <f>ROUND(SUM(D81:D90),2)</f>
        <v>0</v>
      </c>
      <c r="E91" s="2080"/>
      <c r="F91" s="2080"/>
      <c r="G91" s="2080"/>
      <c r="H91" s="2086" t="s">
        <v>1281</v>
      </c>
    </row>
    <row r="92" s="2075" customFormat="1" spans="1:8">
      <c r="A92" s="2099"/>
      <c r="B92" s="2100"/>
      <c r="C92" s="2101"/>
      <c r="D92" s="2101"/>
      <c r="E92" s="2101"/>
      <c r="F92" s="2101"/>
      <c r="G92" s="2102"/>
      <c r="H92" s="2086"/>
    </row>
    <row r="93" s="2075" customFormat="1" spans="1:8">
      <c r="A93" s="2103"/>
      <c r="B93" s="2080"/>
      <c r="C93" s="2080"/>
      <c r="D93" s="2080"/>
      <c r="E93" s="2080"/>
      <c r="F93" s="2080"/>
      <c r="G93" s="2080"/>
      <c r="H93" s="2076"/>
    </row>
    <row r="94" s="2075" customFormat="1" spans="1:8">
      <c r="A94" s="2079" t="s">
        <v>1282</v>
      </c>
      <c r="B94" s="2080"/>
      <c r="C94" s="2080"/>
      <c r="D94" s="2080"/>
      <c r="E94" s="2080"/>
      <c r="F94" s="2080"/>
      <c r="G94" s="2080"/>
      <c r="H94" s="2076"/>
    </row>
    <row r="95" s="2075" customFormat="1" spans="1:8">
      <c r="A95" s="2082" t="s">
        <v>372</v>
      </c>
      <c r="B95" s="2082" t="s">
        <v>1241</v>
      </c>
      <c r="C95" s="2082" t="s">
        <v>1242</v>
      </c>
      <c r="D95" s="2080"/>
      <c r="E95" s="2080"/>
      <c r="F95" s="2080"/>
      <c r="G95" s="2080"/>
      <c r="H95" s="2076"/>
    </row>
    <row r="96" s="2075" customFormat="1" spans="1:8">
      <c r="A96" s="2084" t="s">
        <v>1283</v>
      </c>
      <c r="B96" s="2085"/>
      <c r="C96" s="2085"/>
      <c r="D96" s="2080"/>
      <c r="E96" s="2080"/>
      <c r="F96" s="2080"/>
      <c r="G96" s="2080"/>
      <c r="H96" s="2086" t="s">
        <v>1284</v>
      </c>
    </row>
    <row r="97" s="2075" customFormat="1" spans="1:8">
      <c r="A97" s="2084" t="s">
        <v>1285</v>
      </c>
      <c r="B97" s="2085"/>
      <c r="C97" s="2085"/>
      <c r="D97" s="2080"/>
      <c r="E97" s="2080"/>
      <c r="F97" s="2080"/>
      <c r="G97" s="2080"/>
      <c r="H97" s="2086" t="s">
        <v>1286</v>
      </c>
    </row>
    <row r="98" s="2075" customFormat="1" spans="1:8">
      <c r="A98" s="2084" t="s">
        <v>1287</v>
      </c>
      <c r="B98" s="2085"/>
      <c r="C98" s="2085"/>
      <c r="D98" s="2080"/>
      <c r="E98" s="2080"/>
      <c r="F98" s="2080"/>
      <c r="G98" s="2080"/>
      <c r="H98" s="2086" t="s">
        <v>1288</v>
      </c>
    </row>
    <row r="99" s="2075" customFormat="1" spans="1:8">
      <c r="A99" s="2084" t="s">
        <v>279</v>
      </c>
      <c r="B99" s="2085"/>
      <c r="C99" s="2085"/>
      <c r="D99" s="2080"/>
      <c r="E99" s="2080"/>
      <c r="F99" s="2080"/>
      <c r="G99" s="2080"/>
      <c r="H99" s="2086" t="s">
        <v>1289</v>
      </c>
    </row>
    <row r="100" s="2075" customFormat="1" spans="1:8">
      <c r="A100" s="2082" t="s">
        <v>384</v>
      </c>
      <c r="B100" s="2048">
        <f>ROUND(SUM(B96:B99),2)</f>
        <v>0</v>
      </c>
      <c r="C100" s="2048">
        <f>ROUND(SUM(C96:C99),2)</f>
        <v>0</v>
      </c>
      <c r="D100" s="2080"/>
      <c r="E100" s="2080"/>
      <c r="F100" s="2080"/>
      <c r="G100" s="2080"/>
      <c r="H100" s="2086" t="s">
        <v>1290</v>
      </c>
    </row>
    <row r="101" s="2075" customFormat="1" spans="1:8">
      <c r="A101" s="2099"/>
      <c r="B101" s="2100"/>
      <c r="C101" s="2101"/>
      <c r="D101" s="2101"/>
      <c r="E101" s="2101"/>
      <c r="F101" s="2101"/>
      <c r="G101" s="2102"/>
      <c r="H101" s="2076"/>
    </row>
    <row r="102" s="2075" customFormat="1" spans="1:8">
      <c r="A102" s="2103"/>
      <c r="B102" s="2080"/>
      <c r="C102" s="2080"/>
      <c r="D102" s="2080"/>
      <c r="E102" s="2080"/>
      <c r="F102" s="2080"/>
      <c r="G102" s="2080"/>
      <c r="H102" s="2076"/>
    </row>
    <row r="103" s="2075" customFormat="1" spans="1:8">
      <c r="A103" s="2079" t="s">
        <v>1291</v>
      </c>
      <c r="B103" s="2080"/>
      <c r="C103" s="2080"/>
      <c r="D103" s="2080"/>
      <c r="E103" s="2080"/>
      <c r="F103" s="2080"/>
      <c r="G103" s="2080"/>
      <c r="H103" s="2076"/>
    </row>
    <row r="104" s="2075" customFormat="1" spans="1:8">
      <c r="A104" s="2082" t="s">
        <v>372</v>
      </c>
      <c r="B104" s="2082" t="s">
        <v>1241</v>
      </c>
      <c r="C104" s="2082" t="s">
        <v>1242</v>
      </c>
      <c r="D104" s="2080"/>
      <c r="E104" s="2080"/>
      <c r="F104" s="2080"/>
      <c r="G104" s="2080"/>
      <c r="H104" s="2076"/>
    </row>
    <row r="105" s="2075" customFormat="1" spans="1:8">
      <c r="A105" s="2084" t="s">
        <v>1292</v>
      </c>
      <c r="B105" s="2085"/>
      <c r="C105" s="2085"/>
      <c r="D105" s="2080"/>
      <c r="E105" s="2080"/>
      <c r="F105" s="2080"/>
      <c r="G105" s="2080"/>
      <c r="H105" s="2086" t="s">
        <v>1293</v>
      </c>
    </row>
    <row r="106" s="2075" customFormat="1" spans="1:8">
      <c r="A106" s="2084" t="s">
        <v>1294</v>
      </c>
      <c r="B106" s="2085"/>
      <c r="C106" s="2085"/>
      <c r="D106" s="2080"/>
      <c r="E106" s="2080"/>
      <c r="F106" s="2080"/>
      <c r="G106" s="2080"/>
      <c r="H106" s="2086" t="s">
        <v>1295</v>
      </c>
    </row>
    <row r="107" s="2075" customFormat="1" spans="1:8">
      <c r="A107" s="2084" t="s">
        <v>1296</v>
      </c>
      <c r="B107" s="2085"/>
      <c r="C107" s="2085"/>
      <c r="D107" s="2080"/>
      <c r="E107" s="2080"/>
      <c r="F107" s="2080"/>
      <c r="G107" s="2080"/>
      <c r="H107" s="2086" t="s">
        <v>1297</v>
      </c>
    </row>
    <row r="108" s="2075" customFormat="1" spans="1:8">
      <c r="A108" s="2084" t="s">
        <v>1298</v>
      </c>
      <c r="B108" s="2085"/>
      <c r="C108" s="2085"/>
      <c r="D108" s="2080"/>
      <c r="E108" s="2080"/>
      <c r="F108" s="2080"/>
      <c r="G108" s="2080"/>
      <c r="H108" s="2086" t="s">
        <v>1299</v>
      </c>
    </row>
    <row r="109" s="2075" customFormat="1" spans="1:8">
      <c r="A109" s="2084" t="s">
        <v>1300</v>
      </c>
      <c r="B109" s="2085"/>
      <c r="C109" s="2085"/>
      <c r="D109" s="2080"/>
      <c r="E109" s="2080"/>
      <c r="F109" s="2080"/>
      <c r="G109" s="2080"/>
      <c r="H109" s="2086" t="s">
        <v>1301</v>
      </c>
    </row>
    <row r="110" s="2075" customFormat="1" spans="1:8">
      <c r="A110" s="2084" t="s">
        <v>1302</v>
      </c>
      <c r="B110" s="2085"/>
      <c r="C110" s="2085"/>
      <c r="D110" s="2080"/>
      <c r="E110" s="2080"/>
      <c r="F110" s="2080"/>
      <c r="G110" s="2080"/>
      <c r="H110" s="2086" t="s">
        <v>1303</v>
      </c>
    </row>
    <row r="111" s="2075" customFormat="1" spans="1:8">
      <c r="A111" s="2084" t="s">
        <v>1304</v>
      </c>
      <c r="B111" s="2085"/>
      <c r="C111" s="2085"/>
      <c r="D111" s="2080"/>
      <c r="E111" s="2080"/>
      <c r="F111" s="2080"/>
      <c r="G111" s="2080"/>
      <c r="H111" s="2086" t="s">
        <v>1305</v>
      </c>
    </row>
    <row r="112" s="2075" customFormat="1" spans="1:8">
      <c r="A112" s="2084" t="s">
        <v>1306</v>
      </c>
      <c r="B112" s="2085"/>
      <c r="C112" s="2085"/>
      <c r="D112" s="2080"/>
      <c r="E112" s="2080"/>
      <c r="F112" s="2080"/>
      <c r="G112" s="2080"/>
      <c r="H112" s="2086" t="s">
        <v>1307</v>
      </c>
    </row>
    <row r="113" s="2075" customFormat="1" spans="1:8">
      <c r="A113" s="2084" t="s">
        <v>1308</v>
      </c>
      <c r="B113" s="2085"/>
      <c r="C113" s="2085"/>
      <c r="D113" s="2080"/>
      <c r="E113" s="2080"/>
      <c r="F113" s="2080"/>
      <c r="G113" s="2080"/>
      <c r="H113" s="2086" t="s">
        <v>1309</v>
      </c>
    </row>
    <row r="114" s="2075" customFormat="1" spans="1:8">
      <c r="A114" s="2084" t="s">
        <v>1310</v>
      </c>
      <c r="B114" s="2085"/>
      <c r="C114" s="2085"/>
      <c r="D114" s="2080"/>
      <c r="E114" s="2080"/>
      <c r="F114" s="2080"/>
      <c r="G114" s="2080"/>
      <c r="H114" s="2086" t="s">
        <v>1311</v>
      </c>
    </row>
    <row r="115" s="2075" customFormat="1" spans="1:8">
      <c r="A115" s="2084" t="s">
        <v>1312</v>
      </c>
      <c r="B115" s="2085"/>
      <c r="C115" s="2085"/>
      <c r="D115" s="2080"/>
      <c r="E115" s="2080"/>
      <c r="F115" s="2080"/>
      <c r="G115" s="2080"/>
      <c r="H115" s="2086" t="s">
        <v>1313</v>
      </c>
    </row>
    <row r="116" s="2075" customFormat="1" spans="1:8">
      <c r="A116" s="2084" t="s">
        <v>1314</v>
      </c>
      <c r="B116" s="2085"/>
      <c r="C116" s="2085"/>
      <c r="D116" s="2080"/>
      <c r="E116" s="2080"/>
      <c r="F116" s="2080"/>
      <c r="G116" s="2080"/>
      <c r="H116" s="2086" t="s">
        <v>1315</v>
      </c>
    </row>
    <row r="117" s="2075" customFormat="1" spans="1:8">
      <c r="A117" s="2084" t="s">
        <v>1316</v>
      </c>
      <c r="B117" s="2085"/>
      <c r="C117" s="2085"/>
      <c r="D117" s="2080"/>
      <c r="E117" s="2080"/>
      <c r="F117" s="2080"/>
      <c r="G117" s="2080"/>
      <c r="H117" s="2086" t="s">
        <v>1317</v>
      </c>
    </row>
    <row r="118" s="2075" customFormat="1" spans="1:8">
      <c r="A118" s="2084" t="s">
        <v>967</v>
      </c>
      <c r="B118" s="2085"/>
      <c r="C118" s="2085"/>
      <c r="D118" s="2080"/>
      <c r="E118" s="2080"/>
      <c r="F118" s="2080"/>
      <c r="G118" s="2080"/>
      <c r="H118" s="2086" t="s">
        <v>1318</v>
      </c>
    </row>
    <row r="119" s="2075" customFormat="1" spans="1:8">
      <c r="A119" s="2084" t="s">
        <v>384</v>
      </c>
      <c r="B119" s="2048">
        <f>ROUND(SUM(B105:B118),2)</f>
        <v>0</v>
      </c>
      <c r="C119" s="2048">
        <f>ROUND(SUM(C105:C118),2)</f>
        <v>0</v>
      </c>
      <c r="D119" s="2080"/>
      <c r="E119" s="2080"/>
      <c r="F119" s="2080"/>
      <c r="G119" s="2080"/>
      <c r="H119" s="2086" t="s">
        <v>1319</v>
      </c>
    </row>
    <row r="120" s="2075" customFormat="1" spans="1:8">
      <c r="A120" s="2099"/>
      <c r="B120" s="2095"/>
      <c r="C120" s="2100"/>
      <c r="D120" s="2100"/>
      <c r="E120" s="2080"/>
      <c r="F120" s="2080"/>
      <c r="G120" s="2080"/>
      <c r="H120" s="2076"/>
    </row>
    <row r="121" s="2075" customFormat="1" spans="1:8">
      <c r="A121" s="2103"/>
      <c r="B121" s="2080"/>
      <c r="C121" s="2080"/>
      <c r="D121" s="2080"/>
      <c r="E121" s="2080"/>
      <c r="F121" s="2080"/>
      <c r="G121" s="2080"/>
      <c r="H121" s="2076"/>
    </row>
    <row r="122" s="2075" customFormat="1" spans="1:8">
      <c r="A122" s="2079" t="s">
        <v>1320</v>
      </c>
      <c r="B122" s="2080"/>
      <c r="C122" s="2080"/>
      <c r="D122" s="2080"/>
      <c r="E122" s="2080"/>
      <c r="F122" s="2080"/>
      <c r="G122" s="2080"/>
      <c r="H122" s="2076"/>
    </row>
    <row r="123" s="2075" customFormat="1" spans="1:8">
      <c r="A123" s="2082" t="s">
        <v>1321</v>
      </c>
      <c r="B123" s="2082" t="s">
        <v>1241</v>
      </c>
      <c r="C123" s="2082" t="s">
        <v>1242</v>
      </c>
      <c r="D123" s="2080"/>
      <c r="E123" s="2080"/>
      <c r="F123" s="2080"/>
      <c r="G123" s="2080"/>
      <c r="H123" s="2076"/>
    </row>
    <row r="124" s="2075" customFormat="1" spans="1:8">
      <c r="A124" s="2092"/>
      <c r="B124" s="2085"/>
      <c r="C124" s="2085"/>
      <c r="D124" s="2080"/>
      <c r="E124" s="2080"/>
      <c r="F124" s="2080"/>
      <c r="G124" s="2080"/>
      <c r="H124" s="2086" t="s">
        <v>1322</v>
      </c>
    </row>
    <row r="125" s="2075" customFormat="1" spans="1:8">
      <c r="A125" s="2092"/>
      <c r="B125" s="2085"/>
      <c r="C125" s="2085"/>
      <c r="D125" s="2080"/>
      <c r="E125" s="2080"/>
      <c r="F125" s="2080"/>
      <c r="G125" s="2080"/>
      <c r="H125" s="2086" t="s">
        <v>1322</v>
      </c>
    </row>
    <row r="126" s="2075" customFormat="1" spans="1:8">
      <c r="A126" s="2092"/>
      <c r="B126" s="2085"/>
      <c r="C126" s="2085"/>
      <c r="D126" s="2080"/>
      <c r="E126" s="2080"/>
      <c r="F126" s="2080"/>
      <c r="G126" s="2080"/>
      <c r="H126" s="2086" t="s">
        <v>1322</v>
      </c>
    </row>
    <row r="127" s="2075" customFormat="1" spans="1:8">
      <c r="A127" s="2092"/>
      <c r="B127" s="2085"/>
      <c r="C127" s="2085"/>
      <c r="D127" s="2080"/>
      <c r="E127" s="2080"/>
      <c r="F127" s="2080"/>
      <c r="G127" s="2080"/>
      <c r="H127" s="2086" t="s">
        <v>1322</v>
      </c>
    </row>
    <row r="128" s="2075" customFormat="1" spans="1:8">
      <c r="A128" s="2092"/>
      <c r="B128" s="2085"/>
      <c r="C128" s="2085"/>
      <c r="D128" s="2080"/>
      <c r="E128" s="2080"/>
      <c r="F128" s="2080"/>
      <c r="G128" s="2080"/>
      <c r="H128" s="2086" t="s">
        <v>1322</v>
      </c>
    </row>
    <row r="129" s="2075" customFormat="1" spans="1:8">
      <c r="A129" s="2092"/>
      <c r="B129" s="2085"/>
      <c r="C129" s="2085"/>
      <c r="D129" s="2080"/>
      <c r="E129" s="2080"/>
      <c r="F129" s="2080"/>
      <c r="G129" s="2080"/>
      <c r="H129" s="2086" t="s">
        <v>1322</v>
      </c>
    </row>
    <row r="130" s="2075" customFormat="1" spans="1:8">
      <c r="A130" s="2092"/>
      <c r="B130" s="2085"/>
      <c r="C130" s="2085"/>
      <c r="D130" s="2080"/>
      <c r="E130" s="2080"/>
      <c r="F130" s="2080"/>
      <c r="G130" s="2080"/>
      <c r="H130" s="2086" t="s">
        <v>1322</v>
      </c>
    </row>
    <row r="131" s="2075" customFormat="1" spans="1:8">
      <c r="A131" s="2092"/>
      <c r="B131" s="2085"/>
      <c r="C131" s="2085"/>
      <c r="D131" s="2080"/>
      <c r="E131" s="2080"/>
      <c r="F131" s="2080"/>
      <c r="G131" s="2080"/>
      <c r="H131" s="2086" t="s">
        <v>1322</v>
      </c>
    </row>
    <row r="132" s="2075" customFormat="1" spans="1:8">
      <c r="A132" s="2092"/>
      <c r="B132" s="2085"/>
      <c r="C132" s="2085"/>
      <c r="D132" s="2080"/>
      <c r="E132" s="2080"/>
      <c r="F132" s="2080"/>
      <c r="G132" s="2080"/>
      <c r="H132" s="2086" t="s">
        <v>1322</v>
      </c>
    </row>
    <row r="133" s="2075" customFormat="1" spans="1:8">
      <c r="A133" s="2092"/>
      <c r="B133" s="2085"/>
      <c r="C133" s="2085"/>
      <c r="D133" s="2080"/>
      <c r="E133" s="2080"/>
      <c r="F133" s="2080"/>
      <c r="G133" s="2080"/>
      <c r="H133" s="2086" t="s">
        <v>1322</v>
      </c>
    </row>
    <row r="134" s="2075" customFormat="1" spans="1:8">
      <c r="A134" s="2082" t="s">
        <v>384</v>
      </c>
      <c r="B134" s="2048">
        <f>ROUND(SUM(B124:B133),2)</f>
        <v>0</v>
      </c>
      <c r="C134" s="2048">
        <f>ROUND(SUM(C124:C133),2)</f>
        <v>0</v>
      </c>
      <c r="D134" s="2080"/>
      <c r="E134" s="2080"/>
      <c r="F134" s="2080"/>
      <c r="G134" s="2080"/>
      <c r="H134" s="2086" t="s">
        <v>1323</v>
      </c>
    </row>
    <row r="135" s="2075" customFormat="1" spans="1:8">
      <c r="A135" s="2103"/>
      <c r="B135" s="2080"/>
      <c r="C135" s="2080"/>
      <c r="D135" s="2080"/>
      <c r="E135" s="2080"/>
      <c r="F135" s="2080"/>
      <c r="G135" s="2080"/>
      <c r="H135" s="2076"/>
    </row>
    <row r="136" s="2075" customFormat="1" spans="1:8">
      <c r="A136" s="2079" t="s">
        <v>1324</v>
      </c>
      <c r="B136" s="2080"/>
      <c r="C136" s="2080"/>
      <c r="D136" s="2080"/>
      <c r="E136" s="2080"/>
      <c r="F136" s="2080"/>
      <c r="G136" s="2080"/>
      <c r="H136" s="2076"/>
    </row>
    <row r="137" s="2075" customFormat="1" spans="1:8">
      <c r="A137" s="2081" t="s">
        <v>1325</v>
      </c>
      <c r="B137" s="2080"/>
      <c r="C137" s="2080"/>
      <c r="D137" s="2080"/>
      <c r="E137" s="2080"/>
      <c r="F137" s="2080"/>
      <c r="G137" s="2080"/>
      <c r="H137" s="2076"/>
    </row>
    <row r="138" s="2075" customFormat="1" spans="1:8">
      <c r="A138" s="2082" t="s">
        <v>1326</v>
      </c>
      <c r="B138" s="2082" t="s">
        <v>1241</v>
      </c>
      <c r="C138" s="2082" t="s">
        <v>1242</v>
      </c>
      <c r="D138" s="2080"/>
      <c r="E138" s="2080"/>
      <c r="F138" s="2080"/>
      <c r="G138" s="2080"/>
      <c r="H138" s="2076"/>
    </row>
    <row r="139" s="2075" customFormat="1" spans="1:8">
      <c r="A139" s="2092"/>
      <c r="B139" s="2085"/>
      <c r="C139" s="2085"/>
      <c r="D139" s="2080"/>
      <c r="E139" s="2080"/>
      <c r="F139" s="2080"/>
      <c r="G139" s="2080"/>
      <c r="H139" s="2086" t="s">
        <v>1327</v>
      </c>
    </row>
    <row r="140" s="2075" customFormat="1" spans="1:8">
      <c r="A140" s="2092"/>
      <c r="B140" s="2085"/>
      <c r="C140" s="2085"/>
      <c r="D140" s="2080"/>
      <c r="E140" s="2080"/>
      <c r="F140" s="2080"/>
      <c r="G140" s="2080"/>
      <c r="H140" s="2086" t="s">
        <v>1327</v>
      </c>
    </row>
    <row r="141" s="2075" customFormat="1" spans="1:8">
      <c r="A141" s="2092"/>
      <c r="B141" s="2085"/>
      <c r="C141" s="2085"/>
      <c r="D141" s="2080"/>
      <c r="E141" s="2080"/>
      <c r="F141" s="2080"/>
      <c r="G141" s="2080"/>
      <c r="H141" s="2086" t="s">
        <v>1327</v>
      </c>
    </row>
    <row r="142" s="2075" customFormat="1" spans="1:8">
      <c r="A142" s="2092"/>
      <c r="B142" s="2085"/>
      <c r="C142" s="2085"/>
      <c r="D142" s="2080"/>
      <c r="E142" s="2080"/>
      <c r="F142" s="2080"/>
      <c r="G142" s="2080"/>
      <c r="H142" s="2086" t="s">
        <v>1327</v>
      </c>
    </row>
    <row r="143" s="2075" customFormat="1" spans="1:8">
      <c r="A143" s="2092"/>
      <c r="B143" s="2085"/>
      <c r="C143" s="2085"/>
      <c r="D143" s="2080"/>
      <c r="E143" s="2080"/>
      <c r="F143" s="2080"/>
      <c r="G143" s="2080"/>
      <c r="H143" s="2086" t="s">
        <v>1327</v>
      </c>
    </row>
    <row r="144" s="2075" customFormat="1" spans="1:8">
      <c r="A144" s="2092"/>
      <c r="B144" s="2085"/>
      <c r="C144" s="2085"/>
      <c r="D144" s="2080"/>
      <c r="E144" s="2080"/>
      <c r="F144" s="2080"/>
      <c r="G144" s="2080"/>
      <c r="H144" s="2086" t="s">
        <v>1327</v>
      </c>
    </row>
    <row r="145" s="2075" customFormat="1" spans="1:8">
      <c r="A145" s="2092"/>
      <c r="B145" s="2085"/>
      <c r="C145" s="2085"/>
      <c r="D145" s="2080"/>
      <c r="E145" s="2080"/>
      <c r="F145" s="2080"/>
      <c r="G145" s="2080"/>
      <c r="H145" s="2086" t="s">
        <v>1327</v>
      </c>
    </row>
    <row r="146" s="2075" customFormat="1" spans="1:8">
      <c r="A146" s="2092"/>
      <c r="B146" s="2085"/>
      <c r="C146" s="2085"/>
      <c r="D146" s="2080"/>
      <c r="E146" s="2080"/>
      <c r="F146" s="2080"/>
      <c r="G146" s="2080"/>
      <c r="H146" s="2086" t="s">
        <v>1327</v>
      </c>
    </row>
    <row r="147" s="2075" customFormat="1" spans="1:8">
      <c r="A147" s="2092"/>
      <c r="B147" s="2085"/>
      <c r="C147" s="2085"/>
      <c r="D147" s="2080"/>
      <c r="E147" s="2080"/>
      <c r="F147" s="2080"/>
      <c r="G147" s="2080"/>
      <c r="H147" s="2086" t="s">
        <v>1327</v>
      </c>
    </row>
    <row r="148" s="2075" customFormat="1" spans="1:8">
      <c r="A148" s="2092"/>
      <c r="B148" s="2085"/>
      <c r="C148" s="2085"/>
      <c r="D148" s="2080"/>
      <c r="E148" s="2080"/>
      <c r="F148" s="2080"/>
      <c r="G148" s="2080"/>
      <c r="H148" s="2086" t="s">
        <v>1327</v>
      </c>
    </row>
    <row r="149" s="2075" customFormat="1" spans="1:8">
      <c r="A149" s="2082" t="s">
        <v>384</v>
      </c>
      <c r="B149" s="2048">
        <f>ROUND(SUM(B139:B148),2)</f>
        <v>0</v>
      </c>
      <c r="C149" s="2048">
        <f>ROUND(SUM(C139:C148),2)</f>
        <v>0</v>
      </c>
      <c r="D149" s="2080"/>
      <c r="E149" s="2080"/>
      <c r="F149" s="2080"/>
      <c r="G149" s="2080"/>
      <c r="H149" s="2086" t="s">
        <v>1328</v>
      </c>
    </row>
    <row r="150" s="2075" customFormat="1" spans="1:8">
      <c r="A150" s="2080"/>
      <c r="B150" s="2080"/>
      <c r="C150" s="2080"/>
      <c r="D150" s="2080"/>
      <c r="E150" s="2080"/>
      <c r="F150" s="2080"/>
      <c r="G150" s="2080"/>
      <c r="H150" s="2076"/>
    </row>
    <row r="151" s="2075" customFormat="1" spans="1:8">
      <c r="A151" s="2104" t="s">
        <v>1329</v>
      </c>
      <c r="B151" s="2101"/>
      <c r="C151" s="2101"/>
      <c r="D151" s="2101"/>
      <c r="E151" s="2101"/>
      <c r="F151" s="2101"/>
      <c r="G151" s="2101"/>
      <c r="H151" s="2076"/>
    </row>
    <row r="152" s="2075" customFormat="1" spans="1:8">
      <c r="A152" s="2082" t="s">
        <v>1326</v>
      </c>
      <c r="B152" s="2082" t="s">
        <v>1330</v>
      </c>
      <c r="C152" s="2101"/>
      <c r="D152" s="2101"/>
      <c r="E152" s="2101"/>
      <c r="F152" s="2101"/>
      <c r="G152" s="2102"/>
      <c r="H152" s="2076"/>
    </row>
    <row r="153" s="2075" customFormat="1" spans="1:8">
      <c r="A153" s="2092"/>
      <c r="B153" s="2092"/>
      <c r="C153" s="2101"/>
      <c r="D153" s="2101"/>
      <c r="E153" s="2101"/>
      <c r="F153" s="2101"/>
      <c r="G153" s="2102"/>
      <c r="H153" s="2086" t="s">
        <v>1331</v>
      </c>
    </row>
    <row r="154" s="2075" customFormat="1" spans="1:8">
      <c r="A154" s="2092"/>
      <c r="B154" s="2092"/>
      <c r="C154" s="2101"/>
      <c r="D154" s="2101"/>
      <c r="E154" s="2101"/>
      <c r="F154" s="2101"/>
      <c r="G154" s="2102"/>
      <c r="H154" s="2086" t="s">
        <v>1331</v>
      </c>
    </row>
    <row r="155" s="2075" customFormat="1" spans="1:8">
      <c r="A155" s="2092"/>
      <c r="B155" s="2092"/>
      <c r="C155" s="2101"/>
      <c r="D155" s="2101"/>
      <c r="E155" s="2101"/>
      <c r="F155" s="2101"/>
      <c r="G155" s="2102"/>
      <c r="H155" s="2086" t="s">
        <v>1331</v>
      </c>
    </row>
    <row r="156" s="2075" customFormat="1" spans="1:8">
      <c r="A156" s="2092"/>
      <c r="B156" s="2092"/>
      <c r="C156" s="2101"/>
      <c r="D156" s="2101"/>
      <c r="E156" s="2101"/>
      <c r="F156" s="2101"/>
      <c r="G156" s="2102"/>
      <c r="H156" s="2086" t="s">
        <v>1331</v>
      </c>
    </row>
    <row r="157" s="2075" customFormat="1" spans="1:8">
      <c r="A157" s="2092"/>
      <c r="B157" s="2092"/>
      <c r="C157" s="2101"/>
      <c r="D157" s="2101"/>
      <c r="E157" s="2101"/>
      <c r="F157" s="2101"/>
      <c r="G157" s="2102"/>
      <c r="H157" s="2086" t="s">
        <v>1331</v>
      </c>
    </row>
    <row r="158" s="2075" customFormat="1" spans="1:8">
      <c r="A158" s="2092"/>
      <c r="B158" s="2092"/>
      <c r="C158" s="2101"/>
      <c r="D158" s="2101"/>
      <c r="E158" s="2101"/>
      <c r="F158" s="2101"/>
      <c r="G158" s="2102"/>
      <c r="H158" s="2086" t="s">
        <v>1331</v>
      </c>
    </row>
    <row r="159" s="2075" customFormat="1" spans="1:8">
      <c r="A159" s="2092"/>
      <c r="B159" s="2092"/>
      <c r="C159" s="2101"/>
      <c r="D159" s="2101"/>
      <c r="E159" s="2101"/>
      <c r="F159" s="2101"/>
      <c r="G159" s="2102"/>
      <c r="H159" s="2086" t="s">
        <v>1331</v>
      </c>
    </row>
    <row r="160" s="2075" customFormat="1" spans="1:8">
      <c r="A160" s="2092"/>
      <c r="B160" s="2092"/>
      <c r="C160" s="2101"/>
      <c r="D160" s="2101"/>
      <c r="E160" s="2101"/>
      <c r="F160" s="2101"/>
      <c r="G160" s="2102"/>
      <c r="H160" s="2086" t="s">
        <v>1331</v>
      </c>
    </row>
    <row r="161" s="2075" customFormat="1" spans="1:8">
      <c r="A161" s="2092"/>
      <c r="B161" s="2092"/>
      <c r="C161" s="2101"/>
      <c r="D161" s="2101"/>
      <c r="E161" s="2101"/>
      <c r="F161" s="2101"/>
      <c r="G161" s="2102"/>
      <c r="H161" s="2086" t="s">
        <v>1331</v>
      </c>
    </row>
    <row r="162" s="2075" customFormat="1" spans="1:8">
      <c r="A162" s="2092"/>
      <c r="B162" s="2092"/>
      <c r="C162" s="2101"/>
      <c r="D162" s="2101"/>
      <c r="E162" s="2101"/>
      <c r="F162" s="2101"/>
      <c r="G162" s="2102"/>
      <c r="H162" s="2086" t="s">
        <v>1331</v>
      </c>
    </row>
    <row r="163" s="2075" customFormat="1" spans="1:8">
      <c r="A163" s="2105"/>
      <c r="B163" s="2100"/>
      <c r="C163" s="2100"/>
      <c r="D163" s="2080"/>
      <c r="E163" s="2080"/>
      <c r="F163" s="2080"/>
      <c r="G163" s="2080"/>
      <c r="H163" s="2076"/>
    </row>
    <row r="164" s="2075" customFormat="1" spans="1:8">
      <c r="A164" s="2103"/>
      <c r="B164" s="2080"/>
      <c r="C164" s="2080"/>
      <c r="D164" s="2080"/>
      <c r="E164" s="2080"/>
      <c r="F164" s="2080"/>
      <c r="G164" s="2080"/>
      <c r="H164" s="2076"/>
    </row>
    <row r="165" s="2075" customFormat="1" spans="1:8">
      <c r="A165" s="2079" t="s">
        <v>1332</v>
      </c>
      <c r="B165" s="2080"/>
      <c r="C165" s="2080"/>
      <c r="D165" s="2080"/>
      <c r="E165" s="2080"/>
      <c r="F165" s="2080"/>
      <c r="G165" s="2080"/>
      <c r="H165" s="2076"/>
    </row>
    <row r="166" s="2075" customFormat="1" spans="1:8">
      <c r="A166" s="2082" t="s">
        <v>372</v>
      </c>
      <c r="B166" s="2082" t="s">
        <v>1241</v>
      </c>
      <c r="C166" s="2082" t="s">
        <v>1242</v>
      </c>
      <c r="D166" s="2080"/>
      <c r="E166" s="2080"/>
      <c r="F166" s="2080"/>
      <c r="G166" s="2080"/>
      <c r="H166" s="2076"/>
    </row>
    <row r="167" s="2075" customFormat="1" spans="1:8">
      <c r="A167" s="2092"/>
      <c r="B167" s="2085"/>
      <c r="C167" s="2085"/>
      <c r="D167" s="2080"/>
      <c r="E167" s="2080"/>
      <c r="F167" s="2080"/>
      <c r="G167" s="2080"/>
      <c r="H167" s="2086" t="s">
        <v>1333</v>
      </c>
    </row>
    <row r="168" s="2075" customFormat="1" spans="1:8">
      <c r="A168" s="2092"/>
      <c r="B168" s="2085"/>
      <c r="C168" s="2085"/>
      <c r="D168" s="2080"/>
      <c r="E168" s="2080"/>
      <c r="F168" s="2080"/>
      <c r="G168" s="2080"/>
      <c r="H168" s="2086" t="s">
        <v>1333</v>
      </c>
    </row>
    <row r="169" s="2075" customFormat="1" spans="1:8">
      <c r="A169" s="2092"/>
      <c r="B169" s="2085"/>
      <c r="C169" s="2085"/>
      <c r="D169" s="2080"/>
      <c r="E169" s="2080"/>
      <c r="F169" s="2080"/>
      <c r="G169" s="2080"/>
      <c r="H169" s="2086" t="s">
        <v>1333</v>
      </c>
    </row>
    <row r="170" s="2075" customFormat="1" spans="1:8">
      <c r="A170" s="2092"/>
      <c r="B170" s="2085"/>
      <c r="C170" s="2085"/>
      <c r="D170" s="2080"/>
      <c r="E170" s="2080"/>
      <c r="F170" s="2080"/>
      <c r="G170" s="2080"/>
      <c r="H170" s="2086" t="s">
        <v>1333</v>
      </c>
    </row>
    <row r="171" s="2075" customFormat="1" spans="1:8">
      <c r="A171" s="2092"/>
      <c r="B171" s="2085"/>
      <c r="C171" s="2085"/>
      <c r="D171" s="2080"/>
      <c r="E171" s="2080"/>
      <c r="F171" s="2080"/>
      <c r="G171" s="2080"/>
      <c r="H171" s="2086" t="s">
        <v>1333</v>
      </c>
    </row>
    <row r="172" s="2075" customFormat="1" spans="1:8">
      <c r="A172" s="2092"/>
      <c r="B172" s="2085"/>
      <c r="C172" s="2085"/>
      <c r="D172" s="2080"/>
      <c r="E172" s="2080"/>
      <c r="F172" s="2080"/>
      <c r="G172" s="2080"/>
      <c r="H172" s="2086" t="s">
        <v>1333</v>
      </c>
    </row>
    <row r="173" s="2075" customFormat="1" spans="1:8">
      <c r="A173" s="2092"/>
      <c r="B173" s="2085"/>
      <c r="C173" s="2085"/>
      <c r="D173" s="2080"/>
      <c r="E173" s="2080"/>
      <c r="F173" s="2080"/>
      <c r="G173" s="2080"/>
      <c r="H173" s="2086" t="s">
        <v>1333</v>
      </c>
    </row>
    <row r="174" s="2075" customFormat="1" spans="1:8">
      <c r="A174" s="2092"/>
      <c r="B174" s="2085"/>
      <c r="C174" s="2085"/>
      <c r="D174" s="2080"/>
      <c r="E174" s="2080"/>
      <c r="F174" s="2080"/>
      <c r="G174" s="2080"/>
      <c r="H174" s="2086" t="s">
        <v>1333</v>
      </c>
    </row>
    <row r="175" s="2075" customFormat="1" spans="1:8">
      <c r="A175" s="2092"/>
      <c r="B175" s="2085"/>
      <c r="C175" s="2085"/>
      <c r="D175" s="2080"/>
      <c r="E175" s="2080"/>
      <c r="F175" s="2080"/>
      <c r="G175" s="2080"/>
      <c r="H175" s="2086" t="s">
        <v>1333</v>
      </c>
    </row>
    <row r="176" s="2075" customFormat="1" spans="1:8">
      <c r="A176" s="2092"/>
      <c r="B176" s="2085"/>
      <c r="C176" s="2085"/>
      <c r="D176" s="2080"/>
      <c r="E176" s="2080"/>
      <c r="F176" s="2080"/>
      <c r="G176" s="2080"/>
      <c r="H176" s="2086" t="s">
        <v>1333</v>
      </c>
    </row>
    <row r="177" s="2075" customFormat="1" spans="1:8">
      <c r="A177" s="2082" t="s">
        <v>384</v>
      </c>
      <c r="B177" s="2048">
        <f>ROUND(SUM(B167:B176),2)</f>
        <v>0</v>
      </c>
      <c r="C177" s="2048">
        <f>ROUND(SUM(C167:C176),2)</f>
        <v>0</v>
      </c>
      <c r="D177" s="2080"/>
      <c r="E177" s="2080"/>
      <c r="F177" s="2080"/>
      <c r="G177" s="2080"/>
      <c r="H177" s="2086" t="s">
        <v>1334</v>
      </c>
    </row>
    <row r="178" s="2075" customFormat="1" spans="1:8">
      <c r="A178" s="2099"/>
      <c r="B178" s="2100"/>
      <c r="C178" s="2100"/>
      <c r="D178" s="2080"/>
      <c r="E178" s="2080"/>
      <c r="F178" s="2080"/>
      <c r="G178" s="2080"/>
      <c r="H178" s="2076"/>
    </row>
    <row r="179" s="2075" customFormat="1" spans="1:8">
      <c r="A179" s="2103"/>
      <c r="B179" s="2080"/>
      <c r="C179" s="2080"/>
      <c r="D179" s="2080"/>
      <c r="E179" s="2080"/>
      <c r="F179" s="2080"/>
      <c r="G179" s="2080"/>
      <c r="H179" s="2076"/>
    </row>
    <row r="180" s="2075" customFormat="1" spans="1:8">
      <c r="A180" s="2079" t="s">
        <v>1335</v>
      </c>
      <c r="B180" s="2080"/>
      <c r="C180" s="2080"/>
      <c r="D180" s="2080"/>
      <c r="E180" s="2080"/>
      <c r="F180" s="2080"/>
      <c r="G180" s="2080"/>
      <c r="H180" s="2076"/>
    </row>
    <row r="181" s="2075" customFormat="1" spans="1:8">
      <c r="A181" s="2082" t="s">
        <v>372</v>
      </c>
      <c r="B181" s="2082" t="s">
        <v>1241</v>
      </c>
      <c r="C181" s="2082" t="s">
        <v>1242</v>
      </c>
      <c r="D181" s="2080"/>
      <c r="E181" s="2080"/>
      <c r="F181" s="2080"/>
      <c r="G181" s="2080"/>
      <c r="H181" s="2076"/>
    </row>
    <row r="182" s="2075" customFormat="1" spans="1:8">
      <c r="A182" s="2092"/>
      <c r="B182" s="2085"/>
      <c r="C182" s="2085"/>
      <c r="D182" s="2080"/>
      <c r="E182" s="2080"/>
      <c r="F182" s="2080"/>
      <c r="G182" s="2080"/>
      <c r="H182" s="2086" t="s">
        <v>1336</v>
      </c>
    </row>
    <row r="183" s="2075" customFormat="1" spans="1:8">
      <c r="A183" s="2092"/>
      <c r="B183" s="2085"/>
      <c r="C183" s="2085"/>
      <c r="D183" s="2080"/>
      <c r="E183" s="2080"/>
      <c r="F183" s="2080"/>
      <c r="G183" s="2080"/>
      <c r="H183" s="2086" t="s">
        <v>1336</v>
      </c>
    </row>
    <row r="184" s="2075" customFormat="1" spans="1:8">
      <c r="A184" s="2092"/>
      <c r="B184" s="2085"/>
      <c r="C184" s="2085"/>
      <c r="D184" s="2080"/>
      <c r="E184" s="2080"/>
      <c r="F184" s="2080"/>
      <c r="G184" s="2080"/>
      <c r="H184" s="2086" t="s">
        <v>1336</v>
      </c>
    </row>
    <row r="185" s="2075" customFormat="1" spans="1:8">
      <c r="A185" s="2092"/>
      <c r="B185" s="2085"/>
      <c r="C185" s="2085"/>
      <c r="D185" s="2080"/>
      <c r="E185" s="2080"/>
      <c r="F185" s="2080"/>
      <c r="G185" s="2080"/>
      <c r="H185" s="2086" t="s">
        <v>1336</v>
      </c>
    </row>
    <row r="186" s="2075" customFormat="1" spans="1:8">
      <c r="A186" s="2092"/>
      <c r="B186" s="2085"/>
      <c r="C186" s="2085"/>
      <c r="D186" s="2080"/>
      <c r="E186" s="2080"/>
      <c r="F186" s="2080"/>
      <c r="G186" s="2080"/>
      <c r="H186" s="2086" t="s">
        <v>1336</v>
      </c>
    </row>
    <row r="187" s="2075" customFormat="1" spans="1:8">
      <c r="A187" s="2092"/>
      <c r="B187" s="2085"/>
      <c r="C187" s="2085"/>
      <c r="D187" s="2080"/>
      <c r="E187" s="2080"/>
      <c r="F187" s="2080"/>
      <c r="G187" s="2080"/>
      <c r="H187" s="2086" t="s">
        <v>1336</v>
      </c>
    </row>
    <row r="188" s="2075" customFormat="1" spans="1:8">
      <c r="A188" s="2092"/>
      <c r="B188" s="2085"/>
      <c r="C188" s="2085"/>
      <c r="D188" s="2080"/>
      <c r="E188" s="2080"/>
      <c r="F188" s="2080"/>
      <c r="G188" s="2080"/>
      <c r="H188" s="2086" t="s">
        <v>1336</v>
      </c>
    </row>
    <row r="189" s="2075" customFormat="1" spans="1:8">
      <c r="A189" s="2092"/>
      <c r="B189" s="2085"/>
      <c r="C189" s="2085"/>
      <c r="D189" s="2080"/>
      <c r="E189" s="2080"/>
      <c r="F189" s="2080"/>
      <c r="G189" s="2080"/>
      <c r="H189" s="2086" t="s">
        <v>1336</v>
      </c>
    </row>
    <row r="190" s="2075" customFormat="1" spans="1:8">
      <c r="A190" s="2092"/>
      <c r="B190" s="2085"/>
      <c r="C190" s="2085"/>
      <c r="D190" s="2080"/>
      <c r="E190" s="2080"/>
      <c r="F190" s="2080"/>
      <c r="G190" s="2080"/>
      <c r="H190" s="2086" t="s">
        <v>1336</v>
      </c>
    </row>
    <row r="191" s="2075" customFormat="1" spans="1:8">
      <c r="A191" s="2092"/>
      <c r="B191" s="2085"/>
      <c r="C191" s="2085"/>
      <c r="D191" s="2080"/>
      <c r="E191" s="2080"/>
      <c r="F191" s="2080"/>
      <c r="G191" s="2080"/>
      <c r="H191" s="2086" t="s">
        <v>1336</v>
      </c>
    </row>
    <row r="192" s="2075" customFormat="1" spans="1:8">
      <c r="A192" s="2082" t="s">
        <v>384</v>
      </c>
      <c r="B192" s="2048">
        <f>ROUND(SUM(B182:B191),2)</f>
        <v>0</v>
      </c>
      <c r="C192" s="2048">
        <f>ROUND(SUM(C182:C191),2)</f>
        <v>0</v>
      </c>
      <c r="D192" s="2080"/>
      <c r="E192" s="2080"/>
      <c r="F192" s="2080"/>
      <c r="G192" s="2080"/>
      <c r="H192" s="2086" t="s">
        <v>1337</v>
      </c>
    </row>
    <row r="193" s="2075" customFormat="1" spans="1:8">
      <c r="A193" s="2099"/>
      <c r="B193" s="2100"/>
      <c r="C193" s="2100"/>
      <c r="D193" s="2080"/>
      <c r="E193" s="2080"/>
      <c r="F193" s="2080"/>
      <c r="G193" s="2080"/>
      <c r="H193" s="2076"/>
    </row>
    <row r="194" s="2075" customFormat="1" spans="1:8">
      <c r="A194" s="2094"/>
      <c r="B194" s="2095"/>
      <c r="C194" s="2095"/>
      <c r="D194" s="2080"/>
      <c r="E194" s="2080"/>
      <c r="F194" s="2080"/>
      <c r="G194" s="2080"/>
      <c r="H194" s="2076"/>
    </row>
    <row r="195" s="2075" customFormat="1" spans="1:8">
      <c r="A195" s="2079" t="s">
        <v>1338</v>
      </c>
      <c r="B195" s="2080"/>
      <c r="C195" s="2080"/>
      <c r="D195" s="2080"/>
      <c r="E195" s="2080"/>
      <c r="F195" s="2080"/>
      <c r="G195" s="2080"/>
      <c r="H195" s="2076"/>
    </row>
    <row r="196" s="2075" customFormat="1" spans="1:8">
      <c r="A196" s="2082" t="s">
        <v>372</v>
      </c>
      <c r="B196" s="2084" t="s">
        <v>1241</v>
      </c>
      <c r="C196" s="2084" t="s">
        <v>1242</v>
      </c>
      <c r="D196" s="2080"/>
      <c r="E196" s="2080"/>
      <c r="F196" s="2080"/>
      <c r="G196" s="2080"/>
      <c r="H196" s="2076"/>
    </row>
    <row r="197" s="2075" customFormat="1" spans="1:8">
      <c r="A197" s="2106" t="s">
        <v>1339</v>
      </c>
      <c r="B197" s="2085"/>
      <c r="C197" s="2085"/>
      <c r="D197" s="2080"/>
      <c r="E197" s="2080"/>
      <c r="F197" s="2080"/>
      <c r="G197" s="2080"/>
      <c r="H197" s="2086" t="s">
        <v>1340</v>
      </c>
    </row>
    <row r="198" s="2075" customFormat="1" spans="1:8">
      <c r="A198" s="2106" t="s">
        <v>1341</v>
      </c>
      <c r="B198" s="2085"/>
      <c r="C198" s="2085"/>
      <c r="D198" s="2080"/>
      <c r="E198" s="2080"/>
      <c r="F198" s="2080"/>
      <c r="G198" s="2080"/>
      <c r="H198" s="2086" t="s">
        <v>1342</v>
      </c>
    </row>
    <row r="199" s="2075" customFormat="1" spans="1:8">
      <c r="A199" s="2082" t="s">
        <v>384</v>
      </c>
      <c r="B199" s="2048">
        <f>ROUND(SUM(B197:B198),2)</f>
        <v>0</v>
      </c>
      <c r="C199" s="2048">
        <f>ROUND(SUM(C197:C198),2)</f>
        <v>0</v>
      </c>
      <c r="D199" s="2080"/>
      <c r="E199" s="2080"/>
      <c r="F199" s="2080"/>
      <c r="G199" s="2080"/>
      <c r="H199" s="2086" t="s">
        <v>1343</v>
      </c>
    </row>
    <row r="200" s="2075" customFormat="1" spans="1:8">
      <c r="A200" s="2099"/>
      <c r="B200" s="2100"/>
      <c r="C200" s="2100"/>
      <c r="D200" s="2080"/>
      <c r="E200" s="2080"/>
      <c r="F200" s="2080"/>
      <c r="G200" s="2080"/>
      <c r="H200" s="2076"/>
    </row>
    <row r="201" s="2075" customFormat="1" spans="1:8">
      <c r="A201" s="2103"/>
      <c r="B201" s="2080"/>
      <c r="C201" s="2080"/>
      <c r="D201" s="2080"/>
      <c r="E201" s="2080"/>
      <c r="F201" s="2080"/>
      <c r="G201" s="2080"/>
      <c r="H201" s="2076"/>
    </row>
    <row r="202" s="2075" customFormat="1" spans="1:8">
      <c r="A202" s="2107" t="s">
        <v>1344</v>
      </c>
      <c r="B202" s="2080"/>
      <c r="C202" s="2080"/>
      <c r="D202" s="2080"/>
      <c r="E202" s="2080"/>
      <c r="F202" s="2080"/>
      <c r="G202" s="2080"/>
      <c r="H202" s="2076"/>
    </row>
    <row r="203" s="2075" customFormat="1" spans="1:8">
      <c r="A203" s="2082" t="s">
        <v>372</v>
      </c>
      <c r="B203" s="2082" t="s">
        <v>1241</v>
      </c>
      <c r="C203" s="2082" t="s">
        <v>1242</v>
      </c>
      <c r="D203" s="2080"/>
      <c r="E203" s="2080"/>
      <c r="F203" s="2080"/>
      <c r="G203" s="2080"/>
      <c r="H203" s="2076"/>
    </row>
    <row r="204" s="2075" customFormat="1" spans="1:8">
      <c r="A204" s="2092"/>
      <c r="B204" s="2085"/>
      <c r="C204" s="2085"/>
      <c r="D204" s="2080"/>
      <c r="E204" s="2080"/>
      <c r="F204" s="2080"/>
      <c r="G204" s="2080"/>
      <c r="H204" s="2086" t="s">
        <v>1345</v>
      </c>
    </row>
    <row r="205" s="2075" customFormat="1" spans="1:8">
      <c r="A205" s="2092"/>
      <c r="B205" s="2085"/>
      <c r="C205" s="2085"/>
      <c r="D205" s="2080"/>
      <c r="E205" s="2080"/>
      <c r="F205" s="2080"/>
      <c r="G205" s="2080"/>
      <c r="H205" s="2086" t="s">
        <v>1345</v>
      </c>
    </row>
    <row r="206" s="2075" customFormat="1" spans="1:8">
      <c r="A206" s="2092"/>
      <c r="B206" s="2085"/>
      <c r="C206" s="2085"/>
      <c r="D206" s="2080"/>
      <c r="E206" s="2080"/>
      <c r="F206" s="2080"/>
      <c r="G206" s="2080"/>
      <c r="H206" s="2086" t="s">
        <v>1345</v>
      </c>
    </row>
    <row r="207" s="2075" customFormat="1" spans="1:8">
      <c r="A207" s="2092"/>
      <c r="B207" s="2085"/>
      <c r="C207" s="2085"/>
      <c r="D207" s="2080"/>
      <c r="E207" s="2080"/>
      <c r="F207" s="2080"/>
      <c r="G207" s="2080"/>
      <c r="H207" s="2086" t="s">
        <v>1345</v>
      </c>
    </row>
    <row r="208" s="2075" customFormat="1" spans="1:8">
      <c r="A208" s="2092"/>
      <c r="B208" s="2085"/>
      <c r="C208" s="2085"/>
      <c r="D208" s="2080"/>
      <c r="E208" s="2080"/>
      <c r="F208" s="2080"/>
      <c r="G208" s="2080"/>
      <c r="H208" s="2086" t="s">
        <v>1345</v>
      </c>
    </row>
    <row r="209" s="2075" customFormat="1" spans="1:8">
      <c r="A209" s="2092"/>
      <c r="B209" s="2085"/>
      <c r="C209" s="2085"/>
      <c r="D209" s="2080"/>
      <c r="E209" s="2080"/>
      <c r="F209" s="2080"/>
      <c r="G209" s="2080"/>
      <c r="H209" s="2086" t="s">
        <v>1345</v>
      </c>
    </row>
    <row r="210" s="2075" customFormat="1" spans="1:8">
      <c r="A210" s="2092"/>
      <c r="B210" s="2085"/>
      <c r="C210" s="2085"/>
      <c r="D210" s="2080"/>
      <c r="E210" s="2080"/>
      <c r="F210" s="2080"/>
      <c r="G210" s="2080"/>
      <c r="H210" s="2086" t="s">
        <v>1345</v>
      </c>
    </row>
    <row r="211" s="2075" customFormat="1" spans="1:8">
      <c r="A211" s="2092"/>
      <c r="B211" s="2085"/>
      <c r="C211" s="2085"/>
      <c r="D211" s="2080"/>
      <c r="E211" s="2080"/>
      <c r="F211" s="2080"/>
      <c r="G211" s="2080"/>
      <c r="H211" s="2086" t="s">
        <v>1345</v>
      </c>
    </row>
    <row r="212" s="2075" customFormat="1" spans="1:8">
      <c r="A212" s="2092"/>
      <c r="B212" s="2085"/>
      <c r="C212" s="2085"/>
      <c r="D212" s="2080"/>
      <c r="E212" s="2080"/>
      <c r="F212" s="2080"/>
      <c r="G212" s="2080"/>
      <c r="H212" s="2086" t="s">
        <v>1345</v>
      </c>
    </row>
    <row r="213" s="2075" customFormat="1" spans="1:8">
      <c r="A213" s="2092"/>
      <c r="B213" s="2085"/>
      <c r="C213" s="2085"/>
      <c r="D213" s="2080"/>
      <c r="E213" s="2080"/>
      <c r="F213" s="2080"/>
      <c r="G213" s="2080"/>
      <c r="H213" s="2086" t="s">
        <v>1345</v>
      </c>
    </row>
    <row r="214" s="2075" customFormat="1" spans="1:8">
      <c r="A214" s="2082" t="s">
        <v>384</v>
      </c>
      <c r="B214" s="2048">
        <f>ROUND(SUM(B204:B213),2)</f>
        <v>0</v>
      </c>
      <c r="C214" s="2048">
        <f>ROUND(SUM(C204:C213),2)</f>
        <v>0</v>
      </c>
      <c r="D214" s="2080"/>
      <c r="E214" s="2080"/>
      <c r="F214" s="2080"/>
      <c r="G214" s="2080"/>
      <c r="H214" s="2086" t="s">
        <v>1346</v>
      </c>
    </row>
    <row r="215" s="2075" customFormat="1" spans="1:8">
      <c r="A215" s="2099"/>
      <c r="B215" s="2100"/>
      <c r="C215" s="2100"/>
      <c r="D215" s="2080"/>
      <c r="E215" s="2080"/>
      <c r="F215" s="2080"/>
      <c r="G215" s="2080"/>
      <c r="H215" s="2086"/>
    </row>
    <row r="216" s="2075" customFormat="1" spans="1:8">
      <c r="A216" s="2103"/>
      <c r="B216" s="2080"/>
      <c r="C216" s="2080"/>
      <c r="D216" s="2080"/>
      <c r="E216" s="2080"/>
      <c r="F216" s="2080"/>
      <c r="G216" s="2080"/>
      <c r="H216" s="2076"/>
    </row>
    <row r="217" s="2075" customFormat="1" spans="1:8">
      <c r="A217" s="2097" t="s">
        <v>1347</v>
      </c>
      <c r="B217" s="2080"/>
      <c r="C217" s="2080"/>
      <c r="D217" s="2080"/>
      <c r="E217" s="2080"/>
      <c r="F217" s="2080"/>
      <c r="G217" s="2080"/>
      <c r="H217" s="2076"/>
    </row>
    <row r="218" s="2075" customFormat="1" spans="1:8">
      <c r="A218" s="2108" t="s">
        <v>160</v>
      </c>
      <c r="B218" s="2082" t="s">
        <v>1241</v>
      </c>
      <c r="C218" s="2082" t="s">
        <v>1242</v>
      </c>
      <c r="D218" s="2080"/>
      <c r="E218" s="2080"/>
      <c r="F218" s="2080"/>
      <c r="G218" s="2080"/>
      <c r="H218" s="2076"/>
    </row>
    <row r="219" s="2075" customFormat="1" spans="1:8">
      <c r="A219" s="2109" t="s">
        <v>163</v>
      </c>
      <c r="B219" s="2108"/>
      <c r="C219" s="2108"/>
      <c r="D219" s="2080"/>
      <c r="E219" s="2080"/>
      <c r="F219" s="2080"/>
      <c r="G219" s="2080"/>
      <c r="H219" s="2076"/>
    </row>
    <row r="220" s="2075" customFormat="1" spans="1:8">
      <c r="A220" s="2106" t="s">
        <v>109</v>
      </c>
      <c r="B220" s="2085"/>
      <c r="C220" s="2085"/>
      <c r="D220" s="2080"/>
      <c r="E220" s="2080"/>
      <c r="F220" s="2080"/>
      <c r="G220" s="2080"/>
      <c r="H220" s="2086" t="s">
        <v>1348</v>
      </c>
    </row>
    <row r="221" s="2075" customFormat="1" spans="1:8">
      <c r="A221" s="2106" t="s">
        <v>164</v>
      </c>
      <c r="B221" s="2085"/>
      <c r="C221" s="2085"/>
      <c r="D221" s="2080"/>
      <c r="E221" s="2080"/>
      <c r="F221" s="2080"/>
      <c r="G221" s="2080"/>
      <c r="H221" s="2086" t="s">
        <v>1349</v>
      </c>
    </row>
    <row r="222" s="2075" customFormat="1" spans="1:8">
      <c r="A222" s="2106" t="s">
        <v>165</v>
      </c>
      <c r="B222" s="2085"/>
      <c r="C222" s="2085"/>
      <c r="D222" s="2080"/>
      <c r="E222" s="2080"/>
      <c r="F222" s="2080"/>
      <c r="G222" s="2080"/>
      <c r="H222" s="2086" t="s">
        <v>1350</v>
      </c>
    </row>
    <row r="223" s="2075" customFormat="1" spans="1:8">
      <c r="A223" s="2106" t="s">
        <v>166</v>
      </c>
      <c r="B223" s="2085"/>
      <c r="C223" s="2085"/>
      <c r="D223" s="2080"/>
      <c r="E223" s="2080"/>
      <c r="F223" s="2080"/>
      <c r="G223" s="2080"/>
      <c r="H223" s="2086" t="s">
        <v>1351</v>
      </c>
    </row>
    <row r="224" s="2075" customFormat="1" spans="1:8">
      <c r="A224" s="2106" t="s">
        <v>167</v>
      </c>
      <c r="B224" s="2085"/>
      <c r="C224" s="2085"/>
      <c r="D224" s="2080"/>
      <c r="E224" s="2080"/>
      <c r="F224" s="2080"/>
      <c r="G224" s="2080"/>
      <c r="H224" s="2086" t="s">
        <v>1352</v>
      </c>
    </row>
    <row r="225" s="2075" customFormat="1" spans="1:8">
      <c r="A225" s="2106" t="s">
        <v>168</v>
      </c>
      <c r="B225" s="2085"/>
      <c r="C225" s="2085"/>
      <c r="D225" s="2080"/>
      <c r="E225" s="2080"/>
      <c r="F225" s="2080"/>
      <c r="G225" s="2080"/>
      <c r="H225" s="2086" t="s">
        <v>1353</v>
      </c>
    </row>
    <row r="226" s="2075" customFormat="1" spans="1:8">
      <c r="A226" s="2106" t="s">
        <v>169</v>
      </c>
      <c r="B226" s="2085"/>
      <c r="C226" s="2085"/>
      <c r="D226" s="2080"/>
      <c r="E226" s="2080"/>
      <c r="F226" s="2080"/>
      <c r="G226" s="2080"/>
      <c r="H226" s="2086" t="s">
        <v>1354</v>
      </c>
    </row>
    <row r="227" s="2075" customFormat="1" spans="1:8">
      <c r="A227" s="2106" t="s">
        <v>170</v>
      </c>
      <c r="B227" s="2085"/>
      <c r="C227" s="2085"/>
      <c r="D227" s="2080"/>
      <c r="E227" s="2080"/>
      <c r="F227" s="2080"/>
      <c r="G227" s="2080"/>
      <c r="H227" s="2086" t="s">
        <v>1355</v>
      </c>
    </row>
    <row r="228" s="2075" customFormat="1" spans="1:8">
      <c r="A228" s="2106" t="s">
        <v>84</v>
      </c>
      <c r="B228" s="2085"/>
      <c r="C228" s="2085"/>
      <c r="D228" s="2080"/>
      <c r="E228" s="2080"/>
      <c r="F228" s="2080"/>
      <c r="G228" s="2080"/>
      <c r="H228" s="2086" t="s">
        <v>1356</v>
      </c>
    </row>
    <row r="229" s="2075" customFormat="1" spans="1:8">
      <c r="A229" s="2106" t="s">
        <v>171</v>
      </c>
      <c r="B229" s="2085"/>
      <c r="C229" s="2085"/>
      <c r="D229" s="2080"/>
      <c r="E229" s="2080"/>
      <c r="F229" s="2080"/>
      <c r="G229" s="2080"/>
      <c r="H229" s="2086" t="s">
        <v>1357</v>
      </c>
    </row>
    <row r="230" s="2075" customFormat="1" spans="1:8">
      <c r="A230" s="2106" t="s">
        <v>172</v>
      </c>
      <c r="B230" s="2085"/>
      <c r="C230" s="2085"/>
      <c r="D230" s="2080"/>
      <c r="E230" s="2080"/>
      <c r="F230" s="2080"/>
      <c r="G230" s="2080"/>
      <c r="H230" s="2086" t="s">
        <v>1358</v>
      </c>
    </row>
    <row r="231" s="2075" customFormat="1" spans="1:8">
      <c r="A231" s="2106" t="s">
        <v>173</v>
      </c>
      <c r="B231" s="2085"/>
      <c r="C231" s="2085"/>
      <c r="D231" s="2080"/>
      <c r="E231" s="2080"/>
      <c r="F231" s="2080"/>
      <c r="G231" s="2080"/>
      <c r="H231" s="2086" t="s">
        <v>1359</v>
      </c>
    </row>
    <row r="232" s="2075" customFormat="1" spans="1:8">
      <c r="A232" s="2106" t="s">
        <v>174</v>
      </c>
      <c r="B232" s="2085"/>
      <c r="C232" s="2085"/>
      <c r="D232" s="2080"/>
      <c r="E232" s="2080"/>
      <c r="F232" s="2080"/>
      <c r="G232" s="2080"/>
      <c r="H232" s="2086" t="s">
        <v>1360</v>
      </c>
    </row>
    <row r="233" s="2075" customFormat="1" spans="1:8">
      <c r="A233" s="2106" t="s">
        <v>175</v>
      </c>
      <c r="B233" s="2085"/>
      <c r="C233" s="2085"/>
      <c r="D233" s="2080"/>
      <c r="E233" s="2080"/>
      <c r="F233" s="2080"/>
      <c r="G233" s="2080"/>
      <c r="H233" s="2086" t="s">
        <v>1361</v>
      </c>
    </row>
    <row r="234" s="2075" customFormat="1" spans="1:8">
      <c r="A234" s="2106" t="s">
        <v>176</v>
      </c>
      <c r="B234" s="2085"/>
      <c r="C234" s="2085"/>
      <c r="D234" s="2080"/>
      <c r="E234" s="2080"/>
      <c r="F234" s="2080"/>
      <c r="G234" s="2080"/>
      <c r="H234" s="2086" t="s">
        <v>1362</v>
      </c>
    </row>
    <row r="235" s="2075" customFormat="1" spans="1:8">
      <c r="A235" s="2106" t="s">
        <v>177</v>
      </c>
      <c r="B235" s="2085"/>
      <c r="C235" s="2085"/>
      <c r="D235" s="2080"/>
      <c r="E235" s="2080"/>
      <c r="F235" s="2080"/>
      <c r="G235" s="2080"/>
      <c r="H235" s="2086" t="s">
        <v>1363</v>
      </c>
    </row>
    <row r="236" s="2075" customFormat="1" spans="1:8">
      <c r="A236" s="2106" t="s">
        <v>178</v>
      </c>
      <c r="B236" s="2048">
        <f>ROUND(SUM(B220:B235),2)</f>
        <v>0</v>
      </c>
      <c r="C236" s="2048">
        <f>ROUND(SUM(C220:C235),2)</f>
        <v>0</v>
      </c>
      <c r="D236" s="2080"/>
      <c r="E236" s="2080"/>
      <c r="F236" s="2080"/>
      <c r="G236" s="2080"/>
      <c r="H236" s="2086" t="s">
        <v>1364</v>
      </c>
    </row>
    <row r="237" s="2075" customFormat="1" spans="1:8">
      <c r="A237" s="2106"/>
      <c r="B237" s="2098"/>
      <c r="C237" s="2098"/>
      <c r="D237" s="2080"/>
      <c r="E237" s="2080"/>
      <c r="F237" s="2080"/>
      <c r="G237" s="2080"/>
      <c r="H237" s="2086"/>
    </row>
    <row r="238" s="2075" customFormat="1" spans="1:8">
      <c r="A238" s="2106" t="s">
        <v>179</v>
      </c>
      <c r="B238" s="2098"/>
      <c r="C238" s="2098"/>
      <c r="D238" s="2080"/>
      <c r="E238" s="2080"/>
      <c r="F238" s="2080"/>
      <c r="G238" s="2080"/>
      <c r="H238" s="2086"/>
    </row>
    <row r="239" s="2075" customFormat="1" spans="1:8">
      <c r="A239" s="2106" t="s">
        <v>180</v>
      </c>
      <c r="B239" s="2085"/>
      <c r="C239" s="2085"/>
      <c r="D239" s="2080"/>
      <c r="E239" s="2080"/>
      <c r="F239" s="2080"/>
      <c r="G239" s="2080"/>
      <c r="H239" s="2086" t="s">
        <v>1365</v>
      </c>
    </row>
    <row r="240" s="2075" customFormat="1" spans="1:8">
      <c r="A240" s="2106" t="s">
        <v>181</v>
      </c>
      <c r="B240" s="2085"/>
      <c r="C240" s="2085"/>
      <c r="D240" s="2080"/>
      <c r="E240" s="2080"/>
      <c r="F240" s="2080"/>
      <c r="G240" s="2080"/>
      <c r="H240" s="2086" t="s">
        <v>1366</v>
      </c>
    </row>
    <row r="241" s="2075" customFormat="1" spans="1:8">
      <c r="A241" s="2106" t="s">
        <v>182</v>
      </c>
      <c r="B241" s="2085"/>
      <c r="C241" s="2085"/>
      <c r="D241" s="2080"/>
      <c r="E241" s="2080"/>
      <c r="F241" s="2080"/>
      <c r="G241" s="2080"/>
      <c r="H241" s="2086" t="s">
        <v>1367</v>
      </c>
    </row>
    <row r="242" s="2075" customFormat="1" spans="1:8">
      <c r="A242" s="2106"/>
      <c r="B242" s="2098"/>
      <c r="C242" s="2098"/>
      <c r="D242" s="2080"/>
      <c r="E242" s="2080"/>
      <c r="F242" s="2080"/>
      <c r="G242" s="2080"/>
      <c r="H242" s="2086"/>
    </row>
    <row r="243" s="2075" customFormat="1" spans="1:8">
      <c r="A243" s="2106" t="s">
        <v>183</v>
      </c>
      <c r="B243" s="2098"/>
      <c r="C243" s="2098"/>
      <c r="D243" s="2080"/>
      <c r="E243" s="2080"/>
      <c r="F243" s="2080"/>
      <c r="G243" s="2080"/>
      <c r="H243" s="2086"/>
    </row>
    <row r="244" s="2075" customFormat="1" spans="1:8">
      <c r="A244" s="2106" t="s">
        <v>184</v>
      </c>
      <c r="B244" s="2085"/>
      <c r="C244" s="2085"/>
      <c r="D244" s="2080"/>
      <c r="E244" s="2080"/>
      <c r="F244" s="2080"/>
      <c r="G244" s="2080"/>
      <c r="H244" s="2086" t="s">
        <v>1368</v>
      </c>
    </row>
    <row r="245" s="2075" customFormat="1" spans="1:8">
      <c r="A245" s="2106" t="s">
        <v>185</v>
      </c>
      <c r="B245" s="2085"/>
      <c r="C245" s="2085"/>
      <c r="D245" s="2080"/>
      <c r="E245" s="2080"/>
      <c r="F245" s="2080"/>
      <c r="G245" s="2080"/>
      <c r="H245" s="2086" t="s">
        <v>1369</v>
      </c>
    </row>
    <row r="246" s="2075" customFormat="1" spans="1:8">
      <c r="A246" s="2106" t="s">
        <v>186</v>
      </c>
      <c r="B246" s="2085"/>
      <c r="C246" s="2085"/>
      <c r="D246" s="2080"/>
      <c r="E246" s="2080"/>
      <c r="F246" s="2080"/>
      <c r="G246" s="2080"/>
      <c r="H246" s="2086" t="s">
        <v>1370</v>
      </c>
    </row>
    <row r="247" s="2075" customFormat="1" spans="1:8">
      <c r="A247" s="2106" t="s">
        <v>187</v>
      </c>
      <c r="B247" s="2085"/>
      <c r="C247" s="2085"/>
      <c r="D247" s="2080"/>
      <c r="E247" s="2080"/>
      <c r="F247" s="2080"/>
      <c r="G247" s="2080"/>
      <c r="H247" s="2086" t="s">
        <v>1371</v>
      </c>
    </row>
    <row r="248" s="2075" customFormat="1" spans="1:8">
      <c r="A248" s="2106" t="s">
        <v>188</v>
      </c>
      <c r="B248" s="2048">
        <f>ROUND(B244-B245+B246-B247,2)</f>
        <v>0</v>
      </c>
      <c r="C248" s="2048">
        <f>ROUND(C244-C245+C246-C247,2)</f>
        <v>0</v>
      </c>
      <c r="D248" s="2080"/>
      <c r="E248" s="2080"/>
      <c r="F248" s="2080"/>
      <c r="G248" s="2080"/>
      <c r="H248" s="2086" t="s">
        <v>1372</v>
      </c>
    </row>
    <row r="249" s="2075" customFormat="1" spans="1:8">
      <c r="A249" s="2080"/>
      <c r="B249" s="2080"/>
      <c r="C249" s="2080"/>
      <c r="D249" s="2080"/>
      <c r="E249" s="2080"/>
      <c r="F249" s="2080"/>
      <c r="G249" s="2080"/>
      <c r="H249" s="2076"/>
    </row>
    <row r="250" s="2075" customFormat="1" spans="1:8">
      <c r="A250" s="2080"/>
      <c r="B250" s="2080"/>
      <c r="C250" s="2080"/>
      <c r="D250" s="2080"/>
      <c r="E250" s="2080"/>
      <c r="F250" s="2080"/>
      <c r="G250" s="2080"/>
      <c r="H250" s="2076"/>
    </row>
    <row r="251" s="2075" customFormat="1" spans="1:8">
      <c r="A251" s="2097" t="s">
        <v>1373</v>
      </c>
      <c r="B251" s="2110"/>
      <c r="C251" s="2080"/>
      <c r="D251" s="2080"/>
      <c r="E251" s="2080"/>
      <c r="F251" s="2080"/>
      <c r="G251" s="2080"/>
      <c r="H251" s="2076"/>
    </row>
    <row r="252" s="2075" customFormat="1" spans="1:8">
      <c r="A252" s="2088" t="s">
        <v>1374</v>
      </c>
      <c r="B252" s="2080"/>
      <c r="C252" s="2080"/>
      <c r="D252" s="2080"/>
      <c r="E252" s="2080"/>
      <c r="F252" s="2080"/>
      <c r="G252" s="2080"/>
      <c r="H252" s="2076"/>
    </row>
    <row r="253" s="2075" customFormat="1" spans="1:8">
      <c r="A253" s="2082" t="s">
        <v>1375</v>
      </c>
      <c r="B253" s="2082" t="s">
        <v>1376</v>
      </c>
      <c r="C253" s="2082" t="s">
        <v>1377</v>
      </c>
      <c r="D253" s="2082" t="s">
        <v>1378</v>
      </c>
      <c r="E253" s="2082" t="s">
        <v>1377</v>
      </c>
      <c r="F253" s="2080"/>
      <c r="G253" s="2080"/>
      <c r="H253" s="2076"/>
    </row>
    <row r="254" s="2075" customFormat="1" spans="1:8">
      <c r="A254" s="2092"/>
      <c r="B254" s="2085"/>
      <c r="C254" s="2111"/>
      <c r="D254" s="2085"/>
      <c r="E254" s="2111"/>
      <c r="F254" s="2080"/>
      <c r="G254" s="2080"/>
      <c r="H254" s="2086" t="s">
        <v>1379</v>
      </c>
    </row>
    <row r="255" s="2075" customFormat="1" spans="1:8">
      <c r="A255" s="2092"/>
      <c r="B255" s="2085"/>
      <c r="C255" s="2111"/>
      <c r="D255" s="2085"/>
      <c r="E255" s="2111"/>
      <c r="F255" s="2080"/>
      <c r="G255" s="2080"/>
      <c r="H255" s="2086" t="s">
        <v>1379</v>
      </c>
    </row>
    <row r="256" s="2075" customFormat="1" spans="1:8">
      <c r="A256" s="2092"/>
      <c r="B256" s="2085"/>
      <c r="C256" s="2111"/>
      <c r="D256" s="2085"/>
      <c r="E256" s="2111"/>
      <c r="F256" s="2080"/>
      <c r="G256" s="2080"/>
      <c r="H256" s="2086" t="s">
        <v>1379</v>
      </c>
    </row>
    <row r="257" s="2075" customFormat="1" spans="1:8">
      <c r="A257" s="2092"/>
      <c r="B257" s="2085"/>
      <c r="C257" s="2111"/>
      <c r="D257" s="2085"/>
      <c r="E257" s="2111"/>
      <c r="F257" s="2080"/>
      <c r="G257" s="2080"/>
      <c r="H257" s="2086" t="s">
        <v>1379</v>
      </c>
    </row>
    <row r="258" s="2075" customFormat="1" spans="1:8">
      <c r="A258" s="2092"/>
      <c r="B258" s="2085"/>
      <c r="C258" s="2111"/>
      <c r="D258" s="2085"/>
      <c r="E258" s="2111"/>
      <c r="F258" s="2080"/>
      <c r="G258" s="2080"/>
      <c r="H258" s="2086" t="s">
        <v>1379</v>
      </c>
    </row>
    <row r="259" s="2075" customFormat="1" spans="1:8">
      <c r="A259" s="2092"/>
      <c r="B259" s="2085"/>
      <c r="C259" s="2111"/>
      <c r="D259" s="2085"/>
      <c r="E259" s="2111"/>
      <c r="F259" s="2080"/>
      <c r="G259" s="2080"/>
      <c r="H259" s="2086" t="s">
        <v>1379</v>
      </c>
    </row>
    <row r="260" s="2075" customFormat="1" spans="1:8">
      <c r="A260" s="2092"/>
      <c r="B260" s="2085"/>
      <c r="C260" s="2111"/>
      <c r="D260" s="2085"/>
      <c r="E260" s="2111"/>
      <c r="F260" s="2080"/>
      <c r="G260" s="2080"/>
      <c r="H260" s="2086" t="s">
        <v>1379</v>
      </c>
    </row>
    <row r="261" s="2075" customFormat="1" spans="1:8">
      <c r="A261" s="2092"/>
      <c r="B261" s="2085"/>
      <c r="C261" s="2111"/>
      <c r="D261" s="2085"/>
      <c r="E261" s="2111"/>
      <c r="F261" s="2080"/>
      <c r="G261" s="2080"/>
      <c r="H261" s="2086" t="s">
        <v>1379</v>
      </c>
    </row>
    <row r="262" s="2075" customFormat="1" spans="1:8">
      <c r="A262" s="2092"/>
      <c r="B262" s="2085"/>
      <c r="C262" s="2111"/>
      <c r="D262" s="2085"/>
      <c r="E262" s="2111"/>
      <c r="F262" s="2080"/>
      <c r="G262" s="2080"/>
      <c r="H262" s="2086" t="s">
        <v>1379</v>
      </c>
    </row>
    <row r="263" s="2075" customFormat="1" spans="1:8">
      <c r="A263" s="2092"/>
      <c r="B263" s="2085"/>
      <c r="C263" s="2111"/>
      <c r="D263" s="2085"/>
      <c r="E263" s="2111"/>
      <c r="F263" s="2080"/>
      <c r="G263" s="2080"/>
      <c r="H263" s="2086" t="s">
        <v>1379</v>
      </c>
    </row>
    <row r="264" s="2075" customFormat="1" spans="1:8">
      <c r="A264" s="2082" t="s">
        <v>384</v>
      </c>
      <c r="B264" s="2048">
        <f>ROUND(SUM(B254:B263),2)</f>
        <v>0</v>
      </c>
      <c r="C264" s="2111"/>
      <c r="D264" s="2048">
        <f>ROUND(SUM(D254:D263),2)</f>
        <v>0</v>
      </c>
      <c r="E264" s="2111"/>
      <c r="F264" s="2080"/>
      <c r="G264" s="2080"/>
      <c r="H264" s="2086" t="s">
        <v>1380</v>
      </c>
    </row>
    <row r="265" s="2075" customFormat="1" spans="1:8">
      <c r="A265" s="2080"/>
      <c r="B265" s="2080"/>
      <c r="C265" s="2080"/>
      <c r="D265" s="2080"/>
      <c r="E265" s="2080"/>
      <c r="F265" s="2080"/>
      <c r="G265" s="2080"/>
      <c r="H265" s="2076"/>
    </row>
    <row r="266" s="2075" customFormat="1" spans="1:8">
      <c r="A266" s="2112" t="s">
        <v>1381</v>
      </c>
      <c r="B266" s="2080"/>
      <c r="C266" s="2080"/>
      <c r="D266" s="2080"/>
      <c r="E266" s="2080"/>
      <c r="F266" s="2080"/>
      <c r="G266" s="2080"/>
      <c r="H266" s="2076"/>
    </row>
    <row r="267" s="2075" customFormat="1" spans="1:8">
      <c r="A267" s="2082" t="s">
        <v>1375</v>
      </c>
      <c r="B267" s="2082" t="s">
        <v>1376</v>
      </c>
      <c r="C267" s="2082" t="s">
        <v>1377</v>
      </c>
      <c r="D267" s="2082" t="s">
        <v>1378</v>
      </c>
      <c r="E267" s="2082" t="s">
        <v>1377</v>
      </c>
      <c r="F267" s="2080"/>
      <c r="G267" s="2080"/>
      <c r="H267" s="2076"/>
    </row>
    <row r="268" s="2075" customFormat="1" spans="1:8">
      <c r="A268" s="2092"/>
      <c r="B268" s="2085"/>
      <c r="C268" s="2111"/>
      <c r="D268" s="2085"/>
      <c r="E268" s="2111"/>
      <c r="F268" s="2080"/>
      <c r="G268" s="2080"/>
      <c r="H268" s="2086" t="s">
        <v>1382</v>
      </c>
    </row>
    <row r="269" s="2075" customFormat="1" spans="1:8">
      <c r="A269" s="2092"/>
      <c r="B269" s="2085"/>
      <c r="C269" s="2111"/>
      <c r="D269" s="2085"/>
      <c r="E269" s="2111"/>
      <c r="F269" s="2080"/>
      <c r="G269" s="2080"/>
      <c r="H269" s="2086" t="s">
        <v>1382</v>
      </c>
    </row>
    <row r="270" s="2075" customFormat="1" spans="1:8">
      <c r="A270" s="2092"/>
      <c r="B270" s="2085"/>
      <c r="C270" s="2111"/>
      <c r="D270" s="2085"/>
      <c r="E270" s="2111"/>
      <c r="F270" s="2080"/>
      <c r="G270" s="2080"/>
      <c r="H270" s="2086" t="s">
        <v>1382</v>
      </c>
    </row>
    <row r="271" s="2075" customFormat="1" spans="1:8">
      <c r="A271" s="2092"/>
      <c r="B271" s="2085"/>
      <c r="C271" s="2111"/>
      <c r="D271" s="2085"/>
      <c r="E271" s="2111"/>
      <c r="F271" s="2080"/>
      <c r="G271" s="2080"/>
      <c r="H271" s="2086" t="s">
        <v>1382</v>
      </c>
    </row>
    <row r="272" s="2075" customFormat="1" spans="1:8">
      <c r="A272" s="2092"/>
      <c r="B272" s="2085"/>
      <c r="C272" s="2111"/>
      <c r="D272" s="2085"/>
      <c r="E272" s="2111"/>
      <c r="F272" s="2080"/>
      <c r="G272" s="2080"/>
      <c r="H272" s="2086" t="s">
        <v>1382</v>
      </c>
    </row>
    <row r="273" s="2075" customFormat="1" spans="1:8">
      <c r="A273" s="2092"/>
      <c r="B273" s="2085"/>
      <c r="C273" s="2111"/>
      <c r="D273" s="2085"/>
      <c r="E273" s="2111"/>
      <c r="F273" s="2080"/>
      <c r="G273" s="2080"/>
      <c r="H273" s="2086" t="s">
        <v>1382</v>
      </c>
    </row>
    <row r="274" s="2075" customFormat="1" spans="1:8">
      <c r="A274" s="2092"/>
      <c r="B274" s="2085"/>
      <c r="C274" s="2111"/>
      <c r="D274" s="2085"/>
      <c r="E274" s="2111"/>
      <c r="F274" s="2080"/>
      <c r="G274" s="2080"/>
      <c r="H274" s="2086" t="s">
        <v>1382</v>
      </c>
    </row>
    <row r="275" s="2075" customFormat="1" spans="1:8">
      <c r="A275" s="2092"/>
      <c r="B275" s="2085"/>
      <c r="C275" s="2111"/>
      <c r="D275" s="2085"/>
      <c r="E275" s="2111"/>
      <c r="F275" s="2080"/>
      <c r="G275" s="2080"/>
      <c r="H275" s="2086" t="s">
        <v>1382</v>
      </c>
    </row>
    <row r="276" s="2075" customFormat="1" spans="1:8">
      <c r="A276" s="2092"/>
      <c r="B276" s="2085"/>
      <c r="C276" s="2111"/>
      <c r="D276" s="2085"/>
      <c r="E276" s="2111"/>
      <c r="F276" s="2080"/>
      <c r="G276" s="2080"/>
      <c r="H276" s="2086" t="s">
        <v>1382</v>
      </c>
    </row>
    <row r="277" s="2075" customFormat="1" spans="1:8">
      <c r="A277" s="2092"/>
      <c r="B277" s="2085"/>
      <c r="C277" s="2111"/>
      <c r="D277" s="2085"/>
      <c r="E277" s="2111"/>
      <c r="F277" s="2080"/>
      <c r="G277" s="2080"/>
      <c r="H277" s="2086" t="s">
        <v>1382</v>
      </c>
    </row>
    <row r="278" s="2075" customFormat="1" spans="1:8">
      <c r="A278" s="2082" t="s">
        <v>384</v>
      </c>
      <c r="B278" s="2048">
        <f>ROUND(SUM(B268:B277),2)</f>
        <v>0</v>
      </c>
      <c r="C278" s="2111"/>
      <c r="D278" s="2048">
        <f>ROUND(SUM(D268:D277),2)</f>
        <v>0</v>
      </c>
      <c r="E278" s="2111"/>
      <c r="F278" s="2080"/>
      <c r="G278" s="2080"/>
      <c r="H278" s="2086" t="s">
        <v>1383</v>
      </c>
    </row>
    <row r="279" s="2075" customFormat="1" spans="1:8">
      <c r="A279" s="2080"/>
      <c r="B279" s="2080"/>
      <c r="C279" s="2080"/>
      <c r="D279" s="2080"/>
      <c r="E279" s="2080"/>
      <c r="F279" s="2080"/>
      <c r="G279" s="2080"/>
      <c r="H279" s="2076"/>
    </row>
    <row r="280" s="2075" customFormat="1" spans="1:8">
      <c r="A280" s="2088" t="s">
        <v>1384</v>
      </c>
      <c r="B280" s="2080"/>
      <c r="C280" s="2080"/>
      <c r="D280" s="2080"/>
      <c r="E280" s="2080"/>
      <c r="F280" s="2080"/>
      <c r="G280" s="2080"/>
      <c r="H280" s="2076"/>
    </row>
    <row r="281" s="2075" customFormat="1" spans="1:8">
      <c r="A281" s="2082" t="s">
        <v>568</v>
      </c>
      <c r="B281" s="2082" t="s">
        <v>1385</v>
      </c>
      <c r="C281" s="2082" t="s">
        <v>1386</v>
      </c>
      <c r="D281" s="2082" t="s">
        <v>315</v>
      </c>
      <c r="E281" s="2082" t="s">
        <v>1387</v>
      </c>
      <c r="F281" s="2082" t="s">
        <v>316</v>
      </c>
      <c r="G281" s="2082" t="s">
        <v>1387</v>
      </c>
      <c r="H281" s="2076"/>
    </row>
    <row r="282" s="2075" customFormat="1" spans="1:8">
      <c r="A282" s="2092"/>
      <c r="B282" s="2092"/>
      <c r="C282" s="2092"/>
      <c r="D282" s="2085"/>
      <c r="E282" s="2111"/>
      <c r="F282" s="2085"/>
      <c r="G282" s="2111"/>
      <c r="H282" s="2086" t="s">
        <v>1388</v>
      </c>
    </row>
    <row r="283" s="2075" customFormat="1" spans="1:8">
      <c r="A283" s="2092"/>
      <c r="B283" s="2092"/>
      <c r="C283" s="2092"/>
      <c r="D283" s="2085"/>
      <c r="E283" s="2111"/>
      <c r="F283" s="2085"/>
      <c r="G283" s="2111"/>
      <c r="H283" s="2086" t="s">
        <v>1388</v>
      </c>
    </row>
    <row r="284" s="2075" customFormat="1" spans="1:8">
      <c r="A284" s="2092"/>
      <c r="B284" s="2092"/>
      <c r="C284" s="2092"/>
      <c r="D284" s="2085"/>
      <c r="E284" s="2111"/>
      <c r="F284" s="2085"/>
      <c r="G284" s="2111"/>
      <c r="H284" s="2086" t="s">
        <v>1388</v>
      </c>
    </row>
    <row r="285" s="2075" customFormat="1" spans="1:8">
      <c r="A285" s="2092"/>
      <c r="B285" s="2092"/>
      <c r="C285" s="2092"/>
      <c r="D285" s="2085"/>
      <c r="E285" s="2111"/>
      <c r="F285" s="2085"/>
      <c r="G285" s="2111"/>
      <c r="H285" s="2086" t="s">
        <v>1388</v>
      </c>
    </row>
    <row r="286" s="2075" customFormat="1" spans="1:8">
      <c r="A286" s="2092"/>
      <c r="B286" s="2092"/>
      <c r="C286" s="2092"/>
      <c r="D286" s="2085"/>
      <c r="E286" s="2111"/>
      <c r="F286" s="2085"/>
      <c r="G286" s="2111"/>
      <c r="H286" s="2086" t="s">
        <v>1388</v>
      </c>
    </row>
    <row r="287" s="2075" customFormat="1" spans="1:8">
      <c r="A287" s="2092"/>
      <c r="B287" s="2092"/>
      <c r="C287" s="2092"/>
      <c r="D287" s="2085"/>
      <c r="E287" s="2111"/>
      <c r="F287" s="2085"/>
      <c r="G287" s="2111"/>
      <c r="H287" s="2086" t="s">
        <v>1388</v>
      </c>
    </row>
    <row r="288" s="2075" customFormat="1" spans="1:8">
      <c r="A288" s="2092"/>
      <c r="B288" s="2092"/>
      <c r="C288" s="2092"/>
      <c r="D288" s="2085"/>
      <c r="E288" s="2111"/>
      <c r="F288" s="2085"/>
      <c r="G288" s="2111"/>
      <c r="H288" s="2086" t="s">
        <v>1388</v>
      </c>
    </row>
    <row r="289" s="2075" customFormat="1" spans="1:8">
      <c r="A289" s="2092"/>
      <c r="B289" s="2092"/>
      <c r="C289" s="2092"/>
      <c r="D289" s="2085"/>
      <c r="E289" s="2111"/>
      <c r="F289" s="2085"/>
      <c r="G289" s="2111"/>
      <c r="H289" s="2086" t="s">
        <v>1388</v>
      </c>
    </row>
    <row r="290" s="2075" customFormat="1" spans="1:8">
      <c r="A290" s="2092"/>
      <c r="B290" s="2092"/>
      <c r="C290" s="2092"/>
      <c r="D290" s="2085"/>
      <c r="E290" s="2111"/>
      <c r="F290" s="2085"/>
      <c r="G290" s="2111"/>
      <c r="H290" s="2086" t="s">
        <v>1388</v>
      </c>
    </row>
    <row r="291" s="2075" customFormat="1" spans="1:8">
      <c r="A291" s="2092"/>
      <c r="B291" s="2092"/>
      <c r="C291" s="2092"/>
      <c r="D291" s="2085"/>
      <c r="E291" s="2111"/>
      <c r="F291" s="2085"/>
      <c r="G291" s="2111"/>
      <c r="H291" s="2086" t="s">
        <v>1388</v>
      </c>
    </row>
    <row r="292" s="2075" customFormat="1" spans="1:8">
      <c r="A292" s="2082" t="s">
        <v>384</v>
      </c>
      <c r="B292" s="2048"/>
      <c r="C292" s="2048"/>
      <c r="D292" s="2048">
        <f>ROUND(SUM(D282:D291),2)</f>
        <v>0</v>
      </c>
      <c r="E292" s="2111"/>
      <c r="F292" s="2048">
        <f>ROUND(SUM(F282:F291),2)</f>
        <v>0</v>
      </c>
      <c r="G292" s="2111"/>
      <c r="H292" s="2086" t="s">
        <v>1389</v>
      </c>
    </row>
    <row r="293" s="2075" customFormat="1" spans="1:8">
      <c r="A293" s="2080"/>
      <c r="B293" s="2080"/>
      <c r="C293" s="2080"/>
      <c r="D293" s="2080"/>
      <c r="E293" s="2080"/>
      <c r="F293" s="2080"/>
      <c r="G293" s="2080"/>
      <c r="H293" s="2086" t="s">
        <v>629</v>
      </c>
    </row>
  </sheetData>
  <mergeCells count="7">
    <mergeCell ref="A1:G1"/>
    <mergeCell ref="B4:D4"/>
    <mergeCell ref="E4:G4"/>
    <mergeCell ref="B11:D11"/>
    <mergeCell ref="E11:G11"/>
    <mergeCell ref="A4:A5"/>
    <mergeCell ref="A11:A12"/>
  </mergeCells>
  <pageMargins left="0.75" right="0.75" top="1" bottom="1" header="0.5" footer="0.5"/>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5"/>
  <sheetViews>
    <sheetView showGridLines="0" showZeros="0" workbookViewId="0">
      <pane xSplit="2" ySplit="5" topLeftCell="C6" activePane="bottomRight" state="frozen"/>
      <selection/>
      <selection pane="topRight"/>
      <selection pane="bottomLeft"/>
      <selection pane="bottomRight" activeCell="D7" sqref="D7"/>
    </sheetView>
  </sheetViews>
  <sheetFormatPr defaultColWidth="9" defaultRowHeight="12.75"/>
  <cols>
    <col min="1" max="1" width="21.875" style="2012" customWidth="1"/>
    <col min="2" max="2" width="4.5" style="2010" customWidth="1"/>
    <col min="3" max="3" width="10.75" style="2013" customWidth="1"/>
    <col min="4" max="8" width="10.875" style="2013" customWidth="1"/>
    <col min="9" max="16384" width="9" style="2012"/>
  </cols>
  <sheetData>
    <row r="1" ht="27.75" customHeight="1" spans="1:8">
      <c r="A1" s="1777" t="s">
        <v>1390</v>
      </c>
      <c r="B1" s="1777"/>
      <c r="C1" s="1777"/>
      <c r="D1" s="1777"/>
      <c r="E1" s="1777"/>
      <c r="F1" s="1777"/>
      <c r="G1" s="1777"/>
      <c r="H1" s="1777"/>
    </row>
    <row r="2" ht="15" customHeight="1" spans="1:9">
      <c r="A2" s="1879" t="str">
        <f>IF(OR(C2&lt;&gt;0,D2&lt;&gt;0,F2&lt;&gt;0,G2&lt;&gt;0),"对应期间报表数不平，相差：","")</f>
        <v>对应期间报表数不平，相差：</v>
      </c>
      <c r="B2" s="1879"/>
      <c r="C2" s="1779">
        <f>ROUND(C48-C96,2)</f>
        <v>0</v>
      </c>
      <c r="D2" s="1779"/>
      <c r="E2" s="1779"/>
      <c r="F2" s="1779">
        <f>ROUND(F48-F96,2)</f>
        <v>60811434.3</v>
      </c>
      <c r="G2" s="1779"/>
      <c r="H2" s="1779"/>
      <c r="I2" s="2030"/>
    </row>
    <row r="3" ht="15" customHeight="1" spans="1:9">
      <c r="A3" s="2016" t="str">
        <f>"编制单位："&amp;参数表!C3</f>
        <v>编制单位：石嘴山市深阳蓝光市政工程有限公司</v>
      </c>
      <c r="B3" s="2017"/>
      <c r="C3" s="1811"/>
      <c r="D3" s="2057"/>
      <c r="E3" s="2058">
        <f>参数表!G7</f>
        <v>42735</v>
      </c>
      <c r="F3" s="1880"/>
      <c r="G3" s="1881"/>
      <c r="H3" s="1811" t="s">
        <v>1391</v>
      </c>
      <c r="I3" s="2030"/>
    </row>
    <row r="4" s="2009" customFormat="1" ht="14.25" customHeight="1" spans="1:9">
      <c r="A4" s="1885" t="s">
        <v>191</v>
      </c>
      <c r="B4" s="1886" t="s">
        <v>61</v>
      </c>
      <c r="C4" s="1887" t="str">
        <f>未审资负表!C4</f>
        <v>年末余额</v>
      </c>
      <c r="D4" s="1887"/>
      <c r="E4" s="1887"/>
      <c r="F4" s="1887" t="str">
        <f>未审资负表!D4</f>
        <v>年初余额</v>
      </c>
      <c r="G4" s="1887"/>
      <c r="H4" s="1888"/>
      <c r="I4" s="2030"/>
    </row>
    <row r="5" s="2009" customFormat="1" ht="14.25" customHeight="1" spans="1:9">
      <c r="A5" s="1889"/>
      <c r="B5" s="1890"/>
      <c r="C5" s="1891" t="s">
        <v>1392</v>
      </c>
      <c r="D5" s="1891" t="s">
        <v>1393</v>
      </c>
      <c r="E5" s="1891" t="s">
        <v>1394</v>
      </c>
      <c r="F5" s="1891" t="s">
        <v>1392</v>
      </c>
      <c r="G5" s="1891" t="s">
        <v>1393</v>
      </c>
      <c r="H5" s="1892" t="s">
        <v>1394</v>
      </c>
      <c r="I5" s="2030"/>
    </row>
    <row r="6" s="2010" customFormat="1" ht="14.25" customHeight="1" spans="1:9">
      <c r="A6" s="1893" t="s">
        <v>193</v>
      </c>
      <c r="B6" s="2059"/>
      <c r="C6" s="2022"/>
      <c r="D6" s="1895"/>
      <c r="E6" s="1896"/>
      <c r="F6" s="1895"/>
      <c r="G6" s="1896"/>
      <c r="H6" s="1903"/>
      <c r="I6" s="2034"/>
    </row>
    <row r="7" s="2010" customFormat="1" ht="14.25" customHeight="1" spans="1:8">
      <c r="A7" s="1900" t="s">
        <v>195</v>
      </c>
      <c r="B7" s="2060"/>
      <c r="C7" s="1896">
        <f>ROUND(未审资负表!C7,2)</f>
        <v>0</v>
      </c>
      <c r="D7" s="1896">
        <f>未审附注之流动资产!D24</f>
        <v>0</v>
      </c>
      <c r="E7" s="1896">
        <f t="shared" ref="E7:E18" si="0">IF(D7="",0,ROUND(D7-C7,2))</f>
        <v>0</v>
      </c>
      <c r="F7" s="1896">
        <f>ROUND(未审资负表!D7,2)</f>
        <v>0</v>
      </c>
      <c r="G7" s="1896">
        <f>未审附注之流动资产!G24</f>
        <v>0</v>
      </c>
      <c r="H7" s="1903">
        <f>IF(G7="",0,ROUND(G7-F7,2))</f>
        <v>0</v>
      </c>
    </row>
    <row r="8" s="2010" customFormat="1" ht="14.25" customHeight="1" spans="1:8">
      <c r="A8" s="1900" t="s">
        <v>1395</v>
      </c>
      <c r="B8" s="2060"/>
      <c r="C8" s="1896">
        <f>ROUND(未审资负表!C8,2)</f>
        <v>0</v>
      </c>
      <c r="D8" s="1896">
        <f>未审附注之流动资产!B77</f>
        <v>0</v>
      </c>
      <c r="E8" s="1896">
        <f t="shared" si="0"/>
        <v>0</v>
      </c>
      <c r="F8" s="1896">
        <f>ROUND(未审资负表!C8,2)</f>
        <v>0</v>
      </c>
      <c r="G8" s="1896">
        <f>未审附注之流动资产!C77</f>
        <v>0</v>
      </c>
      <c r="H8" s="1903">
        <f t="shared" ref="H8:H18" si="1">IF(G8="",0,ROUND(G8-F8,2))</f>
        <v>0</v>
      </c>
    </row>
    <row r="9" s="2010" customFormat="1" ht="14.25" customHeight="1" spans="1:8">
      <c r="A9" s="1900" t="s">
        <v>199</v>
      </c>
      <c r="B9" s="2060"/>
      <c r="C9" s="1896">
        <f>ROUND(未审资负表!C9,2)</f>
        <v>0</v>
      </c>
      <c r="D9" s="1896">
        <f>未审附注之流动资产!B99</f>
        <v>0</v>
      </c>
      <c r="E9" s="1896">
        <f t="shared" si="0"/>
        <v>0</v>
      </c>
      <c r="F9" s="1896">
        <f>ROUND(未审资负表!C9,2)</f>
        <v>0</v>
      </c>
      <c r="G9" s="1896">
        <f>未审附注之流动资产!C99</f>
        <v>0</v>
      </c>
      <c r="H9" s="1903">
        <f t="shared" si="1"/>
        <v>0</v>
      </c>
    </row>
    <row r="10" s="2010" customFormat="1" ht="14.25" customHeight="1" spans="1:8">
      <c r="A10" s="1900" t="s">
        <v>201</v>
      </c>
      <c r="B10" s="2060"/>
      <c r="C10" s="1896">
        <f>ROUND(未审资负表!C10,2)</f>
        <v>0</v>
      </c>
      <c r="D10" s="1896">
        <f>未审附注之流动资产!B244-未审附注之流动资产!D244</f>
        <v>0</v>
      </c>
      <c r="E10" s="1896">
        <f t="shared" si="0"/>
        <v>0</v>
      </c>
      <c r="F10" s="1896">
        <f>ROUND(未审资负表!C10,2)</f>
        <v>0</v>
      </c>
      <c r="G10" s="1896">
        <f>未审附注之流动资产!F244-未审附注之流动资产!H244</f>
        <v>0</v>
      </c>
      <c r="H10" s="1903">
        <f t="shared" si="1"/>
        <v>0</v>
      </c>
    </row>
    <row r="11" s="2010" customFormat="1" ht="14.25" customHeight="1" spans="1:8">
      <c r="A11" s="1900" t="s">
        <v>203</v>
      </c>
      <c r="B11" s="2060"/>
      <c r="C11" s="1896">
        <f>ROUND(未审资负表!C11,2)</f>
        <v>0</v>
      </c>
      <c r="D11" s="1896">
        <f>未审附注之流动资产!B526</f>
        <v>0</v>
      </c>
      <c r="E11" s="1896">
        <f t="shared" si="0"/>
        <v>0</v>
      </c>
      <c r="F11" s="1896">
        <f>ROUND(未审资负表!C11,2)</f>
        <v>0</v>
      </c>
      <c r="G11" s="1896">
        <f>未审附注之流动资产!D526</f>
        <v>0</v>
      </c>
      <c r="H11" s="1903">
        <f t="shared" si="1"/>
        <v>0</v>
      </c>
    </row>
    <row r="12" s="2010" customFormat="1" ht="14.25" customHeight="1" spans="1:8">
      <c r="A12" s="1900" t="s">
        <v>205</v>
      </c>
      <c r="B12" s="2060"/>
      <c r="C12" s="1896">
        <f>ROUND(未审资负表!C12,2)</f>
        <v>0</v>
      </c>
      <c r="D12" s="1896">
        <f>未审附注之流动资产!B231</f>
        <v>0</v>
      </c>
      <c r="E12" s="1896">
        <f t="shared" si="0"/>
        <v>0</v>
      </c>
      <c r="F12" s="1896">
        <f>ROUND(未审资负表!C12,2)</f>
        <v>0</v>
      </c>
      <c r="G12" s="1896">
        <f>未审附注之流动资产!C231</f>
        <v>0</v>
      </c>
      <c r="H12" s="1903">
        <f t="shared" si="1"/>
        <v>0</v>
      </c>
    </row>
    <row r="13" s="2010" customFormat="1" ht="14.25" customHeight="1" spans="1:8">
      <c r="A13" s="1900" t="s">
        <v>207</v>
      </c>
      <c r="B13" s="2060"/>
      <c r="C13" s="1896">
        <f>ROUND(未审资负表!C13,2)</f>
        <v>0</v>
      </c>
      <c r="D13" s="1896">
        <f>未审附注之流动资产!B200</f>
        <v>0</v>
      </c>
      <c r="E13" s="1896">
        <f t="shared" si="0"/>
        <v>0</v>
      </c>
      <c r="F13" s="1896">
        <f>ROUND(未审资负表!C13,2)</f>
        <v>0</v>
      </c>
      <c r="G13" s="1896">
        <f>未审附注之流动资产!C200</f>
        <v>0</v>
      </c>
      <c r="H13" s="1903">
        <f t="shared" si="1"/>
        <v>0</v>
      </c>
    </row>
    <row r="14" s="2010" customFormat="1" ht="14.25" customHeight="1" spans="1:8">
      <c r="A14" s="1900" t="s">
        <v>209</v>
      </c>
      <c r="B14" s="2060"/>
      <c r="C14" s="1896">
        <f>ROUND(未审资负表!C14,2)</f>
        <v>0</v>
      </c>
      <c r="D14" s="1896">
        <f>未审附注之流动资产!B386-未审附注之流动资产!D386</f>
        <v>0</v>
      </c>
      <c r="E14" s="1896">
        <f t="shared" si="0"/>
        <v>0</v>
      </c>
      <c r="F14" s="1896">
        <f>ROUND(未审资负表!C14,2)</f>
        <v>0</v>
      </c>
      <c r="G14" s="1896">
        <f>未审附注之流动资产!F386-未审附注之流动资产!H386</f>
        <v>0</v>
      </c>
      <c r="H14" s="1903">
        <f t="shared" si="1"/>
        <v>0</v>
      </c>
    </row>
    <row r="15" s="2010" customFormat="1" ht="14.25" customHeight="1" spans="1:8">
      <c r="A15" s="1900" t="s">
        <v>211</v>
      </c>
      <c r="B15" s="2060"/>
      <c r="C15" s="1896">
        <f>ROUND(未审资负表!C15,2)</f>
        <v>60811434.3</v>
      </c>
      <c r="D15" s="1896">
        <f>未审附注之流动资产!F604-未审附注之流动资产!F620</f>
        <v>0</v>
      </c>
      <c r="E15" s="1896">
        <f t="shared" si="0"/>
        <v>-60811434.3</v>
      </c>
      <c r="F15" s="1896">
        <f>ROUND(未审资负表!C15,2)</f>
        <v>60811434.3</v>
      </c>
      <c r="G15" s="1896">
        <f>未审附注之流动资产!B604-未审附注之流动资产!B620</f>
        <v>0</v>
      </c>
      <c r="H15" s="1903">
        <f t="shared" si="1"/>
        <v>-60811434.3</v>
      </c>
    </row>
    <row r="16" s="2010" customFormat="1" ht="14.25" customHeight="1" spans="1:8">
      <c r="A16" s="1900" t="s">
        <v>213</v>
      </c>
      <c r="B16" s="2060"/>
      <c r="C16" s="1896">
        <f>ROUND(未审资负表!C16,2)</f>
        <v>0</v>
      </c>
      <c r="D16" s="1896"/>
      <c r="E16" s="1896">
        <f t="shared" si="0"/>
        <v>0</v>
      </c>
      <c r="F16" s="1896">
        <f>ROUND(未审资负表!C16,2)</f>
        <v>0</v>
      </c>
      <c r="G16" s="1896"/>
      <c r="H16" s="1903">
        <f t="shared" si="1"/>
        <v>0</v>
      </c>
    </row>
    <row r="17" s="2010" customFormat="1" ht="14.25" customHeight="1" spans="1:8">
      <c r="A17" s="1900" t="s">
        <v>215</v>
      </c>
      <c r="B17" s="2060"/>
      <c r="C17" s="1896">
        <f>ROUND(未审资负表!C17,2)</f>
        <v>0</v>
      </c>
      <c r="D17" s="1896">
        <f>未审附注之流动资产!B635</f>
        <v>0</v>
      </c>
      <c r="E17" s="1896">
        <f t="shared" si="0"/>
        <v>0</v>
      </c>
      <c r="F17" s="1896">
        <f>ROUND(未审资负表!C17,2)</f>
        <v>0</v>
      </c>
      <c r="G17" s="1896">
        <f>未审附注之流动资产!C635</f>
        <v>0</v>
      </c>
      <c r="H17" s="1903">
        <f t="shared" si="1"/>
        <v>0</v>
      </c>
    </row>
    <row r="18" s="2010" customFormat="1" ht="14.25" customHeight="1" spans="1:8">
      <c r="A18" s="1900" t="str">
        <f>IF(未审资负表!A18="","",未审资负表!A18)</f>
        <v>持有待售资产</v>
      </c>
      <c r="B18" s="2060"/>
      <c r="C18" s="1896">
        <f>ROUND(未审资负表!C18,2)</f>
        <v>0</v>
      </c>
      <c r="D18" s="1896"/>
      <c r="E18" s="1896">
        <f t="shared" si="0"/>
        <v>0</v>
      </c>
      <c r="F18" s="1896">
        <f>ROUND(未审资负表!C18,2)</f>
        <v>0</v>
      </c>
      <c r="G18" s="1896"/>
      <c r="H18" s="1903">
        <f t="shared" si="1"/>
        <v>0</v>
      </c>
    </row>
    <row r="19" s="2010" customFormat="1" ht="14.25" customHeight="1" spans="1:8">
      <c r="A19" s="1905" t="s">
        <v>219</v>
      </c>
      <c r="B19" s="1906"/>
      <c r="C19" s="2023">
        <f>ROUND(SUM(C7:C18),2)</f>
        <v>60811434.3</v>
      </c>
      <c r="D19" s="2023"/>
      <c r="E19" s="2023"/>
      <c r="F19" s="2023">
        <f>ROUND(SUM(F7:F18),2)</f>
        <v>60811434.3</v>
      </c>
      <c r="G19" s="2023"/>
      <c r="H19" s="2036"/>
    </row>
    <row r="20" s="2010" customFormat="1" ht="14.25" customHeight="1" spans="1:8">
      <c r="A20" s="1907"/>
      <c r="B20" s="2060"/>
      <c r="C20" s="1896"/>
      <c r="D20" s="1896"/>
      <c r="E20" s="1896"/>
      <c r="F20" s="1896"/>
      <c r="G20" s="1896"/>
      <c r="H20" s="1903"/>
    </row>
    <row r="21" s="2010" customFormat="1" ht="14.25" customHeight="1" spans="1:8">
      <c r="A21" s="1893" t="s">
        <v>222</v>
      </c>
      <c r="B21" s="2059"/>
      <c r="C21" s="1896"/>
      <c r="D21" s="1896"/>
      <c r="E21" s="1896"/>
      <c r="F21" s="1896"/>
      <c r="G21" s="1896"/>
      <c r="H21" s="1903"/>
    </row>
    <row r="22" s="2010" customFormat="1" ht="14.25" customHeight="1" spans="1:8">
      <c r="A22" s="1900" t="s">
        <v>223</v>
      </c>
      <c r="B22" s="2060"/>
      <c r="C22" s="1896">
        <f>ROUND(未审资负表!C22,2)</f>
        <v>0</v>
      </c>
      <c r="D22" s="1896">
        <f>未审附注之非流动资产!B9</f>
        <v>0</v>
      </c>
      <c r="E22" s="1896">
        <f t="shared" ref="E22:E39" si="2">IF(D22="",0,ROUND(D22-C22,2))</f>
        <v>0</v>
      </c>
      <c r="F22" s="1896">
        <f>ROUND(未审资负表!C22,2)</f>
        <v>0</v>
      </c>
      <c r="G22" s="1896">
        <f>未审附注之非流动资产!E9</f>
        <v>0</v>
      </c>
      <c r="H22" s="1903">
        <f t="shared" ref="H22:H39" si="3">IF(G22="",0,ROUND(G22-F22,2))</f>
        <v>0</v>
      </c>
    </row>
    <row r="23" s="2010" customFormat="1" ht="14.25" customHeight="1" spans="1:8">
      <c r="A23" s="1900" t="s">
        <v>225</v>
      </c>
      <c r="B23" s="2060"/>
      <c r="C23" s="1896">
        <f>ROUND(未审资负表!C23,2)</f>
        <v>0</v>
      </c>
      <c r="D23" s="1896">
        <f>未审附注之非流动资产!B39</f>
        <v>0</v>
      </c>
      <c r="E23" s="1896">
        <f t="shared" si="2"/>
        <v>0</v>
      </c>
      <c r="F23" s="1896">
        <f>ROUND(未审资负表!C23,2)</f>
        <v>0</v>
      </c>
      <c r="G23" s="1896">
        <f>未审附注之非流动资产!C39</f>
        <v>0</v>
      </c>
      <c r="H23" s="1903">
        <f t="shared" si="3"/>
        <v>0</v>
      </c>
    </row>
    <row r="24" s="2010" customFormat="1" ht="14.25" customHeight="1" spans="1:8">
      <c r="A24" s="1900" t="s">
        <v>227</v>
      </c>
      <c r="B24" s="2060"/>
      <c r="C24" s="1896">
        <f>ROUND(未审资负表!C24,2)</f>
        <v>0</v>
      </c>
      <c r="D24" s="1896">
        <f>未审附注之非流动资产!B62</f>
        <v>0</v>
      </c>
      <c r="E24" s="1896">
        <f t="shared" si="2"/>
        <v>0</v>
      </c>
      <c r="F24" s="1896">
        <f>ROUND(未审资负表!C24,2)</f>
        <v>0</v>
      </c>
      <c r="G24" s="1896">
        <f>未审附注之非流动资产!C62</f>
        <v>0</v>
      </c>
      <c r="H24" s="1903">
        <f t="shared" si="3"/>
        <v>0</v>
      </c>
    </row>
    <row r="25" s="2010" customFormat="1" ht="14.25" customHeight="1" spans="1:8">
      <c r="A25" s="1900" t="s">
        <v>229</v>
      </c>
      <c r="B25" s="2060"/>
      <c r="C25" s="1896">
        <f>ROUND(未审资负表!C25,2)</f>
        <v>0</v>
      </c>
      <c r="D25" s="1896">
        <f>未审附注之非流动资产!F94-未审附注之非流动资产!F124</f>
        <v>0</v>
      </c>
      <c r="E25" s="1896">
        <f t="shared" si="2"/>
        <v>0</v>
      </c>
      <c r="F25" s="1896">
        <f>ROUND(未审资负表!C25,2)</f>
        <v>0</v>
      </c>
      <c r="G25" s="1896">
        <f>未审附注之非流动资产!C94-未审附注之非流动资产!C124</f>
        <v>0</v>
      </c>
      <c r="H25" s="1903">
        <f t="shared" si="3"/>
        <v>0</v>
      </c>
    </row>
    <row r="26" s="2010" customFormat="1" ht="14.25" customHeight="1" spans="1:8">
      <c r="A26" s="1900" t="s">
        <v>231</v>
      </c>
      <c r="B26" s="2060"/>
      <c r="C26" s="1896">
        <f>ROUND(未审资负表!C26,2)</f>
        <v>0</v>
      </c>
      <c r="D26" s="1896">
        <f>未审附注之非流动资产!E199+未审附注之非流动资产!E217</f>
        <v>0</v>
      </c>
      <c r="E26" s="1896">
        <f t="shared" si="2"/>
        <v>0</v>
      </c>
      <c r="F26" s="1896">
        <f>ROUND(未审资负表!C26,2)</f>
        <v>0</v>
      </c>
      <c r="G26" s="1896">
        <f>未审附注之非流动资产!B199+未审附注之非流动资产!B217</f>
        <v>0</v>
      </c>
      <c r="H26" s="1903">
        <f t="shared" si="3"/>
        <v>0</v>
      </c>
    </row>
    <row r="27" s="2010" customFormat="1" ht="14.25" customHeight="1" spans="1:8">
      <c r="A27" s="1900" t="s">
        <v>233</v>
      </c>
      <c r="B27" s="2060"/>
      <c r="C27" s="1896">
        <f>ROUND(未审资负表!C27,2)</f>
        <v>0</v>
      </c>
      <c r="D27" s="1896">
        <f>未审附注之非流动资产!E257</f>
        <v>0</v>
      </c>
      <c r="E27" s="1896">
        <f t="shared" si="2"/>
        <v>0</v>
      </c>
      <c r="F27" s="1896">
        <f>ROUND(未审资负表!C27,2)</f>
        <v>0</v>
      </c>
      <c r="G27" s="1896">
        <f>未审附注之非流动资产!B257</f>
        <v>0</v>
      </c>
      <c r="H27" s="1903">
        <f t="shared" si="3"/>
        <v>0</v>
      </c>
    </row>
    <row r="28" s="2010" customFormat="1" ht="14.25" customHeight="1" spans="1:8">
      <c r="A28" s="1900" t="s">
        <v>235</v>
      </c>
      <c r="B28" s="2060"/>
      <c r="C28" s="1896">
        <f>ROUND(未审资负表!C28,2)</f>
        <v>0</v>
      </c>
      <c r="D28" s="1896">
        <f>未审附注之非流动资产!G331-未审附注之非流动资产!F359</f>
        <v>0</v>
      </c>
      <c r="E28" s="1896">
        <f t="shared" si="2"/>
        <v>0</v>
      </c>
      <c r="F28" s="1896">
        <f>ROUND(未审资负表!C28,2)</f>
        <v>0</v>
      </c>
      <c r="G28" s="1896">
        <f>未审附注之非流动资产!C331-未审附注之非流动资产!B359</f>
        <v>0</v>
      </c>
      <c r="H28" s="1903">
        <f t="shared" si="3"/>
        <v>0</v>
      </c>
    </row>
    <row r="29" s="2010" customFormat="1" ht="14.25" customHeight="1" spans="1:8">
      <c r="A29" s="1900" t="s">
        <v>237</v>
      </c>
      <c r="B29" s="2060"/>
      <c r="C29" s="1896">
        <f>ROUND(未审资负表!C29,2)</f>
        <v>0</v>
      </c>
      <c r="D29" s="1896">
        <f>未审附注之非流动资产!B374</f>
        <v>0</v>
      </c>
      <c r="E29" s="1896">
        <f t="shared" si="2"/>
        <v>0</v>
      </c>
      <c r="F29" s="1896">
        <f>ROUND(未审资负表!C29,2)</f>
        <v>0</v>
      </c>
      <c r="G29" s="1896">
        <f>未审附注之非流动资产!C374</f>
        <v>0</v>
      </c>
      <c r="H29" s="1903">
        <f t="shared" si="3"/>
        <v>0</v>
      </c>
    </row>
    <row r="30" s="2010" customFormat="1" ht="14.25" customHeight="1" spans="1:8">
      <c r="A30" s="1900" t="s">
        <v>239</v>
      </c>
      <c r="B30" s="2060"/>
      <c r="C30" s="1896">
        <f>ROUND(未审资负表!C30,2)</f>
        <v>0</v>
      </c>
      <c r="D30" s="1896">
        <f>未审附注之非流动资产!B389</f>
        <v>0</v>
      </c>
      <c r="E30" s="1896">
        <f t="shared" si="2"/>
        <v>0</v>
      </c>
      <c r="F30" s="1896">
        <f>ROUND(未审资负表!C30,2)</f>
        <v>0</v>
      </c>
      <c r="G30" s="1896">
        <f>未审附注之非流动资产!C389</f>
        <v>0</v>
      </c>
      <c r="H30" s="1903">
        <f t="shared" si="3"/>
        <v>0</v>
      </c>
    </row>
    <row r="31" s="2010" customFormat="1" ht="14.25" customHeight="1" spans="1:8">
      <c r="A31" s="1900" t="s">
        <v>241</v>
      </c>
      <c r="B31" s="2060"/>
      <c r="C31" s="1896">
        <f>ROUND(未审资负表!C31,2)</f>
        <v>0</v>
      </c>
      <c r="D31" s="1896">
        <f>未审附注之非流动资产!E447</f>
        <v>0</v>
      </c>
      <c r="E31" s="1896">
        <f t="shared" si="2"/>
        <v>0</v>
      </c>
      <c r="F31" s="1896">
        <f>ROUND(未审资负表!C31,2)</f>
        <v>0</v>
      </c>
      <c r="G31" s="1896">
        <f>未审附注之非流动资产!B447</f>
        <v>0</v>
      </c>
      <c r="H31" s="1903">
        <f t="shared" si="3"/>
        <v>0</v>
      </c>
    </row>
    <row r="32" s="2010" customFormat="1" ht="14.25" customHeight="1" spans="1:8">
      <c r="A32" s="1900" t="s">
        <v>243</v>
      </c>
      <c r="B32" s="2060"/>
      <c r="C32" s="1896">
        <f>ROUND(未审资负表!C32,2)</f>
        <v>0</v>
      </c>
      <c r="D32" s="1896">
        <f>未审附注之非流动资产!E516</f>
        <v>0</v>
      </c>
      <c r="E32" s="1896">
        <f t="shared" si="2"/>
        <v>0</v>
      </c>
      <c r="F32" s="1896">
        <f>ROUND(未审资负表!C32,2)</f>
        <v>0</v>
      </c>
      <c r="G32" s="1896">
        <f>未审附注之非流动资产!B516</f>
        <v>0</v>
      </c>
      <c r="H32" s="1903">
        <f t="shared" si="3"/>
        <v>0</v>
      </c>
    </row>
    <row r="33" s="2010" customFormat="1" ht="14.25" customHeight="1" spans="1:8">
      <c r="A33" s="1900" t="s">
        <v>244</v>
      </c>
      <c r="B33" s="2060"/>
      <c r="C33" s="1896">
        <f>ROUND(未审资负表!C33,2)</f>
        <v>0</v>
      </c>
      <c r="D33" s="1896">
        <f>未审附注之非流动资产!E561</f>
        <v>0</v>
      </c>
      <c r="E33" s="1896">
        <f t="shared" si="2"/>
        <v>0</v>
      </c>
      <c r="F33" s="1896">
        <f>ROUND(未审资负表!C33,2)</f>
        <v>0</v>
      </c>
      <c r="G33" s="1896">
        <f>未审附注之非流动资产!B561</f>
        <v>0</v>
      </c>
      <c r="H33" s="1903">
        <f t="shared" si="3"/>
        <v>0</v>
      </c>
    </row>
    <row r="34" s="2010" customFormat="1" ht="14.25" customHeight="1" spans="1:8">
      <c r="A34" s="1900" t="s">
        <v>246</v>
      </c>
      <c r="B34" s="2060"/>
      <c r="C34" s="1896">
        <f>ROUND(未审资负表!C34,2)</f>
        <v>0</v>
      </c>
      <c r="D34" s="1896"/>
      <c r="E34" s="1896">
        <f t="shared" si="2"/>
        <v>0</v>
      </c>
      <c r="F34" s="1896">
        <f>ROUND(未审资负表!C34,2)</f>
        <v>0</v>
      </c>
      <c r="G34" s="1896"/>
      <c r="H34" s="1903">
        <f t="shared" si="3"/>
        <v>0</v>
      </c>
    </row>
    <row r="35" s="2010" customFormat="1" ht="14.25" customHeight="1" spans="1:8">
      <c r="A35" s="1900" t="s">
        <v>247</v>
      </c>
      <c r="B35" s="2060"/>
      <c r="C35" s="1896">
        <f>ROUND(未审资负表!C35,2)</f>
        <v>0</v>
      </c>
      <c r="D35" s="1896">
        <f>未审附注之非流动资产!E614</f>
        <v>0</v>
      </c>
      <c r="E35" s="1896">
        <f t="shared" si="2"/>
        <v>0</v>
      </c>
      <c r="F35" s="1896">
        <f>ROUND(未审资负表!C35,2)</f>
        <v>0</v>
      </c>
      <c r="G35" s="1896">
        <f>未审附注之非流动资产!B614</f>
        <v>0</v>
      </c>
      <c r="H35" s="1903">
        <f t="shared" si="3"/>
        <v>0</v>
      </c>
    </row>
    <row r="36" s="2010" customFormat="1" ht="14.25" customHeight="1" spans="1:8">
      <c r="A36" s="1900" t="s">
        <v>249</v>
      </c>
      <c r="B36" s="2060"/>
      <c r="C36" s="1896">
        <f>ROUND(未审资负表!C36,2)</f>
        <v>0</v>
      </c>
      <c r="D36" s="1896">
        <f>未审附注之非流动资产!F629</f>
        <v>0</v>
      </c>
      <c r="E36" s="1896">
        <f t="shared" si="2"/>
        <v>0</v>
      </c>
      <c r="F36" s="1896">
        <f>ROUND(未审资负表!C36,2)</f>
        <v>0</v>
      </c>
      <c r="G36" s="1896">
        <f>未审附注之非流动资产!C629</f>
        <v>0</v>
      </c>
      <c r="H36" s="1903">
        <f t="shared" si="3"/>
        <v>0</v>
      </c>
    </row>
    <row r="37" s="2010" customFormat="1" ht="14.25" customHeight="1" spans="1:8">
      <c r="A37" s="1900" t="s">
        <v>251</v>
      </c>
      <c r="B37" s="2060"/>
      <c r="C37" s="1896">
        <f>ROUND(未审资负表!C37,2)</f>
        <v>0</v>
      </c>
      <c r="D37" s="1896">
        <f>未审附注之非流动资产!B660</f>
        <v>0</v>
      </c>
      <c r="E37" s="1896">
        <f t="shared" si="2"/>
        <v>0</v>
      </c>
      <c r="F37" s="1896">
        <f>ROUND(未审资负表!C37,2)</f>
        <v>0</v>
      </c>
      <c r="G37" s="1896">
        <f>未审附注之非流动资产!C660</f>
        <v>0</v>
      </c>
      <c r="H37" s="1903">
        <f t="shared" si="3"/>
        <v>0</v>
      </c>
    </row>
    <row r="38" s="2010" customFormat="1" ht="14.25" customHeight="1" spans="1:8">
      <c r="A38" s="1900" t="s">
        <v>253</v>
      </c>
      <c r="B38" s="2060"/>
      <c r="C38" s="1896">
        <f>ROUND(未审资负表!C38,2)</f>
        <v>0</v>
      </c>
      <c r="D38" s="1896">
        <f>未审附注之非流动资产!B644</f>
        <v>0</v>
      </c>
      <c r="E38" s="1896">
        <f t="shared" si="2"/>
        <v>0</v>
      </c>
      <c r="F38" s="1896">
        <f>ROUND(未审资负表!C38,2)</f>
        <v>0</v>
      </c>
      <c r="G38" s="1896">
        <f>未审附注之非流动资产!C644</f>
        <v>0</v>
      </c>
      <c r="H38" s="1903">
        <f t="shared" si="3"/>
        <v>0</v>
      </c>
    </row>
    <row r="39" s="2010" customFormat="1" ht="14.25" customHeight="1" spans="1:8">
      <c r="A39" s="1900" t="str">
        <f>IF(未审资负表!A39="","",未审资负表!A39)</f>
        <v/>
      </c>
      <c r="B39" s="2060"/>
      <c r="C39" s="1896">
        <f>ROUND(未审资负表!C39,2)</f>
        <v>0</v>
      </c>
      <c r="D39" s="1896"/>
      <c r="E39" s="1896">
        <f t="shared" si="2"/>
        <v>0</v>
      </c>
      <c r="F39" s="1896">
        <f>ROUND(未审资负表!C39,2)</f>
        <v>0</v>
      </c>
      <c r="G39" s="1896"/>
      <c r="H39" s="1903">
        <f t="shared" si="3"/>
        <v>0</v>
      </c>
    </row>
    <row r="40" s="2010" customFormat="1" ht="14.25" customHeight="1" spans="1:8">
      <c r="A40" s="1905" t="s">
        <v>256</v>
      </c>
      <c r="B40" s="2060"/>
      <c r="C40" s="2023">
        <f>ROUND(SUM(C22:C39),2)</f>
        <v>0</v>
      </c>
      <c r="D40" s="2023"/>
      <c r="E40" s="2023"/>
      <c r="F40" s="2023">
        <f>ROUND(SUM(F22:F39),2)</f>
        <v>0</v>
      </c>
      <c r="G40" s="2023"/>
      <c r="H40" s="2036"/>
    </row>
    <row r="41" s="2010" customFormat="1" ht="14.25" customHeight="1" spans="1:8">
      <c r="A41" s="1917"/>
      <c r="B41" s="2060"/>
      <c r="C41" s="1896"/>
      <c r="D41" s="1896"/>
      <c r="E41" s="1896"/>
      <c r="F41" s="1896"/>
      <c r="G41" s="1896"/>
      <c r="H41" s="1903"/>
    </row>
    <row r="42" s="2010" customFormat="1" ht="14.25" customHeight="1" spans="1:8">
      <c r="A42" s="1917"/>
      <c r="B42" s="2060"/>
      <c r="C42" s="1896"/>
      <c r="D42" s="1896"/>
      <c r="E42" s="1896"/>
      <c r="F42" s="1896"/>
      <c r="G42" s="1896"/>
      <c r="H42" s="1903"/>
    </row>
    <row r="43" s="2010" customFormat="1" ht="14.25" customHeight="1" spans="1:8">
      <c r="A43" s="1917"/>
      <c r="B43" s="1906"/>
      <c r="C43" s="1896"/>
      <c r="D43" s="1896"/>
      <c r="E43" s="1896"/>
      <c r="F43" s="1896"/>
      <c r="G43" s="1896"/>
      <c r="H43" s="1903"/>
    </row>
    <row r="44" s="2010" customFormat="1" ht="14.25" customHeight="1" spans="1:8">
      <c r="A44" s="1917"/>
      <c r="B44" s="2060"/>
      <c r="C44" s="1896"/>
      <c r="D44" s="1896"/>
      <c r="E44" s="1896"/>
      <c r="F44" s="1896"/>
      <c r="G44" s="1896"/>
      <c r="H44" s="1903"/>
    </row>
    <row r="45" ht="14.25" customHeight="1" spans="1:8">
      <c r="A45" s="1917"/>
      <c r="B45" s="2060"/>
      <c r="C45" s="1896"/>
      <c r="D45" s="1896"/>
      <c r="E45" s="1896"/>
      <c r="F45" s="1896"/>
      <c r="G45" s="1896"/>
      <c r="H45" s="1903"/>
    </row>
    <row r="46" ht="14.25" customHeight="1" spans="1:8">
      <c r="A46" s="1917"/>
      <c r="B46" s="2060"/>
      <c r="C46" s="1896"/>
      <c r="D46" s="1896"/>
      <c r="E46" s="1896"/>
      <c r="F46" s="1896"/>
      <c r="G46" s="1896"/>
      <c r="H46" s="1903"/>
    </row>
    <row r="47" ht="14.25" customHeight="1" spans="1:8">
      <c r="A47" s="1917"/>
      <c r="B47" s="2060"/>
      <c r="C47" s="1896"/>
      <c r="D47" s="1896"/>
      <c r="E47" s="1896"/>
      <c r="F47" s="1896"/>
      <c r="G47" s="1896"/>
      <c r="H47" s="1903"/>
    </row>
    <row r="48" ht="14.25" customHeight="1" spans="1:8">
      <c r="A48" s="1921" t="s">
        <v>263</v>
      </c>
      <c r="B48" s="1922"/>
      <c r="C48" s="2024">
        <f>ROUND(C19+C40,2)</f>
        <v>60811434.3</v>
      </c>
      <c r="D48" s="2024"/>
      <c r="E48" s="2024"/>
      <c r="F48" s="2024">
        <f>ROUND(F19+F40,2)</f>
        <v>60811434.3</v>
      </c>
      <c r="G48" s="2024"/>
      <c r="H48" s="2061"/>
    </row>
    <row r="49" ht="27.75" customHeight="1" spans="1:8">
      <c r="A49" s="2062" t="s">
        <v>1396</v>
      </c>
      <c r="B49" s="2062"/>
      <c r="C49" s="2062"/>
      <c r="D49" s="2062"/>
      <c r="E49" s="2062"/>
      <c r="F49" s="2062"/>
      <c r="G49" s="2062"/>
      <c r="H49" s="2062"/>
    </row>
    <row r="50" ht="15" customHeight="1" spans="1:9">
      <c r="A50" s="1879"/>
      <c r="B50" s="1879"/>
      <c r="C50" s="1779"/>
      <c r="D50" s="1779"/>
      <c r="E50" s="1779"/>
      <c r="F50" s="1880"/>
      <c r="G50" s="1881"/>
      <c r="H50" s="1779"/>
      <c r="I50" s="2030"/>
    </row>
    <row r="51" ht="15" customHeight="1" spans="1:9">
      <c r="A51" s="2016" t="str">
        <f>"编制单位："&amp;参数表!C3</f>
        <v>编制单位：石嘴山市深阳蓝光市政工程有限公司</v>
      </c>
      <c r="B51" s="2017"/>
      <c r="C51" s="1880"/>
      <c r="D51" s="1880"/>
      <c r="E51" s="2058">
        <f>参数表!G7</f>
        <v>42735</v>
      </c>
      <c r="F51" s="1880"/>
      <c r="G51" s="1881"/>
      <c r="H51" s="1881" t="s">
        <v>1391</v>
      </c>
      <c r="I51" s="2030"/>
    </row>
    <row r="52" s="2009" customFormat="1" ht="14.25" customHeight="1" spans="1:9">
      <c r="A52" s="1885" t="s">
        <v>192</v>
      </c>
      <c r="B52" s="1886" t="s">
        <v>61</v>
      </c>
      <c r="C52" s="1887" t="str">
        <f>IF(参数表!$C$12="本期间为特定年","年末余额","期末余额")</f>
        <v>年末余额</v>
      </c>
      <c r="D52" s="1887"/>
      <c r="E52" s="1887"/>
      <c r="F52" s="1887" t="str">
        <f>IF(参数表!$C$12="本期间为特定年","年初余额","期初余额")</f>
        <v>年初余额</v>
      </c>
      <c r="G52" s="1887"/>
      <c r="H52" s="1888"/>
      <c r="I52" s="2030"/>
    </row>
    <row r="53" s="2009" customFormat="1" ht="14.25" customHeight="1" spans="1:9">
      <c r="A53" s="1889"/>
      <c r="B53" s="1890"/>
      <c r="C53" s="1891" t="s">
        <v>1392</v>
      </c>
      <c r="D53" s="1891" t="s">
        <v>1393</v>
      </c>
      <c r="E53" s="1891" t="s">
        <v>1394</v>
      </c>
      <c r="F53" s="1891" t="s">
        <v>1392</v>
      </c>
      <c r="G53" s="1891" t="s">
        <v>1393</v>
      </c>
      <c r="H53" s="1892" t="s">
        <v>1394</v>
      </c>
      <c r="I53" s="2030"/>
    </row>
    <row r="54" s="2010" customFormat="1" ht="14.25" customHeight="1" spans="1:9">
      <c r="A54" s="2026" t="s">
        <v>194</v>
      </c>
      <c r="B54" s="2063"/>
      <c r="C54" s="2022"/>
      <c r="D54" s="1895"/>
      <c r="E54" s="1895"/>
      <c r="F54" s="2022"/>
      <c r="G54" s="1895"/>
      <c r="H54" s="2033"/>
      <c r="I54" s="2034"/>
    </row>
    <row r="55" s="2010" customFormat="1" ht="14.25" customHeight="1" spans="1:8">
      <c r="A55" s="1900" t="s">
        <v>196</v>
      </c>
      <c r="B55" s="2064"/>
      <c r="C55" s="1896">
        <f>ROUND(未审资负表!G7,2)</f>
        <v>0</v>
      </c>
      <c r="D55" s="1896">
        <f>未审附注之负债及权益!B9</f>
        <v>0</v>
      </c>
      <c r="E55" s="1896">
        <f t="shared" ref="E55:E67" si="4">IF(D55="",0,ROUND(D55-C55,2))</f>
        <v>0</v>
      </c>
      <c r="F55" s="1896">
        <f>ROUND(未审资负表!H7,2)</f>
        <v>0</v>
      </c>
      <c r="G55" s="1896">
        <f>未审附注之负债及权益!C9</f>
        <v>0</v>
      </c>
      <c r="H55" s="1903">
        <f t="shared" ref="H55:H67" si="5">IF(G55="",0,ROUND(G55-F55,2))</f>
        <v>0</v>
      </c>
    </row>
    <row r="56" s="2010" customFormat="1" ht="14.25" customHeight="1" spans="1:8">
      <c r="A56" s="1900" t="s">
        <v>1397</v>
      </c>
      <c r="B56" s="2064"/>
      <c r="C56" s="1896">
        <f>ROUND(未审资负表!G8,2)</f>
        <v>0</v>
      </c>
      <c r="D56" s="1896">
        <f>未审附注之负债及权益!B46</f>
        <v>0</v>
      </c>
      <c r="E56" s="1896">
        <f t="shared" si="4"/>
        <v>0</v>
      </c>
      <c r="F56" s="1896">
        <f>ROUND(未审资负表!H8,2)</f>
        <v>0</v>
      </c>
      <c r="G56" s="1896">
        <f>未审附注之负债及权益!C46</f>
        <v>0</v>
      </c>
      <c r="H56" s="1903">
        <f t="shared" si="5"/>
        <v>0</v>
      </c>
    </row>
    <row r="57" s="2010" customFormat="1" ht="14.25" customHeight="1" spans="1:8">
      <c r="A57" s="1900" t="s">
        <v>200</v>
      </c>
      <c r="B57" s="2064"/>
      <c r="C57" s="1896">
        <f>ROUND(未审资负表!G9,2)</f>
        <v>0</v>
      </c>
      <c r="D57" s="1896">
        <f>未审附注之负债及权益!B54</f>
        <v>0</v>
      </c>
      <c r="E57" s="1896">
        <f t="shared" si="4"/>
        <v>0</v>
      </c>
      <c r="F57" s="1896">
        <f>ROUND(未审资负表!H9,2)</f>
        <v>0</v>
      </c>
      <c r="G57" s="1896">
        <f>未审附注之负债及权益!C54</f>
        <v>0</v>
      </c>
      <c r="H57" s="1903">
        <f t="shared" si="5"/>
        <v>0</v>
      </c>
    </row>
    <row r="58" s="2010" customFormat="1" ht="14.25" customHeight="1" spans="1:8">
      <c r="A58" s="1900" t="s">
        <v>202</v>
      </c>
      <c r="B58" s="2064"/>
      <c r="C58" s="1896">
        <f>ROUND(未审资负表!G10,2)</f>
        <v>0</v>
      </c>
      <c r="D58" s="1896">
        <f>未审附注之负债及权益!B65</f>
        <v>0</v>
      </c>
      <c r="E58" s="1896">
        <f t="shared" si="4"/>
        <v>0</v>
      </c>
      <c r="F58" s="1896">
        <f>ROUND(未审资负表!H10,2)</f>
        <v>0</v>
      </c>
      <c r="G58" s="1896">
        <f>未审附注之负债及权益!D65</f>
        <v>0</v>
      </c>
      <c r="H58" s="1903">
        <f t="shared" si="5"/>
        <v>0</v>
      </c>
    </row>
    <row r="59" s="2010" customFormat="1" ht="14.25" customHeight="1" spans="1:8">
      <c r="A59" s="1900" t="s">
        <v>204</v>
      </c>
      <c r="B59" s="2064"/>
      <c r="C59" s="1896">
        <f>ROUND(未审资负表!G11,2)</f>
        <v>0</v>
      </c>
      <c r="D59" s="1896">
        <f>未审附注之负债及权益!B118</f>
        <v>0</v>
      </c>
      <c r="E59" s="1896">
        <f t="shared" si="4"/>
        <v>0</v>
      </c>
      <c r="F59" s="1896">
        <f>ROUND(未审资负表!H11,2)</f>
        <v>0</v>
      </c>
      <c r="G59" s="1896">
        <f>未审附注之负债及权益!D118</f>
        <v>0</v>
      </c>
      <c r="H59" s="1903">
        <f t="shared" si="5"/>
        <v>0</v>
      </c>
    </row>
    <row r="60" s="2010" customFormat="1" ht="14.25" customHeight="1" spans="1:8">
      <c r="A60" s="1900" t="s">
        <v>206</v>
      </c>
      <c r="B60" s="2064"/>
      <c r="C60" s="1896">
        <f>ROUND(未审资负表!G12,2)</f>
        <v>0</v>
      </c>
      <c r="D60" s="1896">
        <f>未审附注之负债及权益!E180</f>
        <v>0</v>
      </c>
      <c r="E60" s="1896">
        <f t="shared" si="4"/>
        <v>0</v>
      </c>
      <c r="F60" s="1896">
        <f>ROUND(未审资负表!H12,2)</f>
        <v>0</v>
      </c>
      <c r="G60" s="1896">
        <f>未审附注之负债及权益!B180</f>
        <v>0</v>
      </c>
      <c r="H60" s="1903">
        <f t="shared" si="5"/>
        <v>0</v>
      </c>
    </row>
    <row r="61" s="2010" customFormat="1" ht="14.25" customHeight="1" spans="1:8">
      <c r="A61" s="1900" t="s">
        <v>208</v>
      </c>
      <c r="B61" s="2064"/>
      <c r="C61" s="1896">
        <f>ROUND(未审资负表!G13,2)</f>
        <v>0</v>
      </c>
      <c r="D61" s="1896">
        <f>未审附注之负债及权益!B197</f>
        <v>0</v>
      </c>
      <c r="E61" s="1896">
        <f t="shared" si="4"/>
        <v>0</v>
      </c>
      <c r="F61" s="1896">
        <f>ROUND(未审资负表!H13,2)</f>
        <v>0</v>
      </c>
      <c r="G61" s="1896">
        <f>未审附注之负债及权益!C197</f>
        <v>0</v>
      </c>
      <c r="H61" s="1903">
        <f t="shared" si="5"/>
        <v>0</v>
      </c>
    </row>
    <row r="62" s="2010" customFormat="1" ht="14.25" customHeight="1" spans="1:8">
      <c r="A62" s="1900" t="s">
        <v>210</v>
      </c>
      <c r="B62" s="2064"/>
      <c r="C62" s="1896">
        <f>ROUND(未审资负表!G14,2)</f>
        <v>0</v>
      </c>
      <c r="D62" s="1896">
        <f>未审附注之负债及权益!B212</f>
        <v>0</v>
      </c>
      <c r="E62" s="1896">
        <f t="shared" si="4"/>
        <v>0</v>
      </c>
      <c r="F62" s="1896">
        <f>ROUND(未审资负表!H14,2)</f>
        <v>0</v>
      </c>
      <c r="G62" s="1896">
        <f>未审附注之负债及权益!C212</f>
        <v>0</v>
      </c>
      <c r="H62" s="1903">
        <f t="shared" si="5"/>
        <v>0</v>
      </c>
    </row>
    <row r="63" s="2010" customFormat="1" ht="14.25" customHeight="1" spans="1:8">
      <c r="A63" s="1900" t="s">
        <v>212</v>
      </c>
      <c r="B63" s="2064"/>
      <c r="C63" s="1896">
        <f>ROUND(未审资负表!G15,2)</f>
        <v>0</v>
      </c>
      <c r="D63" s="1896">
        <f>未审附注之负债及权益!B227</f>
        <v>0</v>
      </c>
      <c r="E63" s="1896">
        <f t="shared" si="4"/>
        <v>0</v>
      </c>
      <c r="F63" s="1896">
        <f>ROUND(未审资负表!H15,2)</f>
        <v>0</v>
      </c>
      <c r="G63" s="1896">
        <f>未审附注之负债及权益!C227</f>
        <v>0</v>
      </c>
      <c r="H63" s="1903">
        <f t="shared" si="5"/>
        <v>0</v>
      </c>
    </row>
    <row r="64" s="2010" customFormat="1" ht="14.25" customHeight="1" spans="1:8">
      <c r="A64" s="1900" t="s">
        <v>214</v>
      </c>
      <c r="B64" s="2064"/>
      <c r="C64" s="1896">
        <f>ROUND(未审资负表!G16,2)</f>
        <v>0</v>
      </c>
      <c r="D64" s="1896">
        <f>未审附注之负债及权益!B238</f>
        <v>0</v>
      </c>
      <c r="E64" s="1896">
        <f t="shared" si="4"/>
        <v>0</v>
      </c>
      <c r="F64" s="1896">
        <f>ROUND(未审资负表!H16,2)</f>
        <v>0</v>
      </c>
      <c r="G64" s="1896">
        <f>未审附注之负债及权益!D238</f>
        <v>0</v>
      </c>
      <c r="H64" s="1903">
        <f t="shared" si="5"/>
        <v>0</v>
      </c>
    </row>
    <row r="65" s="2010" customFormat="1" ht="14.25" customHeight="1" spans="1:8">
      <c r="A65" s="1900" t="s">
        <v>216</v>
      </c>
      <c r="B65" s="2064"/>
      <c r="C65" s="1896">
        <f>ROUND(未审资负表!G17,2)</f>
        <v>6935621.62</v>
      </c>
      <c r="D65" s="1896">
        <f>未审附注之负债及权益!B289</f>
        <v>0</v>
      </c>
      <c r="E65" s="1896">
        <f t="shared" si="4"/>
        <v>-6935621.62</v>
      </c>
      <c r="F65" s="1896">
        <f>ROUND(未审资负表!H17,2)</f>
        <v>0</v>
      </c>
      <c r="G65" s="1896">
        <f>未审附注之负债及权益!C289</f>
        <v>0</v>
      </c>
      <c r="H65" s="1903">
        <f t="shared" si="5"/>
        <v>0</v>
      </c>
    </row>
    <row r="66" s="2010" customFormat="1" ht="14.25" customHeight="1" spans="1:8">
      <c r="A66" s="1900" t="s">
        <v>218</v>
      </c>
      <c r="B66" s="2064"/>
      <c r="C66" s="1896">
        <f>ROUND(未审资负表!G18,2)</f>
        <v>0</v>
      </c>
      <c r="D66" s="1896">
        <f>未审附注之负债及权益!B354</f>
        <v>0</v>
      </c>
      <c r="E66" s="1896">
        <f t="shared" si="4"/>
        <v>0</v>
      </c>
      <c r="F66" s="1896">
        <f>ROUND(未审资负表!H18,2)</f>
        <v>0</v>
      </c>
      <c r="G66" s="1896">
        <f>未审附注之负债及权益!C354</f>
        <v>0</v>
      </c>
      <c r="H66" s="1903">
        <f t="shared" si="5"/>
        <v>0</v>
      </c>
    </row>
    <row r="67" s="2010" customFormat="1" ht="14.25" customHeight="1" spans="1:8">
      <c r="A67" s="1900" t="str">
        <f>IF(未审资负表!E19="","",未审资负表!E19)</f>
        <v>持有待售负债</v>
      </c>
      <c r="B67" s="2064"/>
      <c r="C67" s="1896">
        <f>ROUND(未审资负表!G19,2)</f>
        <v>0</v>
      </c>
      <c r="D67" s="1896"/>
      <c r="E67" s="1896">
        <f t="shared" si="4"/>
        <v>0</v>
      </c>
      <c r="F67" s="1896">
        <f>ROUND(未审资负表!H19,2)</f>
        <v>0</v>
      </c>
      <c r="G67" s="1896"/>
      <c r="H67" s="1903">
        <f t="shared" si="5"/>
        <v>0</v>
      </c>
    </row>
    <row r="68" s="2010" customFormat="1" ht="14.25" customHeight="1" spans="1:8">
      <c r="A68" s="1905" t="s">
        <v>221</v>
      </c>
      <c r="B68" s="1906"/>
      <c r="C68" s="2023">
        <f>ROUND(SUM(C55:C67),2)</f>
        <v>6935621.62</v>
      </c>
      <c r="D68" s="2023"/>
      <c r="E68" s="2023"/>
      <c r="F68" s="2023">
        <f>ROUND(SUM(F55:F67),2)</f>
        <v>0</v>
      </c>
      <c r="G68" s="2023"/>
      <c r="H68" s="2036"/>
    </row>
    <row r="69" s="2010" customFormat="1" ht="14.25" customHeight="1" spans="1:8">
      <c r="A69" s="2038"/>
      <c r="B69" s="2064"/>
      <c r="C69" s="1913"/>
      <c r="D69" s="1896"/>
      <c r="E69" s="1896"/>
      <c r="F69" s="1913"/>
      <c r="G69" s="1896"/>
      <c r="H69" s="1903"/>
    </row>
    <row r="70" s="2010" customFormat="1" ht="14.25" customHeight="1" spans="1:8">
      <c r="A70" s="2026" t="s">
        <v>224</v>
      </c>
      <c r="B70" s="2064"/>
      <c r="C70" s="1914"/>
      <c r="D70" s="1896"/>
      <c r="E70" s="1896"/>
      <c r="F70" s="1914"/>
      <c r="G70" s="1896"/>
      <c r="H70" s="1903"/>
    </row>
    <row r="71" s="2010" customFormat="1" ht="14.25" customHeight="1" spans="1:8">
      <c r="A71" s="1900" t="s">
        <v>226</v>
      </c>
      <c r="B71" s="2064"/>
      <c r="C71" s="1896">
        <f>ROUND(未审资负表!G23,2)</f>
        <v>0</v>
      </c>
      <c r="D71" s="1896">
        <f>未审附注之负债及权益!B364</f>
        <v>0</v>
      </c>
      <c r="E71" s="1896">
        <f t="shared" ref="E71:E78" si="6">IF(D71="",0,ROUND(D71-C71,2))</f>
        <v>0</v>
      </c>
      <c r="F71" s="1896">
        <f>ROUND(未审资负表!H23,2)</f>
        <v>0</v>
      </c>
      <c r="G71" s="1896">
        <f>未审附注之负债及权益!C364</f>
        <v>0</v>
      </c>
      <c r="H71" s="1903">
        <f t="shared" ref="H71:H78" si="7">IF(G71="",0,ROUND(G71-F71,2))</f>
        <v>0</v>
      </c>
    </row>
    <row r="72" s="2010" customFormat="1" ht="14.25" customHeight="1" spans="1:8">
      <c r="A72" s="1900" t="s">
        <v>228</v>
      </c>
      <c r="B72" s="2064"/>
      <c r="C72" s="1896">
        <f>ROUND(未审资负表!G24,2)</f>
        <v>0</v>
      </c>
      <c r="D72" s="1896">
        <f>未审附注之负债及权益!H393</f>
        <v>0</v>
      </c>
      <c r="E72" s="1896">
        <f t="shared" si="6"/>
        <v>0</v>
      </c>
      <c r="F72" s="1896">
        <f>ROUND(未审资负表!H24,2)</f>
        <v>0</v>
      </c>
      <c r="G72" s="1896"/>
      <c r="H72" s="1903">
        <f t="shared" si="7"/>
        <v>0</v>
      </c>
    </row>
    <row r="73" s="2010" customFormat="1" ht="14.25" customHeight="1" spans="1:8">
      <c r="A73" s="1900" t="s">
        <v>230</v>
      </c>
      <c r="B73" s="2064"/>
      <c r="C73" s="1896">
        <f>ROUND(未审资负表!G25,2)</f>
        <v>53875812.68</v>
      </c>
      <c r="D73" s="1896">
        <f>未审附注之负债及权益!B408</f>
        <v>0</v>
      </c>
      <c r="E73" s="1896">
        <f t="shared" si="6"/>
        <v>-53875812.68</v>
      </c>
      <c r="F73" s="1896">
        <f>ROUND(未审资负表!H25,2)</f>
        <v>0</v>
      </c>
      <c r="G73" s="1896">
        <f>未审附注之负债及权益!C408</f>
        <v>0</v>
      </c>
      <c r="H73" s="1903">
        <f t="shared" si="7"/>
        <v>0</v>
      </c>
    </row>
    <row r="74" s="2010" customFormat="1" ht="14.25" customHeight="1" spans="1:8">
      <c r="A74" s="1900" t="s">
        <v>232</v>
      </c>
      <c r="B74" s="2064"/>
      <c r="C74" s="1896">
        <f>ROUND(未审资负表!G26,2)</f>
        <v>0</v>
      </c>
      <c r="D74" s="1896">
        <f>未审附注之负债及权益!F423</f>
        <v>0</v>
      </c>
      <c r="E74" s="1896">
        <f t="shared" si="6"/>
        <v>0</v>
      </c>
      <c r="F74" s="1896">
        <f>ROUND(未审资负表!H26,2)</f>
        <v>0</v>
      </c>
      <c r="G74" s="1896">
        <f>未审附注之负债及权益!C423</f>
        <v>0</v>
      </c>
      <c r="H74" s="1903">
        <f t="shared" si="7"/>
        <v>0</v>
      </c>
    </row>
    <row r="75" s="2010" customFormat="1" ht="14.25" customHeight="1" spans="1:8">
      <c r="A75" s="1900" t="s">
        <v>234</v>
      </c>
      <c r="B75" s="2064"/>
      <c r="C75" s="1896">
        <f>ROUND(未审资负表!G27,2)</f>
        <v>0</v>
      </c>
      <c r="D75" s="1896">
        <f>未审附注之负债及权益!G438</f>
        <v>0</v>
      </c>
      <c r="E75" s="1896">
        <f t="shared" si="6"/>
        <v>0</v>
      </c>
      <c r="F75" s="1896">
        <f>ROUND(未审资负表!H27,2)</f>
        <v>0</v>
      </c>
      <c r="G75" s="1896">
        <f>未审附注之负债及权益!D438</f>
        <v>0</v>
      </c>
      <c r="H75" s="1903">
        <f t="shared" si="7"/>
        <v>0</v>
      </c>
    </row>
    <row r="76" s="2010" customFormat="1" ht="14.25" customHeight="1" spans="1:8">
      <c r="A76" s="1900" t="s">
        <v>236</v>
      </c>
      <c r="B76" s="2064"/>
      <c r="C76" s="1896">
        <f>ROUND(未审资负表!G28,2)</f>
        <v>0</v>
      </c>
      <c r="D76" s="1896">
        <f>未审附注之非流动资产!B673</f>
        <v>0</v>
      </c>
      <c r="E76" s="1896">
        <f t="shared" si="6"/>
        <v>0</v>
      </c>
      <c r="F76" s="1896">
        <f>ROUND(未审资负表!H28,2)</f>
        <v>0</v>
      </c>
      <c r="G76" s="1896">
        <f>未审附注之非流动资产!C673</f>
        <v>0</v>
      </c>
      <c r="H76" s="1903">
        <f t="shared" si="7"/>
        <v>0</v>
      </c>
    </row>
    <row r="77" s="2010" customFormat="1" ht="14.25" customHeight="1" spans="1:8">
      <c r="A77" s="1900" t="s">
        <v>238</v>
      </c>
      <c r="B77" s="2064"/>
      <c r="C77" s="1896">
        <f>ROUND(未审资负表!G29,2)</f>
        <v>0</v>
      </c>
      <c r="D77" s="1896">
        <f>未审附注之负债及权益!B453</f>
        <v>0</v>
      </c>
      <c r="E77" s="1896">
        <f t="shared" si="6"/>
        <v>0</v>
      </c>
      <c r="F77" s="1896">
        <f>ROUND(未审资负表!H29,2)</f>
        <v>0</v>
      </c>
      <c r="G77" s="1896">
        <f>未审附注之负债及权益!C453</f>
        <v>0</v>
      </c>
      <c r="H77" s="1903">
        <f t="shared" si="7"/>
        <v>0</v>
      </c>
    </row>
    <row r="78" s="2010" customFormat="1" ht="14.25" customHeight="1" spans="1:8">
      <c r="A78" s="1900" t="str">
        <f>IF(未审资负表!E30="","",未审资负表!E30)</f>
        <v>递延收益</v>
      </c>
      <c r="B78" s="2064"/>
      <c r="C78" s="1896">
        <f>ROUND(未审资负表!G30,2)</f>
        <v>0</v>
      </c>
      <c r="D78" s="1896"/>
      <c r="E78" s="1896">
        <f t="shared" si="6"/>
        <v>0</v>
      </c>
      <c r="F78" s="1896">
        <f>ROUND(未审资负表!H30,2)</f>
        <v>0</v>
      </c>
      <c r="G78" s="1896"/>
      <c r="H78" s="1903">
        <f t="shared" si="7"/>
        <v>0</v>
      </c>
    </row>
    <row r="79" s="2010" customFormat="1" ht="14.25" customHeight="1" spans="1:8">
      <c r="A79" s="2041" t="s">
        <v>242</v>
      </c>
      <c r="B79" s="2064"/>
      <c r="C79" s="2023">
        <f>ROUND(SUM(C71:C78),2)</f>
        <v>53875812.68</v>
      </c>
      <c r="D79" s="2023"/>
      <c r="E79" s="2023"/>
      <c r="F79" s="2023">
        <f>ROUND(SUM(F71:F78),2)</f>
        <v>0</v>
      </c>
      <c r="G79" s="2023"/>
      <c r="H79" s="2036"/>
    </row>
    <row r="80" s="2010" customFormat="1" ht="14.25" customHeight="1" spans="1:8">
      <c r="A80" s="2038"/>
      <c r="B80" s="2064"/>
      <c r="C80" s="1913"/>
      <c r="D80" s="1896"/>
      <c r="E80" s="1896"/>
      <c r="F80" s="1913"/>
      <c r="G80" s="1896"/>
      <c r="H80" s="1903"/>
    </row>
    <row r="81" s="2010" customFormat="1" ht="14.25" customHeight="1" spans="1:8">
      <c r="A81" s="2041" t="s">
        <v>245</v>
      </c>
      <c r="B81" s="2064"/>
      <c r="C81" s="2023">
        <f>ROUND(C68+C79,2)</f>
        <v>60811434.3</v>
      </c>
      <c r="D81" s="2023"/>
      <c r="E81" s="2023"/>
      <c r="F81" s="2023">
        <f>ROUND(F68+F79,2)</f>
        <v>0</v>
      </c>
      <c r="G81" s="2023"/>
      <c r="H81" s="2036"/>
    </row>
    <row r="82" s="2010" customFormat="1" ht="14.25" customHeight="1" spans="1:8">
      <c r="A82" s="2038"/>
      <c r="B82" s="2064"/>
      <c r="C82" s="1896"/>
      <c r="D82" s="1896"/>
      <c r="E82" s="1896"/>
      <c r="F82" s="1896"/>
      <c r="G82" s="1896"/>
      <c r="H82" s="1903"/>
    </row>
    <row r="83" s="2010" customFormat="1" ht="14.25" customHeight="1" spans="1:8">
      <c r="A83" s="2042" t="s">
        <v>248</v>
      </c>
      <c r="B83" s="2064"/>
      <c r="C83" s="1896"/>
      <c r="D83" s="1896"/>
      <c r="E83" s="1896"/>
      <c r="F83" s="1896"/>
      <c r="G83" s="1896"/>
      <c r="H83" s="1903"/>
    </row>
    <row r="84" s="2010" customFormat="1" ht="14.25" customHeight="1" spans="1:8">
      <c r="A84" s="1900" t="s">
        <v>250</v>
      </c>
      <c r="B84" s="2064"/>
      <c r="C84" s="1896">
        <f>ROUND(未审资负表!G36,2)</f>
        <v>0</v>
      </c>
      <c r="D84" s="1896">
        <f>未审附注之负债及权益!F468</f>
        <v>0</v>
      </c>
      <c r="E84" s="1896">
        <f t="shared" ref="E84:E90" si="8">IF(D84="",0,ROUND(D84-C84,2))</f>
        <v>0</v>
      </c>
      <c r="F84" s="1896">
        <f>ROUND(未审资负表!H36,2)</f>
        <v>0</v>
      </c>
      <c r="G84" s="1896">
        <f>未审附注之负债及权益!B468</f>
        <v>0</v>
      </c>
      <c r="H84" s="1903">
        <f t="shared" ref="H84:H90" si="9">IF(G84="",0,ROUND(G84-F84,2))</f>
        <v>0</v>
      </c>
    </row>
    <row r="85" s="2010" customFormat="1" ht="14.25" customHeight="1" spans="1:8">
      <c r="A85" s="1900" t="s">
        <v>252</v>
      </c>
      <c r="B85" s="2064"/>
      <c r="C85" s="1896">
        <f>ROUND(未审资负表!G37,2)</f>
        <v>0</v>
      </c>
      <c r="D85" s="1896">
        <f>未审附注之负债及权益!E483</f>
        <v>0</v>
      </c>
      <c r="E85" s="1896">
        <f t="shared" si="8"/>
        <v>0</v>
      </c>
      <c r="F85" s="1896">
        <f>ROUND(未审资负表!H37,2)</f>
        <v>0</v>
      </c>
      <c r="G85" s="1896">
        <f>未审附注之负债及权益!B483</f>
        <v>0</v>
      </c>
      <c r="H85" s="1903">
        <f t="shared" si="9"/>
        <v>0</v>
      </c>
    </row>
    <row r="86" s="2010" customFormat="1" ht="14.25" customHeight="1" spans="1:8">
      <c r="A86" s="1900" t="s">
        <v>254</v>
      </c>
      <c r="B86" s="2064"/>
      <c r="C86" s="1896">
        <f>ROUND(未审资负表!G38,2)</f>
        <v>0</v>
      </c>
      <c r="D86" s="1896"/>
      <c r="E86" s="1896">
        <f t="shared" si="8"/>
        <v>0</v>
      </c>
      <c r="F86" s="1896">
        <f>ROUND(未审资负表!H38,2)</f>
        <v>0</v>
      </c>
      <c r="G86" s="1896"/>
      <c r="H86" s="1903">
        <f t="shared" si="9"/>
        <v>0</v>
      </c>
    </row>
    <row r="87" s="2010" customFormat="1" ht="14.25" customHeight="1" spans="1:8">
      <c r="A87" s="1900" t="s">
        <v>255</v>
      </c>
      <c r="B87" s="2064"/>
      <c r="C87" s="1896">
        <f>ROUND(未审资负表!G39,2)</f>
        <v>0</v>
      </c>
      <c r="D87" s="1896">
        <f>未审附注之负债及权益!E501</f>
        <v>0</v>
      </c>
      <c r="E87" s="1896">
        <f t="shared" si="8"/>
        <v>0</v>
      </c>
      <c r="F87" s="1896">
        <f>ROUND(未审资负表!H39,2)</f>
        <v>0</v>
      </c>
      <c r="G87" s="1896">
        <f>未审附注之负债及权益!B501</f>
        <v>0</v>
      </c>
      <c r="H87" s="1903">
        <f t="shared" si="9"/>
        <v>0</v>
      </c>
    </row>
    <row r="88" s="2010" customFormat="1" ht="14.25" customHeight="1" spans="1:8">
      <c r="A88" s="1900" t="s">
        <v>257</v>
      </c>
      <c r="B88" s="2064"/>
      <c r="C88" s="1896">
        <f>ROUND(未审资负表!G40,2)</f>
        <v>0</v>
      </c>
      <c r="D88" s="1896">
        <f>未审附注之负债及权益!B519</f>
        <v>0</v>
      </c>
      <c r="E88" s="1896">
        <f t="shared" si="8"/>
        <v>0</v>
      </c>
      <c r="F88" s="1896">
        <f>ROUND(未审资负表!H40,2)</f>
        <v>0</v>
      </c>
      <c r="G88" s="1896">
        <f>未审附注之负债及权益!B510</f>
        <v>0</v>
      </c>
      <c r="H88" s="1903">
        <f t="shared" si="9"/>
        <v>0</v>
      </c>
    </row>
    <row r="89" s="2010" customFormat="1" ht="14.25" customHeight="1" spans="1:8">
      <c r="A89" s="1900" t="s">
        <v>258</v>
      </c>
      <c r="B89" s="2064"/>
      <c r="C89" s="1896">
        <f>ROUND(未审资负表!G41,2)</f>
        <v>0</v>
      </c>
      <c r="D89" s="1896"/>
      <c r="E89" s="1896">
        <f t="shared" si="8"/>
        <v>0</v>
      </c>
      <c r="F89" s="1896">
        <f>ROUND(未审资负表!H41,2)</f>
        <v>0</v>
      </c>
      <c r="G89" s="1896"/>
      <c r="H89" s="1903">
        <f t="shared" si="9"/>
        <v>0</v>
      </c>
    </row>
    <row r="90" s="2010" customFormat="1" ht="14.25" customHeight="1" spans="1:8">
      <c r="A90" s="1900" t="str">
        <f>IF(未审资负表!E42="","",未审资负表!E42)</f>
        <v>其他综合收益</v>
      </c>
      <c r="B90" s="2064"/>
      <c r="C90" s="1896">
        <f>ROUND(未审资负表!G42,2)</f>
        <v>0</v>
      </c>
      <c r="D90" s="1896"/>
      <c r="E90" s="1896">
        <f t="shared" si="8"/>
        <v>0</v>
      </c>
      <c r="F90" s="1896">
        <f>ROUND(未审资负表!H42,2)</f>
        <v>0</v>
      </c>
      <c r="G90" s="1896"/>
      <c r="H90" s="1903">
        <f t="shared" si="9"/>
        <v>0</v>
      </c>
    </row>
    <row r="91" s="2010" customFormat="1" ht="14.25" customHeight="1" spans="1:8">
      <c r="A91" s="2041" t="s">
        <v>260</v>
      </c>
      <c r="B91" s="1915"/>
      <c r="C91" s="2023">
        <f>ROUND(SUM(C84:C90)-2*C86,2)</f>
        <v>0</v>
      </c>
      <c r="D91" s="2023"/>
      <c r="E91" s="2023"/>
      <c r="F91" s="2023">
        <f>ROUND(SUM(F84:F90)-2*F86,2)</f>
        <v>0</v>
      </c>
      <c r="G91" s="2023"/>
      <c r="H91" s="2036"/>
    </row>
    <row r="92" s="2010" customFormat="1" ht="14.25" customHeight="1" spans="1:8">
      <c r="A92" s="2038"/>
      <c r="B92" s="2064"/>
      <c r="C92" s="1913"/>
      <c r="D92" s="1896"/>
      <c r="E92" s="1896"/>
      <c r="F92" s="1913"/>
      <c r="G92" s="1896"/>
      <c r="H92" s="1903"/>
    </row>
    <row r="93" ht="14.25" customHeight="1" spans="1:8">
      <c r="A93" s="1900" t="s">
        <v>261</v>
      </c>
      <c r="B93" s="2064"/>
      <c r="C93" s="1896">
        <f>ROUND(未审资负表!G45,2)</f>
        <v>0</v>
      </c>
      <c r="D93" s="1896"/>
      <c r="E93" s="1896">
        <f>IF(D93="",0,ROUND(D93-C93,2))</f>
        <v>0</v>
      </c>
      <c r="F93" s="1896">
        <f>ROUND(未审资负表!H45,2)</f>
        <v>0</v>
      </c>
      <c r="G93" s="1896"/>
      <c r="H93" s="1903">
        <f>IF(G93="",0,ROUND(G93-F93,2))</f>
        <v>0</v>
      </c>
    </row>
    <row r="94" ht="14.25" customHeight="1" spans="1:8">
      <c r="A94" s="2041" t="s">
        <v>262</v>
      </c>
      <c r="B94" s="1915"/>
      <c r="C94" s="2023">
        <f>ROUND(C91+C93,2)</f>
        <v>0</v>
      </c>
      <c r="D94" s="2023"/>
      <c r="E94" s="2023"/>
      <c r="F94" s="2023">
        <f>ROUND(F91+F93,2)</f>
        <v>0</v>
      </c>
      <c r="G94" s="2023"/>
      <c r="H94" s="2036"/>
    </row>
    <row r="95" ht="14.25" customHeight="1" spans="1:8">
      <c r="A95" s="2038"/>
      <c r="B95" s="2064"/>
      <c r="C95" s="1896"/>
      <c r="D95" s="1896"/>
      <c r="E95" s="1896"/>
      <c r="F95" s="1896"/>
      <c r="G95" s="1896"/>
      <c r="H95" s="1903"/>
    </row>
    <row r="96" ht="14.25" customHeight="1" spans="1:8">
      <c r="A96" s="2044" t="s">
        <v>264</v>
      </c>
      <c r="B96" s="1924"/>
      <c r="C96" s="2024">
        <f>ROUND(C81+C94,2)</f>
        <v>60811434.3</v>
      </c>
      <c r="D96" s="2024"/>
      <c r="E96" s="2024"/>
      <c r="F96" s="2024">
        <f>ROUND(F81+F94,2)</f>
        <v>0</v>
      </c>
      <c r="G96" s="2024"/>
      <c r="H96" s="2061"/>
    </row>
    <row r="97" s="2011" customFormat="1" ht="26.25" spans="1:8">
      <c r="A97" s="1777" t="s">
        <v>1398</v>
      </c>
      <c r="B97" s="1777"/>
      <c r="C97" s="1777"/>
      <c r="D97" s="1777"/>
      <c r="E97" s="1777"/>
      <c r="F97" s="1777"/>
      <c r="G97" s="1777"/>
      <c r="H97" s="1777"/>
    </row>
    <row r="98" s="2011" customFormat="1" ht="21" customHeight="1" spans="1:8">
      <c r="A98" s="1781"/>
      <c r="B98" s="1810"/>
      <c r="C98" s="1810"/>
      <c r="D98" s="1810"/>
      <c r="E98" s="1810"/>
      <c r="F98" s="2065"/>
      <c r="G98" s="2065"/>
      <c r="H98" s="2065"/>
    </row>
    <row r="99" s="2011" customFormat="1" ht="21" customHeight="1" spans="1:8">
      <c r="A99" s="1781" t="str">
        <f>"编制单位："&amp;参数表!C3</f>
        <v>编制单位：石嘴山市深阳蓝光市政工程有限公司</v>
      </c>
      <c r="B99" s="1782"/>
      <c r="C99" s="1810"/>
      <c r="D99" s="1810"/>
      <c r="E99" s="2057" t="str">
        <f>参数表!D7</f>
        <v>2016年度</v>
      </c>
      <c r="F99" s="2066"/>
      <c r="G99" s="2066"/>
      <c r="H99" s="2066" t="s">
        <v>1399</v>
      </c>
    </row>
    <row r="100" s="2011" customFormat="1" ht="16.5" spans="1:8">
      <c r="A100" s="1815" t="s">
        <v>60</v>
      </c>
      <c r="B100" s="1816" t="s">
        <v>61</v>
      </c>
      <c r="C100" s="1816" t="str">
        <f>IF(参数表!$C$12="本期间为特定年","本年金额","本期金额")</f>
        <v>本年金额</v>
      </c>
      <c r="D100" s="1816"/>
      <c r="E100" s="1816"/>
      <c r="F100" s="1816" t="str">
        <f>IF(参数表!$C$12="本期间为特定年","上年金额","上期金额")</f>
        <v>上年金额</v>
      </c>
      <c r="G100" s="1816"/>
      <c r="H100" s="2067"/>
    </row>
    <row r="101" s="2011" customFormat="1" ht="15.75" spans="1:8">
      <c r="A101" s="1819"/>
      <c r="B101" s="1820"/>
      <c r="C101" s="1891" t="s">
        <v>1392</v>
      </c>
      <c r="D101" s="1891" t="s">
        <v>1393</v>
      </c>
      <c r="E101" s="1891" t="s">
        <v>1394</v>
      </c>
      <c r="F101" s="1891" t="s">
        <v>1392</v>
      </c>
      <c r="G101" s="1891" t="s">
        <v>1393</v>
      </c>
      <c r="H101" s="1892" t="s">
        <v>1394</v>
      </c>
    </row>
    <row r="102" s="2011" customFormat="1" ht="21" customHeight="1" spans="1:8">
      <c r="A102" s="1793" t="s">
        <v>76</v>
      </c>
      <c r="B102" s="2068"/>
      <c r="C102" s="1825">
        <f>ROUND(未审利润表!C6,2)</f>
        <v>0</v>
      </c>
      <c r="D102" s="1825">
        <f>未审附注之利润及利润分配!B8</f>
        <v>0</v>
      </c>
      <c r="E102" s="1896">
        <f t="shared" ref="E102:E113" si="10">IF(D102="",0,ROUND(D102-C102,2))</f>
        <v>0</v>
      </c>
      <c r="F102" s="1825">
        <f>ROUND(未审利润表!D6,2)</f>
        <v>0</v>
      </c>
      <c r="G102" s="1825">
        <f>未审附注之利润及利润分配!E8</f>
        <v>0</v>
      </c>
      <c r="H102" s="1903">
        <f t="shared" ref="H102:H113" si="11">IF(G102="",0,ROUND(G102-F102,2))</f>
        <v>0</v>
      </c>
    </row>
    <row r="103" s="2011" customFormat="1" ht="21" customHeight="1" spans="1:8">
      <c r="A103" s="1796" t="s">
        <v>78</v>
      </c>
      <c r="B103" s="2068"/>
      <c r="C103" s="1825">
        <f>ROUND(未审利润表!C7,2)</f>
        <v>0</v>
      </c>
      <c r="D103" s="1825">
        <f>未审附注之利润及利润分配!C8</f>
        <v>0</v>
      </c>
      <c r="E103" s="1896">
        <f t="shared" si="10"/>
        <v>0</v>
      </c>
      <c r="F103" s="1825">
        <f>ROUND(未审利润表!D7,2)</f>
        <v>0</v>
      </c>
      <c r="G103" s="1825">
        <f>未审附注之利润及利润分配!F8</f>
        <v>0</v>
      </c>
      <c r="H103" s="1903">
        <f t="shared" si="11"/>
        <v>0</v>
      </c>
    </row>
    <row r="104" s="2011" customFormat="1" ht="21" customHeight="1" spans="1:8">
      <c r="A104" s="1796" t="s">
        <v>79</v>
      </c>
      <c r="B104" s="2068"/>
      <c r="C104" s="1825">
        <f>ROUND(未审利润表!C8,2)</f>
        <v>0</v>
      </c>
      <c r="D104" s="1825">
        <f>未审附注之利润及利润分配!C91</f>
        <v>0</v>
      </c>
      <c r="E104" s="1896">
        <f t="shared" si="10"/>
        <v>0</v>
      </c>
      <c r="F104" s="1825">
        <f>ROUND(未审利润表!D8,2)</f>
        <v>0</v>
      </c>
      <c r="G104" s="1825">
        <f>未审附注之利润及利润分配!D91</f>
        <v>0</v>
      </c>
      <c r="H104" s="1903">
        <f t="shared" si="11"/>
        <v>0</v>
      </c>
    </row>
    <row r="105" s="2011" customFormat="1" ht="21" customHeight="1" spans="1:8">
      <c r="A105" s="1796" t="s">
        <v>81</v>
      </c>
      <c r="B105" s="2068"/>
      <c r="C105" s="1825">
        <f>ROUND(未审利润表!C9,2)</f>
        <v>0</v>
      </c>
      <c r="D105" s="1825"/>
      <c r="E105" s="1896">
        <f t="shared" si="10"/>
        <v>0</v>
      </c>
      <c r="F105" s="1825">
        <f>ROUND(未审利润表!D9,2)</f>
        <v>0</v>
      </c>
      <c r="G105" s="1825"/>
      <c r="H105" s="1903">
        <f t="shared" si="11"/>
        <v>0</v>
      </c>
    </row>
    <row r="106" s="2011" customFormat="1" ht="21" customHeight="1" spans="1:8">
      <c r="A106" s="1796" t="s">
        <v>83</v>
      </c>
      <c r="B106" s="2068"/>
      <c r="C106" s="1825">
        <f>ROUND(未审利润表!C10,2)</f>
        <v>0</v>
      </c>
      <c r="D106" s="1825"/>
      <c r="E106" s="1896">
        <f t="shared" si="10"/>
        <v>0</v>
      </c>
      <c r="F106" s="1825">
        <f>ROUND(未审利润表!D10,2)</f>
        <v>0</v>
      </c>
      <c r="G106" s="1825"/>
      <c r="H106" s="1903">
        <f t="shared" si="11"/>
        <v>0</v>
      </c>
    </row>
    <row r="107" s="2011" customFormat="1" ht="21" customHeight="1" spans="1:8">
      <c r="A107" s="1796" t="s">
        <v>84</v>
      </c>
      <c r="B107" s="2068"/>
      <c r="C107" s="1825">
        <f>ROUND(未审利润表!C11,2)</f>
        <v>0</v>
      </c>
      <c r="D107" s="1825">
        <f>未审附注之利润及利润分配!B100</f>
        <v>0</v>
      </c>
      <c r="E107" s="1896">
        <f t="shared" si="10"/>
        <v>0</v>
      </c>
      <c r="F107" s="1825">
        <f>ROUND(未审利润表!D11,2)</f>
        <v>0</v>
      </c>
      <c r="G107" s="1825">
        <f>未审附注之利润及利润分配!C100</f>
        <v>0</v>
      </c>
      <c r="H107" s="1903">
        <f t="shared" si="11"/>
        <v>0</v>
      </c>
    </row>
    <row r="108" s="2011" customFormat="1" ht="21" customHeight="1" spans="1:8">
      <c r="A108" s="1796" t="s">
        <v>85</v>
      </c>
      <c r="B108" s="2068"/>
      <c r="C108" s="1825">
        <f>ROUND(未审利润表!C12,2)</f>
        <v>0</v>
      </c>
      <c r="D108" s="1825">
        <f>未审附注之利润及利润分配!B119</f>
        <v>0</v>
      </c>
      <c r="E108" s="1896">
        <f t="shared" si="10"/>
        <v>0</v>
      </c>
      <c r="F108" s="1825">
        <f>ROUND(未审利润表!D12,2)</f>
        <v>0</v>
      </c>
      <c r="G108" s="1825">
        <f>未审附注之利润及利润分配!C119</f>
        <v>0</v>
      </c>
      <c r="H108" s="1903">
        <f t="shared" si="11"/>
        <v>0</v>
      </c>
    </row>
    <row r="109" s="2011" customFormat="1" ht="21" customHeight="1" spans="1:8">
      <c r="A109" s="1796" t="s">
        <v>87</v>
      </c>
      <c r="B109" s="2068"/>
      <c r="C109" s="1825">
        <f>ROUND(未审利润表!C13,2)</f>
        <v>0</v>
      </c>
      <c r="D109" s="1825">
        <f>未审附注之利润及利润分配!B134</f>
        <v>0</v>
      </c>
      <c r="E109" s="1896">
        <f t="shared" si="10"/>
        <v>0</v>
      </c>
      <c r="F109" s="1825">
        <f>ROUND(未审利润表!D13,2)</f>
        <v>0</v>
      </c>
      <c r="G109" s="1825">
        <f>未审附注之利润及利润分配!C134</f>
        <v>0</v>
      </c>
      <c r="H109" s="1903">
        <f t="shared" si="11"/>
        <v>0</v>
      </c>
    </row>
    <row r="110" s="2011" customFormat="1" ht="21" customHeight="1" spans="1:8">
      <c r="A110" s="1796" t="s">
        <v>89</v>
      </c>
      <c r="B110" s="2068"/>
      <c r="C110" s="1825">
        <f>ROUND(未审利润表!C14,2)</f>
        <v>0</v>
      </c>
      <c r="D110" s="1825">
        <f>未审附注之利润及利润分配!B149</f>
        <v>0</v>
      </c>
      <c r="E110" s="1896">
        <f t="shared" si="10"/>
        <v>0</v>
      </c>
      <c r="F110" s="1825">
        <f>ROUND(未审利润表!D14,2)</f>
        <v>0</v>
      </c>
      <c r="G110" s="1825">
        <f>未审附注之利润及利润分配!C149</f>
        <v>0</v>
      </c>
      <c r="H110" s="1903">
        <f t="shared" si="11"/>
        <v>0</v>
      </c>
    </row>
    <row r="111" s="2011" customFormat="1" ht="21" customHeight="1" spans="1:8">
      <c r="A111" s="1796" t="s">
        <v>91</v>
      </c>
      <c r="B111" s="2068"/>
      <c r="C111" s="1825">
        <f>ROUND(未审利润表!C15,2)</f>
        <v>0</v>
      </c>
      <c r="D111" s="1825"/>
      <c r="E111" s="1896">
        <f t="shared" si="10"/>
        <v>0</v>
      </c>
      <c r="F111" s="1825">
        <f>ROUND(未审利润表!D15,2)</f>
        <v>0</v>
      </c>
      <c r="G111" s="1825"/>
      <c r="H111" s="1903">
        <f t="shared" si="11"/>
        <v>0</v>
      </c>
    </row>
    <row r="112" s="2011" customFormat="1" ht="21" customHeight="1" spans="1:8">
      <c r="A112" s="1796" t="s">
        <v>92</v>
      </c>
      <c r="B112" s="2068"/>
      <c r="C112" s="1825">
        <f>ROUND(未审利润表!C17,2)</f>
        <v>0</v>
      </c>
      <c r="D112" s="1825"/>
      <c r="E112" s="1896">
        <f t="shared" si="10"/>
        <v>0</v>
      </c>
      <c r="F112" s="1825">
        <f>ROUND(未审利润表!D17,2)</f>
        <v>0</v>
      </c>
      <c r="G112" s="1825"/>
      <c r="H112" s="1903">
        <f t="shared" si="11"/>
        <v>0</v>
      </c>
    </row>
    <row r="113" s="2011" customFormat="1" ht="21" customHeight="1" spans="1:8">
      <c r="A113" s="1796" t="str">
        <f>未审利润表!A18</f>
        <v>    其他收益</v>
      </c>
      <c r="B113" s="2068"/>
      <c r="C113" s="1825">
        <f>ROUND(未审利润表!C18,2)</f>
        <v>0</v>
      </c>
      <c r="D113" s="1825"/>
      <c r="E113" s="1896">
        <f t="shared" si="10"/>
        <v>0</v>
      </c>
      <c r="F113" s="1825">
        <f>ROUND(未审利润表!D18,2)</f>
        <v>0</v>
      </c>
      <c r="G113" s="1825"/>
      <c r="H113" s="1903">
        <f t="shared" si="11"/>
        <v>0</v>
      </c>
    </row>
    <row r="114" s="2011" customFormat="1" ht="21" customHeight="1" spans="1:8">
      <c r="A114" s="1793" t="s">
        <v>93</v>
      </c>
      <c r="B114" s="2068"/>
      <c r="C114" s="2048">
        <f>ROUND(C102-SUM(C103:C108)+SUM(C109:C110)+C112+C113,2)</f>
        <v>0</v>
      </c>
      <c r="D114" s="2048"/>
      <c r="E114" s="2048"/>
      <c r="F114" s="2048">
        <f>ROUND(F102-SUM(F103:F108)+SUM(F109:F110)+F112+F113,2)</f>
        <v>0</v>
      </c>
      <c r="G114" s="2048"/>
      <c r="H114" s="2069"/>
    </row>
    <row r="115" s="2011" customFormat="1" ht="21" customHeight="1" spans="1:8">
      <c r="A115" s="1796" t="s">
        <v>94</v>
      </c>
      <c r="B115" s="2068"/>
      <c r="C115" s="1825">
        <f>ROUND(未审利润表!C20,2)</f>
        <v>0</v>
      </c>
      <c r="D115" s="1825">
        <f>未审附注之利润及利润分配!B177</f>
        <v>0</v>
      </c>
      <c r="E115" s="1896">
        <f>IF(D115="",0,ROUND(D115-C115,2))</f>
        <v>0</v>
      </c>
      <c r="F115" s="1825">
        <f>ROUND(未审利润表!D20,2)</f>
        <v>0</v>
      </c>
      <c r="G115" s="1825">
        <f>未审附注之利润及利润分配!C177</f>
        <v>0</v>
      </c>
      <c r="H115" s="1903">
        <f>IF(G115="",0,ROUND(G115-F115,2))</f>
        <v>0</v>
      </c>
    </row>
    <row r="116" s="2011" customFormat="1" ht="21" customHeight="1" spans="1:8">
      <c r="A116" s="1796" t="s">
        <v>96</v>
      </c>
      <c r="B116" s="2068"/>
      <c r="C116" s="1825">
        <f>ROUND(未审利润表!C21,2)</f>
        <v>0</v>
      </c>
      <c r="D116" s="1825">
        <f>未审附注之利润及利润分配!B192</f>
        <v>0</v>
      </c>
      <c r="E116" s="1896">
        <f>IF(D116="",0,ROUND(D116-C116,2))</f>
        <v>0</v>
      </c>
      <c r="F116" s="1825">
        <f>ROUND(未审利润表!D21,2)</f>
        <v>0</v>
      </c>
      <c r="G116" s="1825">
        <f>未审附注之利润及利润分配!C192</f>
        <v>0</v>
      </c>
      <c r="H116" s="1903">
        <f>IF(G116="",0,ROUND(G116-F116,2))</f>
        <v>0</v>
      </c>
    </row>
    <row r="117" s="2011" customFormat="1" ht="21" customHeight="1" spans="1:8">
      <c r="A117" s="1796" t="s">
        <v>98</v>
      </c>
      <c r="B117" s="2068"/>
      <c r="C117" s="1825">
        <f>ROUND(未审利润表!C29,2)</f>
        <v>0</v>
      </c>
      <c r="D117" s="1825"/>
      <c r="E117" s="1896">
        <f>IF(D117="",0,ROUND(D117-C117,2))</f>
        <v>0</v>
      </c>
      <c r="F117" s="1825">
        <f>ROUND(未审利润表!D29,2)</f>
        <v>0</v>
      </c>
      <c r="G117" s="1825"/>
      <c r="H117" s="1903">
        <f>IF(G117="",0,ROUND(G117-F117,2))</f>
        <v>0</v>
      </c>
    </row>
    <row r="118" s="2011" customFormat="1" ht="21" customHeight="1" spans="1:8">
      <c r="A118" s="1796" t="str">
        <f>未审利润表!A28</f>
        <v>   （二）终止经营净利润（净亏损以“－”号填列）</v>
      </c>
      <c r="B118" s="2068"/>
      <c r="C118" s="1825">
        <f>ROUND(未审利润表!C28,2)</f>
        <v>0</v>
      </c>
      <c r="D118" s="1825"/>
      <c r="E118" s="1896">
        <f>IF(D118="",0,ROUND(D118-C118,2))</f>
        <v>0</v>
      </c>
      <c r="F118" s="1825">
        <f>ROUND(未审利润表!D28,2)</f>
        <v>0</v>
      </c>
      <c r="G118" s="1825"/>
      <c r="H118" s="1903">
        <f>IF(G118="",0,ROUND(G118-F118,2))</f>
        <v>0</v>
      </c>
    </row>
    <row r="119" s="2011" customFormat="1" ht="21" customHeight="1" spans="1:8">
      <c r="A119" s="1793" t="s">
        <v>99</v>
      </c>
      <c r="B119" s="2068"/>
      <c r="C119" s="2048">
        <f>ROUND(C114+C115-C116-C118,2)</f>
        <v>0</v>
      </c>
      <c r="D119" s="2048"/>
      <c r="E119" s="2048"/>
      <c r="F119" s="2048">
        <f>ROUND(F114+F115-F116-F118,2)</f>
        <v>0</v>
      </c>
      <c r="G119" s="2048"/>
      <c r="H119" s="2069"/>
    </row>
    <row r="120" s="2011" customFormat="1" ht="21" customHeight="1" spans="1:8">
      <c r="A120" s="1796" t="s">
        <v>100</v>
      </c>
      <c r="B120" s="2068"/>
      <c r="C120" s="1825">
        <f>ROUND(未审利润表!C23,2)</f>
        <v>0</v>
      </c>
      <c r="D120" s="1825">
        <f>未审附注之利润及利润分配!B199</f>
        <v>0</v>
      </c>
      <c r="E120" s="1896">
        <f>IF(D120="",0,ROUND(D120-C120,2))</f>
        <v>0</v>
      </c>
      <c r="F120" s="1825">
        <f>ROUND(未审利润表!D23,2)</f>
        <v>0</v>
      </c>
      <c r="G120" s="1825">
        <f>未审附注之利润及利润分配!C199</f>
        <v>0</v>
      </c>
      <c r="H120" s="1903">
        <f>IF(G120="",0,ROUND(G120-F120,2))</f>
        <v>0</v>
      </c>
    </row>
    <row r="121" s="2011" customFormat="1" ht="21" customHeight="1" spans="1:8">
      <c r="A121" s="1796" t="str">
        <f>未审利润表!A30</f>
        <v>六、综合收益总额</v>
      </c>
      <c r="B121" s="2068"/>
      <c r="C121" s="1825">
        <f>ROUND(未审利润表!C30,2)</f>
        <v>0</v>
      </c>
      <c r="D121" s="1825"/>
      <c r="E121" s="1896">
        <f>IF(D121="",0,ROUND(D121-C121,2))</f>
        <v>0</v>
      </c>
      <c r="F121" s="1825">
        <f>ROUND(未审利润表!D30,2)</f>
        <v>0</v>
      </c>
      <c r="G121" s="1825"/>
      <c r="H121" s="1903">
        <f>IF(G121="",0,ROUND(G121-F121,2))</f>
        <v>0</v>
      </c>
    </row>
    <row r="122" s="2011" customFormat="1" ht="21" customHeight="1" spans="1:8">
      <c r="A122" s="1793" t="s">
        <v>102</v>
      </c>
      <c r="B122" s="2068"/>
      <c r="C122" s="2048">
        <f>ROUND(C119-C120-C121,2)</f>
        <v>0</v>
      </c>
      <c r="D122" s="2048"/>
      <c r="E122" s="2048"/>
      <c r="F122" s="2048">
        <f>ROUND(F119-F120-F121,2)</f>
        <v>0</v>
      </c>
      <c r="G122" s="2048"/>
      <c r="H122" s="2069"/>
    </row>
    <row r="123" s="2011" customFormat="1" ht="21" customHeight="1" spans="1:8">
      <c r="A123" s="1796" t="s">
        <v>103</v>
      </c>
      <c r="B123" s="2068"/>
      <c r="C123" s="1830">
        <f>ROUND(C122-C124,2)</f>
        <v>0</v>
      </c>
      <c r="D123" s="1830"/>
      <c r="E123" s="1830"/>
      <c r="F123" s="1830">
        <f>ROUND(F122-F124,2)</f>
        <v>0</v>
      </c>
      <c r="G123" s="1830"/>
      <c r="H123" s="1831"/>
    </row>
    <row r="124" s="2011" customFormat="1" ht="21" customHeight="1" spans="1:8">
      <c r="A124" s="2070" t="s">
        <v>104</v>
      </c>
      <c r="B124" s="2071"/>
      <c r="C124" s="2072">
        <f>ROUND(未审利润表!C26,2)</f>
        <v>0</v>
      </c>
      <c r="D124" s="2072"/>
      <c r="E124" s="2072"/>
      <c r="F124" s="2072">
        <f>ROUND(未审利润表!D26,2)</f>
        <v>0</v>
      </c>
      <c r="G124" s="2072"/>
      <c r="H124" s="2073"/>
    </row>
    <row r="125" ht="13.5"/>
  </sheetData>
  <mergeCells count="17">
    <mergeCell ref="A1:H1"/>
    <mergeCell ref="A2:B2"/>
    <mergeCell ref="C4:E4"/>
    <mergeCell ref="F4:H4"/>
    <mergeCell ref="A49:H49"/>
    <mergeCell ref="A50:B50"/>
    <mergeCell ref="C52:E52"/>
    <mergeCell ref="F52:H52"/>
    <mergeCell ref="A97:H97"/>
    <mergeCell ref="C100:E100"/>
    <mergeCell ref="F100:H100"/>
    <mergeCell ref="A4:A5"/>
    <mergeCell ref="A52:A53"/>
    <mergeCell ref="A100:A101"/>
    <mergeCell ref="B4:B5"/>
    <mergeCell ref="B52:B53"/>
    <mergeCell ref="B100:B101"/>
  </mergeCells>
  <conditionalFormatting sqref="A2:B2 A50:B50">
    <cfRule type="cellIs" dxfId="1" priority="1" stopIfTrue="1" operator="notEqual">
      <formula>""</formula>
    </cfRule>
  </conditionalFormatting>
  <conditionalFormatting sqref="C50:E50 H50 C2:H2">
    <cfRule type="cellIs" dxfId="1" priority="2" stopIfTrue="1" operator="notEqual">
      <formula>0</formula>
    </cfRule>
  </conditionalFormatting>
  <conditionalFormatting sqref="E7:E18 E22:E39 H7:H18 H22:H39 E55:E67 E71:E78 E84:E90 E93 H55:H67 H71:H78 H84:H90 H93 E102:E113 E115:E118 E120:E121 H102:H113 H115:H118 H120:H121">
    <cfRule type="cellIs" dxfId="4" priority="3" stopIfTrue="1" operator="notEqual">
      <formula>0</formula>
    </cfRule>
  </conditionalFormatting>
  <printOptions horizontalCentered="1"/>
  <pageMargins left="0.25" right="0.33" top="0.64" bottom="0.72" header="0.45" footer="0.511811023622047"/>
  <pageSetup paperSize="9" orientation="portrait" blackAndWhite="1"/>
  <headerFooter alignWithMargins="0"/>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tint="0.399945066682943"/>
  </sheetPr>
  <dimension ref="A1:S855"/>
  <sheetViews>
    <sheetView showGridLines="0" showZeros="0" view="pageBreakPreview" zoomScale="89" zoomScaleNormal="100" zoomScaleSheetLayoutView="89" topLeftCell="A168" workbookViewId="0">
      <selection activeCell="G189" sqref="G189"/>
    </sheetView>
  </sheetViews>
  <sheetFormatPr defaultColWidth="9" defaultRowHeight="12.75"/>
  <cols>
    <col min="1" max="1" width="3.25" style="2254" customWidth="1"/>
    <col min="2" max="2" width="6.5" style="2202" customWidth="1"/>
    <col min="3" max="3" width="19.75" style="2202" customWidth="1"/>
    <col min="4" max="4" width="3.625" style="2202" customWidth="1"/>
    <col min="5" max="5" width="19.25" style="2202" customWidth="1"/>
    <col min="6" max="6" width="7.25" style="2202" customWidth="1"/>
    <col min="7" max="8" width="11.25" style="2202" customWidth="1"/>
    <col min="9" max="9" width="4.125" style="2202" customWidth="1"/>
    <col min="10" max="10" width="21.2" style="2202" customWidth="1"/>
    <col min="11" max="11" width="22.325" style="2202" customWidth="1"/>
    <col min="12" max="12" width="11.75" style="2202" customWidth="1"/>
    <col min="13" max="15" width="13.5" style="2255" customWidth="1"/>
    <col min="16" max="16" width="12.5" style="2202" customWidth="1"/>
    <col min="17" max="17" width="13.5" style="2202" customWidth="1"/>
    <col min="18" max="16384" width="9" style="2202"/>
  </cols>
  <sheetData>
    <row r="1" hidden="1" spans="1:19">
      <c r="A1" s="2256"/>
      <c r="B1" s="2205"/>
      <c r="C1" s="2205"/>
      <c r="D1" s="2205"/>
      <c r="E1" s="2205"/>
      <c r="F1" s="2205"/>
      <c r="G1" s="2205"/>
      <c r="H1" s="2205"/>
      <c r="I1" s="2205"/>
      <c r="J1" s="2205"/>
      <c r="K1" s="2205"/>
      <c r="L1" s="2205"/>
      <c r="M1" s="2268"/>
      <c r="N1" s="2268"/>
      <c r="O1" s="2268"/>
      <c r="P1" s="2205"/>
      <c r="Q1" s="2205"/>
      <c r="R1" s="2205"/>
      <c r="S1" s="2205"/>
    </row>
    <row r="2" hidden="1" spans="1:19">
      <c r="A2" s="2257"/>
      <c r="B2" s="2258"/>
      <c r="C2" s="2259" t="s">
        <v>195</v>
      </c>
      <c r="D2" s="2260"/>
      <c r="E2" s="2261"/>
      <c r="F2" s="2262"/>
      <c r="G2" s="2263"/>
      <c r="H2" s="2263"/>
      <c r="I2" s="2269" t="s">
        <v>1400</v>
      </c>
      <c r="J2" s="2270"/>
      <c r="K2" s="2205"/>
      <c r="L2" s="2205"/>
      <c r="M2" s="2268"/>
      <c r="N2" s="2268"/>
      <c r="O2" s="2268"/>
      <c r="P2" s="2205"/>
      <c r="Q2" s="2205"/>
      <c r="R2" s="2205"/>
      <c r="S2" s="2205"/>
    </row>
    <row r="3" hidden="1" spans="1:19">
      <c r="A3" s="2257"/>
      <c r="B3" s="2264"/>
      <c r="C3" s="2259" t="s">
        <v>1395</v>
      </c>
      <c r="D3" s="2264"/>
      <c r="E3" s="2264"/>
      <c r="F3" s="2264"/>
      <c r="G3" s="2264"/>
      <c r="H3" s="2264"/>
      <c r="I3" s="2269" t="s">
        <v>1401</v>
      </c>
      <c r="J3" s="2270"/>
      <c r="K3" s="2205"/>
      <c r="L3" s="2205"/>
      <c r="M3" s="2268"/>
      <c r="N3" s="2268"/>
      <c r="O3" s="2268"/>
      <c r="P3" s="2205"/>
      <c r="Q3" s="2205"/>
      <c r="R3" s="2205"/>
      <c r="S3" s="2205"/>
    </row>
    <row r="4" hidden="1" spans="1:19">
      <c r="A4" s="2257"/>
      <c r="B4" s="2258"/>
      <c r="C4" s="2259" t="s">
        <v>199</v>
      </c>
      <c r="D4" s="2260"/>
      <c r="E4" s="2261"/>
      <c r="F4" s="2265"/>
      <c r="G4" s="2263"/>
      <c r="H4" s="2263"/>
      <c r="I4" s="2269"/>
      <c r="J4" s="2270"/>
      <c r="K4" s="2205"/>
      <c r="L4" s="2205"/>
      <c r="M4" s="2268"/>
      <c r="N4" s="2268"/>
      <c r="O4" s="2268"/>
      <c r="P4" s="2205"/>
      <c r="Q4" s="2205"/>
      <c r="R4" s="2205"/>
      <c r="S4" s="2205"/>
    </row>
    <row r="5" hidden="1" spans="1:19">
      <c r="A5" s="2257"/>
      <c r="B5" s="2258"/>
      <c r="C5" s="2259" t="s">
        <v>201</v>
      </c>
      <c r="D5" s="2260"/>
      <c r="E5" s="2261"/>
      <c r="F5" s="2265"/>
      <c r="G5" s="2263"/>
      <c r="H5" s="2263"/>
      <c r="I5" s="2269"/>
      <c r="J5" s="2270"/>
      <c r="K5" s="2205"/>
      <c r="L5" s="2205"/>
      <c r="M5" s="2268"/>
      <c r="N5" s="2268"/>
      <c r="O5" s="2268"/>
      <c r="P5" s="2205"/>
      <c r="Q5" s="2205"/>
      <c r="R5" s="2205"/>
      <c r="S5" s="2205"/>
    </row>
    <row r="6" hidden="1" spans="1:19">
      <c r="A6" s="2257"/>
      <c r="B6" s="2258"/>
      <c r="C6" s="2259" t="s">
        <v>203</v>
      </c>
      <c r="D6" s="2260"/>
      <c r="E6" s="2261"/>
      <c r="F6" s="2265"/>
      <c r="G6" s="2263"/>
      <c r="H6" s="2263"/>
      <c r="I6" s="2269"/>
      <c r="J6" s="2270"/>
      <c r="K6" s="2205"/>
      <c r="L6" s="2205"/>
      <c r="M6" s="2268"/>
      <c r="N6" s="2268"/>
      <c r="O6" s="2268"/>
      <c r="P6" s="2205"/>
      <c r="Q6" s="2205"/>
      <c r="R6" s="2205"/>
      <c r="S6" s="2205"/>
    </row>
    <row r="7" hidden="1" spans="1:19">
      <c r="A7" s="2257"/>
      <c r="B7" s="2258"/>
      <c r="C7" s="2259" t="s">
        <v>205</v>
      </c>
      <c r="D7" s="2260"/>
      <c r="E7" s="2261"/>
      <c r="F7" s="2265"/>
      <c r="G7" s="2263"/>
      <c r="H7" s="2263"/>
      <c r="I7" s="2269"/>
      <c r="J7" s="2270"/>
      <c r="K7" s="2205"/>
      <c r="L7" s="2205"/>
      <c r="M7" s="2268"/>
      <c r="N7" s="2268"/>
      <c r="O7" s="2268"/>
      <c r="P7" s="2205"/>
      <c r="Q7" s="2205"/>
      <c r="R7" s="2205"/>
      <c r="S7" s="2205"/>
    </row>
    <row r="8" hidden="1" spans="1:19">
      <c r="A8" s="2257"/>
      <c r="B8" s="2258"/>
      <c r="C8" s="2259" t="s">
        <v>207</v>
      </c>
      <c r="D8" s="2260"/>
      <c r="E8" s="2261"/>
      <c r="F8" s="2265"/>
      <c r="G8" s="2263"/>
      <c r="H8" s="2263"/>
      <c r="I8" s="2269"/>
      <c r="J8" s="2270"/>
      <c r="K8" s="2205"/>
      <c r="L8" s="2205"/>
      <c r="M8" s="2268"/>
      <c r="N8" s="2268"/>
      <c r="O8" s="2268"/>
      <c r="P8" s="2205"/>
      <c r="Q8" s="2205"/>
      <c r="R8" s="2205"/>
      <c r="S8" s="2205"/>
    </row>
    <row r="9" hidden="1" spans="1:19">
      <c r="A9" s="2257"/>
      <c r="B9" s="2258"/>
      <c r="C9" s="2259" t="s">
        <v>209</v>
      </c>
      <c r="D9" s="2260"/>
      <c r="E9" s="2261"/>
      <c r="F9" s="2265"/>
      <c r="G9" s="2263"/>
      <c r="H9" s="2263"/>
      <c r="I9" s="2269"/>
      <c r="J9" s="2270"/>
      <c r="K9" s="2205"/>
      <c r="L9" s="2205"/>
      <c r="M9" s="2268"/>
      <c r="N9" s="2268"/>
      <c r="O9" s="2268"/>
      <c r="P9" s="2205"/>
      <c r="Q9" s="2205"/>
      <c r="R9" s="2205"/>
      <c r="S9" s="2205"/>
    </row>
    <row r="10" hidden="1" spans="1:19">
      <c r="A10" s="2257"/>
      <c r="B10" s="2258"/>
      <c r="C10" s="2259" t="s">
        <v>211</v>
      </c>
      <c r="D10" s="2260"/>
      <c r="E10" s="2261"/>
      <c r="F10" s="2265"/>
      <c r="G10" s="2263"/>
      <c r="H10" s="2263"/>
      <c r="I10" s="2269"/>
      <c r="J10" s="2270"/>
      <c r="K10" s="2205"/>
      <c r="L10" s="2205"/>
      <c r="M10" s="2268"/>
      <c r="N10" s="2268"/>
      <c r="O10" s="2268"/>
      <c r="P10" s="2205"/>
      <c r="Q10" s="2205"/>
      <c r="R10" s="2205"/>
      <c r="S10" s="2205"/>
    </row>
    <row r="11" hidden="1" spans="1:19">
      <c r="A11" s="2257"/>
      <c r="B11" s="2258"/>
      <c r="C11" s="2259" t="s">
        <v>213</v>
      </c>
      <c r="D11" s="2260"/>
      <c r="E11" s="2261"/>
      <c r="F11" s="2265"/>
      <c r="G11" s="2263"/>
      <c r="H11" s="2263"/>
      <c r="I11" s="2269"/>
      <c r="J11" s="2270"/>
      <c r="K11" s="2205"/>
      <c r="L11" s="2205"/>
      <c r="M11" s="2268"/>
      <c r="N11" s="2268"/>
      <c r="O11" s="2268"/>
      <c r="P11" s="2205"/>
      <c r="Q11" s="2205"/>
      <c r="R11" s="2205"/>
      <c r="S11" s="2205"/>
    </row>
    <row r="12" hidden="1" spans="1:19">
      <c r="A12" s="2257"/>
      <c r="B12" s="2258"/>
      <c r="C12" s="2259" t="s">
        <v>215</v>
      </c>
      <c r="D12" s="2260"/>
      <c r="E12" s="2261"/>
      <c r="F12" s="2265"/>
      <c r="G12" s="2263"/>
      <c r="H12" s="2263"/>
      <c r="I12" s="2269"/>
      <c r="J12" s="2270"/>
      <c r="K12" s="2205"/>
      <c r="L12" s="2205"/>
      <c r="M12" s="2268"/>
      <c r="N12" s="2268"/>
      <c r="O12" s="2268"/>
      <c r="P12" s="2205"/>
      <c r="Q12" s="2205"/>
      <c r="R12" s="2205"/>
      <c r="S12" s="2205"/>
    </row>
    <row r="13" hidden="1" spans="1:19">
      <c r="A13" s="2257"/>
      <c r="B13" s="2258"/>
      <c r="C13" s="2266" t="str">
        <f>未审资负表!A18</f>
        <v>持有待售资产</v>
      </c>
      <c r="D13" s="2260"/>
      <c r="E13" s="2261"/>
      <c r="F13" s="2265"/>
      <c r="G13" s="2263"/>
      <c r="H13" s="2263"/>
      <c r="I13" s="2269"/>
      <c r="J13" s="2270"/>
      <c r="K13" s="2205"/>
      <c r="L13" s="2205"/>
      <c r="M13" s="2268"/>
      <c r="N13" s="2268"/>
      <c r="O13" s="2268"/>
      <c r="P13" s="2205"/>
      <c r="Q13" s="2205"/>
      <c r="R13" s="2205"/>
      <c r="S13" s="2205"/>
    </row>
    <row r="14" hidden="1" spans="1:19">
      <c r="A14" s="2257"/>
      <c r="B14" s="2258"/>
      <c r="C14" s="2259" t="s">
        <v>223</v>
      </c>
      <c r="D14" s="2260"/>
      <c r="E14" s="2261"/>
      <c r="F14" s="2265"/>
      <c r="G14" s="2263"/>
      <c r="H14" s="2263"/>
      <c r="I14" s="2269"/>
      <c r="J14" s="2270"/>
      <c r="K14" s="2205"/>
      <c r="L14" s="2205"/>
      <c r="M14" s="2268"/>
      <c r="N14" s="2268"/>
      <c r="O14" s="2268"/>
      <c r="P14" s="2205"/>
      <c r="Q14" s="2205"/>
      <c r="R14" s="2205"/>
      <c r="S14" s="2205"/>
    </row>
    <row r="15" hidden="1" spans="1:19">
      <c r="A15" s="2257"/>
      <c r="B15" s="2258"/>
      <c r="C15" s="2259" t="s">
        <v>225</v>
      </c>
      <c r="D15" s="2260"/>
      <c r="E15" s="2261"/>
      <c r="F15" s="2265"/>
      <c r="G15" s="2263"/>
      <c r="H15" s="2263"/>
      <c r="I15" s="2269"/>
      <c r="J15" s="2270"/>
      <c r="K15" s="2205"/>
      <c r="L15" s="2205"/>
      <c r="M15" s="2268"/>
      <c r="N15" s="2268"/>
      <c r="O15" s="2268"/>
      <c r="P15" s="2205"/>
      <c r="Q15" s="2205"/>
      <c r="R15" s="2205"/>
      <c r="S15" s="2205"/>
    </row>
    <row r="16" hidden="1" spans="1:19">
      <c r="A16" s="2257"/>
      <c r="B16" s="2258"/>
      <c r="C16" s="2259" t="s">
        <v>227</v>
      </c>
      <c r="D16" s="2260"/>
      <c r="E16" s="2261"/>
      <c r="F16" s="2265"/>
      <c r="G16" s="2263"/>
      <c r="H16" s="2263"/>
      <c r="I16" s="2269"/>
      <c r="J16" s="2270"/>
      <c r="K16" s="2205"/>
      <c r="L16" s="2205"/>
      <c r="M16" s="2268"/>
      <c r="N16" s="2268"/>
      <c r="O16" s="2268"/>
      <c r="P16" s="2205"/>
      <c r="Q16" s="2205"/>
      <c r="R16" s="2205"/>
      <c r="S16" s="2205"/>
    </row>
    <row r="17" hidden="1" spans="1:19">
      <c r="A17" s="2257"/>
      <c r="B17" s="2258"/>
      <c r="C17" s="2259" t="s">
        <v>229</v>
      </c>
      <c r="D17" s="2260"/>
      <c r="E17" s="2261"/>
      <c r="F17" s="2265"/>
      <c r="G17" s="2263"/>
      <c r="H17" s="2263"/>
      <c r="I17" s="2269"/>
      <c r="J17" s="2270"/>
      <c r="K17" s="2205"/>
      <c r="L17" s="2205"/>
      <c r="M17" s="2268"/>
      <c r="N17" s="2268"/>
      <c r="O17" s="2268"/>
      <c r="P17" s="2205"/>
      <c r="Q17" s="2205"/>
      <c r="R17" s="2205"/>
      <c r="S17" s="2205"/>
    </row>
    <row r="18" hidden="1" spans="1:19">
      <c r="A18" s="2257"/>
      <c r="B18" s="2258"/>
      <c r="C18" s="2259" t="s">
        <v>231</v>
      </c>
      <c r="D18" s="2260"/>
      <c r="E18" s="2261"/>
      <c r="F18" s="2265"/>
      <c r="G18" s="2263"/>
      <c r="H18" s="2263"/>
      <c r="I18" s="2269"/>
      <c r="J18" s="2270"/>
      <c r="K18" s="2205"/>
      <c r="L18" s="2205"/>
      <c r="M18" s="2268"/>
      <c r="N18" s="2268"/>
      <c r="O18" s="2268"/>
      <c r="P18" s="2205"/>
      <c r="Q18" s="2205"/>
      <c r="R18" s="2205"/>
      <c r="S18" s="2205"/>
    </row>
    <row r="19" hidden="1" spans="1:19">
      <c r="A19" s="2257"/>
      <c r="B19" s="2258"/>
      <c r="C19" s="2259" t="s">
        <v>233</v>
      </c>
      <c r="D19" s="2260"/>
      <c r="E19" s="2261"/>
      <c r="F19" s="2265"/>
      <c r="G19" s="2263"/>
      <c r="H19" s="2263"/>
      <c r="I19" s="2269"/>
      <c r="J19" s="2270"/>
      <c r="K19" s="2205"/>
      <c r="L19" s="2205"/>
      <c r="M19" s="2268"/>
      <c r="N19" s="2268"/>
      <c r="O19" s="2268"/>
      <c r="P19" s="2205"/>
      <c r="Q19" s="2205"/>
      <c r="R19" s="2205"/>
      <c r="S19" s="2205"/>
    </row>
    <row r="20" hidden="1" spans="1:19">
      <c r="A20" s="2257"/>
      <c r="B20" s="2258"/>
      <c r="C20" s="2259" t="s">
        <v>235</v>
      </c>
      <c r="D20" s="2260"/>
      <c r="E20" s="2261"/>
      <c r="F20" s="2265"/>
      <c r="G20" s="2263"/>
      <c r="H20" s="2263"/>
      <c r="I20" s="2269"/>
      <c r="J20" s="2270"/>
      <c r="K20" s="2205"/>
      <c r="L20" s="2205"/>
      <c r="M20" s="2268"/>
      <c r="N20" s="2268"/>
      <c r="O20" s="2268"/>
      <c r="P20" s="2205"/>
      <c r="Q20" s="2205"/>
      <c r="R20" s="2205"/>
      <c r="S20" s="2205"/>
    </row>
    <row r="21" hidden="1" spans="1:19">
      <c r="A21" s="2257"/>
      <c r="B21" s="2258"/>
      <c r="C21" s="2259" t="s">
        <v>237</v>
      </c>
      <c r="D21" s="2260"/>
      <c r="E21" s="2261"/>
      <c r="F21" s="2265"/>
      <c r="G21" s="2263"/>
      <c r="H21" s="2263"/>
      <c r="I21" s="2269"/>
      <c r="J21" s="2270"/>
      <c r="K21" s="2205"/>
      <c r="L21" s="2205"/>
      <c r="M21" s="2268"/>
      <c r="N21" s="2268"/>
      <c r="O21" s="2268"/>
      <c r="P21" s="2205"/>
      <c r="Q21" s="2205"/>
      <c r="R21" s="2205"/>
      <c r="S21" s="2205"/>
    </row>
    <row r="22" hidden="1" spans="1:19">
      <c r="A22" s="2257"/>
      <c r="B22" s="2258"/>
      <c r="C22" s="2259" t="s">
        <v>239</v>
      </c>
      <c r="D22" s="2260"/>
      <c r="E22" s="2261"/>
      <c r="F22" s="2265"/>
      <c r="G22" s="2263"/>
      <c r="H22" s="2263"/>
      <c r="I22" s="2269"/>
      <c r="J22" s="2270"/>
      <c r="K22" s="2205"/>
      <c r="L22" s="2205"/>
      <c r="M22" s="2268"/>
      <c r="N22" s="2268"/>
      <c r="O22" s="2268"/>
      <c r="P22" s="2205"/>
      <c r="Q22" s="2205"/>
      <c r="R22" s="2205"/>
      <c r="S22" s="2205"/>
    </row>
    <row r="23" hidden="1" spans="1:19">
      <c r="A23" s="2257"/>
      <c r="B23" s="2258"/>
      <c r="C23" s="2259" t="s">
        <v>241</v>
      </c>
      <c r="D23" s="2260"/>
      <c r="E23" s="2261"/>
      <c r="F23" s="2265"/>
      <c r="G23" s="2263"/>
      <c r="H23" s="2263"/>
      <c r="I23" s="2269"/>
      <c r="J23" s="2270"/>
      <c r="K23" s="2205"/>
      <c r="L23" s="2205"/>
      <c r="M23" s="2268"/>
      <c r="N23" s="2268"/>
      <c r="O23" s="2268"/>
      <c r="P23" s="2205"/>
      <c r="Q23" s="2205"/>
      <c r="R23" s="2205"/>
      <c r="S23" s="2205"/>
    </row>
    <row r="24" hidden="1" spans="1:19">
      <c r="A24" s="2257"/>
      <c r="B24" s="2258"/>
      <c r="C24" s="2259" t="s">
        <v>243</v>
      </c>
      <c r="D24" s="2260"/>
      <c r="E24" s="2261"/>
      <c r="F24" s="2265"/>
      <c r="G24" s="2263"/>
      <c r="H24" s="2263"/>
      <c r="I24" s="2269"/>
      <c r="J24" s="2270"/>
      <c r="K24" s="2205"/>
      <c r="L24" s="2205"/>
      <c r="M24" s="2268"/>
      <c r="N24" s="2268"/>
      <c r="O24" s="2268"/>
      <c r="P24" s="2205"/>
      <c r="Q24" s="2205"/>
      <c r="R24" s="2205"/>
      <c r="S24" s="2205"/>
    </row>
    <row r="25" hidden="1" spans="1:19">
      <c r="A25" s="2257"/>
      <c r="B25" s="2258"/>
      <c r="C25" s="2259" t="s">
        <v>244</v>
      </c>
      <c r="D25" s="2260"/>
      <c r="E25" s="2261"/>
      <c r="F25" s="2265"/>
      <c r="G25" s="2263"/>
      <c r="H25" s="2263"/>
      <c r="I25" s="2269"/>
      <c r="J25" s="2270"/>
      <c r="K25" s="2205"/>
      <c r="L25" s="2205"/>
      <c r="M25" s="2268"/>
      <c r="N25" s="2268"/>
      <c r="O25" s="2268"/>
      <c r="P25" s="2205"/>
      <c r="Q25" s="2205"/>
      <c r="R25" s="2205"/>
      <c r="S25" s="2205"/>
    </row>
    <row r="26" hidden="1" spans="1:19">
      <c r="A26" s="2257"/>
      <c r="B26" s="2258"/>
      <c r="C26" s="2259" t="s">
        <v>246</v>
      </c>
      <c r="D26" s="2260"/>
      <c r="E26" s="2261"/>
      <c r="F26" s="2265"/>
      <c r="G26" s="2263"/>
      <c r="H26" s="2263"/>
      <c r="I26" s="2269"/>
      <c r="J26" s="2270"/>
      <c r="K26" s="2205"/>
      <c r="L26" s="2205"/>
      <c r="M26" s="2268"/>
      <c r="N26" s="2268"/>
      <c r="O26" s="2268"/>
      <c r="P26" s="2205"/>
      <c r="Q26" s="2205"/>
      <c r="R26" s="2205"/>
      <c r="S26" s="2205"/>
    </row>
    <row r="27" hidden="1" spans="1:19">
      <c r="A27" s="2257"/>
      <c r="B27" s="2258"/>
      <c r="C27" s="2259" t="s">
        <v>247</v>
      </c>
      <c r="D27" s="2260"/>
      <c r="E27" s="2261"/>
      <c r="F27" s="2265"/>
      <c r="G27" s="2263"/>
      <c r="H27" s="2263"/>
      <c r="I27" s="2269"/>
      <c r="J27" s="2270"/>
      <c r="K27" s="2205"/>
      <c r="L27" s="2205"/>
      <c r="M27" s="2268"/>
      <c r="N27" s="2268"/>
      <c r="O27" s="2268"/>
      <c r="P27" s="2205"/>
      <c r="Q27" s="2205"/>
      <c r="R27" s="2205"/>
      <c r="S27" s="2205"/>
    </row>
    <row r="28" hidden="1" spans="1:19">
      <c r="A28" s="2257"/>
      <c r="B28" s="2258"/>
      <c r="C28" s="2259" t="s">
        <v>249</v>
      </c>
      <c r="D28" s="2260"/>
      <c r="E28" s="2261"/>
      <c r="F28" s="2265"/>
      <c r="G28" s="2263"/>
      <c r="H28" s="2263"/>
      <c r="I28" s="2269"/>
      <c r="J28" s="2270"/>
      <c r="K28" s="2205"/>
      <c r="L28" s="2205"/>
      <c r="M28" s="2268"/>
      <c r="N28" s="2268"/>
      <c r="O28" s="2268"/>
      <c r="P28" s="2205"/>
      <c r="Q28" s="2205"/>
      <c r="R28" s="2205"/>
      <c r="S28" s="2205"/>
    </row>
    <row r="29" hidden="1" spans="1:19">
      <c r="A29" s="2257"/>
      <c r="B29" s="2258"/>
      <c r="C29" s="2259" t="s">
        <v>251</v>
      </c>
      <c r="D29" s="2260"/>
      <c r="E29" s="2261"/>
      <c r="F29" s="2265"/>
      <c r="G29" s="2263"/>
      <c r="H29" s="2263"/>
      <c r="I29" s="2269"/>
      <c r="J29" s="2270"/>
      <c r="K29" s="2205"/>
      <c r="L29" s="2205"/>
      <c r="M29" s="2268"/>
      <c r="N29" s="2268"/>
      <c r="O29" s="2268"/>
      <c r="P29" s="2205"/>
      <c r="Q29" s="2205"/>
      <c r="R29" s="2205"/>
      <c r="S29" s="2205"/>
    </row>
    <row r="30" hidden="1" spans="1:19">
      <c r="A30" s="2257"/>
      <c r="B30" s="2258"/>
      <c r="C30" s="2259" t="s">
        <v>253</v>
      </c>
      <c r="D30" s="2260"/>
      <c r="E30" s="2261"/>
      <c r="F30" s="2265"/>
      <c r="G30" s="2263"/>
      <c r="H30" s="2263"/>
      <c r="I30" s="2269"/>
      <c r="J30" s="2270"/>
      <c r="K30" s="2205"/>
      <c r="L30" s="2205"/>
      <c r="M30" s="2268"/>
      <c r="N30" s="2268"/>
      <c r="O30" s="2268"/>
      <c r="P30" s="2205"/>
      <c r="Q30" s="2205"/>
      <c r="R30" s="2205"/>
      <c r="S30" s="2205"/>
    </row>
    <row r="31" hidden="1" spans="1:19">
      <c r="A31" s="2257"/>
      <c r="B31" s="2258"/>
      <c r="C31" s="2266">
        <f>未审资负表!A39</f>
        <v>0</v>
      </c>
      <c r="D31" s="2260"/>
      <c r="E31" s="2261"/>
      <c r="F31" s="2265"/>
      <c r="G31" s="2263"/>
      <c r="H31" s="2263"/>
      <c r="I31" s="2269"/>
      <c r="J31" s="2270"/>
      <c r="K31" s="2205"/>
      <c r="L31" s="2205"/>
      <c r="M31" s="2268"/>
      <c r="N31" s="2268"/>
      <c r="O31" s="2268"/>
      <c r="P31" s="2205"/>
      <c r="Q31" s="2205"/>
      <c r="R31" s="2205"/>
      <c r="S31" s="2205"/>
    </row>
    <row r="32" hidden="1" spans="1:19">
      <c r="A32" s="2257"/>
      <c r="B32" s="2258"/>
      <c r="C32" s="2259" t="s">
        <v>196</v>
      </c>
      <c r="D32" s="2260"/>
      <c r="E32" s="2261"/>
      <c r="F32" s="2265"/>
      <c r="G32" s="2263"/>
      <c r="H32" s="2263"/>
      <c r="I32" s="2269"/>
      <c r="J32" s="2270"/>
      <c r="K32" s="2205"/>
      <c r="L32" s="2205"/>
      <c r="M32" s="2268"/>
      <c r="N32" s="2268"/>
      <c r="O32" s="2268"/>
      <c r="P32" s="2205"/>
      <c r="Q32" s="2205"/>
      <c r="R32" s="2205"/>
      <c r="S32" s="2205"/>
    </row>
    <row r="33" hidden="1" spans="1:19">
      <c r="A33" s="2257"/>
      <c r="B33" s="2258"/>
      <c r="C33" s="2259" t="s">
        <v>1397</v>
      </c>
      <c r="D33" s="2260"/>
      <c r="E33" s="2261"/>
      <c r="F33" s="2265"/>
      <c r="G33" s="2263"/>
      <c r="H33" s="2263"/>
      <c r="I33" s="2269"/>
      <c r="J33" s="2270"/>
      <c r="K33" s="2205"/>
      <c r="L33" s="2205"/>
      <c r="M33" s="2268"/>
      <c r="N33" s="2268"/>
      <c r="O33" s="2268"/>
      <c r="P33" s="2205"/>
      <c r="Q33" s="2205"/>
      <c r="R33" s="2205"/>
      <c r="S33" s="2205"/>
    </row>
    <row r="34" hidden="1" spans="1:19">
      <c r="A34" s="2257"/>
      <c r="B34" s="2258"/>
      <c r="C34" s="2259" t="s">
        <v>200</v>
      </c>
      <c r="D34" s="2260"/>
      <c r="E34" s="2261"/>
      <c r="F34" s="2265"/>
      <c r="G34" s="2263"/>
      <c r="H34" s="2263"/>
      <c r="I34" s="2269"/>
      <c r="J34" s="2270"/>
      <c r="K34" s="2205"/>
      <c r="L34" s="2205"/>
      <c r="M34" s="2268"/>
      <c r="N34" s="2268"/>
      <c r="O34" s="2268"/>
      <c r="P34" s="2205"/>
      <c r="Q34" s="2205"/>
      <c r="R34" s="2205"/>
      <c r="S34" s="2205"/>
    </row>
    <row r="35" hidden="1" spans="1:19">
      <c r="A35" s="2257"/>
      <c r="B35" s="2258"/>
      <c r="C35" s="2259" t="s">
        <v>202</v>
      </c>
      <c r="D35" s="2260"/>
      <c r="E35" s="2261"/>
      <c r="F35" s="2265"/>
      <c r="G35" s="2263"/>
      <c r="H35" s="2263"/>
      <c r="I35" s="2269"/>
      <c r="J35" s="2270"/>
      <c r="K35" s="2205"/>
      <c r="L35" s="2205"/>
      <c r="M35" s="2268"/>
      <c r="N35" s="2268"/>
      <c r="O35" s="2268"/>
      <c r="P35" s="2205"/>
      <c r="Q35" s="2205"/>
      <c r="R35" s="2205"/>
      <c r="S35" s="2205"/>
    </row>
    <row r="36" hidden="1" spans="1:19">
      <c r="A36" s="2257"/>
      <c r="B36" s="2258"/>
      <c r="C36" s="2259" t="s">
        <v>204</v>
      </c>
      <c r="D36" s="2260"/>
      <c r="E36" s="2261"/>
      <c r="F36" s="2265"/>
      <c r="G36" s="2263"/>
      <c r="H36" s="2263"/>
      <c r="I36" s="2269"/>
      <c r="J36" s="2270"/>
      <c r="K36" s="2205"/>
      <c r="L36" s="2205"/>
      <c r="M36" s="2268"/>
      <c r="N36" s="2268"/>
      <c r="O36" s="2268"/>
      <c r="P36" s="2205"/>
      <c r="Q36" s="2205"/>
      <c r="R36" s="2205"/>
      <c r="S36" s="2205"/>
    </row>
    <row r="37" hidden="1" spans="1:19">
      <c r="A37" s="2257"/>
      <c r="B37" s="2258"/>
      <c r="C37" s="2259" t="s">
        <v>206</v>
      </c>
      <c r="D37" s="2260"/>
      <c r="E37" s="2261"/>
      <c r="F37" s="2265"/>
      <c r="G37" s="2263"/>
      <c r="H37" s="2263"/>
      <c r="I37" s="2269"/>
      <c r="J37" s="2270"/>
      <c r="K37" s="2205"/>
      <c r="L37" s="2205"/>
      <c r="M37" s="2268"/>
      <c r="N37" s="2268"/>
      <c r="O37" s="2268"/>
      <c r="P37" s="2205"/>
      <c r="Q37" s="2205"/>
      <c r="R37" s="2205"/>
      <c r="S37" s="2205"/>
    </row>
    <row r="38" hidden="1" spans="1:19">
      <c r="A38" s="2256"/>
      <c r="B38" s="2205"/>
      <c r="C38" s="2259" t="s">
        <v>208</v>
      </c>
      <c r="D38" s="2205"/>
      <c r="E38" s="2205"/>
      <c r="F38" s="2205"/>
      <c r="G38" s="2205"/>
      <c r="H38" s="2205"/>
      <c r="I38" s="2205"/>
      <c r="J38" s="2205"/>
      <c r="K38" s="2205"/>
      <c r="L38" s="2205"/>
      <c r="M38" s="2268"/>
      <c r="N38" s="2268"/>
      <c r="O38" s="2268"/>
      <c r="P38" s="2205"/>
      <c r="Q38" s="2205"/>
      <c r="R38" s="2205"/>
      <c r="S38" s="2205"/>
    </row>
    <row r="39" hidden="1" spans="1:19">
      <c r="A39" s="2256"/>
      <c r="B39" s="2205"/>
      <c r="C39" s="2259" t="s">
        <v>210</v>
      </c>
      <c r="D39" s="2205"/>
      <c r="E39" s="2205"/>
      <c r="F39" s="2205"/>
      <c r="G39" s="2205"/>
      <c r="H39" s="2205"/>
      <c r="I39" s="2205"/>
      <c r="J39" s="2205"/>
      <c r="K39" s="2205"/>
      <c r="L39" s="2205"/>
      <c r="M39" s="2268"/>
      <c r="N39" s="2268"/>
      <c r="O39" s="2268"/>
      <c r="P39" s="2205"/>
      <c r="Q39" s="2205"/>
      <c r="R39" s="2205"/>
      <c r="S39" s="2205"/>
    </row>
    <row r="40" hidden="1" spans="1:19">
      <c r="A40" s="2256"/>
      <c r="B40" s="2205"/>
      <c r="C40" s="2259" t="s">
        <v>212</v>
      </c>
      <c r="D40" s="2205"/>
      <c r="E40" s="2205"/>
      <c r="F40" s="2205"/>
      <c r="G40" s="2205"/>
      <c r="H40" s="2205"/>
      <c r="I40" s="2205"/>
      <c r="J40" s="2205"/>
      <c r="K40" s="2205"/>
      <c r="L40" s="2205"/>
      <c r="M40" s="2268"/>
      <c r="N40" s="2268"/>
      <c r="O40" s="2268"/>
      <c r="P40" s="2205"/>
      <c r="Q40" s="2205"/>
      <c r="R40" s="2205"/>
      <c r="S40" s="2205"/>
    </row>
    <row r="41" hidden="1" spans="1:19">
      <c r="A41" s="2256"/>
      <c r="B41" s="2205"/>
      <c r="C41" s="2259" t="s">
        <v>214</v>
      </c>
      <c r="D41" s="2205"/>
      <c r="E41" s="2205"/>
      <c r="F41" s="2205"/>
      <c r="G41" s="2205"/>
      <c r="H41" s="2205"/>
      <c r="I41" s="2205"/>
      <c r="J41" s="2205"/>
      <c r="K41" s="2205"/>
      <c r="L41" s="2205"/>
      <c r="M41" s="2268"/>
      <c r="N41" s="2268"/>
      <c r="O41" s="2268"/>
      <c r="P41" s="2205"/>
      <c r="Q41" s="2205"/>
      <c r="R41" s="2205"/>
      <c r="S41" s="2205"/>
    </row>
    <row r="42" hidden="1" spans="1:19">
      <c r="A42" s="2256"/>
      <c r="B42" s="2205"/>
      <c r="C42" s="2259" t="s">
        <v>216</v>
      </c>
      <c r="D42" s="2205"/>
      <c r="E42" s="2205"/>
      <c r="F42" s="2205"/>
      <c r="G42" s="2205"/>
      <c r="H42" s="2205"/>
      <c r="I42" s="2205"/>
      <c r="J42" s="2205"/>
      <c r="K42" s="2205"/>
      <c r="L42" s="2205"/>
      <c r="M42" s="2268"/>
      <c r="N42" s="2268"/>
      <c r="O42" s="2268"/>
      <c r="P42" s="2205"/>
      <c r="Q42" s="2205"/>
      <c r="R42" s="2205"/>
      <c r="S42" s="2205"/>
    </row>
    <row r="43" hidden="1" spans="1:19">
      <c r="A43" s="2256"/>
      <c r="B43" s="2205"/>
      <c r="C43" s="2259" t="s">
        <v>218</v>
      </c>
      <c r="D43" s="2205"/>
      <c r="E43" s="2205"/>
      <c r="F43" s="2205"/>
      <c r="G43" s="2205"/>
      <c r="H43" s="2205"/>
      <c r="I43" s="2205"/>
      <c r="J43" s="2205"/>
      <c r="K43" s="2205"/>
      <c r="L43" s="2205"/>
      <c r="M43" s="2268"/>
      <c r="N43" s="2268"/>
      <c r="O43" s="2268"/>
      <c r="P43" s="2205"/>
      <c r="Q43" s="2205"/>
      <c r="R43" s="2205"/>
      <c r="S43" s="2205"/>
    </row>
    <row r="44" hidden="1" spans="1:19">
      <c r="A44" s="2256"/>
      <c r="B44" s="2205"/>
      <c r="C44" s="2266" t="str">
        <f>未审资负表!E19</f>
        <v>持有待售负债</v>
      </c>
      <c r="D44" s="2205"/>
      <c r="E44" s="2205"/>
      <c r="F44" s="2205"/>
      <c r="G44" s="2205"/>
      <c r="H44" s="2205"/>
      <c r="I44" s="2205"/>
      <c r="J44" s="2205"/>
      <c r="K44" s="2205"/>
      <c r="L44" s="2205"/>
      <c r="M44" s="2268"/>
      <c r="N44" s="2268"/>
      <c r="O44" s="2268"/>
      <c r="P44" s="2205"/>
      <c r="Q44" s="2205"/>
      <c r="R44" s="2205"/>
      <c r="S44" s="2205"/>
    </row>
    <row r="45" hidden="1" spans="1:19">
      <c r="A45" s="2256"/>
      <c r="B45" s="2205"/>
      <c r="C45" s="2259" t="s">
        <v>226</v>
      </c>
      <c r="D45" s="2205"/>
      <c r="E45" s="2205"/>
      <c r="F45" s="2205"/>
      <c r="G45" s="2205"/>
      <c r="H45" s="2205"/>
      <c r="I45" s="2205"/>
      <c r="J45" s="2205"/>
      <c r="K45" s="2205"/>
      <c r="L45" s="2205"/>
      <c r="M45" s="2268"/>
      <c r="N45" s="2268"/>
      <c r="O45" s="2268"/>
      <c r="P45" s="2205"/>
      <c r="Q45" s="2205"/>
      <c r="R45" s="2205"/>
      <c r="S45" s="2205"/>
    </row>
    <row r="46" hidden="1" spans="1:19">
      <c r="A46" s="2256"/>
      <c r="B46" s="2205"/>
      <c r="C46" s="2259" t="s">
        <v>228</v>
      </c>
      <c r="D46" s="2205"/>
      <c r="E46" s="2205"/>
      <c r="F46" s="2205"/>
      <c r="G46" s="2205"/>
      <c r="H46" s="2205"/>
      <c r="I46" s="2205"/>
      <c r="J46" s="2205"/>
      <c r="K46" s="2205"/>
      <c r="L46" s="2205"/>
      <c r="M46" s="2268"/>
      <c r="N46" s="2268"/>
      <c r="O46" s="2268"/>
      <c r="P46" s="2205"/>
      <c r="Q46" s="2205"/>
      <c r="R46" s="2205"/>
      <c r="S46" s="2205"/>
    </row>
    <row r="47" hidden="1" spans="1:19">
      <c r="A47" s="2256"/>
      <c r="B47" s="2205"/>
      <c r="C47" s="2259" t="s">
        <v>230</v>
      </c>
      <c r="D47" s="2205"/>
      <c r="E47" s="2205"/>
      <c r="F47" s="2205"/>
      <c r="G47" s="2205"/>
      <c r="H47" s="2205"/>
      <c r="I47" s="2205"/>
      <c r="J47" s="2205"/>
      <c r="K47" s="2205"/>
      <c r="L47" s="2205"/>
      <c r="M47" s="2268"/>
      <c r="N47" s="2268"/>
      <c r="O47" s="2268"/>
      <c r="P47" s="2205"/>
      <c r="Q47" s="2205"/>
      <c r="R47" s="2205"/>
      <c r="S47" s="2205"/>
    </row>
    <row r="48" hidden="1" spans="1:19">
      <c r="A48" s="2256"/>
      <c r="B48" s="2205"/>
      <c r="C48" s="2259" t="s">
        <v>232</v>
      </c>
      <c r="D48" s="2205"/>
      <c r="E48" s="2205"/>
      <c r="F48" s="2205"/>
      <c r="G48" s="2205"/>
      <c r="H48" s="2205"/>
      <c r="I48" s="2205"/>
      <c r="J48" s="2205"/>
      <c r="K48" s="2205"/>
      <c r="L48" s="2205"/>
      <c r="M48" s="2268"/>
      <c r="N48" s="2268"/>
      <c r="O48" s="2268"/>
      <c r="P48" s="2205"/>
      <c r="Q48" s="2205"/>
      <c r="R48" s="2205"/>
      <c r="S48" s="2205"/>
    </row>
    <row r="49" hidden="1" spans="1:19">
      <c r="A49" s="2256"/>
      <c r="B49" s="2205"/>
      <c r="C49" s="2259" t="s">
        <v>234</v>
      </c>
      <c r="D49" s="2205"/>
      <c r="E49" s="2205"/>
      <c r="F49" s="2205"/>
      <c r="G49" s="2205"/>
      <c r="H49" s="2205"/>
      <c r="I49" s="2205"/>
      <c r="J49" s="2205"/>
      <c r="K49" s="2205"/>
      <c r="L49" s="2205"/>
      <c r="M49" s="2268"/>
      <c r="N49" s="2268"/>
      <c r="O49" s="2268"/>
      <c r="P49" s="2205"/>
      <c r="Q49" s="2205"/>
      <c r="R49" s="2205"/>
      <c r="S49" s="2205"/>
    </row>
    <row r="50" hidden="1" spans="1:19">
      <c r="A50" s="2256"/>
      <c r="B50" s="2205"/>
      <c r="C50" s="2259" t="s">
        <v>236</v>
      </c>
      <c r="D50" s="2205"/>
      <c r="E50" s="2205"/>
      <c r="F50" s="2205"/>
      <c r="G50" s="2205"/>
      <c r="H50" s="2205"/>
      <c r="I50" s="2205"/>
      <c r="J50" s="2205"/>
      <c r="K50" s="2205"/>
      <c r="L50" s="2205"/>
      <c r="M50" s="2268"/>
      <c r="N50" s="2268"/>
      <c r="O50" s="2268"/>
      <c r="P50" s="2205"/>
      <c r="Q50" s="2205"/>
      <c r="R50" s="2205"/>
      <c r="S50" s="2205"/>
    </row>
    <row r="51" hidden="1" spans="1:19">
      <c r="A51" s="2256"/>
      <c r="B51" s="2205"/>
      <c r="C51" s="2259" t="s">
        <v>238</v>
      </c>
      <c r="D51" s="2205"/>
      <c r="E51" s="2205"/>
      <c r="F51" s="2205"/>
      <c r="G51" s="2205"/>
      <c r="H51" s="2205"/>
      <c r="I51" s="2205"/>
      <c r="J51" s="2205"/>
      <c r="K51" s="2205"/>
      <c r="L51" s="2205"/>
      <c r="M51" s="2268"/>
      <c r="N51" s="2268"/>
      <c r="O51" s="2268"/>
      <c r="P51" s="2205"/>
      <c r="Q51" s="2205"/>
      <c r="R51" s="2205"/>
      <c r="S51" s="2205"/>
    </row>
    <row r="52" hidden="1" spans="1:19">
      <c r="A52" s="2256"/>
      <c r="B52" s="2205"/>
      <c r="C52" s="2266" t="str">
        <f>未审资负表!E30</f>
        <v>递延收益</v>
      </c>
      <c r="D52" s="2205"/>
      <c r="E52" s="2205"/>
      <c r="F52" s="2205"/>
      <c r="G52" s="2205"/>
      <c r="H52" s="2205"/>
      <c r="I52" s="2205"/>
      <c r="J52" s="2205"/>
      <c r="K52" s="2205"/>
      <c r="L52" s="2205"/>
      <c r="M52" s="2268"/>
      <c r="N52" s="2268"/>
      <c r="O52" s="2268"/>
      <c r="P52" s="2205"/>
      <c r="Q52" s="2205"/>
      <c r="R52" s="2205"/>
      <c r="S52" s="2205"/>
    </row>
    <row r="53" hidden="1" spans="1:19">
      <c r="A53" s="2256"/>
      <c r="B53" s="2205"/>
      <c r="C53" s="2259" t="s">
        <v>250</v>
      </c>
      <c r="D53" s="2205"/>
      <c r="E53" s="2205"/>
      <c r="F53" s="2205"/>
      <c r="G53" s="2205"/>
      <c r="H53" s="2205"/>
      <c r="I53" s="2205"/>
      <c r="J53" s="2205"/>
      <c r="K53" s="2205"/>
      <c r="L53" s="2205"/>
      <c r="M53" s="2268"/>
      <c r="N53" s="2268"/>
      <c r="O53" s="2268"/>
      <c r="P53" s="2205"/>
      <c r="Q53" s="2205"/>
      <c r="R53" s="2205"/>
      <c r="S53" s="2205"/>
    </row>
    <row r="54" hidden="1" spans="1:19">
      <c r="A54" s="2256"/>
      <c r="B54" s="2205"/>
      <c r="C54" s="2259" t="s">
        <v>252</v>
      </c>
      <c r="D54" s="2205"/>
      <c r="E54" s="2205"/>
      <c r="F54" s="2205"/>
      <c r="G54" s="2205"/>
      <c r="H54" s="2205"/>
      <c r="I54" s="2205"/>
      <c r="J54" s="2205"/>
      <c r="K54" s="2205"/>
      <c r="L54" s="2205"/>
      <c r="M54" s="2268"/>
      <c r="N54" s="2268"/>
      <c r="O54" s="2268"/>
      <c r="P54" s="2205"/>
      <c r="Q54" s="2205"/>
      <c r="R54" s="2205"/>
      <c r="S54" s="2205"/>
    </row>
    <row r="55" hidden="1" spans="1:19">
      <c r="A55" s="2256"/>
      <c r="B55" s="2205"/>
      <c r="C55" s="2267" t="s">
        <v>1402</v>
      </c>
      <c r="D55" s="2205"/>
      <c r="E55" s="2205"/>
      <c r="F55" s="2205"/>
      <c r="G55" s="2205"/>
      <c r="H55" s="2205"/>
      <c r="I55" s="2205"/>
      <c r="J55" s="2205"/>
      <c r="K55" s="2205"/>
      <c r="L55" s="2205"/>
      <c r="M55" s="2268"/>
      <c r="N55" s="2268"/>
      <c r="O55" s="2268"/>
      <c r="P55" s="2205"/>
      <c r="Q55" s="2205"/>
      <c r="R55" s="2205"/>
      <c r="S55" s="2205"/>
    </row>
    <row r="56" hidden="1" spans="1:19">
      <c r="A56" s="2256"/>
      <c r="B56" s="2205"/>
      <c r="C56" s="2259" t="s">
        <v>255</v>
      </c>
      <c r="D56" s="2205"/>
      <c r="E56" s="2205"/>
      <c r="F56" s="2205"/>
      <c r="G56" s="2205"/>
      <c r="H56" s="2205"/>
      <c r="I56" s="2205"/>
      <c r="J56" s="2205"/>
      <c r="K56" s="2205"/>
      <c r="L56" s="2205"/>
      <c r="M56" s="2268"/>
      <c r="N56" s="2268"/>
      <c r="O56" s="2268"/>
      <c r="P56" s="2205"/>
      <c r="Q56" s="2205"/>
      <c r="R56" s="2205"/>
      <c r="S56" s="2205"/>
    </row>
    <row r="57" hidden="1" spans="1:19">
      <c r="A57" s="2256"/>
      <c r="B57" s="2205"/>
      <c r="C57" s="2259"/>
      <c r="D57" s="2205"/>
      <c r="E57" s="2205"/>
      <c r="F57" s="2205"/>
      <c r="G57" s="2205"/>
      <c r="H57" s="2205"/>
      <c r="I57" s="2205"/>
      <c r="J57" s="2205"/>
      <c r="K57" s="2205"/>
      <c r="L57" s="2205"/>
      <c r="M57" s="2268"/>
      <c r="N57" s="2268"/>
      <c r="O57" s="2268"/>
      <c r="P57" s="2205"/>
      <c r="Q57" s="2205"/>
      <c r="R57" s="2205"/>
      <c r="S57" s="2205"/>
    </row>
    <row r="58" hidden="1" spans="1:19">
      <c r="A58" s="2256"/>
      <c r="B58" s="2205"/>
      <c r="C58" s="2259" t="s">
        <v>258</v>
      </c>
      <c r="D58" s="2205"/>
      <c r="E58" s="2205"/>
      <c r="F58" s="2205"/>
      <c r="G58" s="2205"/>
      <c r="H58" s="2205"/>
      <c r="I58" s="2205"/>
      <c r="J58" s="2205"/>
      <c r="K58" s="2205"/>
      <c r="L58" s="2205"/>
      <c r="M58" s="2268"/>
      <c r="N58" s="2268"/>
      <c r="O58" s="2268"/>
      <c r="P58" s="2205"/>
      <c r="Q58" s="2205"/>
      <c r="R58" s="2205"/>
      <c r="S58" s="2205"/>
    </row>
    <row r="59" hidden="1" spans="1:19">
      <c r="A59" s="2256"/>
      <c r="B59" s="2205"/>
      <c r="C59" s="2266" t="str">
        <f>未审资负表!E42</f>
        <v>其他综合收益</v>
      </c>
      <c r="D59" s="2205"/>
      <c r="E59" s="2205"/>
      <c r="F59" s="2205"/>
      <c r="G59" s="2205"/>
      <c r="H59" s="2205"/>
      <c r="I59" s="2205"/>
      <c r="J59" s="2205"/>
      <c r="K59" s="2205"/>
      <c r="L59" s="2205"/>
      <c r="M59" s="2268"/>
      <c r="N59" s="2268"/>
      <c r="O59" s="2268"/>
      <c r="P59" s="2205"/>
      <c r="Q59" s="2205"/>
      <c r="R59" s="2205"/>
      <c r="S59" s="2205"/>
    </row>
    <row r="60" hidden="1" spans="1:19">
      <c r="A60" s="2256"/>
      <c r="B60" s="2205"/>
      <c r="C60" s="2267" t="s">
        <v>1403</v>
      </c>
      <c r="D60" s="2205"/>
      <c r="E60" s="2205"/>
      <c r="F60" s="2205"/>
      <c r="G60" s="2205"/>
      <c r="H60" s="2205"/>
      <c r="I60" s="2205"/>
      <c r="J60" s="2205"/>
      <c r="K60" s="2205"/>
      <c r="L60" s="2205"/>
      <c r="M60" s="2268"/>
      <c r="N60" s="2268"/>
      <c r="O60" s="2268"/>
      <c r="P60" s="2205"/>
      <c r="Q60" s="2205"/>
      <c r="R60" s="2205"/>
      <c r="S60" s="2205"/>
    </row>
    <row r="61" hidden="1" spans="1:19">
      <c r="A61" s="2256"/>
      <c r="B61" s="2205"/>
      <c r="C61" s="2267" t="s">
        <v>1404</v>
      </c>
      <c r="D61" s="2205"/>
      <c r="E61" s="2205"/>
      <c r="F61" s="2205"/>
      <c r="G61" s="2205"/>
      <c r="H61" s="2205"/>
      <c r="I61" s="2205"/>
      <c r="J61" s="2205"/>
      <c r="K61" s="2205"/>
      <c r="L61" s="2205"/>
      <c r="M61" s="2268"/>
      <c r="N61" s="2268"/>
      <c r="O61" s="2268"/>
      <c r="P61" s="2205"/>
      <c r="Q61" s="2205"/>
      <c r="R61" s="2205"/>
      <c r="S61" s="2205"/>
    </row>
    <row r="62" hidden="1" spans="1:19">
      <c r="A62" s="2256"/>
      <c r="B62" s="2205"/>
      <c r="C62" s="2267" t="s">
        <v>1280</v>
      </c>
      <c r="D62" s="2205"/>
      <c r="E62" s="2205"/>
      <c r="F62" s="2205"/>
      <c r="G62" s="2205"/>
      <c r="H62" s="2205"/>
      <c r="I62" s="2205"/>
      <c r="J62" s="2205"/>
      <c r="K62" s="2205"/>
      <c r="L62" s="2205"/>
      <c r="M62" s="2268"/>
      <c r="N62" s="2268"/>
      <c r="O62" s="2268"/>
      <c r="P62" s="2205"/>
      <c r="Q62" s="2205"/>
      <c r="R62" s="2205"/>
      <c r="S62" s="2205"/>
    </row>
    <row r="63" hidden="1" spans="1:19">
      <c r="A63" s="2256"/>
      <c r="B63" s="2205"/>
      <c r="C63" s="2267" t="s">
        <v>1405</v>
      </c>
      <c r="D63" s="2205"/>
      <c r="E63" s="2205"/>
      <c r="F63" s="2205"/>
      <c r="G63" s="2205"/>
      <c r="H63" s="2205"/>
      <c r="I63" s="2205"/>
      <c r="J63" s="2205"/>
      <c r="K63" s="2205"/>
      <c r="L63" s="2205"/>
      <c r="M63" s="2268"/>
      <c r="N63" s="2268"/>
      <c r="O63" s="2268"/>
      <c r="P63" s="2205"/>
      <c r="Q63" s="2205"/>
      <c r="R63" s="2205"/>
      <c r="S63" s="2205"/>
    </row>
    <row r="64" hidden="1" spans="1:19">
      <c r="A64" s="2256"/>
      <c r="B64" s="2205"/>
      <c r="C64" s="2267" t="s">
        <v>1406</v>
      </c>
      <c r="D64" s="2205"/>
      <c r="E64" s="2205"/>
      <c r="F64" s="2205"/>
      <c r="G64" s="2205"/>
      <c r="H64" s="2205"/>
      <c r="I64" s="2205"/>
      <c r="J64" s="2205"/>
      <c r="K64" s="2205"/>
      <c r="L64" s="2205"/>
      <c r="M64" s="2268"/>
      <c r="N64" s="2268"/>
      <c r="O64" s="2268"/>
      <c r="P64" s="2205"/>
      <c r="Q64" s="2205"/>
      <c r="R64" s="2205"/>
      <c r="S64" s="2205"/>
    </row>
    <row r="65" hidden="1" spans="1:19">
      <c r="A65" s="2256"/>
      <c r="B65" s="2205"/>
      <c r="C65" s="2267" t="s">
        <v>1407</v>
      </c>
      <c r="D65" s="2205"/>
      <c r="E65" s="2205"/>
      <c r="F65" s="2205"/>
      <c r="G65" s="2205"/>
      <c r="H65" s="2205"/>
      <c r="I65" s="2205"/>
      <c r="J65" s="2205"/>
      <c r="K65" s="2205"/>
      <c r="L65" s="2205"/>
      <c r="M65" s="2268"/>
      <c r="N65" s="2268"/>
      <c r="O65" s="2268"/>
      <c r="P65" s="2205"/>
      <c r="Q65" s="2205"/>
      <c r="R65" s="2205"/>
      <c r="S65" s="2205"/>
    </row>
    <row r="66" hidden="1" spans="1:19">
      <c r="A66" s="2256"/>
      <c r="B66" s="2205"/>
      <c r="C66" s="2267" t="s">
        <v>1408</v>
      </c>
      <c r="D66" s="2205"/>
      <c r="E66" s="2205"/>
      <c r="F66" s="2205"/>
      <c r="G66" s="2205"/>
      <c r="H66" s="2205"/>
      <c r="I66" s="2205"/>
      <c r="J66" s="2205"/>
      <c r="K66" s="2205"/>
      <c r="L66" s="2205"/>
      <c r="M66" s="2268"/>
      <c r="N66" s="2268"/>
      <c r="O66" s="2268"/>
      <c r="P66" s="2205"/>
      <c r="Q66" s="2205"/>
      <c r="R66" s="2205"/>
      <c r="S66" s="2205"/>
    </row>
    <row r="67" hidden="1" spans="1:19">
      <c r="A67" s="2256"/>
      <c r="B67" s="2205"/>
      <c r="C67" s="2267" t="s">
        <v>1322</v>
      </c>
      <c r="D67" s="2205"/>
      <c r="E67" s="2205"/>
      <c r="F67" s="2205"/>
      <c r="G67" s="2205"/>
      <c r="H67" s="2205"/>
      <c r="I67" s="2205"/>
      <c r="J67" s="2205"/>
      <c r="K67" s="2205"/>
      <c r="L67" s="2205"/>
      <c r="M67" s="2268"/>
      <c r="N67" s="2268"/>
      <c r="O67" s="2268"/>
      <c r="P67" s="2205"/>
      <c r="Q67" s="2205"/>
      <c r="R67" s="2205"/>
      <c r="S67" s="2205"/>
    </row>
    <row r="68" hidden="1" spans="1:19">
      <c r="A68" s="2256"/>
      <c r="B68" s="2205"/>
      <c r="C68" s="2267" t="s">
        <v>1409</v>
      </c>
      <c r="D68" s="2205"/>
      <c r="E68" s="2205"/>
      <c r="F68" s="2205"/>
      <c r="G68" s="2205"/>
      <c r="H68" s="2205"/>
      <c r="I68" s="2205"/>
      <c r="J68" s="2205"/>
      <c r="K68" s="2205"/>
      <c r="L68" s="2205"/>
      <c r="M68" s="2268"/>
      <c r="N68" s="2268"/>
      <c r="O68" s="2268"/>
      <c r="P68" s="2205"/>
      <c r="Q68" s="2205"/>
      <c r="R68" s="2205"/>
      <c r="S68" s="2205"/>
    </row>
    <row r="69" hidden="1" spans="1:19">
      <c r="A69" s="2256"/>
      <c r="B69" s="2205"/>
      <c r="C69" s="2267" t="s">
        <v>1410</v>
      </c>
      <c r="D69" s="2205"/>
      <c r="E69" s="2205"/>
      <c r="F69" s="2205"/>
      <c r="G69" s="2205"/>
      <c r="H69" s="2205"/>
      <c r="I69" s="2205"/>
      <c r="J69" s="2205"/>
      <c r="K69" s="2205"/>
      <c r="L69" s="2205"/>
      <c r="M69" s="2268"/>
      <c r="N69" s="2268"/>
      <c r="O69" s="2268"/>
      <c r="P69" s="2205"/>
      <c r="Q69" s="2205"/>
      <c r="R69" s="2205"/>
      <c r="S69" s="2205"/>
    </row>
    <row r="70" hidden="1" spans="1:19">
      <c r="A70" s="2256"/>
      <c r="B70" s="2205"/>
      <c r="C70" s="2267" t="str">
        <f>TRIM(未审利润表!A18)</f>
        <v>其他收益</v>
      </c>
      <c r="D70" s="2205"/>
      <c r="E70" s="2205"/>
      <c r="F70" s="2205"/>
      <c r="G70" s="2205"/>
      <c r="H70" s="2205"/>
      <c r="I70" s="2205"/>
      <c r="J70" s="2205"/>
      <c r="K70" s="2205"/>
      <c r="L70" s="2205"/>
      <c r="M70" s="2268"/>
      <c r="N70" s="2268"/>
      <c r="O70" s="2268"/>
      <c r="P70" s="2205"/>
      <c r="Q70" s="2205"/>
      <c r="R70" s="2205"/>
      <c r="S70" s="2205"/>
    </row>
    <row r="71" hidden="1" spans="1:19">
      <c r="A71" s="2256"/>
      <c r="B71" s="2205"/>
      <c r="C71" s="2267" t="s">
        <v>1333</v>
      </c>
      <c r="D71" s="2205"/>
      <c r="E71" s="2205"/>
      <c r="F71" s="2205"/>
      <c r="G71" s="2205"/>
      <c r="H71" s="2205"/>
      <c r="I71" s="2205"/>
      <c r="J71" s="2205"/>
      <c r="K71" s="2205"/>
      <c r="L71" s="2205"/>
      <c r="M71" s="2268"/>
      <c r="N71" s="2268"/>
      <c r="O71" s="2268"/>
      <c r="P71" s="2205"/>
      <c r="Q71" s="2205"/>
      <c r="R71" s="2205"/>
      <c r="S71" s="2205"/>
    </row>
    <row r="72" hidden="1" spans="1:19">
      <c r="A72" s="2256"/>
      <c r="B72" s="2205"/>
      <c r="C72" s="2267" t="s">
        <v>1336</v>
      </c>
      <c r="D72" s="2205"/>
      <c r="E72" s="2205"/>
      <c r="F72" s="2205"/>
      <c r="G72" s="2205"/>
      <c r="H72" s="2205"/>
      <c r="I72" s="2205"/>
      <c r="J72" s="2205"/>
      <c r="K72" s="2205"/>
      <c r="L72" s="2205"/>
      <c r="M72" s="2268"/>
      <c r="N72" s="2268"/>
      <c r="O72" s="2268"/>
      <c r="P72" s="2205"/>
      <c r="Q72" s="2205"/>
      <c r="R72" s="2205"/>
      <c r="S72" s="2205"/>
    </row>
    <row r="73" hidden="1" spans="1:19">
      <c r="A73" s="2256"/>
      <c r="B73" s="2205"/>
      <c r="C73" s="2267" t="str">
        <f>TRIM(未审利润表!A28)</f>
        <v>（二）终止经营净利润（净亏损以“－”号填列）</v>
      </c>
      <c r="D73" s="2205"/>
      <c r="E73" s="2205"/>
      <c r="F73" s="2205"/>
      <c r="G73" s="2205"/>
      <c r="H73" s="2205"/>
      <c r="I73" s="2205"/>
      <c r="J73" s="2205"/>
      <c r="K73" s="2205"/>
      <c r="L73" s="2205"/>
      <c r="M73" s="2268"/>
      <c r="N73" s="2268"/>
      <c r="O73" s="2268"/>
      <c r="P73" s="2205"/>
      <c r="Q73" s="2205"/>
      <c r="R73" s="2205"/>
      <c r="S73" s="2205"/>
    </row>
    <row r="74" hidden="1" spans="1:19">
      <c r="A74" s="2256"/>
      <c r="B74" s="2205"/>
      <c r="C74" s="2267" t="s">
        <v>1411</v>
      </c>
      <c r="D74" s="2205"/>
      <c r="E74" s="2205"/>
      <c r="F74" s="2205"/>
      <c r="G74" s="2205"/>
      <c r="H74" s="2205"/>
      <c r="I74" s="2205"/>
      <c r="J74" s="2205"/>
      <c r="K74" s="2205"/>
      <c r="L74" s="2205"/>
      <c r="M74" s="2268"/>
      <c r="N74" s="2268"/>
      <c r="O74" s="2268"/>
      <c r="P74" s="2205"/>
      <c r="Q74" s="2205"/>
      <c r="R74" s="2205"/>
      <c r="S74" s="2205"/>
    </row>
    <row r="75" hidden="1" spans="1:19">
      <c r="A75" s="2256"/>
      <c r="B75" s="2205"/>
      <c r="C75" s="2259" t="str">
        <f>TRIM(未审利润表!A29)</f>
        <v>五、其他综合收益的税后净额</v>
      </c>
      <c r="D75" s="2205"/>
      <c r="E75" s="2205"/>
      <c r="F75" s="2205"/>
      <c r="G75" s="2205"/>
      <c r="H75" s="2205"/>
      <c r="I75" s="2205"/>
      <c r="J75" s="2205"/>
      <c r="K75" s="2205"/>
      <c r="L75" s="2205"/>
      <c r="M75" s="2268"/>
      <c r="N75" s="2268"/>
      <c r="O75" s="2268"/>
      <c r="P75" s="2205"/>
      <c r="Q75" s="2205"/>
      <c r="R75" s="2205"/>
      <c r="S75" s="2205"/>
    </row>
    <row r="76" hidden="1" spans="1:19">
      <c r="A76" s="2256"/>
      <c r="B76" s="2205"/>
      <c r="C76" s="2267" t="s">
        <v>1412</v>
      </c>
      <c r="D76" s="2205"/>
      <c r="E76" s="2205"/>
      <c r="F76" s="2205"/>
      <c r="G76" s="2205"/>
      <c r="H76" s="2205"/>
      <c r="I76" s="2205"/>
      <c r="J76" s="2205"/>
      <c r="K76" s="2205"/>
      <c r="L76" s="2205"/>
      <c r="M76" s="2268"/>
      <c r="N76" s="2268"/>
      <c r="O76" s="2268"/>
      <c r="P76" s="2205"/>
      <c r="Q76" s="2205"/>
      <c r="R76" s="2205"/>
      <c r="S76" s="2205"/>
    </row>
    <row r="77" hidden="1" spans="1:19">
      <c r="A77" s="2256"/>
      <c r="B77" s="2205"/>
      <c r="C77" s="2267" t="s">
        <v>1413</v>
      </c>
      <c r="D77" s="2205"/>
      <c r="E77" s="2205"/>
      <c r="F77" s="2205"/>
      <c r="G77" s="2205"/>
      <c r="H77" s="2205"/>
      <c r="I77" s="2205"/>
      <c r="J77" s="2205"/>
      <c r="K77" s="2205"/>
      <c r="L77" s="2205"/>
      <c r="M77" s="2268"/>
      <c r="N77" s="2268"/>
      <c r="O77" s="2268"/>
      <c r="P77" s="2205"/>
      <c r="Q77" s="2205"/>
      <c r="R77" s="2205"/>
      <c r="S77" s="2205"/>
    </row>
    <row r="78" hidden="1" spans="1:19">
      <c r="A78" s="2256"/>
      <c r="B78" s="2205"/>
      <c r="C78" s="2267" t="s">
        <v>1414</v>
      </c>
      <c r="D78" s="2205"/>
      <c r="E78" s="2205"/>
      <c r="F78" s="2205"/>
      <c r="G78" s="2205"/>
      <c r="H78" s="2205"/>
      <c r="I78" s="2205"/>
      <c r="J78" s="2205"/>
      <c r="K78" s="2205"/>
      <c r="L78" s="2205"/>
      <c r="M78" s="2268"/>
      <c r="N78" s="2268"/>
      <c r="O78" s="2268"/>
      <c r="P78" s="2205"/>
      <c r="Q78" s="2205"/>
      <c r="R78" s="2205"/>
      <c r="S78" s="2205"/>
    </row>
    <row r="79" hidden="1" spans="1:19">
      <c r="A79" s="2256"/>
      <c r="B79" s="2205"/>
      <c r="C79" s="2259" t="str">
        <f t="shared" ref="C79:C110" si="0">IF(C2&lt;&gt;0,"年初"&amp;C2,"")</f>
        <v>年初货币资金</v>
      </c>
      <c r="D79" s="2205"/>
      <c r="E79" s="2205"/>
      <c r="F79" s="2205"/>
      <c r="G79" s="2205"/>
      <c r="H79" s="2205"/>
      <c r="I79" s="2205"/>
      <c r="J79" s="2205"/>
      <c r="K79" s="2205"/>
      <c r="L79" s="2205"/>
      <c r="M79" s="2268"/>
      <c r="N79" s="2268"/>
      <c r="O79" s="2268"/>
      <c r="P79" s="2205"/>
      <c r="Q79" s="2205"/>
      <c r="R79" s="2205"/>
      <c r="S79" s="2205"/>
    </row>
    <row r="80" hidden="1" spans="1:19">
      <c r="A80" s="2256"/>
      <c r="B80" s="2205"/>
      <c r="C80" s="2259" t="str">
        <f t="shared" si="0"/>
        <v>年初交易性金融资产</v>
      </c>
      <c r="D80" s="2205"/>
      <c r="E80" s="2205"/>
      <c r="F80" s="2205"/>
      <c r="G80" s="2205"/>
      <c r="H80" s="2205"/>
      <c r="I80" s="2205"/>
      <c r="J80" s="2205"/>
      <c r="K80" s="2205"/>
      <c r="L80" s="2205"/>
      <c r="M80" s="2268"/>
      <c r="N80" s="2268"/>
      <c r="O80" s="2268"/>
      <c r="P80" s="2205"/>
      <c r="Q80" s="2205"/>
      <c r="R80" s="2205"/>
      <c r="S80" s="2205"/>
    </row>
    <row r="81" hidden="1" spans="1:19">
      <c r="A81" s="2256"/>
      <c r="B81" s="2205"/>
      <c r="C81" s="2259" t="str">
        <f t="shared" si="0"/>
        <v>年初应收票据</v>
      </c>
      <c r="D81" s="2205"/>
      <c r="E81" s="2205"/>
      <c r="F81" s="2205"/>
      <c r="G81" s="2205"/>
      <c r="H81" s="2205"/>
      <c r="I81" s="2205"/>
      <c r="J81" s="2205"/>
      <c r="K81" s="2205"/>
      <c r="L81" s="2205"/>
      <c r="M81" s="2268"/>
      <c r="N81" s="2268"/>
      <c r="O81" s="2268"/>
      <c r="P81" s="2205"/>
      <c r="Q81" s="2205"/>
      <c r="R81" s="2205"/>
      <c r="S81" s="2205"/>
    </row>
    <row r="82" hidden="1" spans="1:19">
      <c r="A82" s="2256"/>
      <c r="B82" s="2205"/>
      <c r="C82" s="2259" t="str">
        <f t="shared" si="0"/>
        <v>年初应收账款</v>
      </c>
      <c r="D82" s="2205"/>
      <c r="E82" s="2205"/>
      <c r="F82" s="2205"/>
      <c r="G82" s="2205"/>
      <c r="H82" s="2205"/>
      <c r="I82" s="2205"/>
      <c r="J82" s="2205"/>
      <c r="K82" s="2205"/>
      <c r="L82" s="2205"/>
      <c r="M82" s="2268"/>
      <c r="N82" s="2268"/>
      <c r="O82" s="2268"/>
      <c r="P82" s="2205"/>
      <c r="Q82" s="2205"/>
      <c r="R82" s="2205"/>
      <c r="S82" s="2205"/>
    </row>
    <row r="83" hidden="1" spans="1:19">
      <c r="A83" s="2256"/>
      <c r="B83" s="2205"/>
      <c r="C83" s="2259" t="str">
        <f t="shared" si="0"/>
        <v>年初预付款项</v>
      </c>
      <c r="D83" s="2205"/>
      <c r="E83" s="2205"/>
      <c r="F83" s="2205"/>
      <c r="G83" s="2205"/>
      <c r="H83" s="2205"/>
      <c r="I83" s="2205"/>
      <c r="J83" s="2205"/>
      <c r="K83" s="2205"/>
      <c r="L83" s="2205"/>
      <c r="M83" s="2268"/>
      <c r="N83" s="2268"/>
      <c r="O83" s="2268"/>
      <c r="P83" s="2205"/>
      <c r="Q83" s="2205"/>
      <c r="R83" s="2205"/>
      <c r="S83" s="2205"/>
    </row>
    <row r="84" hidden="1" spans="1:19">
      <c r="A84" s="2256"/>
      <c r="B84" s="2205"/>
      <c r="C84" s="2259" t="str">
        <f t="shared" si="0"/>
        <v>年初应收利息</v>
      </c>
      <c r="D84" s="2205"/>
      <c r="E84" s="2205"/>
      <c r="F84" s="2205"/>
      <c r="G84" s="2205"/>
      <c r="H84" s="2205"/>
      <c r="I84" s="2205"/>
      <c r="J84" s="2205"/>
      <c r="K84" s="2205"/>
      <c r="L84" s="2205"/>
      <c r="M84" s="2268"/>
      <c r="N84" s="2268"/>
      <c r="O84" s="2268"/>
      <c r="P84" s="2205"/>
      <c r="Q84" s="2205"/>
      <c r="R84" s="2205"/>
      <c r="S84" s="2205"/>
    </row>
    <row r="85" hidden="1" spans="1:19">
      <c r="A85" s="2256"/>
      <c r="B85" s="2205"/>
      <c r="C85" s="2259" t="str">
        <f t="shared" si="0"/>
        <v>年初应收股利</v>
      </c>
      <c r="D85" s="2205"/>
      <c r="E85" s="2205"/>
      <c r="F85" s="2205"/>
      <c r="G85" s="2205"/>
      <c r="H85" s="2205"/>
      <c r="I85" s="2205"/>
      <c r="J85" s="2205"/>
      <c r="K85" s="2205"/>
      <c r="L85" s="2205"/>
      <c r="M85" s="2268"/>
      <c r="N85" s="2268"/>
      <c r="O85" s="2268"/>
      <c r="P85" s="2205"/>
      <c r="Q85" s="2205"/>
      <c r="R85" s="2205"/>
      <c r="S85" s="2205"/>
    </row>
    <row r="86" hidden="1" spans="1:19">
      <c r="A86" s="2256"/>
      <c r="B86" s="2205"/>
      <c r="C86" s="2259" t="str">
        <f t="shared" si="0"/>
        <v>年初其他应收款</v>
      </c>
      <c r="D86" s="2205"/>
      <c r="E86" s="2205"/>
      <c r="F86" s="2205"/>
      <c r="G86" s="2205"/>
      <c r="H86" s="2205"/>
      <c r="I86" s="2205"/>
      <c r="J86" s="2205"/>
      <c r="K86" s="2205"/>
      <c r="L86" s="2205"/>
      <c r="M86" s="2268"/>
      <c r="N86" s="2268"/>
      <c r="O86" s="2268"/>
      <c r="P86" s="2205"/>
      <c r="Q86" s="2205"/>
      <c r="R86" s="2205"/>
      <c r="S86" s="2205"/>
    </row>
    <row r="87" hidden="1" spans="1:19">
      <c r="A87" s="2256"/>
      <c r="B87" s="2205"/>
      <c r="C87" s="2259" t="str">
        <f t="shared" si="0"/>
        <v>年初存货</v>
      </c>
      <c r="D87" s="2205"/>
      <c r="E87" s="2205"/>
      <c r="F87" s="2205"/>
      <c r="G87" s="2205"/>
      <c r="H87" s="2205"/>
      <c r="I87" s="2205"/>
      <c r="J87" s="2205"/>
      <c r="K87" s="2205"/>
      <c r="L87" s="2205"/>
      <c r="M87" s="2268"/>
      <c r="N87" s="2268"/>
      <c r="O87" s="2268"/>
      <c r="P87" s="2205"/>
      <c r="Q87" s="2205"/>
      <c r="R87" s="2205"/>
      <c r="S87" s="2205"/>
    </row>
    <row r="88" hidden="1" spans="1:19">
      <c r="A88" s="2256"/>
      <c r="B88" s="2205"/>
      <c r="C88" s="2259" t="str">
        <f t="shared" si="0"/>
        <v>年初一年内到期的非流动资产</v>
      </c>
      <c r="D88" s="2205"/>
      <c r="E88" s="2205"/>
      <c r="F88" s="2205"/>
      <c r="G88" s="2205"/>
      <c r="H88" s="2205"/>
      <c r="I88" s="2205"/>
      <c r="J88" s="2205"/>
      <c r="K88" s="2205"/>
      <c r="L88" s="2205"/>
      <c r="M88" s="2268"/>
      <c r="N88" s="2268"/>
      <c r="O88" s="2268"/>
      <c r="P88" s="2205"/>
      <c r="Q88" s="2205"/>
      <c r="R88" s="2205"/>
      <c r="S88" s="2205"/>
    </row>
    <row r="89" hidden="1" spans="1:19">
      <c r="A89" s="2256"/>
      <c r="B89" s="2205"/>
      <c r="C89" s="2259" t="str">
        <f t="shared" si="0"/>
        <v>年初其他流动资产</v>
      </c>
      <c r="D89" s="2205"/>
      <c r="E89" s="2205"/>
      <c r="F89" s="2205"/>
      <c r="G89" s="2205"/>
      <c r="H89" s="2205"/>
      <c r="I89" s="2205"/>
      <c r="J89" s="2205"/>
      <c r="K89" s="2205"/>
      <c r="L89" s="2205"/>
      <c r="M89" s="2268"/>
      <c r="N89" s="2268"/>
      <c r="O89" s="2268"/>
      <c r="P89" s="2205"/>
      <c r="Q89" s="2205"/>
      <c r="R89" s="2205"/>
      <c r="S89" s="2205"/>
    </row>
    <row r="90" hidden="1" spans="1:19">
      <c r="A90" s="2256"/>
      <c r="B90" s="2205"/>
      <c r="C90" s="2259" t="str">
        <f t="shared" si="0"/>
        <v>年初持有待售资产</v>
      </c>
      <c r="D90" s="2205"/>
      <c r="E90" s="2205"/>
      <c r="F90" s="2205"/>
      <c r="G90" s="2205"/>
      <c r="H90" s="2205"/>
      <c r="I90" s="2205"/>
      <c r="J90" s="2205"/>
      <c r="K90" s="2205"/>
      <c r="L90" s="2205"/>
      <c r="M90" s="2268"/>
      <c r="N90" s="2268"/>
      <c r="O90" s="2268"/>
      <c r="P90" s="2205"/>
      <c r="Q90" s="2205"/>
      <c r="R90" s="2205"/>
      <c r="S90" s="2205"/>
    </row>
    <row r="91" hidden="1" spans="1:19">
      <c r="A91" s="2256"/>
      <c r="B91" s="2205"/>
      <c r="C91" s="2259" t="str">
        <f t="shared" si="0"/>
        <v>年初可供出售金融资产</v>
      </c>
      <c r="D91" s="2205"/>
      <c r="E91" s="2205"/>
      <c r="F91" s="2205"/>
      <c r="G91" s="2205"/>
      <c r="H91" s="2205"/>
      <c r="I91" s="2205"/>
      <c r="J91" s="2205"/>
      <c r="K91" s="2205"/>
      <c r="L91" s="2205"/>
      <c r="M91" s="2268"/>
      <c r="N91" s="2268"/>
      <c r="O91" s="2268"/>
      <c r="P91" s="2205"/>
      <c r="Q91" s="2205"/>
      <c r="R91" s="2205"/>
      <c r="S91" s="2205"/>
    </row>
    <row r="92" hidden="1" spans="1:19">
      <c r="A92" s="2256"/>
      <c r="B92" s="2205"/>
      <c r="C92" s="2259" t="str">
        <f t="shared" si="0"/>
        <v>年初持有至到期投资</v>
      </c>
      <c r="D92" s="2205"/>
      <c r="E92" s="2205"/>
      <c r="F92" s="2205"/>
      <c r="G92" s="2205"/>
      <c r="H92" s="2205"/>
      <c r="I92" s="2205"/>
      <c r="J92" s="2205"/>
      <c r="K92" s="2205"/>
      <c r="L92" s="2205"/>
      <c r="M92" s="2268"/>
      <c r="N92" s="2268"/>
      <c r="O92" s="2268"/>
      <c r="P92" s="2205"/>
      <c r="Q92" s="2205"/>
      <c r="R92" s="2205"/>
      <c r="S92" s="2205"/>
    </row>
    <row r="93" hidden="1" spans="1:19">
      <c r="A93" s="2256"/>
      <c r="B93" s="2205"/>
      <c r="C93" s="2259" t="str">
        <f t="shared" si="0"/>
        <v>年初长期应收款</v>
      </c>
      <c r="D93" s="2205"/>
      <c r="E93" s="2205"/>
      <c r="F93" s="2205"/>
      <c r="G93" s="2205"/>
      <c r="H93" s="2205"/>
      <c r="I93" s="2205"/>
      <c r="J93" s="2205"/>
      <c r="K93" s="2205"/>
      <c r="L93" s="2205"/>
      <c r="M93" s="2268"/>
      <c r="N93" s="2268"/>
      <c r="O93" s="2268"/>
      <c r="P93" s="2205"/>
      <c r="Q93" s="2205"/>
      <c r="R93" s="2205"/>
      <c r="S93" s="2205"/>
    </row>
    <row r="94" hidden="1" spans="1:19">
      <c r="A94" s="2256"/>
      <c r="B94" s="2205"/>
      <c r="C94" s="2259" t="str">
        <f t="shared" si="0"/>
        <v>年初长期股权投资</v>
      </c>
      <c r="D94" s="2205"/>
      <c r="E94" s="2205"/>
      <c r="F94" s="2205"/>
      <c r="G94" s="2205"/>
      <c r="H94" s="2205"/>
      <c r="I94" s="2205"/>
      <c r="J94" s="2205"/>
      <c r="K94" s="2205"/>
      <c r="L94" s="2205"/>
      <c r="M94" s="2268"/>
      <c r="N94" s="2268"/>
      <c r="O94" s="2268"/>
      <c r="P94" s="2205"/>
      <c r="Q94" s="2205"/>
      <c r="R94" s="2205"/>
      <c r="S94" s="2205"/>
    </row>
    <row r="95" hidden="1" spans="1:19">
      <c r="A95" s="2256"/>
      <c r="B95" s="2205"/>
      <c r="C95" s="2259" t="str">
        <f t="shared" si="0"/>
        <v>年初投资性房地产</v>
      </c>
      <c r="D95" s="2205"/>
      <c r="E95" s="2205"/>
      <c r="F95" s="2205"/>
      <c r="G95" s="2205"/>
      <c r="H95" s="2205"/>
      <c r="I95" s="2205"/>
      <c r="J95" s="2205"/>
      <c r="K95" s="2205"/>
      <c r="L95" s="2205"/>
      <c r="M95" s="2268"/>
      <c r="N95" s="2268"/>
      <c r="O95" s="2268"/>
      <c r="P95" s="2205"/>
      <c r="Q95" s="2205"/>
      <c r="R95" s="2205"/>
      <c r="S95" s="2205"/>
    </row>
    <row r="96" hidden="1" spans="1:19">
      <c r="A96" s="2256"/>
      <c r="B96" s="2205"/>
      <c r="C96" s="2259" t="str">
        <f t="shared" si="0"/>
        <v>年初固定资产</v>
      </c>
      <c r="D96" s="2205"/>
      <c r="E96" s="2205"/>
      <c r="F96" s="2205"/>
      <c r="G96" s="2205"/>
      <c r="H96" s="2205"/>
      <c r="I96" s="2205"/>
      <c r="J96" s="2205"/>
      <c r="K96" s="2205"/>
      <c r="L96" s="2205"/>
      <c r="M96" s="2268"/>
      <c r="N96" s="2268"/>
      <c r="O96" s="2268"/>
      <c r="P96" s="2205"/>
      <c r="Q96" s="2205"/>
      <c r="R96" s="2205"/>
      <c r="S96" s="2205"/>
    </row>
    <row r="97" hidden="1" spans="1:19">
      <c r="A97" s="2256"/>
      <c r="B97" s="2205"/>
      <c r="C97" s="2259" t="str">
        <f t="shared" si="0"/>
        <v>年初在建工程</v>
      </c>
      <c r="D97" s="2205"/>
      <c r="E97" s="2205"/>
      <c r="F97" s="2205"/>
      <c r="G97" s="2205"/>
      <c r="H97" s="2205"/>
      <c r="I97" s="2205"/>
      <c r="J97" s="2205"/>
      <c r="K97" s="2205"/>
      <c r="L97" s="2205"/>
      <c r="M97" s="2268"/>
      <c r="N97" s="2268"/>
      <c r="O97" s="2268"/>
      <c r="P97" s="2205"/>
      <c r="Q97" s="2205"/>
      <c r="R97" s="2205"/>
      <c r="S97" s="2205"/>
    </row>
    <row r="98" hidden="1" spans="1:19">
      <c r="A98" s="2256"/>
      <c r="B98" s="2205"/>
      <c r="C98" s="2259" t="str">
        <f t="shared" si="0"/>
        <v>年初工程物资</v>
      </c>
      <c r="D98" s="2205"/>
      <c r="E98" s="2205"/>
      <c r="F98" s="2205"/>
      <c r="G98" s="2205"/>
      <c r="H98" s="2205"/>
      <c r="I98" s="2205"/>
      <c r="J98" s="2205"/>
      <c r="K98" s="2205"/>
      <c r="L98" s="2205"/>
      <c r="M98" s="2268"/>
      <c r="N98" s="2268"/>
      <c r="O98" s="2268"/>
      <c r="P98" s="2205"/>
      <c r="Q98" s="2205"/>
      <c r="R98" s="2205"/>
      <c r="S98" s="2205"/>
    </row>
    <row r="99" hidden="1" spans="1:19">
      <c r="A99" s="2256"/>
      <c r="B99" s="2205"/>
      <c r="C99" s="2259" t="str">
        <f t="shared" si="0"/>
        <v>年初固定资产清理</v>
      </c>
      <c r="D99" s="2205"/>
      <c r="E99" s="2205"/>
      <c r="F99" s="2205"/>
      <c r="G99" s="2205"/>
      <c r="H99" s="2205"/>
      <c r="I99" s="2205"/>
      <c r="J99" s="2205"/>
      <c r="K99" s="2205"/>
      <c r="L99" s="2205"/>
      <c r="M99" s="2268"/>
      <c r="N99" s="2268"/>
      <c r="O99" s="2268"/>
      <c r="P99" s="2205"/>
      <c r="Q99" s="2205"/>
      <c r="R99" s="2205"/>
      <c r="S99" s="2205"/>
    </row>
    <row r="100" hidden="1" spans="1:19">
      <c r="A100" s="2256"/>
      <c r="B100" s="2205"/>
      <c r="C100" s="2259" t="str">
        <f t="shared" si="0"/>
        <v>年初生产性生物资产</v>
      </c>
      <c r="D100" s="2205"/>
      <c r="E100" s="2205"/>
      <c r="F100" s="2205"/>
      <c r="G100" s="2205"/>
      <c r="H100" s="2205"/>
      <c r="I100" s="2205"/>
      <c r="J100" s="2205"/>
      <c r="K100" s="2205"/>
      <c r="L100" s="2205"/>
      <c r="M100" s="2268"/>
      <c r="N100" s="2268"/>
      <c r="O100" s="2268"/>
      <c r="P100" s="2205"/>
      <c r="Q100" s="2205"/>
      <c r="R100" s="2205"/>
      <c r="S100" s="2205"/>
    </row>
    <row r="101" hidden="1" spans="1:19">
      <c r="A101" s="2256"/>
      <c r="B101" s="2205"/>
      <c r="C101" s="2259" t="str">
        <f t="shared" si="0"/>
        <v>年初油气资产</v>
      </c>
      <c r="D101" s="2205"/>
      <c r="E101" s="2205"/>
      <c r="F101" s="2205"/>
      <c r="G101" s="2205"/>
      <c r="H101" s="2205"/>
      <c r="I101" s="2205"/>
      <c r="J101" s="2205"/>
      <c r="K101" s="2205"/>
      <c r="L101" s="2205"/>
      <c r="M101" s="2268"/>
      <c r="N101" s="2268"/>
      <c r="O101" s="2268"/>
      <c r="P101" s="2205"/>
      <c r="Q101" s="2205"/>
      <c r="R101" s="2205"/>
      <c r="S101" s="2205"/>
    </row>
    <row r="102" hidden="1" spans="1:19">
      <c r="A102" s="2256"/>
      <c r="B102" s="2205"/>
      <c r="C102" s="2259" t="str">
        <f t="shared" si="0"/>
        <v>年初无形资产</v>
      </c>
      <c r="D102" s="2205"/>
      <c r="E102" s="2205"/>
      <c r="F102" s="2205"/>
      <c r="G102" s="2205"/>
      <c r="H102" s="2205"/>
      <c r="I102" s="2205"/>
      <c r="J102" s="2205"/>
      <c r="K102" s="2205"/>
      <c r="L102" s="2205"/>
      <c r="M102" s="2268"/>
      <c r="N102" s="2268"/>
      <c r="O102" s="2268"/>
      <c r="P102" s="2205"/>
      <c r="Q102" s="2205"/>
      <c r="R102" s="2205"/>
      <c r="S102" s="2205"/>
    </row>
    <row r="103" hidden="1" spans="1:19">
      <c r="A103" s="2256"/>
      <c r="B103" s="2205"/>
      <c r="C103" s="2259" t="str">
        <f t="shared" si="0"/>
        <v>年初开发支出</v>
      </c>
      <c r="D103" s="2205"/>
      <c r="E103" s="2205"/>
      <c r="F103" s="2205"/>
      <c r="G103" s="2205"/>
      <c r="H103" s="2205"/>
      <c r="I103" s="2205"/>
      <c r="J103" s="2205"/>
      <c r="K103" s="2205"/>
      <c r="L103" s="2205"/>
      <c r="M103" s="2268"/>
      <c r="N103" s="2268"/>
      <c r="O103" s="2268"/>
      <c r="P103" s="2205"/>
      <c r="Q103" s="2205"/>
      <c r="R103" s="2205"/>
      <c r="S103" s="2205"/>
    </row>
    <row r="104" hidden="1" spans="1:19">
      <c r="A104" s="2256"/>
      <c r="B104" s="2205"/>
      <c r="C104" s="2259" t="str">
        <f t="shared" si="0"/>
        <v>年初商誉</v>
      </c>
      <c r="D104" s="2205"/>
      <c r="E104" s="2205"/>
      <c r="F104" s="2205"/>
      <c r="G104" s="2205"/>
      <c r="H104" s="2205"/>
      <c r="I104" s="2205"/>
      <c r="J104" s="2205"/>
      <c r="K104" s="2205"/>
      <c r="L104" s="2205"/>
      <c r="M104" s="2268"/>
      <c r="N104" s="2268"/>
      <c r="O104" s="2268"/>
      <c r="P104" s="2205"/>
      <c r="Q104" s="2205"/>
      <c r="R104" s="2205"/>
      <c r="S104" s="2205"/>
    </row>
    <row r="105" hidden="1" spans="1:19">
      <c r="A105" s="2256"/>
      <c r="B105" s="2205"/>
      <c r="C105" s="2259" t="str">
        <f t="shared" si="0"/>
        <v>年初长期待摊费用</v>
      </c>
      <c r="D105" s="2205"/>
      <c r="E105" s="2205"/>
      <c r="F105" s="2205"/>
      <c r="G105" s="2205"/>
      <c r="H105" s="2205"/>
      <c r="I105" s="2205"/>
      <c r="J105" s="2205"/>
      <c r="K105" s="2205"/>
      <c r="L105" s="2205"/>
      <c r="M105" s="2268"/>
      <c r="N105" s="2268"/>
      <c r="O105" s="2268"/>
      <c r="P105" s="2205"/>
      <c r="Q105" s="2205"/>
      <c r="R105" s="2205"/>
      <c r="S105" s="2205"/>
    </row>
    <row r="106" hidden="1" spans="1:19">
      <c r="A106" s="2256"/>
      <c r="B106" s="2205"/>
      <c r="C106" s="2259" t="str">
        <f t="shared" si="0"/>
        <v>年初递延所得税资产</v>
      </c>
      <c r="D106" s="2205"/>
      <c r="E106" s="2205"/>
      <c r="F106" s="2205"/>
      <c r="G106" s="2205"/>
      <c r="H106" s="2205"/>
      <c r="I106" s="2205"/>
      <c r="J106" s="2205"/>
      <c r="K106" s="2205"/>
      <c r="L106" s="2205"/>
      <c r="M106" s="2268"/>
      <c r="N106" s="2268"/>
      <c r="O106" s="2268"/>
      <c r="P106" s="2205"/>
      <c r="Q106" s="2205"/>
      <c r="R106" s="2205"/>
      <c r="S106" s="2205"/>
    </row>
    <row r="107" hidden="1" spans="1:19">
      <c r="A107" s="2256"/>
      <c r="B107" s="2205"/>
      <c r="C107" s="2259" t="str">
        <f t="shared" si="0"/>
        <v>年初其他非流动资产</v>
      </c>
      <c r="D107" s="2205"/>
      <c r="E107" s="2205"/>
      <c r="F107" s="2205"/>
      <c r="G107" s="2205"/>
      <c r="H107" s="2205"/>
      <c r="I107" s="2205"/>
      <c r="J107" s="2205"/>
      <c r="K107" s="2205"/>
      <c r="L107" s="2205"/>
      <c r="M107" s="2268"/>
      <c r="N107" s="2268"/>
      <c r="O107" s="2268"/>
      <c r="P107" s="2205"/>
      <c r="Q107" s="2205"/>
      <c r="R107" s="2205"/>
      <c r="S107" s="2205"/>
    </row>
    <row r="108" hidden="1" spans="1:19">
      <c r="A108" s="2256"/>
      <c r="B108" s="2205"/>
      <c r="C108" s="2259" t="str">
        <f t="shared" si="0"/>
        <v/>
      </c>
      <c r="D108" s="2205"/>
      <c r="E108" s="2205"/>
      <c r="F108" s="2205"/>
      <c r="G108" s="2205"/>
      <c r="H108" s="2205"/>
      <c r="I108" s="2205"/>
      <c r="J108" s="2205"/>
      <c r="K108" s="2205"/>
      <c r="L108" s="2205"/>
      <c r="M108" s="2268"/>
      <c r="N108" s="2268"/>
      <c r="O108" s="2268"/>
      <c r="P108" s="2205"/>
      <c r="Q108" s="2205"/>
      <c r="R108" s="2205"/>
      <c r="S108" s="2205"/>
    </row>
    <row r="109" hidden="1" spans="1:19">
      <c r="A109" s="2256"/>
      <c r="B109" s="2205"/>
      <c r="C109" s="2259" t="str">
        <f t="shared" si="0"/>
        <v>年初短期借款</v>
      </c>
      <c r="D109" s="2205"/>
      <c r="E109" s="2205"/>
      <c r="F109" s="2205"/>
      <c r="G109" s="2205"/>
      <c r="H109" s="2205"/>
      <c r="I109" s="2205"/>
      <c r="J109" s="2205"/>
      <c r="K109" s="2205"/>
      <c r="L109" s="2205"/>
      <c r="M109" s="2268"/>
      <c r="N109" s="2268"/>
      <c r="O109" s="2268"/>
      <c r="P109" s="2205"/>
      <c r="Q109" s="2205"/>
      <c r="R109" s="2205"/>
      <c r="S109" s="2205"/>
    </row>
    <row r="110" hidden="1" spans="1:19">
      <c r="A110" s="2256"/>
      <c r="B110" s="2205"/>
      <c r="C110" s="2259" t="str">
        <f t="shared" si="0"/>
        <v>年初交易性金融负债</v>
      </c>
      <c r="D110" s="2205"/>
      <c r="E110" s="2205"/>
      <c r="F110" s="2205"/>
      <c r="G110" s="2205"/>
      <c r="H110" s="2205"/>
      <c r="I110" s="2205"/>
      <c r="J110" s="2205"/>
      <c r="K110" s="2205"/>
      <c r="L110" s="2205"/>
      <c r="M110" s="2268"/>
      <c r="N110" s="2268"/>
      <c r="O110" s="2268"/>
      <c r="P110" s="2205"/>
      <c r="Q110" s="2205"/>
      <c r="R110" s="2205"/>
      <c r="S110" s="2205"/>
    </row>
    <row r="111" hidden="1" spans="1:19">
      <c r="A111" s="2256"/>
      <c r="B111" s="2205"/>
      <c r="C111" s="2259" t="str">
        <f t="shared" ref="C111:C136" si="1">IF(C34&lt;&gt;0,"年初"&amp;C34,"")</f>
        <v>年初应付票据</v>
      </c>
      <c r="D111" s="2205"/>
      <c r="E111" s="2205"/>
      <c r="F111" s="2205"/>
      <c r="G111" s="2205"/>
      <c r="H111" s="2205"/>
      <c r="I111" s="2205"/>
      <c r="J111" s="2205"/>
      <c r="K111" s="2205"/>
      <c r="L111" s="2205"/>
      <c r="M111" s="2268"/>
      <c r="N111" s="2268"/>
      <c r="O111" s="2268"/>
      <c r="P111" s="2205"/>
      <c r="Q111" s="2205"/>
      <c r="R111" s="2205"/>
      <c r="S111" s="2205"/>
    </row>
    <row r="112" hidden="1" spans="1:19">
      <c r="A112" s="2256"/>
      <c r="B112" s="2205"/>
      <c r="C112" s="2259" t="str">
        <f t="shared" si="1"/>
        <v>年初应付账款</v>
      </c>
      <c r="D112" s="2205"/>
      <c r="E112" s="2205"/>
      <c r="F112" s="2205"/>
      <c r="G112" s="2205"/>
      <c r="H112" s="2205"/>
      <c r="I112" s="2205"/>
      <c r="J112" s="2205"/>
      <c r="K112" s="2205"/>
      <c r="L112" s="2205"/>
      <c r="M112" s="2268"/>
      <c r="N112" s="2268"/>
      <c r="O112" s="2268"/>
      <c r="P112" s="2205"/>
      <c r="Q112" s="2205"/>
      <c r="R112" s="2205"/>
      <c r="S112" s="2205"/>
    </row>
    <row r="113" hidden="1" spans="1:19">
      <c r="A113" s="2256"/>
      <c r="B113" s="2205"/>
      <c r="C113" s="2259" t="str">
        <f t="shared" si="1"/>
        <v>年初预收款项</v>
      </c>
      <c r="D113" s="2205"/>
      <c r="E113" s="2205"/>
      <c r="F113" s="2205"/>
      <c r="G113" s="2205"/>
      <c r="H113" s="2205"/>
      <c r="I113" s="2205"/>
      <c r="J113" s="2205"/>
      <c r="K113" s="2205"/>
      <c r="L113" s="2205"/>
      <c r="M113" s="2268"/>
      <c r="N113" s="2268"/>
      <c r="O113" s="2268"/>
      <c r="P113" s="2205"/>
      <c r="Q113" s="2205"/>
      <c r="R113" s="2205"/>
      <c r="S113" s="2205"/>
    </row>
    <row r="114" hidden="1" spans="1:19">
      <c r="A114" s="2256"/>
      <c r="B114" s="2205"/>
      <c r="C114" s="2259" t="str">
        <f t="shared" si="1"/>
        <v>年初应付职工薪酬</v>
      </c>
      <c r="D114" s="2205"/>
      <c r="E114" s="2205"/>
      <c r="F114" s="2205"/>
      <c r="G114" s="2205"/>
      <c r="H114" s="2205"/>
      <c r="I114" s="2205"/>
      <c r="J114" s="2205"/>
      <c r="K114" s="2205"/>
      <c r="L114" s="2205"/>
      <c r="M114" s="2268"/>
      <c r="N114" s="2268"/>
      <c r="O114" s="2268"/>
      <c r="P114" s="2205"/>
      <c r="Q114" s="2205"/>
      <c r="R114" s="2205"/>
      <c r="S114" s="2205"/>
    </row>
    <row r="115" hidden="1" spans="1:19">
      <c r="A115" s="2256"/>
      <c r="B115" s="2205"/>
      <c r="C115" s="2259" t="str">
        <f t="shared" si="1"/>
        <v>年初应交税费</v>
      </c>
      <c r="D115" s="2205"/>
      <c r="E115" s="2205"/>
      <c r="F115" s="2205"/>
      <c r="G115" s="2205"/>
      <c r="H115" s="2205"/>
      <c r="I115" s="2205"/>
      <c r="J115" s="2205"/>
      <c r="K115" s="2205"/>
      <c r="L115" s="2205"/>
      <c r="M115" s="2268"/>
      <c r="N115" s="2268"/>
      <c r="O115" s="2268"/>
      <c r="P115" s="2205"/>
      <c r="Q115" s="2205"/>
      <c r="R115" s="2205"/>
      <c r="S115" s="2205"/>
    </row>
    <row r="116" hidden="1" spans="1:19">
      <c r="A116" s="2256"/>
      <c r="B116" s="2205"/>
      <c r="C116" s="2259" t="str">
        <f t="shared" si="1"/>
        <v>年初应付利息</v>
      </c>
      <c r="D116" s="2205"/>
      <c r="E116" s="2205"/>
      <c r="F116" s="2205"/>
      <c r="G116" s="2205"/>
      <c r="H116" s="2205"/>
      <c r="I116" s="2205"/>
      <c r="J116" s="2205"/>
      <c r="K116" s="2205"/>
      <c r="L116" s="2205"/>
      <c r="M116" s="2268"/>
      <c r="N116" s="2268"/>
      <c r="O116" s="2268"/>
      <c r="P116" s="2205"/>
      <c r="Q116" s="2205"/>
      <c r="R116" s="2205"/>
      <c r="S116" s="2205"/>
    </row>
    <row r="117" hidden="1" spans="1:19">
      <c r="A117" s="2256"/>
      <c r="B117" s="2205"/>
      <c r="C117" s="2259" t="str">
        <f t="shared" si="1"/>
        <v>年初应付股利</v>
      </c>
      <c r="D117" s="2205"/>
      <c r="E117" s="2205"/>
      <c r="F117" s="2205"/>
      <c r="G117" s="2205"/>
      <c r="H117" s="2205"/>
      <c r="I117" s="2205"/>
      <c r="J117" s="2205"/>
      <c r="K117" s="2205"/>
      <c r="L117" s="2205"/>
      <c r="M117" s="2268"/>
      <c r="N117" s="2268"/>
      <c r="O117" s="2268"/>
      <c r="P117" s="2205"/>
      <c r="Q117" s="2205"/>
      <c r="R117" s="2205"/>
      <c r="S117" s="2205"/>
    </row>
    <row r="118" hidden="1" spans="1:19">
      <c r="A118" s="2256"/>
      <c r="B118" s="2205"/>
      <c r="C118" s="2259" t="str">
        <f t="shared" si="1"/>
        <v>年初其他应付款</v>
      </c>
      <c r="D118" s="2205"/>
      <c r="E118" s="2205"/>
      <c r="F118" s="2205"/>
      <c r="G118" s="2205"/>
      <c r="H118" s="2205"/>
      <c r="I118" s="2205"/>
      <c r="J118" s="2205"/>
      <c r="K118" s="2205"/>
      <c r="L118" s="2205"/>
      <c r="M118" s="2268"/>
      <c r="N118" s="2268"/>
      <c r="O118" s="2268"/>
      <c r="P118" s="2205"/>
      <c r="Q118" s="2205"/>
      <c r="R118" s="2205"/>
      <c r="S118" s="2205"/>
    </row>
    <row r="119" hidden="1" spans="1:19">
      <c r="A119" s="2256"/>
      <c r="B119" s="2205"/>
      <c r="C119" s="2259" t="str">
        <f t="shared" si="1"/>
        <v>年初一年内到期的非流动负债</v>
      </c>
      <c r="D119" s="2205"/>
      <c r="E119" s="2205"/>
      <c r="F119" s="2205"/>
      <c r="G119" s="2205"/>
      <c r="H119" s="2205"/>
      <c r="I119" s="2205"/>
      <c r="J119" s="2205"/>
      <c r="K119" s="2205"/>
      <c r="L119" s="2205"/>
      <c r="M119" s="2268"/>
      <c r="N119" s="2268"/>
      <c r="O119" s="2268"/>
      <c r="P119" s="2205"/>
      <c r="Q119" s="2205"/>
      <c r="R119" s="2205"/>
      <c r="S119" s="2205"/>
    </row>
    <row r="120" hidden="1" spans="1:19">
      <c r="A120" s="2256"/>
      <c r="B120" s="2205"/>
      <c r="C120" s="2259" t="str">
        <f t="shared" si="1"/>
        <v>年初其他流动负债</v>
      </c>
      <c r="D120" s="2205"/>
      <c r="E120" s="2205"/>
      <c r="F120" s="2205"/>
      <c r="G120" s="2205"/>
      <c r="H120" s="2205"/>
      <c r="I120" s="2205"/>
      <c r="J120" s="2205"/>
      <c r="K120" s="2205"/>
      <c r="L120" s="2205"/>
      <c r="M120" s="2268"/>
      <c r="N120" s="2268"/>
      <c r="O120" s="2268"/>
      <c r="P120" s="2205"/>
      <c r="Q120" s="2205"/>
      <c r="R120" s="2205"/>
      <c r="S120" s="2205"/>
    </row>
    <row r="121" hidden="1" spans="1:19">
      <c r="A121" s="2256"/>
      <c r="B121" s="2205"/>
      <c r="C121" s="2259" t="str">
        <f t="shared" si="1"/>
        <v>年初持有待售负债</v>
      </c>
      <c r="D121" s="2205"/>
      <c r="E121" s="2205"/>
      <c r="F121" s="2205"/>
      <c r="G121" s="2205"/>
      <c r="H121" s="2205"/>
      <c r="I121" s="2205"/>
      <c r="J121" s="2205"/>
      <c r="K121" s="2205"/>
      <c r="L121" s="2205"/>
      <c r="M121" s="2268"/>
      <c r="N121" s="2268"/>
      <c r="O121" s="2268"/>
      <c r="P121" s="2205"/>
      <c r="Q121" s="2205"/>
      <c r="R121" s="2205"/>
      <c r="S121" s="2205"/>
    </row>
    <row r="122" hidden="1" spans="1:19">
      <c r="A122" s="2256"/>
      <c r="B122" s="2205"/>
      <c r="C122" s="2259" t="str">
        <f t="shared" si="1"/>
        <v>年初长期借款</v>
      </c>
      <c r="D122" s="2205"/>
      <c r="E122" s="2205"/>
      <c r="F122" s="2205"/>
      <c r="G122" s="2205"/>
      <c r="H122" s="2205"/>
      <c r="I122" s="2205"/>
      <c r="J122" s="2205"/>
      <c r="K122" s="2205"/>
      <c r="L122" s="2205"/>
      <c r="M122" s="2268"/>
      <c r="N122" s="2268"/>
      <c r="O122" s="2268"/>
      <c r="P122" s="2205"/>
      <c r="Q122" s="2205"/>
      <c r="R122" s="2205"/>
      <c r="S122" s="2205"/>
    </row>
    <row r="123" hidden="1" spans="1:19">
      <c r="A123" s="2256"/>
      <c r="B123" s="2205"/>
      <c r="C123" s="2259" t="str">
        <f t="shared" si="1"/>
        <v>年初应付债券</v>
      </c>
      <c r="D123" s="2205"/>
      <c r="E123" s="2205"/>
      <c r="F123" s="2205"/>
      <c r="G123" s="2205"/>
      <c r="H123" s="2205"/>
      <c r="I123" s="2205"/>
      <c r="J123" s="2205"/>
      <c r="K123" s="2205"/>
      <c r="L123" s="2205"/>
      <c r="M123" s="2268"/>
      <c r="N123" s="2268"/>
      <c r="O123" s="2268"/>
      <c r="P123" s="2205"/>
      <c r="Q123" s="2205"/>
      <c r="R123" s="2205"/>
      <c r="S123" s="2205"/>
    </row>
    <row r="124" hidden="1" spans="1:19">
      <c r="A124" s="2256"/>
      <c r="B124" s="2205"/>
      <c r="C124" s="2259" t="str">
        <f t="shared" si="1"/>
        <v>年初长期应付款</v>
      </c>
      <c r="D124" s="2205"/>
      <c r="E124" s="2205"/>
      <c r="F124" s="2205"/>
      <c r="G124" s="2205"/>
      <c r="H124" s="2205"/>
      <c r="I124" s="2205"/>
      <c r="J124" s="2205"/>
      <c r="K124" s="2205"/>
      <c r="L124" s="2205"/>
      <c r="M124" s="2268"/>
      <c r="N124" s="2268"/>
      <c r="O124" s="2268"/>
      <c r="P124" s="2205"/>
      <c r="Q124" s="2205"/>
      <c r="R124" s="2205"/>
      <c r="S124" s="2205"/>
    </row>
    <row r="125" hidden="1" spans="1:19">
      <c r="A125" s="2256"/>
      <c r="B125" s="2205"/>
      <c r="C125" s="2259" t="str">
        <f t="shared" si="1"/>
        <v>年初专项应付款</v>
      </c>
      <c r="D125" s="2205"/>
      <c r="E125" s="2205"/>
      <c r="F125" s="2205"/>
      <c r="G125" s="2205"/>
      <c r="H125" s="2205"/>
      <c r="I125" s="2205"/>
      <c r="J125" s="2205"/>
      <c r="K125" s="2205"/>
      <c r="L125" s="2205"/>
      <c r="M125" s="2268"/>
      <c r="N125" s="2268"/>
      <c r="O125" s="2268"/>
      <c r="P125" s="2205"/>
      <c r="Q125" s="2205"/>
      <c r="R125" s="2205"/>
      <c r="S125" s="2205"/>
    </row>
    <row r="126" hidden="1" spans="1:19">
      <c r="A126" s="2256"/>
      <c r="B126" s="2205"/>
      <c r="C126" s="2259" t="str">
        <f t="shared" si="1"/>
        <v>年初预计负债</v>
      </c>
      <c r="D126" s="2205"/>
      <c r="E126" s="2205"/>
      <c r="F126" s="2205"/>
      <c r="G126" s="2205"/>
      <c r="H126" s="2205"/>
      <c r="I126" s="2205"/>
      <c r="J126" s="2205"/>
      <c r="K126" s="2205"/>
      <c r="L126" s="2205"/>
      <c r="M126" s="2268"/>
      <c r="N126" s="2268"/>
      <c r="O126" s="2268"/>
      <c r="P126" s="2205"/>
      <c r="Q126" s="2205"/>
      <c r="R126" s="2205"/>
      <c r="S126" s="2205"/>
    </row>
    <row r="127" hidden="1" spans="1:19">
      <c r="A127" s="2256"/>
      <c r="B127" s="2205"/>
      <c r="C127" s="2259" t="str">
        <f t="shared" si="1"/>
        <v>年初递延所得税负债</v>
      </c>
      <c r="D127" s="2205"/>
      <c r="E127" s="2205"/>
      <c r="F127" s="2205"/>
      <c r="G127" s="2205"/>
      <c r="H127" s="2205"/>
      <c r="I127" s="2205"/>
      <c r="J127" s="2205"/>
      <c r="K127" s="2205"/>
      <c r="L127" s="2205"/>
      <c r="M127" s="2268"/>
      <c r="N127" s="2268"/>
      <c r="O127" s="2268"/>
      <c r="P127" s="2205"/>
      <c r="Q127" s="2205"/>
      <c r="R127" s="2205"/>
      <c r="S127" s="2205"/>
    </row>
    <row r="128" hidden="1" spans="1:19">
      <c r="A128" s="2256"/>
      <c r="B128" s="2205"/>
      <c r="C128" s="2259" t="str">
        <f t="shared" si="1"/>
        <v>年初其他非流动负债</v>
      </c>
      <c r="D128" s="2205"/>
      <c r="E128" s="2205"/>
      <c r="F128" s="2205"/>
      <c r="G128" s="2205"/>
      <c r="H128" s="2205"/>
      <c r="I128" s="2205"/>
      <c r="J128" s="2205"/>
      <c r="K128" s="2205"/>
      <c r="L128" s="2205"/>
      <c r="M128" s="2268"/>
      <c r="N128" s="2268"/>
      <c r="O128" s="2268"/>
      <c r="P128" s="2205"/>
      <c r="Q128" s="2205"/>
      <c r="R128" s="2205"/>
      <c r="S128" s="2205"/>
    </row>
    <row r="129" hidden="1" spans="1:19">
      <c r="A129" s="2256"/>
      <c r="B129" s="2205"/>
      <c r="C129" s="2259" t="str">
        <f t="shared" si="1"/>
        <v>年初递延收益</v>
      </c>
      <c r="D129" s="2205"/>
      <c r="E129" s="2205"/>
      <c r="F129" s="2205"/>
      <c r="G129" s="2205"/>
      <c r="H129" s="2205"/>
      <c r="I129" s="2205"/>
      <c r="J129" s="2205"/>
      <c r="K129" s="2205"/>
      <c r="L129" s="2205"/>
      <c r="M129" s="2268"/>
      <c r="N129" s="2268"/>
      <c r="O129" s="2268"/>
      <c r="P129" s="2205"/>
      <c r="Q129" s="2205"/>
      <c r="R129" s="2205"/>
      <c r="S129" s="2205"/>
    </row>
    <row r="130" hidden="1" spans="1:19">
      <c r="A130" s="2256"/>
      <c r="B130" s="2205"/>
      <c r="C130" s="2259" t="str">
        <f t="shared" si="1"/>
        <v>年初实收资本（或股本）</v>
      </c>
      <c r="D130" s="2205"/>
      <c r="E130" s="2205"/>
      <c r="F130" s="2205"/>
      <c r="G130" s="2205"/>
      <c r="H130" s="2205"/>
      <c r="I130" s="2205"/>
      <c r="J130" s="2205"/>
      <c r="K130" s="2205"/>
      <c r="L130" s="2205"/>
      <c r="M130" s="2268"/>
      <c r="N130" s="2268"/>
      <c r="O130" s="2268"/>
      <c r="P130" s="2205"/>
      <c r="Q130" s="2205"/>
      <c r="R130" s="2205"/>
      <c r="S130" s="2205"/>
    </row>
    <row r="131" hidden="1" spans="1:19">
      <c r="A131" s="2256"/>
      <c r="B131" s="2205"/>
      <c r="C131" s="2259" t="str">
        <f t="shared" si="1"/>
        <v>年初资本公积</v>
      </c>
      <c r="D131" s="2205"/>
      <c r="E131" s="2205"/>
      <c r="F131" s="2205"/>
      <c r="G131" s="2205"/>
      <c r="H131" s="2205"/>
      <c r="I131" s="2205"/>
      <c r="J131" s="2205"/>
      <c r="K131" s="2205"/>
      <c r="L131" s="2205"/>
      <c r="M131" s="2268"/>
      <c r="N131" s="2268"/>
      <c r="O131" s="2268"/>
      <c r="P131" s="2205"/>
      <c r="Q131" s="2205"/>
      <c r="R131" s="2205"/>
      <c r="S131" s="2205"/>
    </row>
    <row r="132" hidden="1" spans="1:19">
      <c r="A132" s="2256"/>
      <c r="B132" s="2205"/>
      <c r="C132" s="2259" t="str">
        <f t="shared" si="1"/>
        <v>年初库存股</v>
      </c>
      <c r="D132" s="2205"/>
      <c r="E132" s="2205"/>
      <c r="F132" s="2205"/>
      <c r="G132" s="2205"/>
      <c r="H132" s="2205"/>
      <c r="I132" s="2205"/>
      <c r="J132" s="2205"/>
      <c r="K132" s="2205"/>
      <c r="L132" s="2205"/>
      <c r="M132" s="2268"/>
      <c r="N132" s="2268"/>
      <c r="O132" s="2268"/>
      <c r="P132" s="2205"/>
      <c r="Q132" s="2205"/>
      <c r="R132" s="2205"/>
      <c r="S132" s="2205"/>
    </row>
    <row r="133" hidden="1" spans="1:19">
      <c r="A133" s="2256"/>
      <c r="B133" s="2205"/>
      <c r="C133" s="2259" t="str">
        <f t="shared" si="1"/>
        <v>年初盈余公积</v>
      </c>
      <c r="D133" s="2205"/>
      <c r="E133" s="2205"/>
      <c r="F133" s="2205"/>
      <c r="G133" s="2205"/>
      <c r="H133" s="2205"/>
      <c r="I133" s="2205"/>
      <c r="J133" s="2205"/>
      <c r="K133" s="2205"/>
      <c r="L133" s="2205"/>
      <c r="M133" s="2268"/>
      <c r="N133" s="2268"/>
      <c r="O133" s="2268"/>
      <c r="P133" s="2205"/>
      <c r="Q133" s="2205"/>
      <c r="R133" s="2205"/>
      <c r="S133" s="2205"/>
    </row>
    <row r="134" hidden="1" spans="1:19">
      <c r="A134" s="2256"/>
      <c r="B134" s="2205"/>
      <c r="C134" s="2267" t="s">
        <v>1412</v>
      </c>
      <c r="D134" s="2205"/>
      <c r="E134" s="2205"/>
      <c r="F134" s="2205"/>
      <c r="G134" s="2205"/>
      <c r="H134" s="2205"/>
      <c r="I134" s="2205"/>
      <c r="J134" s="2205"/>
      <c r="K134" s="2205"/>
      <c r="L134" s="2205"/>
      <c r="M134" s="2268"/>
      <c r="N134" s="2268"/>
      <c r="O134" s="2268"/>
      <c r="P134" s="2205"/>
      <c r="Q134" s="2205"/>
      <c r="R134" s="2205"/>
      <c r="S134" s="2205"/>
    </row>
    <row r="135" hidden="1" spans="1:19">
      <c r="A135" s="2256"/>
      <c r="B135" s="2205"/>
      <c r="C135" s="2259" t="str">
        <f t="shared" si="1"/>
        <v>年初外币报表折算差额</v>
      </c>
      <c r="D135" s="2205"/>
      <c r="E135" s="2205"/>
      <c r="F135" s="2205"/>
      <c r="G135" s="2205"/>
      <c r="H135" s="2205"/>
      <c r="I135" s="2205"/>
      <c r="J135" s="2205"/>
      <c r="K135" s="2205"/>
      <c r="L135" s="2205"/>
      <c r="M135" s="2268"/>
      <c r="N135" s="2268"/>
      <c r="O135" s="2268"/>
      <c r="P135" s="2205"/>
      <c r="Q135" s="2205"/>
      <c r="R135" s="2205"/>
      <c r="S135" s="2205"/>
    </row>
    <row r="136" hidden="1" spans="1:19">
      <c r="A136" s="2256"/>
      <c r="B136" s="2205"/>
      <c r="C136" s="2259" t="str">
        <f t="shared" si="1"/>
        <v>年初其他综合收益</v>
      </c>
      <c r="D136" s="2205"/>
      <c r="E136" s="2205"/>
      <c r="F136" s="2205"/>
      <c r="G136" s="2205"/>
      <c r="H136" s="2205"/>
      <c r="I136" s="2205"/>
      <c r="J136" s="2205"/>
      <c r="K136" s="2205"/>
      <c r="L136" s="2205"/>
      <c r="M136" s="2268"/>
      <c r="N136" s="2268"/>
      <c r="O136" s="2268"/>
      <c r="P136" s="2205"/>
      <c r="Q136" s="2205"/>
      <c r="R136" s="2205"/>
      <c r="S136" s="2205"/>
    </row>
    <row r="137" hidden="1" spans="1:19">
      <c r="A137" s="2256"/>
      <c r="B137" s="2205"/>
      <c r="C137" s="2259" t="str">
        <f t="shared" ref="C137:C146" si="2">IF(C60&lt;&gt;0,"上年"&amp;C60,"")</f>
        <v>上年营业收入</v>
      </c>
      <c r="D137" s="2205"/>
      <c r="E137" s="2205"/>
      <c r="F137" s="2205"/>
      <c r="G137" s="2205"/>
      <c r="H137" s="2205"/>
      <c r="I137" s="2205"/>
      <c r="J137" s="2205"/>
      <c r="K137" s="2205"/>
      <c r="L137" s="2205"/>
      <c r="M137" s="2268"/>
      <c r="N137" s="2268"/>
      <c r="O137" s="2268"/>
      <c r="P137" s="2205"/>
      <c r="Q137" s="2205"/>
      <c r="R137" s="2205"/>
      <c r="S137" s="2205"/>
    </row>
    <row r="138" hidden="1" spans="1:19">
      <c r="A138" s="2256"/>
      <c r="B138" s="2205"/>
      <c r="C138" s="2259" t="str">
        <f t="shared" si="2"/>
        <v>上年营业成本</v>
      </c>
      <c r="D138" s="2205"/>
      <c r="E138" s="2205"/>
      <c r="F138" s="2205"/>
      <c r="G138" s="2205"/>
      <c r="H138" s="2205"/>
      <c r="I138" s="2205"/>
      <c r="J138" s="2205"/>
      <c r="K138" s="2205"/>
      <c r="L138" s="2205"/>
      <c r="M138" s="2268"/>
      <c r="N138" s="2268"/>
      <c r="O138" s="2268"/>
      <c r="P138" s="2205"/>
      <c r="Q138" s="2205"/>
      <c r="R138" s="2205"/>
      <c r="S138" s="2205"/>
    </row>
    <row r="139" hidden="1" spans="1:19">
      <c r="A139" s="2256"/>
      <c r="B139" s="2205"/>
      <c r="C139" s="2259" t="str">
        <f t="shared" si="2"/>
        <v>上年营业税金及附加</v>
      </c>
      <c r="D139" s="2205"/>
      <c r="E139" s="2205"/>
      <c r="F139" s="2205"/>
      <c r="G139" s="2205"/>
      <c r="H139" s="2205"/>
      <c r="I139" s="2205"/>
      <c r="J139" s="2205"/>
      <c r="K139" s="2205"/>
      <c r="L139" s="2205"/>
      <c r="M139" s="2268"/>
      <c r="N139" s="2268"/>
      <c r="O139" s="2268"/>
      <c r="P139" s="2205"/>
      <c r="Q139" s="2205"/>
      <c r="R139" s="2205"/>
      <c r="S139" s="2205"/>
    </row>
    <row r="140" hidden="1" spans="1:19">
      <c r="A140" s="2256"/>
      <c r="B140" s="2205"/>
      <c r="C140" s="2259" t="str">
        <f t="shared" si="2"/>
        <v>上年销售费用</v>
      </c>
      <c r="D140" s="2205"/>
      <c r="E140" s="2205"/>
      <c r="F140" s="2205"/>
      <c r="G140" s="2205"/>
      <c r="H140" s="2205"/>
      <c r="I140" s="2205"/>
      <c r="J140" s="2205"/>
      <c r="K140" s="2205"/>
      <c r="L140" s="2205"/>
      <c r="M140" s="2268"/>
      <c r="N140" s="2268"/>
      <c r="O140" s="2268"/>
      <c r="P140" s="2205"/>
      <c r="Q140" s="2205"/>
      <c r="R140" s="2205"/>
      <c r="S140" s="2205"/>
    </row>
    <row r="141" hidden="1" spans="1:19">
      <c r="A141" s="2256"/>
      <c r="B141" s="2205"/>
      <c r="C141" s="2259" t="str">
        <f t="shared" si="2"/>
        <v>上年管理费用</v>
      </c>
      <c r="D141" s="2205"/>
      <c r="E141" s="2205"/>
      <c r="F141" s="2205"/>
      <c r="G141" s="2205"/>
      <c r="H141" s="2205"/>
      <c r="I141" s="2205"/>
      <c r="J141" s="2205"/>
      <c r="K141" s="2205"/>
      <c r="L141" s="2205"/>
      <c r="M141" s="2268"/>
      <c r="N141" s="2268"/>
      <c r="O141" s="2268"/>
      <c r="P141" s="2205"/>
      <c r="Q141" s="2205"/>
      <c r="R141" s="2205"/>
      <c r="S141" s="2205"/>
    </row>
    <row r="142" hidden="1" spans="1:19">
      <c r="A142" s="2256"/>
      <c r="B142" s="2205"/>
      <c r="C142" s="2259" t="str">
        <f t="shared" si="2"/>
        <v>上年财务费用</v>
      </c>
      <c r="D142" s="2205"/>
      <c r="E142" s="2205"/>
      <c r="F142" s="2205"/>
      <c r="G142" s="2205"/>
      <c r="H142" s="2205"/>
      <c r="I142" s="2205"/>
      <c r="J142" s="2205"/>
      <c r="K142" s="2205"/>
      <c r="L142" s="2205"/>
      <c r="M142" s="2268"/>
      <c r="N142" s="2268"/>
      <c r="O142" s="2268"/>
      <c r="P142" s="2205"/>
      <c r="Q142" s="2205"/>
      <c r="R142" s="2205"/>
      <c r="S142" s="2205"/>
    </row>
    <row r="143" hidden="1" spans="1:19">
      <c r="A143" s="2256"/>
      <c r="B143" s="2205"/>
      <c r="C143" s="2259" t="str">
        <f t="shared" si="2"/>
        <v>上年资产减值损失</v>
      </c>
      <c r="D143" s="2205"/>
      <c r="E143" s="2205"/>
      <c r="F143" s="2205"/>
      <c r="G143" s="2205"/>
      <c r="H143" s="2205"/>
      <c r="I143" s="2205"/>
      <c r="J143" s="2205"/>
      <c r="K143" s="2205"/>
      <c r="L143" s="2205"/>
      <c r="M143" s="2268"/>
      <c r="N143" s="2268"/>
      <c r="O143" s="2268"/>
      <c r="P143" s="2205"/>
      <c r="Q143" s="2205"/>
      <c r="R143" s="2205"/>
      <c r="S143" s="2205"/>
    </row>
    <row r="144" hidden="1" spans="1:19">
      <c r="A144" s="2256"/>
      <c r="B144" s="2205"/>
      <c r="C144" s="2259" t="str">
        <f t="shared" si="2"/>
        <v>上年公允价值变动收益</v>
      </c>
      <c r="D144" s="2205"/>
      <c r="E144" s="2205"/>
      <c r="F144" s="2205"/>
      <c r="G144" s="2205"/>
      <c r="H144" s="2205"/>
      <c r="I144" s="2205"/>
      <c r="J144" s="2205"/>
      <c r="K144" s="2205"/>
      <c r="L144" s="2205"/>
      <c r="M144" s="2268"/>
      <c r="N144" s="2268"/>
      <c r="O144" s="2268"/>
      <c r="P144" s="2205"/>
      <c r="Q144" s="2205"/>
      <c r="R144" s="2205"/>
      <c r="S144" s="2205"/>
    </row>
    <row r="145" hidden="1" spans="1:19">
      <c r="A145" s="2256"/>
      <c r="B145" s="2205"/>
      <c r="C145" s="2259" t="str">
        <f t="shared" si="2"/>
        <v>上年投资收益</v>
      </c>
      <c r="D145" s="2205"/>
      <c r="E145" s="2205"/>
      <c r="F145" s="2205"/>
      <c r="G145" s="2205"/>
      <c r="H145" s="2205"/>
      <c r="I145" s="2205"/>
      <c r="J145" s="2205"/>
      <c r="K145" s="2205"/>
      <c r="L145" s="2205"/>
      <c r="M145" s="2268"/>
      <c r="N145" s="2268"/>
      <c r="O145" s="2268"/>
      <c r="P145" s="2205"/>
      <c r="Q145" s="2205"/>
      <c r="R145" s="2205"/>
      <c r="S145" s="2205"/>
    </row>
    <row r="146" hidden="1" spans="1:19">
      <c r="A146" s="2256"/>
      <c r="B146" s="2205"/>
      <c r="C146" s="2259" t="str">
        <f t="shared" si="2"/>
        <v>上年汇兑收益</v>
      </c>
      <c r="D146" s="2205"/>
      <c r="E146" s="2205"/>
      <c r="F146" s="2205"/>
      <c r="G146" s="2205"/>
      <c r="H146" s="2205"/>
      <c r="I146" s="2205"/>
      <c r="J146" s="2205"/>
      <c r="K146" s="2205"/>
      <c r="L146" s="2205"/>
      <c r="M146" s="2268"/>
      <c r="N146" s="2268"/>
      <c r="O146" s="2268"/>
      <c r="P146" s="2205"/>
      <c r="Q146" s="2205"/>
      <c r="R146" s="2205"/>
      <c r="S146" s="2205"/>
    </row>
    <row r="147" hidden="1" spans="1:19">
      <c r="A147" s="2256"/>
      <c r="B147" s="2205"/>
      <c r="C147" s="2259" t="str">
        <f>IF(C70&lt;&gt;"","上年"&amp;C70,"")</f>
        <v>上年其他收益</v>
      </c>
      <c r="D147" s="2205"/>
      <c r="E147" s="2205"/>
      <c r="F147" s="2205"/>
      <c r="G147" s="2205"/>
      <c r="H147" s="2205"/>
      <c r="I147" s="2205"/>
      <c r="J147" s="2205"/>
      <c r="K147" s="2205"/>
      <c r="L147" s="2205"/>
      <c r="M147" s="2268"/>
      <c r="N147" s="2268"/>
      <c r="O147" s="2268"/>
      <c r="P147" s="2205"/>
      <c r="Q147" s="2205"/>
      <c r="R147" s="2205"/>
      <c r="S147" s="2205"/>
    </row>
    <row r="148" hidden="1" spans="1:19">
      <c r="A148" s="2256"/>
      <c r="B148" s="2205"/>
      <c r="C148" s="2259" t="str">
        <f>IF(C71&lt;&gt;0,"上年"&amp;C71,"")</f>
        <v>上年营业外收入</v>
      </c>
      <c r="D148" s="2205"/>
      <c r="E148" s="2205"/>
      <c r="F148" s="2205"/>
      <c r="G148" s="2205"/>
      <c r="H148" s="2205"/>
      <c r="I148" s="2205"/>
      <c r="J148" s="2205"/>
      <c r="K148" s="2205"/>
      <c r="L148" s="2205"/>
      <c r="M148" s="2268"/>
      <c r="N148" s="2268"/>
      <c r="O148" s="2268"/>
      <c r="P148" s="2205"/>
      <c r="Q148" s="2205"/>
      <c r="R148" s="2205"/>
      <c r="S148" s="2205"/>
    </row>
    <row r="149" hidden="1" spans="1:19">
      <c r="A149" s="2256"/>
      <c r="B149" s="2205"/>
      <c r="C149" s="2259" t="str">
        <f>IF(C72&lt;&gt;0,"上年"&amp;C72,"")</f>
        <v>上年营业外支出</v>
      </c>
      <c r="D149" s="2205"/>
      <c r="E149" s="2205"/>
      <c r="F149" s="2205"/>
      <c r="G149" s="2205"/>
      <c r="H149" s="2205"/>
      <c r="I149" s="2205"/>
      <c r="J149" s="2205"/>
      <c r="K149" s="2205"/>
      <c r="L149" s="2205"/>
      <c r="M149" s="2268"/>
      <c r="N149" s="2268"/>
      <c r="O149" s="2268"/>
      <c r="P149" s="2205"/>
      <c r="Q149" s="2205"/>
      <c r="R149" s="2205"/>
      <c r="S149" s="2205"/>
    </row>
    <row r="150" hidden="1" spans="1:19">
      <c r="A150" s="2256"/>
      <c r="B150" s="2205"/>
      <c r="C150" s="2259" t="str">
        <f>IF(C73&lt;&gt;"","上年"&amp;C73,"")</f>
        <v>上年（二）终止经营净利润（净亏损以“－”号填列）</v>
      </c>
      <c r="D150" s="2205"/>
      <c r="E150" s="2205"/>
      <c r="F150" s="2205"/>
      <c r="G150" s="2205"/>
      <c r="H150" s="2205"/>
      <c r="I150" s="2205"/>
      <c r="J150" s="2205"/>
      <c r="K150" s="2205"/>
      <c r="L150" s="2205"/>
      <c r="M150" s="2268"/>
      <c r="N150" s="2268"/>
      <c r="O150" s="2268"/>
      <c r="P150" s="2205"/>
      <c r="Q150" s="2205"/>
      <c r="R150" s="2205"/>
      <c r="S150" s="2205"/>
    </row>
    <row r="151" hidden="1" spans="1:19">
      <c r="A151" s="2256"/>
      <c r="B151" s="2205"/>
      <c r="C151" s="2259" t="str">
        <f>IF(C74&lt;&gt;0,"上年"&amp;C74,"")</f>
        <v>上年所得税费用</v>
      </c>
      <c r="D151" s="2205"/>
      <c r="E151" s="2205"/>
      <c r="F151" s="2205"/>
      <c r="G151" s="2205"/>
      <c r="H151" s="2205"/>
      <c r="I151" s="2205"/>
      <c r="J151" s="2205"/>
      <c r="K151" s="2205"/>
      <c r="L151" s="2205"/>
      <c r="M151" s="2268"/>
      <c r="N151" s="2268"/>
      <c r="O151" s="2268"/>
      <c r="P151" s="2205"/>
      <c r="Q151" s="2205"/>
      <c r="R151" s="2205"/>
      <c r="S151" s="2205"/>
    </row>
    <row r="152" hidden="1" spans="1:19">
      <c r="A152" s="2256"/>
      <c r="B152" s="2205"/>
      <c r="C152" s="2259" t="str">
        <f>IF(C75&lt;&gt;"","上年"&amp;C75,"")</f>
        <v>上年五、其他综合收益的税后净额</v>
      </c>
      <c r="D152" s="2205"/>
      <c r="E152" s="2205"/>
      <c r="F152" s="2205"/>
      <c r="G152" s="2205"/>
      <c r="H152" s="2205"/>
      <c r="I152" s="2205"/>
      <c r="J152" s="2205"/>
      <c r="K152" s="2205"/>
      <c r="L152" s="2205"/>
      <c r="M152" s="2268"/>
      <c r="N152" s="2268"/>
      <c r="O152" s="2268"/>
      <c r="P152" s="2205"/>
      <c r="Q152" s="2205"/>
      <c r="R152" s="2205"/>
      <c r="S152" s="2205"/>
    </row>
    <row r="153" hidden="1" spans="1:19">
      <c r="A153" s="2256"/>
      <c r="B153" s="2205"/>
      <c r="C153" s="2267" t="s">
        <v>1415</v>
      </c>
      <c r="D153" s="2205"/>
      <c r="E153" s="2205"/>
      <c r="F153" s="2205"/>
      <c r="G153" s="2205"/>
      <c r="H153" s="2205"/>
      <c r="I153" s="2205"/>
      <c r="J153" s="2205"/>
      <c r="K153" s="2205"/>
      <c r="L153" s="2205"/>
      <c r="M153" s="2268"/>
      <c r="N153" s="2268"/>
      <c r="O153" s="2268"/>
      <c r="P153" s="2205"/>
      <c r="Q153" s="2205"/>
      <c r="R153" s="2205"/>
      <c r="S153" s="2205"/>
    </row>
    <row r="154" hidden="1" spans="1:19">
      <c r="A154" s="2256"/>
      <c r="B154" s="2205"/>
      <c r="C154" s="2267" t="s">
        <v>1416</v>
      </c>
      <c r="D154" s="2205"/>
      <c r="E154" s="2205"/>
      <c r="F154" s="2205"/>
      <c r="G154" s="2205"/>
      <c r="H154" s="2205"/>
      <c r="I154" s="2205"/>
      <c r="J154" s="2205"/>
      <c r="K154" s="2205"/>
      <c r="L154" s="2205"/>
      <c r="M154" s="2268"/>
      <c r="N154" s="2268"/>
      <c r="O154" s="2268"/>
      <c r="P154" s="2205"/>
      <c r="Q154" s="2205"/>
      <c r="R154" s="2205"/>
      <c r="S154" s="2205"/>
    </row>
    <row r="155" hidden="1" spans="1:19">
      <c r="A155" s="2256"/>
      <c r="B155" s="2205"/>
      <c r="C155" s="2267" t="s">
        <v>1417</v>
      </c>
      <c r="D155" s="2205"/>
      <c r="E155" s="2205"/>
      <c r="F155" s="2205"/>
      <c r="G155" s="2205"/>
      <c r="H155" s="2205"/>
      <c r="I155" s="2205"/>
      <c r="J155" s="2205"/>
      <c r="K155" s="2205"/>
      <c r="L155" s="2205"/>
      <c r="M155" s="2268"/>
      <c r="N155" s="2268"/>
      <c r="O155" s="2268"/>
      <c r="P155" s="2205"/>
      <c r="Q155" s="2205"/>
      <c r="R155" s="2205"/>
      <c r="S155" s="2205"/>
    </row>
    <row r="156" hidden="1" spans="1:19">
      <c r="A156" s="2256"/>
      <c r="B156" s="2205"/>
      <c r="C156" s="2267" t="s">
        <v>1418</v>
      </c>
      <c r="D156" s="2205"/>
      <c r="E156" s="2205"/>
      <c r="F156" s="2205"/>
      <c r="G156" s="2205"/>
      <c r="H156" s="2205"/>
      <c r="I156" s="2205"/>
      <c r="J156" s="2205"/>
      <c r="K156" s="2205"/>
      <c r="L156" s="2205"/>
      <c r="M156" s="2268"/>
      <c r="N156" s="2268"/>
      <c r="O156" s="2268"/>
      <c r="P156" s="2205"/>
      <c r="Q156" s="2205"/>
      <c r="R156" s="2205"/>
      <c r="S156" s="2205"/>
    </row>
    <row r="157" hidden="1" spans="1:19">
      <c r="A157" s="2256"/>
      <c r="B157" s="2205"/>
      <c r="C157" s="2259"/>
      <c r="D157" s="2205"/>
      <c r="E157" s="2205"/>
      <c r="F157" s="2205"/>
      <c r="G157" s="2205"/>
      <c r="H157" s="2205"/>
      <c r="I157" s="2205"/>
      <c r="J157" s="2205"/>
      <c r="K157" s="2205"/>
      <c r="L157" s="2205"/>
      <c r="M157" s="2268"/>
      <c r="N157" s="2268"/>
      <c r="O157" s="2268"/>
      <c r="P157" s="2205"/>
      <c r="Q157" s="2205"/>
      <c r="R157" s="2205"/>
      <c r="S157" s="2205"/>
    </row>
    <row r="158" hidden="1" spans="1:19">
      <c r="A158" s="2271" t="s">
        <v>1419</v>
      </c>
      <c r="B158" s="2205"/>
      <c r="C158" s="2272" t="s">
        <v>1420</v>
      </c>
      <c r="D158" s="2256"/>
      <c r="E158" s="2256"/>
      <c r="F158" s="2256"/>
      <c r="G158" s="2273" t="s">
        <v>1421</v>
      </c>
      <c r="H158" s="2273" t="s">
        <v>1422</v>
      </c>
      <c r="I158" s="2205"/>
      <c r="J158" s="2273" t="s">
        <v>1394</v>
      </c>
      <c r="K158" s="2205"/>
      <c r="L158" s="2205"/>
      <c r="M158" s="2268"/>
      <c r="N158" s="2268"/>
      <c r="O158" s="2268"/>
      <c r="P158" s="2205"/>
      <c r="Q158" s="2205"/>
      <c r="R158" s="2205"/>
      <c r="S158" s="2205"/>
    </row>
    <row r="159" hidden="1" spans="1:19">
      <c r="A159" s="2271" t="s">
        <v>1423</v>
      </c>
      <c r="B159" s="2205"/>
      <c r="C159" s="2258" t="str">
        <f>IF(J159=0,"","注意：输入的调整分录不平，借贷差："&amp;J159&amp;"元。")</f>
        <v/>
      </c>
      <c r="D159" s="2205"/>
      <c r="E159" s="2205"/>
      <c r="F159" s="2205"/>
      <c r="G159" s="2274">
        <f>ROUND(G174,2)</f>
        <v>0</v>
      </c>
      <c r="H159" s="2274">
        <f>ROUND(H174,2)</f>
        <v>0</v>
      </c>
      <c r="I159" s="2205"/>
      <c r="J159" s="2274">
        <f>ROUND(G159-H159,2)</f>
        <v>0</v>
      </c>
      <c r="K159" s="2205"/>
      <c r="L159" s="2205"/>
      <c r="M159" s="2268"/>
      <c r="N159" s="2268"/>
      <c r="O159" s="2268"/>
      <c r="P159" s="2205"/>
      <c r="Q159" s="2205"/>
      <c r="R159" s="2205"/>
      <c r="S159" s="2205"/>
    </row>
    <row r="160" hidden="1" spans="1:19">
      <c r="A160" s="2271" t="s">
        <v>1424</v>
      </c>
      <c r="B160" s="2205"/>
      <c r="C160" s="2258" t="str">
        <f>IF(J160=0,"","注意：客户同意调整的分录不平，借贷差："&amp;J160&amp;"元。")</f>
        <v/>
      </c>
      <c r="D160" s="2205"/>
      <c r="E160" s="2205"/>
      <c r="F160" s="2205"/>
      <c r="G160" s="2274">
        <f>ROUND(SUMIF($I$175:$I$207,"y",$G$175:$G$207),2)</f>
        <v>0</v>
      </c>
      <c r="H160" s="2274">
        <f>ROUND(SUMIF($I$175:$I$207,"y",$H$175:$H$207),2)</f>
        <v>0</v>
      </c>
      <c r="I160" s="2205"/>
      <c r="J160" s="2274">
        <f>ROUND(G160-H160,2)</f>
        <v>0</v>
      </c>
      <c r="K160" s="2205"/>
      <c r="L160" s="2205"/>
      <c r="M160" s="2268"/>
      <c r="N160" s="2268"/>
      <c r="O160" s="2268"/>
      <c r="P160" s="2205"/>
      <c r="Q160" s="2205"/>
      <c r="R160" s="2205"/>
      <c r="S160" s="2205"/>
    </row>
    <row r="161" hidden="1" spans="1:19">
      <c r="A161" s="2271" t="s">
        <v>1425</v>
      </c>
      <c r="B161" s="2205"/>
      <c r="C161" s="2258" t="str">
        <f>IF(J161=0,"","注意：有调整分录只有数字无科目。")</f>
        <v/>
      </c>
      <c r="D161" s="2205"/>
      <c r="E161" s="2205"/>
      <c r="F161" s="2205"/>
      <c r="G161" s="2274">
        <f>ROUND(SUMIF($C$175:$C$207,"",$G$175:$G$207),2)</f>
        <v>0</v>
      </c>
      <c r="H161" s="2274">
        <f>ROUND(SUMIF($C$175:$C$207,"",$H$175:$H$207),2)</f>
        <v>0</v>
      </c>
      <c r="I161" s="2205"/>
      <c r="J161" s="2274">
        <f>ROUND(ABS(G161)+ABS(H161),2)</f>
        <v>0</v>
      </c>
      <c r="K161" s="2205"/>
      <c r="L161" s="2205"/>
      <c r="M161" s="2268"/>
      <c r="N161" s="2268"/>
      <c r="O161" s="2268"/>
      <c r="P161" s="2205"/>
      <c r="Q161" s="2205"/>
      <c r="R161" s="2205"/>
      <c r="S161" s="2205"/>
    </row>
    <row r="162" hidden="1" spans="1:19">
      <c r="A162" s="2271" t="s">
        <v>1426</v>
      </c>
      <c r="B162" s="2205"/>
      <c r="C162" s="2258" t="str">
        <f>IF(J162=0,"",J162)</f>
        <v/>
      </c>
      <c r="D162" s="2205"/>
      <c r="E162" s="2205"/>
      <c r="F162" s="2205"/>
      <c r="G162" s="2274"/>
      <c r="H162" s="2274"/>
      <c r="I162" s="2205"/>
      <c r="J162" s="2274">
        <f>IF(未审资负表!A2&lt;&gt;"","未审资产负债表不平，请核对。",IF(未审利润表!A2&lt;&gt;0,"未审利润表与未审资产负债表不符，请核对。",IF(OR(审定资负表!C2&lt;&gt;0,审定资负表!D2&lt;&gt;0),"调整上期数导致审定资产负债表不平，请核对。",0)))</f>
        <v>0</v>
      </c>
      <c r="K162" s="2205"/>
      <c r="L162" s="2205"/>
      <c r="M162" s="2268"/>
      <c r="N162" s="2268"/>
      <c r="O162" s="2268"/>
      <c r="P162" s="2205"/>
      <c r="Q162" s="2205"/>
      <c r="R162" s="2205"/>
      <c r="S162" s="2205"/>
    </row>
    <row r="163" hidden="1" spans="1:19">
      <c r="A163" s="2271" t="s">
        <v>1427</v>
      </c>
      <c r="B163" s="2205"/>
      <c r="C163" s="2258" t="str">
        <f>IF(J163&gt;0,"调整增加上期净利润"&amp;ABS(J163)&amp;"元。",IF(J163&lt;0,"调整减少上期净利润"&amp;ABS(J163)&amp;"元。",""))</f>
        <v/>
      </c>
      <c r="D163" s="2205"/>
      <c r="E163" s="2205"/>
      <c r="F163" s="2205"/>
      <c r="G163" s="2274">
        <f>ROUND(审定利润表!D24,2)</f>
        <v>0</v>
      </c>
      <c r="H163" s="2274">
        <f>ROUND(未审利润表!D24,2)</f>
        <v>0</v>
      </c>
      <c r="I163" s="2205"/>
      <c r="J163" s="2274">
        <f>ROUND(G163-H163,2)</f>
        <v>0</v>
      </c>
      <c r="K163" s="2205"/>
      <c r="L163" s="2205"/>
      <c r="M163" s="2268"/>
      <c r="N163" s="2268"/>
      <c r="O163" s="2268"/>
      <c r="P163" s="2205"/>
      <c r="Q163" s="2205"/>
      <c r="R163" s="2205"/>
      <c r="S163" s="2205"/>
    </row>
    <row r="164" hidden="1" spans="1:19">
      <c r="A164" s="2271" t="s">
        <v>1428</v>
      </c>
      <c r="B164" s="2205"/>
      <c r="C164" s="2258" t="str">
        <f>IF(J164&gt;0,"调整增加本期净利润"&amp;ABS(J164)&amp;"元。",IF(J164&lt;0,"调整减少本期净利润"&amp;ABS(J164)&amp;"元。",""))</f>
        <v/>
      </c>
      <c r="D164" s="2205"/>
      <c r="E164" s="2205"/>
      <c r="F164" s="2205"/>
      <c r="G164" s="2274">
        <f>ROUND(审定利润表!C24,2)</f>
        <v>0</v>
      </c>
      <c r="H164" s="2274">
        <f>ROUND(未审利润表!C24,2)</f>
        <v>0</v>
      </c>
      <c r="I164" s="2205"/>
      <c r="J164" s="2274">
        <f>ROUND(G164-H164,2)</f>
        <v>0</v>
      </c>
      <c r="K164" s="2205"/>
      <c r="L164" s="2205"/>
      <c r="M164" s="2268"/>
      <c r="N164" s="2268"/>
      <c r="O164" s="2268"/>
      <c r="P164" s="2205"/>
      <c r="Q164" s="2205"/>
      <c r="R164" s="2205"/>
      <c r="S164" s="2205"/>
    </row>
    <row r="165" hidden="1" spans="1:19">
      <c r="A165" s="2271"/>
      <c r="B165" s="2205"/>
      <c r="C165" s="2258"/>
      <c r="D165" s="2205"/>
      <c r="E165" s="2205"/>
      <c r="F165" s="2205"/>
      <c r="G165" s="2274"/>
      <c r="H165" s="2274"/>
      <c r="I165" s="2205"/>
      <c r="J165" s="2274"/>
      <c r="K165" s="2205"/>
      <c r="L165" s="2205"/>
      <c r="M165" s="2268"/>
      <c r="N165" s="2268"/>
      <c r="O165" s="2268"/>
      <c r="P165" s="2205"/>
      <c r="Q165" s="2205"/>
      <c r="R165" s="2205"/>
      <c r="S165" s="2205"/>
    </row>
    <row r="166" hidden="1" spans="1:19">
      <c r="A166" s="2275"/>
      <c r="B166" s="2205"/>
      <c r="C166" s="2258"/>
      <c r="D166" s="2205"/>
      <c r="E166" s="2205"/>
      <c r="F166" s="2205"/>
      <c r="G166" s="2274"/>
      <c r="H166" s="2274"/>
      <c r="I166" s="2205"/>
      <c r="J166" s="2205"/>
      <c r="K166" s="2205"/>
      <c r="L166" s="2205"/>
      <c r="M166" s="2268"/>
      <c r="N166" s="2268"/>
      <c r="O166" s="2268"/>
      <c r="P166" s="2205"/>
      <c r="Q166" s="2205"/>
      <c r="R166" s="2205"/>
      <c r="S166" s="2205"/>
    </row>
    <row r="167" hidden="1" spans="1:19">
      <c r="A167" s="2256"/>
      <c r="B167" s="2205"/>
      <c r="C167" s="2259"/>
      <c r="D167" s="2205"/>
      <c r="E167" s="2205"/>
      <c r="F167" s="2205"/>
      <c r="G167" s="2205"/>
      <c r="H167" s="2205"/>
      <c r="I167" s="2205"/>
      <c r="J167" s="2205"/>
      <c r="K167" s="2205"/>
      <c r="L167" s="2205"/>
      <c r="M167" s="2268"/>
      <c r="N167" s="2268"/>
      <c r="O167" s="2268"/>
      <c r="P167" s="2205"/>
      <c r="Q167" s="2205"/>
      <c r="R167" s="2205"/>
      <c r="S167" s="2205"/>
    </row>
    <row r="168" spans="1:19">
      <c r="A168" s="2276" t="s">
        <v>1429</v>
      </c>
      <c r="B168" s="2207"/>
      <c r="C168" s="2208" t="str">
        <f>参数表!C3</f>
        <v>石嘴山市深阳蓝光市政工程有限公司</v>
      </c>
      <c r="D168" s="2208"/>
      <c r="E168" s="2208"/>
      <c r="F168" s="2209"/>
      <c r="G168" s="2210" t="s">
        <v>1430</v>
      </c>
      <c r="H168" s="2210" t="s">
        <v>1431</v>
      </c>
      <c r="I168" s="2242"/>
      <c r="J168" s="2205"/>
      <c r="K168" s="2273"/>
      <c r="L168" s="2273"/>
      <c r="M168" s="2298"/>
      <c r="N168" s="2268"/>
      <c r="O168" s="2268"/>
      <c r="P168" s="2205"/>
      <c r="Q168" s="2205"/>
      <c r="R168" s="2205"/>
      <c r="S168" s="2205"/>
    </row>
    <row r="169" ht="14.25" spans="1:19">
      <c r="A169" s="2276" t="s">
        <v>1432</v>
      </c>
      <c r="B169" s="2207"/>
      <c r="C169" s="2211" t="s">
        <v>1433</v>
      </c>
      <c r="D169" s="2212"/>
      <c r="E169" s="2212"/>
      <c r="F169" s="2213" t="s">
        <v>1434</v>
      </c>
      <c r="G169" s="2214">
        <f>参数表!F10</f>
        <v>0</v>
      </c>
      <c r="H169" s="2215"/>
      <c r="I169" s="2243"/>
      <c r="J169" s="2204"/>
      <c r="K169" s="2299"/>
      <c r="L169" s="2299"/>
      <c r="M169" s="2268"/>
      <c r="N169" s="2268"/>
      <c r="O169" s="2268"/>
      <c r="P169" s="2205"/>
      <c r="Q169" s="2205"/>
      <c r="R169" s="2205"/>
      <c r="S169" s="2205"/>
    </row>
    <row r="170" spans="1:19">
      <c r="A170" s="2276" t="s">
        <v>1435</v>
      </c>
      <c r="B170" s="2207"/>
      <c r="C170" s="2216" t="str">
        <f>参数表!D7</f>
        <v>2016年度</v>
      </c>
      <c r="D170" s="2216"/>
      <c r="E170" s="2216"/>
      <c r="F170" s="2213" t="s">
        <v>1436</v>
      </c>
      <c r="G170" s="2214">
        <f>参数表!C11</f>
        <v>0</v>
      </c>
      <c r="H170" s="2215"/>
      <c r="I170" s="2243"/>
      <c r="J170" s="2204"/>
      <c r="K170" s="2299"/>
      <c r="L170" s="2299"/>
      <c r="M170" s="2268"/>
      <c r="N170" s="2268"/>
      <c r="O170" s="2268"/>
      <c r="P170" s="2205"/>
      <c r="Q170" s="2205"/>
      <c r="R170" s="2205"/>
      <c r="S170" s="2205"/>
    </row>
    <row r="171" spans="1:19">
      <c r="A171" s="2217"/>
      <c r="B171" s="2218" t="str">
        <f>IF(C159&lt;&gt;"",C159,IF(C160&lt;&gt;"",C160,IF(C161&lt;&gt;"",C161,IF(C162&lt;&gt;"",C162,IF(OR(C163&lt;&gt;"",C164&lt;&gt;""),C163&amp;C164,"")))))</f>
        <v/>
      </c>
      <c r="C171" s="2219"/>
      <c r="D171" s="2220"/>
      <c r="E171" s="2221"/>
      <c r="F171" s="2221"/>
      <c r="G171" s="2222"/>
      <c r="H171" s="2223"/>
      <c r="I171" s="2223"/>
      <c r="J171" s="2204"/>
      <c r="K171" s="2205" t="s">
        <v>1437</v>
      </c>
      <c r="L171" s="2205" t="s">
        <v>1438</v>
      </c>
      <c r="M171" s="2268">
        <v>60811434.3</v>
      </c>
      <c r="N171" s="2268">
        <v>60811434.3</v>
      </c>
      <c r="O171" s="2268">
        <v>0</v>
      </c>
      <c r="P171" s="2205">
        <v>56453052.9541538</v>
      </c>
      <c r="Q171" s="2205">
        <f>P171-N171</f>
        <v>-4358381.34584618</v>
      </c>
      <c r="R171" s="2205"/>
      <c r="S171" s="2205"/>
    </row>
    <row r="172" spans="1:19">
      <c r="A172" s="2224" t="s">
        <v>161</v>
      </c>
      <c r="B172" s="2225" t="s">
        <v>1439</v>
      </c>
      <c r="C172" s="2226"/>
      <c r="D172" s="2226"/>
      <c r="E172" s="2226"/>
      <c r="F172" s="2225" t="s">
        <v>1440</v>
      </c>
      <c r="G172" s="2277" t="s">
        <v>1441</v>
      </c>
      <c r="H172" s="2278"/>
      <c r="I172" s="2244" t="s">
        <v>1442</v>
      </c>
      <c r="J172" s="2204"/>
      <c r="K172" s="2274" t="s">
        <v>1443</v>
      </c>
      <c r="L172" s="2274" t="s">
        <v>1438</v>
      </c>
      <c r="M172" s="2268">
        <v>8544781.92</v>
      </c>
      <c r="N172" s="2268">
        <v>8544781.92</v>
      </c>
      <c r="O172" s="2268">
        <v>0</v>
      </c>
      <c r="P172" s="2205">
        <v>12903163.2620624</v>
      </c>
      <c r="Q172" s="2205">
        <f>P172-N172</f>
        <v>4358381.34206238</v>
      </c>
      <c r="R172" s="2205"/>
      <c r="S172" s="2205"/>
    </row>
    <row r="173" spans="1:19">
      <c r="A173" s="2229"/>
      <c r="B173" s="2230" t="s">
        <v>1420</v>
      </c>
      <c r="C173" s="2225" t="s">
        <v>1444</v>
      </c>
      <c r="D173" s="2231"/>
      <c r="E173" s="2225" t="s">
        <v>1445</v>
      </c>
      <c r="F173" s="2226"/>
      <c r="G173" s="2227" t="s">
        <v>1421</v>
      </c>
      <c r="H173" s="2227" t="s">
        <v>1446</v>
      </c>
      <c r="I173" s="2245"/>
      <c r="J173" s="2204"/>
      <c r="K173" s="2274" t="s">
        <v>1447</v>
      </c>
      <c r="L173" s="2274" t="s">
        <v>1438</v>
      </c>
      <c r="M173" s="2268">
        <v>69356216.22</v>
      </c>
      <c r="N173" s="2268">
        <v>0</v>
      </c>
      <c r="O173" s="2268">
        <v>69356216.22</v>
      </c>
      <c r="P173" s="2205"/>
      <c r="Q173" s="2205"/>
      <c r="R173" s="2205"/>
      <c r="S173" s="2205"/>
    </row>
    <row r="174" spans="1:19">
      <c r="A174" s="2233" t="s">
        <v>1448</v>
      </c>
      <c r="B174" s="2234"/>
      <c r="C174" s="2234"/>
      <c r="D174" s="2234"/>
      <c r="E174" s="2235"/>
      <c r="F174" s="2236"/>
      <c r="G174" s="2237">
        <f>ROUND(SUM(G175:G207),2)</f>
        <v>0</v>
      </c>
      <c r="H174" s="2237">
        <f>ROUND(SUM(H175:H207),2)</f>
        <v>0</v>
      </c>
      <c r="I174" s="2228" t="s">
        <v>1449</v>
      </c>
      <c r="J174" s="2204"/>
      <c r="K174" s="2205" t="s">
        <v>1447</v>
      </c>
      <c r="L174" s="2205" t="s">
        <v>1438</v>
      </c>
      <c r="M174" s="2268">
        <v>6935621.62</v>
      </c>
      <c r="N174" s="2298">
        <v>6935621.62</v>
      </c>
      <c r="O174" s="2268">
        <v>0</v>
      </c>
      <c r="P174" s="2205"/>
      <c r="Q174" s="2205"/>
      <c r="R174" s="2205"/>
      <c r="S174" s="2205"/>
    </row>
    <row r="175" spans="1:19">
      <c r="A175" s="2279"/>
      <c r="B175" s="2280"/>
      <c r="C175" s="2281"/>
      <c r="D175" s="2280"/>
      <c r="E175" s="2280"/>
      <c r="F175" s="2280"/>
      <c r="G175" s="1794"/>
      <c r="H175" s="1794"/>
      <c r="I175" s="2300"/>
      <c r="J175" s="2205"/>
      <c r="K175" s="2205" t="s">
        <v>1450</v>
      </c>
      <c r="L175" s="2205" t="s">
        <v>1438</v>
      </c>
      <c r="M175" s="2268">
        <v>6935621.62</v>
      </c>
      <c r="N175" s="2268">
        <v>0</v>
      </c>
      <c r="O175" s="2268">
        <v>6935621.62</v>
      </c>
      <c r="P175" s="2205"/>
      <c r="Q175" s="2205"/>
      <c r="R175" s="2205"/>
      <c r="S175" s="2205"/>
    </row>
    <row r="176" ht="14.25" spans="1:19">
      <c r="A176" s="2238"/>
      <c r="B176" s="2282" t="s">
        <v>1451</v>
      </c>
      <c r="C176" s="2283"/>
      <c r="D176" s="2284"/>
      <c r="E176" s="2284"/>
      <c r="F176" s="2284"/>
      <c r="G176" s="1794"/>
      <c r="H176" s="1794"/>
      <c r="I176" s="2247"/>
      <c r="J176" s="2205"/>
      <c r="K176" s="2205"/>
      <c r="L176" s="2274"/>
      <c r="M176" s="2268"/>
      <c r="N176" s="2268"/>
      <c r="O176" s="2268"/>
      <c r="P176" s="2205"/>
      <c r="Q176" s="2205"/>
      <c r="R176" s="2205"/>
      <c r="S176" s="2205"/>
    </row>
    <row r="177" ht="14.25" spans="1:19">
      <c r="A177" s="2238"/>
      <c r="B177" s="2285"/>
      <c r="C177" s="2283" t="s">
        <v>230</v>
      </c>
      <c r="D177" s="2284"/>
      <c r="E177" s="2286" t="s">
        <v>1452</v>
      </c>
      <c r="F177" s="2284"/>
      <c r="G177" s="1794">
        <f>-G178</f>
        <v>4358381.35</v>
      </c>
      <c r="H177" s="1794"/>
      <c r="I177" s="2247" t="s">
        <v>1400</v>
      </c>
      <c r="J177" s="2204" t="s">
        <v>1453</v>
      </c>
      <c r="K177" s="2205" t="s">
        <v>1454</v>
      </c>
      <c r="L177" s="2205"/>
      <c r="M177" s="2268"/>
      <c r="N177" s="2268"/>
      <c r="O177" s="2268"/>
      <c r="P177" s="2205"/>
      <c r="Q177" s="2205"/>
      <c r="R177" s="2205"/>
      <c r="S177" s="2205"/>
    </row>
    <row r="178" ht="14.25" spans="1:19">
      <c r="A178" s="2238"/>
      <c r="B178" s="2287"/>
      <c r="C178" s="2283" t="s">
        <v>211</v>
      </c>
      <c r="D178" s="2288"/>
      <c r="E178" s="2289" t="s">
        <v>592</v>
      </c>
      <c r="F178" s="2288"/>
      <c r="G178" s="2168">
        <v>-4358381.35</v>
      </c>
      <c r="H178" s="2168"/>
      <c r="I178" s="2247" t="s">
        <v>1400</v>
      </c>
      <c r="J178" s="2204" t="s">
        <v>1453</v>
      </c>
      <c r="K178" s="2205" t="s">
        <v>1454</v>
      </c>
      <c r="L178" s="2205"/>
      <c r="M178" s="2268"/>
      <c r="N178" s="2268"/>
      <c r="O178" s="2268"/>
      <c r="P178" s="2205"/>
      <c r="Q178" s="2205"/>
      <c r="R178" s="2205"/>
      <c r="S178" s="2205"/>
    </row>
    <row r="179" ht="14.25" spans="1:19">
      <c r="A179" s="2238"/>
      <c r="B179" s="2287"/>
      <c r="C179" s="2290"/>
      <c r="D179" s="2288"/>
      <c r="E179" s="2289"/>
      <c r="F179" s="2288"/>
      <c r="G179" s="2168"/>
      <c r="H179" s="2168"/>
      <c r="I179" s="2247"/>
      <c r="J179" s="2205"/>
      <c r="K179" s="2205"/>
      <c r="L179" s="2274"/>
      <c r="M179" s="2268"/>
      <c r="N179" s="2268"/>
      <c r="O179" s="2268"/>
      <c r="P179" s="2205"/>
      <c r="Q179" s="2205"/>
      <c r="R179" s="2205"/>
      <c r="S179" s="2205"/>
    </row>
    <row r="180" ht="14.25" spans="1:19">
      <c r="A180" s="2238"/>
      <c r="B180" s="2287"/>
      <c r="C180" s="2290"/>
      <c r="D180" s="2288"/>
      <c r="E180" s="2291"/>
      <c r="F180" s="2288"/>
      <c r="G180" s="2168"/>
      <c r="H180" s="2168"/>
      <c r="I180" s="2247"/>
      <c r="J180" s="2205"/>
      <c r="K180" s="2205"/>
      <c r="L180" s="2205"/>
      <c r="M180" s="2268"/>
      <c r="N180" s="2268"/>
      <c r="O180" s="2268"/>
      <c r="P180" s="2205"/>
      <c r="Q180" s="2205"/>
      <c r="R180" s="2205"/>
      <c r="S180" s="2205"/>
    </row>
    <row r="181" ht="14.25" spans="1:19">
      <c r="A181" s="2238"/>
      <c r="B181" s="2287"/>
      <c r="C181" s="2290"/>
      <c r="D181" s="2288"/>
      <c r="E181" s="2291"/>
      <c r="F181" s="2288"/>
      <c r="G181" s="2168"/>
      <c r="H181" s="2168"/>
      <c r="I181" s="2247"/>
      <c r="J181" s="2205"/>
      <c r="K181" s="2205"/>
      <c r="L181" s="2205"/>
      <c r="M181" s="2268"/>
      <c r="N181" s="2268"/>
      <c r="O181" s="2268"/>
      <c r="P181" s="2205"/>
      <c r="Q181" s="2205"/>
      <c r="R181" s="2205"/>
      <c r="S181" s="2205"/>
    </row>
    <row r="182" ht="14.25" spans="1:19">
      <c r="A182" s="2238"/>
      <c r="B182" s="2287"/>
      <c r="C182" s="2290"/>
      <c r="D182" s="2288"/>
      <c r="E182" s="2291"/>
      <c r="F182" s="2288"/>
      <c r="G182" s="2168"/>
      <c r="H182" s="2168"/>
      <c r="I182" s="2247"/>
      <c r="J182" s="2205"/>
      <c r="K182" s="2205"/>
      <c r="L182" s="2205"/>
      <c r="M182" s="2268"/>
      <c r="N182" s="2268"/>
      <c r="O182" s="2268"/>
      <c r="P182" s="2205"/>
      <c r="Q182" s="2205"/>
      <c r="R182" s="2205"/>
      <c r="S182" s="2205"/>
    </row>
    <row r="183" ht="14.25" spans="1:19">
      <c r="A183" s="2238"/>
      <c r="B183" s="2287"/>
      <c r="C183" s="2290"/>
      <c r="D183" s="2288"/>
      <c r="E183" s="2291"/>
      <c r="F183" s="2288"/>
      <c r="G183" s="2168"/>
      <c r="H183" s="2168"/>
      <c r="I183" s="2247"/>
      <c r="J183" s="2205"/>
      <c r="K183" s="2204"/>
      <c r="L183" s="2205"/>
      <c r="M183" s="2268"/>
      <c r="N183" s="2268"/>
      <c r="O183" s="2268"/>
      <c r="P183" s="2205"/>
      <c r="Q183" s="2205"/>
      <c r="R183" s="2205"/>
      <c r="S183" s="2205"/>
    </row>
    <row r="184" ht="14.25" spans="1:19">
      <c r="A184" s="2238"/>
      <c r="B184" s="2287"/>
      <c r="C184" s="2290"/>
      <c r="D184" s="2288"/>
      <c r="E184" s="2291"/>
      <c r="F184" s="2288"/>
      <c r="G184" s="2168"/>
      <c r="H184" s="2168"/>
      <c r="I184" s="2247"/>
      <c r="J184" s="2205"/>
      <c r="K184" s="2205"/>
      <c r="L184" s="2205"/>
      <c r="M184" s="2268"/>
      <c r="N184" s="2268"/>
      <c r="O184" s="2268"/>
      <c r="P184" s="2205"/>
      <c r="Q184" s="2205"/>
      <c r="R184" s="2205"/>
      <c r="S184" s="2205"/>
    </row>
    <row r="185" ht="14.25" spans="1:19">
      <c r="A185" s="2238"/>
      <c r="B185" s="2287"/>
      <c r="C185" s="2290"/>
      <c r="D185" s="2288"/>
      <c r="E185" s="2291"/>
      <c r="F185" s="2288"/>
      <c r="G185" s="2168"/>
      <c r="H185" s="2168"/>
      <c r="I185" s="2247"/>
      <c r="J185" s="2205"/>
      <c r="K185" s="2205"/>
      <c r="L185" s="2205"/>
      <c r="M185" s="2268"/>
      <c r="N185" s="2268"/>
      <c r="O185" s="2268"/>
      <c r="P185" s="2205"/>
      <c r="Q185" s="2205"/>
      <c r="R185" s="2205"/>
      <c r="S185" s="2205"/>
    </row>
    <row r="186" ht="14.25" spans="1:19">
      <c r="A186" s="2238"/>
      <c r="B186" s="2285"/>
      <c r="C186" s="2283"/>
      <c r="D186" s="2284"/>
      <c r="E186" s="2284"/>
      <c r="F186" s="2284"/>
      <c r="G186" s="1794"/>
      <c r="H186" s="1794"/>
      <c r="I186" s="2247"/>
      <c r="J186" s="2205"/>
      <c r="K186" s="2205"/>
      <c r="L186" s="2205"/>
      <c r="M186" s="2268"/>
      <c r="N186" s="2268"/>
      <c r="O186" s="2268"/>
      <c r="P186" s="2205"/>
      <c r="Q186" s="2205"/>
      <c r="R186" s="2205"/>
      <c r="S186" s="2205"/>
    </row>
    <row r="187" ht="14.25" spans="1:19">
      <c r="A187" s="2238"/>
      <c r="B187" s="2285"/>
      <c r="C187" s="2283"/>
      <c r="D187" s="2284"/>
      <c r="E187" s="2284"/>
      <c r="F187" s="2284"/>
      <c r="G187" s="1794"/>
      <c r="H187" s="1794"/>
      <c r="I187" s="2247"/>
      <c r="J187" s="2205"/>
      <c r="K187" s="2205"/>
      <c r="L187" s="2205"/>
      <c r="M187" s="2268"/>
      <c r="N187" s="2268"/>
      <c r="O187" s="2268"/>
      <c r="P187" s="2205"/>
      <c r="Q187" s="2205"/>
      <c r="R187" s="2205"/>
      <c r="S187" s="2205"/>
    </row>
    <row r="188" ht="14.25" spans="1:19">
      <c r="A188" s="2238"/>
      <c r="B188" s="2285"/>
      <c r="C188" s="2283"/>
      <c r="D188" s="2284"/>
      <c r="E188" s="2284"/>
      <c r="F188" s="2284"/>
      <c r="G188" s="1794"/>
      <c r="H188" s="1794"/>
      <c r="I188" s="2247"/>
      <c r="J188" s="2205"/>
      <c r="K188" s="2205"/>
      <c r="L188" s="2205"/>
      <c r="M188" s="2268"/>
      <c r="N188" s="2268"/>
      <c r="O188" s="2268"/>
      <c r="P188" s="2205"/>
      <c r="Q188" s="2205"/>
      <c r="R188" s="2205"/>
      <c r="S188" s="2205"/>
    </row>
    <row r="189" ht="14.25" spans="1:19">
      <c r="A189" s="2238"/>
      <c r="B189" s="2285"/>
      <c r="C189" s="2283"/>
      <c r="D189" s="2284"/>
      <c r="E189" s="2284"/>
      <c r="F189" s="2284"/>
      <c r="G189" s="1794"/>
      <c r="H189" s="1794"/>
      <c r="I189" s="2247"/>
      <c r="J189" s="2205"/>
      <c r="K189" s="2205"/>
      <c r="L189" s="2205"/>
      <c r="M189" s="2268"/>
      <c r="N189" s="2268"/>
      <c r="O189" s="2268"/>
      <c r="P189" s="2205"/>
      <c r="Q189" s="2205"/>
      <c r="R189" s="2205"/>
      <c r="S189" s="2205"/>
    </row>
    <row r="190" ht="14.25" spans="1:19">
      <c r="A190" s="2292"/>
      <c r="B190" s="2293"/>
      <c r="C190" s="2294"/>
      <c r="D190" s="2295"/>
      <c r="E190" s="2295"/>
      <c r="F190" s="2295"/>
      <c r="G190" s="2296"/>
      <c r="H190" s="2296"/>
      <c r="I190" s="2301"/>
      <c r="J190" s="2205"/>
      <c r="K190" s="2204"/>
      <c r="L190" s="2205"/>
      <c r="M190" s="2268"/>
      <c r="N190" s="2268"/>
      <c r="O190" s="2268"/>
      <c r="P190" s="2205"/>
      <c r="Q190" s="2205"/>
      <c r="R190" s="2205"/>
      <c r="S190" s="2205"/>
    </row>
    <row r="191" ht="14.25" spans="1:19">
      <c r="A191" s="2292"/>
      <c r="B191" s="2293"/>
      <c r="C191" s="2297"/>
      <c r="D191" s="2295"/>
      <c r="E191" s="2295"/>
      <c r="F191" s="2295"/>
      <c r="G191" s="2296"/>
      <c r="H191" s="2296"/>
      <c r="I191" s="2301"/>
      <c r="J191" s="2205"/>
      <c r="K191" s="2205"/>
      <c r="L191" s="2205"/>
      <c r="M191" s="2268"/>
      <c r="N191" s="2268"/>
      <c r="O191" s="2268"/>
      <c r="P191" s="2205"/>
      <c r="Q191" s="2205"/>
      <c r="R191" s="2205"/>
      <c r="S191" s="2205"/>
    </row>
    <row r="192" ht="14.25" spans="1:19">
      <c r="A192" s="2292"/>
      <c r="B192" s="2293"/>
      <c r="C192" s="2294"/>
      <c r="D192" s="2295"/>
      <c r="E192" s="2295"/>
      <c r="F192" s="2295"/>
      <c r="G192" s="2296"/>
      <c r="H192" s="2296"/>
      <c r="I192" s="2301"/>
      <c r="J192" s="2205"/>
      <c r="K192" s="2204"/>
      <c r="L192" s="2205"/>
      <c r="M192" s="2268"/>
      <c r="N192" s="2268"/>
      <c r="O192" s="2268"/>
      <c r="P192" s="2205"/>
      <c r="Q192" s="2205"/>
      <c r="R192" s="2205"/>
      <c r="S192" s="2205"/>
    </row>
    <row r="193" ht="14.25" spans="1:19">
      <c r="A193" s="2292"/>
      <c r="B193" s="2293"/>
      <c r="C193" s="2294"/>
      <c r="D193" s="2295"/>
      <c r="E193" s="2295"/>
      <c r="F193" s="2295"/>
      <c r="G193" s="2296"/>
      <c r="H193" s="2296"/>
      <c r="I193" s="2301"/>
      <c r="J193" s="2205"/>
      <c r="K193" s="2205"/>
      <c r="L193" s="2205"/>
      <c r="M193" s="2268"/>
      <c r="N193" s="2268"/>
      <c r="O193" s="2268"/>
      <c r="P193" s="2205"/>
      <c r="Q193" s="2205"/>
      <c r="R193" s="2205"/>
      <c r="S193" s="2205"/>
    </row>
    <row r="194" ht="14.25" spans="1:19">
      <c r="A194" s="2238"/>
      <c r="B194" s="2285"/>
      <c r="C194" s="2283"/>
      <c r="D194" s="2284"/>
      <c r="E194" s="2284"/>
      <c r="F194" s="2284"/>
      <c r="G194" s="1794"/>
      <c r="H194" s="1794"/>
      <c r="I194" s="2247"/>
      <c r="J194" s="2205"/>
      <c r="K194" s="2204"/>
      <c r="L194" s="2205"/>
      <c r="M194" s="2268"/>
      <c r="N194" s="2268"/>
      <c r="O194" s="2268"/>
      <c r="P194" s="2205"/>
      <c r="Q194" s="2205"/>
      <c r="R194" s="2205"/>
      <c r="S194" s="2205"/>
    </row>
    <row r="195" ht="14.25" spans="1:19">
      <c r="A195" s="2238"/>
      <c r="B195" s="2285"/>
      <c r="C195" s="2281"/>
      <c r="D195" s="2284"/>
      <c r="E195" s="2284"/>
      <c r="F195" s="2284"/>
      <c r="G195" s="1794"/>
      <c r="H195" s="1794"/>
      <c r="I195" s="2247"/>
      <c r="J195" s="2205"/>
      <c r="K195" s="2205"/>
      <c r="L195" s="2205"/>
      <c r="M195" s="2268"/>
      <c r="N195" s="2268"/>
      <c r="O195" s="2268"/>
      <c r="P195" s="2205"/>
      <c r="Q195" s="2205"/>
      <c r="R195" s="2205"/>
      <c r="S195" s="2205"/>
    </row>
    <row r="196" ht="14.25" spans="1:19">
      <c r="A196" s="2238"/>
      <c r="B196" s="2285"/>
      <c r="C196" s="2283"/>
      <c r="D196" s="2284"/>
      <c r="E196" s="2284"/>
      <c r="F196" s="2284"/>
      <c r="G196" s="1794"/>
      <c r="H196" s="1794"/>
      <c r="I196" s="2247"/>
      <c r="J196" s="2205"/>
      <c r="K196" s="2205"/>
      <c r="L196" s="2205"/>
      <c r="M196" s="2268"/>
      <c r="N196" s="2268"/>
      <c r="O196" s="2268"/>
      <c r="P196" s="2205"/>
      <c r="Q196" s="2205"/>
      <c r="R196" s="2205"/>
      <c r="S196" s="2205"/>
    </row>
    <row r="197" ht="14.25" spans="1:19">
      <c r="A197" s="2238"/>
      <c r="B197" s="2285"/>
      <c r="C197" s="2281"/>
      <c r="D197" s="2284"/>
      <c r="E197" s="2284"/>
      <c r="F197" s="2284"/>
      <c r="G197" s="1794"/>
      <c r="H197" s="1794"/>
      <c r="I197" s="2247"/>
      <c r="J197" s="2205"/>
      <c r="K197" s="2205"/>
      <c r="L197" s="2205"/>
      <c r="M197" s="2268"/>
      <c r="N197" s="2268"/>
      <c r="O197" s="2268"/>
      <c r="P197" s="2205"/>
      <c r="Q197" s="2205"/>
      <c r="R197" s="2205"/>
      <c r="S197" s="2205"/>
    </row>
    <row r="198" ht="14.25" spans="1:19">
      <c r="A198" s="2238"/>
      <c r="B198" s="2285"/>
      <c r="C198" s="2283"/>
      <c r="D198" s="2284"/>
      <c r="E198" s="2284"/>
      <c r="F198" s="2284"/>
      <c r="G198" s="1794"/>
      <c r="H198" s="1794"/>
      <c r="I198" s="2247"/>
      <c r="J198" s="2205"/>
      <c r="K198" s="2205"/>
      <c r="L198" s="2205"/>
      <c r="M198" s="2268"/>
      <c r="N198" s="2268"/>
      <c r="O198" s="2268"/>
      <c r="P198" s="2205"/>
      <c r="Q198" s="2205"/>
      <c r="R198" s="2205"/>
      <c r="S198" s="2205"/>
    </row>
    <row r="199" ht="14.25" spans="1:19">
      <c r="A199" s="2238"/>
      <c r="B199" s="2285"/>
      <c r="C199" s="2281"/>
      <c r="D199" s="2284"/>
      <c r="E199" s="2284"/>
      <c r="F199" s="2284"/>
      <c r="G199" s="1794"/>
      <c r="H199" s="1794"/>
      <c r="I199" s="2247"/>
      <c r="J199" s="2205"/>
      <c r="K199" s="2205"/>
      <c r="L199" s="2205"/>
      <c r="M199" s="2268"/>
      <c r="N199" s="2268"/>
      <c r="O199" s="2268"/>
      <c r="P199" s="2205"/>
      <c r="Q199" s="2205"/>
      <c r="R199" s="2205"/>
      <c r="S199" s="2205"/>
    </row>
    <row r="200" ht="14.25" spans="1:19">
      <c r="A200" s="2238"/>
      <c r="B200" s="2285"/>
      <c r="C200" s="2283"/>
      <c r="D200" s="2284"/>
      <c r="E200" s="2284"/>
      <c r="F200" s="2284"/>
      <c r="G200" s="1794"/>
      <c r="H200" s="1794"/>
      <c r="I200" s="2247"/>
      <c r="J200" s="2205"/>
      <c r="K200" s="2205"/>
      <c r="L200" s="2205"/>
      <c r="M200" s="2268"/>
      <c r="N200" s="2268"/>
      <c r="O200" s="2268"/>
      <c r="P200" s="2205"/>
      <c r="Q200" s="2205"/>
      <c r="R200" s="2205"/>
      <c r="S200" s="2205"/>
    </row>
    <row r="201" ht="14.25" spans="1:19">
      <c r="A201" s="2238"/>
      <c r="B201" s="2285"/>
      <c r="C201" s="2283"/>
      <c r="D201" s="2284"/>
      <c r="E201" s="2284"/>
      <c r="F201" s="2284"/>
      <c r="G201" s="1794"/>
      <c r="H201" s="1794"/>
      <c r="I201" s="2247"/>
      <c r="J201" s="2205"/>
      <c r="K201" s="2205"/>
      <c r="L201" s="2205"/>
      <c r="M201" s="2268"/>
      <c r="N201" s="2268"/>
      <c r="O201" s="2268"/>
      <c r="P201" s="2205"/>
      <c r="Q201" s="2205"/>
      <c r="R201" s="2205"/>
      <c r="S201" s="2205"/>
    </row>
    <row r="202" ht="14.25" spans="1:19">
      <c r="A202" s="2238"/>
      <c r="B202" s="2285"/>
      <c r="C202" s="2283"/>
      <c r="D202" s="2284"/>
      <c r="E202" s="2284"/>
      <c r="F202" s="2284"/>
      <c r="G202" s="1794"/>
      <c r="H202" s="1794"/>
      <c r="I202" s="2247"/>
      <c r="J202" s="2205"/>
      <c r="K202" s="2205"/>
      <c r="L202" s="2205"/>
      <c r="M202" s="2268"/>
      <c r="N202" s="2268"/>
      <c r="O202" s="2268"/>
      <c r="P202" s="2205"/>
      <c r="Q202" s="2205"/>
      <c r="R202" s="2205"/>
      <c r="S202" s="2205"/>
    </row>
    <row r="203" ht="14.25" spans="1:19">
      <c r="A203" s="2238"/>
      <c r="B203" s="2285"/>
      <c r="C203" s="2281"/>
      <c r="D203" s="2284"/>
      <c r="E203" s="2284"/>
      <c r="F203" s="2284"/>
      <c r="G203" s="1794"/>
      <c r="H203" s="1794"/>
      <c r="I203" s="2247"/>
      <c r="J203" s="2205"/>
      <c r="K203" s="2205"/>
      <c r="L203" s="2205"/>
      <c r="M203" s="2268"/>
      <c r="N203" s="2268"/>
      <c r="O203" s="2268"/>
      <c r="P203" s="2205"/>
      <c r="Q203" s="2205"/>
      <c r="R203" s="2205"/>
      <c r="S203" s="2205"/>
    </row>
    <row r="204" ht="14.25" spans="1:19">
      <c r="A204" s="2238"/>
      <c r="B204" s="2285"/>
      <c r="C204" s="2281"/>
      <c r="D204" s="2284"/>
      <c r="E204" s="2284"/>
      <c r="F204" s="2284"/>
      <c r="G204" s="1794"/>
      <c r="H204" s="1794"/>
      <c r="I204" s="2247"/>
      <c r="J204" s="2205"/>
      <c r="K204" s="2205"/>
      <c r="L204" s="2205"/>
      <c r="M204" s="2268"/>
      <c r="N204" s="2268"/>
      <c r="O204" s="2268"/>
      <c r="P204" s="2205"/>
      <c r="Q204" s="2205"/>
      <c r="R204" s="2205"/>
      <c r="S204" s="2205"/>
    </row>
    <row r="205" ht="14.25" spans="1:19">
      <c r="A205" s="2238"/>
      <c r="B205" s="2285"/>
      <c r="C205" s="2281"/>
      <c r="D205" s="2284"/>
      <c r="E205" s="2284"/>
      <c r="F205" s="2284"/>
      <c r="G205" s="1794"/>
      <c r="H205" s="1794"/>
      <c r="I205" s="2247"/>
      <c r="J205" s="2205"/>
      <c r="K205" s="2205"/>
      <c r="L205" s="2205"/>
      <c r="M205" s="2268"/>
      <c r="N205" s="2268"/>
      <c r="O205" s="2268"/>
      <c r="P205" s="2205"/>
      <c r="Q205" s="2205"/>
      <c r="R205" s="2205"/>
      <c r="S205" s="2205"/>
    </row>
    <row r="206" ht="14.25" spans="1:19">
      <c r="A206" s="2238"/>
      <c r="B206" s="2285"/>
      <c r="C206" s="2281"/>
      <c r="D206" s="2284"/>
      <c r="E206" s="2284"/>
      <c r="F206" s="2284"/>
      <c r="G206" s="1794"/>
      <c r="H206" s="1794"/>
      <c r="I206" s="2247"/>
      <c r="J206" s="2205"/>
      <c r="K206" s="2205"/>
      <c r="L206" s="2205"/>
      <c r="M206" s="2268"/>
      <c r="N206" s="2268"/>
      <c r="O206" s="2268"/>
      <c r="P206" s="2205"/>
      <c r="Q206" s="2205"/>
      <c r="R206" s="2205"/>
      <c r="S206" s="2205"/>
    </row>
    <row r="207" ht="14.25" spans="1:19">
      <c r="A207" s="2238"/>
      <c r="B207" s="2285"/>
      <c r="C207" s="2281"/>
      <c r="D207" s="2280"/>
      <c r="E207" s="2280"/>
      <c r="F207" s="2280"/>
      <c r="G207" s="1794"/>
      <c r="H207" s="1794"/>
      <c r="I207" s="2247"/>
      <c r="J207" s="2205"/>
      <c r="K207" s="2205"/>
      <c r="L207" s="2205"/>
      <c r="M207" s="2268"/>
      <c r="N207" s="2268"/>
      <c r="O207" s="2268"/>
      <c r="P207" s="2205"/>
      <c r="Q207" s="2205"/>
      <c r="R207" s="2205"/>
      <c r="S207" s="2205"/>
    </row>
    <row r="208" spans="1:19">
      <c r="A208" s="2248" t="s">
        <v>1455</v>
      </c>
      <c r="B208" s="2249"/>
      <c r="C208" s="2250"/>
      <c r="D208" s="2249"/>
      <c r="E208" s="2249"/>
      <c r="F208" s="2249"/>
      <c r="G208" s="2249"/>
      <c r="H208" s="2249"/>
      <c r="I208" s="2249"/>
      <c r="J208" s="2205"/>
      <c r="K208" s="2205"/>
      <c r="L208" s="2205"/>
      <c r="M208" s="2268"/>
      <c r="N208" s="2268"/>
      <c r="O208" s="2268"/>
      <c r="P208" s="2205"/>
      <c r="Q208" s="2205"/>
      <c r="R208" s="2205"/>
      <c r="S208" s="2205"/>
    </row>
    <row r="209" spans="1:19">
      <c r="A209" s="2251"/>
      <c r="B209" s="2252"/>
      <c r="C209" s="2252"/>
      <c r="D209" s="2252"/>
      <c r="E209" s="2252"/>
      <c r="F209" s="2252"/>
      <c r="G209" s="2252"/>
      <c r="H209" s="2252"/>
      <c r="I209" s="2252"/>
      <c r="J209" s="2205"/>
      <c r="K209" s="2205"/>
      <c r="L209" s="2205"/>
      <c r="M209" s="2268"/>
      <c r="N209" s="2268"/>
      <c r="O209" s="2268"/>
      <c r="P209" s="2205"/>
      <c r="Q209" s="2205"/>
      <c r="R209" s="2205"/>
      <c r="S209" s="2205"/>
    </row>
    <row r="210" spans="1:19">
      <c r="A210" s="2256"/>
      <c r="B210" s="2205"/>
      <c r="C210" s="2205"/>
      <c r="D210" s="2205"/>
      <c r="E210" s="2205"/>
      <c r="F210" s="2205"/>
      <c r="G210" s="2205"/>
      <c r="H210" s="2205"/>
      <c r="I210" s="2205"/>
      <c r="J210" s="2205"/>
      <c r="K210" s="2205"/>
      <c r="L210" s="2205"/>
      <c r="M210" s="2268"/>
      <c r="N210" s="2268"/>
      <c r="O210" s="2268"/>
      <c r="P210" s="2205"/>
      <c r="Q210" s="2205"/>
      <c r="R210" s="2205"/>
      <c r="S210" s="2205"/>
    </row>
    <row r="211" spans="1:19">
      <c r="A211" s="2256"/>
      <c r="B211" s="2205"/>
      <c r="C211" s="2205"/>
      <c r="D211" s="2205"/>
      <c r="E211" s="2205"/>
      <c r="F211" s="2205"/>
      <c r="G211" s="2205"/>
      <c r="H211" s="2205"/>
      <c r="I211" s="2205"/>
      <c r="J211" s="2205"/>
      <c r="K211" s="2205"/>
      <c r="L211" s="2205"/>
      <c r="M211" s="2268"/>
      <c r="N211" s="2268"/>
      <c r="O211" s="2268"/>
      <c r="P211" s="2205"/>
      <c r="Q211" s="2205"/>
      <c r="R211" s="2205"/>
      <c r="S211" s="2205"/>
    </row>
    <row r="212" spans="1:19">
      <c r="A212" s="2256"/>
      <c r="B212" s="2205"/>
      <c r="C212" s="2205"/>
      <c r="D212" s="2205"/>
      <c r="E212" s="2205"/>
      <c r="F212" s="2205"/>
      <c r="G212" s="2205"/>
      <c r="H212" s="2205"/>
      <c r="I212" s="2205"/>
      <c r="J212" s="2205"/>
      <c r="K212" s="2205"/>
      <c r="L212" s="2205"/>
      <c r="M212" s="2268"/>
      <c r="N212" s="2268"/>
      <c r="O212" s="2268"/>
      <c r="P212" s="2205"/>
      <c r="Q212" s="2205"/>
      <c r="R212" s="2205"/>
      <c r="S212" s="2205"/>
    </row>
    <row r="213" spans="1:19">
      <c r="A213" s="2256"/>
      <c r="B213" s="2205"/>
      <c r="C213" s="2205"/>
      <c r="D213" s="2205"/>
      <c r="E213" s="2205"/>
      <c r="F213" s="2205"/>
      <c r="G213" s="2205"/>
      <c r="H213" s="2205"/>
      <c r="I213" s="2205"/>
      <c r="J213" s="2205"/>
      <c r="K213" s="2205"/>
      <c r="L213" s="2205"/>
      <c r="M213" s="2268"/>
      <c r="N213" s="2268"/>
      <c r="O213" s="2268"/>
      <c r="P213" s="2205"/>
      <c r="Q213" s="2205"/>
      <c r="R213" s="2205"/>
      <c r="S213" s="2205"/>
    </row>
    <row r="214" spans="1:19">
      <c r="A214" s="2256"/>
      <c r="B214" s="2205"/>
      <c r="C214" s="2205"/>
      <c r="D214" s="2205"/>
      <c r="E214" s="2205"/>
      <c r="F214" s="2205"/>
      <c r="G214" s="2205"/>
      <c r="H214" s="2205"/>
      <c r="I214" s="2205"/>
      <c r="J214" s="2205"/>
      <c r="K214" s="2205"/>
      <c r="L214" s="2205"/>
      <c r="M214" s="2268"/>
      <c r="N214" s="2268"/>
      <c r="O214" s="2268"/>
      <c r="P214" s="2205"/>
      <c r="Q214" s="2205"/>
      <c r="R214" s="2205"/>
      <c r="S214" s="2205"/>
    </row>
    <row r="215" spans="1:19">
      <c r="A215" s="2256"/>
      <c r="B215" s="2205"/>
      <c r="C215" s="2205"/>
      <c r="D215" s="2205"/>
      <c r="E215" s="2205"/>
      <c r="F215" s="2205"/>
      <c r="G215" s="2205"/>
      <c r="H215" s="2205"/>
      <c r="I215" s="2205"/>
      <c r="J215" s="2205"/>
      <c r="K215" s="2205"/>
      <c r="L215" s="2205"/>
      <c r="M215" s="2268"/>
      <c r="N215" s="2268"/>
      <c r="O215" s="2268"/>
      <c r="P215" s="2205"/>
      <c r="Q215" s="2205"/>
      <c r="R215" s="2205"/>
      <c r="S215" s="2205"/>
    </row>
    <row r="216" spans="1:19">
      <c r="A216" s="2256"/>
      <c r="B216" s="2205"/>
      <c r="C216" s="2205"/>
      <c r="D216" s="2205"/>
      <c r="E216" s="2205"/>
      <c r="F216" s="2205"/>
      <c r="G216" s="2205"/>
      <c r="H216" s="2205"/>
      <c r="I216" s="2205"/>
      <c r="J216" s="2205"/>
      <c r="K216" s="2205"/>
      <c r="L216" s="2205"/>
      <c r="M216" s="2268"/>
      <c r="N216" s="2268"/>
      <c r="O216" s="2268"/>
      <c r="P216" s="2205"/>
      <c r="Q216" s="2205"/>
      <c r="R216" s="2205"/>
      <c r="S216" s="2205"/>
    </row>
    <row r="217" spans="1:19">
      <c r="A217" s="2256"/>
      <c r="B217" s="2205"/>
      <c r="C217" s="2205"/>
      <c r="D217" s="2205"/>
      <c r="E217" s="2205"/>
      <c r="F217" s="2205"/>
      <c r="G217" s="2205"/>
      <c r="H217" s="2205"/>
      <c r="I217" s="2205"/>
      <c r="J217" s="2205"/>
      <c r="K217" s="2205"/>
      <c r="L217" s="2205"/>
      <c r="M217" s="2268"/>
      <c r="N217" s="2268"/>
      <c r="O217" s="2268"/>
      <c r="P217" s="2205"/>
      <c r="Q217" s="2205"/>
      <c r="R217" s="2205"/>
      <c r="S217" s="2205"/>
    </row>
    <row r="218" spans="1:19">
      <c r="A218" s="2256"/>
      <c r="B218" s="2205"/>
      <c r="C218" s="2205"/>
      <c r="D218" s="2205"/>
      <c r="E218" s="2205"/>
      <c r="F218" s="2205"/>
      <c r="G218" s="2205"/>
      <c r="H218" s="2205"/>
      <c r="I218" s="2205"/>
      <c r="J218" s="2205"/>
      <c r="K218" s="2205"/>
      <c r="L218" s="2205"/>
      <c r="M218" s="2268"/>
      <c r="N218" s="2268"/>
      <c r="O218" s="2268"/>
      <c r="P218" s="2205"/>
      <c r="Q218" s="2205"/>
      <c r="R218" s="2205"/>
      <c r="S218" s="2205"/>
    </row>
    <row r="219" spans="1:19">
      <c r="A219" s="2256"/>
      <c r="B219" s="2205"/>
      <c r="C219" s="2205"/>
      <c r="D219" s="2205"/>
      <c r="E219" s="2205"/>
      <c r="F219" s="2205"/>
      <c r="G219" s="2205"/>
      <c r="H219" s="2205"/>
      <c r="I219" s="2205"/>
      <c r="J219" s="2205"/>
      <c r="K219" s="2205"/>
      <c r="L219" s="2205"/>
      <c r="M219" s="2268"/>
      <c r="N219" s="2268"/>
      <c r="O219" s="2268"/>
      <c r="P219" s="2205"/>
      <c r="Q219" s="2205"/>
      <c r="R219" s="2205"/>
      <c r="S219" s="2205"/>
    </row>
    <row r="220" spans="1:19">
      <c r="A220" s="2256"/>
      <c r="B220" s="2205"/>
      <c r="C220" s="2205"/>
      <c r="D220" s="2205"/>
      <c r="E220" s="2205"/>
      <c r="F220" s="2205"/>
      <c r="G220" s="2205"/>
      <c r="H220" s="2205"/>
      <c r="I220" s="2205"/>
      <c r="J220" s="2205"/>
      <c r="K220" s="2205"/>
      <c r="L220" s="2205"/>
      <c r="M220" s="2268"/>
      <c r="N220" s="2268"/>
      <c r="O220" s="2268"/>
      <c r="P220" s="2205"/>
      <c r="Q220" s="2205"/>
      <c r="R220" s="2205"/>
      <c r="S220" s="2205"/>
    </row>
    <row r="221" spans="1:19">
      <c r="A221" s="2256"/>
      <c r="B221" s="2205"/>
      <c r="C221" s="2205"/>
      <c r="D221" s="2205"/>
      <c r="E221" s="2205"/>
      <c r="F221" s="2205"/>
      <c r="G221" s="2205"/>
      <c r="H221" s="2205"/>
      <c r="I221" s="2205"/>
      <c r="J221" s="2205"/>
      <c r="K221" s="2205"/>
      <c r="L221" s="2205"/>
      <c r="M221" s="2268"/>
      <c r="N221" s="2268"/>
      <c r="O221" s="2268"/>
      <c r="P221" s="2205"/>
      <c r="Q221" s="2205"/>
      <c r="R221" s="2205"/>
      <c r="S221" s="2205"/>
    </row>
    <row r="222" spans="1:19">
      <c r="A222" s="2256"/>
      <c r="B222" s="2205"/>
      <c r="C222" s="2205"/>
      <c r="D222" s="2205"/>
      <c r="E222" s="2205"/>
      <c r="F222" s="2205"/>
      <c r="G222" s="2205"/>
      <c r="H222" s="2205"/>
      <c r="I222" s="2205"/>
      <c r="J222" s="2205"/>
      <c r="K222" s="2205"/>
      <c r="L222" s="2205"/>
      <c r="M222" s="2268"/>
      <c r="N222" s="2268"/>
      <c r="O222" s="2268"/>
      <c r="P222" s="2205"/>
      <c r="Q222" s="2205"/>
      <c r="R222" s="2205"/>
      <c r="S222" s="2205"/>
    </row>
    <row r="223" spans="1:19">
      <c r="A223" s="2256"/>
      <c r="B223" s="2205"/>
      <c r="C223" s="2205"/>
      <c r="D223" s="2205"/>
      <c r="E223" s="2205"/>
      <c r="F223" s="2205"/>
      <c r="G223" s="2205"/>
      <c r="H223" s="2205"/>
      <c r="I223" s="2205"/>
      <c r="J223" s="2205"/>
      <c r="K223" s="2205"/>
      <c r="L223" s="2205"/>
      <c r="M223" s="2268"/>
      <c r="N223" s="2268"/>
      <c r="O223" s="2268"/>
      <c r="P223" s="2205"/>
      <c r="Q223" s="2205"/>
      <c r="R223" s="2205"/>
      <c r="S223" s="2205"/>
    </row>
    <row r="224" spans="1:19">
      <c r="A224" s="2256"/>
      <c r="B224" s="2205"/>
      <c r="C224" s="2205"/>
      <c r="D224" s="2205"/>
      <c r="E224" s="2205"/>
      <c r="F224" s="2205"/>
      <c r="G224" s="2205"/>
      <c r="H224" s="2205"/>
      <c r="I224" s="2205"/>
      <c r="J224" s="2205"/>
      <c r="K224" s="2205"/>
      <c r="L224" s="2205"/>
      <c r="M224" s="2268"/>
      <c r="N224" s="2268"/>
      <c r="O224" s="2268"/>
      <c r="P224" s="2205"/>
      <c r="Q224" s="2205"/>
      <c r="R224" s="2205"/>
      <c r="S224" s="2205"/>
    </row>
    <row r="225" spans="1:19">
      <c r="A225" s="2256"/>
      <c r="B225" s="2205"/>
      <c r="C225" s="2205"/>
      <c r="D225" s="2205"/>
      <c r="E225" s="2205"/>
      <c r="F225" s="2205"/>
      <c r="G225" s="2205"/>
      <c r="H225" s="2205"/>
      <c r="I225" s="2205"/>
      <c r="J225" s="2205"/>
      <c r="K225" s="2205"/>
      <c r="L225" s="2205"/>
      <c r="M225" s="2268"/>
      <c r="N225" s="2268"/>
      <c r="O225" s="2268"/>
      <c r="P225" s="2205"/>
      <c r="Q225" s="2205"/>
      <c r="R225" s="2205"/>
      <c r="S225" s="2205"/>
    </row>
    <row r="226" spans="1:19">
      <c r="A226" s="2256"/>
      <c r="B226" s="2205"/>
      <c r="C226" s="2205"/>
      <c r="D226" s="2205"/>
      <c r="E226" s="2205"/>
      <c r="F226" s="2205"/>
      <c r="G226" s="2205"/>
      <c r="H226" s="2205"/>
      <c r="I226" s="2205"/>
      <c r="J226" s="2205"/>
      <c r="K226" s="2205"/>
      <c r="L226" s="2205"/>
      <c r="M226" s="2268"/>
      <c r="N226" s="2268"/>
      <c r="O226" s="2268"/>
      <c r="P226" s="2205"/>
      <c r="Q226" s="2205"/>
      <c r="R226" s="2205"/>
      <c r="S226" s="2205"/>
    </row>
    <row r="227" spans="1:19">
      <c r="A227" s="2256"/>
      <c r="B227" s="2205"/>
      <c r="C227" s="2205"/>
      <c r="D227" s="2205"/>
      <c r="E227" s="2205"/>
      <c r="F227" s="2205"/>
      <c r="G227" s="2205"/>
      <c r="H227" s="2205"/>
      <c r="I227" s="2205"/>
      <c r="J227" s="2205"/>
      <c r="K227" s="2205"/>
      <c r="L227" s="2205"/>
      <c r="M227" s="2268"/>
      <c r="N227" s="2268"/>
      <c r="O227" s="2268"/>
      <c r="P227" s="2205"/>
      <c r="Q227" s="2205"/>
      <c r="R227" s="2205"/>
      <c r="S227" s="2205"/>
    </row>
    <row r="228" spans="1:19">
      <c r="A228" s="2256"/>
      <c r="B228" s="2205"/>
      <c r="C228" s="2205"/>
      <c r="D228" s="2205"/>
      <c r="E228" s="2205"/>
      <c r="F228" s="2205"/>
      <c r="G228" s="2205"/>
      <c r="H228" s="2205"/>
      <c r="I228" s="2205"/>
      <c r="J228" s="2205"/>
      <c r="K228" s="2205"/>
      <c r="L228" s="2205"/>
      <c r="M228" s="2268"/>
      <c r="N228" s="2268"/>
      <c r="O228" s="2268"/>
      <c r="P228" s="2205"/>
      <c r="Q228" s="2205"/>
      <c r="R228" s="2205"/>
      <c r="S228" s="2205"/>
    </row>
    <row r="229" spans="1:19">
      <c r="A229" s="2256"/>
      <c r="B229" s="2205"/>
      <c r="C229" s="2205"/>
      <c r="D229" s="2205"/>
      <c r="E229" s="2205"/>
      <c r="F229" s="2205"/>
      <c r="G229" s="2205"/>
      <c r="H229" s="2205"/>
      <c r="I229" s="2205"/>
      <c r="J229" s="2205"/>
      <c r="K229" s="2205"/>
      <c r="L229" s="2205"/>
      <c r="M229" s="2268"/>
      <c r="N229" s="2268"/>
      <c r="O229" s="2268"/>
      <c r="P229" s="2205"/>
      <c r="Q229" s="2205"/>
      <c r="R229" s="2205"/>
      <c r="S229" s="2205"/>
    </row>
    <row r="230" spans="1:19">
      <c r="A230" s="2256"/>
      <c r="B230" s="2205"/>
      <c r="C230" s="2205"/>
      <c r="D230" s="2205"/>
      <c r="E230" s="2205"/>
      <c r="F230" s="2205"/>
      <c r="G230" s="2205"/>
      <c r="H230" s="2205"/>
      <c r="I230" s="2205"/>
      <c r="J230" s="2205"/>
      <c r="K230" s="2205"/>
      <c r="L230" s="2205"/>
      <c r="M230" s="2268"/>
      <c r="N230" s="2268"/>
      <c r="O230" s="2268"/>
      <c r="P230" s="2205"/>
      <c r="Q230" s="2205"/>
      <c r="R230" s="2205"/>
      <c r="S230" s="2205"/>
    </row>
    <row r="231" spans="1:19">
      <c r="A231" s="2256"/>
      <c r="B231" s="2205"/>
      <c r="C231" s="2205"/>
      <c r="D231" s="2205"/>
      <c r="E231" s="2205"/>
      <c r="F231" s="2205"/>
      <c r="G231" s="2205"/>
      <c r="H231" s="2205"/>
      <c r="I231" s="2205"/>
      <c r="J231" s="2205"/>
      <c r="K231" s="2205"/>
      <c r="L231" s="2205"/>
      <c r="M231" s="2268"/>
      <c r="N231" s="2268"/>
      <c r="O231" s="2268"/>
      <c r="P231" s="2205"/>
      <c r="Q231" s="2205"/>
      <c r="R231" s="2205"/>
      <c r="S231" s="2205"/>
    </row>
    <row r="232" spans="1:19">
      <c r="A232" s="2256"/>
      <c r="B232" s="2205"/>
      <c r="C232" s="2205"/>
      <c r="D232" s="2205"/>
      <c r="E232" s="2205"/>
      <c r="F232" s="2205"/>
      <c r="G232" s="2205"/>
      <c r="H232" s="2205"/>
      <c r="I232" s="2205"/>
      <c r="J232" s="2205"/>
      <c r="K232" s="2205"/>
      <c r="L232" s="2205"/>
      <c r="M232" s="2268"/>
      <c r="N232" s="2268"/>
      <c r="O232" s="2268"/>
      <c r="P232" s="2205"/>
      <c r="Q232" s="2205"/>
      <c r="R232" s="2205"/>
      <c r="S232" s="2205"/>
    </row>
    <row r="233" spans="1:19">
      <c r="A233" s="2256"/>
      <c r="B233" s="2205"/>
      <c r="C233" s="2205"/>
      <c r="D233" s="2205"/>
      <c r="E233" s="2205"/>
      <c r="F233" s="2205"/>
      <c r="G233" s="2205"/>
      <c r="H233" s="2205"/>
      <c r="I233" s="2205"/>
      <c r="J233" s="2205"/>
      <c r="K233" s="2205"/>
      <c r="L233" s="2205"/>
      <c r="M233" s="2268"/>
      <c r="N233" s="2268"/>
      <c r="O233" s="2268"/>
      <c r="P233" s="2205"/>
      <c r="Q233" s="2205"/>
      <c r="R233" s="2205"/>
      <c r="S233" s="2205"/>
    </row>
    <row r="234" spans="1:19">
      <c r="A234" s="2256"/>
      <c r="B234" s="2205"/>
      <c r="C234" s="2205"/>
      <c r="D234" s="2205"/>
      <c r="E234" s="2205"/>
      <c r="F234" s="2205"/>
      <c r="G234" s="2205"/>
      <c r="H234" s="2205"/>
      <c r="I234" s="2205"/>
      <c r="J234" s="2205"/>
      <c r="K234" s="2205"/>
      <c r="L234" s="2205"/>
      <c r="M234" s="2268"/>
      <c r="N234" s="2268"/>
      <c r="O234" s="2268"/>
      <c r="P234" s="2205"/>
      <c r="Q234" s="2205"/>
      <c r="R234" s="2205"/>
      <c r="S234" s="2205"/>
    </row>
    <row r="235" spans="1:19">
      <c r="A235" s="2256"/>
      <c r="B235" s="2205"/>
      <c r="C235" s="2205"/>
      <c r="D235" s="2205"/>
      <c r="E235" s="2205"/>
      <c r="F235" s="2205"/>
      <c r="G235" s="2205"/>
      <c r="H235" s="2205"/>
      <c r="I235" s="2205"/>
      <c r="J235" s="2205"/>
      <c r="K235" s="2205"/>
      <c r="L235" s="2205"/>
      <c r="M235" s="2268"/>
      <c r="N235" s="2268"/>
      <c r="O235" s="2268"/>
      <c r="P235" s="2205"/>
      <c r="Q235" s="2205"/>
      <c r="R235" s="2205"/>
      <c r="S235" s="2205"/>
    </row>
    <row r="236" spans="1:19">
      <c r="A236" s="2256"/>
      <c r="B236" s="2205"/>
      <c r="C236" s="2205"/>
      <c r="D236" s="2205"/>
      <c r="E236" s="2205"/>
      <c r="F236" s="2205"/>
      <c r="G236" s="2205"/>
      <c r="H236" s="2205"/>
      <c r="I236" s="2205"/>
      <c r="J236" s="2205"/>
      <c r="K236" s="2205"/>
      <c r="L236" s="2205"/>
      <c r="M236" s="2268"/>
      <c r="N236" s="2268"/>
      <c r="O236" s="2268"/>
      <c r="P236" s="2205"/>
      <c r="Q236" s="2205"/>
      <c r="R236" s="2205"/>
      <c r="S236" s="2205"/>
    </row>
    <row r="237" spans="1:19">
      <c r="A237" s="2256"/>
      <c r="B237" s="2205"/>
      <c r="C237" s="2205"/>
      <c r="D237" s="2205"/>
      <c r="E237" s="2205"/>
      <c r="F237" s="2205"/>
      <c r="G237" s="2205"/>
      <c r="H237" s="2205"/>
      <c r="I237" s="2205"/>
      <c r="J237" s="2205"/>
      <c r="K237" s="2205"/>
      <c r="L237" s="2205"/>
      <c r="M237" s="2268"/>
      <c r="N237" s="2268"/>
      <c r="O237" s="2268"/>
      <c r="P237" s="2205"/>
      <c r="Q237" s="2205"/>
      <c r="R237" s="2205"/>
      <c r="S237" s="2205"/>
    </row>
    <row r="238" spans="1:19">
      <c r="A238" s="2256"/>
      <c r="B238" s="2205"/>
      <c r="C238" s="2205"/>
      <c r="D238" s="2205"/>
      <c r="E238" s="2205"/>
      <c r="F238" s="2205"/>
      <c r="G238" s="2205"/>
      <c r="H238" s="2205"/>
      <c r="I238" s="2205"/>
      <c r="J238" s="2205"/>
      <c r="K238" s="2205"/>
      <c r="L238" s="2205"/>
      <c r="M238" s="2268"/>
      <c r="N238" s="2268"/>
      <c r="O238" s="2268"/>
      <c r="P238" s="2205"/>
      <c r="Q238" s="2205"/>
      <c r="R238" s="2205"/>
      <c r="S238" s="2205"/>
    </row>
    <row r="239" spans="1:19">
      <c r="A239" s="2256"/>
      <c r="B239" s="2205"/>
      <c r="C239" s="2205"/>
      <c r="D239" s="2205"/>
      <c r="E239" s="2205"/>
      <c r="F239" s="2205"/>
      <c r="G239" s="2205"/>
      <c r="H239" s="2205"/>
      <c r="I239" s="2205"/>
      <c r="J239" s="2205"/>
      <c r="K239" s="2205"/>
      <c r="L239" s="2205"/>
      <c r="M239" s="2268"/>
      <c r="N239" s="2268"/>
      <c r="O239" s="2268"/>
      <c r="P239" s="2205"/>
      <c r="Q239" s="2205"/>
      <c r="R239" s="2205"/>
      <c r="S239" s="2205"/>
    </row>
    <row r="240" spans="1:19">
      <c r="A240" s="2256"/>
      <c r="B240" s="2205"/>
      <c r="C240" s="2205"/>
      <c r="D240" s="2205"/>
      <c r="E240" s="2205"/>
      <c r="F240" s="2205"/>
      <c r="G240" s="2205"/>
      <c r="H240" s="2205"/>
      <c r="I240" s="2205"/>
      <c r="J240" s="2205"/>
      <c r="K240" s="2205"/>
      <c r="L240" s="2205"/>
      <c r="M240" s="2268"/>
      <c r="N240" s="2268"/>
      <c r="O240" s="2268"/>
      <c r="P240" s="2205"/>
      <c r="Q240" s="2205"/>
      <c r="R240" s="2205"/>
      <c r="S240" s="2205"/>
    </row>
    <row r="241" spans="1:19">
      <c r="A241" s="2256"/>
      <c r="B241" s="2205"/>
      <c r="C241" s="2205"/>
      <c r="D241" s="2205"/>
      <c r="E241" s="2205"/>
      <c r="F241" s="2205"/>
      <c r="G241" s="2205"/>
      <c r="H241" s="2205"/>
      <c r="I241" s="2205"/>
      <c r="J241" s="2205"/>
      <c r="K241" s="2205"/>
      <c r="L241" s="2205"/>
      <c r="M241" s="2268"/>
      <c r="N241" s="2268"/>
      <c r="O241" s="2268"/>
      <c r="P241" s="2205"/>
      <c r="Q241" s="2205"/>
      <c r="R241" s="2205"/>
      <c r="S241" s="2205"/>
    </row>
    <row r="242" spans="1:19">
      <c r="A242" s="2256"/>
      <c r="B242" s="2205"/>
      <c r="C242" s="2205"/>
      <c r="D242" s="2205"/>
      <c r="E242" s="2205"/>
      <c r="F242" s="2205"/>
      <c r="G242" s="2205"/>
      <c r="H242" s="2205"/>
      <c r="I242" s="2205"/>
      <c r="J242" s="2205"/>
      <c r="K242" s="2205"/>
      <c r="L242" s="2205"/>
      <c r="M242" s="2268"/>
      <c r="N242" s="2268"/>
      <c r="O242" s="2268"/>
      <c r="P242" s="2205"/>
      <c r="Q242" s="2205"/>
      <c r="R242" s="2205"/>
      <c r="S242" s="2205"/>
    </row>
    <row r="243" spans="1:19">
      <c r="A243" s="2256"/>
      <c r="B243" s="2205"/>
      <c r="C243" s="2205"/>
      <c r="D243" s="2205"/>
      <c r="E243" s="2205"/>
      <c r="F243" s="2205"/>
      <c r="G243" s="2205"/>
      <c r="H243" s="2205"/>
      <c r="I243" s="2205"/>
      <c r="J243" s="2205"/>
      <c r="K243" s="2205"/>
      <c r="L243" s="2205"/>
      <c r="M243" s="2268"/>
      <c r="N243" s="2268"/>
      <c r="O243" s="2268"/>
      <c r="P243" s="2205"/>
      <c r="Q243" s="2205"/>
      <c r="R243" s="2205"/>
      <c r="S243" s="2205"/>
    </row>
    <row r="244" spans="1:19">
      <c r="A244" s="2256"/>
      <c r="B244" s="2205"/>
      <c r="C244" s="2205"/>
      <c r="D244" s="2205"/>
      <c r="E244" s="2205"/>
      <c r="F244" s="2205"/>
      <c r="G244" s="2205"/>
      <c r="H244" s="2205"/>
      <c r="I244" s="2205"/>
      <c r="J244" s="2205"/>
      <c r="K244" s="2205"/>
      <c r="L244" s="2205"/>
      <c r="M244" s="2268"/>
      <c r="N244" s="2268"/>
      <c r="O244" s="2268"/>
      <c r="P244" s="2205"/>
      <c r="Q244" s="2205"/>
      <c r="R244" s="2205"/>
      <c r="S244" s="2205"/>
    </row>
    <row r="245" spans="1:19">
      <c r="A245" s="2256"/>
      <c r="B245" s="2205"/>
      <c r="C245" s="2205"/>
      <c r="D245" s="2205"/>
      <c r="E245" s="2205"/>
      <c r="F245" s="2205"/>
      <c r="G245" s="2205"/>
      <c r="H245" s="2205"/>
      <c r="I245" s="2205"/>
      <c r="J245" s="2205"/>
      <c r="K245" s="2205"/>
      <c r="L245" s="2205"/>
      <c r="M245" s="2268"/>
      <c r="N245" s="2268"/>
      <c r="O245" s="2268"/>
      <c r="P245" s="2205"/>
      <c r="Q245" s="2205"/>
      <c r="R245" s="2205"/>
      <c r="S245" s="2205"/>
    </row>
    <row r="246" spans="1:19">
      <c r="A246" s="2256"/>
      <c r="B246" s="2205"/>
      <c r="C246" s="2205"/>
      <c r="D246" s="2205"/>
      <c r="E246" s="2205"/>
      <c r="F246" s="2205"/>
      <c r="G246" s="2205"/>
      <c r="H246" s="2205"/>
      <c r="I246" s="2205"/>
      <c r="J246" s="2205"/>
      <c r="K246" s="2205"/>
      <c r="L246" s="2205"/>
      <c r="M246" s="2268"/>
      <c r="N246" s="2268"/>
      <c r="O246" s="2268"/>
      <c r="P246" s="2205"/>
      <c r="Q246" s="2205"/>
      <c r="R246" s="2205"/>
      <c r="S246" s="2205"/>
    </row>
    <row r="247" spans="1:19">
      <c r="A247" s="2256"/>
      <c r="B247" s="2205"/>
      <c r="C247" s="2205"/>
      <c r="D247" s="2205"/>
      <c r="E247" s="2205"/>
      <c r="F247" s="2205"/>
      <c r="G247" s="2205"/>
      <c r="H247" s="2205"/>
      <c r="I247" s="2205"/>
      <c r="J247" s="2205"/>
      <c r="K247" s="2205"/>
      <c r="L247" s="2205"/>
      <c r="M247" s="2268"/>
      <c r="N247" s="2268"/>
      <c r="O247" s="2268"/>
      <c r="P247" s="2205"/>
      <c r="Q247" s="2205"/>
      <c r="R247" s="2205"/>
      <c r="S247" s="2205"/>
    </row>
    <row r="248" spans="1:19">
      <c r="A248" s="2256"/>
      <c r="B248" s="2205"/>
      <c r="C248" s="2205"/>
      <c r="D248" s="2205"/>
      <c r="E248" s="2205"/>
      <c r="F248" s="2205"/>
      <c r="G248" s="2205"/>
      <c r="H248" s="2205"/>
      <c r="I248" s="2205"/>
      <c r="J248" s="2205"/>
      <c r="K248" s="2205"/>
      <c r="L248" s="2205"/>
      <c r="M248" s="2268"/>
      <c r="N248" s="2268"/>
      <c r="O248" s="2268"/>
      <c r="P248" s="2205"/>
      <c r="Q248" s="2205"/>
      <c r="R248" s="2205"/>
      <c r="S248" s="2205"/>
    </row>
    <row r="249" spans="1:19">
      <c r="A249" s="2256"/>
      <c r="B249" s="2205"/>
      <c r="C249" s="2205"/>
      <c r="D249" s="2205"/>
      <c r="E249" s="2205"/>
      <c r="F249" s="2205"/>
      <c r="G249" s="2205"/>
      <c r="H249" s="2205"/>
      <c r="I249" s="2205"/>
      <c r="J249" s="2205"/>
      <c r="K249" s="2205"/>
      <c r="L249" s="2205"/>
      <c r="M249" s="2268"/>
      <c r="N249" s="2268"/>
      <c r="O249" s="2268"/>
      <c r="P249" s="2205"/>
      <c r="Q249" s="2205"/>
      <c r="R249" s="2205"/>
      <c r="S249" s="2205"/>
    </row>
    <row r="250" spans="1:19">
      <c r="A250" s="2256"/>
      <c r="B250" s="2205"/>
      <c r="C250" s="2205"/>
      <c r="D250" s="2205"/>
      <c r="E250" s="2205"/>
      <c r="F250" s="2205"/>
      <c r="G250" s="2205"/>
      <c r="H250" s="2205"/>
      <c r="I250" s="2205"/>
      <c r="J250" s="2205"/>
      <c r="K250" s="2205"/>
      <c r="L250" s="2205"/>
      <c r="M250" s="2268"/>
      <c r="N250" s="2268"/>
      <c r="O250" s="2268"/>
      <c r="P250" s="2205"/>
      <c r="Q250" s="2205"/>
      <c r="R250" s="2205"/>
      <c r="S250" s="2205"/>
    </row>
    <row r="251" spans="1:19">
      <c r="A251" s="2256"/>
      <c r="B251" s="2205"/>
      <c r="C251" s="2205"/>
      <c r="D251" s="2205"/>
      <c r="E251" s="2205"/>
      <c r="F251" s="2205"/>
      <c r="G251" s="2205"/>
      <c r="H251" s="2205"/>
      <c r="I251" s="2205"/>
      <c r="J251" s="2205"/>
      <c r="K251" s="2205"/>
      <c r="L251" s="2205"/>
      <c r="M251" s="2268"/>
      <c r="N251" s="2268"/>
      <c r="O251" s="2268"/>
      <c r="P251" s="2205"/>
      <c r="Q251" s="2205"/>
      <c r="R251" s="2205"/>
      <c r="S251" s="2205"/>
    </row>
    <row r="252" spans="1:19">
      <c r="A252" s="2256"/>
      <c r="B252" s="2205"/>
      <c r="C252" s="2205"/>
      <c r="D252" s="2205"/>
      <c r="E252" s="2205"/>
      <c r="F252" s="2205"/>
      <c r="G252" s="2205"/>
      <c r="H252" s="2205"/>
      <c r="I252" s="2205"/>
      <c r="J252" s="2205"/>
      <c r="K252" s="2205"/>
      <c r="L252" s="2205"/>
      <c r="M252" s="2268"/>
      <c r="N252" s="2268"/>
      <c r="O252" s="2268"/>
      <c r="P252" s="2205"/>
      <c r="Q252" s="2205"/>
      <c r="R252" s="2205"/>
      <c r="S252" s="2205"/>
    </row>
    <row r="253" spans="1:19">
      <c r="A253" s="2256"/>
      <c r="B253" s="2205"/>
      <c r="C253" s="2205"/>
      <c r="D253" s="2205"/>
      <c r="E253" s="2205"/>
      <c r="F253" s="2205"/>
      <c r="G253" s="2205"/>
      <c r="H253" s="2205"/>
      <c r="I253" s="2205"/>
      <c r="J253" s="2205"/>
      <c r="K253" s="2205"/>
      <c r="L253" s="2205"/>
      <c r="M253" s="2268"/>
      <c r="N253" s="2268"/>
      <c r="O253" s="2268"/>
      <c r="P253" s="2205"/>
      <c r="Q253" s="2205"/>
      <c r="R253" s="2205"/>
      <c r="S253" s="2205"/>
    </row>
    <row r="254" spans="1:19">
      <c r="A254" s="2256"/>
      <c r="B254" s="2205"/>
      <c r="C254" s="2205"/>
      <c r="D254" s="2205"/>
      <c r="E254" s="2205"/>
      <c r="F254" s="2205"/>
      <c r="G254" s="2205"/>
      <c r="H254" s="2205"/>
      <c r="I254" s="2205"/>
      <c r="J254" s="2205"/>
      <c r="K254" s="2205"/>
      <c r="L254" s="2205"/>
      <c r="M254" s="2268"/>
      <c r="N254" s="2268"/>
      <c r="O254" s="2268"/>
      <c r="P254" s="2205"/>
      <c r="Q254" s="2205"/>
      <c r="R254" s="2205"/>
      <c r="S254" s="2205"/>
    </row>
    <row r="255" spans="1:19">
      <c r="A255" s="2256"/>
      <c r="B255" s="2205"/>
      <c r="C255" s="2205"/>
      <c r="D255" s="2205"/>
      <c r="E255" s="2205"/>
      <c r="F255" s="2205"/>
      <c r="G255" s="2205"/>
      <c r="H255" s="2205"/>
      <c r="I255" s="2205"/>
      <c r="J255" s="2205"/>
      <c r="K255" s="2205"/>
      <c r="L255" s="2205"/>
      <c r="M255" s="2268"/>
      <c r="N255" s="2268"/>
      <c r="O255" s="2268"/>
      <c r="P255" s="2205"/>
      <c r="Q255" s="2205"/>
      <c r="R255" s="2205"/>
      <c r="S255" s="2205"/>
    </row>
    <row r="256" spans="1:19">
      <c r="A256" s="2256"/>
      <c r="B256" s="2205"/>
      <c r="C256" s="2205"/>
      <c r="D256" s="2205"/>
      <c r="E256" s="2205"/>
      <c r="F256" s="2205"/>
      <c r="G256" s="2205"/>
      <c r="H256" s="2205"/>
      <c r="I256" s="2205"/>
      <c r="J256" s="2205"/>
      <c r="K256" s="2205"/>
      <c r="L256" s="2205"/>
      <c r="M256" s="2268"/>
      <c r="N256" s="2268"/>
      <c r="O256" s="2268"/>
      <c r="P256" s="2205"/>
      <c r="Q256" s="2205"/>
      <c r="R256" s="2205"/>
      <c r="S256" s="2205"/>
    </row>
    <row r="257" spans="1:19">
      <c r="A257" s="2256"/>
      <c r="B257" s="2205"/>
      <c r="C257" s="2205"/>
      <c r="D257" s="2205"/>
      <c r="E257" s="2205"/>
      <c r="F257" s="2205"/>
      <c r="G257" s="2205"/>
      <c r="H257" s="2205"/>
      <c r="I257" s="2205"/>
      <c r="J257" s="2205"/>
      <c r="K257" s="2205"/>
      <c r="L257" s="2205"/>
      <c r="M257" s="2268"/>
      <c r="N257" s="2268"/>
      <c r="O257" s="2268"/>
      <c r="P257" s="2205"/>
      <c r="Q257" s="2205"/>
      <c r="R257" s="2205"/>
      <c r="S257" s="2205"/>
    </row>
    <row r="258" spans="1:19">
      <c r="A258" s="2256"/>
      <c r="B258" s="2205"/>
      <c r="C258" s="2205"/>
      <c r="D258" s="2205"/>
      <c r="E258" s="2205"/>
      <c r="F258" s="2205"/>
      <c r="G258" s="2205"/>
      <c r="H258" s="2205"/>
      <c r="I258" s="2205"/>
      <c r="J258" s="2205"/>
      <c r="K258" s="2205"/>
      <c r="L258" s="2205"/>
      <c r="M258" s="2268"/>
      <c r="N258" s="2268"/>
      <c r="O258" s="2268"/>
      <c r="P258" s="2205"/>
      <c r="Q258" s="2205"/>
      <c r="R258" s="2205"/>
      <c r="S258" s="2205"/>
    </row>
    <row r="259" spans="1:19">
      <c r="A259" s="2256"/>
      <c r="B259" s="2205"/>
      <c r="C259" s="2205"/>
      <c r="D259" s="2205"/>
      <c r="E259" s="2205"/>
      <c r="F259" s="2205"/>
      <c r="G259" s="2205"/>
      <c r="H259" s="2205"/>
      <c r="I259" s="2205"/>
      <c r="J259" s="2205"/>
      <c r="K259" s="2205"/>
      <c r="L259" s="2205"/>
      <c r="M259" s="2268"/>
      <c r="N259" s="2268"/>
      <c r="O259" s="2268"/>
      <c r="P259" s="2205"/>
      <c r="Q259" s="2205"/>
      <c r="R259" s="2205"/>
      <c r="S259" s="2205"/>
    </row>
    <row r="260" spans="1:19">
      <c r="A260" s="2256"/>
      <c r="B260" s="2205"/>
      <c r="C260" s="2205"/>
      <c r="D260" s="2205"/>
      <c r="E260" s="2205"/>
      <c r="F260" s="2205"/>
      <c r="G260" s="2205"/>
      <c r="H260" s="2205"/>
      <c r="I260" s="2205"/>
      <c r="J260" s="2205"/>
      <c r="K260" s="2205"/>
      <c r="L260" s="2205"/>
      <c r="M260" s="2268"/>
      <c r="N260" s="2268"/>
      <c r="O260" s="2268"/>
      <c r="P260" s="2205"/>
      <c r="Q260" s="2205"/>
      <c r="R260" s="2205"/>
      <c r="S260" s="2205"/>
    </row>
    <row r="261" spans="1:19">
      <c r="A261" s="2256"/>
      <c r="B261" s="2205"/>
      <c r="C261" s="2205"/>
      <c r="D261" s="2205"/>
      <c r="E261" s="2205"/>
      <c r="F261" s="2205"/>
      <c r="G261" s="2205"/>
      <c r="H261" s="2205"/>
      <c r="I261" s="2205"/>
      <c r="J261" s="2205"/>
      <c r="K261" s="2205"/>
      <c r="L261" s="2205"/>
      <c r="M261" s="2268"/>
      <c r="N261" s="2268"/>
      <c r="O261" s="2268"/>
      <c r="P261" s="2205"/>
      <c r="Q261" s="2205"/>
      <c r="R261" s="2205"/>
      <c r="S261" s="2205"/>
    </row>
    <row r="262" spans="1:19">
      <c r="A262" s="2256"/>
      <c r="B262" s="2205"/>
      <c r="C262" s="2205"/>
      <c r="D262" s="2205"/>
      <c r="E262" s="2205"/>
      <c r="F262" s="2205"/>
      <c r="G262" s="2205"/>
      <c r="H262" s="2205"/>
      <c r="I262" s="2205"/>
      <c r="J262" s="2205"/>
      <c r="K262" s="2205"/>
      <c r="L262" s="2205"/>
      <c r="M262" s="2268"/>
      <c r="N262" s="2268"/>
      <c r="O262" s="2268"/>
      <c r="P262" s="2205"/>
      <c r="Q262" s="2205"/>
      <c r="R262" s="2205"/>
      <c r="S262" s="2205"/>
    </row>
    <row r="263" spans="1:19">
      <c r="A263" s="2256"/>
      <c r="B263" s="2205"/>
      <c r="C263" s="2205"/>
      <c r="D263" s="2205"/>
      <c r="E263" s="2205"/>
      <c r="F263" s="2205"/>
      <c r="G263" s="2205"/>
      <c r="H263" s="2205"/>
      <c r="I263" s="2205"/>
      <c r="J263" s="2205"/>
      <c r="K263" s="2205"/>
      <c r="L263" s="2205"/>
      <c r="M263" s="2268"/>
      <c r="N263" s="2268"/>
      <c r="O263" s="2268"/>
      <c r="P263" s="2205"/>
      <c r="Q263" s="2205"/>
      <c r="R263" s="2205"/>
      <c r="S263" s="2205"/>
    </row>
    <row r="264" spans="1:19">
      <c r="A264" s="2256"/>
      <c r="B264" s="2205"/>
      <c r="C264" s="2205"/>
      <c r="D264" s="2205"/>
      <c r="E264" s="2205"/>
      <c r="F264" s="2205"/>
      <c r="G264" s="2205"/>
      <c r="H264" s="2205"/>
      <c r="I264" s="2205"/>
      <c r="J264" s="2205"/>
      <c r="K264" s="2205"/>
      <c r="L264" s="2205"/>
      <c r="M264" s="2268"/>
      <c r="N264" s="2268"/>
      <c r="O264" s="2268"/>
      <c r="P264" s="2205"/>
      <c r="Q264" s="2205"/>
      <c r="R264" s="2205"/>
      <c r="S264" s="2205"/>
    </row>
    <row r="265" spans="1:19">
      <c r="A265" s="2256"/>
      <c r="B265" s="2205"/>
      <c r="C265" s="2205"/>
      <c r="D265" s="2205"/>
      <c r="E265" s="2205"/>
      <c r="F265" s="2205"/>
      <c r="G265" s="2205"/>
      <c r="H265" s="2205"/>
      <c r="I265" s="2205"/>
      <c r="J265" s="2205"/>
      <c r="K265" s="2205"/>
      <c r="L265" s="2205"/>
      <c r="M265" s="2268"/>
      <c r="N265" s="2268"/>
      <c r="O265" s="2268"/>
      <c r="P265" s="2205"/>
      <c r="Q265" s="2205"/>
      <c r="R265" s="2205"/>
      <c r="S265" s="2205"/>
    </row>
    <row r="266" spans="1:19">
      <c r="A266" s="2256"/>
      <c r="B266" s="2205"/>
      <c r="C266" s="2205"/>
      <c r="D266" s="2205"/>
      <c r="E266" s="2205"/>
      <c r="F266" s="2205"/>
      <c r="G266" s="2205"/>
      <c r="H266" s="2205"/>
      <c r="I266" s="2205"/>
      <c r="J266" s="2205"/>
      <c r="K266" s="2205"/>
      <c r="L266" s="2205"/>
      <c r="M266" s="2268"/>
      <c r="N266" s="2268"/>
      <c r="O266" s="2268"/>
      <c r="P266" s="2205"/>
      <c r="Q266" s="2205"/>
      <c r="R266" s="2205"/>
      <c r="S266" s="2205"/>
    </row>
    <row r="267" spans="1:19">
      <c r="A267" s="2256"/>
      <c r="B267" s="2205"/>
      <c r="C267" s="2205"/>
      <c r="D267" s="2205"/>
      <c r="E267" s="2205"/>
      <c r="F267" s="2205"/>
      <c r="G267" s="2205"/>
      <c r="H267" s="2205"/>
      <c r="I267" s="2205"/>
      <c r="J267" s="2205"/>
      <c r="K267" s="2205"/>
      <c r="L267" s="2205"/>
      <c r="M267" s="2268"/>
      <c r="N267" s="2268"/>
      <c r="O267" s="2268"/>
      <c r="P267" s="2205"/>
      <c r="Q267" s="2205"/>
      <c r="R267" s="2205"/>
      <c r="S267" s="2205"/>
    </row>
    <row r="268" spans="1:19">
      <c r="A268" s="2256"/>
      <c r="B268" s="2205"/>
      <c r="C268" s="2205"/>
      <c r="D268" s="2205"/>
      <c r="E268" s="2205"/>
      <c r="F268" s="2205"/>
      <c r="G268" s="2205"/>
      <c r="H268" s="2205"/>
      <c r="I268" s="2205"/>
      <c r="J268" s="2205"/>
      <c r="K268" s="2205"/>
      <c r="L268" s="2205"/>
      <c r="M268" s="2268"/>
      <c r="N268" s="2268"/>
      <c r="O268" s="2268"/>
      <c r="P268" s="2205"/>
      <c r="Q268" s="2205"/>
      <c r="R268" s="2205"/>
      <c r="S268" s="2205"/>
    </row>
    <row r="269" spans="1:19">
      <c r="A269" s="2256"/>
      <c r="B269" s="2205"/>
      <c r="C269" s="2205"/>
      <c r="D269" s="2205"/>
      <c r="E269" s="2205"/>
      <c r="F269" s="2205"/>
      <c r="G269" s="2205"/>
      <c r="H269" s="2205"/>
      <c r="I269" s="2205"/>
      <c r="J269" s="2205"/>
      <c r="K269" s="2205"/>
      <c r="L269" s="2205"/>
      <c r="M269" s="2268"/>
      <c r="N269" s="2268"/>
      <c r="O269" s="2268"/>
      <c r="P269" s="2205"/>
      <c r="Q269" s="2205"/>
      <c r="R269" s="2205"/>
      <c r="S269" s="2205"/>
    </row>
    <row r="270" spans="1:19">
      <c r="A270" s="2256"/>
      <c r="B270" s="2205"/>
      <c r="C270" s="2205"/>
      <c r="D270" s="2205"/>
      <c r="E270" s="2205"/>
      <c r="F270" s="2205"/>
      <c r="G270" s="2205"/>
      <c r="H270" s="2205"/>
      <c r="I270" s="2205"/>
      <c r="J270" s="2205"/>
      <c r="K270" s="2205"/>
      <c r="L270" s="2205"/>
      <c r="M270" s="2268"/>
      <c r="N270" s="2268"/>
      <c r="O270" s="2268"/>
      <c r="P270" s="2205"/>
      <c r="Q270" s="2205"/>
      <c r="R270" s="2205"/>
      <c r="S270" s="2205"/>
    </row>
    <row r="271" spans="1:19">
      <c r="A271" s="2256"/>
      <c r="B271" s="2205"/>
      <c r="C271" s="2205"/>
      <c r="D271" s="2205"/>
      <c r="E271" s="2205"/>
      <c r="F271" s="2205"/>
      <c r="G271" s="2205"/>
      <c r="H271" s="2205"/>
      <c r="I271" s="2205"/>
      <c r="J271" s="2205"/>
      <c r="K271" s="2205"/>
      <c r="L271" s="2205"/>
      <c r="M271" s="2268"/>
      <c r="N271" s="2268"/>
      <c r="O271" s="2268"/>
      <c r="P271" s="2205"/>
      <c r="Q271" s="2205"/>
      <c r="R271" s="2205"/>
      <c r="S271" s="2205"/>
    </row>
    <row r="272" spans="1:19">
      <c r="A272" s="2256"/>
      <c r="B272" s="2205"/>
      <c r="C272" s="2205"/>
      <c r="D272" s="2205"/>
      <c r="E272" s="2205"/>
      <c r="F272" s="2205"/>
      <c r="G272" s="2205"/>
      <c r="H272" s="2205"/>
      <c r="I272" s="2205"/>
      <c r="J272" s="2205"/>
      <c r="K272" s="2205"/>
      <c r="L272" s="2205"/>
      <c r="M272" s="2268"/>
      <c r="N272" s="2268"/>
      <c r="O272" s="2268"/>
      <c r="P272" s="2205"/>
      <c r="Q272" s="2205"/>
      <c r="R272" s="2205"/>
      <c r="S272" s="2205"/>
    </row>
    <row r="273" spans="1:19">
      <c r="A273" s="2256"/>
      <c r="B273" s="2205"/>
      <c r="C273" s="2205"/>
      <c r="D273" s="2205"/>
      <c r="E273" s="2205"/>
      <c r="F273" s="2205"/>
      <c r="G273" s="2205"/>
      <c r="H273" s="2205"/>
      <c r="I273" s="2205"/>
      <c r="J273" s="2205"/>
      <c r="K273" s="2205"/>
      <c r="L273" s="2205"/>
      <c r="M273" s="2268"/>
      <c r="N273" s="2268"/>
      <c r="O273" s="2268"/>
      <c r="P273" s="2205"/>
      <c r="Q273" s="2205"/>
      <c r="R273" s="2205"/>
      <c r="S273" s="2205"/>
    </row>
    <row r="274" spans="1:19">
      <c r="A274" s="2256"/>
      <c r="B274" s="2205"/>
      <c r="C274" s="2205"/>
      <c r="D274" s="2205"/>
      <c r="E274" s="2205"/>
      <c r="F274" s="2205"/>
      <c r="G274" s="2205"/>
      <c r="H274" s="2205"/>
      <c r="I274" s="2205"/>
      <c r="J274" s="2205"/>
      <c r="K274" s="2205"/>
      <c r="L274" s="2205"/>
      <c r="M274" s="2268"/>
      <c r="N274" s="2268"/>
      <c r="O274" s="2268"/>
      <c r="P274" s="2205"/>
      <c r="Q274" s="2205"/>
      <c r="R274" s="2205"/>
      <c r="S274" s="2205"/>
    </row>
    <row r="275" spans="1:19">
      <c r="A275" s="2256"/>
      <c r="B275" s="2205"/>
      <c r="C275" s="2205"/>
      <c r="D275" s="2205"/>
      <c r="E275" s="2205"/>
      <c r="F275" s="2205"/>
      <c r="G275" s="2205"/>
      <c r="H275" s="2205"/>
      <c r="I275" s="2205"/>
      <c r="J275" s="2205"/>
      <c r="K275" s="2205"/>
      <c r="L275" s="2205"/>
      <c r="M275" s="2268"/>
      <c r="N275" s="2268"/>
      <c r="O275" s="2268"/>
      <c r="P275" s="2205"/>
      <c r="Q275" s="2205"/>
      <c r="R275" s="2205"/>
      <c r="S275" s="2205"/>
    </row>
    <row r="276" spans="1:19">
      <c r="A276" s="2256"/>
      <c r="B276" s="2205"/>
      <c r="C276" s="2205"/>
      <c r="D276" s="2205"/>
      <c r="E276" s="2205"/>
      <c r="F276" s="2205"/>
      <c r="G276" s="2205"/>
      <c r="H276" s="2205"/>
      <c r="I276" s="2205"/>
      <c r="J276" s="2205"/>
      <c r="K276" s="2205"/>
      <c r="L276" s="2205"/>
      <c r="M276" s="2268"/>
      <c r="N276" s="2268"/>
      <c r="O276" s="2268"/>
      <c r="P276" s="2205"/>
      <c r="Q276" s="2205"/>
      <c r="R276" s="2205"/>
      <c r="S276" s="2205"/>
    </row>
    <row r="277" spans="1:19">
      <c r="A277" s="2256"/>
      <c r="B277" s="2205"/>
      <c r="C277" s="2205"/>
      <c r="D277" s="2205"/>
      <c r="E277" s="2205"/>
      <c r="F277" s="2205"/>
      <c r="G277" s="2205"/>
      <c r="H277" s="2205"/>
      <c r="I277" s="2205"/>
      <c r="J277" s="2205"/>
      <c r="K277" s="2205"/>
      <c r="L277" s="2205"/>
      <c r="M277" s="2268"/>
      <c r="N277" s="2268"/>
      <c r="O277" s="2268"/>
      <c r="P277" s="2205"/>
      <c r="Q277" s="2205"/>
      <c r="R277" s="2205"/>
      <c r="S277" s="2205"/>
    </row>
    <row r="278" spans="1:19">
      <c r="A278" s="2256"/>
      <c r="B278" s="2205"/>
      <c r="C278" s="2205"/>
      <c r="D278" s="2205"/>
      <c r="E278" s="2205"/>
      <c r="F278" s="2205"/>
      <c r="G278" s="2205"/>
      <c r="H278" s="2205"/>
      <c r="I278" s="2205"/>
      <c r="J278" s="2205"/>
      <c r="K278" s="2205"/>
      <c r="L278" s="2205"/>
      <c r="M278" s="2268"/>
      <c r="N278" s="2268"/>
      <c r="O278" s="2268"/>
      <c r="P278" s="2205"/>
      <c r="Q278" s="2205"/>
      <c r="R278" s="2205"/>
      <c r="S278" s="2205"/>
    </row>
    <row r="279" spans="1:19">
      <c r="A279" s="2256"/>
      <c r="B279" s="2205"/>
      <c r="C279" s="2205"/>
      <c r="D279" s="2205"/>
      <c r="E279" s="2205"/>
      <c r="F279" s="2205"/>
      <c r="G279" s="2205"/>
      <c r="H279" s="2205"/>
      <c r="I279" s="2205"/>
      <c r="J279" s="2205"/>
      <c r="K279" s="2205"/>
      <c r="L279" s="2205"/>
      <c r="M279" s="2268"/>
      <c r="N279" s="2268"/>
      <c r="O279" s="2268"/>
      <c r="P279" s="2205"/>
      <c r="Q279" s="2205"/>
      <c r="R279" s="2205"/>
      <c r="S279" s="2205"/>
    </row>
    <row r="280" spans="1:19">
      <c r="A280" s="2256"/>
      <c r="B280" s="2205"/>
      <c r="C280" s="2205"/>
      <c r="D280" s="2205"/>
      <c r="E280" s="2205"/>
      <c r="F280" s="2205"/>
      <c r="G280" s="2205"/>
      <c r="H280" s="2205"/>
      <c r="I280" s="2205"/>
      <c r="J280" s="2205"/>
      <c r="K280" s="2205"/>
      <c r="L280" s="2205"/>
      <c r="M280" s="2268"/>
      <c r="N280" s="2268"/>
      <c r="O280" s="2268"/>
      <c r="P280" s="2205"/>
      <c r="Q280" s="2205"/>
      <c r="R280" s="2205"/>
      <c r="S280" s="2205"/>
    </row>
    <row r="281" spans="1:19">
      <c r="A281" s="2256"/>
      <c r="B281" s="2205"/>
      <c r="C281" s="2205"/>
      <c r="D281" s="2205"/>
      <c r="E281" s="2205"/>
      <c r="F281" s="2205"/>
      <c r="G281" s="2205"/>
      <c r="H281" s="2205"/>
      <c r="I281" s="2205"/>
      <c r="J281" s="2205"/>
      <c r="K281" s="2205"/>
      <c r="L281" s="2205"/>
      <c r="M281" s="2268"/>
      <c r="N281" s="2268"/>
      <c r="O281" s="2268"/>
      <c r="P281" s="2205"/>
      <c r="Q281" s="2205"/>
      <c r="R281" s="2205"/>
      <c r="S281" s="2205"/>
    </row>
    <row r="282" spans="1:19">
      <c r="A282" s="2256"/>
      <c r="B282" s="2205"/>
      <c r="C282" s="2205"/>
      <c r="D282" s="2205"/>
      <c r="E282" s="2205"/>
      <c r="F282" s="2205"/>
      <c r="G282" s="2205"/>
      <c r="H282" s="2205"/>
      <c r="I282" s="2205"/>
      <c r="J282" s="2205"/>
      <c r="K282" s="2205"/>
      <c r="L282" s="2205"/>
      <c r="M282" s="2268"/>
      <c r="N282" s="2268"/>
      <c r="O282" s="2268"/>
      <c r="P282" s="2205"/>
      <c r="Q282" s="2205"/>
      <c r="R282" s="2205"/>
      <c r="S282" s="2205"/>
    </row>
    <row r="283" spans="1:19">
      <c r="A283" s="2256"/>
      <c r="B283" s="2205"/>
      <c r="C283" s="2205"/>
      <c r="D283" s="2205"/>
      <c r="E283" s="2205"/>
      <c r="F283" s="2205"/>
      <c r="G283" s="2205"/>
      <c r="H283" s="2205"/>
      <c r="I283" s="2205"/>
      <c r="J283" s="2205"/>
      <c r="K283" s="2205"/>
      <c r="L283" s="2205"/>
      <c r="M283" s="2268"/>
      <c r="N283" s="2268"/>
      <c r="O283" s="2268"/>
      <c r="P283" s="2205"/>
      <c r="Q283" s="2205"/>
      <c r="R283" s="2205"/>
      <c r="S283" s="2205"/>
    </row>
    <row r="284" spans="1:19">
      <c r="A284" s="2256"/>
      <c r="B284" s="2205"/>
      <c r="C284" s="2205"/>
      <c r="D284" s="2205"/>
      <c r="E284" s="2205"/>
      <c r="F284" s="2205"/>
      <c r="G284" s="2205"/>
      <c r="H284" s="2205"/>
      <c r="I284" s="2205"/>
      <c r="J284" s="2205"/>
      <c r="K284" s="2205"/>
      <c r="L284" s="2205"/>
      <c r="M284" s="2268"/>
      <c r="N284" s="2268"/>
      <c r="O284" s="2268"/>
      <c r="P284" s="2205"/>
      <c r="Q284" s="2205"/>
      <c r="R284" s="2205"/>
      <c r="S284" s="2205"/>
    </row>
    <row r="285" spans="1:19">
      <c r="A285" s="2256"/>
      <c r="B285" s="2205"/>
      <c r="C285" s="2205"/>
      <c r="D285" s="2205"/>
      <c r="E285" s="2205"/>
      <c r="F285" s="2205"/>
      <c r="G285" s="2205"/>
      <c r="H285" s="2205"/>
      <c r="I285" s="2205"/>
      <c r="J285" s="2205"/>
      <c r="K285" s="2205"/>
      <c r="L285" s="2205"/>
      <c r="M285" s="2268"/>
      <c r="N285" s="2268"/>
      <c r="O285" s="2268"/>
      <c r="P285" s="2205"/>
      <c r="Q285" s="2205"/>
      <c r="R285" s="2205"/>
      <c r="S285" s="2205"/>
    </row>
    <row r="286" spans="1:19">
      <c r="A286" s="2256"/>
      <c r="B286" s="2205"/>
      <c r="C286" s="2205"/>
      <c r="D286" s="2205"/>
      <c r="E286" s="2205"/>
      <c r="F286" s="2205"/>
      <c r="G286" s="2205"/>
      <c r="H286" s="2205"/>
      <c r="I286" s="2205"/>
      <c r="J286" s="2205"/>
      <c r="K286" s="2205"/>
      <c r="L286" s="2205"/>
      <c r="M286" s="2268"/>
      <c r="N286" s="2268"/>
      <c r="O286" s="2268"/>
      <c r="P286" s="2205"/>
      <c r="Q286" s="2205"/>
      <c r="R286" s="2205"/>
      <c r="S286" s="2205"/>
    </row>
    <row r="287" spans="1:19">
      <c r="A287" s="2256"/>
      <c r="B287" s="2205"/>
      <c r="C287" s="2205"/>
      <c r="D287" s="2205"/>
      <c r="E287" s="2205"/>
      <c r="F287" s="2205"/>
      <c r="G287" s="2205"/>
      <c r="H287" s="2205"/>
      <c r="I287" s="2205"/>
      <c r="J287" s="2205"/>
      <c r="K287" s="2205"/>
      <c r="L287" s="2205"/>
      <c r="M287" s="2268"/>
      <c r="N287" s="2268"/>
      <c r="O287" s="2268"/>
      <c r="P287" s="2205"/>
      <c r="Q287" s="2205"/>
      <c r="R287" s="2205"/>
      <c r="S287" s="2205"/>
    </row>
    <row r="288" spans="1:19">
      <c r="A288" s="2256"/>
      <c r="B288" s="2205"/>
      <c r="C288" s="2205"/>
      <c r="D288" s="2205"/>
      <c r="E288" s="2205"/>
      <c r="F288" s="2205"/>
      <c r="G288" s="2205"/>
      <c r="H288" s="2205"/>
      <c r="I288" s="2205"/>
      <c r="J288" s="2205"/>
      <c r="K288" s="2205"/>
      <c r="L288" s="2205"/>
      <c r="M288" s="2268"/>
      <c r="N288" s="2268"/>
      <c r="O288" s="2268"/>
      <c r="P288" s="2205"/>
      <c r="Q288" s="2205"/>
      <c r="R288" s="2205"/>
      <c r="S288" s="2205"/>
    </row>
    <row r="289" spans="1:19">
      <c r="A289" s="2256"/>
      <c r="B289" s="2205"/>
      <c r="C289" s="2205"/>
      <c r="D289" s="2205"/>
      <c r="E289" s="2205"/>
      <c r="F289" s="2205"/>
      <c r="G289" s="2205"/>
      <c r="H289" s="2205"/>
      <c r="I289" s="2205"/>
      <c r="J289" s="2205"/>
      <c r="K289" s="2205"/>
      <c r="L289" s="2205"/>
      <c r="M289" s="2268"/>
      <c r="N289" s="2268"/>
      <c r="O289" s="2268"/>
      <c r="P289" s="2205"/>
      <c r="Q289" s="2205"/>
      <c r="R289" s="2205"/>
      <c r="S289" s="2205"/>
    </row>
    <row r="290" spans="1:19">
      <c r="A290" s="2256"/>
      <c r="B290" s="2205"/>
      <c r="C290" s="2205"/>
      <c r="D290" s="2205"/>
      <c r="E290" s="2205"/>
      <c r="F290" s="2205"/>
      <c r="G290" s="2205"/>
      <c r="H290" s="2205"/>
      <c r="I290" s="2205"/>
      <c r="J290" s="2205"/>
      <c r="K290" s="2205"/>
      <c r="L290" s="2205"/>
      <c r="M290" s="2268"/>
      <c r="N290" s="2268"/>
      <c r="O290" s="2268"/>
      <c r="P290" s="2205"/>
      <c r="Q290" s="2205"/>
      <c r="R290" s="2205"/>
      <c r="S290" s="2205"/>
    </row>
    <row r="291" spans="1:19">
      <c r="A291" s="2256"/>
      <c r="B291" s="2205"/>
      <c r="C291" s="2205"/>
      <c r="D291" s="2205"/>
      <c r="E291" s="2205"/>
      <c r="F291" s="2205"/>
      <c r="G291" s="2205"/>
      <c r="H291" s="2205"/>
      <c r="I291" s="2205"/>
      <c r="J291" s="2205"/>
      <c r="K291" s="2205"/>
      <c r="L291" s="2205"/>
      <c r="M291" s="2268"/>
      <c r="N291" s="2268"/>
      <c r="O291" s="2268"/>
      <c r="P291" s="2205"/>
      <c r="Q291" s="2205"/>
      <c r="R291" s="2205"/>
      <c r="S291" s="2205"/>
    </row>
    <row r="292" spans="1:19">
      <c r="A292" s="2256"/>
      <c r="B292" s="2205"/>
      <c r="C292" s="2205"/>
      <c r="D292" s="2205"/>
      <c r="E292" s="2205"/>
      <c r="F292" s="2205"/>
      <c r="G292" s="2205"/>
      <c r="H292" s="2205"/>
      <c r="I292" s="2205"/>
      <c r="J292" s="2205"/>
      <c r="K292" s="2205"/>
      <c r="L292" s="2205"/>
      <c r="M292" s="2268"/>
      <c r="N292" s="2268"/>
      <c r="O292" s="2268"/>
      <c r="P292" s="2205"/>
      <c r="Q292" s="2205"/>
      <c r="R292" s="2205"/>
      <c r="S292" s="2205"/>
    </row>
    <row r="293" spans="1:19">
      <c r="A293" s="2256"/>
      <c r="B293" s="2205"/>
      <c r="C293" s="2205"/>
      <c r="D293" s="2205"/>
      <c r="E293" s="2205"/>
      <c r="F293" s="2205"/>
      <c r="G293" s="2205"/>
      <c r="H293" s="2205"/>
      <c r="I293" s="2205"/>
      <c r="J293" s="2205"/>
      <c r="K293" s="2205"/>
      <c r="L293" s="2205"/>
      <c r="M293" s="2268"/>
      <c r="N293" s="2268"/>
      <c r="O293" s="2268"/>
      <c r="P293" s="2205"/>
      <c r="Q293" s="2205"/>
      <c r="R293" s="2205"/>
      <c r="S293" s="2205"/>
    </row>
    <row r="294" spans="1:19">
      <c r="A294" s="2256"/>
      <c r="B294" s="2205"/>
      <c r="C294" s="2205"/>
      <c r="D294" s="2205"/>
      <c r="E294" s="2205"/>
      <c r="F294" s="2205"/>
      <c r="G294" s="2205"/>
      <c r="H294" s="2205"/>
      <c r="I294" s="2205"/>
      <c r="J294" s="2205"/>
      <c r="K294" s="2205"/>
      <c r="L294" s="2205"/>
      <c r="M294" s="2268"/>
      <c r="N294" s="2268"/>
      <c r="O294" s="2268"/>
      <c r="P294" s="2205"/>
      <c r="Q294" s="2205"/>
      <c r="R294" s="2205"/>
      <c r="S294" s="2205"/>
    </row>
    <row r="295" spans="1:19">
      <c r="A295" s="2256"/>
      <c r="B295" s="2205"/>
      <c r="C295" s="2205"/>
      <c r="D295" s="2205"/>
      <c r="E295" s="2205"/>
      <c r="F295" s="2205"/>
      <c r="G295" s="2205"/>
      <c r="H295" s="2205"/>
      <c r="I295" s="2205"/>
      <c r="J295" s="2205"/>
      <c r="K295" s="2205"/>
      <c r="L295" s="2205"/>
      <c r="M295" s="2268"/>
      <c r="N295" s="2268"/>
      <c r="O295" s="2268"/>
      <c r="P295" s="2205"/>
      <c r="Q295" s="2205"/>
      <c r="R295" s="2205"/>
      <c r="S295" s="2205"/>
    </row>
    <row r="296" spans="1:19">
      <c r="A296" s="2256"/>
      <c r="B296" s="2205"/>
      <c r="C296" s="2205"/>
      <c r="D296" s="2205"/>
      <c r="E296" s="2205"/>
      <c r="F296" s="2205"/>
      <c r="G296" s="2205"/>
      <c r="H296" s="2205"/>
      <c r="I296" s="2205"/>
      <c r="J296" s="2205"/>
      <c r="K296" s="2205"/>
      <c r="L296" s="2205"/>
      <c r="M296" s="2268"/>
      <c r="N296" s="2268"/>
      <c r="O296" s="2268"/>
      <c r="P296" s="2205"/>
      <c r="Q296" s="2205"/>
      <c r="R296" s="2205"/>
      <c r="S296" s="2205"/>
    </row>
    <row r="297" spans="1:19">
      <c r="A297" s="2256"/>
      <c r="B297" s="2205"/>
      <c r="C297" s="2205"/>
      <c r="D297" s="2205"/>
      <c r="E297" s="2205"/>
      <c r="F297" s="2205"/>
      <c r="G297" s="2205"/>
      <c r="H297" s="2205"/>
      <c r="I297" s="2205"/>
      <c r="J297" s="2205"/>
      <c r="K297" s="2205"/>
      <c r="L297" s="2205"/>
      <c r="M297" s="2268"/>
      <c r="N297" s="2268"/>
      <c r="O297" s="2268"/>
      <c r="P297" s="2205"/>
      <c r="Q297" s="2205"/>
      <c r="R297" s="2205"/>
      <c r="S297" s="2205"/>
    </row>
    <row r="298" spans="1:19">
      <c r="A298" s="2256"/>
      <c r="B298" s="2205"/>
      <c r="C298" s="2205"/>
      <c r="D298" s="2205"/>
      <c r="E298" s="2205"/>
      <c r="F298" s="2205"/>
      <c r="G298" s="2205"/>
      <c r="H298" s="2205"/>
      <c r="I298" s="2205"/>
      <c r="J298" s="2205"/>
      <c r="K298" s="2205"/>
      <c r="L298" s="2205"/>
      <c r="M298" s="2268"/>
      <c r="N298" s="2268"/>
      <c r="O298" s="2268"/>
      <c r="P298" s="2205"/>
      <c r="Q298" s="2205"/>
      <c r="R298" s="2205"/>
      <c r="S298" s="2205"/>
    </row>
    <row r="299" spans="1:19">
      <c r="A299" s="2256"/>
      <c r="B299" s="2205"/>
      <c r="C299" s="2205"/>
      <c r="D299" s="2205"/>
      <c r="E299" s="2205"/>
      <c r="F299" s="2205"/>
      <c r="G299" s="2205"/>
      <c r="H299" s="2205"/>
      <c r="I299" s="2205"/>
      <c r="J299" s="2205"/>
      <c r="K299" s="2205"/>
      <c r="L299" s="2205"/>
      <c r="M299" s="2268"/>
      <c r="N299" s="2268"/>
      <c r="O299" s="2268"/>
      <c r="P299" s="2205"/>
      <c r="Q299" s="2205"/>
      <c r="R299" s="2205"/>
      <c r="S299" s="2205"/>
    </row>
    <row r="300" spans="1:19">
      <c r="A300" s="2256"/>
      <c r="B300" s="2205"/>
      <c r="C300" s="2205"/>
      <c r="D300" s="2205"/>
      <c r="E300" s="2205"/>
      <c r="F300" s="2205"/>
      <c r="G300" s="2205"/>
      <c r="H300" s="2205"/>
      <c r="I300" s="2205"/>
      <c r="J300" s="2205"/>
      <c r="K300" s="2205"/>
      <c r="L300" s="2205"/>
      <c r="M300" s="2268"/>
      <c r="N300" s="2268"/>
      <c r="O300" s="2268"/>
      <c r="P300" s="2205"/>
      <c r="Q300" s="2205"/>
      <c r="R300" s="2205"/>
      <c r="S300" s="2205"/>
    </row>
    <row r="301" spans="1:19">
      <c r="A301" s="2256"/>
      <c r="B301" s="2205"/>
      <c r="C301" s="2205"/>
      <c r="D301" s="2205"/>
      <c r="E301" s="2205"/>
      <c r="F301" s="2205"/>
      <c r="G301" s="2205"/>
      <c r="H301" s="2205"/>
      <c r="I301" s="2205"/>
      <c r="J301" s="2205"/>
      <c r="K301" s="2205"/>
      <c r="L301" s="2205"/>
      <c r="M301" s="2268"/>
      <c r="N301" s="2268"/>
      <c r="O301" s="2268"/>
      <c r="P301" s="2205"/>
      <c r="Q301" s="2205"/>
      <c r="R301" s="2205"/>
      <c r="S301" s="2205"/>
    </row>
    <row r="302" spans="1:19">
      <c r="A302" s="2256"/>
      <c r="B302" s="2205"/>
      <c r="C302" s="2205"/>
      <c r="D302" s="2205"/>
      <c r="E302" s="2205"/>
      <c r="F302" s="2205"/>
      <c r="G302" s="2205"/>
      <c r="H302" s="2205"/>
      <c r="I302" s="2205"/>
      <c r="J302" s="2205"/>
      <c r="K302" s="2205"/>
      <c r="L302" s="2205"/>
      <c r="M302" s="2268"/>
      <c r="N302" s="2268"/>
      <c r="O302" s="2268"/>
      <c r="P302" s="2205"/>
      <c r="Q302" s="2205"/>
      <c r="R302" s="2205"/>
      <c r="S302" s="2205"/>
    </row>
    <row r="303" spans="1:19">
      <c r="A303" s="2256"/>
      <c r="B303" s="2205"/>
      <c r="C303" s="2205"/>
      <c r="D303" s="2205"/>
      <c r="E303" s="2205"/>
      <c r="F303" s="2205"/>
      <c r="G303" s="2205"/>
      <c r="H303" s="2205"/>
      <c r="I303" s="2205"/>
      <c r="J303" s="2205"/>
      <c r="K303" s="2205"/>
      <c r="L303" s="2205"/>
      <c r="M303" s="2268"/>
      <c r="N303" s="2268"/>
      <c r="O303" s="2268"/>
      <c r="P303" s="2205"/>
      <c r="Q303" s="2205"/>
      <c r="R303" s="2205"/>
      <c r="S303" s="2205"/>
    </row>
    <row r="304" spans="1:19">
      <c r="A304" s="2256"/>
      <c r="B304" s="2205"/>
      <c r="C304" s="2205"/>
      <c r="D304" s="2205"/>
      <c r="E304" s="2205"/>
      <c r="F304" s="2205"/>
      <c r="G304" s="2205"/>
      <c r="H304" s="2205"/>
      <c r="I304" s="2205"/>
      <c r="J304" s="2205"/>
      <c r="K304" s="2205"/>
      <c r="L304" s="2205"/>
      <c r="M304" s="2268"/>
      <c r="N304" s="2268"/>
      <c r="O304" s="2268"/>
      <c r="P304" s="2205"/>
      <c r="Q304" s="2205"/>
      <c r="R304" s="2205"/>
      <c r="S304" s="2205"/>
    </row>
    <row r="305" spans="1:19">
      <c r="A305" s="2256"/>
      <c r="B305" s="2205"/>
      <c r="C305" s="2205"/>
      <c r="D305" s="2205"/>
      <c r="E305" s="2205"/>
      <c r="F305" s="2205"/>
      <c r="G305" s="2205"/>
      <c r="H305" s="2205"/>
      <c r="I305" s="2205"/>
      <c r="J305" s="2205"/>
      <c r="K305" s="2205"/>
      <c r="L305" s="2205"/>
      <c r="M305" s="2268"/>
      <c r="N305" s="2268"/>
      <c r="O305" s="2268"/>
      <c r="P305" s="2205"/>
      <c r="Q305" s="2205"/>
      <c r="R305" s="2205"/>
      <c r="S305" s="2205"/>
    </row>
    <row r="306" spans="1:19">
      <c r="A306" s="2256"/>
      <c r="B306" s="2205"/>
      <c r="C306" s="2205"/>
      <c r="D306" s="2205"/>
      <c r="E306" s="2205"/>
      <c r="F306" s="2205"/>
      <c r="G306" s="2205"/>
      <c r="H306" s="2205"/>
      <c r="I306" s="2205"/>
      <c r="J306" s="2205"/>
      <c r="K306" s="2205"/>
      <c r="L306" s="2205"/>
      <c r="M306" s="2268"/>
      <c r="N306" s="2268"/>
      <c r="O306" s="2268"/>
      <c r="P306" s="2205"/>
      <c r="Q306" s="2205"/>
      <c r="R306" s="2205"/>
      <c r="S306" s="2205"/>
    </row>
    <row r="307" spans="1:19">
      <c r="A307" s="2256"/>
      <c r="B307" s="2205"/>
      <c r="C307" s="2205"/>
      <c r="D307" s="2205"/>
      <c r="E307" s="2205"/>
      <c r="F307" s="2205"/>
      <c r="G307" s="2205"/>
      <c r="H307" s="2205"/>
      <c r="I307" s="2205"/>
      <c r="J307" s="2205"/>
      <c r="K307" s="2205"/>
      <c r="L307" s="2205"/>
      <c r="M307" s="2268"/>
      <c r="N307" s="2268"/>
      <c r="O307" s="2268"/>
      <c r="P307" s="2205"/>
      <c r="Q307" s="2205"/>
      <c r="R307" s="2205"/>
      <c r="S307" s="2205"/>
    </row>
    <row r="308" spans="1:19">
      <c r="A308" s="2256"/>
      <c r="B308" s="2205"/>
      <c r="C308" s="2205"/>
      <c r="D308" s="2205"/>
      <c r="E308" s="2205"/>
      <c r="F308" s="2205"/>
      <c r="G308" s="2205"/>
      <c r="H308" s="2205"/>
      <c r="I308" s="2205"/>
      <c r="J308" s="2205"/>
      <c r="K308" s="2205"/>
      <c r="L308" s="2205"/>
      <c r="M308" s="2268"/>
      <c r="N308" s="2268"/>
      <c r="O308" s="2268"/>
      <c r="P308" s="2205"/>
      <c r="Q308" s="2205"/>
      <c r="R308" s="2205"/>
      <c r="S308" s="2205"/>
    </row>
    <row r="309" spans="1:19">
      <c r="A309" s="2256"/>
      <c r="B309" s="2205"/>
      <c r="C309" s="2205"/>
      <c r="D309" s="2205"/>
      <c r="E309" s="2205"/>
      <c r="F309" s="2205"/>
      <c r="G309" s="2205"/>
      <c r="H309" s="2205"/>
      <c r="I309" s="2205"/>
      <c r="J309" s="2205"/>
      <c r="K309" s="2205"/>
      <c r="L309" s="2205"/>
      <c r="M309" s="2268"/>
      <c r="N309" s="2268"/>
      <c r="O309" s="2268"/>
      <c r="P309" s="2205"/>
      <c r="Q309" s="2205"/>
      <c r="R309" s="2205"/>
      <c r="S309" s="2205"/>
    </row>
    <row r="310" spans="1:19">
      <c r="A310" s="2256"/>
      <c r="B310" s="2205"/>
      <c r="C310" s="2205"/>
      <c r="D310" s="2205"/>
      <c r="E310" s="2205"/>
      <c r="F310" s="2205"/>
      <c r="G310" s="2205"/>
      <c r="H310" s="2205"/>
      <c r="I310" s="2205"/>
      <c r="J310" s="2205"/>
      <c r="K310" s="2205"/>
      <c r="L310" s="2205"/>
      <c r="M310" s="2268"/>
      <c r="N310" s="2268"/>
      <c r="O310" s="2268"/>
      <c r="P310" s="2205"/>
      <c r="Q310" s="2205"/>
      <c r="R310" s="2205"/>
      <c r="S310" s="2205"/>
    </row>
    <row r="311" spans="1:19">
      <c r="A311" s="2256"/>
      <c r="B311" s="2205"/>
      <c r="C311" s="2205"/>
      <c r="D311" s="2205"/>
      <c r="E311" s="2205"/>
      <c r="F311" s="2205"/>
      <c r="G311" s="2205"/>
      <c r="H311" s="2205"/>
      <c r="I311" s="2205"/>
      <c r="J311" s="2205"/>
      <c r="K311" s="2205"/>
      <c r="L311" s="2205"/>
      <c r="M311" s="2268"/>
      <c r="N311" s="2268"/>
      <c r="O311" s="2268"/>
      <c r="P311" s="2205"/>
      <c r="Q311" s="2205"/>
      <c r="R311" s="2205"/>
      <c r="S311" s="2205"/>
    </row>
    <row r="312" spans="1:19">
      <c r="A312" s="2256"/>
      <c r="B312" s="2205"/>
      <c r="C312" s="2205"/>
      <c r="D312" s="2205"/>
      <c r="E312" s="2205"/>
      <c r="F312" s="2205"/>
      <c r="G312" s="2205"/>
      <c r="H312" s="2205"/>
      <c r="I312" s="2205"/>
      <c r="J312" s="2205"/>
      <c r="K312" s="2205"/>
      <c r="L312" s="2205"/>
      <c r="M312" s="2268"/>
      <c r="N312" s="2268"/>
      <c r="O312" s="2268"/>
      <c r="P312" s="2205"/>
      <c r="Q312" s="2205"/>
      <c r="R312" s="2205"/>
      <c r="S312" s="2205"/>
    </row>
    <row r="313" spans="1:19">
      <c r="A313" s="2256"/>
      <c r="B313" s="2205"/>
      <c r="C313" s="2205"/>
      <c r="D313" s="2205"/>
      <c r="E313" s="2205"/>
      <c r="F313" s="2205"/>
      <c r="G313" s="2205"/>
      <c r="H313" s="2205"/>
      <c r="I313" s="2205"/>
      <c r="J313" s="2205"/>
      <c r="K313" s="2205"/>
      <c r="L313" s="2205"/>
      <c r="M313" s="2268"/>
      <c r="N313" s="2268"/>
      <c r="O313" s="2268"/>
      <c r="P313" s="2205"/>
      <c r="Q313" s="2205"/>
      <c r="R313" s="2205"/>
      <c r="S313" s="2205"/>
    </row>
    <row r="314" spans="1:19">
      <c r="A314" s="2256"/>
      <c r="B314" s="2205"/>
      <c r="C314" s="2205"/>
      <c r="D314" s="2205"/>
      <c r="E314" s="2205"/>
      <c r="F314" s="2205"/>
      <c r="G314" s="2205"/>
      <c r="H314" s="2205"/>
      <c r="I314" s="2205"/>
      <c r="J314" s="2205"/>
      <c r="K314" s="2205"/>
      <c r="L314" s="2205"/>
      <c r="M314" s="2268"/>
      <c r="N314" s="2268"/>
      <c r="O314" s="2268"/>
      <c r="P314" s="2205"/>
      <c r="Q314" s="2205"/>
      <c r="R314" s="2205"/>
      <c r="S314" s="2205"/>
    </row>
    <row r="315" spans="1:19">
      <c r="A315" s="2256"/>
      <c r="B315" s="2205"/>
      <c r="C315" s="2205"/>
      <c r="D315" s="2205"/>
      <c r="E315" s="2205"/>
      <c r="F315" s="2205"/>
      <c r="G315" s="2205"/>
      <c r="H315" s="2205"/>
      <c r="I315" s="2205"/>
      <c r="J315" s="2205"/>
      <c r="K315" s="2205"/>
      <c r="L315" s="2205"/>
      <c r="M315" s="2268"/>
      <c r="N315" s="2268"/>
      <c r="O315" s="2268"/>
      <c r="P315" s="2205"/>
      <c r="Q315" s="2205"/>
      <c r="R315" s="2205"/>
      <c r="S315" s="2205"/>
    </row>
    <row r="316" spans="1:19">
      <c r="A316" s="2256"/>
      <c r="B316" s="2205"/>
      <c r="C316" s="2205"/>
      <c r="D316" s="2205"/>
      <c r="E316" s="2205"/>
      <c r="F316" s="2205"/>
      <c r="G316" s="2205"/>
      <c r="H316" s="2205"/>
      <c r="I316" s="2205"/>
      <c r="J316" s="2205"/>
      <c r="K316" s="2205"/>
      <c r="L316" s="2205"/>
      <c r="M316" s="2268"/>
      <c r="N316" s="2268"/>
      <c r="O316" s="2268"/>
      <c r="P316" s="2205"/>
      <c r="Q316" s="2205"/>
      <c r="R316" s="2205"/>
      <c r="S316" s="2205"/>
    </row>
    <row r="317" spans="1:19">
      <c r="A317" s="2256"/>
      <c r="B317" s="2205"/>
      <c r="C317" s="2205"/>
      <c r="D317" s="2205"/>
      <c r="E317" s="2205"/>
      <c r="F317" s="2205"/>
      <c r="G317" s="2205"/>
      <c r="H317" s="2205"/>
      <c r="I317" s="2205"/>
      <c r="J317" s="2205"/>
      <c r="K317" s="2205"/>
      <c r="L317" s="2205"/>
      <c r="M317" s="2268"/>
      <c r="N317" s="2268"/>
      <c r="O317" s="2268"/>
      <c r="P317" s="2205"/>
      <c r="Q317" s="2205"/>
      <c r="R317" s="2205"/>
      <c r="S317" s="2205"/>
    </row>
    <row r="318" spans="1:19">
      <c r="A318" s="2256"/>
      <c r="B318" s="2205"/>
      <c r="C318" s="2205"/>
      <c r="D318" s="2205"/>
      <c r="E318" s="2205"/>
      <c r="F318" s="2205"/>
      <c r="G318" s="2205"/>
      <c r="H318" s="2205"/>
      <c r="I318" s="2205"/>
      <c r="J318" s="2205"/>
      <c r="K318" s="2205"/>
      <c r="L318" s="2205"/>
      <c r="M318" s="2268"/>
      <c r="N318" s="2268"/>
      <c r="O318" s="2268"/>
      <c r="P318" s="2205"/>
      <c r="Q318" s="2205"/>
      <c r="R318" s="2205"/>
      <c r="S318" s="2205"/>
    </row>
    <row r="319" spans="1:19">
      <c r="A319" s="2256"/>
      <c r="B319" s="2205"/>
      <c r="C319" s="2205"/>
      <c r="D319" s="2205"/>
      <c r="E319" s="2205"/>
      <c r="F319" s="2205"/>
      <c r="G319" s="2205"/>
      <c r="H319" s="2205"/>
      <c r="I319" s="2205"/>
      <c r="J319" s="2205"/>
      <c r="K319" s="2205"/>
      <c r="L319" s="2205"/>
      <c r="M319" s="2268"/>
      <c r="N319" s="2268"/>
      <c r="O319" s="2268"/>
      <c r="P319" s="2205"/>
      <c r="Q319" s="2205"/>
      <c r="R319" s="2205"/>
      <c r="S319" s="2205"/>
    </row>
    <row r="320" spans="1:19">
      <c r="A320" s="2256"/>
      <c r="B320" s="2205"/>
      <c r="C320" s="2205"/>
      <c r="D320" s="2205"/>
      <c r="E320" s="2205"/>
      <c r="F320" s="2205"/>
      <c r="G320" s="2205"/>
      <c r="H320" s="2205"/>
      <c r="I320" s="2205"/>
      <c r="J320" s="2205"/>
      <c r="K320" s="2205"/>
      <c r="L320" s="2205"/>
      <c r="M320" s="2268"/>
      <c r="N320" s="2268"/>
      <c r="O320" s="2268"/>
      <c r="P320" s="2205"/>
      <c r="Q320" s="2205"/>
      <c r="R320" s="2205"/>
      <c r="S320" s="2205"/>
    </row>
    <row r="321" spans="1:19">
      <c r="A321" s="2256"/>
      <c r="B321" s="2205"/>
      <c r="C321" s="2205"/>
      <c r="D321" s="2205"/>
      <c r="E321" s="2205"/>
      <c r="F321" s="2205"/>
      <c r="G321" s="2205"/>
      <c r="H321" s="2205"/>
      <c r="I321" s="2205"/>
      <c r="J321" s="2205"/>
      <c r="K321" s="2205"/>
      <c r="L321" s="2205"/>
      <c r="M321" s="2268"/>
      <c r="N321" s="2268"/>
      <c r="O321" s="2268"/>
      <c r="P321" s="2205"/>
      <c r="Q321" s="2205"/>
      <c r="R321" s="2205"/>
      <c r="S321" s="2205"/>
    </row>
    <row r="322" spans="1:19">
      <c r="A322" s="2256"/>
      <c r="B322" s="2205"/>
      <c r="C322" s="2205"/>
      <c r="D322" s="2205"/>
      <c r="E322" s="2205"/>
      <c r="F322" s="2205"/>
      <c r="G322" s="2205"/>
      <c r="H322" s="2205"/>
      <c r="I322" s="2205"/>
      <c r="J322" s="2205"/>
      <c r="K322" s="2205"/>
      <c r="L322" s="2205"/>
      <c r="M322" s="2268"/>
      <c r="N322" s="2268"/>
      <c r="O322" s="2268"/>
      <c r="P322" s="2205"/>
      <c r="Q322" s="2205"/>
      <c r="R322" s="2205"/>
      <c r="S322" s="2205"/>
    </row>
    <row r="323" spans="1:19">
      <c r="A323" s="2256"/>
      <c r="B323" s="2205"/>
      <c r="C323" s="2205"/>
      <c r="D323" s="2205"/>
      <c r="E323" s="2205"/>
      <c r="F323" s="2205"/>
      <c r="G323" s="2205"/>
      <c r="H323" s="2205"/>
      <c r="I323" s="2205"/>
      <c r="J323" s="2205"/>
      <c r="K323" s="2205"/>
      <c r="L323" s="2205"/>
      <c r="M323" s="2268"/>
      <c r="N323" s="2268"/>
      <c r="O323" s="2268"/>
      <c r="P323" s="2205"/>
      <c r="Q323" s="2205"/>
      <c r="R323" s="2205"/>
      <c r="S323" s="2205"/>
    </row>
    <row r="324" spans="1:19">
      <c r="A324" s="2256"/>
      <c r="B324" s="2205"/>
      <c r="C324" s="2205"/>
      <c r="D324" s="2205"/>
      <c r="E324" s="2205"/>
      <c r="F324" s="2205"/>
      <c r="G324" s="2205"/>
      <c r="H324" s="2205"/>
      <c r="I324" s="2205"/>
      <c r="J324" s="2205"/>
      <c r="K324" s="2205"/>
      <c r="L324" s="2205"/>
      <c r="M324" s="2268"/>
      <c r="N324" s="2268"/>
      <c r="O324" s="2268"/>
      <c r="P324" s="2205"/>
      <c r="Q324" s="2205"/>
      <c r="R324" s="2205"/>
      <c r="S324" s="2205"/>
    </row>
    <row r="325" spans="1:19">
      <c r="A325" s="2256"/>
      <c r="B325" s="2205"/>
      <c r="C325" s="2205"/>
      <c r="D325" s="2205"/>
      <c r="E325" s="2205"/>
      <c r="F325" s="2205"/>
      <c r="G325" s="2205"/>
      <c r="H325" s="2205"/>
      <c r="I325" s="2205"/>
      <c r="J325" s="2205"/>
      <c r="K325" s="2205"/>
      <c r="L325" s="2205"/>
      <c r="M325" s="2268"/>
      <c r="N325" s="2268"/>
      <c r="O325" s="2268"/>
      <c r="P325" s="2205"/>
      <c r="Q325" s="2205"/>
      <c r="R325" s="2205"/>
      <c r="S325" s="2205"/>
    </row>
    <row r="326" spans="1:19">
      <c r="A326" s="2256"/>
      <c r="B326" s="2205"/>
      <c r="C326" s="2205"/>
      <c r="D326" s="2205"/>
      <c r="E326" s="2205"/>
      <c r="F326" s="2205"/>
      <c r="G326" s="2205"/>
      <c r="H326" s="2205"/>
      <c r="I326" s="2205"/>
      <c r="J326" s="2205"/>
      <c r="K326" s="2205"/>
      <c r="L326" s="2205"/>
      <c r="M326" s="2268"/>
      <c r="N326" s="2268"/>
      <c r="O326" s="2268"/>
      <c r="P326" s="2205"/>
      <c r="Q326" s="2205"/>
      <c r="R326" s="2205"/>
      <c r="S326" s="2205"/>
    </row>
    <row r="327" spans="1:19">
      <c r="A327" s="2256"/>
      <c r="B327" s="2205"/>
      <c r="C327" s="2205"/>
      <c r="D327" s="2205"/>
      <c r="E327" s="2205"/>
      <c r="F327" s="2205"/>
      <c r="G327" s="2205"/>
      <c r="H327" s="2205"/>
      <c r="I327" s="2205"/>
      <c r="J327" s="2205"/>
      <c r="K327" s="2205"/>
      <c r="L327" s="2205"/>
      <c r="M327" s="2268"/>
      <c r="N327" s="2268"/>
      <c r="O327" s="2268"/>
      <c r="P327" s="2205"/>
      <c r="Q327" s="2205"/>
      <c r="R327" s="2205"/>
      <c r="S327" s="2205"/>
    </row>
    <row r="328" spans="1:19">
      <c r="A328" s="2256"/>
      <c r="B328" s="2205"/>
      <c r="C328" s="2205"/>
      <c r="D328" s="2205"/>
      <c r="E328" s="2205"/>
      <c r="F328" s="2205"/>
      <c r="G328" s="2205"/>
      <c r="H328" s="2205"/>
      <c r="I328" s="2205"/>
      <c r="J328" s="2205"/>
      <c r="K328" s="2205"/>
      <c r="L328" s="2205"/>
      <c r="M328" s="2268"/>
      <c r="N328" s="2268"/>
      <c r="O328" s="2268"/>
      <c r="P328" s="2205"/>
      <c r="Q328" s="2205"/>
      <c r="R328" s="2205"/>
      <c r="S328" s="2205"/>
    </row>
    <row r="329" spans="1:19">
      <c r="A329" s="2256"/>
      <c r="B329" s="2205"/>
      <c r="C329" s="2205"/>
      <c r="D329" s="2205"/>
      <c r="E329" s="2205"/>
      <c r="F329" s="2205"/>
      <c r="G329" s="2205"/>
      <c r="H329" s="2205"/>
      <c r="I329" s="2205"/>
      <c r="J329" s="2205"/>
      <c r="K329" s="2205"/>
      <c r="L329" s="2205"/>
      <c r="M329" s="2268"/>
      <c r="N329" s="2268"/>
      <c r="O329" s="2268"/>
      <c r="P329" s="2205"/>
      <c r="Q329" s="2205"/>
      <c r="R329" s="2205"/>
      <c r="S329" s="2205"/>
    </row>
    <row r="330" spans="1:19">
      <c r="A330" s="2256"/>
      <c r="B330" s="2205"/>
      <c r="C330" s="2205"/>
      <c r="D330" s="2205"/>
      <c r="E330" s="2205"/>
      <c r="F330" s="2205"/>
      <c r="G330" s="2205"/>
      <c r="H330" s="2205"/>
      <c r="I330" s="2205"/>
      <c r="J330" s="2205"/>
      <c r="K330" s="2205"/>
      <c r="L330" s="2205"/>
      <c r="M330" s="2268"/>
      <c r="N330" s="2268"/>
      <c r="O330" s="2268"/>
      <c r="P330" s="2205"/>
      <c r="Q330" s="2205"/>
      <c r="R330" s="2205"/>
      <c r="S330" s="2205"/>
    </row>
    <row r="331" spans="1:19">
      <c r="A331" s="2256"/>
      <c r="B331" s="2205"/>
      <c r="C331" s="2205"/>
      <c r="D331" s="2205"/>
      <c r="E331" s="2205"/>
      <c r="F331" s="2205"/>
      <c r="G331" s="2205"/>
      <c r="H331" s="2205"/>
      <c r="I331" s="2205"/>
      <c r="J331" s="2205"/>
      <c r="K331" s="2205"/>
      <c r="L331" s="2205"/>
      <c r="M331" s="2268"/>
      <c r="N331" s="2268"/>
      <c r="O331" s="2268"/>
      <c r="P331" s="2205"/>
      <c r="Q331" s="2205"/>
      <c r="R331" s="2205"/>
      <c r="S331" s="2205"/>
    </row>
    <row r="332" spans="1:19">
      <c r="A332" s="2256"/>
      <c r="B332" s="2205"/>
      <c r="C332" s="2205"/>
      <c r="D332" s="2205"/>
      <c r="E332" s="2205"/>
      <c r="F332" s="2205"/>
      <c r="G332" s="2205"/>
      <c r="H332" s="2205"/>
      <c r="I332" s="2205"/>
      <c r="J332" s="2205"/>
      <c r="K332" s="2205"/>
      <c r="L332" s="2205"/>
      <c r="M332" s="2268"/>
      <c r="N332" s="2268"/>
      <c r="O332" s="2268"/>
      <c r="P332" s="2205"/>
      <c r="Q332" s="2205"/>
      <c r="R332" s="2205"/>
      <c r="S332" s="2205"/>
    </row>
    <row r="333" spans="1:19">
      <c r="A333" s="2256"/>
      <c r="B333" s="2205"/>
      <c r="C333" s="2205"/>
      <c r="D333" s="2205"/>
      <c r="E333" s="2205"/>
      <c r="F333" s="2205"/>
      <c r="G333" s="2205"/>
      <c r="H333" s="2205"/>
      <c r="I333" s="2205"/>
      <c r="J333" s="2205"/>
      <c r="K333" s="2205"/>
      <c r="L333" s="2205"/>
      <c r="M333" s="2268"/>
      <c r="N333" s="2268"/>
      <c r="O333" s="2268"/>
      <c r="P333" s="2205"/>
      <c r="Q333" s="2205"/>
      <c r="R333" s="2205"/>
      <c r="S333" s="2205"/>
    </row>
    <row r="334" spans="1:19">
      <c r="A334" s="2256"/>
      <c r="B334" s="2205"/>
      <c r="C334" s="2205"/>
      <c r="D334" s="2205"/>
      <c r="E334" s="2205"/>
      <c r="F334" s="2205"/>
      <c r="G334" s="2205"/>
      <c r="H334" s="2205"/>
      <c r="I334" s="2205"/>
      <c r="J334" s="2205"/>
      <c r="K334" s="2205"/>
      <c r="L334" s="2205"/>
      <c r="M334" s="2268"/>
      <c r="N334" s="2268"/>
      <c r="O334" s="2268"/>
      <c r="P334" s="2205"/>
      <c r="Q334" s="2205"/>
      <c r="R334" s="2205"/>
      <c r="S334" s="2205"/>
    </row>
    <row r="335" spans="1:19">
      <c r="A335" s="2256"/>
      <c r="B335" s="2205"/>
      <c r="C335" s="2205"/>
      <c r="D335" s="2205"/>
      <c r="E335" s="2205"/>
      <c r="F335" s="2205"/>
      <c r="G335" s="2205"/>
      <c r="H335" s="2205"/>
      <c r="I335" s="2205"/>
      <c r="J335" s="2205"/>
      <c r="K335" s="2205"/>
      <c r="L335" s="2205"/>
      <c r="M335" s="2268"/>
      <c r="N335" s="2268"/>
      <c r="O335" s="2268"/>
      <c r="P335" s="2205"/>
      <c r="Q335" s="2205"/>
      <c r="R335" s="2205"/>
      <c r="S335" s="2205"/>
    </row>
    <row r="336" spans="1:19">
      <c r="A336" s="2256"/>
      <c r="B336" s="2205"/>
      <c r="C336" s="2205"/>
      <c r="D336" s="2205"/>
      <c r="E336" s="2205"/>
      <c r="F336" s="2205"/>
      <c r="G336" s="2205"/>
      <c r="H336" s="2205"/>
      <c r="I336" s="2205"/>
      <c r="J336" s="2205"/>
      <c r="K336" s="2205"/>
      <c r="L336" s="2205"/>
      <c r="M336" s="2268"/>
      <c r="N336" s="2268"/>
      <c r="O336" s="2268"/>
      <c r="P336" s="2205"/>
      <c r="Q336" s="2205"/>
      <c r="R336" s="2205"/>
      <c r="S336" s="2205"/>
    </row>
    <row r="337" spans="1:19">
      <c r="A337" s="2256"/>
      <c r="B337" s="2205"/>
      <c r="C337" s="2205"/>
      <c r="D337" s="2205"/>
      <c r="E337" s="2205"/>
      <c r="F337" s="2205"/>
      <c r="G337" s="2205"/>
      <c r="H337" s="2205"/>
      <c r="I337" s="2205"/>
      <c r="J337" s="2205"/>
      <c r="K337" s="2205"/>
      <c r="L337" s="2205"/>
      <c r="M337" s="2268"/>
      <c r="N337" s="2268"/>
      <c r="O337" s="2268"/>
      <c r="P337" s="2205"/>
      <c r="Q337" s="2205"/>
      <c r="R337" s="2205"/>
      <c r="S337" s="2205"/>
    </row>
    <row r="338" spans="1:19">
      <c r="A338" s="2256"/>
      <c r="B338" s="2205"/>
      <c r="C338" s="2205"/>
      <c r="D338" s="2205"/>
      <c r="E338" s="2205"/>
      <c r="F338" s="2205"/>
      <c r="G338" s="2205"/>
      <c r="H338" s="2205"/>
      <c r="I338" s="2205"/>
      <c r="J338" s="2205"/>
      <c r="K338" s="2205"/>
      <c r="L338" s="2205"/>
      <c r="M338" s="2268"/>
      <c r="N338" s="2268"/>
      <c r="O338" s="2268"/>
      <c r="P338" s="2205"/>
      <c r="Q338" s="2205"/>
      <c r="R338" s="2205"/>
      <c r="S338" s="2205"/>
    </row>
    <row r="339" spans="1:19">
      <c r="A339" s="2256"/>
      <c r="B339" s="2205"/>
      <c r="C339" s="2205"/>
      <c r="D339" s="2205"/>
      <c r="E339" s="2205"/>
      <c r="F339" s="2205"/>
      <c r="G339" s="2205"/>
      <c r="H339" s="2205"/>
      <c r="I339" s="2205"/>
      <c r="J339" s="2205"/>
      <c r="K339" s="2205"/>
      <c r="L339" s="2205"/>
      <c r="M339" s="2268"/>
      <c r="N339" s="2268"/>
      <c r="O339" s="2268"/>
      <c r="P339" s="2205"/>
      <c r="Q339" s="2205"/>
      <c r="R339" s="2205"/>
      <c r="S339" s="2205"/>
    </row>
    <row r="340" spans="1:19">
      <c r="A340" s="2256"/>
      <c r="B340" s="2205"/>
      <c r="C340" s="2205"/>
      <c r="D340" s="2205"/>
      <c r="E340" s="2205"/>
      <c r="F340" s="2205"/>
      <c r="G340" s="2205"/>
      <c r="H340" s="2205"/>
      <c r="I340" s="2205"/>
      <c r="J340" s="2205"/>
      <c r="K340" s="2205"/>
      <c r="L340" s="2205"/>
      <c r="M340" s="2268"/>
      <c r="N340" s="2268"/>
      <c r="O340" s="2268"/>
      <c r="P340" s="2205"/>
      <c r="Q340" s="2205"/>
      <c r="R340" s="2205"/>
      <c r="S340" s="2205"/>
    </row>
    <row r="341" spans="1:19">
      <c r="A341" s="2256"/>
      <c r="B341" s="2205"/>
      <c r="C341" s="2205"/>
      <c r="D341" s="2205"/>
      <c r="E341" s="2205"/>
      <c r="F341" s="2205"/>
      <c r="G341" s="2205"/>
      <c r="H341" s="2205"/>
      <c r="I341" s="2205"/>
      <c r="J341" s="2205"/>
      <c r="K341" s="2205"/>
      <c r="L341" s="2205"/>
      <c r="M341" s="2268"/>
      <c r="N341" s="2268"/>
      <c r="O341" s="2268"/>
      <c r="P341" s="2205"/>
      <c r="Q341" s="2205"/>
      <c r="R341" s="2205"/>
      <c r="S341" s="2205"/>
    </row>
    <row r="342" spans="1:19">
      <c r="A342" s="2256"/>
      <c r="B342" s="2205"/>
      <c r="C342" s="2205"/>
      <c r="D342" s="2205"/>
      <c r="E342" s="2205"/>
      <c r="F342" s="2205"/>
      <c r="G342" s="2205"/>
      <c r="H342" s="2205"/>
      <c r="I342" s="2205"/>
      <c r="J342" s="2205"/>
      <c r="K342" s="2205"/>
      <c r="L342" s="2205"/>
      <c r="M342" s="2268"/>
      <c r="N342" s="2268"/>
      <c r="O342" s="2268"/>
      <c r="P342" s="2205"/>
      <c r="Q342" s="2205"/>
      <c r="R342" s="2205"/>
      <c r="S342" s="2205"/>
    </row>
    <row r="343" spans="1:19">
      <c r="A343" s="2256"/>
      <c r="B343" s="2205"/>
      <c r="C343" s="2205"/>
      <c r="D343" s="2205"/>
      <c r="E343" s="2205"/>
      <c r="F343" s="2205"/>
      <c r="G343" s="2205"/>
      <c r="H343" s="2205"/>
      <c r="I343" s="2205"/>
      <c r="J343" s="2205"/>
      <c r="K343" s="2205"/>
      <c r="L343" s="2205"/>
      <c r="M343" s="2268"/>
      <c r="N343" s="2268"/>
      <c r="O343" s="2268"/>
      <c r="P343" s="2205"/>
      <c r="Q343" s="2205"/>
      <c r="R343" s="2205"/>
      <c r="S343" s="2205"/>
    </row>
    <row r="344" spans="1:19">
      <c r="A344" s="2256"/>
      <c r="B344" s="2205"/>
      <c r="C344" s="2205"/>
      <c r="D344" s="2205"/>
      <c r="E344" s="2205"/>
      <c r="F344" s="2205"/>
      <c r="G344" s="2205"/>
      <c r="H344" s="2205"/>
      <c r="I344" s="2205"/>
      <c r="J344" s="2205"/>
      <c r="K344" s="2205"/>
      <c r="L344" s="2205"/>
      <c r="M344" s="2268"/>
      <c r="N344" s="2268"/>
      <c r="O344" s="2268"/>
      <c r="P344" s="2205"/>
      <c r="Q344" s="2205"/>
      <c r="R344" s="2205"/>
      <c r="S344" s="2205"/>
    </row>
    <row r="345" spans="1:19">
      <c r="A345" s="2256"/>
      <c r="B345" s="2205"/>
      <c r="C345" s="2205"/>
      <c r="D345" s="2205"/>
      <c r="E345" s="2205"/>
      <c r="F345" s="2205"/>
      <c r="G345" s="2205"/>
      <c r="H345" s="2205"/>
      <c r="I345" s="2205"/>
      <c r="J345" s="2205"/>
      <c r="K345" s="2205"/>
      <c r="L345" s="2205"/>
      <c r="M345" s="2268"/>
      <c r="N345" s="2268"/>
      <c r="O345" s="2268"/>
      <c r="P345" s="2205"/>
      <c r="Q345" s="2205"/>
      <c r="R345" s="2205"/>
      <c r="S345" s="2205"/>
    </row>
    <row r="346" spans="1:19">
      <c r="A346" s="2256"/>
      <c r="B346" s="2205"/>
      <c r="C346" s="2205"/>
      <c r="D346" s="2205"/>
      <c r="E346" s="2205"/>
      <c r="F346" s="2205"/>
      <c r="G346" s="2205"/>
      <c r="H346" s="2205"/>
      <c r="I346" s="2205"/>
      <c r="J346" s="2205"/>
      <c r="K346" s="2205"/>
      <c r="L346" s="2205"/>
      <c r="M346" s="2268"/>
      <c r="N346" s="2268"/>
      <c r="O346" s="2268"/>
      <c r="P346" s="2205"/>
      <c r="Q346" s="2205"/>
      <c r="R346" s="2205"/>
      <c r="S346" s="2205"/>
    </row>
    <row r="347" spans="1:19">
      <c r="A347" s="2256"/>
      <c r="B347" s="2205"/>
      <c r="C347" s="2205"/>
      <c r="D347" s="2205"/>
      <c r="E347" s="2205"/>
      <c r="F347" s="2205"/>
      <c r="G347" s="2205"/>
      <c r="H347" s="2205"/>
      <c r="I347" s="2205"/>
      <c r="J347" s="2205"/>
      <c r="K347" s="2205"/>
      <c r="L347" s="2205"/>
      <c r="M347" s="2268"/>
      <c r="N347" s="2268"/>
      <c r="O347" s="2268"/>
      <c r="P347" s="2205"/>
      <c r="Q347" s="2205"/>
      <c r="R347" s="2205"/>
      <c r="S347" s="2205"/>
    </row>
    <row r="348" spans="1:19">
      <c r="A348" s="2256"/>
      <c r="B348" s="2205"/>
      <c r="C348" s="2205"/>
      <c r="D348" s="2205"/>
      <c r="E348" s="2205"/>
      <c r="F348" s="2205"/>
      <c r="G348" s="2205"/>
      <c r="H348" s="2205"/>
      <c r="I348" s="2205"/>
      <c r="J348" s="2205"/>
      <c r="K348" s="2205"/>
      <c r="L348" s="2205"/>
      <c r="M348" s="2268"/>
      <c r="N348" s="2268"/>
      <c r="O348" s="2268"/>
      <c r="P348" s="2205"/>
      <c r="Q348" s="2205"/>
      <c r="R348" s="2205"/>
      <c r="S348" s="2205"/>
    </row>
    <row r="349" spans="1:19">
      <c r="A349" s="2256"/>
      <c r="B349" s="2205"/>
      <c r="C349" s="2205"/>
      <c r="D349" s="2205"/>
      <c r="E349" s="2205"/>
      <c r="F349" s="2205"/>
      <c r="G349" s="2205"/>
      <c r="H349" s="2205"/>
      <c r="I349" s="2205"/>
      <c r="J349" s="2205"/>
      <c r="K349" s="2205"/>
      <c r="L349" s="2205"/>
      <c r="M349" s="2268"/>
      <c r="N349" s="2268"/>
      <c r="O349" s="2268"/>
      <c r="P349" s="2205"/>
      <c r="Q349" s="2205"/>
      <c r="R349" s="2205"/>
      <c r="S349" s="2205"/>
    </row>
    <row r="350" spans="1:19">
      <c r="A350" s="2256"/>
      <c r="B350" s="2205"/>
      <c r="C350" s="2205"/>
      <c r="D350" s="2205"/>
      <c r="E350" s="2205"/>
      <c r="F350" s="2205"/>
      <c r="G350" s="2205"/>
      <c r="H350" s="2205"/>
      <c r="I350" s="2205"/>
      <c r="J350" s="2205"/>
      <c r="K350" s="2205"/>
      <c r="L350" s="2205"/>
      <c r="M350" s="2268"/>
      <c r="N350" s="2268"/>
      <c r="O350" s="2268"/>
      <c r="P350" s="2205"/>
      <c r="Q350" s="2205"/>
      <c r="R350" s="2205"/>
      <c r="S350" s="2205"/>
    </row>
    <row r="351" spans="1:19">
      <c r="A351" s="2256"/>
      <c r="B351" s="2205"/>
      <c r="C351" s="2205"/>
      <c r="D351" s="2205"/>
      <c r="E351" s="2205"/>
      <c r="F351" s="2205"/>
      <c r="G351" s="2205"/>
      <c r="H351" s="2205"/>
      <c r="I351" s="2205"/>
      <c r="J351" s="2205"/>
      <c r="K351" s="2205"/>
      <c r="L351" s="2205"/>
      <c r="M351" s="2268"/>
      <c r="N351" s="2268"/>
      <c r="O351" s="2268"/>
      <c r="P351" s="2205"/>
      <c r="Q351" s="2205"/>
      <c r="R351" s="2205"/>
      <c r="S351" s="2205"/>
    </row>
    <row r="352" spans="1:19">
      <c r="A352" s="2256"/>
      <c r="B352" s="2205"/>
      <c r="C352" s="2205"/>
      <c r="D352" s="2205"/>
      <c r="E352" s="2205"/>
      <c r="F352" s="2205"/>
      <c r="G352" s="2205"/>
      <c r="H352" s="2205"/>
      <c r="I352" s="2205"/>
      <c r="J352" s="2205"/>
      <c r="K352" s="2205"/>
      <c r="L352" s="2205"/>
      <c r="M352" s="2268"/>
      <c r="N352" s="2268"/>
      <c r="O352" s="2268"/>
      <c r="P352" s="2205"/>
      <c r="Q352" s="2205"/>
      <c r="R352" s="2205"/>
      <c r="S352" s="2205"/>
    </row>
    <row r="353" spans="1:19">
      <c r="A353" s="2256"/>
      <c r="B353" s="2205"/>
      <c r="C353" s="2205"/>
      <c r="D353" s="2205"/>
      <c r="E353" s="2205"/>
      <c r="F353" s="2205"/>
      <c r="G353" s="2205"/>
      <c r="H353" s="2205"/>
      <c r="I353" s="2205"/>
      <c r="J353" s="2205"/>
      <c r="K353" s="2205"/>
      <c r="L353" s="2205"/>
      <c r="M353" s="2268"/>
      <c r="N353" s="2268"/>
      <c r="O353" s="2268"/>
      <c r="P353" s="2205"/>
      <c r="Q353" s="2205"/>
      <c r="R353" s="2205"/>
      <c r="S353" s="2205"/>
    </row>
    <row r="354" spans="1:19">
      <c r="A354" s="2256"/>
      <c r="B354" s="2205"/>
      <c r="C354" s="2205"/>
      <c r="D354" s="2205"/>
      <c r="E354" s="2205"/>
      <c r="F354" s="2205"/>
      <c r="G354" s="2205"/>
      <c r="H354" s="2205"/>
      <c r="I354" s="2205"/>
      <c r="J354" s="2205"/>
      <c r="K354" s="2205"/>
      <c r="L354" s="2205"/>
      <c r="M354" s="2268"/>
      <c r="N354" s="2268"/>
      <c r="O354" s="2268"/>
      <c r="P354" s="2205"/>
      <c r="Q354" s="2205"/>
      <c r="R354" s="2205"/>
      <c r="S354" s="2205"/>
    </row>
    <row r="355" spans="1:19">
      <c r="A355" s="2256"/>
      <c r="B355" s="2205"/>
      <c r="C355" s="2205"/>
      <c r="D355" s="2205"/>
      <c r="E355" s="2205"/>
      <c r="F355" s="2205"/>
      <c r="G355" s="2205"/>
      <c r="H355" s="2205"/>
      <c r="I355" s="2205"/>
      <c r="J355" s="2205"/>
      <c r="K355" s="2205"/>
      <c r="L355" s="2205"/>
      <c r="M355" s="2268"/>
      <c r="N355" s="2268"/>
      <c r="O355" s="2268"/>
      <c r="P355" s="2205"/>
      <c r="Q355" s="2205"/>
      <c r="R355" s="2205"/>
      <c r="S355" s="2205"/>
    </row>
    <row r="356" spans="1:19">
      <c r="A356" s="2256"/>
      <c r="B356" s="2205"/>
      <c r="C356" s="2205"/>
      <c r="D356" s="2205"/>
      <c r="E356" s="2205"/>
      <c r="F356" s="2205"/>
      <c r="G356" s="2205"/>
      <c r="H356" s="2205"/>
      <c r="I356" s="2205"/>
      <c r="J356" s="2205"/>
      <c r="K356" s="2205"/>
      <c r="L356" s="2205"/>
      <c r="M356" s="2268"/>
      <c r="N356" s="2268"/>
      <c r="O356" s="2268"/>
      <c r="P356" s="2205"/>
      <c r="Q356" s="2205"/>
      <c r="R356" s="2205"/>
      <c r="S356" s="2205"/>
    </row>
    <row r="357" spans="1:19">
      <c r="A357" s="2256"/>
      <c r="B357" s="2205"/>
      <c r="C357" s="2205"/>
      <c r="D357" s="2205"/>
      <c r="E357" s="2205"/>
      <c r="F357" s="2205"/>
      <c r="G357" s="2205"/>
      <c r="H357" s="2205"/>
      <c r="I357" s="2205"/>
      <c r="J357" s="2205"/>
      <c r="K357" s="2205"/>
      <c r="L357" s="2205"/>
      <c r="M357" s="2268"/>
      <c r="N357" s="2268"/>
      <c r="O357" s="2268"/>
      <c r="P357" s="2205"/>
      <c r="Q357" s="2205"/>
      <c r="R357" s="2205"/>
      <c r="S357" s="2205"/>
    </row>
    <row r="358" spans="1:19">
      <c r="A358" s="2256"/>
      <c r="B358" s="2205"/>
      <c r="C358" s="2205"/>
      <c r="D358" s="2205"/>
      <c r="E358" s="2205"/>
      <c r="F358" s="2205"/>
      <c r="G358" s="2205"/>
      <c r="H358" s="2205"/>
      <c r="I358" s="2205"/>
      <c r="J358" s="2205"/>
      <c r="K358" s="2205"/>
      <c r="L358" s="2205"/>
      <c r="M358" s="2268"/>
      <c r="N358" s="2268"/>
      <c r="O358" s="2268"/>
      <c r="P358" s="2205"/>
      <c r="Q358" s="2205"/>
      <c r="R358" s="2205"/>
      <c r="S358" s="2205"/>
    </row>
    <row r="359" spans="1:19">
      <c r="A359" s="2256"/>
      <c r="B359" s="2205"/>
      <c r="C359" s="2205"/>
      <c r="D359" s="2205"/>
      <c r="E359" s="2205"/>
      <c r="F359" s="2205"/>
      <c r="G359" s="2205"/>
      <c r="H359" s="2205"/>
      <c r="I359" s="2205"/>
      <c r="J359" s="2205"/>
      <c r="K359" s="2205"/>
      <c r="L359" s="2205"/>
      <c r="M359" s="2268"/>
      <c r="N359" s="2268"/>
      <c r="O359" s="2268"/>
      <c r="P359" s="2205"/>
      <c r="Q359" s="2205"/>
      <c r="R359" s="2205"/>
      <c r="S359" s="2205"/>
    </row>
    <row r="360" spans="1:19">
      <c r="A360" s="2256"/>
      <c r="B360" s="2205"/>
      <c r="C360" s="2205"/>
      <c r="D360" s="2205"/>
      <c r="E360" s="2205"/>
      <c r="F360" s="2205"/>
      <c r="G360" s="2205"/>
      <c r="H360" s="2205"/>
      <c r="I360" s="2205"/>
      <c r="J360" s="2205"/>
      <c r="K360" s="2205"/>
      <c r="L360" s="2205"/>
      <c r="M360" s="2268"/>
      <c r="N360" s="2268"/>
      <c r="O360" s="2268"/>
      <c r="P360" s="2205"/>
      <c r="Q360" s="2205"/>
      <c r="R360" s="2205"/>
      <c r="S360" s="2205"/>
    </row>
    <row r="361" spans="1:19">
      <c r="A361" s="2256"/>
      <c r="B361" s="2205"/>
      <c r="C361" s="2205"/>
      <c r="D361" s="2205"/>
      <c r="E361" s="2205"/>
      <c r="F361" s="2205"/>
      <c r="G361" s="2205"/>
      <c r="H361" s="2205"/>
      <c r="I361" s="2205"/>
      <c r="J361" s="2205"/>
      <c r="K361" s="2205"/>
      <c r="L361" s="2205"/>
      <c r="M361" s="2268"/>
      <c r="N361" s="2268"/>
      <c r="O361" s="2268"/>
      <c r="P361" s="2205"/>
      <c r="Q361" s="2205"/>
      <c r="R361" s="2205"/>
      <c r="S361" s="2205"/>
    </row>
    <row r="362" spans="1:19">
      <c r="A362" s="2256"/>
      <c r="B362" s="2205"/>
      <c r="C362" s="2205"/>
      <c r="D362" s="2205"/>
      <c r="E362" s="2205"/>
      <c r="F362" s="2205"/>
      <c r="G362" s="2205"/>
      <c r="H362" s="2205"/>
      <c r="I362" s="2205"/>
      <c r="J362" s="2205"/>
      <c r="K362" s="2205"/>
      <c r="L362" s="2205"/>
      <c r="M362" s="2268"/>
      <c r="N362" s="2268"/>
      <c r="O362" s="2268"/>
      <c r="P362" s="2205"/>
      <c r="Q362" s="2205"/>
      <c r="R362" s="2205"/>
      <c r="S362" s="2205"/>
    </row>
    <row r="363" spans="1:19">
      <c r="A363" s="2256"/>
      <c r="B363" s="2205"/>
      <c r="C363" s="2205"/>
      <c r="D363" s="2205"/>
      <c r="E363" s="2205"/>
      <c r="F363" s="2205"/>
      <c r="G363" s="2205"/>
      <c r="H363" s="2205"/>
      <c r="I363" s="2205"/>
      <c r="J363" s="2205"/>
      <c r="K363" s="2205"/>
      <c r="L363" s="2205"/>
      <c r="M363" s="2268"/>
      <c r="N363" s="2268"/>
      <c r="O363" s="2268"/>
      <c r="P363" s="2205"/>
      <c r="Q363" s="2205"/>
      <c r="R363" s="2205"/>
      <c r="S363" s="2205"/>
    </row>
    <row r="364" spans="1:19">
      <c r="A364" s="2256"/>
      <c r="B364" s="2205"/>
      <c r="C364" s="2205"/>
      <c r="D364" s="2205"/>
      <c r="E364" s="2205"/>
      <c r="F364" s="2205"/>
      <c r="G364" s="2205"/>
      <c r="H364" s="2205"/>
      <c r="I364" s="2205"/>
      <c r="J364" s="2205"/>
      <c r="K364" s="2205"/>
      <c r="L364" s="2205"/>
      <c r="M364" s="2268"/>
      <c r="N364" s="2268"/>
      <c r="O364" s="2268"/>
      <c r="P364" s="2205"/>
      <c r="Q364" s="2205"/>
      <c r="R364" s="2205"/>
      <c r="S364" s="2205"/>
    </row>
    <row r="365" spans="1:19">
      <c r="A365" s="2256"/>
      <c r="B365" s="2205"/>
      <c r="C365" s="2205"/>
      <c r="D365" s="2205"/>
      <c r="E365" s="2205"/>
      <c r="F365" s="2205"/>
      <c r="G365" s="2205"/>
      <c r="H365" s="2205"/>
      <c r="I365" s="2205"/>
      <c r="J365" s="2205"/>
      <c r="K365" s="2205"/>
      <c r="L365" s="2205"/>
      <c r="M365" s="2268"/>
      <c r="N365" s="2268"/>
      <c r="O365" s="2268"/>
      <c r="P365" s="2205"/>
      <c r="Q365" s="2205"/>
      <c r="R365" s="2205"/>
      <c r="S365" s="2205"/>
    </row>
    <row r="366" spans="1:19">
      <c r="A366" s="2256"/>
      <c r="B366" s="2205"/>
      <c r="C366" s="2205"/>
      <c r="D366" s="2205"/>
      <c r="E366" s="2205"/>
      <c r="F366" s="2205"/>
      <c r="G366" s="2205"/>
      <c r="H366" s="2205"/>
      <c r="I366" s="2205"/>
      <c r="J366" s="2205"/>
      <c r="K366" s="2205"/>
      <c r="L366" s="2205"/>
      <c r="M366" s="2268"/>
      <c r="N366" s="2268"/>
      <c r="O366" s="2268"/>
      <c r="P366" s="2205"/>
      <c r="Q366" s="2205"/>
      <c r="R366" s="2205"/>
      <c r="S366" s="2205"/>
    </row>
    <row r="367" spans="1:19">
      <c r="A367" s="2256"/>
      <c r="B367" s="2205"/>
      <c r="C367" s="2205"/>
      <c r="D367" s="2205"/>
      <c r="E367" s="2205"/>
      <c r="F367" s="2205"/>
      <c r="G367" s="2205"/>
      <c r="H367" s="2205"/>
      <c r="I367" s="2205"/>
      <c r="J367" s="2205"/>
      <c r="K367" s="2205"/>
      <c r="L367" s="2205"/>
      <c r="M367" s="2268"/>
      <c r="N367" s="2268"/>
      <c r="O367" s="2268"/>
      <c r="P367" s="2205"/>
      <c r="Q367" s="2205"/>
      <c r="R367" s="2205"/>
      <c r="S367" s="2205"/>
    </row>
    <row r="368" spans="1:19">
      <c r="A368" s="2256"/>
      <c r="B368" s="2205"/>
      <c r="C368" s="2205"/>
      <c r="D368" s="2205"/>
      <c r="E368" s="2205"/>
      <c r="F368" s="2205"/>
      <c r="G368" s="2205"/>
      <c r="H368" s="2205"/>
      <c r="I368" s="2205"/>
      <c r="J368" s="2205"/>
      <c r="K368" s="2205"/>
      <c r="L368" s="2205"/>
      <c r="M368" s="2268"/>
      <c r="N368" s="2268"/>
      <c r="O368" s="2268"/>
      <c r="P368" s="2205"/>
      <c r="Q368" s="2205"/>
      <c r="R368" s="2205"/>
      <c r="S368" s="2205"/>
    </row>
    <row r="369" spans="1:19">
      <c r="A369" s="2256"/>
      <c r="B369" s="2205"/>
      <c r="C369" s="2205"/>
      <c r="D369" s="2205"/>
      <c r="E369" s="2205"/>
      <c r="F369" s="2205"/>
      <c r="G369" s="2205"/>
      <c r="H369" s="2205"/>
      <c r="I369" s="2205"/>
      <c r="J369" s="2205"/>
      <c r="K369" s="2205"/>
      <c r="L369" s="2205"/>
      <c r="M369" s="2268"/>
      <c r="N369" s="2268"/>
      <c r="O369" s="2268"/>
      <c r="P369" s="2205"/>
      <c r="Q369" s="2205"/>
      <c r="R369" s="2205"/>
      <c r="S369" s="2205"/>
    </row>
    <row r="370" spans="1:19">
      <c r="A370" s="2256"/>
      <c r="B370" s="2205"/>
      <c r="C370" s="2205"/>
      <c r="D370" s="2205"/>
      <c r="E370" s="2205"/>
      <c r="F370" s="2205"/>
      <c r="G370" s="2205"/>
      <c r="H370" s="2205"/>
      <c r="I370" s="2205"/>
      <c r="J370" s="2205"/>
      <c r="K370" s="2205"/>
      <c r="L370" s="2205"/>
      <c r="M370" s="2268"/>
      <c r="N370" s="2268"/>
      <c r="O370" s="2268"/>
      <c r="P370" s="2205"/>
      <c r="Q370" s="2205"/>
      <c r="R370" s="2205"/>
      <c r="S370" s="2205"/>
    </row>
    <row r="371" spans="1:19">
      <c r="A371" s="2256"/>
      <c r="B371" s="2205"/>
      <c r="C371" s="2205"/>
      <c r="D371" s="2205"/>
      <c r="E371" s="2205"/>
      <c r="F371" s="2205"/>
      <c r="G371" s="2205"/>
      <c r="H371" s="2205"/>
      <c r="I371" s="2205"/>
      <c r="J371" s="2205"/>
      <c r="K371" s="2205"/>
      <c r="L371" s="2205"/>
      <c r="M371" s="2268"/>
      <c r="N371" s="2268"/>
      <c r="O371" s="2268"/>
      <c r="P371" s="2205"/>
      <c r="Q371" s="2205"/>
      <c r="R371" s="2205"/>
      <c r="S371" s="2205"/>
    </row>
    <row r="372" spans="1:19">
      <c r="A372" s="2256"/>
      <c r="B372" s="2205"/>
      <c r="C372" s="2205"/>
      <c r="D372" s="2205"/>
      <c r="E372" s="2205"/>
      <c r="F372" s="2205"/>
      <c r="G372" s="2205"/>
      <c r="H372" s="2205"/>
      <c r="I372" s="2205"/>
      <c r="J372" s="2205"/>
      <c r="K372" s="2205"/>
      <c r="L372" s="2205"/>
      <c r="M372" s="2268"/>
      <c r="N372" s="2268"/>
      <c r="O372" s="2268"/>
      <c r="P372" s="2205"/>
      <c r="Q372" s="2205"/>
      <c r="R372" s="2205"/>
      <c r="S372" s="2205"/>
    </row>
    <row r="373" spans="1:19">
      <c r="A373" s="2256"/>
      <c r="B373" s="2205"/>
      <c r="C373" s="2205"/>
      <c r="D373" s="2205"/>
      <c r="E373" s="2205"/>
      <c r="F373" s="2205"/>
      <c r="G373" s="2205"/>
      <c r="H373" s="2205"/>
      <c r="I373" s="2205"/>
      <c r="J373" s="2205"/>
      <c r="K373" s="2205"/>
      <c r="L373" s="2205"/>
      <c r="M373" s="2268"/>
      <c r="N373" s="2268"/>
      <c r="O373" s="2268"/>
      <c r="P373" s="2205"/>
      <c r="Q373" s="2205"/>
      <c r="R373" s="2205"/>
      <c r="S373" s="2205"/>
    </row>
    <row r="374" spans="1:19">
      <c r="A374" s="2256"/>
      <c r="B374" s="2205"/>
      <c r="C374" s="2205"/>
      <c r="D374" s="2205"/>
      <c r="E374" s="2205"/>
      <c r="F374" s="2205"/>
      <c r="G374" s="2205"/>
      <c r="H374" s="2205"/>
      <c r="I374" s="2205"/>
      <c r="J374" s="2205"/>
      <c r="K374" s="2205"/>
      <c r="L374" s="2205"/>
      <c r="M374" s="2268"/>
      <c r="N374" s="2268"/>
      <c r="O374" s="2268"/>
      <c r="P374" s="2205"/>
      <c r="Q374" s="2205"/>
      <c r="R374" s="2205"/>
      <c r="S374" s="2205"/>
    </row>
    <row r="375" spans="1:19">
      <c r="A375" s="2256"/>
      <c r="B375" s="2205"/>
      <c r="C375" s="2205"/>
      <c r="D375" s="2205"/>
      <c r="E375" s="2205"/>
      <c r="F375" s="2205"/>
      <c r="G375" s="2205"/>
      <c r="H375" s="2205"/>
      <c r="I375" s="2205"/>
      <c r="J375" s="2205"/>
      <c r="K375" s="2205"/>
      <c r="L375" s="2205"/>
      <c r="M375" s="2268"/>
      <c r="N375" s="2268"/>
      <c r="O375" s="2268"/>
      <c r="P375" s="2205"/>
      <c r="Q375" s="2205"/>
      <c r="R375" s="2205"/>
      <c r="S375" s="2205"/>
    </row>
    <row r="376" spans="1:19">
      <c r="A376" s="2256"/>
      <c r="B376" s="2205"/>
      <c r="C376" s="2205"/>
      <c r="D376" s="2205"/>
      <c r="E376" s="2205"/>
      <c r="F376" s="2205"/>
      <c r="G376" s="2205"/>
      <c r="H376" s="2205"/>
      <c r="I376" s="2205"/>
      <c r="J376" s="2205"/>
      <c r="K376" s="2205"/>
      <c r="L376" s="2205"/>
      <c r="M376" s="2268"/>
      <c r="N376" s="2268"/>
      <c r="O376" s="2268"/>
      <c r="P376" s="2205"/>
      <c r="Q376" s="2205"/>
      <c r="R376" s="2205"/>
      <c r="S376" s="2205"/>
    </row>
    <row r="377" spans="1:19">
      <c r="A377" s="2256"/>
      <c r="B377" s="2205"/>
      <c r="C377" s="2205"/>
      <c r="D377" s="2205"/>
      <c r="E377" s="2205"/>
      <c r="F377" s="2205"/>
      <c r="G377" s="2205"/>
      <c r="H377" s="2205"/>
      <c r="I377" s="2205"/>
      <c r="J377" s="2205"/>
      <c r="K377" s="2205"/>
      <c r="L377" s="2205"/>
      <c r="M377" s="2268"/>
      <c r="N377" s="2268"/>
      <c r="O377" s="2268"/>
      <c r="P377" s="2205"/>
      <c r="Q377" s="2205"/>
      <c r="R377" s="2205"/>
      <c r="S377" s="2205"/>
    </row>
    <row r="378" spans="1:19">
      <c r="A378" s="2256"/>
      <c r="B378" s="2205"/>
      <c r="C378" s="2205"/>
      <c r="D378" s="2205"/>
      <c r="E378" s="2205"/>
      <c r="F378" s="2205"/>
      <c r="G378" s="2205"/>
      <c r="H378" s="2205"/>
      <c r="I378" s="2205"/>
      <c r="J378" s="2205"/>
      <c r="K378" s="2205"/>
      <c r="L378" s="2205"/>
      <c r="M378" s="2268"/>
      <c r="N378" s="2268"/>
      <c r="O378" s="2268"/>
      <c r="P378" s="2205"/>
      <c r="Q378" s="2205"/>
      <c r="R378" s="2205"/>
      <c r="S378" s="2205"/>
    </row>
    <row r="379" spans="1:19">
      <c r="A379" s="2256"/>
      <c r="B379" s="2205"/>
      <c r="C379" s="2205"/>
      <c r="D379" s="2205"/>
      <c r="E379" s="2205"/>
      <c r="F379" s="2205"/>
      <c r="G379" s="2205"/>
      <c r="H379" s="2205"/>
      <c r="I379" s="2205"/>
      <c r="J379" s="2205"/>
      <c r="K379" s="2205"/>
      <c r="L379" s="2205"/>
      <c r="M379" s="2268"/>
      <c r="N379" s="2268"/>
      <c r="O379" s="2268"/>
      <c r="P379" s="2205"/>
      <c r="Q379" s="2205"/>
      <c r="R379" s="2205"/>
      <c r="S379" s="2205"/>
    </row>
    <row r="380" spans="1:19">
      <c r="A380" s="2256"/>
      <c r="B380" s="2205"/>
      <c r="C380" s="2205"/>
      <c r="D380" s="2205"/>
      <c r="E380" s="2205"/>
      <c r="F380" s="2205"/>
      <c r="G380" s="2205"/>
      <c r="H380" s="2205"/>
      <c r="I380" s="2205"/>
      <c r="J380" s="2205"/>
      <c r="K380" s="2205"/>
      <c r="L380" s="2205"/>
      <c r="M380" s="2268"/>
      <c r="N380" s="2268"/>
      <c r="O380" s="2268"/>
      <c r="P380" s="2205"/>
      <c r="Q380" s="2205"/>
      <c r="R380" s="2205"/>
      <c r="S380" s="2205"/>
    </row>
    <row r="381" spans="1:19">
      <c r="A381" s="2256"/>
      <c r="B381" s="2205"/>
      <c r="C381" s="2205"/>
      <c r="D381" s="2205"/>
      <c r="E381" s="2205"/>
      <c r="F381" s="2205"/>
      <c r="G381" s="2205"/>
      <c r="H381" s="2205"/>
      <c r="I381" s="2205"/>
      <c r="J381" s="2205"/>
      <c r="K381" s="2205"/>
      <c r="L381" s="2205"/>
      <c r="M381" s="2268"/>
      <c r="N381" s="2268"/>
      <c r="O381" s="2268"/>
      <c r="P381" s="2205"/>
      <c r="Q381" s="2205"/>
      <c r="R381" s="2205"/>
      <c r="S381" s="2205"/>
    </row>
    <row r="382" spans="1:19">
      <c r="A382" s="2256"/>
      <c r="B382" s="2205"/>
      <c r="C382" s="2205"/>
      <c r="D382" s="2205"/>
      <c r="E382" s="2205"/>
      <c r="F382" s="2205"/>
      <c r="G382" s="2205"/>
      <c r="H382" s="2205"/>
      <c r="I382" s="2205"/>
      <c r="J382" s="2205"/>
      <c r="K382" s="2205"/>
      <c r="L382" s="2205"/>
      <c r="M382" s="2268"/>
      <c r="N382" s="2268"/>
      <c r="O382" s="2268"/>
      <c r="P382" s="2205"/>
      <c r="Q382" s="2205"/>
      <c r="R382" s="2205"/>
      <c r="S382" s="2205"/>
    </row>
    <row r="383" spans="1:19">
      <c r="A383" s="2256"/>
      <c r="B383" s="2205"/>
      <c r="C383" s="2205"/>
      <c r="D383" s="2205"/>
      <c r="E383" s="2205"/>
      <c r="F383" s="2205"/>
      <c r="G383" s="2205"/>
      <c r="H383" s="2205"/>
      <c r="I383" s="2205"/>
      <c r="J383" s="2205"/>
      <c r="K383" s="2205"/>
      <c r="L383" s="2205"/>
      <c r="M383" s="2268"/>
      <c r="N383" s="2268"/>
      <c r="O383" s="2268"/>
      <c r="P383" s="2205"/>
      <c r="Q383" s="2205"/>
      <c r="R383" s="2205"/>
      <c r="S383" s="2205"/>
    </row>
    <row r="384" spans="1:19">
      <c r="A384" s="2256"/>
      <c r="B384" s="2205"/>
      <c r="C384" s="2205"/>
      <c r="D384" s="2205"/>
      <c r="E384" s="2205"/>
      <c r="F384" s="2205"/>
      <c r="G384" s="2205"/>
      <c r="H384" s="2205"/>
      <c r="I384" s="2205"/>
      <c r="J384" s="2205"/>
      <c r="K384" s="2205"/>
      <c r="L384" s="2205"/>
      <c r="M384" s="2268"/>
      <c r="N384" s="2268"/>
      <c r="O384" s="2268"/>
      <c r="P384" s="2205"/>
      <c r="Q384" s="2205"/>
      <c r="R384" s="2205"/>
      <c r="S384" s="2205"/>
    </row>
    <row r="385" spans="1:19">
      <c r="A385" s="2256"/>
      <c r="B385" s="2205"/>
      <c r="C385" s="2205"/>
      <c r="D385" s="2205"/>
      <c r="E385" s="2205"/>
      <c r="F385" s="2205"/>
      <c r="G385" s="2205"/>
      <c r="H385" s="2205"/>
      <c r="I385" s="2205"/>
      <c r="J385" s="2205"/>
      <c r="K385" s="2205"/>
      <c r="L385" s="2205"/>
      <c r="M385" s="2268"/>
      <c r="N385" s="2268"/>
      <c r="O385" s="2268"/>
      <c r="P385" s="2205"/>
      <c r="Q385" s="2205"/>
      <c r="R385" s="2205"/>
      <c r="S385" s="2205"/>
    </row>
    <row r="386" spans="1:19">
      <c r="A386" s="2256"/>
      <c r="B386" s="2205"/>
      <c r="C386" s="2205"/>
      <c r="D386" s="2205"/>
      <c r="E386" s="2205"/>
      <c r="F386" s="2205"/>
      <c r="G386" s="2205"/>
      <c r="H386" s="2205"/>
      <c r="I386" s="2205"/>
      <c r="J386" s="2205"/>
      <c r="K386" s="2205"/>
      <c r="L386" s="2205"/>
      <c r="M386" s="2268"/>
      <c r="N386" s="2268"/>
      <c r="O386" s="2268"/>
      <c r="P386" s="2205"/>
      <c r="Q386" s="2205"/>
      <c r="R386" s="2205"/>
      <c r="S386" s="2205"/>
    </row>
    <row r="387" spans="1:19">
      <c r="A387" s="2256"/>
      <c r="B387" s="2205"/>
      <c r="C387" s="2205"/>
      <c r="D387" s="2205"/>
      <c r="E387" s="2205"/>
      <c r="F387" s="2205"/>
      <c r="G387" s="2205"/>
      <c r="H387" s="2205"/>
      <c r="I387" s="2205"/>
      <c r="J387" s="2205"/>
      <c r="K387" s="2205"/>
      <c r="L387" s="2205"/>
      <c r="M387" s="2268"/>
      <c r="N387" s="2268"/>
      <c r="O387" s="2268"/>
      <c r="P387" s="2205"/>
      <c r="Q387" s="2205"/>
      <c r="R387" s="2205"/>
      <c r="S387" s="2205"/>
    </row>
    <row r="388" spans="1:19">
      <c r="A388" s="2256"/>
      <c r="B388" s="2205"/>
      <c r="C388" s="2205"/>
      <c r="D388" s="2205"/>
      <c r="E388" s="2205"/>
      <c r="F388" s="2205"/>
      <c r="G388" s="2205"/>
      <c r="H388" s="2205"/>
      <c r="I388" s="2205"/>
      <c r="J388" s="2205"/>
      <c r="K388" s="2205"/>
      <c r="L388" s="2205"/>
      <c r="M388" s="2268"/>
      <c r="N388" s="2268"/>
      <c r="O388" s="2268"/>
      <c r="P388" s="2205"/>
      <c r="Q388" s="2205"/>
      <c r="R388" s="2205"/>
      <c r="S388" s="2205"/>
    </row>
    <row r="389" spans="1:19">
      <c r="A389" s="2256"/>
      <c r="B389" s="2205"/>
      <c r="C389" s="2205"/>
      <c r="D389" s="2205"/>
      <c r="E389" s="2205"/>
      <c r="F389" s="2205"/>
      <c r="G389" s="2205"/>
      <c r="H389" s="2205"/>
      <c r="I389" s="2205"/>
      <c r="J389" s="2205"/>
      <c r="K389" s="2205"/>
      <c r="L389" s="2205"/>
      <c r="M389" s="2268"/>
      <c r="N389" s="2268"/>
      <c r="O389" s="2268"/>
      <c r="P389" s="2205"/>
      <c r="Q389" s="2205"/>
      <c r="R389" s="2205"/>
      <c r="S389" s="2205"/>
    </row>
    <row r="390" spans="1:19">
      <c r="A390" s="2256"/>
      <c r="B390" s="2205"/>
      <c r="C390" s="2205"/>
      <c r="D390" s="2205"/>
      <c r="E390" s="2205"/>
      <c r="F390" s="2205"/>
      <c r="G390" s="2205"/>
      <c r="H390" s="2205"/>
      <c r="I390" s="2205"/>
      <c r="J390" s="2205"/>
      <c r="K390" s="2205"/>
      <c r="L390" s="2205"/>
      <c r="M390" s="2268"/>
      <c r="N390" s="2268"/>
      <c r="O390" s="2268"/>
      <c r="P390" s="2205"/>
      <c r="Q390" s="2205"/>
      <c r="R390" s="2205"/>
      <c r="S390" s="2205"/>
    </row>
    <row r="391" spans="1:19">
      <c r="A391" s="2256"/>
      <c r="B391" s="2205"/>
      <c r="C391" s="2205"/>
      <c r="D391" s="2205"/>
      <c r="E391" s="2205"/>
      <c r="F391" s="2205"/>
      <c r="G391" s="2205"/>
      <c r="H391" s="2205"/>
      <c r="I391" s="2205"/>
      <c r="J391" s="2205"/>
      <c r="K391" s="2205"/>
      <c r="L391" s="2205"/>
      <c r="M391" s="2268"/>
      <c r="N391" s="2268"/>
      <c r="O391" s="2268"/>
      <c r="P391" s="2205"/>
      <c r="Q391" s="2205"/>
      <c r="R391" s="2205"/>
      <c r="S391" s="2205"/>
    </row>
    <row r="392" spans="1:19">
      <c r="A392" s="2256"/>
      <c r="B392" s="2205"/>
      <c r="C392" s="2205"/>
      <c r="D392" s="2205"/>
      <c r="E392" s="2205"/>
      <c r="F392" s="2205"/>
      <c r="G392" s="2205"/>
      <c r="H392" s="2205"/>
      <c r="I392" s="2205"/>
      <c r="J392" s="2205"/>
      <c r="K392" s="2205"/>
      <c r="L392" s="2205"/>
      <c r="M392" s="2268"/>
      <c r="N392" s="2268"/>
      <c r="O392" s="2268"/>
      <c r="P392" s="2205"/>
      <c r="Q392" s="2205"/>
      <c r="R392" s="2205"/>
      <c r="S392" s="2205"/>
    </row>
    <row r="393" spans="1:19">
      <c r="A393" s="2256"/>
      <c r="B393" s="2205"/>
      <c r="C393" s="2205"/>
      <c r="D393" s="2205"/>
      <c r="E393" s="2205"/>
      <c r="F393" s="2205"/>
      <c r="G393" s="2205"/>
      <c r="H393" s="2205"/>
      <c r="I393" s="2205"/>
      <c r="J393" s="2205"/>
      <c r="K393" s="2205"/>
      <c r="L393" s="2205"/>
      <c r="M393" s="2268"/>
      <c r="N393" s="2268"/>
      <c r="O393" s="2268"/>
      <c r="P393" s="2205"/>
      <c r="Q393" s="2205"/>
      <c r="R393" s="2205"/>
      <c r="S393" s="2205"/>
    </row>
    <row r="394" spans="1:19">
      <c r="A394" s="2256"/>
      <c r="B394" s="2205"/>
      <c r="C394" s="2205"/>
      <c r="D394" s="2205"/>
      <c r="E394" s="2205"/>
      <c r="F394" s="2205"/>
      <c r="G394" s="2205"/>
      <c r="H394" s="2205"/>
      <c r="I394" s="2205"/>
      <c r="J394" s="2205"/>
      <c r="K394" s="2205"/>
      <c r="L394" s="2205"/>
      <c r="M394" s="2268"/>
      <c r="N394" s="2268"/>
      <c r="O394" s="2268"/>
      <c r="P394" s="2205"/>
      <c r="Q394" s="2205"/>
      <c r="R394" s="2205"/>
      <c r="S394" s="2205"/>
    </row>
    <row r="395" spans="1:19">
      <c r="A395" s="2256"/>
      <c r="B395" s="2205"/>
      <c r="C395" s="2205"/>
      <c r="D395" s="2205"/>
      <c r="E395" s="2205"/>
      <c r="F395" s="2205"/>
      <c r="G395" s="2205"/>
      <c r="H395" s="2205"/>
      <c r="I395" s="2205"/>
      <c r="J395" s="2205"/>
      <c r="K395" s="2205"/>
      <c r="L395" s="2205"/>
      <c r="M395" s="2268"/>
      <c r="N395" s="2268"/>
      <c r="O395" s="2268"/>
      <c r="P395" s="2205"/>
      <c r="Q395" s="2205"/>
      <c r="R395" s="2205"/>
      <c r="S395" s="2205"/>
    </row>
    <row r="396" spans="1:19">
      <c r="A396" s="2256"/>
      <c r="B396" s="2205"/>
      <c r="C396" s="2205"/>
      <c r="D396" s="2205"/>
      <c r="E396" s="2205"/>
      <c r="F396" s="2205"/>
      <c r="G396" s="2205"/>
      <c r="H396" s="2205"/>
      <c r="I396" s="2205"/>
      <c r="J396" s="2205"/>
      <c r="K396" s="2205"/>
      <c r="L396" s="2205"/>
      <c r="M396" s="2268"/>
      <c r="N396" s="2268"/>
      <c r="O396" s="2268"/>
      <c r="P396" s="2205"/>
      <c r="Q396" s="2205"/>
      <c r="R396" s="2205"/>
      <c r="S396" s="2205"/>
    </row>
    <row r="397" spans="1:19">
      <c r="A397" s="2256"/>
      <c r="B397" s="2205"/>
      <c r="C397" s="2205"/>
      <c r="D397" s="2205"/>
      <c r="E397" s="2205"/>
      <c r="F397" s="2205"/>
      <c r="G397" s="2205"/>
      <c r="H397" s="2205"/>
      <c r="I397" s="2205"/>
      <c r="J397" s="2205"/>
      <c r="K397" s="2205"/>
      <c r="L397" s="2205"/>
      <c r="M397" s="2268"/>
      <c r="N397" s="2268"/>
      <c r="O397" s="2268"/>
      <c r="P397" s="2205"/>
      <c r="Q397" s="2205"/>
      <c r="R397" s="2205"/>
      <c r="S397" s="2205"/>
    </row>
    <row r="398" spans="1:19">
      <c r="A398" s="2256"/>
      <c r="B398" s="2205"/>
      <c r="C398" s="2205"/>
      <c r="D398" s="2205"/>
      <c r="E398" s="2205"/>
      <c r="F398" s="2205"/>
      <c r="G398" s="2205"/>
      <c r="H398" s="2205"/>
      <c r="I398" s="2205"/>
      <c r="J398" s="2205"/>
      <c r="K398" s="2205"/>
      <c r="L398" s="2205"/>
      <c r="M398" s="2268"/>
      <c r="N398" s="2268"/>
      <c r="O398" s="2268"/>
      <c r="P398" s="2205"/>
      <c r="Q398" s="2205"/>
      <c r="R398" s="2205"/>
      <c r="S398" s="2205"/>
    </row>
    <row r="399" spans="1:19">
      <c r="A399" s="2256"/>
      <c r="B399" s="2205"/>
      <c r="C399" s="2205"/>
      <c r="D399" s="2205"/>
      <c r="E399" s="2205"/>
      <c r="F399" s="2205"/>
      <c r="G399" s="2205"/>
      <c r="H399" s="2205"/>
      <c r="I399" s="2205"/>
      <c r="J399" s="2205"/>
      <c r="K399" s="2205"/>
      <c r="L399" s="2205"/>
      <c r="M399" s="2268"/>
      <c r="N399" s="2268"/>
      <c r="O399" s="2268"/>
      <c r="P399" s="2205"/>
      <c r="Q399" s="2205"/>
      <c r="R399" s="2205"/>
      <c r="S399" s="2205"/>
    </row>
    <row r="400" spans="1:19">
      <c r="A400" s="2256"/>
      <c r="B400" s="2205"/>
      <c r="C400" s="2205"/>
      <c r="D400" s="2205"/>
      <c r="E400" s="2205"/>
      <c r="F400" s="2205"/>
      <c r="G400" s="2205"/>
      <c r="H400" s="2205"/>
      <c r="I400" s="2205"/>
      <c r="J400" s="2205"/>
      <c r="K400" s="2205"/>
      <c r="L400" s="2205"/>
      <c r="M400" s="2268"/>
      <c r="N400" s="2268"/>
      <c r="O400" s="2268"/>
      <c r="P400" s="2205"/>
      <c r="Q400" s="2205"/>
      <c r="R400" s="2205"/>
      <c r="S400" s="2205"/>
    </row>
    <row r="401" spans="1:19">
      <c r="A401" s="2256"/>
      <c r="B401" s="2205"/>
      <c r="C401" s="2205"/>
      <c r="D401" s="2205"/>
      <c r="E401" s="2205"/>
      <c r="F401" s="2205"/>
      <c r="G401" s="2205"/>
      <c r="H401" s="2205"/>
      <c r="I401" s="2205"/>
      <c r="J401" s="2205"/>
      <c r="K401" s="2205"/>
      <c r="L401" s="2205"/>
      <c r="M401" s="2268"/>
      <c r="N401" s="2268"/>
      <c r="O401" s="2268"/>
      <c r="P401" s="2205"/>
      <c r="Q401" s="2205"/>
      <c r="R401" s="2205"/>
      <c r="S401" s="2205"/>
    </row>
    <row r="402" spans="1:19">
      <c r="A402" s="2256"/>
      <c r="B402" s="2205"/>
      <c r="C402" s="2205"/>
      <c r="D402" s="2205"/>
      <c r="E402" s="2205"/>
      <c r="F402" s="2205"/>
      <c r="G402" s="2205"/>
      <c r="H402" s="2205"/>
      <c r="I402" s="2205"/>
      <c r="J402" s="2205"/>
      <c r="K402" s="2205"/>
      <c r="L402" s="2205"/>
      <c r="M402" s="2268"/>
      <c r="N402" s="2268"/>
      <c r="O402" s="2268"/>
      <c r="P402" s="2205"/>
      <c r="Q402" s="2205"/>
      <c r="R402" s="2205"/>
      <c r="S402" s="2205"/>
    </row>
    <row r="403" spans="1:19">
      <c r="A403" s="2256"/>
      <c r="B403" s="2205"/>
      <c r="C403" s="2205"/>
      <c r="D403" s="2205"/>
      <c r="E403" s="2205"/>
      <c r="F403" s="2205"/>
      <c r="G403" s="2205"/>
      <c r="H403" s="2205"/>
      <c r="I403" s="2205"/>
      <c r="J403" s="2205"/>
      <c r="K403" s="2205"/>
      <c r="L403" s="2205"/>
      <c r="M403" s="2268"/>
      <c r="N403" s="2268"/>
      <c r="O403" s="2268"/>
      <c r="P403" s="2205"/>
      <c r="Q403" s="2205"/>
      <c r="R403" s="2205"/>
      <c r="S403" s="2205"/>
    </row>
    <row r="404" spans="1:19">
      <c r="A404" s="2256"/>
      <c r="B404" s="2205"/>
      <c r="C404" s="2205"/>
      <c r="D404" s="2205"/>
      <c r="E404" s="2205"/>
      <c r="F404" s="2205"/>
      <c r="G404" s="2205"/>
      <c r="H404" s="2205"/>
      <c r="I404" s="2205"/>
      <c r="J404" s="2205"/>
      <c r="K404" s="2205"/>
      <c r="L404" s="2205"/>
      <c r="M404" s="2268"/>
      <c r="N404" s="2268"/>
      <c r="O404" s="2268"/>
      <c r="P404" s="2205"/>
      <c r="Q404" s="2205"/>
      <c r="R404" s="2205"/>
      <c r="S404" s="2205"/>
    </row>
    <row r="405" spans="1:19">
      <c r="A405" s="2256"/>
      <c r="B405" s="2205"/>
      <c r="C405" s="2205"/>
      <c r="D405" s="2205"/>
      <c r="E405" s="2205"/>
      <c r="F405" s="2205"/>
      <c r="G405" s="2205"/>
      <c r="H405" s="2205"/>
      <c r="I405" s="2205"/>
      <c r="J405" s="2205"/>
      <c r="K405" s="2205"/>
      <c r="L405" s="2205"/>
      <c r="M405" s="2268"/>
      <c r="N405" s="2268"/>
      <c r="O405" s="2268"/>
      <c r="P405" s="2205"/>
      <c r="Q405" s="2205"/>
      <c r="R405" s="2205"/>
      <c r="S405" s="2205"/>
    </row>
    <row r="406" spans="1:19">
      <c r="A406" s="2256"/>
      <c r="B406" s="2205"/>
      <c r="C406" s="2205"/>
      <c r="D406" s="2205"/>
      <c r="E406" s="2205"/>
      <c r="F406" s="2205"/>
      <c r="G406" s="2205"/>
      <c r="H406" s="2205"/>
      <c r="I406" s="2205"/>
      <c r="J406" s="2205"/>
      <c r="K406" s="2205"/>
      <c r="L406" s="2205"/>
      <c r="M406" s="2268"/>
      <c r="N406" s="2268"/>
      <c r="O406" s="2268"/>
      <c r="P406" s="2205"/>
      <c r="Q406" s="2205"/>
      <c r="R406" s="2205"/>
      <c r="S406" s="2205"/>
    </row>
    <row r="407" spans="1:19">
      <c r="A407" s="2256"/>
      <c r="B407" s="2205"/>
      <c r="C407" s="2205"/>
      <c r="D407" s="2205"/>
      <c r="E407" s="2205"/>
      <c r="F407" s="2205"/>
      <c r="G407" s="2205"/>
      <c r="H407" s="2205"/>
      <c r="I407" s="2205"/>
      <c r="J407" s="2205"/>
      <c r="K407" s="2205"/>
      <c r="L407" s="2205"/>
      <c r="M407" s="2268"/>
      <c r="N407" s="2268"/>
      <c r="O407" s="2268"/>
      <c r="P407" s="2205"/>
      <c r="Q407" s="2205"/>
      <c r="R407" s="2205"/>
      <c r="S407" s="2205"/>
    </row>
    <row r="408" spans="1:19">
      <c r="A408" s="2256"/>
      <c r="B408" s="2205"/>
      <c r="C408" s="2205"/>
      <c r="D408" s="2205"/>
      <c r="E408" s="2205"/>
      <c r="F408" s="2205"/>
      <c r="G408" s="2205"/>
      <c r="H408" s="2205"/>
      <c r="I408" s="2205"/>
      <c r="J408" s="2205"/>
      <c r="K408" s="2205"/>
      <c r="L408" s="2205"/>
      <c r="M408" s="2268"/>
      <c r="N408" s="2268"/>
      <c r="O408" s="2268"/>
      <c r="P408" s="2205"/>
      <c r="Q408" s="2205"/>
      <c r="R408" s="2205"/>
      <c r="S408" s="2205"/>
    </row>
    <row r="409" spans="1:19">
      <c r="A409" s="2256"/>
      <c r="B409" s="2205"/>
      <c r="C409" s="2205"/>
      <c r="D409" s="2205"/>
      <c r="E409" s="2205"/>
      <c r="F409" s="2205"/>
      <c r="G409" s="2205"/>
      <c r="H409" s="2205"/>
      <c r="I409" s="2205"/>
      <c r="J409" s="2205"/>
      <c r="K409" s="2205"/>
      <c r="L409" s="2205"/>
      <c r="M409" s="2268"/>
      <c r="N409" s="2268"/>
      <c r="O409" s="2268"/>
      <c r="P409" s="2205"/>
      <c r="Q409" s="2205"/>
      <c r="R409" s="2205"/>
      <c r="S409" s="2205"/>
    </row>
    <row r="410" spans="1:19">
      <c r="A410" s="2256"/>
      <c r="B410" s="2205"/>
      <c r="C410" s="2205"/>
      <c r="D410" s="2205"/>
      <c r="E410" s="2205"/>
      <c r="F410" s="2205"/>
      <c r="G410" s="2205"/>
      <c r="H410" s="2205"/>
      <c r="I410" s="2205"/>
      <c r="J410" s="2205"/>
      <c r="K410" s="2205"/>
      <c r="L410" s="2205"/>
      <c r="M410" s="2268"/>
      <c r="N410" s="2268"/>
      <c r="O410" s="2268"/>
      <c r="P410" s="2205"/>
      <c r="Q410" s="2205"/>
      <c r="R410" s="2205"/>
      <c r="S410" s="2205"/>
    </row>
    <row r="411" spans="1:19">
      <c r="A411" s="2256"/>
      <c r="B411" s="2205"/>
      <c r="C411" s="2205"/>
      <c r="D411" s="2205"/>
      <c r="E411" s="2205"/>
      <c r="F411" s="2205"/>
      <c r="G411" s="2205"/>
      <c r="H411" s="2205"/>
      <c r="I411" s="2205"/>
      <c r="J411" s="2205"/>
      <c r="K411" s="2205"/>
      <c r="L411" s="2205"/>
      <c r="M411" s="2268"/>
      <c r="N411" s="2268"/>
      <c r="O411" s="2268"/>
      <c r="P411" s="2205"/>
      <c r="Q411" s="2205"/>
      <c r="R411" s="2205"/>
      <c r="S411" s="2205"/>
    </row>
    <row r="412" spans="1:19">
      <c r="A412" s="2256"/>
      <c r="B412" s="2205"/>
      <c r="C412" s="2205"/>
      <c r="D412" s="2205"/>
      <c r="E412" s="2205"/>
      <c r="F412" s="2205"/>
      <c r="G412" s="2205"/>
      <c r="H412" s="2205"/>
      <c r="I412" s="2205"/>
      <c r="J412" s="2205"/>
      <c r="K412" s="2205"/>
      <c r="L412" s="2205"/>
      <c r="M412" s="2268"/>
      <c r="N412" s="2268"/>
      <c r="O412" s="2268"/>
      <c r="P412" s="2205"/>
      <c r="Q412" s="2205"/>
      <c r="R412" s="2205"/>
      <c r="S412" s="2205"/>
    </row>
    <row r="413" spans="1:19">
      <c r="A413" s="2256"/>
      <c r="B413" s="2205"/>
      <c r="C413" s="2205"/>
      <c r="D413" s="2205"/>
      <c r="E413" s="2205"/>
      <c r="F413" s="2205"/>
      <c r="G413" s="2205"/>
      <c r="H413" s="2205"/>
      <c r="I413" s="2205"/>
      <c r="J413" s="2205"/>
      <c r="K413" s="2205"/>
      <c r="L413" s="2205"/>
      <c r="M413" s="2268"/>
      <c r="N413" s="2268"/>
      <c r="O413" s="2268"/>
      <c r="P413" s="2205"/>
      <c r="Q413" s="2205"/>
      <c r="R413" s="2205"/>
      <c r="S413" s="2205"/>
    </row>
    <row r="414" spans="1:19">
      <c r="A414" s="2256"/>
      <c r="B414" s="2205"/>
      <c r="C414" s="2205"/>
      <c r="D414" s="2205"/>
      <c r="E414" s="2205"/>
      <c r="F414" s="2205"/>
      <c r="G414" s="2205"/>
      <c r="H414" s="2205"/>
      <c r="I414" s="2205"/>
      <c r="J414" s="2205"/>
      <c r="K414" s="2205"/>
      <c r="L414" s="2205"/>
      <c r="M414" s="2268"/>
      <c r="N414" s="2268"/>
      <c r="O414" s="2268"/>
      <c r="P414" s="2205"/>
      <c r="Q414" s="2205"/>
      <c r="R414" s="2205"/>
      <c r="S414" s="2205"/>
    </row>
    <row r="415" spans="1:19">
      <c r="A415" s="2256"/>
      <c r="B415" s="2205"/>
      <c r="C415" s="2205"/>
      <c r="D415" s="2205"/>
      <c r="E415" s="2205"/>
      <c r="F415" s="2205"/>
      <c r="G415" s="2205"/>
      <c r="H415" s="2205"/>
      <c r="I415" s="2205"/>
      <c r="J415" s="2205"/>
      <c r="K415" s="2205"/>
      <c r="L415" s="2205"/>
      <c r="M415" s="2268"/>
      <c r="N415" s="2268"/>
      <c r="O415" s="2268"/>
      <c r="P415" s="2205"/>
      <c r="Q415" s="2205"/>
      <c r="R415" s="2205"/>
      <c r="S415" s="2205"/>
    </row>
    <row r="416" spans="1:19">
      <c r="A416" s="2256"/>
      <c r="B416" s="2205"/>
      <c r="C416" s="2205"/>
      <c r="D416" s="2205"/>
      <c r="E416" s="2205"/>
      <c r="F416" s="2205"/>
      <c r="G416" s="2205"/>
      <c r="H416" s="2205"/>
      <c r="I416" s="2205"/>
      <c r="J416" s="2205"/>
      <c r="K416" s="2205"/>
      <c r="L416" s="2205"/>
      <c r="M416" s="2268"/>
      <c r="N416" s="2268"/>
      <c r="O416" s="2268"/>
      <c r="P416" s="2205"/>
      <c r="Q416" s="2205"/>
      <c r="R416" s="2205"/>
      <c r="S416" s="2205"/>
    </row>
    <row r="417" spans="1:19">
      <c r="A417" s="2256"/>
      <c r="B417" s="2205"/>
      <c r="C417" s="2205"/>
      <c r="D417" s="2205"/>
      <c r="E417" s="2205"/>
      <c r="F417" s="2205"/>
      <c r="G417" s="2205"/>
      <c r="H417" s="2205"/>
      <c r="I417" s="2205"/>
      <c r="J417" s="2205"/>
      <c r="K417" s="2205"/>
      <c r="L417" s="2205"/>
      <c r="M417" s="2268"/>
      <c r="N417" s="2268"/>
      <c r="O417" s="2268"/>
      <c r="P417" s="2205"/>
      <c r="Q417" s="2205"/>
      <c r="R417" s="2205"/>
      <c r="S417" s="2205"/>
    </row>
    <row r="418" spans="1:19">
      <c r="A418" s="2256"/>
      <c r="B418" s="2205"/>
      <c r="C418" s="2205"/>
      <c r="D418" s="2205"/>
      <c r="E418" s="2205"/>
      <c r="F418" s="2205"/>
      <c r="G418" s="2205"/>
      <c r="H418" s="2205"/>
      <c r="I418" s="2205"/>
      <c r="J418" s="2205"/>
      <c r="K418" s="2205"/>
      <c r="L418" s="2205"/>
      <c r="M418" s="2268"/>
      <c r="N418" s="2268"/>
      <c r="O418" s="2268"/>
      <c r="P418" s="2205"/>
      <c r="Q418" s="2205"/>
      <c r="R418" s="2205"/>
      <c r="S418" s="2205"/>
    </row>
    <row r="419" spans="1:19">
      <c r="A419" s="2256"/>
      <c r="B419" s="2205"/>
      <c r="C419" s="2205"/>
      <c r="D419" s="2205"/>
      <c r="E419" s="2205"/>
      <c r="F419" s="2205"/>
      <c r="G419" s="2205"/>
      <c r="H419" s="2205"/>
      <c r="I419" s="2205"/>
      <c r="J419" s="2205"/>
      <c r="K419" s="2205"/>
      <c r="L419" s="2205"/>
      <c r="M419" s="2268"/>
      <c r="N419" s="2268"/>
      <c r="O419" s="2268"/>
      <c r="P419" s="2205"/>
      <c r="Q419" s="2205"/>
      <c r="R419" s="2205"/>
      <c r="S419" s="2205"/>
    </row>
    <row r="420" spans="1:19">
      <c r="A420" s="2256"/>
      <c r="B420" s="2205"/>
      <c r="C420" s="2205"/>
      <c r="D420" s="2205"/>
      <c r="E420" s="2205"/>
      <c r="F420" s="2205"/>
      <c r="G420" s="2205"/>
      <c r="H420" s="2205"/>
      <c r="I420" s="2205"/>
      <c r="J420" s="2205"/>
      <c r="K420" s="2205"/>
      <c r="L420" s="2205"/>
      <c r="M420" s="2268"/>
      <c r="N420" s="2268"/>
      <c r="O420" s="2268"/>
      <c r="P420" s="2205"/>
      <c r="Q420" s="2205"/>
      <c r="R420" s="2205"/>
      <c r="S420" s="2205"/>
    </row>
    <row r="421" spans="1:19">
      <c r="A421" s="2256"/>
      <c r="B421" s="2205"/>
      <c r="C421" s="2205"/>
      <c r="D421" s="2205"/>
      <c r="E421" s="2205"/>
      <c r="F421" s="2205"/>
      <c r="G421" s="2205"/>
      <c r="H421" s="2205"/>
      <c r="I421" s="2205"/>
      <c r="J421" s="2205"/>
      <c r="K421" s="2205"/>
      <c r="L421" s="2205"/>
      <c r="M421" s="2268"/>
      <c r="N421" s="2268"/>
      <c r="O421" s="2268"/>
      <c r="P421" s="2205"/>
      <c r="Q421" s="2205"/>
      <c r="R421" s="2205"/>
      <c r="S421" s="2205"/>
    </row>
    <row r="422" spans="1:19">
      <c r="A422" s="2256"/>
      <c r="B422" s="2205"/>
      <c r="C422" s="2205"/>
      <c r="D422" s="2205"/>
      <c r="E422" s="2205"/>
      <c r="F422" s="2205"/>
      <c r="G422" s="2205"/>
      <c r="H422" s="2205"/>
      <c r="I422" s="2205"/>
      <c r="J422" s="2205"/>
      <c r="K422" s="2205"/>
      <c r="L422" s="2205"/>
      <c r="M422" s="2268"/>
      <c r="N422" s="2268"/>
      <c r="O422" s="2268"/>
      <c r="P422" s="2205"/>
      <c r="Q422" s="2205"/>
      <c r="R422" s="2205"/>
      <c r="S422" s="2205"/>
    </row>
    <row r="423" spans="1:19">
      <c r="A423" s="2256"/>
      <c r="B423" s="2205"/>
      <c r="C423" s="2205"/>
      <c r="D423" s="2205"/>
      <c r="E423" s="2205"/>
      <c r="F423" s="2205"/>
      <c r="G423" s="2205"/>
      <c r="H423" s="2205"/>
      <c r="I423" s="2205"/>
      <c r="J423" s="2205"/>
      <c r="K423" s="2205"/>
      <c r="L423" s="2205"/>
      <c r="M423" s="2268"/>
      <c r="N423" s="2268"/>
      <c r="O423" s="2268"/>
      <c r="P423" s="2205"/>
      <c r="Q423" s="2205"/>
      <c r="R423" s="2205"/>
      <c r="S423" s="2205"/>
    </row>
    <row r="424" spans="1:19">
      <c r="A424" s="2256"/>
      <c r="B424" s="2205"/>
      <c r="C424" s="2205"/>
      <c r="D424" s="2205"/>
      <c r="E424" s="2205"/>
      <c r="F424" s="2205"/>
      <c r="G424" s="2205"/>
      <c r="H424" s="2205"/>
      <c r="I424" s="2205"/>
      <c r="J424" s="2205"/>
      <c r="K424" s="2205"/>
      <c r="L424" s="2205"/>
      <c r="M424" s="2268"/>
      <c r="N424" s="2268"/>
      <c r="O424" s="2268"/>
      <c r="P424" s="2205"/>
      <c r="Q424" s="2205"/>
      <c r="R424" s="2205"/>
      <c r="S424" s="2205"/>
    </row>
    <row r="425" spans="1:19">
      <c r="A425" s="2256"/>
      <c r="B425" s="2205"/>
      <c r="C425" s="2205"/>
      <c r="D425" s="2205"/>
      <c r="E425" s="2205"/>
      <c r="F425" s="2205"/>
      <c r="G425" s="2205"/>
      <c r="H425" s="2205"/>
      <c r="I425" s="2205"/>
      <c r="J425" s="2205"/>
      <c r="K425" s="2205"/>
      <c r="L425" s="2205"/>
      <c r="M425" s="2268"/>
      <c r="N425" s="2268"/>
      <c r="O425" s="2268"/>
      <c r="P425" s="2205"/>
      <c r="Q425" s="2205"/>
      <c r="R425" s="2205"/>
      <c r="S425" s="2205"/>
    </row>
    <row r="426" spans="1:19">
      <c r="A426" s="2256"/>
      <c r="B426" s="2205"/>
      <c r="C426" s="2205"/>
      <c r="D426" s="2205"/>
      <c r="E426" s="2205"/>
      <c r="F426" s="2205"/>
      <c r="G426" s="2205"/>
      <c r="H426" s="2205"/>
      <c r="I426" s="2205"/>
      <c r="J426" s="2205"/>
      <c r="K426" s="2205"/>
      <c r="L426" s="2205"/>
      <c r="M426" s="2268"/>
      <c r="N426" s="2268"/>
      <c r="O426" s="2268"/>
      <c r="P426" s="2205"/>
      <c r="Q426" s="2205"/>
      <c r="R426" s="2205"/>
      <c r="S426" s="2205"/>
    </row>
    <row r="427" spans="1:19">
      <c r="A427" s="2256"/>
      <c r="B427" s="2205"/>
      <c r="C427" s="2205"/>
      <c r="D427" s="2205"/>
      <c r="E427" s="2205"/>
      <c r="F427" s="2205"/>
      <c r="G427" s="2205"/>
      <c r="H427" s="2205"/>
      <c r="I427" s="2205"/>
      <c r="J427" s="2205"/>
      <c r="K427" s="2205"/>
      <c r="L427" s="2205"/>
      <c r="M427" s="2268"/>
      <c r="N427" s="2268"/>
      <c r="O427" s="2268"/>
      <c r="P427" s="2205"/>
      <c r="Q427" s="2205"/>
      <c r="R427" s="2205"/>
      <c r="S427" s="2205"/>
    </row>
    <row r="428" spans="1:19">
      <c r="A428" s="2256"/>
      <c r="B428" s="2205"/>
      <c r="C428" s="2205"/>
      <c r="D428" s="2205"/>
      <c r="E428" s="2205"/>
      <c r="F428" s="2205"/>
      <c r="G428" s="2205"/>
      <c r="H428" s="2205"/>
      <c r="I428" s="2205"/>
      <c r="J428" s="2205"/>
      <c r="K428" s="2205"/>
      <c r="L428" s="2205"/>
      <c r="M428" s="2268"/>
      <c r="N428" s="2268"/>
      <c r="O428" s="2268"/>
      <c r="P428" s="2205"/>
      <c r="Q428" s="2205"/>
      <c r="R428" s="2205"/>
      <c r="S428" s="2205"/>
    </row>
    <row r="429" spans="1:19">
      <c r="A429" s="2256"/>
      <c r="B429" s="2205"/>
      <c r="C429" s="2205"/>
      <c r="D429" s="2205"/>
      <c r="E429" s="2205"/>
      <c r="F429" s="2205"/>
      <c r="G429" s="2205"/>
      <c r="H429" s="2205"/>
      <c r="I429" s="2205"/>
      <c r="J429" s="2205"/>
      <c r="K429" s="2205"/>
      <c r="L429" s="2205"/>
      <c r="M429" s="2268"/>
      <c r="N429" s="2268"/>
      <c r="O429" s="2268"/>
      <c r="P429" s="2205"/>
      <c r="Q429" s="2205"/>
      <c r="R429" s="2205"/>
      <c r="S429" s="2205"/>
    </row>
    <row r="430" spans="1:19">
      <c r="A430" s="2256"/>
      <c r="B430" s="2205"/>
      <c r="C430" s="2205"/>
      <c r="D430" s="2205"/>
      <c r="E430" s="2205"/>
      <c r="F430" s="2205"/>
      <c r="G430" s="2205"/>
      <c r="H430" s="2205"/>
      <c r="I430" s="2205"/>
      <c r="J430" s="2205"/>
      <c r="K430" s="2205"/>
      <c r="L430" s="2205"/>
      <c r="M430" s="2268"/>
      <c r="N430" s="2268"/>
      <c r="O430" s="2268"/>
      <c r="P430" s="2205"/>
      <c r="Q430" s="2205"/>
      <c r="R430" s="2205"/>
      <c r="S430" s="2205"/>
    </row>
    <row r="431" spans="1:19">
      <c r="A431" s="2256"/>
      <c r="B431" s="2205"/>
      <c r="C431" s="2205"/>
      <c r="D431" s="2205"/>
      <c r="E431" s="2205"/>
      <c r="F431" s="2205"/>
      <c r="G431" s="2205"/>
      <c r="H431" s="2205"/>
      <c r="I431" s="2205"/>
      <c r="J431" s="2205"/>
      <c r="K431" s="2205"/>
      <c r="L431" s="2205"/>
      <c r="M431" s="2268"/>
      <c r="N431" s="2268"/>
      <c r="O431" s="2268"/>
      <c r="P431" s="2205"/>
      <c r="Q431" s="2205"/>
      <c r="R431" s="2205"/>
      <c r="S431" s="2205"/>
    </row>
    <row r="432" spans="1:19">
      <c r="A432" s="2256"/>
      <c r="B432" s="2205"/>
      <c r="C432" s="2205"/>
      <c r="D432" s="2205"/>
      <c r="E432" s="2205"/>
      <c r="F432" s="2205"/>
      <c r="G432" s="2205"/>
      <c r="H432" s="2205"/>
      <c r="I432" s="2205"/>
      <c r="J432" s="2205"/>
      <c r="K432" s="2205"/>
      <c r="L432" s="2205"/>
      <c r="M432" s="2268"/>
      <c r="N432" s="2268"/>
      <c r="O432" s="2268"/>
      <c r="P432" s="2205"/>
      <c r="Q432" s="2205"/>
      <c r="R432" s="2205"/>
      <c r="S432" s="2205"/>
    </row>
    <row r="433" spans="1:19">
      <c r="A433" s="2256"/>
      <c r="B433" s="2205"/>
      <c r="C433" s="2205"/>
      <c r="D433" s="2205"/>
      <c r="E433" s="2205"/>
      <c r="F433" s="2205"/>
      <c r="G433" s="2205"/>
      <c r="H433" s="2205"/>
      <c r="I433" s="2205"/>
      <c r="J433" s="2205"/>
      <c r="K433" s="2205"/>
      <c r="L433" s="2205"/>
      <c r="M433" s="2268"/>
      <c r="N433" s="2268"/>
      <c r="O433" s="2268"/>
      <c r="P433" s="2205"/>
      <c r="Q433" s="2205"/>
      <c r="R433" s="2205"/>
      <c r="S433" s="2205"/>
    </row>
    <row r="434" spans="1:19">
      <c r="A434" s="2256"/>
      <c r="B434" s="2205"/>
      <c r="C434" s="2205"/>
      <c r="D434" s="2205"/>
      <c r="E434" s="2205"/>
      <c r="F434" s="2205"/>
      <c r="G434" s="2205"/>
      <c r="H434" s="2205"/>
      <c r="I434" s="2205"/>
      <c r="J434" s="2205"/>
      <c r="K434" s="2205"/>
      <c r="L434" s="2205"/>
      <c r="M434" s="2268"/>
      <c r="N434" s="2268"/>
      <c r="O434" s="2268"/>
      <c r="P434" s="2205"/>
      <c r="Q434" s="2205"/>
      <c r="R434" s="2205"/>
      <c r="S434" s="2205"/>
    </row>
    <row r="435" spans="1:19">
      <c r="A435" s="2256"/>
      <c r="B435" s="2205"/>
      <c r="C435" s="2205"/>
      <c r="D435" s="2205"/>
      <c r="E435" s="2205"/>
      <c r="F435" s="2205"/>
      <c r="G435" s="2205"/>
      <c r="H435" s="2205"/>
      <c r="I435" s="2205"/>
      <c r="J435" s="2205"/>
      <c r="K435" s="2205"/>
      <c r="L435" s="2205"/>
      <c r="M435" s="2268"/>
      <c r="N435" s="2268"/>
      <c r="O435" s="2268"/>
      <c r="P435" s="2205"/>
      <c r="Q435" s="2205"/>
      <c r="R435" s="2205"/>
      <c r="S435" s="2205"/>
    </row>
    <row r="436" spans="1:19">
      <c r="A436" s="2256"/>
      <c r="B436" s="2205"/>
      <c r="C436" s="2205"/>
      <c r="D436" s="2205"/>
      <c r="E436" s="2205"/>
      <c r="F436" s="2205"/>
      <c r="G436" s="2205"/>
      <c r="H436" s="2205"/>
      <c r="I436" s="2205"/>
      <c r="J436" s="2205"/>
      <c r="K436" s="2205"/>
      <c r="L436" s="2205"/>
      <c r="M436" s="2268"/>
      <c r="N436" s="2268"/>
      <c r="O436" s="2268"/>
      <c r="P436" s="2205"/>
      <c r="Q436" s="2205"/>
      <c r="R436" s="2205"/>
      <c r="S436" s="2205"/>
    </row>
    <row r="437" spans="1:19">
      <c r="A437" s="2256"/>
      <c r="B437" s="2205"/>
      <c r="C437" s="2205"/>
      <c r="D437" s="2205"/>
      <c r="E437" s="2205"/>
      <c r="F437" s="2205"/>
      <c r="G437" s="2205"/>
      <c r="H437" s="2205"/>
      <c r="I437" s="2205"/>
      <c r="J437" s="2205"/>
      <c r="K437" s="2205"/>
      <c r="L437" s="2205"/>
      <c r="M437" s="2268"/>
      <c r="N437" s="2268"/>
      <c r="O437" s="2268"/>
      <c r="P437" s="2205"/>
      <c r="Q437" s="2205"/>
      <c r="R437" s="2205"/>
      <c r="S437" s="2205"/>
    </row>
    <row r="438" spans="1:19">
      <c r="A438" s="2256"/>
      <c r="B438" s="2205"/>
      <c r="C438" s="2205"/>
      <c r="D438" s="2205"/>
      <c r="E438" s="2205"/>
      <c r="F438" s="2205"/>
      <c r="G438" s="2205"/>
      <c r="H438" s="2205"/>
      <c r="I438" s="2205"/>
      <c r="J438" s="2205"/>
      <c r="K438" s="2205"/>
      <c r="L438" s="2205"/>
      <c r="M438" s="2268"/>
      <c r="N438" s="2268"/>
      <c r="O438" s="2268"/>
      <c r="P438" s="2205"/>
      <c r="Q438" s="2205"/>
      <c r="R438" s="2205"/>
      <c r="S438" s="2205"/>
    </row>
    <row r="439" spans="1:19">
      <c r="A439" s="2256"/>
      <c r="B439" s="2205"/>
      <c r="C439" s="2205"/>
      <c r="D439" s="2205"/>
      <c r="E439" s="2205"/>
      <c r="F439" s="2205"/>
      <c r="G439" s="2205"/>
      <c r="H439" s="2205"/>
      <c r="I439" s="2205"/>
      <c r="J439" s="2205"/>
      <c r="K439" s="2205"/>
      <c r="L439" s="2205"/>
      <c r="M439" s="2268"/>
      <c r="N439" s="2268"/>
      <c r="O439" s="2268"/>
      <c r="P439" s="2205"/>
      <c r="Q439" s="2205"/>
      <c r="R439" s="2205"/>
      <c r="S439" s="2205"/>
    </row>
    <row r="440" spans="1:19">
      <c r="A440" s="2256"/>
      <c r="B440" s="2205"/>
      <c r="C440" s="2205"/>
      <c r="D440" s="2205"/>
      <c r="E440" s="2205"/>
      <c r="F440" s="2205"/>
      <c r="G440" s="2205"/>
      <c r="H440" s="2205"/>
      <c r="I440" s="2205"/>
      <c r="J440" s="2205"/>
      <c r="K440" s="2205"/>
      <c r="L440" s="2205"/>
      <c r="M440" s="2268"/>
      <c r="N440" s="2268"/>
      <c r="O440" s="2268"/>
      <c r="P440" s="2205"/>
      <c r="Q440" s="2205"/>
      <c r="R440" s="2205"/>
      <c r="S440" s="2205"/>
    </row>
    <row r="441" spans="1:19">
      <c r="A441" s="2256"/>
      <c r="B441" s="2205"/>
      <c r="C441" s="2205"/>
      <c r="D441" s="2205"/>
      <c r="E441" s="2205"/>
      <c r="F441" s="2205"/>
      <c r="G441" s="2205"/>
      <c r="H441" s="2205"/>
      <c r="I441" s="2205"/>
      <c r="J441" s="2205"/>
      <c r="K441" s="2205"/>
      <c r="L441" s="2205"/>
      <c r="M441" s="2268"/>
      <c r="N441" s="2268"/>
      <c r="O441" s="2268"/>
      <c r="P441" s="2205"/>
      <c r="Q441" s="2205"/>
      <c r="R441" s="2205"/>
      <c r="S441" s="2205"/>
    </row>
    <row r="442" spans="1:19">
      <c r="A442" s="2256"/>
      <c r="B442" s="2205"/>
      <c r="C442" s="2205"/>
      <c r="D442" s="2205"/>
      <c r="E442" s="2205"/>
      <c r="F442" s="2205"/>
      <c r="G442" s="2205"/>
      <c r="H442" s="2205"/>
      <c r="I442" s="2205"/>
      <c r="J442" s="2205"/>
      <c r="K442" s="2205"/>
      <c r="L442" s="2205"/>
      <c r="M442" s="2268"/>
      <c r="N442" s="2268"/>
      <c r="O442" s="2268"/>
      <c r="P442" s="2205"/>
      <c r="Q442" s="2205"/>
      <c r="R442" s="2205"/>
      <c r="S442" s="2205"/>
    </row>
    <row r="443" spans="1:19">
      <c r="A443" s="2256"/>
      <c r="B443" s="2205"/>
      <c r="C443" s="2205"/>
      <c r="D443" s="2205"/>
      <c r="E443" s="2205"/>
      <c r="F443" s="2205"/>
      <c r="G443" s="2205"/>
      <c r="H443" s="2205"/>
      <c r="I443" s="2205"/>
      <c r="J443" s="2205"/>
      <c r="K443" s="2205"/>
      <c r="L443" s="2205"/>
      <c r="M443" s="2268"/>
      <c r="N443" s="2268"/>
      <c r="O443" s="2268"/>
      <c r="P443" s="2205"/>
      <c r="Q443" s="2205"/>
      <c r="R443" s="2205"/>
      <c r="S443" s="2205"/>
    </row>
    <row r="444" spans="1:19">
      <c r="A444" s="2256"/>
      <c r="B444" s="2205"/>
      <c r="C444" s="2205"/>
      <c r="D444" s="2205"/>
      <c r="E444" s="2205"/>
      <c r="F444" s="2205"/>
      <c r="G444" s="2205"/>
      <c r="H444" s="2205"/>
      <c r="I444" s="2205"/>
      <c r="J444" s="2205"/>
      <c r="K444" s="2205"/>
      <c r="L444" s="2205"/>
      <c r="M444" s="2268"/>
      <c r="N444" s="2268"/>
      <c r="O444" s="2268"/>
      <c r="P444" s="2205"/>
      <c r="Q444" s="2205"/>
      <c r="R444" s="2205"/>
      <c r="S444" s="2205"/>
    </row>
    <row r="445" spans="1:19">
      <c r="A445" s="2256"/>
      <c r="B445" s="2205"/>
      <c r="C445" s="2205"/>
      <c r="D445" s="2205"/>
      <c r="E445" s="2205"/>
      <c r="F445" s="2205"/>
      <c r="G445" s="2205"/>
      <c r="H445" s="2205"/>
      <c r="I445" s="2205"/>
      <c r="J445" s="2205"/>
      <c r="K445" s="2205"/>
      <c r="L445" s="2205"/>
      <c r="M445" s="2268"/>
      <c r="N445" s="2268"/>
      <c r="O445" s="2268"/>
      <c r="P445" s="2205"/>
      <c r="Q445" s="2205"/>
      <c r="R445" s="2205"/>
      <c r="S445" s="2205"/>
    </row>
    <row r="446" spans="1:19">
      <c r="A446" s="2256"/>
      <c r="B446" s="2205"/>
      <c r="C446" s="2205"/>
      <c r="D446" s="2205"/>
      <c r="E446" s="2205"/>
      <c r="F446" s="2205"/>
      <c r="G446" s="2205"/>
      <c r="H446" s="2205"/>
      <c r="I446" s="2205"/>
      <c r="J446" s="2205"/>
      <c r="K446" s="2205"/>
      <c r="L446" s="2205"/>
      <c r="M446" s="2268"/>
      <c r="N446" s="2268"/>
      <c r="O446" s="2268"/>
      <c r="P446" s="2205"/>
      <c r="Q446" s="2205"/>
      <c r="R446" s="2205"/>
      <c r="S446" s="2205"/>
    </row>
    <row r="447" spans="1:19">
      <c r="A447" s="2256"/>
      <c r="B447" s="2205"/>
      <c r="C447" s="2205"/>
      <c r="D447" s="2205"/>
      <c r="E447" s="2205"/>
      <c r="F447" s="2205"/>
      <c r="G447" s="2205"/>
      <c r="H447" s="2205"/>
      <c r="I447" s="2205"/>
      <c r="J447" s="2205"/>
      <c r="K447" s="2205"/>
      <c r="L447" s="2205"/>
      <c r="M447" s="2268"/>
      <c r="N447" s="2268"/>
      <c r="O447" s="2268"/>
      <c r="P447" s="2205"/>
      <c r="Q447" s="2205"/>
      <c r="R447" s="2205"/>
      <c r="S447" s="2205"/>
    </row>
    <row r="448" spans="1:19">
      <c r="A448" s="2256"/>
      <c r="B448" s="2205"/>
      <c r="C448" s="2205"/>
      <c r="D448" s="2205"/>
      <c r="E448" s="2205"/>
      <c r="F448" s="2205"/>
      <c r="G448" s="2205"/>
      <c r="H448" s="2205"/>
      <c r="I448" s="2205"/>
      <c r="J448" s="2205"/>
      <c r="K448" s="2205"/>
      <c r="L448" s="2205"/>
      <c r="M448" s="2268"/>
      <c r="N448" s="2268"/>
      <c r="O448" s="2268"/>
      <c r="P448" s="2205"/>
      <c r="Q448" s="2205"/>
      <c r="R448" s="2205"/>
      <c r="S448" s="2205"/>
    </row>
    <row r="449" spans="1:19">
      <c r="A449" s="2256"/>
      <c r="B449" s="2205"/>
      <c r="C449" s="2205"/>
      <c r="D449" s="2205"/>
      <c r="E449" s="2205"/>
      <c r="F449" s="2205"/>
      <c r="G449" s="2205"/>
      <c r="H449" s="2205"/>
      <c r="I449" s="2205"/>
      <c r="J449" s="2205"/>
      <c r="K449" s="2205"/>
      <c r="L449" s="2205"/>
      <c r="M449" s="2268"/>
      <c r="N449" s="2268"/>
      <c r="O449" s="2268"/>
      <c r="P449" s="2205"/>
      <c r="Q449" s="2205"/>
      <c r="R449" s="2205"/>
      <c r="S449" s="2205"/>
    </row>
    <row r="450" spans="1:19">
      <c r="A450" s="2256"/>
      <c r="B450" s="2205"/>
      <c r="C450" s="2205"/>
      <c r="D450" s="2205"/>
      <c r="E450" s="2205"/>
      <c r="F450" s="2205"/>
      <c r="G450" s="2205"/>
      <c r="H450" s="2205"/>
      <c r="I450" s="2205"/>
      <c r="J450" s="2205"/>
      <c r="K450" s="2205"/>
      <c r="L450" s="2205"/>
      <c r="M450" s="2268"/>
      <c r="N450" s="2268"/>
      <c r="O450" s="2268"/>
      <c r="P450" s="2205"/>
      <c r="Q450" s="2205"/>
      <c r="R450" s="2205"/>
      <c r="S450" s="2205"/>
    </row>
    <row r="451" spans="1:19">
      <c r="A451" s="2256"/>
      <c r="B451" s="2205"/>
      <c r="C451" s="2205"/>
      <c r="D451" s="2205"/>
      <c r="E451" s="2205"/>
      <c r="F451" s="2205"/>
      <c r="G451" s="2205"/>
      <c r="H451" s="2205"/>
      <c r="I451" s="2205"/>
      <c r="J451" s="2205"/>
      <c r="K451" s="2205"/>
      <c r="L451" s="2205"/>
      <c r="M451" s="2268"/>
      <c r="N451" s="2268"/>
      <c r="O451" s="2268"/>
      <c r="P451" s="2205"/>
      <c r="Q451" s="2205"/>
      <c r="R451" s="2205"/>
      <c r="S451" s="2205"/>
    </row>
    <row r="452" spans="1:19">
      <c r="A452" s="2256"/>
      <c r="B452" s="2205"/>
      <c r="C452" s="2205"/>
      <c r="D452" s="2205"/>
      <c r="E452" s="2205"/>
      <c r="F452" s="2205"/>
      <c r="G452" s="2205"/>
      <c r="H452" s="2205"/>
      <c r="I452" s="2205"/>
      <c r="J452" s="2205"/>
      <c r="K452" s="2205"/>
      <c r="L452" s="2205"/>
      <c r="M452" s="2268"/>
      <c r="N452" s="2268"/>
      <c r="O452" s="2268"/>
      <c r="P452" s="2205"/>
      <c r="Q452" s="2205"/>
      <c r="R452" s="2205"/>
      <c r="S452" s="2205"/>
    </row>
    <row r="453" spans="1:19">
      <c r="A453" s="2256"/>
      <c r="B453" s="2205"/>
      <c r="C453" s="2205"/>
      <c r="D453" s="2205"/>
      <c r="E453" s="2205"/>
      <c r="F453" s="2205"/>
      <c r="G453" s="2205"/>
      <c r="H453" s="2205"/>
      <c r="I453" s="2205"/>
      <c r="J453" s="2205"/>
      <c r="K453" s="2205"/>
      <c r="L453" s="2205"/>
      <c r="M453" s="2268"/>
      <c r="N453" s="2268"/>
      <c r="O453" s="2268"/>
      <c r="P453" s="2205"/>
      <c r="Q453" s="2205"/>
      <c r="R453" s="2205"/>
      <c r="S453" s="2205"/>
    </row>
    <row r="454" spans="1:19">
      <c r="A454" s="2256"/>
      <c r="B454" s="2205"/>
      <c r="C454" s="2205"/>
      <c r="D454" s="2205"/>
      <c r="E454" s="2205"/>
      <c r="F454" s="2205"/>
      <c r="G454" s="2205"/>
      <c r="H454" s="2205"/>
      <c r="I454" s="2205"/>
      <c r="J454" s="2205"/>
      <c r="K454" s="2205"/>
      <c r="L454" s="2205"/>
      <c r="M454" s="2268"/>
      <c r="N454" s="2268"/>
      <c r="O454" s="2268"/>
      <c r="P454" s="2205"/>
      <c r="Q454" s="2205"/>
      <c r="R454" s="2205"/>
      <c r="S454" s="2205"/>
    </row>
    <row r="455" spans="1:19">
      <c r="A455" s="2256"/>
      <c r="B455" s="2205"/>
      <c r="C455" s="2205"/>
      <c r="D455" s="2205"/>
      <c r="E455" s="2205"/>
      <c r="F455" s="2205"/>
      <c r="G455" s="2205"/>
      <c r="H455" s="2205"/>
      <c r="I455" s="2205"/>
      <c r="J455" s="2205"/>
      <c r="K455" s="2205"/>
      <c r="L455" s="2205"/>
      <c r="M455" s="2268"/>
      <c r="N455" s="2268"/>
      <c r="O455" s="2268"/>
      <c r="P455" s="2205"/>
      <c r="Q455" s="2205"/>
      <c r="R455" s="2205"/>
      <c r="S455" s="2205"/>
    </row>
    <row r="456" spans="1:19">
      <c r="A456" s="2256"/>
      <c r="B456" s="2205"/>
      <c r="C456" s="2205"/>
      <c r="D456" s="2205"/>
      <c r="E456" s="2205"/>
      <c r="F456" s="2205"/>
      <c r="G456" s="2205"/>
      <c r="H456" s="2205"/>
      <c r="I456" s="2205"/>
      <c r="J456" s="2205"/>
      <c r="K456" s="2205"/>
      <c r="L456" s="2205"/>
      <c r="M456" s="2268"/>
      <c r="N456" s="2268"/>
      <c r="O456" s="2268"/>
      <c r="P456" s="2205"/>
      <c r="Q456" s="2205"/>
      <c r="R456" s="2205"/>
      <c r="S456" s="2205"/>
    </row>
    <row r="457" spans="1:19">
      <c r="A457" s="2256"/>
      <c r="B457" s="2205"/>
      <c r="C457" s="2205"/>
      <c r="D457" s="2205"/>
      <c r="E457" s="2205"/>
      <c r="F457" s="2205"/>
      <c r="G457" s="2205"/>
      <c r="H457" s="2205"/>
      <c r="I457" s="2205"/>
      <c r="J457" s="2205"/>
      <c r="K457" s="2205"/>
      <c r="L457" s="2205"/>
      <c r="M457" s="2268"/>
      <c r="N457" s="2268"/>
      <c r="O457" s="2268"/>
      <c r="P457" s="2205"/>
      <c r="Q457" s="2205"/>
      <c r="R457" s="2205"/>
      <c r="S457" s="2205"/>
    </row>
    <row r="458" spans="1:19">
      <c r="A458" s="2256"/>
      <c r="B458" s="2205"/>
      <c r="C458" s="2205"/>
      <c r="D458" s="2205"/>
      <c r="E458" s="2205"/>
      <c r="F458" s="2205"/>
      <c r="G458" s="2205"/>
      <c r="H458" s="2205"/>
      <c r="I458" s="2205"/>
      <c r="J458" s="2205"/>
      <c r="K458" s="2205"/>
      <c r="L458" s="2205"/>
      <c r="M458" s="2268"/>
      <c r="N458" s="2268"/>
      <c r="O458" s="2268"/>
      <c r="P458" s="2205"/>
      <c r="Q458" s="2205"/>
      <c r="R458" s="2205"/>
      <c r="S458" s="2205"/>
    </row>
    <row r="459" spans="1:19">
      <c r="A459" s="2256"/>
      <c r="B459" s="2205"/>
      <c r="C459" s="2205"/>
      <c r="D459" s="2205"/>
      <c r="E459" s="2205"/>
      <c r="F459" s="2205"/>
      <c r="G459" s="2205"/>
      <c r="H459" s="2205"/>
      <c r="I459" s="2205"/>
      <c r="J459" s="2205"/>
      <c r="K459" s="2205"/>
      <c r="L459" s="2205"/>
      <c r="M459" s="2268"/>
      <c r="N459" s="2268"/>
      <c r="O459" s="2268"/>
      <c r="P459" s="2205"/>
      <c r="Q459" s="2205"/>
      <c r="R459" s="2205"/>
      <c r="S459" s="2205"/>
    </row>
    <row r="460" spans="1:19">
      <c r="A460" s="2256"/>
      <c r="B460" s="2205"/>
      <c r="C460" s="2205"/>
      <c r="D460" s="2205"/>
      <c r="E460" s="2205"/>
      <c r="F460" s="2205"/>
      <c r="G460" s="2205"/>
      <c r="H460" s="2205"/>
      <c r="I460" s="2205"/>
      <c r="J460" s="2205"/>
      <c r="K460" s="2205"/>
      <c r="L460" s="2205"/>
      <c r="M460" s="2268"/>
      <c r="N460" s="2268"/>
      <c r="O460" s="2268"/>
      <c r="P460" s="2205"/>
      <c r="Q460" s="2205"/>
      <c r="R460" s="2205"/>
      <c r="S460" s="2205"/>
    </row>
    <row r="461" spans="1:19">
      <c r="A461" s="2256"/>
      <c r="B461" s="2205"/>
      <c r="C461" s="2205"/>
      <c r="D461" s="2205"/>
      <c r="E461" s="2205"/>
      <c r="F461" s="2205"/>
      <c r="G461" s="2205"/>
      <c r="H461" s="2205"/>
      <c r="I461" s="2205"/>
      <c r="J461" s="2205"/>
      <c r="K461" s="2205"/>
      <c r="L461" s="2205"/>
      <c r="M461" s="2268"/>
      <c r="N461" s="2268"/>
      <c r="O461" s="2268"/>
      <c r="P461" s="2205"/>
      <c r="Q461" s="2205"/>
      <c r="R461" s="2205"/>
      <c r="S461" s="2205"/>
    </row>
    <row r="462" spans="1:19">
      <c r="A462" s="2256"/>
      <c r="B462" s="2205"/>
      <c r="C462" s="2205"/>
      <c r="D462" s="2205"/>
      <c r="E462" s="2205"/>
      <c r="F462" s="2205"/>
      <c r="G462" s="2205"/>
      <c r="H462" s="2205"/>
      <c r="I462" s="2205"/>
      <c r="J462" s="2205"/>
      <c r="K462" s="2205"/>
      <c r="L462" s="2205"/>
      <c r="M462" s="2268"/>
      <c r="N462" s="2268"/>
      <c r="O462" s="2268"/>
      <c r="P462" s="2205"/>
      <c r="Q462" s="2205"/>
      <c r="R462" s="2205"/>
      <c r="S462" s="2205"/>
    </row>
    <row r="463" spans="1:19">
      <c r="A463" s="2256"/>
      <c r="B463" s="2205"/>
      <c r="C463" s="2205"/>
      <c r="D463" s="2205"/>
      <c r="E463" s="2205"/>
      <c r="F463" s="2205"/>
      <c r="G463" s="2205"/>
      <c r="H463" s="2205"/>
      <c r="I463" s="2205"/>
      <c r="J463" s="2205"/>
      <c r="K463" s="2205"/>
      <c r="L463" s="2205"/>
      <c r="M463" s="2268"/>
      <c r="N463" s="2268"/>
      <c r="O463" s="2268"/>
      <c r="P463" s="2205"/>
      <c r="Q463" s="2205"/>
      <c r="R463" s="2205"/>
      <c r="S463" s="2205"/>
    </row>
    <row r="464" spans="1:19">
      <c r="A464" s="2256"/>
      <c r="B464" s="2205"/>
      <c r="C464" s="2205"/>
      <c r="D464" s="2205"/>
      <c r="E464" s="2205"/>
      <c r="F464" s="2205"/>
      <c r="G464" s="2205"/>
      <c r="H464" s="2205"/>
      <c r="I464" s="2205"/>
      <c r="J464" s="2205"/>
      <c r="K464" s="2205"/>
      <c r="L464" s="2205"/>
      <c r="M464" s="2268"/>
      <c r="N464" s="2268"/>
      <c r="O464" s="2268"/>
      <c r="P464" s="2205"/>
      <c r="Q464" s="2205"/>
      <c r="R464" s="2205"/>
      <c r="S464" s="2205"/>
    </row>
    <row r="465" spans="1:19">
      <c r="A465" s="2256"/>
      <c r="B465" s="2205"/>
      <c r="C465" s="2205"/>
      <c r="D465" s="2205"/>
      <c r="E465" s="2205"/>
      <c r="F465" s="2205"/>
      <c r="G465" s="2205"/>
      <c r="H465" s="2205"/>
      <c r="I465" s="2205"/>
      <c r="J465" s="2205"/>
      <c r="K465" s="2205"/>
      <c r="L465" s="2205"/>
      <c r="M465" s="2268"/>
      <c r="N465" s="2268"/>
      <c r="O465" s="2268"/>
      <c r="P465" s="2205"/>
      <c r="Q465" s="2205"/>
      <c r="R465" s="2205"/>
      <c r="S465" s="2205"/>
    </row>
    <row r="466" spans="1:19">
      <c r="A466" s="2256"/>
      <c r="B466" s="2205"/>
      <c r="C466" s="2205"/>
      <c r="D466" s="2205"/>
      <c r="E466" s="2205"/>
      <c r="F466" s="2205"/>
      <c r="G466" s="2205"/>
      <c r="H466" s="2205"/>
      <c r="I466" s="2205"/>
      <c r="J466" s="2205"/>
      <c r="K466" s="2205"/>
      <c r="L466" s="2205"/>
      <c r="M466" s="2268"/>
      <c r="N466" s="2268"/>
      <c r="O466" s="2268"/>
      <c r="P466" s="2205"/>
      <c r="Q466" s="2205"/>
      <c r="R466" s="2205"/>
      <c r="S466" s="2205"/>
    </row>
    <row r="467" spans="1:19">
      <c r="A467" s="2256"/>
      <c r="B467" s="2205"/>
      <c r="C467" s="2205"/>
      <c r="D467" s="2205"/>
      <c r="E467" s="2205"/>
      <c r="F467" s="2205"/>
      <c r="G467" s="2205"/>
      <c r="H467" s="2205"/>
      <c r="I467" s="2205"/>
      <c r="J467" s="2205"/>
      <c r="K467" s="2205"/>
      <c r="L467" s="2205"/>
      <c r="M467" s="2268"/>
      <c r="N467" s="2268"/>
      <c r="O467" s="2268"/>
      <c r="P467" s="2205"/>
      <c r="Q467" s="2205"/>
      <c r="R467" s="2205"/>
      <c r="S467" s="2205"/>
    </row>
    <row r="468" spans="1:19">
      <c r="A468" s="2256"/>
      <c r="B468" s="2205"/>
      <c r="C468" s="2205"/>
      <c r="D468" s="2205"/>
      <c r="E468" s="2205"/>
      <c r="F468" s="2205"/>
      <c r="G468" s="2205"/>
      <c r="H468" s="2205"/>
      <c r="I468" s="2205"/>
      <c r="J468" s="2205"/>
      <c r="K468" s="2205"/>
      <c r="L468" s="2205"/>
      <c r="M468" s="2268"/>
      <c r="N468" s="2268"/>
      <c r="O468" s="2268"/>
      <c r="P468" s="2205"/>
      <c r="Q468" s="2205"/>
      <c r="R468" s="2205"/>
      <c r="S468" s="2205"/>
    </row>
    <row r="469" spans="1:19">
      <c r="A469" s="2256"/>
      <c r="B469" s="2205"/>
      <c r="C469" s="2205"/>
      <c r="D469" s="2205"/>
      <c r="E469" s="2205"/>
      <c r="F469" s="2205"/>
      <c r="G469" s="2205"/>
      <c r="H469" s="2205"/>
      <c r="I469" s="2205"/>
      <c r="J469" s="2205"/>
      <c r="K469" s="2205"/>
      <c r="L469" s="2205"/>
      <c r="M469" s="2268"/>
      <c r="N469" s="2268"/>
      <c r="O469" s="2268"/>
      <c r="P469" s="2205"/>
      <c r="Q469" s="2205"/>
      <c r="R469" s="2205"/>
      <c r="S469" s="2205"/>
    </row>
    <row r="470" spans="1:19">
      <c r="A470" s="2256"/>
      <c r="B470" s="2205"/>
      <c r="C470" s="2205"/>
      <c r="D470" s="2205"/>
      <c r="E470" s="2205"/>
      <c r="F470" s="2205"/>
      <c r="G470" s="2205"/>
      <c r="H470" s="2205"/>
      <c r="I470" s="2205"/>
      <c r="J470" s="2205"/>
      <c r="K470" s="2205"/>
      <c r="L470" s="2205"/>
      <c r="M470" s="2268"/>
      <c r="N470" s="2268"/>
      <c r="O470" s="2268"/>
      <c r="P470" s="2205"/>
      <c r="Q470" s="2205"/>
      <c r="R470" s="2205"/>
      <c r="S470" s="2205"/>
    </row>
    <row r="471" spans="1:19">
      <c r="A471" s="2256"/>
      <c r="B471" s="2205"/>
      <c r="C471" s="2205"/>
      <c r="D471" s="2205"/>
      <c r="E471" s="2205"/>
      <c r="F471" s="2205"/>
      <c r="G471" s="2205"/>
      <c r="H471" s="2205"/>
      <c r="I471" s="2205"/>
      <c r="J471" s="2205"/>
      <c r="K471" s="2205"/>
      <c r="L471" s="2205"/>
      <c r="M471" s="2268"/>
      <c r="N471" s="2268"/>
      <c r="O471" s="2268"/>
      <c r="P471" s="2205"/>
      <c r="Q471" s="2205"/>
      <c r="R471" s="2205"/>
      <c r="S471" s="2205"/>
    </row>
    <row r="472" spans="1:19">
      <c r="A472" s="2256"/>
      <c r="B472" s="2205"/>
      <c r="C472" s="2205"/>
      <c r="D472" s="2205"/>
      <c r="E472" s="2205"/>
      <c r="F472" s="2205"/>
      <c r="G472" s="2205"/>
      <c r="H472" s="2205"/>
      <c r="I472" s="2205"/>
      <c r="J472" s="2205"/>
      <c r="K472" s="2205"/>
      <c r="L472" s="2205"/>
      <c r="M472" s="2268"/>
      <c r="N472" s="2268"/>
      <c r="O472" s="2268"/>
      <c r="P472" s="2205"/>
      <c r="Q472" s="2205"/>
      <c r="R472" s="2205"/>
      <c r="S472" s="2205"/>
    </row>
    <row r="473" spans="1:19">
      <c r="A473" s="2256"/>
      <c r="B473" s="2205"/>
      <c r="C473" s="2205"/>
      <c r="D473" s="2205"/>
      <c r="E473" s="2205"/>
      <c r="F473" s="2205"/>
      <c r="G473" s="2205"/>
      <c r="H473" s="2205"/>
      <c r="I473" s="2205"/>
      <c r="J473" s="2205"/>
      <c r="K473" s="2205"/>
      <c r="L473" s="2205"/>
      <c r="M473" s="2268"/>
      <c r="N473" s="2268"/>
      <c r="O473" s="2268"/>
      <c r="P473" s="2205"/>
      <c r="Q473" s="2205"/>
      <c r="R473" s="2205"/>
      <c r="S473" s="2205"/>
    </row>
    <row r="474" spans="1:19">
      <c r="A474" s="2256"/>
      <c r="B474" s="2205"/>
      <c r="C474" s="2205"/>
      <c r="D474" s="2205"/>
      <c r="E474" s="2205"/>
      <c r="F474" s="2205"/>
      <c r="G474" s="2205"/>
      <c r="H474" s="2205"/>
      <c r="I474" s="2205"/>
      <c r="J474" s="2205"/>
      <c r="K474" s="2205"/>
      <c r="L474" s="2205"/>
      <c r="M474" s="2268"/>
      <c r="N474" s="2268"/>
      <c r="O474" s="2268"/>
      <c r="P474" s="2205"/>
      <c r="Q474" s="2205"/>
      <c r="R474" s="2205"/>
      <c r="S474" s="2205"/>
    </row>
    <row r="475" spans="1:19">
      <c r="A475" s="2256"/>
      <c r="B475" s="2205"/>
      <c r="C475" s="2205"/>
      <c r="D475" s="2205"/>
      <c r="E475" s="2205"/>
      <c r="F475" s="2205"/>
      <c r="G475" s="2205"/>
      <c r="H475" s="2205"/>
      <c r="I475" s="2205"/>
      <c r="J475" s="2205"/>
      <c r="K475" s="2205"/>
      <c r="L475" s="2205"/>
      <c r="M475" s="2268"/>
      <c r="N475" s="2268"/>
      <c r="O475" s="2268"/>
      <c r="P475" s="2205"/>
      <c r="Q475" s="2205"/>
      <c r="R475" s="2205"/>
      <c r="S475" s="2205"/>
    </row>
    <row r="476" spans="1:19">
      <c r="A476" s="2256"/>
      <c r="B476" s="2205"/>
      <c r="C476" s="2205"/>
      <c r="D476" s="2205"/>
      <c r="E476" s="2205"/>
      <c r="F476" s="2205"/>
      <c r="G476" s="2205"/>
      <c r="H476" s="2205"/>
      <c r="I476" s="2205"/>
      <c r="J476" s="2205"/>
      <c r="K476" s="2205"/>
      <c r="L476" s="2205"/>
      <c r="M476" s="2268"/>
      <c r="N476" s="2268"/>
      <c r="O476" s="2268"/>
      <c r="P476" s="2205"/>
      <c r="Q476" s="2205"/>
      <c r="R476" s="2205"/>
      <c r="S476" s="2205"/>
    </row>
    <row r="477" spans="1:19">
      <c r="A477" s="2256"/>
      <c r="B477" s="2205"/>
      <c r="C477" s="2205"/>
      <c r="D477" s="2205"/>
      <c r="E477" s="2205"/>
      <c r="F477" s="2205"/>
      <c r="G477" s="2205"/>
      <c r="H477" s="2205"/>
      <c r="I477" s="2205"/>
      <c r="J477" s="2205"/>
      <c r="K477" s="2205"/>
      <c r="L477" s="2205"/>
      <c r="M477" s="2268"/>
      <c r="N477" s="2268"/>
      <c r="O477" s="2268"/>
      <c r="P477" s="2205"/>
      <c r="Q477" s="2205"/>
      <c r="R477" s="2205"/>
      <c r="S477" s="2205"/>
    </row>
    <row r="478" spans="1:19">
      <c r="A478" s="2256"/>
      <c r="B478" s="2205"/>
      <c r="C478" s="2205"/>
      <c r="D478" s="2205"/>
      <c r="E478" s="2205"/>
      <c r="F478" s="2205"/>
      <c r="G478" s="2205"/>
      <c r="H478" s="2205"/>
      <c r="I478" s="2205"/>
      <c r="J478" s="2205"/>
      <c r="K478" s="2205"/>
      <c r="L478" s="2205"/>
      <c r="M478" s="2268"/>
      <c r="N478" s="2268"/>
      <c r="O478" s="2268"/>
      <c r="P478" s="2205"/>
      <c r="Q478" s="2205"/>
      <c r="R478" s="2205"/>
      <c r="S478" s="2205"/>
    </row>
    <row r="479" spans="1:19">
      <c r="A479" s="2256"/>
      <c r="B479" s="2205"/>
      <c r="C479" s="2205"/>
      <c r="D479" s="2205"/>
      <c r="E479" s="2205"/>
      <c r="F479" s="2205"/>
      <c r="G479" s="2205"/>
      <c r="H479" s="2205"/>
      <c r="I479" s="2205"/>
      <c r="J479" s="2205"/>
      <c r="K479" s="2205"/>
      <c r="L479" s="2205"/>
      <c r="M479" s="2268"/>
      <c r="N479" s="2268"/>
      <c r="O479" s="2268"/>
      <c r="P479" s="2205"/>
      <c r="Q479" s="2205"/>
      <c r="R479" s="2205"/>
      <c r="S479" s="2205"/>
    </row>
    <row r="480" spans="1:19">
      <c r="A480" s="2256"/>
      <c r="B480" s="2205"/>
      <c r="C480" s="2205"/>
      <c r="D480" s="2205"/>
      <c r="E480" s="2205"/>
      <c r="F480" s="2205"/>
      <c r="G480" s="2205"/>
      <c r="H480" s="2205"/>
      <c r="I480" s="2205"/>
      <c r="J480" s="2205"/>
      <c r="K480" s="2205"/>
      <c r="L480" s="2205"/>
      <c r="M480" s="2268"/>
      <c r="N480" s="2268"/>
      <c r="O480" s="2268"/>
      <c r="P480" s="2205"/>
      <c r="Q480" s="2205"/>
      <c r="R480" s="2205"/>
      <c r="S480" s="2205"/>
    </row>
    <row r="481" spans="1:19">
      <c r="A481" s="2256"/>
      <c r="B481" s="2205"/>
      <c r="C481" s="2205"/>
      <c r="D481" s="2205"/>
      <c r="E481" s="2205"/>
      <c r="F481" s="2205"/>
      <c r="G481" s="2205"/>
      <c r="H481" s="2205"/>
      <c r="I481" s="2205"/>
      <c r="J481" s="2205"/>
      <c r="K481" s="2205"/>
      <c r="L481" s="2205"/>
      <c r="M481" s="2268"/>
      <c r="N481" s="2268"/>
      <c r="O481" s="2268"/>
      <c r="P481" s="2205"/>
      <c r="Q481" s="2205"/>
      <c r="R481" s="2205"/>
      <c r="S481" s="2205"/>
    </row>
    <row r="482" spans="1:19">
      <c r="A482" s="2256"/>
      <c r="B482" s="2205"/>
      <c r="C482" s="2205"/>
      <c r="D482" s="2205"/>
      <c r="E482" s="2205"/>
      <c r="F482" s="2205"/>
      <c r="G482" s="2205"/>
      <c r="H482" s="2205"/>
      <c r="I482" s="2205"/>
      <c r="J482" s="2205"/>
      <c r="K482" s="2205"/>
      <c r="L482" s="2205"/>
      <c r="M482" s="2268"/>
      <c r="N482" s="2268"/>
      <c r="O482" s="2268"/>
      <c r="P482" s="2205"/>
      <c r="Q482" s="2205"/>
      <c r="R482" s="2205"/>
      <c r="S482" s="2205"/>
    </row>
    <row r="483" spans="1:19">
      <c r="A483" s="2256"/>
      <c r="B483" s="2205"/>
      <c r="C483" s="2205"/>
      <c r="D483" s="2205"/>
      <c r="E483" s="2205"/>
      <c r="F483" s="2205"/>
      <c r="G483" s="2205"/>
      <c r="H483" s="2205"/>
      <c r="I483" s="2205"/>
      <c r="J483" s="2205"/>
      <c r="K483" s="2205"/>
      <c r="L483" s="2205"/>
      <c r="M483" s="2268"/>
      <c r="N483" s="2268"/>
      <c r="O483" s="2268"/>
      <c r="P483" s="2205"/>
      <c r="Q483" s="2205"/>
      <c r="R483" s="2205"/>
      <c r="S483" s="2205"/>
    </row>
    <row r="484" spans="1:19">
      <c r="A484" s="2256"/>
      <c r="B484" s="2205"/>
      <c r="C484" s="2205"/>
      <c r="D484" s="2205"/>
      <c r="E484" s="2205"/>
      <c r="F484" s="2205"/>
      <c r="G484" s="2205"/>
      <c r="H484" s="2205"/>
      <c r="I484" s="2205"/>
      <c r="J484" s="2205"/>
      <c r="K484" s="2205"/>
      <c r="L484" s="2205"/>
      <c r="M484" s="2268"/>
      <c r="N484" s="2268"/>
      <c r="O484" s="2268"/>
      <c r="P484" s="2205"/>
      <c r="Q484" s="2205"/>
      <c r="R484" s="2205"/>
      <c r="S484" s="2205"/>
    </row>
    <row r="485" spans="1:19">
      <c r="A485" s="2256"/>
      <c r="B485" s="2205"/>
      <c r="C485" s="2205"/>
      <c r="D485" s="2205"/>
      <c r="E485" s="2205"/>
      <c r="F485" s="2205"/>
      <c r="G485" s="2205"/>
      <c r="H485" s="2205"/>
      <c r="I485" s="2205"/>
      <c r="J485" s="2205"/>
      <c r="K485" s="2205"/>
      <c r="L485" s="2205"/>
      <c r="M485" s="2268"/>
      <c r="N485" s="2268"/>
      <c r="O485" s="2268"/>
      <c r="P485" s="2205"/>
      <c r="Q485" s="2205"/>
      <c r="R485" s="2205"/>
      <c r="S485" s="2205"/>
    </row>
    <row r="486" spans="1:19">
      <c r="A486" s="2256"/>
      <c r="B486" s="2205"/>
      <c r="C486" s="2205"/>
      <c r="D486" s="2205"/>
      <c r="E486" s="2205"/>
      <c r="F486" s="2205"/>
      <c r="G486" s="2205"/>
      <c r="H486" s="2205"/>
      <c r="I486" s="2205"/>
      <c r="J486" s="2205"/>
      <c r="K486" s="2205"/>
      <c r="L486" s="2205"/>
      <c r="M486" s="2268"/>
      <c r="N486" s="2268"/>
      <c r="O486" s="2268"/>
      <c r="P486" s="2205"/>
      <c r="Q486" s="2205"/>
      <c r="R486" s="2205"/>
      <c r="S486" s="2205"/>
    </row>
    <row r="487" spans="1:19">
      <c r="A487" s="2256"/>
      <c r="B487" s="2205"/>
      <c r="C487" s="2205"/>
      <c r="D487" s="2205"/>
      <c r="E487" s="2205"/>
      <c r="F487" s="2205"/>
      <c r="G487" s="2205"/>
      <c r="H487" s="2205"/>
      <c r="I487" s="2205"/>
      <c r="J487" s="2205"/>
      <c r="K487" s="2205"/>
      <c r="L487" s="2205"/>
      <c r="M487" s="2268"/>
      <c r="N487" s="2268"/>
      <c r="O487" s="2268"/>
      <c r="P487" s="2205"/>
      <c r="Q487" s="2205"/>
      <c r="R487" s="2205"/>
      <c r="S487" s="2205"/>
    </row>
    <row r="488" spans="1:19">
      <c r="A488" s="2256"/>
      <c r="B488" s="2205"/>
      <c r="C488" s="2205"/>
      <c r="D488" s="2205"/>
      <c r="E488" s="2205"/>
      <c r="F488" s="2205"/>
      <c r="G488" s="2205"/>
      <c r="H488" s="2205"/>
      <c r="I488" s="2205"/>
      <c r="J488" s="2205"/>
      <c r="K488" s="2205"/>
      <c r="L488" s="2205"/>
      <c r="M488" s="2268"/>
      <c r="N488" s="2268"/>
      <c r="O488" s="2268"/>
      <c r="P488" s="2205"/>
      <c r="Q488" s="2205"/>
      <c r="R488" s="2205"/>
      <c r="S488" s="2205"/>
    </row>
    <row r="489" spans="1:19">
      <c r="A489" s="2256"/>
      <c r="B489" s="2205"/>
      <c r="C489" s="2205"/>
      <c r="D489" s="2205"/>
      <c r="E489" s="2205"/>
      <c r="F489" s="2205"/>
      <c r="G489" s="2205"/>
      <c r="H489" s="2205"/>
      <c r="I489" s="2205"/>
      <c r="J489" s="2205"/>
      <c r="K489" s="2205"/>
      <c r="L489" s="2205"/>
      <c r="M489" s="2268"/>
      <c r="N489" s="2268"/>
      <c r="O489" s="2268"/>
      <c r="P489" s="2205"/>
      <c r="Q489" s="2205"/>
      <c r="R489" s="2205"/>
      <c r="S489" s="2205"/>
    </row>
    <row r="490" spans="1:19">
      <c r="A490" s="2256"/>
      <c r="B490" s="2205"/>
      <c r="C490" s="2205"/>
      <c r="D490" s="2205"/>
      <c r="E490" s="2205"/>
      <c r="F490" s="2205"/>
      <c r="G490" s="2205"/>
      <c r="H490" s="2205"/>
      <c r="I490" s="2205"/>
      <c r="J490" s="2205"/>
      <c r="K490" s="2205"/>
      <c r="L490" s="2205"/>
      <c r="M490" s="2268"/>
      <c r="N490" s="2268"/>
      <c r="O490" s="2268"/>
      <c r="P490" s="2205"/>
      <c r="Q490" s="2205"/>
      <c r="R490" s="2205"/>
      <c r="S490" s="2205"/>
    </row>
    <row r="491" spans="1:19">
      <c r="A491" s="2256"/>
      <c r="B491" s="2205"/>
      <c r="C491" s="2205"/>
      <c r="D491" s="2205"/>
      <c r="E491" s="2205"/>
      <c r="F491" s="2205"/>
      <c r="G491" s="2205"/>
      <c r="H491" s="2205"/>
      <c r="I491" s="2205"/>
      <c r="J491" s="2205"/>
      <c r="K491" s="2205"/>
      <c r="L491" s="2205"/>
      <c r="M491" s="2268"/>
      <c r="N491" s="2268"/>
      <c r="O491" s="2268"/>
      <c r="P491" s="2205"/>
      <c r="Q491" s="2205"/>
      <c r="R491" s="2205"/>
      <c r="S491" s="2205"/>
    </row>
    <row r="492" spans="1:19">
      <c r="A492" s="2256"/>
      <c r="B492" s="2205"/>
      <c r="C492" s="2205"/>
      <c r="D492" s="2205"/>
      <c r="E492" s="2205"/>
      <c r="F492" s="2205"/>
      <c r="G492" s="2205"/>
      <c r="H492" s="2205"/>
      <c r="I492" s="2205"/>
      <c r="J492" s="2205"/>
      <c r="K492" s="2205"/>
      <c r="L492" s="2205"/>
      <c r="M492" s="2268"/>
      <c r="N492" s="2268"/>
      <c r="O492" s="2268"/>
      <c r="P492" s="2205"/>
      <c r="Q492" s="2205"/>
      <c r="R492" s="2205"/>
      <c r="S492" s="2205"/>
    </row>
    <row r="493" spans="1:19">
      <c r="A493" s="2256"/>
      <c r="B493" s="2205"/>
      <c r="C493" s="2205"/>
      <c r="D493" s="2205"/>
      <c r="E493" s="2205"/>
      <c r="F493" s="2205"/>
      <c r="G493" s="2205"/>
      <c r="H493" s="2205"/>
      <c r="I493" s="2205"/>
      <c r="J493" s="2205"/>
      <c r="K493" s="2205"/>
      <c r="L493" s="2205"/>
      <c r="M493" s="2268"/>
      <c r="N493" s="2268"/>
      <c r="O493" s="2268"/>
      <c r="P493" s="2205"/>
      <c r="Q493" s="2205"/>
      <c r="R493" s="2205"/>
      <c r="S493" s="2205"/>
    </row>
    <row r="494" spans="1:19">
      <c r="A494" s="2256"/>
      <c r="B494" s="2205"/>
      <c r="C494" s="2205"/>
      <c r="D494" s="2205"/>
      <c r="E494" s="2205"/>
      <c r="F494" s="2205"/>
      <c r="G494" s="2205"/>
      <c r="H494" s="2205"/>
      <c r="I494" s="2205"/>
      <c r="J494" s="2205"/>
      <c r="K494" s="2205"/>
      <c r="L494" s="2205"/>
      <c r="M494" s="2268"/>
      <c r="N494" s="2268"/>
      <c r="O494" s="2268"/>
      <c r="P494" s="2205"/>
      <c r="Q494" s="2205"/>
      <c r="R494" s="2205"/>
      <c r="S494" s="2205"/>
    </row>
    <row r="495" spans="1:19">
      <c r="A495" s="2256"/>
      <c r="B495" s="2205"/>
      <c r="C495" s="2205"/>
      <c r="D495" s="2205"/>
      <c r="E495" s="2205"/>
      <c r="F495" s="2205"/>
      <c r="G495" s="2205"/>
      <c r="H495" s="2205"/>
      <c r="I495" s="2205"/>
      <c r="J495" s="2205"/>
      <c r="K495" s="2205"/>
      <c r="L495" s="2205"/>
      <c r="M495" s="2268"/>
      <c r="N495" s="2268"/>
      <c r="O495" s="2268"/>
      <c r="P495" s="2205"/>
      <c r="Q495" s="2205"/>
      <c r="R495" s="2205"/>
      <c r="S495" s="2205"/>
    </row>
    <row r="496" spans="1:19">
      <c r="A496" s="2256"/>
      <c r="B496" s="2205"/>
      <c r="C496" s="2205"/>
      <c r="D496" s="2205"/>
      <c r="E496" s="2205"/>
      <c r="F496" s="2205"/>
      <c r="G496" s="2205"/>
      <c r="H496" s="2205"/>
      <c r="I496" s="2205"/>
      <c r="J496" s="2205"/>
      <c r="K496" s="2205"/>
      <c r="L496" s="2205"/>
      <c r="M496" s="2268"/>
      <c r="N496" s="2268"/>
      <c r="O496" s="2268"/>
      <c r="P496" s="2205"/>
      <c r="Q496" s="2205"/>
      <c r="R496" s="2205"/>
      <c r="S496" s="2205"/>
    </row>
    <row r="497" spans="1:19">
      <c r="A497" s="2256"/>
      <c r="B497" s="2205"/>
      <c r="C497" s="2205"/>
      <c r="D497" s="2205"/>
      <c r="E497" s="2205"/>
      <c r="F497" s="2205"/>
      <c r="G497" s="2205"/>
      <c r="H497" s="2205"/>
      <c r="I497" s="2205"/>
      <c r="J497" s="2205"/>
      <c r="K497" s="2205"/>
      <c r="L497" s="2205"/>
      <c r="M497" s="2268"/>
      <c r="N497" s="2268"/>
      <c r="O497" s="2268"/>
      <c r="P497" s="2205"/>
      <c r="Q497" s="2205"/>
      <c r="R497" s="2205"/>
      <c r="S497" s="2205"/>
    </row>
    <row r="498" spans="1:19">
      <c r="A498" s="2256"/>
      <c r="B498" s="2205"/>
      <c r="C498" s="2205"/>
      <c r="D498" s="2205"/>
      <c r="E498" s="2205"/>
      <c r="F498" s="2205"/>
      <c r="G498" s="2205"/>
      <c r="H498" s="2205"/>
      <c r="I498" s="2205"/>
      <c r="J498" s="2205"/>
      <c r="K498" s="2205"/>
      <c r="L498" s="2205"/>
      <c r="M498" s="2268"/>
      <c r="N498" s="2268"/>
      <c r="O498" s="2268"/>
      <c r="P498" s="2205"/>
      <c r="Q498" s="2205"/>
      <c r="R498" s="2205"/>
      <c r="S498" s="2205"/>
    </row>
    <row r="499" spans="1:19">
      <c r="A499" s="2256"/>
      <c r="B499" s="2205"/>
      <c r="C499" s="2205"/>
      <c r="D499" s="2205"/>
      <c r="E499" s="2205"/>
      <c r="F499" s="2205"/>
      <c r="G499" s="2205"/>
      <c r="H499" s="2205"/>
      <c r="I499" s="2205"/>
      <c r="J499" s="2205"/>
      <c r="K499" s="2205"/>
      <c r="L499" s="2205"/>
      <c r="M499" s="2268"/>
      <c r="N499" s="2268"/>
      <c r="O499" s="2268"/>
      <c r="P499" s="2205"/>
      <c r="Q499" s="2205"/>
      <c r="R499" s="2205"/>
      <c r="S499" s="2205"/>
    </row>
    <row r="500" spans="1:19">
      <c r="A500" s="2256"/>
      <c r="B500" s="2205"/>
      <c r="C500" s="2205"/>
      <c r="D500" s="2205"/>
      <c r="E500" s="2205"/>
      <c r="F500" s="2205"/>
      <c r="G500" s="2205"/>
      <c r="H500" s="2205"/>
      <c r="I500" s="2205"/>
      <c r="J500" s="2205"/>
      <c r="K500" s="2205"/>
      <c r="L500" s="2205"/>
      <c r="M500" s="2268"/>
      <c r="N500" s="2268"/>
      <c r="O500" s="2268"/>
      <c r="P500" s="2205"/>
      <c r="Q500" s="2205"/>
      <c r="R500" s="2205"/>
      <c r="S500" s="2205"/>
    </row>
    <row r="501" spans="1:19">
      <c r="A501" s="2256"/>
      <c r="B501" s="2205"/>
      <c r="C501" s="2205"/>
      <c r="D501" s="2205"/>
      <c r="E501" s="2205"/>
      <c r="F501" s="2205"/>
      <c r="G501" s="2205"/>
      <c r="H501" s="2205"/>
      <c r="I501" s="2205"/>
      <c r="J501" s="2205"/>
      <c r="K501" s="2205"/>
      <c r="L501" s="2205"/>
      <c r="M501" s="2268"/>
      <c r="N501" s="2268"/>
      <c r="O501" s="2268"/>
      <c r="P501" s="2205"/>
      <c r="Q501" s="2205"/>
      <c r="R501" s="2205"/>
      <c r="S501" s="2205"/>
    </row>
    <row r="502" spans="1:19">
      <c r="A502" s="2256"/>
      <c r="B502" s="2205"/>
      <c r="C502" s="2205"/>
      <c r="D502" s="2205"/>
      <c r="E502" s="2205"/>
      <c r="F502" s="2205"/>
      <c r="G502" s="2205"/>
      <c r="H502" s="2205"/>
      <c r="I502" s="2205"/>
      <c r="J502" s="2205"/>
      <c r="K502" s="2205"/>
      <c r="L502" s="2205"/>
      <c r="M502" s="2268"/>
      <c r="N502" s="2268"/>
      <c r="O502" s="2268"/>
      <c r="P502" s="2205"/>
      <c r="Q502" s="2205"/>
      <c r="R502" s="2205"/>
      <c r="S502" s="2205"/>
    </row>
    <row r="503" spans="1:19">
      <c r="A503" s="2256"/>
      <c r="B503" s="2205"/>
      <c r="C503" s="2205"/>
      <c r="D503" s="2205"/>
      <c r="E503" s="2205"/>
      <c r="F503" s="2205"/>
      <c r="G503" s="2205"/>
      <c r="H503" s="2205"/>
      <c r="I503" s="2205"/>
      <c r="J503" s="2205"/>
      <c r="K503" s="2205"/>
      <c r="L503" s="2205"/>
      <c r="M503" s="2268"/>
      <c r="N503" s="2268"/>
      <c r="O503" s="2268"/>
      <c r="P503" s="2205"/>
      <c r="Q503" s="2205"/>
      <c r="R503" s="2205"/>
      <c r="S503" s="2205"/>
    </row>
    <row r="504" spans="1:19">
      <c r="A504" s="2256"/>
      <c r="B504" s="2205"/>
      <c r="C504" s="2205"/>
      <c r="D504" s="2205"/>
      <c r="E504" s="2205"/>
      <c r="F504" s="2205"/>
      <c r="G504" s="2205"/>
      <c r="H504" s="2205"/>
      <c r="I504" s="2205"/>
      <c r="J504" s="2205"/>
      <c r="K504" s="2205"/>
      <c r="L504" s="2205"/>
      <c r="M504" s="2268"/>
      <c r="N504" s="2268"/>
      <c r="O504" s="2268"/>
      <c r="P504" s="2205"/>
      <c r="Q504" s="2205"/>
      <c r="R504" s="2205"/>
      <c r="S504" s="2205"/>
    </row>
    <row r="505" spans="1:19">
      <c r="A505" s="2256"/>
      <c r="B505" s="2205"/>
      <c r="C505" s="2205"/>
      <c r="D505" s="2205"/>
      <c r="E505" s="2205"/>
      <c r="F505" s="2205"/>
      <c r="G505" s="2205"/>
      <c r="H505" s="2205"/>
      <c r="I505" s="2205"/>
      <c r="J505" s="2205"/>
      <c r="K505" s="2205"/>
      <c r="L505" s="2205"/>
      <c r="M505" s="2268"/>
      <c r="N505" s="2268"/>
      <c r="O505" s="2268"/>
      <c r="P505" s="2205"/>
      <c r="Q505" s="2205"/>
      <c r="R505" s="2205"/>
      <c r="S505" s="2205"/>
    </row>
    <row r="506" spans="1:19">
      <c r="A506" s="2256"/>
      <c r="B506" s="2205"/>
      <c r="C506" s="2205"/>
      <c r="D506" s="2205"/>
      <c r="E506" s="2205"/>
      <c r="F506" s="2205"/>
      <c r="G506" s="2205"/>
      <c r="H506" s="2205"/>
      <c r="I506" s="2205"/>
      <c r="J506" s="2205"/>
      <c r="K506" s="2205"/>
      <c r="L506" s="2205"/>
      <c r="M506" s="2268"/>
      <c r="N506" s="2268"/>
      <c r="O506" s="2268"/>
      <c r="P506" s="2205"/>
      <c r="Q506" s="2205"/>
      <c r="R506" s="2205"/>
      <c r="S506" s="2205"/>
    </row>
    <row r="507" spans="1:19">
      <c r="A507" s="2256"/>
      <c r="B507" s="2205"/>
      <c r="C507" s="2205"/>
      <c r="D507" s="2205"/>
      <c r="E507" s="2205"/>
      <c r="F507" s="2205"/>
      <c r="G507" s="2205"/>
      <c r="H507" s="2205"/>
      <c r="I507" s="2205"/>
      <c r="J507" s="2205"/>
      <c r="K507" s="2205"/>
      <c r="L507" s="2205"/>
      <c r="M507" s="2268"/>
      <c r="N507" s="2268"/>
      <c r="O507" s="2268"/>
      <c r="P507" s="2205"/>
      <c r="Q507" s="2205"/>
      <c r="R507" s="2205"/>
      <c r="S507" s="2205"/>
    </row>
    <row r="508" spans="1:19">
      <c r="A508" s="2256"/>
      <c r="B508" s="2205"/>
      <c r="C508" s="2205"/>
      <c r="D508" s="2205"/>
      <c r="E508" s="2205"/>
      <c r="F508" s="2205"/>
      <c r="G508" s="2205"/>
      <c r="H508" s="2205"/>
      <c r="I508" s="2205"/>
      <c r="J508" s="2205"/>
      <c r="K508" s="2205"/>
      <c r="L508" s="2205"/>
      <c r="M508" s="2268"/>
      <c r="N508" s="2268"/>
      <c r="O508" s="2268"/>
      <c r="P508" s="2205"/>
      <c r="Q508" s="2205"/>
      <c r="R508" s="2205"/>
      <c r="S508" s="2205"/>
    </row>
    <row r="509" spans="1:19">
      <c r="A509" s="2256"/>
      <c r="B509" s="2205"/>
      <c r="C509" s="2205"/>
      <c r="D509" s="2205"/>
      <c r="E509" s="2205"/>
      <c r="F509" s="2205"/>
      <c r="G509" s="2205"/>
      <c r="H509" s="2205"/>
      <c r="I509" s="2205"/>
      <c r="J509" s="2205"/>
      <c r="K509" s="2205"/>
      <c r="L509" s="2205"/>
      <c r="M509" s="2268"/>
      <c r="N509" s="2268"/>
      <c r="O509" s="2268"/>
      <c r="P509" s="2205"/>
      <c r="Q509" s="2205"/>
      <c r="R509" s="2205"/>
      <c r="S509" s="2205"/>
    </row>
    <row r="510" spans="1:19">
      <c r="A510" s="2256"/>
      <c r="B510" s="2205"/>
      <c r="C510" s="2205"/>
      <c r="D510" s="2205"/>
      <c r="E510" s="2205"/>
      <c r="F510" s="2205"/>
      <c r="G510" s="2205"/>
      <c r="H510" s="2205"/>
      <c r="I510" s="2205"/>
      <c r="J510" s="2205"/>
      <c r="K510" s="2205"/>
      <c r="L510" s="2205"/>
      <c r="M510" s="2268"/>
      <c r="N510" s="2268"/>
      <c r="O510" s="2268"/>
      <c r="P510" s="2205"/>
      <c r="Q510" s="2205"/>
      <c r="R510" s="2205"/>
      <c r="S510" s="2205"/>
    </row>
    <row r="511" spans="1:19">
      <c r="A511" s="2256"/>
      <c r="B511" s="2205"/>
      <c r="C511" s="2205"/>
      <c r="D511" s="2205"/>
      <c r="E511" s="2205"/>
      <c r="F511" s="2205"/>
      <c r="G511" s="2205"/>
      <c r="H511" s="2205"/>
      <c r="I511" s="2205"/>
      <c r="J511" s="2205"/>
      <c r="K511" s="2205"/>
      <c r="L511" s="2205"/>
      <c r="M511" s="2268"/>
      <c r="N511" s="2268"/>
      <c r="O511" s="2268"/>
      <c r="P511" s="2205"/>
      <c r="Q511" s="2205"/>
      <c r="R511" s="2205"/>
      <c r="S511" s="2205"/>
    </row>
    <row r="512" spans="1:19">
      <c r="A512" s="2256"/>
      <c r="B512" s="2205"/>
      <c r="C512" s="2205"/>
      <c r="D512" s="2205"/>
      <c r="E512" s="2205"/>
      <c r="F512" s="2205"/>
      <c r="G512" s="2205"/>
      <c r="H512" s="2205"/>
      <c r="I512" s="2205"/>
      <c r="J512" s="2205"/>
      <c r="K512" s="2205"/>
      <c r="L512" s="2205"/>
      <c r="M512" s="2268"/>
      <c r="N512" s="2268"/>
      <c r="O512" s="2268"/>
      <c r="P512" s="2205"/>
      <c r="Q512" s="2205"/>
      <c r="R512" s="2205"/>
      <c r="S512" s="2205"/>
    </row>
    <row r="513" spans="1:19">
      <c r="A513" s="2256"/>
      <c r="B513" s="2205"/>
      <c r="C513" s="2205"/>
      <c r="D513" s="2205"/>
      <c r="E513" s="2205"/>
      <c r="F513" s="2205"/>
      <c r="G513" s="2205"/>
      <c r="H513" s="2205"/>
      <c r="I513" s="2205"/>
      <c r="J513" s="2205"/>
      <c r="K513" s="2205"/>
      <c r="L513" s="2205"/>
      <c r="M513" s="2268"/>
      <c r="N513" s="2268"/>
      <c r="O513" s="2268"/>
      <c r="P513" s="2205"/>
      <c r="Q513" s="2205"/>
      <c r="R513" s="2205"/>
      <c r="S513" s="2205"/>
    </row>
    <row r="514" spans="1:19">
      <c r="A514" s="2256"/>
      <c r="B514" s="2205"/>
      <c r="C514" s="2205"/>
      <c r="D514" s="2205"/>
      <c r="E514" s="2205"/>
      <c r="F514" s="2205"/>
      <c r="G514" s="2205"/>
      <c r="H514" s="2205"/>
      <c r="I514" s="2205"/>
      <c r="J514" s="2205"/>
      <c r="K514" s="2205"/>
      <c r="L514" s="2205"/>
      <c r="M514" s="2268"/>
      <c r="N514" s="2268"/>
      <c r="O514" s="2268"/>
      <c r="P514" s="2205"/>
      <c r="Q514" s="2205"/>
      <c r="R514" s="2205"/>
      <c r="S514" s="2205"/>
    </row>
    <row r="515" spans="1:19">
      <c r="A515" s="2256"/>
      <c r="B515" s="2205"/>
      <c r="C515" s="2205"/>
      <c r="D515" s="2205"/>
      <c r="E515" s="2205"/>
      <c r="F515" s="2205"/>
      <c r="G515" s="2205"/>
      <c r="H515" s="2205"/>
      <c r="I515" s="2205"/>
      <c r="J515" s="2205"/>
      <c r="K515" s="2205"/>
      <c r="L515" s="2205"/>
      <c r="M515" s="2268"/>
      <c r="N515" s="2268"/>
      <c r="O515" s="2268"/>
      <c r="P515" s="2205"/>
      <c r="Q515" s="2205"/>
      <c r="R515" s="2205"/>
      <c r="S515" s="2205"/>
    </row>
    <row r="516" spans="1:19">
      <c r="A516" s="2256"/>
      <c r="B516" s="2205"/>
      <c r="C516" s="2205"/>
      <c r="D516" s="2205"/>
      <c r="E516" s="2205"/>
      <c r="F516" s="2205"/>
      <c r="G516" s="2205"/>
      <c r="H516" s="2205"/>
      <c r="I516" s="2205"/>
      <c r="J516" s="2205"/>
      <c r="K516" s="2205"/>
      <c r="L516" s="2205"/>
      <c r="M516" s="2268"/>
      <c r="N516" s="2268"/>
      <c r="O516" s="2268"/>
      <c r="P516" s="2205"/>
      <c r="Q516" s="2205"/>
      <c r="R516" s="2205"/>
      <c r="S516" s="2205"/>
    </row>
    <row r="517" spans="1:19">
      <c r="A517" s="2256"/>
      <c r="B517" s="2205"/>
      <c r="C517" s="2205"/>
      <c r="D517" s="2205"/>
      <c r="E517" s="2205"/>
      <c r="F517" s="2205"/>
      <c r="G517" s="2205"/>
      <c r="H517" s="2205"/>
      <c r="I517" s="2205"/>
      <c r="J517" s="2205"/>
      <c r="K517" s="2205"/>
      <c r="L517" s="2205"/>
      <c r="M517" s="2268"/>
      <c r="N517" s="2268"/>
      <c r="O517" s="2268"/>
      <c r="P517" s="2205"/>
      <c r="Q517" s="2205"/>
      <c r="R517" s="2205"/>
      <c r="S517" s="2205"/>
    </row>
    <row r="518" spans="1:19">
      <c r="A518" s="2256"/>
      <c r="B518" s="2205"/>
      <c r="C518" s="2205"/>
      <c r="D518" s="2205"/>
      <c r="E518" s="2205"/>
      <c r="F518" s="2205"/>
      <c r="G518" s="2205"/>
      <c r="H518" s="2205"/>
      <c r="I518" s="2205"/>
      <c r="J518" s="2205"/>
      <c r="K518" s="2205"/>
      <c r="L518" s="2205"/>
      <c r="M518" s="2268"/>
      <c r="N518" s="2268"/>
      <c r="O518" s="2268"/>
      <c r="P518" s="2205"/>
      <c r="Q518" s="2205"/>
      <c r="R518" s="2205"/>
      <c r="S518" s="2205"/>
    </row>
    <row r="519" spans="1:19">
      <c r="A519" s="2256"/>
      <c r="B519" s="2205"/>
      <c r="C519" s="2205"/>
      <c r="D519" s="2205"/>
      <c r="E519" s="2205"/>
      <c r="F519" s="2205"/>
      <c r="G519" s="2205"/>
      <c r="H519" s="2205"/>
      <c r="I519" s="2205"/>
      <c r="J519" s="2205"/>
      <c r="K519" s="2205"/>
      <c r="L519" s="2205"/>
      <c r="M519" s="2268"/>
      <c r="N519" s="2268"/>
      <c r="O519" s="2268"/>
      <c r="P519" s="2205"/>
      <c r="Q519" s="2205"/>
      <c r="R519" s="2205"/>
      <c r="S519" s="2205"/>
    </row>
    <row r="520" spans="1:19">
      <c r="A520" s="2256"/>
      <c r="B520" s="2205"/>
      <c r="C520" s="2205"/>
      <c r="D520" s="2205"/>
      <c r="E520" s="2205"/>
      <c r="F520" s="2205"/>
      <c r="G520" s="2205"/>
      <c r="H520" s="2205"/>
      <c r="I520" s="2205"/>
      <c r="J520" s="2205"/>
      <c r="K520" s="2205"/>
      <c r="L520" s="2205"/>
      <c r="M520" s="2268"/>
      <c r="N520" s="2268"/>
      <c r="O520" s="2268"/>
      <c r="P520" s="2205"/>
      <c r="Q520" s="2205"/>
      <c r="R520" s="2205"/>
      <c r="S520" s="2205"/>
    </row>
    <row r="521" spans="1:19">
      <c r="A521" s="2256"/>
      <c r="B521" s="2205"/>
      <c r="C521" s="2205"/>
      <c r="D521" s="2205"/>
      <c r="E521" s="2205"/>
      <c r="F521" s="2205"/>
      <c r="G521" s="2205"/>
      <c r="H521" s="2205"/>
      <c r="I521" s="2205"/>
      <c r="J521" s="2205"/>
      <c r="K521" s="2205"/>
      <c r="L521" s="2205"/>
      <c r="M521" s="2268"/>
      <c r="N521" s="2268"/>
      <c r="O521" s="2268"/>
      <c r="P521" s="2205"/>
      <c r="Q521" s="2205"/>
      <c r="R521" s="2205"/>
      <c r="S521" s="2205"/>
    </row>
    <row r="522" spans="1:19">
      <c r="A522" s="2256"/>
      <c r="B522" s="2205"/>
      <c r="C522" s="2205"/>
      <c r="D522" s="2205"/>
      <c r="E522" s="2205"/>
      <c r="F522" s="2205"/>
      <c r="G522" s="2205"/>
      <c r="H522" s="2205"/>
      <c r="I522" s="2205"/>
      <c r="J522" s="2205"/>
      <c r="K522" s="2205"/>
      <c r="L522" s="2205"/>
      <c r="M522" s="2268"/>
      <c r="N522" s="2268"/>
      <c r="O522" s="2268"/>
      <c r="P522" s="2205"/>
      <c r="Q522" s="2205"/>
      <c r="R522" s="2205"/>
      <c r="S522" s="2205"/>
    </row>
    <row r="523" spans="1:19">
      <c r="A523" s="2256"/>
      <c r="B523" s="2205"/>
      <c r="C523" s="2205"/>
      <c r="D523" s="2205"/>
      <c r="E523" s="2205"/>
      <c r="F523" s="2205"/>
      <c r="G523" s="2205"/>
      <c r="H523" s="2205"/>
      <c r="I523" s="2205"/>
      <c r="J523" s="2205"/>
      <c r="K523" s="2205"/>
      <c r="L523" s="2205"/>
      <c r="M523" s="2268"/>
      <c r="N523" s="2268"/>
      <c r="O523" s="2268"/>
      <c r="P523" s="2205"/>
      <c r="Q523" s="2205"/>
      <c r="R523" s="2205"/>
      <c r="S523" s="2205"/>
    </row>
    <row r="524" spans="1:19">
      <c r="A524" s="2256"/>
      <c r="B524" s="2205"/>
      <c r="C524" s="2205"/>
      <c r="D524" s="2205"/>
      <c r="E524" s="2205"/>
      <c r="F524" s="2205"/>
      <c r="G524" s="2205"/>
      <c r="H524" s="2205"/>
      <c r="I524" s="2205"/>
      <c r="J524" s="2205"/>
      <c r="K524" s="2205"/>
      <c r="L524" s="2205"/>
      <c r="M524" s="2268"/>
      <c r="N524" s="2268"/>
      <c r="O524" s="2268"/>
      <c r="P524" s="2205"/>
      <c r="Q524" s="2205"/>
      <c r="R524" s="2205"/>
      <c r="S524" s="2205"/>
    </row>
    <row r="525" spans="1:19">
      <c r="A525" s="2256"/>
      <c r="B525" s="2205"/>
      <c r="C525" s="2205"/>
      <c r="D525" s="2205"/>
      <c r="E525" s="2205"/>
      <c r="F525" s="2205"/>
      <c r="G525" s="2205"/>
      <c r="H525" s="2205"/>
      <c r="I525" s="2205"/>
      <c r="J525" s="2205"/>
      <c r="K525" s="2205"/>
      <c r="L525" s="2205"/>
      <c r="M525" s="2268"/>
      <c r="N525" s="2268"/>
      <c r="O525" s="2268"/>
      <c r="P525" s="2205"/>
      <c r="Q525" s="2205"/>
      <c r="R525" s="2205"/>
      <c r="S525" s="2205"/>
    </row>
    <row r="526" spans="1:19">
      <c r="A526" s="2256"/>
      <c r="B526" s="2205"/>
      <c r="C526" s="2205"/>
      <c r="D526" s="2205"/>
      <c r="E526" s="2205"/>
      <c r="F526" s="2205"/>
      <c r="G526" s="2205"/>
      <c r="H526" s="2205"/>
      <c r="I526" s="2205"/>
      <c r="J526" s="2205"/>
      <c r="K526" s="2205"/>
      <c r="L526" s="2205"/>
      <c r="M526" s="2268"/>
      <c r="N526" s="2268"/>
      <c r="O526" s="2268"/>
      <c r="P526" s="2205"/>
      <c r="Q526" s="2205"/>
      <c r="R526" s="2205"/>
      <c r="S526" s="2205"/>
    </row>
    <row r="527" spans="1:19">
      <c r="A527" s="2256"/>
      <c r="B527" s="2205"/>
      <c r="C527" s="2205"/>
      <c r="D527" s="2205"/>
      <c r="E527" s="2205"/>
      <c r="F527" s="2205"/>
      <c r="G527" s="2205"/>
      <c r="H527" s="2205"/>
      <c r="I527" s="2205"/>
      <c r="J527" s="2205"/>
      <c r="K527" s="2205"/>
      <c r="L527" s="2205"/>
      <c r="M527" s="2268"/>
      <c r="N527" s="2268"/>
      <c r="O527" s="2268"/>
      <c r="P527" s="2205"/>
      <c r="Q527" s="2205"/>
      <c r="R527" s="2205"/>
      <c r="S527" s="2205"/>
    </row>
    <row r="528" spans="1:19">
      <c r="A528" s="2256"/>
      <c r="B528" s="2205"/>
      <c r="C528" s="2205"/>
      <c r="D528" s="2205"/>
      <c r="E528" s="2205"/>
      <c r="F528" s="2205"/>
      <c r="G528" s="2205"/>
      <c r="H528" s="2205"/>
      <c r="I528" s="2205"/>
      <c r="J528" s="2205"/>
      <c r="K528" s="2205"/>
      <c r="L528" s="2205"/>
      <c r="M528" s="2268"/>
      <c r="N528" s="2268"/>
      <c r="O528" s="2268"/>
      <c r="P528" s="2205"/>
      <c r="Q528" s="2205"/>
      <c r="R528" s="2205"/>
      <c r="S528" s="2205"/>
    </row>
    <row r="529" spans="1:19">
      <c r="A529" s="2256"/>
      <c r="B529" s="2205"/>
      <c r="C529" s="2205"/>
      <c r="D529" s="2205"/>
      <c r="E529" s="2205"/>
      <c r="F529" s="2205"/>
      <c r="G529" s="2205"/>
      <c r="H529" s="2205"/>
      <c r="I529" s="2205"/>
      <c r="J529" s="2205"/>
      <c r="K529" s="2205"/>
      <c r="L529" s="2205"/>
      <c r="M529" s="2268"/>
      <c r="N529" s="2268"/>
      <c r="O529" s="2268"/>
      <c r="P529" s="2205"/>
      <c r="Q529" s="2205"/>
      <c r="R529" s="2205"/>
      <c r="S529" s="2205"/>
    </row>
    <row r="530" spans="1:19">
      <c r="A530" s="2256"/>
      <c r="B530" s="2205"/>
      <c r="C530" s="2205"/>
      <c r="D530" s="2205"/>
      <c r="E530" s="2205"/>
      <c r="F530" s="2205"/>
      <c r="G530" s="2205"/>
      <c r="H530" s="2205"/>
      <c r="I530" s="2205"/>
      <c r="J530" s="2205"/>
      <c r="K530" s="2205"/>
      <c r="L530" s="2205"/>
      <c r="M530" s="2268"/>
      <c r="N530" s="2268"/>
      <c r="O530" s="2268"/>
      <c r="P530" s="2205"/>
      <c r="Q530" s="2205"/>
      <c r="R530" s="2205"/>
      <c r="S530" s="2205"/>
    </row>
    <row r="531" spans="1:19">
      <c r="A531" s="2256"/>
      <c r="B531" s="2205"/>
      <c r="C531" s="2205"/>
      <c r="D531" s="2205"/>
      <c r="E531" s="2205"/>
      <c r="F531" s="2205"/>
      <c r="G531" s="2205"/>
      <c r="H531" s="2205"/>
      <c r="I531" s="2205"/>
      <c r="J531" s="2205"/>
      <c r="K531" s="2205"/>
      <c r="L531" s="2205"/>
      <c r="M531" s="2268"/>
      <c r="N531" s="2268"/>
      <c r="O531" s="2268"/>
      <c r="P531" s="2205"/>
      <c r="Q531" s="2205"/>
      <c r="R531" s="2205"/>
      <c r="S531" s="2205"/>
    </row>
    <row r="532" spans="1:19">
      <c r="A532" s="2256"/>
      <c r="B532" s="2205"/>
      <c r="C532" s="2205"/>
      <c r="D532" s="2205"/>
      <c r="E532" s="2205"/>
      <c r="F532" s="2205"/>
      <c r="G532" s="2205"/>
      <c r="H532" s="2205"/>
      <c r="I532" s="2205"/>
      <c r="J532" s="2205"/>
      <c r="K532" s="2205"/>
      <c r="L532" s="2205"/>
      <c r="M532" s="2268"/>
      <c r="N532" s="2268"/>
      <c r="O532" s="2268"/>
      <c r="P532" s="2205"/>
      <c r="Q532" s="2205"/>
      <c r="R532" s="2205"/>
      <c r="S532" s="2205"/>
    </row>
    <row r="533" spans="1:19">
      <c r="A533" s="2256"/>
      <c r="B533" s="2205"/>
      <c r="C533" s="2205"/>
      <c r="D533" s="2205"/>
      <c r="E533" s="2205"/>
      <c r="F533" s="2205"/>
      <c r="G533" s="2205"/>
      <c r="H533" s="2205"/>
      <c r="I533" s="2205"/>
      <c r="J533" s="2205"/>
      <c r="K533" s="2205"/>
      <c r="L533" s="2205"/>
      <c r="M533" s="2268"/>
      <c r="N533" s="2268"/>
      <c r="O533" s="2268"/>
      <c r="P533" s="2205"/>
      <c r="Q533" s="2205"/>
      <c r="R533" s="2205"/>
      <c r="S533" s="2205"/>
    </row>
    <row r="534" spans="1:19">
      <c r="A534" s="2256"/>
      <c r="B534" s="2205"/>
      <c r="C534" s="2205"/>
      <c r="D534" s="2205"/>
      <c r="E534" s="2205"/>
      <c r="F534" s="2205"/>
      <c r="G534" s="2205"/>
      <c r="H534" s="2205"/>
      <c r="I534" s="2205"/>
      <c r="J534" s="2205"/>
      <c r="K534" s="2205"/>
      <c r="L534" s="2205"/>
      <c r="M534" s="2268"/>
      <c r="N534" s="2268"/>
      <c r="O534" s="2268"/>
      <c r="P534" s="2205"/>
      <c r="Q534" s="2205"/>
      <c r="R534" s="2205"/>
      <c r="S534" s="2205"/>
    </row>
    <row r="535" spans="1:19">
      <c r="A535" s="2256"/>
      <c r="B535" s="2205"/>
      <c r="C535" s="2205"/>
      <c r="D535" s="2205"/>
      <c r="E535" s="2205"/>
      <c r="F535" s="2205"/>
      <c r="G535" s="2205"/>
      <c r="H535" s="2205"/>
      <c r="I535" s="2205"/>
      <c r="J535" s="2205"/>
      <c r="K535" s="2205"/>
      <c r="L535" s="2205"/>
      <c r="M535" s="2268"/>
      <c r="N535" s="2268"/>
      <c r="O535" s="2268"/>
      <c r="P535" s="2205"/>
      <c r="Q535" s="2205"/>
      <c r="R535" s="2205"/>
      <c r="S535" s="2205"/>
    </row>
    <row r="536" spans="1:19">
      <c r="A536" s="2256"/>
      <c r="B536" s="2205"/>
      <c r="C536" s="2205"/>
      <c r="D536" s="2205"/>
      <c r="E536" s="2205"/>
      <c r="F536" s="2205"/>
      <c r="G536" s="2205"/>
      <c r="H536" s="2205"/>
      <c r="I536" s="2205"/>
      <c r="J536" s="2205"/>
      <c r="K536" s="2205"/>
      <c r="L536" s="2205"/>
      <c r="M536" s="2268"/>
      <c r="N536" s="2268"/>
      <c r="O536" s="2268"/>
      <c r="P536" s="2205"/>
      <c r="Q536" s="2205"/>
      <c r="R536" s="2205"/>
      <c r="S536" s="2205"/>
    </row>
    <row r="537" spans="1:19">
      <c r="A537" s="2256"/>
      <c r="B537" s="2205"/>
      <c r="C537" s="2205"/>
      <c r="D537" s="2205"/>
      <c r="E537" s="2205"/>
      <c r="F537" s="2205"/>
      <c r="G537" s="2205"/>
      <c r="H537" s="2205"/>
      <c r="I537" s="2205"/>
      <c r="J537" s="2205"/>
      <c r="K537" s="2205"/>
      <c r="L537" s="2205"/>
      <c r="M537" s="2268"/>
      <c r="N537" s="2268"/>
      <c r="O537" s="2268"/>
      <c r="P537" s="2205"/>
      <c r="Q537" s="2205"/>
      <c r="R537" s="2205"/>
      <c r="S537" s="2205"/>
    </row>
    <row r="538" spans="1:19">
      <c r="A538" s="2256"/>
      <c r="B538" s="2205"/>
      <c r="C538" s="2205"/>
      <c r="D538" s="2205"/>
      <c r="E538" s="2205"/>
      <c r="F538" s="2205"/>
      <c r="G538" s="2205"/>
      <c r="H538" s="2205"/>
      <c r="I538" s="2205"/>
      <c r="J538" s="2205"/>
      <c r="K538" s="2205"/>
      <c r="L538" s="2205"/>
      <c r="M538" s="2268"/>
      <c r="N538" s="2268"/>
      <c r="O538" s="2268"/>
      <c r="P538" s="2205"/>
      <c r="Q538" s="2205"/>
      <c r="R538" s="2205"/>
      <c r="S538" s="2205"/>
    </row>
    <row r="539" spans="1:19">
      <c r="A539" s="2256"/>
      <c r="B539" s="2205"/>
      <c r="C539" s="2205"/>
      <c r="D539" s="2205"/>
      <c r="E539" s="2205"/>
      <c r="F539" s="2205"/>
      <c r="G539" s="2205"/>
      <c r="H539" s="2205"/>
      <c r="I539" s="2205"/>
      <c r="J539" s="2205"/>
      <c r="K539" s="2205"/>
      <c r="L539" s="2205"/>
      <c r="M539" s="2268"/>
      <c r="N539" s="2268"/>
      <c r="O539" s="2268"/>
      <c r="P539" s="2205"/>
      <c r="Q539" s="2205"/>
      <c r="R539" s="2205"/>
      <c r="S539" s="2205"/>
    </row>
    <row r="540" spans="1:19">
      <c r="A540" s="2256"/>
      <c r="B540" s="2205"/>
      <c r="C540" s="2205"/>
      <c r="D540" s="2205"/>
      <c r="E540" s="2205"/>
      <c r="F540" s="2205"/>
      <c r="G540" s="2205"/>
      <c r="H540" s="2205"/>
      <c r="I540" s="2205"/>
      <c r="J540" s="2205"/>
      <c r="K540" s="2205"/>
      <c r="L540" s="2205"/>
      <c r="M540" s="2268"/>
      <c r="N540" s="2268"/>
      <c r="O540" s="2268"/>
      <c r="P540" s="2205"/>
      <c r="Q540" s="2205"/>
      <c r="R540" s="2205"/>
      <c r="S540" s="2205"/>
    </row>
    <row r="541" spans="1:19">
      <c r="A541" s="2256"/>
      <c r="B541" s="2205"/>
      <c r="C541" s="2205"/>
      <c r="D541" s="2205"/>
      <c r="E541" s="2205"/>
      <c r="F541" s="2205"/>
      <c r="G541" s="2205"/>
      <c r="H541" s="2205"/>
      <c r="I541" s="2205"/>
      <c r="J541" s="2205"/>
      <c r="K541" s="2205"/>
      <c r="L541" s="2205"/>
      <c r="M541" s="2268"/>
      <c r="N541" s="2268"/>
      <c r="O541" s="2268"/>
      <c r="P541" s="2205"/>
      <c r="Q541" s="2205"/>
      <c r="R541" s="2205"/>
      <c r="S541" s="2205"/>
    </row>
    <row r="542" spans="1:19">
      <c r="A542" s="2256"/>
      <c r="B542" s="2205"/>
      <c r="C542" s="2205"/>
      <c r="D542" s="2205"/>
      <c r="E542" s="2205"/>
      <c r="F542" s="2205"/>
      <c r="G542" s="2205"/>
      <c r="H542" s="2205"/>
      <c r="I542" s="2205"/>
      <c r="J542" s="2205"/>
      <c r="K542" s="2205"/>
      <c r="L542" s="2205"/>
      <c r="M542" s="2268"/>
      <c r="N542" s="2268"/>
      <c r="O542" s="2268"/>
      <c r="P542" s="2205"/>
      <c r="Q542" s="2205"/>
      <c r="R542" s="2205"/>
      <c r="S542" s="2205"/>
    </row>
    <row r="543" spans="1:19">
      <c r="A543" s="2256"/>
      <c r="B543" s="2205"/>
      <c r="C543" s="2205"/>
      <c r="D543" s="2205"/>
      <c r="E543" s="2205"/>
      <c r="F543" s="2205"/>
      <c r="G543" s="2205"/>
      <c r="H543" s="2205"/>
      <c r="I543" s="2205"/>
      <c r="J543" s="2205"/>
      <c r="K543" s="2205"/>
      <c r="L543" s="2205"/>
      <c r="M543" s="2268"/>
      <c r="N543" s="2268"/>
      <c r="O543" s="2268"/>
      <c r="P543" s="2205"/>
      <c r="Q543" s="2205"/>
      <c r="R543" s="2205"/>
      <c r="S543" s="2205"/>
    </row>
    <row r="544" spans="1:19">
      <c r="A544" s="2256"/>
      <c r="B544" s="2205"/>
      <c r="C544" s="2205"/>
      <c r="D544" s="2205"/>
      <c r="E544" s="2205"/>
      <c r="F544" s="2205"/>
      <c r="G544" s="2205"/>
      <c r="H544" s="2205"/>
      <c r="I544" s="2205"/>
      <c r="J544" s="2205"/>
      <c r="K544" s="2205"/>
      <c r="L544" s="2205"/>
      <c r="M544" s="2268"/>
      <c r="N544" s="2268"/>
      <c r="O544" s="2268"/>
      <c r="P544" s="2205"/>
      <c r="Q544" s="2205"/>
      <c r="R544" s="2205"/>
      <c r="S544" s="2205"/>
    </row>
    <row r="545" spans="1:19">
      <c r="A545" s="2256"/>
      <c r="B545" s="2205"/>
      <c r="C545" s="2205"/>
      <c r="D545" s="2205"/>
      <c r="E545" s="2205"/>
      <c r="F545" s="2205"/>
      <c r="G545" s="2205"/>
      <c r="H545" s="2205"/>
      <c r="I545" s="2205"/>
      <c r="J545" s="2205"/>
      <c r="K545" s="2205"/>
      <c r="L545" s="2205"/>
      <c r="M545" s="2268"/>
      <c r="N545" s="2268"/>
      <c r="O545" s="2268"/>
      <c r="P545" s="2205"/>
      <c r="Q545" s="2205"/>
      <c r="R545" s="2205"/>
      <c r="S545" s="2205"/>
    </row>
    <row r="546" spans="1:19">
      <c r="A546" s="2256"/>
      <c r="B546" s="2205"/>
      <c r="C546" s="2205"/>
      <c r="D546" s="2205"/>
      <c r="E546" s="2205"/>
      <c r="F546" s="2205"/>
      <c r="G546" s="2205"/>
      <c r="H546" s="2205"/>
      <c r="I546" s="2205"/>
      <c r="J546" s="2205"/>
      <c r="K546" s="2205"/>
      <c r="L546" s="2205"/>
      <c r="M546" s="2268"/>
      <c r="N546" s="2268"/>
      <c r="O546" s="2268"/>
      <c r="P546" s="2205"/>
      <c r="Q546" s="2205"/>
      <c r="R546" s="2205"/>
      <c r="S546" s="2205"/>
    </row>
    <row r="547" spans="1:19">
      <c r="A547" s="2256"/>
      <c r="B547" s="2205"/>
      <c r="C547" s="2205"/>
      <c r="D547" s="2205"/>
      <c r="E547" s="2205"/>
      <c r="F547" s="2205"/>
      <c r="G547" s="2205"/>
      <c r="H547" s="2205"/>
      <c r="I547" s="2205"/>
      <c r="J547" s="2205"/>
      <c r="K547" s="2205"/>
      <c r="L547" s="2205"/>
      <c r="M547" s="2268"/>
      <c r="N547" s="2268"/>
      <c r="O547" s="2268"/>
      <c r="P547" s="2205"/>
      <c r="Q547" s="2205"/>
      <c r="R547" s="2205"/>
      <c r="S547" s="2205"/>
    </row>
    <row r="548" spans="1:19">
      <c r="A548" s="2256"/>
      <c r="B548" s="2205"/>
      <c r="C548" s="2205"/>
      <c r="D548" s="2205"/>
      <c r="E548" s="2205"/>
      <c r="F548" s="2205"/>
      <c r="G548" s="2205"/>
      <c r="H548" s="2205"/>
      <c r="I548" s="2205"/>
      <c r="J548" s="2205"/>
      <c r="K548" s="2205"/>
      <c r="L548" s="2205"/>
      <c r="M548" s="2268"/>
      <c r="N548" s="2268"/>
      <c r="O548" s="2268"/>
      <c r="P548" s="2205"/>
      <c r="Q548" s="2205"/>
      <c r="R548" s="2205"/>
      <c r="S548" s="2205"/>
    </row>
    <row r="549" spans="1:19">
      <c r="A549" s="2256"/>
      <c r="B549" s="2205"/>
      <c r="C549" s="2205"/>
      <c r="D549" s="2205"/>
      <c r="E549" s="2205"/>
      <c r="F549" s="2205"/>
      <c r="G549" s="2205"/>
      <c r="H549" s="2205"/>
      <c r="I549" s="2205"/>
      <c r="J549" s="2205"/>
      <c r="K549" s="2205"/>
      <c r="L549" s="2205"/>
      <c r="M549" s="2268"/>
      <c r="N549" s="2268"/>
      <c r="O549" s="2268"/>
      <c r="P549" s="2205"/>
      <c r="Q549" s="2205"/>
      <c r="R549" s="2205"/>
      <c r="S549" s="2205"/>
    </row>
    <row r="550" spans="1:19">
      <c r="A550" s="2256"/>
      <c r="B550" s="2205"/>
      <c r="C550" s="2205"/>
      <c r="D550" s="2205"/>
      <c r="E550" s="2205"/>
      <c r="F550" s="2205"/>
      <c r="G550" s="2205"/>
      <c r="H550" s="2205"/>
      <c r="I550" s="2205"/>
      <c r="J550" s="2205"/>
      <c r="K550" s="2205"/>
      <c r="L550" s="2205"/>
      <c r="M550" s="2268"/>
      <c r="N550" s="2268"/>
      <c r="O550" s="2268"/>
      <c r="P550" s="2205"/>
      <c r="Q550" s="2205"/>
      <c r="R550" s="2205"/>
      <c r="S550" s="2205"/>
    </row>
    <row r="551" spans="1:19">
      <c r="A551" s="2256"/>
      <c r="B551" s="2205"/>
      <c r="C551" s="2205"/>
      <c r="D551" s="2205"/>
      <c r="E551" s="2205"/>
      <c r="F551" s="2205"/>
      <c r="G551" s="2205"/>
      <c r="H551" s="2205"/>
      <c r="I551" s="2205"/>
      <c r="J551" s="2205"/>
      <c r="K551" s="2205"/>
      <c r="L551" s="2205"/>
      <c r="M551" s="2268"/>
      <c r="N551" s="2268"/>
      <c r="O551" s="2268"/>
      <c r="P551" s="2205"/>
      <c r="Q551" s="2205"/>
      <c r="R551" s="2205"/>
      <c r="S551" s="2205"/>
    </row>
    <row r="552" spans="1:19">
      <c r="A552" s="2256"/>
      <c r="B552" s="2205"/>
      <c r="C552" s="2205"/>
      <c r="D552" s="2205"/>
      <c r="E552" s="2205"/>
      <c r="F552" s="2205"/>
      <c r="G552" s="2205"/>
      <c r="H552" s="2205"/>
      <c r="I552" s="2205"/>
      <c r="J552" s="2205"/>
      <c r="K552" s="2205"/>
      <c r="L552" s="2205"/>
      <c r="M552" s="2268"/>
      <c r="N552" s="2268"/>
      <c r="O552" s="2268"/>
      <c r="P552" s="2205"/>
      <c r="Q552" s="2205"/>
      <c r="R552" s="2205"/>
      <c r="S552" s="2205"/>
    </row>
    <row r="553" spans="1:19">
      <c r="A553" s="2256"/>
      <c r="B553" s="2205"/>
      <c r="C553" s="2205"/>
      <c r="D553" s="2205"/>
      <c r="E553" s="2205"/>
      <c r="F553" s="2205"/>
      <c r="G553" s="2205"/>
      <c r="H553" s="2205"/>
      <c r="I553" s="2205"/>
      <c r="J553" s="2205"/>
      <c r="K553" s="2205"/>
      <c r="L553" s="2205"/>
      <c r="M553" s="2268"/>
      <c r="N553" s="2268"/>
      <c r="O553" s="2268"/>
      <c r="P553" s="2205"/>
      <c r="Q553" s="2205"/>
      <c r="R553" s="2205"/>
      <c r="S553" s="2205"/>
    </row>
    <row r="554" spans="1:19">
      <c r="A554" s="2256"/>
      <c r="B554" s="2205"/>
      <c r="C554" s="2205"/>
      <c r="D554" s="2205"/>
      <c r="E554" s="2205"/>
      <c r="F554" s="2205"/>
      <c r="G554" s="2205"/>
      <c r="H554" s="2205"/>
      <c r="I554" s="2205"/>
      <c r="J554" s="2205"/>
      <c r="K554" s="2205"/>
      <c r="L554" s="2205"/>
      <c r="M554" s="2268"/>
      <c r="N554" s="2268"/>
      <c r="O554" s="2268"/>
      <c r="P554" s="2205"/>
      <c r="Q554" s="2205"/>
      <c r="R554" s="2205"/>
      <c r="S554" s="2205"/>
    </row>
    <row r="555" spans="1:19">
      <c r="A555" s="2256"/>
      <c r="B555" s="2205"/>
      <c r="C555" s="2205"/>
      <c r="D555" s="2205"/>
      <c r="E555" s="2205"/>
      <c r="F555" s="2205"/>
      <c r="G555" s="2205"/>
      <c r="H555" s="2205"/>
      <c r="I555" s="2205"/>
      <c r="J555" s="2205"/>
      <c r="K555" s="2205"/>
      <c r="L555" s="2205"/>
      <c r="M555" s="2268"/>
      <c r="N555" s="2268"/>
      <c r="O555" s="2268"/>
      <c r="P555" s="2205"/>
      <c r="Q555" s="2205"/>
      <c r="R555" s="2205"/>
      <c r="S555" s="2205"/>
    </row>
    <row r="556" spans="1:19">
      <c r="A556" s="2256"/>
      <c r="B556" s="2205"/>
      <c r="C556" s="2205"/>
      <c r="D556" s="2205"/>
      <c r="E556" s="2205"/>
      <c r="F556" s="2205"/>
      <c r="G556" s="2205"/>
      <c r="H556" s="2205"/>
      <c r="I556" s="2205"/>
      <c r="J556" s="2205"/>
      <c r="K556" s="2205"/>
      <c r="L556" s="2205"/>
      <c r="M556" s="2268"/>
      <c r="N556" s="2268"/>
      <c r="O556" s="2268"/>
      <c r="P556" s="2205"/>
      <c r="Q556" s="2205"/>
      <c r="R556" s="2205"/>
      <c r="S556" s="2205"/>
    </row>
    <row r="557" spans="1:19">
      <c r="A557" s="2256"/>
      <c r="B557" s="2205"/>
      <c r="C557" s="2205"/>
      <c r="D557" s="2205"/>
      <c r="E557" s="2205"/>
      <c r="F557" s="2205"/>
      <c r="G557" s="2205"/>
      <c r="H557" s="2205"/>
      <c r="I557" s="2205"/>
      <c r="J557" s="2205"/>
      <c r="K557" s="2205"/>
      <c r="L557" s="2205"/>
      <c r="M557" s="2268"/>
      <c r="N557" s="2268"/>
      <c r="O557" s="2268"/>
      <c r="P557" s="2205"/>
      <c r="Q557" s="2205"/>
      <c r="R557" s="2205"/>
      <c r="S557" s="2205"/>
    </row>
    <row r="558" spans="1:19">
      <c r="A558" s="2256"/>
      <c r="B558" s="2205"/>
      <c r="C558" s="2205"/>
      <c r="D558" s="2205"/>
      <c r="E558" s="2205"/>
      <c r="F558" s="2205"/>
      <c r="G558" s="2205"/>
      <c r="H558" s="2205"/>
      <c r="I558" s="2205"/>
      <c r="J558" s="2205"/>
      <c r="K558" s="2205"/>
      <c r="L558" s="2205"/>
      <c r="M558" s="2268"/>
      <c r="N558" s="2268"/>
      <c r="O558" s="2268"/>
      <c r="P558" s="2205"/>
      <c r="Q558" s="2205"/>
      <c r="R558" s="2205"/>
      <c r="S558" s="2205"/>
    </row>
    <row r="559" spans="1:19">
      <c r="A559" s="2256"/>
      <c r="B559" s="2205"/>
      <c r="C559" s="2205"/>
      <c r="D559" s="2205"/>
      <c r="E559" s="2205"/>
      <c r="F559" s="2205"/>
      <c r="G559" s="2205"/>
      <c r="H559" s="2205"/>
      <c r="I559" s="2205"/>
      <c r="J559" s="2205"/>
      <c r="K559" s="2205"/>
      <c r="L559" s="2205"/>
      <c r="M559" s="2268"/>
      <c r="N559" s="2268"/>
      <c r="O559" s="2268"/>
      <c r="P559" s="2205"/>
      <c r="Q559" s="2205"/>
      <c r="R559" s="2205"/>
      <c r="S559" s="2205"/>
    </row>
    <row r="560" spans="1:19">
      <c r="A560" s="2256"/>
      <c r="B560" s="2205"/>
      <c r="C560" s="2205"/>
      <c r="D560" s="2205"/>
      <c r="E560" s="2205"/>
      <c r="F560" s="2205"/>
      <c r="G560" s="2205"/>
      <c r="H560" s="2205"/>
      <c r="I560" s="2205"/>
      <c r="J560" s="2205"/>
      <c r="K560" s="2205"/>
      <c r="L560" s="2205"/>
      <c r="M560" s="2268"/>
      <c r="N560" s="2268"/>
      <c r="O560" s="2268"/>
      <c r="P560" s="2205"/>
      <c r="Q560" s="2205"/>
      <c r="R560" s="2205"/>
      <c r="S560" s="2205"/>
    </row>
    <row r="561" spans="1:19">
      <c r="A561" s="2256"/>
      <c r="B561" s="2205"/>
      <c r="C561" s="2205"/>
      <c r="D561" s="2205"/>
      <c r="E561" s="2205"/>
      <c r="F561" s="2205"/>
      <c r="G561" s="2205"/>
      <c r="H561" s="2205"/>
      <c r="I561" s="2205"/>
      <c r="J561" s="2205"/>
      <c r="K561" s="2205"/>
      <c r="L561" s="2205"/>
      <c r="M561" s="2268"/>
      <c r="N561" s="2268"/>
      <c r="O561" s="2268"/>
      <c r="P561" s="2205"/>
      <c r="Q561" s="2205"/>
      <c r="R561" s="2205"/>
      <c r="S561" s="2205"/>
    </row>
    <row r="562" spans="1:19">
      <c r="A562" s="2256"/>
      <c r="B562" s="2205"/>
      <c r="C562" s="2205"/>
      <c r="D562" s="2205"/>
      <c r="E562" s="2205"/>
      <c r="F562" s="2205"/>
      <c r="G562" s="2205"/>
      <c r="H562" s="2205"/>
      <c r="I562" s="2205"/>
      <c r="J562" s="2205"/>
      <c r="K562" s="2205"/>
      <c r="L562" s="2205"/>
      <c r="M562" s="2268"/>
      <c r="N562" s="2268"/>
      <c r="O562" s="2268"/>
      <c r="P562" s="2205"/>
      <c r="Q562" s="2205"/>
      <c r="R562" s="2205"/>
      <c r="S562" s="2205"/>
    </row>
    <row r="563" spans="1:19">
      <c r="A563" s="2256"/>
      <c r="B563" s="2205"/>
      <c r="C563" s="2205"/>
      <c r="D563" s="2205"/>
      <c r="E563" s="2205"/>
      <c r="F563" s="2205"/>
      <c r="G563" s="2205"/>
      <c r="H563" s="2205"/>
      <c r="I563" s="2205"/>
      <c r="J563" s="2205"/>
      <c r="K563" s="2205"/>
      <c r="L563" s="2205"/>
      <c r="M563" s="2268"/>
      <c r="N563" s="2268"/>
      <c r="O563" s="2268"/>
      <c r="P563" s="2205"/>
      <c r="Q563" s="2205"/>
      <c r="R563" s="2205"/>
      <c r="S563" s="2205"/>
    </row>
    <row r="564" spans="1:19">
      <c r="A564" s="2256"/>
      <c r="B564" s="2205"/>
      <c r="C564" s="2205"/>
      <c r="D564" s="2205"/>
      <c r="E564" s="2205"/>
      <c r="F564" s="2205"/>
      <c r="G564" s="2205"/>
      <c r="H564" s="2205"/>
      <c r="I564" s="2205"/>
      <c r="J564" s="2205"/>
      <c r="K564" s="2205"/>
      <c r="L564" s="2205"/>
      <c r="M564" s="2268"/>
      <c r="N564" s="2268"/>
      <c r="O564" s="2268"/>
      <c r="P564" s="2205"/>
      <c r="Q564" s="2205"/>
      <c r="R564" s="2205"/>
      <c r="S564" s="2205"/>
    </row>
    <row r="565" spans="1:19">
      <c r="A565" s="2256"/>
      <c r="B565" s="2205"/>
      <c r="C565" s="2205"/>
      <c r="D565" s="2205"/>
      <c r="E565" s="2205"/>
      <c r="F565" s="2205"/>
      <c r="G565" s="2205"/>
      <c r="H565" s="2205"/>
      <c r="I565" s="2205"/>
      <c r="J565" s="2205"/>
      <c r="K565" s="2205"/>
      <c r="L565" s="2205"/>
      <c r="M565" s="2268"/>
      <c r="N565" s="2268"/>
      <c r="O565" s="2268"/>
      <c r="P565" s="2205"/>
      <c r="Q565" s="2205"/>
      <c r="R565" s="2205"/>
      <c r="S565" s="2205"/>
    </row>
    <row r="566" spans="1:19">
      <c r="A566" s="2256"/>
      <c r="B566" s="2205"/>
      <c r="C566" s="2205"/>
      <c r="D566" s="2205"/>
      <c r="E566" s="2205"/>
      <c r="F566" s="2205"/>
      <c r="G566" s="2205"/>
      <c r="H566" s="2205"/>
      <c r="I566" s="2205"/>
      <c r="J566" s="2205"/>
      <c r="K566" s="2205"/>
      <c r="L566" s="2205"/>
      <c r="M566" s="2268"/>
      <c r="N566" s="2268"/>
      <c r="O566" s="2268"/>
      <c r="P566" s="2205"/>
      <c r="Q566" s="2205"/>
      <c r="R566" s="2205"/>
      <c r="S566" s="2205"/>
    </row>
    <row r="567" spans="1:19">
      <c r="A567" s="2256"/>
      <c r="B567" s="2205"/>
      <c r="C567" s="2205"/>
      <c r="D567" s="2205"/>
      <c r="E567" s="2205"/>
      <c r="F567" s="2205"/>
      <c r="G567" s="2205"/>
      <c r="H567" s="2205"/>
      <c r="I567" s="2205"/>
      <c r="J567" s="2205"/>
      <c r="K567" s="2205"/>
      <c r="L567" s="2205"/>
      <c r="M567" s="2268"/>
      <c r="N567" s="2268"/>
      <c r="O567" s="2268"/>
      <c r="P567" s="2205"/>
      <c r="Q567" s="2205"/>
      <c r="R567" s="2205"/>
      <c r="S567" s="2205"/>
    </row>
    <row r="568" spans="1:19">
      <c r="A568" s="2256"/>
      <c r="B568" s="2205"/>
      <c r="C568" s="2205"/>
      <c r="D568" s="2205"/>
      <c r="E568" s="2205"/>
      <c r="F568" s="2205"/>
      <c r="G568" s="2205"/>
      <c r="H568" s="2205"/>
      <c r="I568" s="2205"/>
      <c r="J568" s="2205"/>
      <c r="K568" s="2205"/>
      <c r="L568" s="2205"/>
      <c r="M568" s="2268"/>
      <c r="N568" s="2268"/>
      <c r="O568" s="2268"/>
      <c r="P568" s="2205"/>
      <c r="Q568" s="2205"/>
      <c r="R568" s="2205"/>
      <c r="S568" s="2205"/>
    </row>
    <row r="569" spans="1:19">
      <c r="A569" s="2256"/>
      <c r="B569" s="2205"/>
      <c r="C569" s="2205"/>
      <c r="D569" s="2205"/>
      <c r="E569" s="2205"/>
      <c r="F569" s="2205"/>
      <c r="G569" s="2205"/>
      <c r="H569" s="2205"/>
      <c r="I569" s="2205"/>
      <c r="J569" s="2205"/>
      <c r="K569" s="2205"/>
      <c r="L569" s="2205"/>
      <c r="M569" s="2268"/>
      <c r="N569" s="2268"/>
      <c r="O569" s="2268"/>
      <c r="P569" s="2205"/>
      <c r="Q569" s="2205"/>
      <c r="R569" s="2205"/>
      <c r="S569" s="2205"/>
    </row>
    <row r="570" spans="1:19">
      <c r="A570" s="2256"/>
      <c r="B570" s="2205"/>
      <c r="C570" s="2205"/>
      <c r="D570" s="2205"/>
      <c r="E570" s="2205"/>
      <c r="F570" s="2205"/>
      <c r="G570" s="2205"/>
      <c r="H570" s="2205"/>
      <c r="I570" s="2205"/>
      <c r="J570" s="2205"/>
      <c r="K570" s="2205"/>
      <c r="L570" s="2205"/>
      <c r="M570" s="2268"/>
      <c r="N570" s="2268"/>
      <c r="O570" s="2268"/>
      <c r="P570" s="2205"/>
      <c r="Q570" s="2205"/>
      <c r="R570" s="2205"/>
      <c r="S570" s="2205"/>
    </row>
    <row r="571" spans="1:19">
      <c r="A571" s="2256"/>
      <c r="B571" s="2205"/>
      <c r="C571" s="2205"/>
      <c r="D571" s="2205"/>
      <c r="E571" s="2205"/>
      <c r="F571" s="2205"/>
      <c r="G571" s="2205"/>
      <c r="H571" s="2205"/>
      <c r="I571" s="2205"/>
      <c r="J571" s="2205"/>
      <c r="K571" s="2205"/>
      <c r="L571" s="2205"/>
      <c r="M571" s="2268"/>
      <c r="N571" s="2268"/>
      <c r="O571" s="2268"/>
      <c r="P571" s="2205"/>
      <c r="Q571" s="2205"/>
      <c r="R571" s="2205"/>
      <c r="S571" s="2205"/>
    </row>
    <row r="572" spans="1:19">
      <c r="A572" s="2256"/>
      <c r="B572" s="2205"/>
      <c r="C572" s="2205"/>
      <c r="D572" s="2205"/>
      <c r="E572" s="2205"/>
      <c r="F572" s="2205"/>
      <c r="G572" s="2205"/>
      <c r="H572" s="2205"/>
      <c r="I572" s="2205"/>
      <c r="J572" s="2205"/>
      <c r="K572" s="2205"/>
      <c r="L572" s="2205"/>
      <c r="M572" s="2268"/>
      <c r="N572" s="2268"/>
      <c r="O572" s="2268"/>
      <c r="P572" s="2205"/>
      <c r="Q572" s="2205"/>
      <c r="R572" s="2205"/>
      <c r="S572" s="2205"/>
    </row>
    <row r="573" spans="1:19">
      <c r="A573" s="2256"/>
      <c r="B573" s="2205"/>
      <c r="C573" s="2205"/>
      <c r="D573" s="2205"/>
      <c r="E573" s="2205"/>
      <c r="F573" s="2205"/>
      <c r="G573" s="2205"/>
      <c r="H573" s="2205"/>
      <c r="I573" s="2205"/>
      <c r="J573" s="2205"/>
      <c r="K573" s="2205"/>
      <c r="L573" s="2205"/>
      <c r="M573" s="2268"/>
      <c r="N573" s="2268"/>
      <c r="O573" s="2268"/>
      <c r="P573" s="2205"/>
      <c r="Q573" s="2205"/>
      <c r="R573" s="2205"/>
      <c r="S573" s="2205"/>
    </row>
    <row r="574" spans="1:19">
      <c r="A574" s="2256"/>
      <c r="B574" s="2205"/>
      <c r="C574" s="2205"/>
      <c r="D574" s="2205"/>
      <c r="E574" s="2205"/>
      <c r="F574" s="2205"/>
      <c r="G574" s="2205"/>
      <c r="H574" s="2205"/>
      <c r="I574" s="2205"/>
      <c r="J574" s="2205"/>
      <c r="K574" s="2205"/>
      <c r="L574" s="2205"/>
      <c r="M574" s="2268"/>
      <c r="N574" s="2268"/>
      <c r="O574" s="2268"/>
      <c r="P574" s="2205"/>
      <c r="Q574" s="2205"/>
      <c r="R574" s="2205"/>
      <c r="S574" s="2205"/>
    </row>
    <row r="575" spans="1:19">
      <c r="A575" s="2256"/>
      <c r="B575" s="2205"/>
      <c r="C575" s="2205"/>
      <c r="D575" s="2205"/>
      <c r="E575" s="2205"/>
      <c r="F575" s="2205"/>
      <c r="G575" s="2205"/>
      <c r="H575" s="2205"/>
      <c r="I575" s="2205"/>
      <c r="J575" s="2205"/>
      <c r="K575" s="2205"/>
      <c r="L575" s="2205"/>
      <c r="M575" s="2268"/>
      <c r="N575" s="2268"/>
      <c r="O575" s="2268"/>
      <c r="P575" s="2205"/>
      <c r="Q575" s="2205"/>
      <c r="R575" s="2205"/>
      <c r="S575" s="2205"/>
    </row>
    <row r="576" spans="1:19">
      <c r="A576" s="2256"/>
      <c r="B576" s="2205"/>
      <c r="C576" s="2205"/>
      <c r="D576" s="2205"/>
      <c r="E576" s="2205"/>
      <c r="F576" s="2205"/>
      <c r="G576" s="2205"/>
      <c r="H576" s="2205"/>
      <c r="I576" s="2205"/>
      <c r="J576" s="2205"/>
      <c r="K576" s="2205"/>
      <c r="L576" s="2205"/>
      <c r="M576" s="2268"/>
      <c r="N576" s="2268"/>
      <c r="O576" s="2268"/>
      <c r="P576" s="2205"/>
      <c r="Q576" s="2205"/>
      <c r="R576" s="2205"/>
      <c r="S576" s="2205"/>
    </row>
    <row r="577" spans="1:19">
      <c r="A577" s="2256"/>
      <c r="B577" s="2205"/>
      <c r="C577" s="2205"/>
      <c r="D577" s="2205"/>
      <c r="E577" s="2205"/>
      <c r="F577" s="2205"/>
      <c r="G577" s="2205"/>
      <c r="H577" s="2205"/>
      <c r="I577" s="2205"/>
      <c r="J577" s="2205"/>
      <c r="K577" s="2205"/>
      <c r="L577" s="2205"/>
      <c r="M577" s="2268"/>
      <c r="N577" s="2268"/>
      <c r="O577" s="2268"/>
      <c r="P577" s="2205"/>
      <c r="Q577" s="2205"/>
      <c r="R577" s="2205"/>
      <c r="S577" s="2205"/>
    </row>
    <row r="578" spans="1:19">
      <c r="A578" s="2256"/>
      <c r="B578" s="2205"/>
      <c r="C578" s="2205"/>
      <c r="D578" s="2205"/>
      <c r="E578" s="2205"/>
      <c r="F578" s="2205"/>
      <c r="G578" s="2205"/>
      <c r="H578" s="2205"/>
      <c r="I578" s="2205"/>
      <c r="J578" s="2205"/>
      <c r="K578" s="2205"/>
      <c r="L578" s="2205"/>
      <c r="M578" s="2268"/>
      <c r="N578" s="2268"/>
      <c r="O578" s="2268"/>
      <c r="P578" s="2205"/>
      <c r="Q578" s="2205"/>
      <c r="R578" s="2205"/>
      <c r="S578" s="2205"/>
    </row>
    <row r="579" spans="1:19">
      <c r="A579" s="2256"/>
      <c r="B579" s="2205"/>
      <c r="C579" s="2205"/>
      <c r="D579" s="2205"/>
      <c r="E579" s="2205"/>
      <c r="F579" s="2205"/>
      <c r="G579" s="2205"/>
      <c r="H579" s="2205"/>
      <c r="I579" s="2205"/>
      <c r="J579" s="2205"/>
      <c r="K579" s="2205"/>
      <c r="L579" s="2205"/>
      <c r="M579" s="2268"/>
      <c r="N579" s="2268"/>
      <c r="O579" s="2268"/>
      <c r="P579" s="2205"/>
      <c r="Q579" s="2205"/>
      <c r="R579" s="2205"/>
      <c r="S579" s="2205"/>
    </row>
    <row r="580" spans="1:19">
      <c r="A580" s="2256"/>
      <c r="B580" s="2205"/>
      <c r="C580" s="2205"/>
      <c r="D580" s="2205"/>
      <c r="E580" s="2205"/>
      <c r="F580" s="2205"/>
      <c r="G580" s="2205"/>
      <c r="H580" s="2205"/>
      <c r="I580" s="2205"/>
      <c r="J580" s="2205"/>
      <c r="K580" s="2205"/>
      <c r="L580" s="2205"/>
      <c r="M580" s="2268"/>
      <c r="N580" s="2268"/>
      <c r="O580" s="2268"/>
      <c r="P580" s="2205"/>
      <c r="Q580" s="2205"/>
      <c r="R580" s="2205"/>
      <c r="S580" s="2205"/>
    </row>
    <row r="581" spans="1:19">
      <c r="A581" s="2256"/>
      <c r="B581" s="2205"/>
      <c r="C581" s="2205"/>
      <c r="D581" s="2205"/>
      <c r="E581" s="2205"/>
      <c r="F581" s="2205"/>
      <c r="G581" s="2205"/>
      <c r="H581" s="2205"/>
      <c r="I581" s="2205"/>
      <c r="J581" s="2205"/>
      <c r="K581" s="2205"/>
      <c r="L581" s="2205"/>
      <c r="M581" s="2268"/>
      <c r="N581" s="2268"/>
      <c r="O581" s="2268"/>
      <c r="P581" s="2205"/>
      <c r="Q581" s="2205"/>
      <c r="R581" s="2205"/>
      <c r="S581" s="2205"/>
    </row>
    <row r="582" spans="1:19">
      <c r="A582" s="2256"/>
      <c r="B582" s="2205"/>
      <c r="C582" s="2205"/>
      <c r="D582" s="2205"/>
      <c r="E582" s="2205"/>
      <c r="F582" s="2205"/>
      <c r="G582" s="2205"/>
      <c r="H582" s="2205"/>
      <c r="I582" s="2205"/>
      <c r="J582" s="2205"/>
      <c r="K582" s="2205"/>
      <c r="L582" s="2205"/>
      <c r="M582" s="2268"/>
      <c r="N582" s="2268"/>
      <c r="O582" s="2268"/>
      <c r="P582" s="2205"/>
      <c r="Q582" s="2205"/>
      <c r="R582" s="2205"/>
      <c r="S582" s="2205"/>
    </row>
    <row r="583" spans="1:19">
      <c r="A583" s="2256"/>
      <c r="B583" s="2205"/>
      <c r="C583" s="2205"/>
      <c r="D583" s="2205"/>
      <c r="E583" s="2205"/>
      <c r="F583" s="2205"/>
      <c r="G583" s="2205"/>
      <c r="H583" s="2205"/>
      <c r="I583" s="2205"/>
      <c r="J583" s="2205"/>
      <c r="K583" s="2205"/>
      <c r="L583" s="2205"/>
      <c r="M583" s="2268"/>
      <c r="N583" s="2268"/>
      <c r="O583" s="2268"/>
      <c r="P583" s="2205"/>
      <c r="Q583" s="2205"/>
      <c r="R583" s="2205"/>
      <c r="S583" s="2205"/>
    </row>
    <row r="584" spans="1:19">
      <c r="A584" s="2256"/>
      <c r="B584" s="2205"/>
      <c r="C584" s="2205"/>
      <c r="D584" s="2205"/>
      <c r="E584" s="2205"/>
      <c r="F584" s="2205"/>
      <c r="G584" s="2205"/>
      <c r="H584" s="2205"/>
      <c r="I584" s="2205"/>
      <c r="J584" s="2205"/>
      <c r="K584" s="2205"/>
      <c r="L584" s="2205"/>
      <c r="M584" s="2268"/>
      <c r="N584" s="2268"/>
      <c r="O584" s="2268"/>
      <c r="P584" s="2205"/>
      <c r="Q584" s="2205"/>
      <c r="R584" s="2205"/>
      <c r="S584" s="2205"/>
    </row>
    <row r="585" spans="1:19">
      <c r="A585" s="2256"/>
      <c r="B585" s="2205"/>
      <c r="C585" s="2205"/>
      <c r="D585" s="2205"/>
      <c r="E585" s="2205"/>
      <c r="F585" s="2205"/>
      <c r="G585" s="2205"/>
      <c r="H585" s="2205"/>
      <c r="I585" s="2205"/>
      <c r="J585" s="2205"/>
      <c r="K585" s="2205"/>
      <c r="L585" s="2205"/>
      <c r="M585" s="2268"/>
      <c r="N585" s="2268"/>
      <c r="O585" s="2268"/>
      <c r="P585" s="2205"/>
      <c r="Q585" s="2205"/>
      <c r="R585" s="2205"/>
      <c r="S585" s="2205"/>
    </row>
    <row r="586" spans="1:19">
      <c r="A586" s="2256"/>
      <c r="B586" s="2205"/>
      <c r="C586" s="2205"/>
      <c r="D586" s="2205"/>
      <c r="E586" s="2205"/>
      <c r="F586" s="2205"/>
      <c r="G586" s="2205"/>
      <c r="H586" s="2205"/>
      <c r="I586" s="2205"/>
      <c r="J586" s="2205"/>
      <c r="K586" s="2205"/>
      <c r="L586" s="2205"/>
      <c r="M586" s="2268"/>
      <c r="N586" s="2268"/>
      <c r="O586" s="2268"/>
      <c r="P586" s="2205"/>
      <c r="Q586" s="2205"/>
      <c r="R586" s="2205"/>
      <c r="S586" s="2205"/>
    </row>
    <row r="587" spans="1:19">
      <c r="A587" s="2256"/>
      <c r="B587" s="2205"/>
      <c r="C587" s="2205"/>
      <c r="D587" s="2205"/>
      <c r="E587" s="2205"/>
      <c r="F587" s="2205"/>
      <c r="G587" s="2205"/>
      <c r="H587" s="2205"/>
      <c r="I587" s="2205"/>
      <c r="J587" s="2205"/>
      <c r="K587" s="2205"/>
      <c r="L587" s="2205"/>
      <c r="M587" s="2268"/>
      <c r="N587" s="2268"/>
      <c r="O587" s="2268"/>
      <c r="P587" s="2205"/>
      <c r="Q587" s="2205"/>
      <c r="R587" s="2205"/>
      <c r="S587" s="2205"/>
    </row>
    <row r="588" spans="1:19">
      <c r="A588" s="2256"/>
      <c r="B588" s="2205"/>
      <c r="C588" s="2205"/>
      <c r="D588" s="2205"/>
      <c r="E588" s="2205"/>
      <c r="F588" s="2205"/>
      <c r="G588" s="2205"/>
      <c r="H588" s="2205"/>
      <c r="I588" s="2205"/>
      <c r="J588" s="2205"/>
      <c r="K588" s="2205"/>
      <c r="L588" s="2205"/>
      <c r="M588" s="2268"/>
      <c r="N588" s="2268"/>
      <c r="O588" s="2268"/>
      <c r="P588" s="2205"/>
      <c r="Q588" s="2205"/>
      <c r="R588" s="2205"/>
      <c r="S588" s="2205"/>
    </row>
    <row r="589" spans="1:19">
      <c r="A589" s="2256"/>
      <c r="B589" s="2205"/>
      <c r="C589" s="2205"/>
      <c r="D589" s="2205"/>
      <c r="E589" s="2205"/>
      <c r="F589" s="2205"/>
      <c r="G589" s="2205"/>
      <c r="H589" s="2205"/>
      <c r="I589" s="2205"/>
      <c r="J589" s="2205"/>
      <c r="K589" s="2205"/>
      <c r="L589" s="2205"/>
      <c r="M589" s="2268"/>
      <c r="N589" s="2268"/>
      <c r="O589" s="2268"/>
      <c r="P589" s="2205"/>
      <c r="Q589" s="2205"/>
      <c r="R589" s="2205"/>
      <c r="S589" s="2205"/>
    </row>
    <row r="590" spans="1:19">
      <c r="A590" s="2256"/>
      <c r="B590" s="2205"/>
      <c r="C590" s="2205"/>
      <c r="D590" s="2205"/>
      <c r="E590" s="2205"/>
      <c r="F590" s="2205"/>
      <c r="G590" s="2205"/>
      <c r="H590" s="2205"/>
      <c r="I590" s="2205"/>
      <c r="J590" s="2205"/>
      <c r="K590" s="2205"/>
      <c r="L590" s="2205"/>
      <c r="M590" s="2268"/>
      <c r="N590" s="2268"/>
      <c r="O590" s="2268"/>
      <c r="P590" s="2205"/>
      <c r="Q590" s="2205"/>
      <c r="R590" s="2205"/>
      <c r="S590" s="2205"/>
    </row>
    <row r="591" spans="1:19">
      <c r="A591" s="2256"/>
      <c r="B591" s="2205"/>
      <c r="C591" s="2205"/>
      <c r="D591" s="2205"/>
      <c r="E591" s="2205"/>
      <c r="F591" s="2205"/>
      <c r="G591" s="2205"/>
      <c r="H591" s="2205"/>
      <c r="I591" s="2205"/>
      <c r="J591" s="2205"/>
      <c r="K591" s="2205"/>
      <c r="L591" s="2205"/>
      <c r="M591" s="2268"/>
      <c r="N591" s="2268"/>
      <c r="O591" s="2268"/>
      <c r="P591" s="2205"/>
      <c r="Q591" s="2205"/>
      <c r="R591" s="2205"/>
      <c r="S591" s="2205"/>
    </row>
    <row r="592" spans="1:19">
      <c r="A592" s="2256"/>
      <c r="B592" s="2205"/>
      <c r="C592" s="2205"/>
      <c r="D592" s="2205"/>
      <c r="E592" s="2205"/>
      <c r="F592" s="2205"/>
      <c r="G592" s="2205"/>
      <c r="H592" s="2205"/>
      <c r="I592" s="2205"/>
      <c r="J592" s="2205"/>
      <c r="K592" s="2205"/>
      <c r="L592" s="2205"/>
      <c r="M592" s="2268"/>
      <c r="N592" s="2268"/>
      <c r="O592" s="2268"/>
      <c r="P592" s="2205"/>
      <c r="Q592" s="2205"/>
      <c r="R592" s="2205"/>
      <c r="S592" s="2205"/>
    </row>
    <row r="593" spans="1:19">
      <c r="A593" s="2256"/>
      <c r="B593" s="2205"/>
      <c r="C593" s="2205"/>
      <c r="D593" s="2205"/>
      <c r="E593" s="2205"/>
      <c r="F593" s="2205"/>
      <c r="G593" s="2205"/>
      <c r="H593" s="2205"/>
      <c r="I593" s="2205"/>
      <c r="J593" s="2205"/>
      <c r="K593" s="2205"/>
      <c r="L593" s="2205"/>
      <c r="M593" s="2268"/>
      <c r="N593" s="2268"/>
      <c r="O593" s="2268"/>
      <c r="P593" s="2205"/>
      <c r="Q593" s="2205"/>
      <c r="R593" s="2205"/>
      <c r="S593" s="2205"/>
    </row>
    <row r="594" spans="1:19">
      <c r="A594" s="2256"/>
      <c r="B594" s="2205"/>
      <c r="C594" s="2205"/>
      <c r="D594" s="2205"/>
      <c r="E594" s="2205"/>
      <c r="F594" s="2205"/>
      <c r="G594" s="2205"/>
      <c r="H594" s="2205"/>
      <c r="I594" s="2205"/>
      <c r="J594" s="2205"/>
      <c r="K594" s="2205"/>
      <c r="L594" s="2205"/>
      <c r="M594" s="2268"/>
      <c r="N594" s="2268"/>
      <c r="O594" s="2268"/>
      <c r="P594" s="2205"/>
      <c r="Q594" s="2205"/>
      <c r="R594" s="2205"/>
      <c r="S594" s="2205"/>
    </row>
    <row r="595" spans="1:19">
      <c r="A595" s="2256"/>
      <c r="B595" s="2205"/>
      <c r="C595" s="2205"/>
      <c r="D595" s="2205"/>
      <c r="E595" s="2205"/>
      <c r="F595" s="2205"/>
      <c r="G595" s="2205"/>
      <c r="H595" s="2205"/>
      <c r="I595" s="2205"/>
      <c r="J595" s="2205"/>
      <c r="K595" s="2205"/>
      <c r="L595" s="2205"/>
      <c r="M595" s="2268"/>
      <c r="N595" s="2268"/>
      <c r="O595" s="2268"/>
      <c r="P595" s="2205"/>
      <c r="Q595" s="2205"/>
      <c r="R595" s="2205"/>
      <c r="S595" s="2205"/>
    </row>
    <row r="596" spans="1:19">
      <c r="A596" s="2256"/>
      <c r="B596" s="2205"/>
      <c r="C596" s="2205"/>
      <c r="D596" s="2205"/>
      <c r="E596" s="2205"/>
      <c r="F596" s="2205"/>
      <c r="G596" s="2205"/>
      <c r="H596" s="2205"/>
      <c r="I596" s="2205"/>
      <c r="J596" s="2205"/>
      <c r="K596" s="2205"/>
      <c r="L596" s="2205"/>
      <c r="M596" s="2268"/>
      <c r="N596" s="2268"/>
      <c r="O596" s="2268"/>
      <c r="P596" s="2205"/>
      <c r="Q596" s="2205"/>
      <c r="R596" s="2205"/>
      <c r="S596" s="2205"/>
    </row>
    <row r="597" spans="1:19">
      <c r="A597" s="2256"/>
      <c r="B597" s="2205"/>
      <c r="C597" s="2205"/>
      <c r="D597" s="2205"/>
      <c r="E597" s="2205"/>
      <c r="F597" s="2205"/>
      <c r="G597" s="2205"/>
      <c r="H597" s="2205"/>
      <c r="I597" s="2205"/>
      <c r="J597" s="2205"/>
      <c r="K597" s="2205"/>
      <c r="L597" s="2205"/>
      <c r="M597" s="2268"/>
      <c r="N597" s="2268"/>
      <c r="O597" s="2268"/>
      <c r="P597" s="2205"/>
      <c r="Q597" s="2205"/>
      <c r="R597" s="2205"/>
      <c r="S597" s="2205"/>
    </row>
    <row r="598" spans="1:19">
      <c r="A598" s="2256"/>
      <c r="B598" s="2205"/>
      <c r="C598" s="2205"/>
      <c r="D598" s="2205"/>
      <c r="E598" s="2205"/>
      <c r="F598" s="2205"/>
      <c r="G598" s="2205"/>
      <c r="H598" s="2205"/>
      <c r="I598" s="2205"/>
      <c r="J598" s="2205"/>
      <c r="K598" s="2205"/>
      <c r="L598" s="2205"/>
      <c r="M598" s="2268"/>
      <c r="N598" s="2268"/>
      <c r="O598" s="2268"/>
      <c r="P598" s="2205"/>
      <c r="Q598" s="2205"/>
      <c r="R598" s="2205"/>
      <c r="S598" s="2205"/>
    </row>
    <row r="599" spans="1:19">
      <c r="A599" s="2256"/>
      <c r="B599" s="2205"/>
      <c r="C599" s="2205"/>
      <c r="D599" s="2205"/>
      <c r="E599" s="2205"/>
      <c r="F599" s="2205"/>
      <c r="G599" s="2205"/>
      <c r="H599" s="2205"/>
      <c r="I599" s="2205"/>
      <c r="J599" s="2205"/>
      <c r="K599" s="2205"/>
      <c r="L599" s="2205"/>
      <c r="M599" s="2268"/>
      <c r="N599" s="2268"/>
      <c r="O599" s="2268"/>
      <c r="P599" s="2205"/>
      <c r="Q599" s="2205"/>
      <c r="R599" s="2205"/>
      <c r="S599" s="2205"/>
    </row>
    <row r="600" spans="1:19">
      <c r="A600" s="2256"/>
      <c r="B600" s="2205"/>
      <c r="C600" s="2205"/>
      <c r="D600" s="2205"/>
      <c r="E600" s="2205"/>
      <c r="F600" s="2205"/>
      <c r="G600" s="2205"/>
      <c r="H600" s="2205"/>
      <c r="I600" s="2205"/>
      <c r="J600" s="2205"/>
      <c r="K600" s="2205"/>
      <c r="L600" s="2205"/>
      <c r="M600" s="2268"/>
      <c r="N600" s="2268"/>
      <c r="O600" s="2268"/>
      <c r="P600" s="2205"/>
      <c r="Q600" s="2205"/>
      <c r="R600" s="2205"/>
      <c r="S600" s="2205"/>
    </row>
    <row r="601" spans="1:19">
      <c r="A601" s="2256"/>
      <c r="B601" s="2205"/>
      <c r="C601" s="2205"/>
      <c r="D601" s="2205"/>
      <c r="E601" s="2205"/>
      <c r="F601" s="2205"/>
      <c r="G601" s="2205"/>
      <c r="H601" s="2205"/>
      <c r="I601" s="2205"/>
      <c r="J601" s="2205"/>
      <c r="K601" s="2205"/>
      <c r="L601" s="2205"/>
      <c r="M601" s="2268"/>
      <c r="N601" s="2268"/>
      <c r="O601" s="2268"/>
      <c r="P601" s="2205"/>
      <c r="Q601" s="2205"/>
      <c r="R601" s="2205"/>
      <c r="S601" s="2205"/>
    </row>
    <row r="602" spans="1:19">
      <c r="A602" s="2256"/>
      <c r="B602" s="2205"/>
      <c r="C602" s="2205"/>
      <c r="D602" s="2205"/>
      <c r="E602" s="2205"/>
      <c r="F602" s="2205"/>
      <c r="G602" s="2205"/>
      <c r="H602" s="2205"/>
      <c r="I602" s="2205"/>
      <c r="J602" s="2205"/>
      <c r="K602" s="2205"/>
      <c r="L602" s="2205"/>
      <c r="M602" s="2268"/>
      <c r="N602" s="2268"/>
      <c r="O602" s="2268"/>
      <c r="P602" s="2205"/>
      <c r="Q602" s="2205"/>
      <c r="R602" s="2205"/>
      <c r="S602" s="2205"/>
    </row>
    <row r="603" spans="1:19">
      <c r="A603" s="2256"/>
      <c r="B603" s="2205"/>
      <c r="C603" s="2205"/>
      <c r="D603" s="2205"/>
      <c r="E603" s="2205"/>
      <c r="F603" s="2205"/>
      <c r="G603" s="2205"/>
      <c r="H603" s="2205"/>
      <c r="I603" s="2205"/>
      <c r="J603" s="2205"/>
      <c r="K603" s="2205"/>
      <c r="L603" s="2205"/>
      <c r="M603" s="2268"/>
      <c r="N603" s="2268"/>
      <c r="O603" s="2268"/>
      <c r="P603" s="2205"/>
      <c r="Q603" s="2205"/>
      <c r="R603" s="2205"/>
      <c r="S603" s="2205"/>
    </row>
    <row r="604" spans="1:19">
      <c r="A604" s="2256"/>
      <c r="B604" s="2205"/>
      <c r="C604" s="2205"/>
      <c r="D604" s="2205"/>
      <c r="E604" s="2205"/>
      <c r="F604" s="2205"/>
      <c r="G604" s="2205"/>
      <c r="H604" s="2205"/>
      <c r="I604" s="2205"/>
      <c r="J604" s="2205"/>
      <c r="K604" s="2205"/>
      <c r="L604" s="2205"/>
      <c r="M604" s="2268"/>
      <c r="N604" s="2268"/>
      <c r="O604" s="2268"/>
      <c r="P604" s="2205"/>
      <c r="Q604" s="2205"/>
      <c r="R604" s="2205"/>
      <c r="S604" s="2205"/>
    </row>
    <row r="605" spans="1:19">
      <c r="A605" s="2256"/>
      <c r="B605" s="2205"/>
      <c r="C605" s="2205"/>
      <c r="D605" s="2205"/>
      <c r="E605" s="2205"/>
      <c r="F605" s="2205"/>
      <c r="G605" s="2205"/>
      <c r="H605" s="2205"/>
      <c r="I605" s="2205"/>
      <c r="J605" s="2205"/>
      <c r="K605" s="2205"/>
      <c r="L605" s="2205"/>
      <c r="M605" s="2268"/>
      <c r="N605" s="2268"/>
      <c r="O605" s="2268"/>
      <c r="P605" s="2205"/>
      <c r="Q605" s="2205"/>
      <c r="R605" s="2205"/>
      <c r="S605" s="2205"/>
    </row>
    <row r="606" spans="1:19">
      <c r="A606" s="2256"/>
      <c r="B606" s="2205"/>
      <c r="C606" s="2205"/>
      <c r="D606" s="2205"/>
      <c r="E606" s="2205"/>
      <c r="F606" s="2205"/>
      <c r="G606" s="2205"/>
      <c r="H606" s="2205"/>
      <c r="I606" s="2205"/>
      <c r="J606" s="2205"/>
      <c r="K606" s="2205"/>
      <c r="L606" s="2205"/>
      <c r="M606" s="2268"/>
      <c r="N606" s="2268"/>
      <c r="O606" s="2268"/>
      <c r="P606" s="2205"/>
      <c r="Q606" s="2205"/>
      <c r="R606" s="2205"/>
      <c r="S606" s="2205"/>
    </row>
    <row r="607" spans="1:19">
      <c r="A607" s="2256"/>
      <c r="B607" s="2205"/>
      <c r="C607" s="2205"/>
      <c r="D607" s="2205"/>
      <c r="E607" s="2205"/>
      <c r="F607" s="2205"/>
      <c r="G607" s="2205"/>
      <c r="H607" s="2205"/>
      <c r="I607" s="2205"/>
      <c r="J607" s="2205"/>
      <c r="K607" s="2205"/>
      <c r="L607" s="2205"/>
      <c r="M607" s="2268"/>
      <c r="N607" s="2268"/>
      <c r="O607" s="2268"/>
      <c r="P607" s="2205"/>
      <c r="Q607" s="2205"/>
      <c r="R607" s="2205"/>
      <c r="S607" s="2205"/>
    </row>
    <row r="608" spans="1:19">
      <c r="A608" s="2256"/>
      <c r="B608" s="2205"/>
      <c r="C608" s="2205"/>
      <c r="D608" s="2205"/>
      <c r="E608" s="2205"/>
      <c r="F608" s="2205"/>
      <c r="G608" s="2205"/>
      <c r="H608" s="2205"/>
      <c r="I608" s="2205"/>
      <c r="J608" s="2205"/>
      <c r="K608" s="2205"/>
      <c r="L608" s="2205"/>
      <c r="M608" s="2268"/>
      <c r="N608" s="2268"/>
      <c r="O608" s="2268"/>
      <c r="P608" s="2205"/>
      <c r="Q608" s="2205"/>
      <c r="R608" s="2205"/>
      <c r="S608" s="2205"/>
    </row>
    <row r="609" spans="1:19">
      <c r="A609" s="2256"/>
      <c r="B609" s="2205"/>
      <c r="C609" s="2205"/>
      <c r="D609" s="2205"/>
      <c r="E609" s="2205"/>
      <c r="F609" s="2205"/>
      <c r="G609" s="2205"/>
      <c r="H609" s="2205"/>
      <c r="I609" s="2205"/>
      <c r="J609" s="2205"/>
      <c r="K609" s="2205"/>
      <c r="L609" s="2205"/>
      <c r="M609" s="2268"/>
      <c r="N609" s="2268"/>
      <c r="O609" s="2268"/>
      <c r="P609" s="2205"/>
      <c r="Q609" s="2205"/>
      <c r="R609" s="2205"/>
      <c r="S609" s="2205"/>
    </row>
    <row r="610" spans="1:19">
      <c r="A610" s="2256"/>
      <c r="B610" s="2205"/>
      <c r="C610" s="2205"/>
      <c r="D610" s="2205"/>
      <c r="E610" s="2205"/>
      <c r="F610" s="2205"/>
      <c r="G610" s="2205"/>
      <c r="H610" s="2205"/>
      <c r="I610" s="2205"/>
      <c r="J610" s="2205"/>
      <c r="K610" s="2205"/>
      <c r="L610" s="2205"/>
      <c r="M610" s="2268"/>
      <c r="N610" s="2268"/>
      <c r="O610" s="2268"/>
      <c r="P610" s="2205"/>
      <c r="Q610" s="2205"/>
      <c r="R610" s="2205"/>
      <c r="S610" s="2205"/>
    </row>
    <row r="611" spans="1:19">
      <c r="A611" s="2256"/>
      <c r="B611" s="2205"/>
      <c r="C611" s="2205"/>
      <c r="D611" s="2205"/>
      <c r="E611" s="2205"/>
      <c r="F611" s="2205"/>
      <c r="G611" s="2205"/>
      <c r="H611" s="2205"/>
      <c r="I611" s="2205"/>
      <c r="J611" s="2205"/>
      <c r="K611" s="2205"/>
      <c r="L611" s="2205"/>
      <c r="M611" s="2268"/>
      <c r="N611" s="2268"/>
      <c r="O611" s="2268"/>
      <c r="P611" s="2205"/>
      <c r="Q611" s="2205"/>
      <c r="R611" s="2205"/>
      <c r="S611" s="2205"/>
    </row>
    <row r="612" spans="1:19">
      <c r="A612" s="2256"/>
      <c r="B612" s="2205"/>
      <c r="C612" s="2205"/>
      <c r="D612" s="2205"/>
      <c r="E612" s="2205"/>
      <c r="F612" s="2205"/>
      <c r="G612" s="2205"/>
      <c r="H612" s="2205"/>
      <c r="I612" s="2205"/>
      <c r="J612" s="2205"/>
      <c r="K612" s="2205"/>
      <c r="L612" s="2205"/>
      <c r="M612" s="2268"/>
      <c r="N612" s="2268"/>
      <c r="O612" s="2268"/>
      <c r="P612" s="2205"/>
      <c r="Q612" s="2205"/>
      <c r="R612" s="2205"/>
      <c r="S612" s="2205"/>
    </row>
    <row r="613" spans="1:19">
      <c r="A613" s="2256"/>
      <c r="B613" s="2205"/>
      <c r="C613" s="2205"/>
      <c r="D613" s="2205"/>
      <c r="E613" s="2205"/>
      <c r="F613" s="2205"/>
      <c r="G613" s="2205"/>
      <c r="H613" s="2205"/>
      <c r="I613" s="2205"/>
      <c r="J613" s="2205"/>
      <c r="K613" s="2205"/>
      <c r="L613" s="2205"/>
      <c r="M613" s="2268"/>
      <c r="N613" s="2268"/>
      <c r="O613" s="2268"/>
      <c r="P613" s="2205"/>
      <c r="Q613" s="2205"/>
      <c r="R613" s="2205"/>
      <c r="S613" s="2205"/>
    </row>
    <row r="614" spans="1:19">
      <c r="A614" s="2256"/>
      <c r="B614" s="2205"/>
      <c r="C614" s="2205"/>
      <c r="D614" s="2205"/>
      <c r="E614" s="2205"/>
      <c r="F614" s="2205"/>
      <c r="G614" s="2205"/>
      <c r="H614" s="2205"/>
      <c r="I614" s="2205"/>
      <c r="J614" s="2205"/>
      <c r="K614" s="2205"/>
      <c r="L614" s="2205"/>
      <c r="M614" s="2268"/>
      <c r="N614" s="2268"/>
      <c r="O614" s="2268"/>
      <c r="P614" s="2205"/>
      <c r="Q614" s="2205"/>
      <c r="R614" s="2205"/>
      <c r="S614" s="2205"/>
    </row>
    <row r="615" spans="1:19">
      <c r="A615" s="2256"/>
      <c r="B615" s="2205"/>
      <c r="C615" s="2205"/>
      <c r="D615" s="2205"/>
      <c r="E615" s="2205"/>
      <c r="F615" s="2205"/>
      <c r="G615" s="2205"/>
      <c r="H615" s="2205"/>
      <c r="I615" s="2205"/>
      <c r="J615" s="2205"/>
      <c r="K615" s="2205"/>
      <c r="L615" s="2205"/>
      <c r="M615" s="2268"/>
      <c r="N615" s="2268"/>
      <c r="O615" s="2268"/>
      <c r="P615" s="2205"/>
      <c r="Q615" s="2205"/>
      <c r="R615" s="2205"/>
      <c r="S615" s="2205"/>
    </row>
    <row r="616" spans="1:19">
      <c r="A616" s="2256"/>
      <c r="B616" s="2205"/>
      <c r="C616" s="2205"/>
      <c r="D616" s="2205"/>
      <c r="E616" s="2205"/>
      <c r="F616" s="2205"/>
      <c r="G616" s="2205"/>
      <c r="H616" s="2205"/>
      <c r="I616" s="2205"/>
      <c r="J616" s="2205"/>
      <c r="K616" s="2205"/>
      <c r="L616" s="2205"/>
      <c r="M616" s="2268"/>
      <c r="N616" s="2268"/>
      <c r="O616" s="2268"/>
      <c r="P616" s="2205"/>
      <c r="Q616" s="2205"/>
      <c r="R616" s="2205"/>
      <c r="S616" s="2205"/>
    </row>
    <row r="617" spans="1:19">
      <c r="A617" s="2256"/>
      <c r="B617" s="2205"/>
      <c r="C617" s="2205"/>
      <c r="D617" s="2205"/>
      <c r="E617" s="2205"/>
      <c r="F617" s="2205"/>
      <c r="G617" s="2205"/>
      <c r="H617" s="2205"/>
      <c r="I617" s="2205"/>
      <c r="J617" s="2205"/>
      <c r="K617" s="2205"/>
      <c r="L617" s="2205"/>
      <c r="M617" s="2268"/>
      <c r="N617" s="2268"/>
      <c r="O617" s="2268"/>
      <c r="P617" s="2205"/>
      <c r="Q617" s="2205"/>
      <c r="R617" s="2205"/>
      <c r="S617" s="2205"/>
    </row>
    <row r="618" spans="1:19">
      <c r="A618" s="2256"/>
      <c r="B618" s="2205"/>
      <c r="C618" s="2205"/>
      <c r="D618" s="2205"/>
      <c r="E618" s="2205"/>
      <c r="F618" s="2205"/>
      <c r="G618" s="2205"/>
      <c r="H618" s="2205"/>
      <c r="I618" s="2205"/>
      <c r="J618" s="2205"/>
      <c r="K618" s="2205"/>
      <c r="L618" s="2205"/>
      <c r="M618" s="2268"/>
      <c r="N618" s="2268"/>
      <c r="O618" s="2268"/>
      <c r="P618" s="2205"/>
      <c r="Q618" s="2205"/>
      <c r="R618" s="2205"/>
      <c r="S618" s="2205"/>
    </row>
    <row r="619" spans="1:19">
      <c r="A619" s="2256"/>
      <c r="B619" s="2205"/>
      <c r="C619" s="2205"/>
      <c r="D619" s="2205"/>
      <c r="E619" s="2205"/>
      <c r="F619" s="2205"/>
      <c r="G619" s="2205"/>
      <c r="H619" s="2205"/>
      <c r="I619" s="2205"/>
      <c r="J619" s="2205"/>
      <c r="K619" s="2205"/>
      <c r="L619" s="2205"/>
      <c r="M619" s="2268"/>
      <c r="N619" s="2268"/>
      <c r="O619" s="2268"/>
      <c r="P619" s="2205"/>
      <c r="Q619" s="2205"/>
      <c r="R619" s="2205"/>
      <c r="S619" s="2205"/>
    </row>
    <row r="620" spans="1:19">
      <c r="A620" s="2256"/>
      <c r="B620" s="2205"/>
      <c r="C620" s="2205"/>
      <c r="D620" s="2205"/>
      <c r="E620" s="2205"/>
      <c r="F620" s="2205"/>
      <c r="G620" s="2205"/>
      <c r="H620" s="2205"/>
      <c r="I620" s="2205"/>
      <c r="J620" s="2205"/>
      <c r="K620" s="2205"/>
      <c r="L620" s="2205"/>
      <c r="M620" s="2268"/>
      <c r="N620" s="2268"/>
      <c r="O620" s="2268"/>
      <c r="P620" s="2205"/>
      <c r="Q620" s="2205"/>
      <c r="R620" s="2205"/>
      <c r="S620" s="2205"/>
    </row>
    <row r="621" spans="1:19">
      <c r="A621" s="2256"/>
      <c r="B621" s="2205"/>
      <c r="C621" s="2205"/>
      <c r="D621" s="2205"/>
      <c r="E621" s="2205"/>
      <c r="F621" s="2205"/>
      <c r="G621" s="2205"/>
      <c r="H621" s="2205"/>
      <c r="I621" s="2205"/>
      <c r="J621" s="2205"/>
      <c r="K621" s="2205"/>
      <c r="L621" s="2205"/>
      <c r="M621" s="2268"/>
      <c r="N621" s="2268"/>
      <c r="O621" s="2268"/>
      <c r="P621" s="2205"/>
      <c r="Q621" s="2205"/>
      <c r="R621" s="2205"/>
      <c r="S621" s="2205"/>
    </row>
    <row r="622" spans="1:19">
      <c r="A622" s="2256"/>
      <c r="B622" s="2205"/>
      <c r="C622" s="2205"/>
      <c r="D622" s="2205"/>
      <c r="E622" s="2205"/>
      <c r="F622" s="2205"/>
      <c r="G622" s="2205"/>
      <c r="H622" s="2205"/>
      <c r="I622" s="2205"/>
      <c r="J622" s="2205"/>
      <c r="K622" s="2205"/>
      <c r="L622" s="2205"/>
      <c r="M622" s="2268"/>
      <c r="N622" s="2268"/>
      <c r="O622" s="2268"/>
      <c r="P622" s="2205"/>
      <c r="Q622" s="2205"/>
      <c r="R622" s="2205"/>
      <c r="S622" s="2205"/>
    </row>
    <row r="623" spans="1:19">
      <c r="A623" s="2256"/>
      <c r="B623" s="2205"/>
      <c r="C623" s="2205"/>
      <c r="D623" s="2205"/>
      <c r="E623" s="2205"/>
      <c r="F623" s="2205"/>
      <c r="G623" s="2205"/>
      <c r="H623" s="2205"/>
      <c r="I623" s="2205"/>
      <c r="J623" s="2205"/>
      <c r="K623" s="2205"/>
      <c r="L623" s="2205"/>
      <c r="M623" s="2268"/>
      <c r="N623" s="2268"/>
      <c r="O623" s="2268"/>
      <c r="P623" s="2205"/>
      <c r="Q623" s="2205"/>
      <c r="R623" s="2205"/>
      <c r="S623" s="2205"/>
    </row>
    <row r="624" spans="1:19">
      <c r="A624" s="2256"/>
      <c r="B624" s="2205"/>
      <c r="C624" s="2205"/>
      <c r="D624" s="2205"/>
      <c r="E624" s="2205"/>
      <c r="F624" s="2205"/>
      <c r="G624" s="2205"/>
      <c r="H624" s="2205"/>
      <c r="I624" s="2205"/>
      <c r="J624" s="2205"/>
      <c r="K624" s="2205"/>
      <c r="L624" s="2205"/>
      <c r="M624" s="2268"/>
      <c r="N624" s="2268"/>
      <c r="O624" s="2268"/>
      <c r="P624" s="2205"/>
      <c r="Q624" s="2205"/>
      <c r="R624" s="2205"/>
      <c r="S624" s="2205"/>
    </row>
    <row r="625" spans="1:19">
      <c r="A625" s="2256"/>
      <c r="B625" s="2205"/>
      <c r="C625" s="2205"/>
      <c r="D625" s="2205"/>
      <c r="E625" s="2205"/>
      <c r="F625" s="2205"/>
      <c r="G625" s="2205"/>
      <c r="H625" s="2205"/>
      <c r="I625" s="2205"/>
      <c r="J625" s="2205"/>
      <c r="K625" s="2205"/>
      <c r="L625" s="2205"/>
      <c r="M625" s="2268"/>
      <c r="N625" s="2268"/>
      <c r="O625" s="2268"/>
      <c r="P625" s="2205"/>
      <c r="Q625" s="2205"/>
      <c r="R625" s="2205"/>
      <c r="S625" s="2205"/>
    </row>
    <row r="626" spans="1:19">
      <c r="A626" s="2256"/>
      <c r="B626" s="2205"/>
      <c r="C626" s="2205"/>
      <c r="D626" s="2205"/>
      <c r="E626" s="2205"/>
      <c r="F626" s="2205"/>
      <c r="G626" s="2205"/>
      <c r="H626" s="2205"/>
      <c r="I626" s="2205"/>
      <c r="J626" s="2205"/>
      <c r="K626" s="2205"/>
      <c r="L626" s="2205"/>
      <c r="M626" s="2268"/>
      <c r="N626" s="2268"/>
      <c r="O626" s="2268"/>
      <c r="P626" s="2205"/>
      <c r="Q626" s="2205"/>
      <c r="R626" s="2205"/>
      <c r="S626" s="2205"/>
    </row>
    <row r="627" spans="1:19">
      <c r="A627" s="2256"/>
      <c r="B627" s="2205"/>
      <c r="C627" s="2205"/>
      <c r="D627" s="2205"/>
      <c r="E627" s="2205"/>
      <c r="F627" s="2205"/>
      <c r="G627" s="2205"/>
      <c r="H627" s="2205"/>
      <c r="I627" s="2205"/>
      <c r="J627" s="2205"/>
      <c r="K627" s="2205"/>
      <c r="L627" s="2205"/>
      <c r="M627" s="2268"/>
      <c r="N627" s="2268"/>
      <c r="O627" s="2268"/>
      <c r="P627" s="2205"/>
      <c r="Q627" s="2205"/>
      <c r="R627" s="2205"/>
      <c r="S627" s="2205"/>
    </row>
    <row r="628" spans="1:19">
      <c r="A628" s="2256"/>
      <c r="B628" s="2205"/>
      <c r="C628" s="2205"/>
      <c r="D628" s="2205"/>
      <c r="E628" s="2205"/>
      <c r="F628" s="2205"/>
      <c r="G628" s="2205"/>
      <c r="H628" s="2205"/>
      <c r="I628" s="2205"/>
      <c r="J628" s="2205"/>
      <c r="K628" s="2205"/>
      <c r="L628" s="2205"/>
      <c r="M628" s="2268"/>
      <c r="N628" s="2268"/>
      <c r="O628" s="2268"/>
      <c r="P628" s="2205"/>
      <c r="Q628" s="2205"/>
      <c r="R628" s="2205"/>
      <c r="S628" s="2205"/>
    </row>
    <row r="629" spans="1:19">
      <c r="A629" s="2256"/>
      <c r="B629" s="2205"/>
      <c r="C629" s="2205"/>
      <c r="D629" s="2205"/>
      <c r="E629" s="2205"/>
      <c r="F629" s="2205"/>
      <c r="G629" s="2205"/>
      <c r="H629" s="2205"/>
      <c r="I629" s="2205"/>
      <c r="J629" s="2205"/>
      <c r="K629" s="2205"/>
      <c r="L629" s="2205"/>
      <c r="M629" s="2268"/>
      <c r="N629" s="2268"/>
      <c r="O629" s="2268"/>
      <c r="P629" s="2205"/>
      <c r="Q629" s="2205"/>
      <c r="R629" s="2205"/>
      <c r="S629" s="2205"/>
    </row>
    <row r="630" spans="1:19">
      <c r="A630" s="2256"/>
      <c r="B630" s="2205"/>
      <c r="C630" s="2205"/>
      <c r="D630" s="2205"/>
      <c r="E630" s="2205"/>
      <c r="F630" s="2205"/>
      <c r="G630" s="2205"/>
      <c r="H630" s="2205"/>
      <c r="I630" s="2205"/>
      <c r="J630" s="2205"/>
      <c r="K630" s="2205"/>
      <c r="L630" s="2205"/>
      <c r="M630" s="2268"/>
      <c r="N630" s="2268"/>
      <c r="O630" s="2268"/>
      <c r="P630" s="2205"/>
      <c r="Q630" s="2205"/>
      <c r="R630" s="2205"/>
      <c r="S630" s="2205"/>
    </row>
    <row r="631" spans="1:19">
      <c r="A631" s="2256"/>
      <c r="B631" s="2205"/>
      <c r="C631" s="2205"/>
      <c r="D631" s="2205"/>
      <c r="E631" s="2205"/>
      <c r="F631" s="2205"/>
      <c r="G631" s="2205"/>
      <c r="H631" s="2205"/>
      <c r="I631" s="2205"/>
      <c r="J631" s="2205"/>
      <c r="K631" s="2205"/>
      <c r="L631" s="2205"/>
      <c r="M631" s="2268"/>
      <c r="N631" s="2268"/>
      <c r="O631" s="2268"/>
      <c r="P631" s="2205"/>
      <c r="Q631" s="2205"/>
      <c r="R631" s="2205"/>
      <c r="S631" s="2205"/>
    </row>
    <row r="632" spans="1:19">
      <c r="A632" s="2256"/>
      <c r="B632" s="2205"/>
      <c r="C632" s="2205"/>
      <c r="D632" s="2205"/>
      <c r="E632" s="2205"/>
      <c r="F632" s="2205"/>
      <c r="G632" s="2205"/>
      <c r="H632" s="2205"/>
      <c r="I632" s="2205"/>
      <c r="J632" s="2205"/>
      <c r="K632" s="2205"/>
      <c r="L632" s="2205"/>
      <c r="M632" s="2268"/>
      <c r="N632" s="2268"/>
      <c r="O632" s="2268"/>
      <c r="P632" s="2205"/>
      <c r="Q632" s="2205"/>
      <c r="R632" s="2205"/>
      <c r="S632" s="2205"/>
    </row>
    <row r="633" spans="1:19">
      <c r="A633" s="2256"/>
      <c r="B633" s="2205"/>
      <c r="C633" s="2205"/>
      <c r="D633" s="2205"/>
      <c r="E633" s="2205"/>
      <c r="F633" s="2205"/>
      <c r="G633" s="2205"/>
      <c r="H633" s="2205"/>
      <c r="I633" s="2205"/>
      <c r="J633" s="2205"/>
      <c r="K633" s="2205"/>
      <c r="L633" s="2205"/>
      <c r="M633" s="2268"/>
      <c r="N633" s="2268"/>
      <c r="O633" s="2268"/>
      <c r="P633" s="2205"/>
      <c r="Q633" s="2205"/>
      <c r="R633" s="2205"/>
      <c r="S633" s="2205"/>
    </row>
    <row r="634" spans="1:19">
      <c r="A634" s="2256"/>
      <c r="B634" s="2205"/>
      <c r="C634" s="2205"/>
      <c r="D634" s="2205"/>
      <c r="E634" s="2205"/>
      <c r="F634" s="2205"/>
      <c r="G634" s="2205"/>
      <c r="H634" s="2205"/>
      <c r="I634" s="2205"/>
      <c r="J634" s="2205"/>
      <c r="K634" s="2205"/>
      <c r="L634" s="2205"/>
      <c r="M634" s="2268"/>
      <c r="N634" s="2268"/>
      <c r="O634" s="2268"/>
      <c r="P634" s="2205"/>
      <c r="Q634" s="2205"/>
      <c r="R634" s="2205"/>
      <c r="S634" s="2205"/>
    </row>
    <row r="635" spans="1:19">
      <c r="A635" s="2256"/>
      <c r="B635" s="2205"/>
      <c r="C635" s="2205"/>
      <c r="D635" s="2205"/>
      <c r="E635" s="2205"/>
      <c r="F635" s="2205"/>
      <c r="G635" s="2205"/>
      <c r="H635" s="2205"/>
      <c r="I635" s="2205"/>
      <c r="J635" s="2205"/>
      <c r="K635" s="2205"/>
      <c r="L635" s="2205"/>
      <c r="M635" s="2268"/>
      <c r="N635" s="2268"/>
      <c r="O635" s="2268"/>
      <c r="P635" s="2205"/>
      <c r="Q635" s="2205"/>
      <c r="R635" s="2205"/>
      <c r="S635" s="2205"/>
    </row>
    <row r="636" spans="1:19">
      <c r="A636" s="2256"/>
      <c r="B636" s="2205"/>
      <c r="C636" s="2205"/>
      <c r="D636" s="2205"/>
      <c r="E636" s="2205"/>
      <c r="F636" s="2205"/>
      <c r="G636" s="2205"/>
      <c r="H636" s="2205"/>
      <c r="I636" s="2205"/>
      <c r="J636" s="2205"/>
      <c r="K636" s="2205"/>
      <c r="L636" s="2205"/>
      <c r="M636" s="2268"/>
      <c r="N636" s="2268"/>
      <c r="O636" s="2268"/>
      <c r="P636" s="2205"/>
      <c r="Q636" s="2205"/>
      <c r="R636" s="2205"/>
      <c r="S636" s="2205"/>
    </row>
    <row r="637" spans="1:19">
      <c r="A637" s="2256"/>
      <c r="B637" s="2205"/>
      <c r="C637" s="2205"/>
      <c r="D637" s="2205"/>
      <c r="E637" s="2205"/>
      <c r="F637" s="2205"/>
      <c r="G637" s="2205"/>
      <c r="H637" s="2205"/>
      <c r="I637" s="2205"/>
      <c r="J637" s="2205"/>
      <c r="K637" s="2205"/>
      <c r="L637" s="2205"/>
      <c r="M637" s="2268"/>
      <c r="N637" s="2268"/>
      <c r="O637" s="2268"/>
      <c r="P637" s="2205"/>
      <c r="Q637" s="2205"/>
      <c r="R637" s="2205"/>
      <c r="S637" s="2205"/>
    </row>
    <row r="638" spans="1:19">
      <c r="A638" s="2256"/>
      <c r="B638" s="2205"/>
      <c r="C638" s="2205"/>
      <c r="D638" s="2205"/>
      <c r="E638" s="2205"/>
      <c r="F638" s="2205"/>
      <c r="G638" s="2205"/>
      <c r="H638" s="2205"/>
      <c r="I638" s="2205"/>
      <c r="J638" s="2205"/>
      <c r="K638" s="2205"/>
      <c r="L638" s="2205"/>
      <c r="M638" s="2268"/>
      <c r="N638" s="2268"/>
      <c r="O638" s="2268"/>
      <c r="P638" s="2205"/>
      <c r="Q638" s="2205"/>
      <c r="R638" s="2205"/>
      <c r="S638" s="2205"/>
    </row>
    <row r="639" spans="1:19">
      <c r="A639" s="2256"/>
      <c r="B639" s="2205"/>
      <c r="C639" s="2205"/>
      <c r="D639" s="2205"/>
      <c r="E639" s="2205"/>
      <c r="F639" s="2205"/>
      <c r="G639" s="2205"/>
      <c r="H639" s="2205"/>
      <c r="I639" s="2205"/>
      <c r="J639" s="2205"/>
      <c r="K639" s="2205"/>
      <c r="L639" s="2205"/>
      <c r="M639" s="2268"/>
      <c r="N639" s="2268"/>
      <c r="O639" s="2268"/>
      <c r="P639" s="2205"/>
      <c r="Q639" s="2205"/>
      <c r="R639" s="2205"/>
      <c r="S639" s="2205"/>
    </row>
    <row r="640" spans="1:19">
      <c r="A640" s="2256"/>
      <c r="B640" s="2205"/>
      <c r="C640" s="2205"/>
      <c r="D640" s="2205"/>
      <c r="E640" s="2205"/>
      <c r="F640" s="2205"/>
      <c r="G640" s="2205"/>
      <c r="H640" s="2205"/>
      <c r="I640" s="2205"/>
      <c r="J640" s="2205"/>
      <c r="K640" s="2205"/>
      <c r="L640" s="2205"/>
      <c r="M640" s="2268"/>
      <c r="N640" s="2268"/>
      <c r="O640" s="2268"/>
      <c r="P640" s="2205"/>
      <c r="Q640" s="2205"/>
      <c r="R640" s="2205"/>
      <c r="S640" s="2205"/>
    </row>
    <row r="641" spans="1:19">
      <c r="A641" s="2256"/>
      <c r="B641" s="2205"/>
      <c r="C641" s="2205"/>
      <c r="D641" s="2205"/>
      <c r="E641" s="2205"/>
      <c r="F641" s="2205"/>
      <c r="G641" s="2205"/>
      <c r="H641" s="2205"/>
      <c r="I641" s="2205"/>
      <c r="J641" s="2205"/>
      <c r="K641" s="2205"/>
      <c r="L641" s="2205"/>
      <c r="M641" s="2268"/>
      <c r="N641" s="2268"/>
      <c r="O641" s="2268"/>
      <c r="P641" s="2205"/>
      <c r="Q641" s="2205"/>
      <c r="R641" s="2205"/>
      <c r="S641" s="2205"/>
    </row>
    <row r="642" spans="1:19">
      <c r="A642" s="2256"/>
      <c r="B642" s="2205"/>
      <c r="C642" s="2205"/>
      <c r="D642" s="2205"/>
      <c r="E642" s="2205"/>
      <c r="F642" s="2205"/>
      <c r="G642" s="2205"/>
      <c r="H642" s="2205"/>
      <c r="I642" s="2205"/>
      <c r="J642" s="2205"/>
      <c r="K642" s="2205"/>
      <c r="L642" s="2205"/>
      <c r="M642" s="2268"/>
      <c r="N642" s="2268"/>
      <c r="O642" s="2268"/>
      <c r="P642" s="2205"/>
      <c r="Q642" s="2205"/>
      <c r="R642" s="2205"/>
      <c r="S642" s="2205"/>
    </row>
    <row r="643" spans="1:19">
      <c r="A643" s="2256"/>
      <c r="B643" s="2205"/>
      <c r="C643" s="2205"/>
      <c r="D643" s="2205"/>
      <c r="E643" s="2205"/>
      <c r="F643" s="2205"/>
      <c r="G643" s="2205"/>
      <c r="H643" s="2205"/>
      <c r="I643" s="2205"/>
      <c r="J643" s="2205"/>
      <c r="K643" s="2205"/>
      <c r="L643" s="2205"/>
      <c r="M643" s="2268"/>
      <c r="N643" s="2268"/>
      <c r="O643" s="2268"/>
      <c r="P643" s="2205"/>
      <c r="Q643" s="2205"/>
      <c r="R643" s="2205"/>
      <c r="S643" s="2205"/>
    </row>
    <row r="644" spans="1:19">
      <c r="A644" s="2256"/>
      <c r="B644" s="2205"/>
      <c r="C644" s="2205"/>
      <c r="D644" s="2205"/>
      <c r="E644" s="2205"/>
      <c r="F644" s="2205"/>
      <c r="G644" s="2205"/>
      <c r="H644" s="2205"/>
      <c r="I644" s="2205"/>
      <c r="J644" s="2205"/>
      <c r="K644" s="2205"/>
      <c r="L644" s="2205"/>
      <c r="M644" s="2268"/>
      <c r="N644" s="2268"/>
      <c r="O644" s="2268"/>
      <c r="P644" s="2205"/>
      <c r="Q644" s="2205"/>
      <c r="R644" s="2205"/>
      <c r="S644" s="2205"/>
    </row>
    <row r="645" spans="1:19">
      <c r="A645" s="2256"/>
      <c r="B645" s="2205"/>
      <c r="C645" s="2205"/>
      <c r="D645" s="2205"/>
      <c r="E645" s="2205"/>
      <c r="F645" s="2205"/>
      <c r="G645" s="2205"/>
      <c r="H645" s="2205"/>
      <c r="I645" s="2205"/>
      <c r="J645" s="2205"/>
      <c r="K645" s="2205"/>
      <c r="L645" s="2205"/>
      <c r="M645" s="2268"/>
      <c r="N645" s="2268"/>
      <c r="O645" s="2268"/>
      <c r="P645" s="2205"/>
      <c r="Q645" s="2205"/>
      <c r="R645" s="2205"/>
      <c r="S645" s="2205"/>
    </row>
    <row r="646" spans="1:19">
      <c r="A646" s="2256"/>
      <c r="B646" s="2205"/>
      <c r="C646" s="2205"/>
      <c r="D646" s="2205"/>
      <c r="E646" s="2205"/>
      <c r="F646" s="2205"/>
      <c r="G646" s="2205"/>
      <c r="H646" s="2205"/>
      <c r="I646" s="2205"/>
      <c r="J646" s="2205"/>
      <c r="K646" s="2205"/>
      <c r="L646" s="2205"/>
      <c r="M646" s="2268"/>
      <c r="N646" s="2268"/>
      <c r="O646" s="2268"/>
      <c r="P646" s="2205"/>
      <c r="Q646" s="2205"/>
      <c r="R646" s="2205"/>
      <c r="S646" s="2205"/>
    </row>
    <row r="647" spans="1:19">
      <c r="A647" s="2256"/>
      <c r="B647" s="2205"/>
      <c r="C647" s="2205"/>
      <c r="D647" s="2205"/>
      <c r="E647" s="2205"/>
      <c r="F647" s="2205"/>
      <c r="G647" s="2205"/>
      <c r="H647" s="2205"/>
      <c r="I647" s="2205"/>
      <c r="J647" s="2205"/>
      <c r="K647" s="2205"/>
      <c r="L647" s="2205"/>
      <c r="M647" s="2268"/>
      <c r="N647" s="2268"/>
      <c r="O647" s="2268"/>
      <c r="P647" s="2205"/>
      <c r="Q647" s="2205"/>
      <c r="R647" s="2205"/>
      <c r="S647" s="2205"/>
    </row>
    <row r="648" spans="1:19">
      <c r="A648" s="2256"/>
      <c r="B648" s="2205"/>
      <c r="C648" s="2205"/>
      <c r="D648" s="2205"/>
      <c r="E648" s="2205"/>
      <c r="F648" s="2205"/>
      <c r="G648" s="2205"/>
      <c r="H648" s="2205"/>
      <c r="I648" s="2205"/>
      <c r="J648" s="2205"/>
      <c r="K648" s="2205"/>
      <c r="L648" s="2205"/>
      <c r="M648" s="2268"/>
      <c r="N648" s="2268"/>
      <c r="O648" s="2268"/>
      <c r="P648" s="2205"/>
      <c r="Q648" s="2205"/>
      <c r="R648" s="2205"/>
      <c r="S648" s="2205"/>
    </row>
    <row r="649" spans="1:19">
      <c r="A649" s="2256"/>
      <c r="B649" s="2205"/>
      <c r="C649" s="2205"/>
      <c r="D649" s="2205"/>
      <c r="E649" s="2205"/>
      <c r="F649" s="2205"/>
      <c r="G649" s="2205"/>
      <c r="H649" s="2205"/>
      <c r="I649" s="2205"/>
      <c r="J649" s="2205"/>
      <c r="K649" s="2205"/>
      <c r="L649" s="2205"/>
      <c r="M649" s="2268"/>
      <c r="N649" s="2268"/>
      <c r="O649" s="2268"/>
      <c r="P649" s="2205"/>
      <c r="Q649" s="2205"/>
      <c r="R649" s="2205"/>
      <c r="S649" s="2205"/>
    </row>
    <row r="650" spans="1:19">
      <c r="A650" s="2256"/>
      <c r="B650" s="2205"/>
      <c r="C650" s="2205"/>
      <c r="D650" s="2205"/>
      <c r="E650" s="2205"/>
      <c r="F650" s="2205"/>
      <c r="G650" s="2205"/>
      <c r="H650" s="2205"/>
      <c r="I650" s="2205"/>
      <c r="J650" s="2205"/>
      <c r="K650" s="2205"/>
      <c r="L650" s="2205"/>
      <c r="M650" s="2268"/>
      <c r="N650" s="2268"/>
      <c r="O650" s="2268"/>
      <c r="P650" s="2205"/>
      <c r="Q650" s="2205"/>
      <c r="R650" s="2205"/>
      <c r="S650" s="2205"/>
    </row>
    <row r="651" spans="1:19">
      <c r="A651" s="2256"/>
      <c r="B651" s="2205"/>
      <c r="C651" s="2205"/>
      <c r="D651" s="2205"/>
      <c r="E651" s="2205"/>
      <c r="F651" s="2205"/>
      <c r="G651" s="2205"/>
      <c r="H651" s="2205"/>
      <c r="I651" s="2205"/>
      <c r="J651" s="2205"/>
      <c r="K651" s="2205"/>
      <c r="L651" s="2205"/>
      <c r="M651" s="2268"/>
      <c r="N651" s="2268"/>
      <c r="O651" s="2268"/>
      <c r="P651" s="2205"/>
      <c r="Q651" s="2205"/>
      <c r="R651" s="2205"/>
      <c r="S651" s="2205"/>
    </row>
    <row r="652" spans="1:19">
      <c r="A652" s="2256"/>
      <c r="B652" s="2205"/>
      <c r="C652" s="2205"/>
      <c r="D652" s="2205"/>
      <c r="E652" s="2205"/>
      <c r="F652" s="2205"/>
      <c r="G652" s="2205"/>
      <c r="H652" s="2205"/>
      <c r="I652" s="2205"/>
      <c r="J652" s="2205"/>
      <c r="K652" s="2205"/>
      <c r="L652" s="2205"/>
      <c r="M652" s="2268"/>
      <c r="N652" s="2268"/>
      <c r="O652" s="2268"/>
      <c r="P652" s="2205"/>
      <c r="Q652" s="2205"/>
      <c r="R652" s="2205"/>
      <c r="S652" s="2205"/>
    </row>
    <row r="653" spans="1:19">
      <c r="A653" s="2256"/>
      <c r="B653" s="2205"/>
      <c r="C653" s="2205"/>
      <c r="D653" s="2205"/>
      <c r="E653" s="2205"/>
      <c r="F653" s="2205"/>
      <c r="G653" s="2205"/>
      <c r="H653" s="2205"/>
      <c r="I653" s="2205"/>
      <c r="J653" s="2205"/>
      <c r="K653" s="2205"/>
      <c r="L653" s="2205"/>
      <c r="M653" s="2268"/>
      <c r="N653" s="2268"/>
      <c r="O653" s="2268"/>
      <c r="P653" s="2205"/>
      <c r="Q653" s="2205"/>
      <c r="R653" s="2205"/>
      <c r="S653" s="2205"/>
    </row>
    <row r="654" spans="1:19">
      <c r="A654" s="2256"/>
      <c r="B654" s="2205"/>
      <c r="C654" s="2205"/>
      <c r="D654" s="2205"/>
      <c r="E654" s="2205"/>
      <c r="F654" s="2205"/>
      <c r="G654" s="2205"/>
      <c r="H654" s="2205"/>
      <c r="I654" s="2205"/>
      <c r="J654" s="2205"/>
      <c r="K654" s="2205"/>
      <c r="L654" s="2205"/>
      <c r="M654" s="2268"/>
      <c r="N654" s="2268"/>
      <c r="O654" s="2268"/>
      <c r="P654" s="2205"/>
      <c r="Q654" s="2205"/>
      <c r="R654" s="2205"/>
      <c r="S654" s="2205"/>
    </row>
    <row r="655" spans="1:19">
      <c r="A655" s="2256"/>
      <c r="B655" s="2205"/>
      <c r="C655" s="2205"/>
      <c r="D655" s="2205"/>
      <c r="E655" s="2205"/>
      <c r="F655" s="2205"/>
      <c r="G655" s="2205"/>
      <c r="H655" s="2205"/>
      <c r="I655" s="2205"/>
      <c r="J655" s="2205"/>
      <c r="K655" s="2205"/>
      <c r="L655" s="2205"/>
      <c r="M655" s="2268"/>
      <c r="N655" s="2268"/>
      <c r="O655" s="2268"/>
      <c r="P655" s="2205"/>
      <c r="Q655" s="2205"/>
      <c r="R655" s="2205"/>
      <c r="S655" s="2205"/>
    </row>
    <row r="656" spans="1:19">
      <c r="A656" s="2256"/>
      <c r="B656" s="2205"/>
      <c r="C656" s="2205"/>
      <c r="D656" s="2205"/>
      <c r="E656" s="2205"/>
      <c r="F656" s="2205"/>
      <c r="G656" s="2205"/>
      <c r="H656" s="2205"/>
      <c r="I656" s="2205"/>
      <c r="J656" s="2205"/>
      <c r="K656" s="2205"/>
      <c r="L656" s="2205"/>
      <c r="M656" s="2268"/>
      <c r="N656" s="2268"/>
      <c r="O656" s="2268"/>
      <c r="P656" s="2205"/>
      <c r="Q656" s="2205"/>
      <c r="R656" s="2205"/>
      <c r="S656" s="2205"/>
    </row>
    <row r="657" spans="1:19">
      <c r="A657" s="2256"/>
      <c r="B657" s="2205"/>
      <c r="C657" s="2205"/>
      <c r="D657" s="2205"/>
      <c r="E657" s="2205"/>
      <c r="F657" s="2205"/>
      <c r="G657" s="2205"/>
      <c r="H657" s="2205"/>
      <c r="I657" s="2205"/>
      <c r="J657" s="2205"/>
      <c r="K657" s="2205"/>
      <c r="L657" s="2205"/>
      <c r="M657" s="2268"/>
      <c r="N657" s="2268"/>
      <c r="O657" s="2268"/>
      <c r="P657" s="2205"/>
      <c r="Q657" s="2205"/>
      <c r="R657" s="2205"/>
      <c r="S657" s="2205"/>
    </row>
    <row r="658" spans="1:19">
      <c r="A658" s="2256"/>
      <c r="B658" s="2205"/>
      <c r="C658" s="2205"/>
      <c r="D658" s="2205"/>
      <c r="E658" s="2205"/>
      <c r="F658" s="2205"/>
      <c r="G658" s="2205"/>
      <c r="H658" s="2205"/>
      <c r="I658" s="2205"/>
      <c r="J658" s="2205"/>
      <c r="K658" s="2205"/>
      <c r="L658" s="2205"/>
      <c r="M658" s="2268"/>
      <c r="N658" s="2268"/>
      <c r="O658" s="2268"/>
      <c r="P658" s="2205"/>
      <c r="Q658" s="2205"/>
      <c r="R658" s="2205"/>
      <c r="S658" s="2205"/>
    </row>
    <row r="659" spans="1:19">
      <c r="A659" s="2256"/>
      <c r="B659" s="2205"/>
      <c r="C659" s="2205"/>
      <c r="D659" s="2205"/>
      <c r="E659" s="2205"/>
      <c r="F659" s="2205"/>
      <c r="G659" s="2205"/>
      <c r="H659" s="2205"/>
      <c r="I659" s="2205"/>
      <c r="J659" s="2205"/>
      <c r="K659" s="2205"/>
      <c r="L659" s="2205"/>
      <c r="M659" s="2268"/>
      <c r="N659" s="2268"/>
      <c r="O659" s="2268"/>
      <c r="P659" s="2205"/>
      <c r="Q659" s="2205"/>
      <c r="R659" s="2205"/>
      <c r="S659" s="2205"/>
    </row>
    <row r="660" spans="1:19">
      <c r="A660" s="2256"/>
      <c r="B660" s="2205"/>
      <c r="C660" s="2205"/>
      <c r="D660" s="2205"/>
      <c r="E660" s="2205"/>
      <c r="F660" s="2205"/>
      <c r="G660" s="2205"/>
      <c r="H660" s="2205"/>
      <c r="I660" s="2205"/>
      <c r="J660" s="2205"/>
      <c r="K660" s="2205"/>
      <c r="L660" s="2205"/>
      <c r="M660" s="2268"/>
      <c r="N660" s="2268"/>
      <c r="O660" s="2268"/>
      <c r="P660" s="2205"/>
      <c r="Q660" s="2205"/>
      <c r="R660" s="2205"/>
      <c r="S660" s="2205"/>
    </row>
    <row r="661" spans="1:19">
      <c r="A661" s="2256"/>
      <c r="B661" s="2205"/>
      <c r="C661" s="2205"/>
      <c r="D661" s="2205"/>
      <c r="E661" s="2205"/>
      <c r="F661" s="2205"/>
      <c r="G661" s="2205"/>
      <c r="H661" s="2205"/>
      <c r="I661" s="2205"/>
      <c r="J661" s="2205"/>
      <c r="K661" s="2205"/>
      <c r="L661" s="2205"/>
      <c r="M661" s="2268"/>
      <c r="N661" s="2268"/>
      <c r="O661" s="2268"/>
      <c r="P661" s="2205"/>
      <c r="Q661" s="2205"/>
      <c r="R661" s="2205"/>
      <c r="S661" s="2205"/>
    </row>
    <row r="662" spans="1:19">
      <c r="A662" s="2256"/>
      <c r="B662" s="2205"/>
      <c r="C662" s="2205"/>
      <c r="D662" s="2205"/>
      <c r="E662" s="2205"/>
      <c r="F662" s="2205"/>
      <c r="G662" s="2205"/>
      <c r="H662" s="2205"/>
      <c r="I662" s="2205"/>
      <c r="J662" s="2205"/>
      <c r="K662" s="2205"/>
      <c r="L662" s="2205"/>
      <c r="M662" s="2268"/>
      <c r="N662" s="2268"/>
      <c r="O662" s="2268"/>
      <c r="P662" s="2205"/>
      <c r="Q662" s="2205"/>
      <c r="R662" s="2205"/>
      <c r="S662" s="2205"/>
    </row>
    <row r="663" spans="1:19">
      <c r="A663" s="2256"/>
      <c r="B663" s="2205"/>
      <c r="C663" s="2205"/>
      <c r="D663" s="2205"/>
      <c r="E663" s="2205"/>
      <c r="F663" s="2205"/>
      <c r="G663" s="2205"/>
      <c r="H663" s="2205"/>
      <c r="I663" s="2205"/>
      <c r="J663" s="2205"/>
      <c r="K663" s="2205"/>
      <c r="L663" s="2205"/>
      <c r="M663" s="2268"/>
      <c r="N663" s="2268"/>
      <c r="O663" s="2268"/>
      <c r="P663" s="2205"/>
      <c r="Q663" s="2205"/>
      <c r="R663" s="2205"/>
      <c r="S663" s="2205"/>
    </row>
    <row r="664" spans="1:19">
      <c r="A664" s="2256"/>
      <c r="B664" s="2205"/>
      <c r="C664" s="2205"/>
      <c r="D664" s="2205"/>
      <c r="E664" s="2205"/>
      <c r="F664" s="2205"/>
      <c r="G664" s="2205"/>
      <c r="H664" s="2205"/>
      <c r="I664" s="2205"/>
      <c r="J664" s="2205"/>
      <c r="K664" s="2205"/>
      <c r="L664" s="2205"/>
      <c r="M664" s="2268"/>
      <c r="N664" s="2268"/>
      <c r="O664" s="2268"/>
      <c r="P664" s="2205"/>
      <c r="Q664" s="2205"/>
      <c r="R664" s="2205"/>
      <c r="S664" s="2205"/>
    </row>
    <row r="665" spans="1:19">
      <c r="A665" s="2256"/>
      <c r="B665" s="2205"/>
      <c r="C665" s="2205"/>
      <c r="D665" s="2205"/>
      <c r="E665" s="2205"/>
      <c r="F665" s="2205"/>
      <c r="G665" s="2205"/>
      <c r="H665" s="2205"/>
      <c r="I665" s="2205"/>
      <c r="J665" s="2205"/>
      <c r="K665" s="2205"/>
      <c r="L665" s="2205"/>
      <c r="M665" s="2268"/>
      <c r="N665" s="2268"/>
      <c r="O665" s="2268"/>
      <c r="P665" s="2205"/>
      <c r="Q665" s="2205"/>
      <c r="R665" s="2205"/>
      <c r="S665" s="2205"/>
    </row>
    <row r="666" spans="1:19">
      <c r="A666" s="2256"/>
      <c r="B666" s="2205"/>
      <c r="C666" s="2205"/>
      <c r="D666" s="2205"/>
      <c r="E666" s="2205"/>
      <c r="F666" s="2205"/>
      <c r="G666" s="2205"/>
      <c r="H666" s="2205"/>
      <c r="I666" s="2205"/>
      <c r="J666" s="2205"/>
      <c r="K666" s="2205"/>
      <c r="L666" s="2205"/>
      <c r="M666" s="2268"/>
      <c r="N666" s="2268"/>
      <c r="O666" s="2268"/>
      <c r="P666" s="2205"/>
      <c r="Q666" s="2205"/>
      <c r="R666" s="2205"/>
      <c r="S666" s="2205"/>
    </row>
    <row r="667" spans="1:19">
      <c r="A667" s="2256"/>
      <c r="B667" s="2205"/>
      <c r="C667" s="2205"/>
      <c r="D667" s="2205"/>
      <c r="E667" s="2205"/>
      <c r="F667" s="2205"/>
      <c r="G667" s="2205"/>
      <c r="H667" s="2205"/>
      <c r="I667" s="2205"/>
      <c r="J667" s="2205"/>
      <c r="K667" s="2205"/>
      <c r="L667" s="2205"/>
      <c r="M667" s="2268"/>
      <c r="N667" s="2268"/>
      <c r="O667" s="2268"/>
      <c r="P667" s="2205"/>
      <c r="Q667" s="2205"/>
      <c r="R667" s="2205"/>
      <c r="S667" s="2205"/>
    </row>
    <row r="668" spans="1:19">
      <c r="A668" s="2256"/>
      <c r="B668" s="2205"/>
      <c r="C668" s="2205"/>
      <c r="D668" s="2205"/>
      <c r="E668" s="2205"/>
      <c r="F668" s="2205"/>
      <c r="G668" s="2205"/>
      <c r="H668" s="2205"/>
      <c r="I668" s="2205"/>
      <c r="J668" s="2205"/>
      <c r="K668" s="2205"/>
      <c r="L668" s="2205"/>
      <c r="M668" s="2268"/>
      <c r="N668" s="2268"/>
      <c r="O668" s="2268"/>
      <c r="P668" s="2205"/>
      <c r="Q668" s="2205"/>
      <c r="R668" s="2205"/>
      <c r="S668" s="2205"/>
    </row>
    <row r="669" spans="1:19">
      <c r="A669" s="2256"/>
      <c r="B669" s="2205"/>
      <c r="C669" s="2205"/>
      <c r="D669" s="2205"/>
      <c r="E669" s="2205"/>
      <c r="F669" s="2205"/>
      <c r="G669" s="2205"/>
      <c r="H669" s="2205"/>
      <c r="I669" s="2205"/>
      <c r="J669" s="2205"/>
      <c r="K669" s="2205"/>
      <c r="L669" s="2205"/>
      <c r="M669" s="2268"/>
      <c r="N669" s="2268"/>
      <c r="O669" s="2268"/>
      <c r="P669" s="2205"/>
      <c r="Q669" s="2205"/>
      <c r="R669" s="2205"/>
      <c r="S669" s="2205"/>
    </row>
    <row r="670" spans="1:19">
      <c r="A670" s="2256"/>
      <c r="B670" s="2205"/>
      <c r="C670" s="2205"/>
      <c r="D670" s="2205"/>
      <c r="E670" s="2205"/>
      <c r="F670" s="2205"/>
      <c r="G670" s="2205"/>
      <c r="H670" s="2205"/>
      <c r="I670" s="2205"/>
      <c r="J670" s="2205"/>
      <c r="K670" s="2205"/>
      <c r="L670" s="2205"/>
      <c r="M670" s="2268"/>
      <c r="N670" s="2268"/>
      <c r="O670" s="2268"/>
      <c r="P670" s="2205"/>
      <c r="Q670" s="2205"/>
      <c r="R670" s="2205"/>
      <c r="S670" s="2205"/>
    </row>
    <row r="671" spans="1:19">
      <c r="A671" s="2256"/>
      <c r="B671" s="2205"/>
      <c r="C671" s="2205"/>
      <c r="D671" s="2205"/>
      <c r="E671" s="2205"/>
      <c r="F671" s="2205"/>
      <c r="G671" s="2205"/>
      <c r="H671" s="2205"/>
      <c r="I671" s="2205"/>
      <c r="J671" s="2205"/>
      <c r="K671" s="2205"/>
      <c r="L671" s="2205"/>
      <c r="M671" s="2268"/>
      <c r="N671" s="2268"/>
      <c r="O671" s="2268"/>
      <c r="P671" s="2205"/>
      <c r="Q671" s="2205"/>
      <c r="R671" s="2205"/>
      <c r="S671" s="2205"/>
    </row>
    <row r="672" spans="1:19">
      <c r="A672" s="2256"/>
      <c r="B672" s="2205"/>
      <c r="C672" s="2205"/>
      <c r="D672" s="2205"/>
      <c r="E672" s="2205"/>
      <c r="F672" s="2205"/>
      <c r="G672" s="2205"/>
      <c r="H672" s="2205"/>
      <c r="I672" s="2205"/>
      <c r="J672" s="2205"/>
      <c r="K672" s="2205"/>
      <c r="L672" s="2205"/>
      <c r="M672" s="2268"/>
      <c r="N672" s="2268"/>
      <c r="O672" s="2268"/>
      <c r="P672" s="2205"/>
      <c r="Q672" s="2205"/>
      <c r="R672" s="2205"/>
      <c r="S672" s="2205"/>
    </row>
    <row r="673" spans="1:19">
      <c r="A673" s="2256"/>
      <c r="B673" s="2205"/>
      <c r="C673" s="2205"/>
      <c r="D673" s="2205"/>
      <c r="E673" s="2205"/>
      <c r="F673" s="2205"/>
      <c r="G673" s="2205"/>
      <c r="H673" s="2205"/>
      <c r="I673" s="2205"/>
      <c r="J673" s="2205"/>
      <c r="K673" s="2205"/>
      <c r="L673" s="2205"/>
      <c r="M673" s="2268"/>
      <c r="N673" s="2268"/>
      <c r="O673" s="2268"/>
      <c r="P673" s="2205"/>
      <c r="Q673" s="2205"/>
      <c r="R673" s="2205"/>
      <c r="S673" s="2205"/>
    </row>
    <row r="674" spans="1:19">
      <c r="A674" s="2256"/>
      <c r="B674" s="2205"/>
      <c r="C674" s="2205"/>
      <c r="D674" s="2205"/>
      <c r="E674" s="2205"/>
      <c r="F674" s="2205"/>
      <c r="G674" s="2205"/>
      <c r="H674" s="2205"/>
      <c r="I674" s="2205"/>
      <c r="J674" s="2205"/>
      <c r="K674" s="2205"/>
      <c r="L674" s="2205"/>
      <c r="M674" s="2268"/>
      <c r="N674" s="2268"/>
      <c r="O674" s="2268"/>
      <c r="P674" s="2205"/>
      <c r="Q674" s="2205"/>
      <c r="R674" s="2205"/>
      <c r="S674" s="2205"/>
    </row>
    <row r="675" spans="1:19">
      <c r="A675" s="2256"/>
      <c r="B675" s="2205"/>
      <c r="C675" s="2205"/>
      <c r="D675" s="2205"/>
      <c r="E675" s="2205"/>
      <c r="F675" s="2205"/>
      <c r="G675" s="2205"/>
      <c r="H675" s="2205"/>
      <c r="I675" s="2205"/>
      <c r="J675" s="2205"/>
      <c r="K675" s="2205"/>
      <c r="L675" s="2205"/>
      <c r="M675" s="2268"/>
      <c r="N675" s="2268"/>
      <c r="O675" s="2268"/>
      <c r="P675" s="2205"/>
      <c r="Q675" s="2205"/>
      <c r="R675" s="2205"/>
      <c r="S675" s="2205"/>
    </row>
    <row r="676" spans="1:19">
      <c r="A676" s="2256"/>
      <c r="B676" s="2205"/>
      <c r="C676" s="2205"/>
      <c r="D676" s="2205"/>
      <c r="E676" s="2205"/>
      <c r="F676" s="2205"/>
      <c r="G676" s="2205"/>
      <c r="H676" s="2205"/>
      <c r="I676" s="2205"/>
      <c r="J676" s="2205"/>
      <c r="K676" s="2205"/>
      <c r="L676" s="2205"/>
      <c r="M676" s="2268"/>
      <c r="N676" s="2268"/>
      <c r="O676" s="2268"/>
      <c r="P676" s="2205"/>
      <c r="Q676" s="2205"/>
      <c r="R676" s="2205"/>
      <c r="S676" s="2205"/>
    </row>
    <row r="677" spans="1:19">
      <c r="A677" s="2256"/>
      <c r="B677" s="2205"/>
      <c r="C677" s="2205"/>
      <c r="D677" s="2205"/>
      <c r="E677" s="2205"/>
      <c r="F677" s="2205"/>
      <c r="G677" s="2205"/>
      <c r="H677" s="2205"/>
      <c r="I677" s="2205"/>
      <c r="J677" s="2205"/>
      <c r="K677" s="2205"/>
      <c r="L677" s="2205"/>
      <c r="M677" s="2268"/>
      <c r="N677" s="2268"/>
      <c r="O677" s="2268"/>
      <c r="P677" s="2205"/>
      <c r="Q677" s="2205"/>
      <c r="R677" s="2205"/>
      <c r="S677" s="2205"/>
    </row>
    <row r="678" spans="1:19">
      <c r="A678" s="2256"/>
      <c r="B678" s="2205"/>
      <c r="C678" s="2205"/>
      <c r="D678" s="2205"/>
      <c r="E678" s="2205"/>
      <c r="F678" s="2205"/>
      <c r="G678" s="2205"/>
      <c r="H678" s="2205"/>
      <c r="I678" s="2205"/>
      <c r="J678" s="2205"/>
      <c r="K678" s="2205"/>
      <c r="L678" s="2205"/>
      <c r="M678" s="2268"/>
      <c r="N678" s="2268"/>
      <c r="O678" s="2268"/>
      <c r="P678" s="2205"/>
      <c r="Q678" s="2205"/>
      <c r="R678" s="2205"/>
      <c r="S678" s="2205"/>
    </row>
    <row r="679" spans="1:19">
      <c r="A679" s="2256"/>
      <c r="B679" s="2205"/>
      <c r="C679" s="2205"/>
      <c r="D679" s="2205"/>
      <c r="E679" s="2205"/>
      <c r="F679" s="2205"/>
      <c r="G679" s="2205"/>
      <c r="H679" s="2205"/>
      <c r="I679" s="2205"/>
      <c r="J679" s="2205"/>
      <c r="K679" s="2205"/>
      <c r="L679" s="2205"/>
      <c r="M679" s="2268"/>
      <c r="N679" s="2268"/>
      <c r="O679" s="2268"/>
      <c r="P679" s="2205"/>
      <c r="Q679" s="2205"/>
      <c r="R679" s="2205"/>
      <c r="S679" s="2205"/>
    </row>
    <row r="680" spans="1:19">
      <c r="A680" s="2256"/>
      <c r="B680" s="2205"/>
      <c r="C680" s="2205"/>
      <c r="D680" s="2205"/>
      <c r="E680" s="2205"/>
      <c r="F680" s="2205"/>
      <c r="G680" s="2205"/>
      <c r="H680" s="2205"/>
      <c r="I680" s="2205"/>
      <c r="J680" s="2205"/>
      <c r="K680" s="2205"/>
      <c r="L680" s="2205"/>
      <c r="M680" s="2268"/>
      <c r="N680" s="2268"/>
      <c r="O680" s="2268"/>
      <c r="P680" s="2205"/>
      <c r="Q680" s="2205"/>
      <c r="R680" s="2205"/>
      <c r="S680" s="2205"/>
    </row>
    <row r="681" spans="1:19">
      <c r="A681" s="2256"/>
      <c r="B681" s="2205"/>
      <c r="C681" s="2205"/>
      <c r="D681" s="2205"/>
      <c r="E681" s="2205"/>
      <c r="F681" s="2205"/>
      <c r="G681" s="2205"/>
      <c r="H681" s="2205"/>
      <c r="I681" s="2205"/>
      <c r="J681" s="2205"/>
      <c r="K681" s="2205"/>
      <c r="L681" s="2205"/>
      <c r="M681" s="2268"/>
      <c r="N681" s="2268"/>
      <c r="O681" s="2268"/>
      <c r="P681" s="2205"/>
      <c r="Q681" s="2205"/>
      <c r="R681" s="2205"/>
      <c r="S681" s="2205"/>
    </row>
    <row r="682" spans="1:19">
      <c r="A682" s="2256"/>
      <c r="B682" s="2205"/>
      <c r="C682" s="2205"/>
      <c r="D682" s="2205"/>
      <c r="E682" s="2205"/>
      <c r="F682" s="2205"/>
      <c r="G682" s="2205"/>
      <c r="H682" s="2205"/>
      <c r="I682" s="2205"/>
      <c r="J682" s="2205"/>
      <c r="K682" s="2205"/>
      <c r="L682" s="2205"/>
      <c r="M682" s="2268"/>
      <c r="N682" s="2268"/>
      <c r="O682" s="2268"/>
      <c r="P682" s="2205"/>
      <c r="Q682" s="2205"/>
      <c r="R682" s="2205"/>
      <c r="S682" s="2205"/>
    </row>
    <row r="683" spans="1:19">
      <c r="A683" s="2256"/>
      <c r="B683" s="2205"/>
      <c r="C683" s="2205"/>
      <c r="D683" s="2205"/>
      <c r="E683" s="2205"/>
      <c r="F683" s="2205"/>
      <c r="G683" s="2205"/>
      <c r="H683" s="2205"/>
      <c r="I683" s="2205"/>
      <c r="J683" s="2205"/>
      <c r="K683" s="2205"/>
      <c r="L683" s="2205"/>
      <c r="M683" s="2268"/>
      <c r="N683" s="2268"/>
      <c r="O683" s="2268"/>
      <c r="P683" s="2205"/>
      <c r="Q683" s="2205"/>
      <c r="R683" s="2205"/>
      <c r="S683" s="2205"/>
    </row>
    <row r="684" spans="1:19">
      <c r="A684" s="2256"/>
      <c r="B684" s="2205"/>
      <c r="C684" s="2205"/>
      <c r="D684" s="2205"/>
      <c r="E684" s="2205"/>
      <c r="F684" s="2205"/>
      <c r="G684" s="2205"/>
      <c r="H684" s="2205"/>
      <c r="I684" s="2205"/>
      <c r="J684" s="2205"/>
      <c r="K684" s="2205"/>
      <c r="L684" s="2205"/>
      <c r="M684" s="2268"/>
      <c r="N684" s="2268"/>
      <c r="O684" s="2268"/>
      <c r="P684" s="2205"/>
      <c r="Q684" s="2205"/>
      <c r="R684" s="2205"/>
      <c r="S684" s="2205"/>
    </row>
    <row r="685" spans="1:19">
      <c r="A685" s="2256"/>
      <c r="B685" s="2205"/>
      <c r="C685" s="2205"/>
      <c r="D685" s="2205"/>
      <c r="E685" s="2205"/>
      <c r="F685" s="2205"/>
      <c r="G685" s="2205"/>
      <c r="H685" s="2205"/>
      <c r="I685" s="2205"/>
      <c r="J685" s="2205"/>
      <c r="K685" s="2205"/>
      <c r="L685" s="2205"/>
      <c r="M685" s="2268"/>
      <c r="N685" s="2268"/>
      <c r="O685" s="2268"/>
      <c r="P685" s="2205"/>
      <c r="Q685" s="2205"/>
      <c r="R685" s="2205"/>
      <c r="S685" s="2205"/>
    </row>
    <row r="686" spans="1:19">
      <c r="A686" s="2256"/>
      <c r="B686" s="2205"/>
      <c r="C686" s="2205"/>
      <c r="D686" s="2205"/>
      <c r="E686" s="2205"/>
      <c r="F686" s="2205"/>
      <c r="G686" s="2205"/>
      <c r="H686" s="2205"/>
      <c r="I686" s="2205"/>
      <c r="J686" s="2205"/>
      <c r="K686" s="2205"/>
      <c r="L686" s="2205"/>
      <c r="M686" s="2268"/>
      <c r="N686" s="2268"/>
      <c r="O686" s="2268"/>
      <c r="P686" s="2205"/>
      <c r="Q686" s="2205"/>
      <c r="R686" s="2205"/>
      <c r="S686" s="2205"/>
    </row>
    <row r="687" spans="1:19">
      <c r="A687" s="2256"/>
      <c r="B687" s="2205"/>
      <c r="C687" s="2205"/>
      <c r="D687" s="2205"/>
      <c r="E687" s="2205"/>
      <c r="F687" s="2205"/>
      <c r="G687" s="2205"/>
      <c r="H687" s="2205"/>
      <c r="I687" s="2205"/>
      <c r="J687" s="2205"/>
      <c r="K687" s="2205"/>
      <c r="L687" s="2205"/>
      <c r="M687" s="2268"/>
      <c r="N687" s="2268"/>
      <c r="O687" s="2268"/>
      <c r="P687" s="2205"/>
      <c r="Q687" s="2205"/>
      <c r="R687" s="2205"/>
      <c r="S687" s="2205"/>
    </row>
    <row r="688" spans="1:19">
      <c r="A688" s="2256"/>
      <c r="B688" s="2205"/>
      <c r="C688" s="2205"/>
      <c r="D688" s="2205"/>
      <c r="E688" s="2205"/>
      <c r="F688" s="2205"/>
      <c r="G688" s="2205"/>
      <c r="H688" s="2205"/>
      <c r="I688" s="2205"/>
      <c r="J688" s="2205"/>
      <c r="K688" s="2205"/>
      <c r="L688" s="2205"/>
      <c r="M688" s="2268"/>
      <c r="N688" s="2268"/>
      <c r="O688" s="2268"/>
      <c r="P688" s="2205"/>
      <c r="Q688" s="2205"/>
      <c r="R688" s="2205"/>
      <c r="S688" s="2205"/>
    </row>
    <row r="689" spans="1:19">
      <c r="A689" s="2256"/>
      <c r="B689" s="2205"/>
      <c r="C689" s="2205"/>
      <c r="D689" s="2205"/>
      <c r="E689" s="2205"/>
      <c r="F689" s="2205"/>
      <c r="G689" s="2205"/>
      <c r="H689" s="2205"/>
      <c r="I689" s="2205"/>
      <c r="J689" s="2205"/>
      <c r="K689" s="2205"/>
      <c r="L689" s="2205"/>
      <c r="M689" s="2268"/>
      <c r="N689" s="2268"/>
      <c r="O689" s="2268"/>
      <c r="P689" s="2205"/>
      <c r="Q689" s="2205"/>
      <c r="R689" s="2205"/>
      <c r="S689" s="2205"/>
    </row>
    <row r="690" spans="1:19">
      <c r="A690" s="2256"/>
      <c r="B690" s="2205"/>
      <c r="C690" s="2205"/>
      <c r="D690" s="2205"/>
      <c r="E690" s="2205"/>
      <c r="F690" s="2205"/>
      <c r="G690" s="2205"/>
      <c r="H690" s="2205"/>
      <c r="I690" s="2205"/>
      <c r="J690" s="2205"/>
      <c r="K690" s="2205"/>
      <c r="L690" s="2205"/>
      <c r="M690" s="2268"/>
      <c r="N690" s="2268"/>
      <c r="O690" s="2268"/>
      <c r="P690" s="2205"/>
      <c r="Q690" s="2205"/>
      <c r="R690" s="2205"/>
      <c r="S690" s="2205"/>
    </row>
    <row r="691" spans="1:19">
      <c r="A691" s="2256"/>
      <c r="B691" s="2205"/>
      <c r="C691" s="2205"/>
      <c r="D691" s="2205"/>
      <c r="E691" s="2205"/>
      <c r="F691" s="2205"/>
      <c r="G691" s="2205"/>
      <c r="H691" s="2205"/>
      <c r="I691" s="2205"/>
      <c r="J691" s="2205"/>
      <c r="K691" s="2205"/>
      <c r="L691" s="2205"/>
      <c r="M691" s="2268"/>
      <c r="N691" s="2268"/>
      <c r="O691" s="2268"/>
      <c r="P691" s="2205"/>
      <c r="Q691" s="2205"/>
      <c r="R691" s="2205"/>
      <c r="S691" s="2205"/>
    </row>
    <row r="692" spans="1:19">
      <c r="A692" s="2256"/>
      <c r="B692" s="2205"/>
      <c r="C692" s="2205"/>
      <c r="D692" s="2205"/>
      <c r="E692" s="2205"/>
      <c r="F692" s="2205"/>
      <c r="G692" s="2205"/>
      <c r="H692" s="2205"/>
      <c r="I692" s="2205"/>
      <c r="J692" s="2205"/>
      <c r="K692" s="2205"/>
      <c r="L692" s="2205"/>
      <c r="M692" s="2268"/>
      <c r="N692" s="2268"/>
      <c r="O692" s="2268"/>
      <c r="P692" s="2205"/>
      <c r="Q692" s="2205"/>
      <c r="R692" s="2205"/>
      <c r="S692" s="2205"/>
    </row>
    <row r="693" spans="1:19">
      <c r="A693" s="2256"/>
      <c r="B693" s="2205"/>
      <c r="C693" s="2205"/>
      <c r="D693" s="2205"/>
      <c r="E693" s="2205"/>
      <c r="F693" s="2205"/>
      <c r="G693" s="2205"/>
      <c r="H693" s="2205"/>
      <c r="I693" s="2205"/>
      <c r="J693" s="2205"/>
      <c r="K693" s="2205"/>
      <c r="L693" s="2205"/>
      <c r="M693" s="2268"/>
      <c r="N693" s="2268"/>
      <c r="O693" s="2268"/>
      <c r="P693" s="2205"/>
      <c r="Q693" s="2205"/>
      <c r="R693" s="2205"/>
      <c r="S693" s="2205"/>
    </row>
    <row r="694" spans="1:19">
      <c r="A694" s="2256"/>
      <c r="B694" s="2205"/>
      <c r="C694" s="2205"/>
      <c r="D694" s="2205"/>
      <c r="E694" s="2205"/>
      <c r="F694" s="2205"/>
      <c r="G694" s="2205"/>
      <c r="H694" s="2205"/>
      <c r="I694" s="2205"/>
      <c r="J694" s="2205"/>
      <c r="K694" s="2205"/>
      <c r="L694" s="2205"/>
      <c r="M694" s="2268"/>
      <c r="N694" s="2268"/>
      <c r="O694" s="2268"/>
      <c r="P694" s="2205"/>
      <c r="Q694" s="2205"/>
      <c r="R694" s="2205"/>
      <c r="S694" s="2205"/>
    </row>
    <row r="695" spans="1:19">
      <c r="A695" s="2256"/>
      <c r="B695" s="2205"/>
      <c r="C695" s="2205"/>
      <c r="D695" s="2205"/>
      <c r="E695" s="2205"/>
      <c r="F695" s="2205"/>
      <c r="G695" s="2205"/>
      <c r="H695" s="2205"/>
      <c r="I695" s="2205"/>
      <c r="J695" s="2205"/>
      <c r="K695" s="2205"/>
      <c r="L695" s="2205"/>
      <c r="M695" s="2268"/>
      <c r="N695" s="2268"/>
      <c r="O695" s="2268"/>
      <c r="P695" s="2205"/>
      <c r="Q695" s="2205"/>
      <c r="R695" s="2205"/>
      <c r="S695" s="2205"/>
    </row>
    <row r="696" spans="1:19">
      <c r="A696" s="2256"/>
      <c r="B696" s="2205"/>
      <c r="C696" s="2205"/>
      <c r="D696" s="2205"/>
      <c r="E696" s="2205"/>
      <c r="F696" s="2205"/>
      <c r="G696" s="2205"/>
      <c r="H696" s="2205"/>
      <c r="I696" s="2205"/>
      <c r="J696" s="2205"/>
      <c r="K696" s="2205"/>
      <c r="L696" s="2205"/>
      <c r="M696" s="2268"/>
      <c r="N696" s="2268"/>
      <c r="O696" s="2268"/>
      <c r="P696" s="2205"/>
      <c r="Q696" s="2205"/>
      <c r="R696" s="2205"/>
      <c r="S696" s="2205"/>
    </row>
    <row r="697" spans="1:19">
      <c r="A697" s="2256"/>
      <c r="B697" s="2205"/>
      <c r="C697" s="2205"/>
      <c r="D697" s="2205"/>
      <c r="E697" s="2205"/>
      <c r="F697" s="2205"/>
      <c r="G697" s="2205"/>
      <c r="H697" s="2205"/>
      <c r="I697" s="2205"/>
      <c r="J697" s="2205"/>
      <c r="K697" s="2205"/>
      <c r="L697" s="2205"/>
      <c r="M697" s="2268"/>
      <c r="N697" s="2268"/>
      <c r="O697" s="2268"/>
      <c r="P697" s="2205"/>
      <c r="Q697" s="2205"/>
      <c r="R697" s="2205"/>
      <c r="S697" s="2205"/>
    </row>
    <row r="698" spans="1:19">
      <c r="A698" s="2256"/>
      <c r="B698" s="2205"/>
      <c r="C698" s="2205"/>
      <c r="D698" s="2205"/>
      <c r="E698" s="2205"/>
      <c r="F698" s="2205"/>
      <c r="G698" s="2205"/>
      <c r="H698" s="2205"/>
      <c r="I698" s="2205"/>
      <c r="J698" s="2205"/>
      <c r="K698" s="2205"/>
      <c r="L698" s="2205"/>
      <c r="M698" s="2268"/>
      <c r="N698" s="2268"/>
      <c r="O698" s="2268"/>
      <c r="P698" s="2205"/>
      <c r="Q698" s="2205"/>
      <c r="R698" s="2205"/>
      <c r="S698" s="2205"/>
    </row>
    <row r="699" spans="1:19">
      <c r="A699" s="2256"/>
      <c r="B699" s="2205"/>
      <c r="C699" s="2205"/>
      <c r="D699" s="2205"/>
      <c r="E699" s="2205"/>
      <c r="F699" s="2205"/>
      <c r="G699" s="2205"/>
      <c r="H699" s="2205"/>
      <c r="I699" s="2205"/>
      <c r="J699" s="2205"/>
      <c r="K699" s="2205"/>
      <c r="L699" s="2205"/>
      <c r="M699" s="2268"/>
      <c r="N699" s="2268"/>
      <c r="O699" s="2268"/>
      <c r="P699" s="2205"/>
      <c r="Q699" s="2205"/>
      <c r="R699" s="2205"/>
      <c r="S699" s="2205"/>
    </row>
    <row r="700" spans="1:19">
      <c r="A700" s="2256"/>
      <c r="B700" s="2205"/>
      <c r="C700" s="2205"/>
      <c r="D700" s="2205"/>
      <c r="E700" s="2205"/>
      <c r="F700" s="2205"/>
      <c r="G700" s="2205"/>
      <c r="H700" s="2205"/>
      <c r="I700" s="2205"/>
      <c r="J700" s="2205"/>
      <c r="K700" s="2205"/>
      <c r="L700" s="2205"/>
      <c r="M700" s="2268"/>
      <c r="N700" s="2268"/>
      <c r="O700" s="2268"/>
      <c r="P700" s="2205"/>
      <c r="Q700" s="2205"/>
      <c r="R700" s="2205"/>
      <c r="S700" s="2205"/>
    </row>
    <row r="701" spans="1:19">
      <c r="A701" s="2256"/>
      <c r="B701" s="2205"/>
      <c r="C701" s="2205"/>
      <c r="D701" s="2205"/>
      <c r="E701" s="2205"/>
      <c r="F701" s="2205"/>
      <c r="G701" s="2205"/>
      <c r="H701" s="2205"/>
      <c r="I701" s="2205"/>
      <c r="J701" s="2205"/>
      <c r="K701" s="2205"/>
      <c r="L701" s="2205"/>
      <c r="M701" s="2268"/>
      <c r="N701" s="2268"/>
      <c r="O701" s="2268"/>
      <c r="P701" s="2205"/>
      <c r="Q701" s="2205"/>
      <c r="R701" s="2205"/>
      <c r="S701" s="2205"/>
    </row>
    <row r="702" spans="1:19">
      <c r="A702" s="2256"/>
      <c r="B702" s="2205"/>
      <c r="C702" s="2205"/>
      <c r="D702" s="2205"/>
      <c r="E702" s="2205"/>
      <c r="F702" s="2205"/>
      <c r="G702" s="2205"/>
      <c r="H702" s="2205"/>
      <c r="I702" s="2205"/>
      <c r="J702" s="2205"/>
      <c r="K702" s="2205"/>
      <c r="L702" s="2205"/>
      <c r="M702" s="2268"/>
      <c r="N702" s="2268"/>
      <c r="O702" s="2268"/>
      <c r="P702" s="2205"/>
      <c r="Q702" s="2205"/>
      <c r="R702" s="2205"/>
      <c r="S702" s="2205"/>
    </row>
    <row r="703" spans="1:19">
      <c r="A703" s="2256"/>
      <c r="B703" s="2205"/>
      <c r="C703" s="2205"/>
      <c r="D703" s="2205"/>
      <c r="E703" s="2205"/>
      <c r="F703" s="2205"/>
      <c r="G703" s="2205"/>
      <c r="H703" s="2205"/>
      <c r="I703" s="2205"/>
      <c r="J703" s="2205"/>
      <c r="K703" s="2205"/>
      <c r="L703" s="2205"/>
      <c r="M703" s="2268"/>
      <c r="N703" s="2268"/>
      <c r="O703" s="2268"/>
      <c r="P703" s="2205"/>
      <c r="Q703" s="2205"/>
      <c r="R703" s="2205"/>
      <c r="S703" s="2205"/>
    </row>
    <row r="704" spans="1:19">
      <c r="A704" s="2256"/>
      <c r="B704" s="2205"/>
      <c r="C704" s="2205"/>
      <c r="D704" s="2205"/>
      <c r="E704" s="2205"/>
      <c r="F704" s="2205"/>
      <c r="G704" s="2205"/>
      <c r="H704" s="2205"/>
      <c r="I704" s="2205"/>
      <c r="J704" s="2205"/>
      <c r="K704" s="2205"/>
      <c r="L704" s="2205"/>
      <c r="M704" s="2268"/>
      <c r="N704" s="2268"/>
      <c r="O704" s="2268"/>
      <c r="P704" s="2205"/>
      <c r="Q704" s="2205"/>
      <c r="R704" s="2205"/>
      <c r="S704" s="2205"/>
    </row>
    <row r="705" spans="1:19">
      <c r="A705" s="2256"/>
      <c r="B705" s="2205"/>
      <c r="C705" s="2205"/>
      <c r="D705" s="2205"/>
      <c r="E705" s="2205"/>
      <c r="F705" s="2205"/>
      <c r="G705" s="2205"/>
      <c r="H705" s="2205"/>
      <c r="I705" s="2205"/>
      <c r="J705" s="2205"/>
      <c r="K705" s="2205"/>
      <c r="L705" s="2205"/>
      <c r="M705" s="2268"/>
      <c r="N705" s="2268"/>
      <c r="O705" s="2268"/>
      <c r="P705" s="2205"/>
      <c r="Q705" s="2205"/>
      <c r="R705" s="2205"/>
      <c r="S705" s="2205"/>
    </row>
    <row r="706" spans="1:19">
      <c r="A706" s="2256"/>
      <c r="B706" s="2205"/>
      <c r="C706" s="2205"/>
      <c r="D706" s="2205"/>
      <c r="E706" s="2205"/>
      <c r="F706" s="2205"/>
      <c r="G706" s="2205"/>
      <c r="H706" s="2205"/>
      <c r="I706" s="2205"/>
      <c r="J706" s="2205"/>
      <c r="K706" s="2205"/>
      <c r="L706" s="2205"/>
      <c r="M706" s="2268"/>
      <c r="N706" s="2268"/>
      <c r="O706" s="2268"/>
      <c r="P706" s="2205"/>
      <c r="Q706" s="2205"/>
      <c r="R706" s="2205"/>
      <c r="S706" s="2205"/>
    </row>
    <row r="707" spans="1:19">
      <c r="A707" s="2256"/>
      <c r="B707" s="2205"/>
      <c r="C707" s="2205"/>
      <c r="D707" s="2205"/>
      <c r="E707" s="2205"/>
      <c r="F707" s="2205"/>
      <c r="G707" s="2205"/>
      <c r="H707" s="2205"/>
      <c r="I707" s="2205"/>
      <c r="J707" s="2205"/>
      <c r="K707" s="2205"/>
      <c r="L707" s="2205"/>
      <c r="M707" s="2268"/>
      <c r="N707" s="2268"/>
      <c r="O707" s="2268"/>
      <c r="P707" s="2205"/>
      <c r="Q707" s="2205"/>
      <c r="R707" s="2205"/>
      <c r="S707" s="2205"/>
    </row>
    <row r="708" spans="1:19">
      <c r="A708" s="2256"/>
      <c r="B708" s="2205"/>
      <c r="C708" s="2205"/>
      <c r="D708" s="2205"/>
      <c r="E708" s="2205"/>
      <c r="F708" s="2205"/>
      <c r="G708" s="2205"/>
      <c r="H708" s="2205"/>
      <c r="I708" s="2205"/>
      <c r="J708" s="2205"/>
      <c r="K708" s="2205"/>
      <c r="L708" s="2205"/>
      <c r="M708" s="2268"/>
      <c r="N708" s="2268"/>
      <c r="O708" s="2268"/>
      <c r="P708" s="2205"/>
      <c r="Q708" s="2205"/>
      <c r="R708" s="2205"/>
      <c r="S708" s="2205"/>
    </row>
    <row r="709" spans="1:19">
      <c r="A709" s="2256"/>
      <c r="B709" s="2205"/>
      <c r="C709" s="2205"/>
      <c r="D709" s="2205"/>
      <c r="E709" s="2205"/>
      <c r="F709" s="2205"/>
      <c r="G709" s="2205"/>
      <c r="H709" s="2205"/>
      <c r="I709" s="2205"/>
      <c r="J709" s="2205"/>
      <c r="K709" s="2205"/>
      <c r="L709" s="2205"/>
      <c r="M709" s="2268"/>
      <c r="N709" s="2268"/>
      <c r="O709" s="2268"/>
      <c r="P709" s="2205"/>
      <c r="Q709" s="2205"/>
      <c r="R709" s="2205"/>
      <c r="S709" s="2205"/>
    </row>
    <row r="710" spans="1:19">
      <c r="A710" s="2256"/>
      <c r="B710" s="2205"/>
      <c r="C710" s="2205"/>
      <c r="D710" s="2205"/>
      <c r="E710" s="2205"/>
      <c r="F710" s="2205"/>
      <c r="G710" s="2205"/>
      <c r="H710" s="2205"/>
      <c r="I710" s="2205"/>
      <c r="J710" s="2205"/>
      <c r="K710" s="2205"/>
      <c r="L710" s="2205"/>
      <c r="M710" s="2268"/>
      <c r="N710" s="2268"/>
      <c r="O710" s="2268"/>
      <c r="P710" s="2205"/>
      <c r="Q710" s="2205"/>
      <c r="R710" s="2205"/>
      <c r="S710" s="2205"/>
    </row>
    <row r="711" spans="1:19">
      <c r="A711" s="2256"/>
      <c r="B711" s="2205"/>
      <c r="C711" s="2205"/>
      <c r="D711" s="2205"/>
      <c r="E711" s="2205"/>
      <c r="F711" s="2205"/>
      <c r="G711" s="2205"/>
      <c r="H711" s="2205"/>
      <c r="I711" s="2205"/>
      <c r="J711" s="2205"/>
      <c r="K711" s="2205"/>
      <c r="L711" s="2205"/>
      <c r="M711" s="2268"/>
      <c r="N711" s="2268"/>
      <c r="O711" s="2268"/>
      <c r="P711" s="2205"/>
      <c r="Q711" s="2205"/>
      <c r="R711" s="2205"/>
      <c r="S711" s="2205"/>
    </row>
    <row r="712" spans="1:19">
      <c r="A712" s="2256"/>
      <c r="B712" s="2205"/>
      <c r="C712" s="2205"/>
      <c r="D712" s="2205"/>
      <c r="E712" s="2205"/>
      <c r="F712" s="2205"/>
      <c r="G712" s="2205"/>
      <c r="H712" s="2205"/>
      <c r="I712" s="2205"/>
      <c r="J712" s="2205"/>
      <c r="K712" s="2205"/>
      <c r="L712" s="2205"/>
      <c r="M712" s="2268"/>
      <c r="N712" s="2268"/>
      <c r="O712" s="2268"/>
      <c r="P712" s="2205"/>
      <c r="Q712" s="2205"/>
      <c r="R712" s="2205"/>
      <c r="S712" s="2205"/>
    </row>
    <row r="713" spans="1:19">
      <c r="A713" s="2256"/>
      <c r="B713" s="2205"/>
      <c r="C713" s="2205"/>
      <c r="D713" s="2205"/>
      <c r="E713" s="2205"/>
      <c r="F713" s="2205"/>
      <c r="G713" s="2205"/>
      <c r="H713" s="2205"/>
      <c r="I713" s="2205"/>
      <c r="J713" s="2205"/>
      <c r="K713" s="2205"/>
      <c r="L713" s="2205"/>
      <c r="M713" s="2268"/>
      <c r="N713" s="2268"/>
      <c r="O713" s="2268"/>
      <c r="P713" s="2205"/>
      <c r="Q713" s="2205"/>
      <c r="R713" s="2205"/>
      <c r="S713" s="2205"/>
    </row>
    <row r="714" spans="1:19">
      <c r="A714" s="2256"/>
      <c r="B714" s="2205"/>
      <c r="C714" s="2205"/>
      <c r="D714" s="2205"/>
      <c r="E714" s="2205"/>
      <c r="F714" s="2205"/>
      <c r="G714" s="2205"/>
      <c r="H714" s="2205"/>
      <c r="I714" s="2205"/>
      <c r="J714" s="2205"/>
      <c r="K714" s="2205"/>
      <c r="L714" s="2205"/>
      <c r="M714" s="2268"/>
      <c r="N714" s="2268"/>
      <c r="O714" s="2268"/>
      <c r="P714" s="2205"/>
      <c r="Q714" s="2205"/>
      <c r="R714" s="2205"/>
      <c r="S714" s="2205"/>
    </row>
    <row r="715" spans="1:19">
      <c r="A715" s="2256"/>
      <c r="B715" s="2205"/>
      <c r="C715" s="2205"/>
      <c r="D715" s="2205"/>
      <c r="E715" s="2205"/>
      <c r="F715" s="2205"/>
      <c r="G715" s="2205"/>
      <c r="H715" s="2205"/>
      <c r="I715" s="2205"/>
      <c r="J715" s="2205"/>
      <c r="K715" s="2205"/>
      <c r="L715" s="2205"/>
      <c r="M715" s="2268"/>
      <c r="N715" s="2268"/>
      <c r="O715" s="2268"/>
      <c r="P715" s="2205"/>
      <c r="Q715" s="2205"/>
      <c r="R715" s="2205"/>
      <c r="S715" s="2205"/>
    </row>
    <row r="716" spans="1:19">
      <c r="A716" s="2256"/>
      <c r="B716" s="2205"/>
      <c r="C716" s="2205"/>
      <c r="D716" s="2205"/>
      <c r="E716" s="2205"/>
      <c r="F716" s="2205"/>
      <c r="G716" s="2205"/>
      <c r="H716" s="2205"/>
      <c r="I716" s="2205"/>
      <c r="J716" s="2205"/>
      <c r="K716" s="2205"/>
      <c r="L716" s="2205"/>
      <c r="M716" s="2268"/>
      <c r="N716" s="2268"/>
      <c r="O716" s="2268"/>
      <c r="P716" s="2205"/>
      <c r="Q716" s="2205"/>
      <c r="R716" s="2205"/>
      <c r="S716" s="2205"/>
    </row>
    <row r="717" spans="1:19">
      <c r="A717" s="2256"/>
      <c r="B717" s="2205"/>
      <c r="C717" s="2205"/>
      <c r="D717" s="2205"/>
      <c r="E717" s="2205"/>
      <c r="F717" s="2205"/>
      <c r="G717" s="2205"/>
      <c r="H717" s="2205"/>
      <c r="I717" s="2205"/>
      <c r="J717" s="2205"/>
      <c r="K717" s="2205"/>
      <c r="L717" s="2205"/>
      <c r="M717" s="2268"/>
      <c r="N717" s="2268"/>
      <c r="O717" s="2268"/>
      <c r="P717" s="2205"/>
      <c r="Q717" s="2205"/>
      <c r="R717" s="2205"/>
      <c r="S717" s="2205"/>
    </row>
    <row r="718" spans="1:19">
      <c r="A718" s="2256"/>
      <c r="B718" s="2205"/>
      <c r="C718" s="2205"/>
      <c r="D718" s="2205"/>
      <c r="E718" s="2205"/>
      <c r="F718" s="2205"/>
      <c r="G718" s="2205"/>
      <c r="H718" s="2205"/>
      <c r="I718" s="2205"/>
      <c r="J718" s="2205"/>
      <c r="K718" s="2205"/>
      <c r="L718" s="2205"/>
      <c r="M718" s="2268"/>
      <c r="N718" s="2268"/>
      <c r="O718" s="2268"/>
      <c r="P718" s="2205"/>
      <c r="Q718" s="2205"/>
      <c r="R718" s="2205"/>
      <c r="S718" s="2205"/>
    </row>
    <row r="719" spans="1:19">
      <c r="A719" s="2256"/>
      <c r="B719" s="2205"/>
      <c r="C719" s="2205"/>
      <c r="D719" s="2205"/>
      <c r="E719" s="2205"/>
      <c r="F719" s="2205"/>
      <c r="G719" s="2205"/>
      <c r="H719" s="2205"/>
      <c r="I719" s="2205"/>
      <c r="J719" s="2205"/>
      <c r="K719" s="2205"/>
      <c r="L719" s="2205"/>
      <c r="M719" s="2268"/>
      <c r="N719" s="2268"/>
      <c r="O719" s="2268"/>
      <c r="P719" s="2205"/>
      <c r="Q719" s="2205"/>
      <c r="R719" s="2205"/>
      <c r="S719" s="2205"/>
    </row>
    <row r="720" spans="1:19">
      <c r="A720" s="2256"/>
      <c r="B720" s="2205"/>
      <c r="C720" s="2205"/>
      <c r="D720" s="2205"/>
      <c r="E720" s="2205"/>
      <c r="F720" s="2205"/>
      <c r="G720" s="2205"/>
      <c r="H720" s="2205"/>
      <c r="I720" s="2205"/>
      <c r="J720" s="2205"/>
      <c r="K720" s="2205"/>
      <c r="L720" s="2205"/>
      <c r="M720" s="2268"/>
      <c r="N720" s="2268"/>
      <c r="O720" s="2268"/>
      <c r="P720" s="2205"/>
      <c r="Q720" s="2205"/>
      <c r="R720" s="2205"/>
      <c r="S720" s="2205"/>
    </row>
    <row r="721" spans="1:19">
      <c r="A721" s="2256"/>
      <c r="B721" s="2205"/>
      <c r="C721" s="2205"/>
      <c r="D721" s="2205"/>
      <c r="E721" s="2205"/>
      <c r="F721" s="2205"/>
      <c r="G721" s="2205"/>
      <c r="H721" s="2205"/>
      <c r="I721" s="2205"/>
      <c r="J721" s="2205"/>
      <c r="K721" s="2205"/>
      <c r="L721" s="2205"/>
      <c r="M721" s="2268"/>
      <c r="N721" s="2268"/>
      <c r="O721" s="2268"/>
      <c r="P721" s="2205"/>
      <c r="Q721" s="2205"/>
      <c r="R721" s="2205"/>
      <c r="S721" s="2205"/>
    </row>
    <row r="722" spans="1:19">
      <c r="A722" s="2256"/>
      <c r="B722" s="2205"/>
      <c r="C722" s="2205"/>
      <c r="D722" s="2205"/>
      <c r="E722" s="2205"/>
      <c r="F722" s="2205"/>
      <c r="G722" s="2205"/>
      <c r="H722" s="2205"/>
      <c r="I722" s="2205"/>
      <c r="J722" s="2205"/>
      <c r="K722" s="2205"/>
      <c r="L722" s="2205"/>
      <c r="M722" s="2268"/>
      <c r="N722" s="2268"/>
      <c r="O722" s="2268"/>
      <c r="P722" s="2205"/>
      <c r="Q722" s="2205"/>
      <c r="R722" s="2205"/>
      <c r="S722" s="2205"/>
    </row>
    <row r="723" spans="1:19">
      <c r="A723" s="2256"/>
      <c r="B723" s="2205"/>
      <c r="C723" s="2205"/>
      <c r="D723" s="2205"/>
      <c r="E723" s="2205"/>
      <c r="F723" s="2205"/>
      <c r="G723" s="2205"/>
      <c r="H723" s="2205"/>
      <c r="I723" s="2205"/>
      <c r="J723" s="2205"/>
      <c r="K723" s="2205"/>
      <c r="L723" s="2205"/>
      <c r="M723" s="2268"/>
      <c r="N723" s="2268"/>
      <c r="O723" s="2268"/>
      <c r="P723" s="2205"/>
      <c r="Q723" s="2205"/>
      <c r="R723" s="2205"/>
      <c r="S723" s="2205"/>
    </row>
    <row r="724" spans="1:19">
      <c r="A724" s="2256"/>
      <c r="B724" s="2205"/>
      <c r="C724" s="2205"/>
      <c r="D724" s="2205"/>
      <c r="E724" s="2205"/>
      <c r="F724" s="2205"/>
      <c r="G724" s="2205"/>
      <c r="H724" s="2205"/>
      <c r="I724" s="2205"/>
      <c r="J724" s="2205"/>
      <c r="K724" s="2205"/>
      <c r="L724" s="2205"/>
      <c r="M724" s="2268"/>
      <c r="N724" s="2268"/>
      <c r="O724" s="2268"/>
      <c r="P724" s="2205"/>
      <c r="Q724" s="2205"/>
      <c r="R724" s="2205"/>
      <c r="S724" s="2205"/>
    </row>
    <row r="725" spans="1:19">
      <c r="A725" s="2256"/>
      <c r="B725" s="2205"/>
      <c r="C725" s="2205"/>
      <c r="D725" s="2205"/>
      <c r="E725" s="2205"/>
      <c r="F725" s="2205"/>
      <c r="G725" s="2205"/>
      <c r="H725" s="2205"/>
      <c r="I725" s="2205"/>
      <c r="J725" s="2205"/>
      <c r="K725" s="2205"/>
      <c r="L725" s="2205"/>
      <c r="M725" s="2268"/>
      <c r="N725" s="2268"/>
      <c r="O725" s="2268"/>
      <c r="P725" s="2205"/>
      <c r="Q725" s="2205"/>
      <c r="R725" s="2205"/>
      <c r="S725" s="2205"/>
    </row>
    <row r="726" spans="1:19">
      <c r="A726" s="2256"/>
      <c r="B726" s="2205"/>
      <c r="C726" s="2205"/>
      <c r="D726" s="2205"/>
      <c r="E726" s="2205"/>
      <c r="F726" s="2205"/>
      <c r="G726" s="2205"/>
      <c r="H726" s="2205"/>
      <c r="I726" s="2205"/>
      <c r="J726" s="2205"/>
      <c r="K726" s="2205"/>
      <c r="L726" s="2205"/>
      <c r="M726" s="2268"/>
      <c r="N726" s="2268"/>
      <c r="O726" s="2268"/>
      <c r="P726" s="2205"/>
      <c r="Q726" s="2205"/>
      <c r="R726" s="2205"/>
      <c r="S726" s="2205"/>
    </row>
    <row r="727" spans="1:19">
      <c r="A727" s="2256"/>
      <c r="B727" s="2205"/>
      <c r="C727" s="2205"/>
      <c r="D727" s="2205"/>
      <c r="E727" s="2205"/>
      <c r="F727" s="2205"/>
      <c r="G727" s="2205"/>
      <c r="H727" s="2205"/>
      <c r="I727" s="2205"/>
      <c r="J727" s="2205"/>
      <c r="K727" s="2205"/>
      <c r="L727" s="2205"/>
      <c r="M727" s="2268"/>
      <c r="N727" s="2268"/>
      <c r="O727" s="2268"/>
      <c r="P727" s="2205"/>
      <c r="Q727" s="2205"/>
      <c r="R727" s="2205"/>
      <c r="S727" s="2205"/>
    </row>
    <row r="728" spans="1:19">
      <c r="A728" s="2256"/>
      <c r="B728" s="2205"/>
      <c r="C728" s="2205"/>
      <c r="D728" s="2205"/>
      <c r="E728" s="2205"/>
      <c r="F728" s="2205"/>
      <c r="G728" s="2205"/>
      <c r="H728" s="2205"/>
      <c r="I728" s="2205"/>
      <c r="J728" s="2205"/>
      <c r="K728" s="2205"/>
      <c r="L728" s="2205"/>
      <c r="M728" s="2268"/>
      <c r="N728" s="2268"/>
      <c r="O728" s="2268"/>
      <c r="P728" s="2205"/>
      <c r="Q728" s="2205"/>
      <c r="R728" s="2205"/>
      <c r="S728" s="2205"/>
    </row>
    <row r="729" spans="1:19">
      <c r="A729" s="2256"/>
      <c r="B729" s="2205"/>
      <c r="C729" s="2205"/>
      <c r="D729" s="2205"/>
      <c r="E729" s="2205"/>
      <c r="F729" s="2205"/>
      <c r="G729" s="2205"/>
      <c r="H729" s="2205"/>
      <c r="I729" s="2205"/>
      <c r="J729" s="2205"/>
      <c r="K729" s="2205"/>
      <c r="L729" s="2205"/>
      <c r="M729" s="2268"/>
      <c r="N729" s="2268"/>
      <c r="O729" s="2268"/>
      <c r="P729" s="2205"/>
      <c r="Q729" s="2205"/>
      <c r="R729" s="2205"/>
      <c r="S729" s="2205"/>
    </row>
    <row r="730" spans="1:19">
      <c r="A730" s="2256"/>
      <c r="B730" s="2205"/>
      <c r="C730" s="2205"/>
      <c r="D730" s="2205"/>
      <c r="E730" s="2205"/>
      <c r="F730" s="2205"/>
      <c r="G730" s="2205"/>
      <c r="H730" s="2205"/>
      <c r="I730" s="2205"/>
      <c r="J730" s="2205"/>
      <c r="K730" s="2205"/>
      <c r="L730" s="2205"/>
      <c r="M730" s="2268"/>
      <c r="N730" s="2268"/>
      <c r="O730" s="2268"/>
      <c r="P730" s="2205"/>
      <c r="Q730" s="2205"/>
      <c r="R730" s="2205"/>
      <c r="S730" s="2205"/>
    </row>
    <row r="731" spans="1:19">
      <c r="A731" s="2256"/>
      <c r="B731" s="2205"/>
      <c r="C731" s="2205"/>
      <c r="D731" s="2205"/>
      <c r="E731" s="2205"/>
      <c r="F731" s="2205"/>
      <c r="G731" s="2205"/>
      <c r="H731" s="2205"/>
      <c r="I731" s="2205"/>
      <c r="J731" s="2205"/>
      <c r="K731" s="2205"/>
      <c r="L731" s="2205"/>
      <c r="M731" s="2268"/>
      <c r="N731" s="2268"/>
      <c r="O731" s="2268"/>
      <c r="P731" s="2205"/>
      <c r="Q731" s="2205"/>
      <c r="R731" s="2205"/>
      <c r="S731" s="2205"/>
    </row>
    <row r="732" spans="1:19">
      <c r="A732" s="2256"/>
      <c r="B732" s="2205"/>
      <c r="C732" s="2205"/>
      <c r="D732" s="2205"/>
      <c r="E732" s="2205"/>
      <c r="F732" s="2205"/>
      <c r="G732" s="2205"/>
      <c r="H732" s="2205"/>
      <c r="I732" s="2205"/>
      <c r="J732" s="2205"/>
      <c r="K732" s="2205"/>
      <c r="L732" s="2205"/>
      <c r="M732" s="2268"/>
      <c r="N732" s="2268"/>
      <c r="O732" s="2268"/>
      <c r="P732" s="2205"/>
      <c r="Q732" s="2205"/>
      <c r="R732" s="2205"/>
      <c r="S732" s="2205"/>
    </row>
    <row r="733" spans="1:19">
      <c r="A733" s="2256"/>
      <c r="B733" s="2205"/>
      <c r="C733" s="2205"/>
      <c r="D733" s="2205"/>
      <c r="E733" s="2205"/>
      <c r="F733" s="2205"/>
      <c r="G733" s="2205"/>
      <c r="H733" s="2205"/>
      <c r="I733" s="2205"/>
      <c r="J733" s="2205"/>
      <c r="K733" s="2205"/>
      <c r="L733" s="2205"/>
      <c r="M733" s="2268"/>
      <c r="N733" s="2268"/>
      <c r="O733" s="2268"/>
      <c r="P733" s="2205"/>
      <c r="Q733" s="2205"/>
      <c r="R733" s="2205"/>
      <c r="S733" s="2205"/>
    </row>
    <row r="734" spans="1:19">
      <c r="A734" s="2256"/>
      <c r="B734" s="2205"/>
      <c r="C734" s="2205"/>
      <c r="D734" s="2205"/>
      <c r="E734" s="2205"/>
      <c r="F734" s="2205"/>
      <c r="G734" s="2205"/>
      <c r="H734" s="2205"/>
      <c r="I734" s="2205"/>
      <c r="J734" s="2205"/>
      <c r="K734" s="2205"/>
      <c r="L734" s="2205"/>
      <c r="M734" s="2268"/>
      <c r="N734" s="2268"/>
      <c r="O734" s="2268"/>
      <c r="P734" s="2205"/>
      <c r="Q734" s="2205"/>
      <c r="R734" s="2205"/>
      <c r="S734" s="2205"/>
    </row>
    <row r="735" spans="1:19">
      <c r="A735" s="2256"/>
      <c r="B735" s="2205"/>
      <c r="C735" s="2205"/>
      <c r="D735" s="2205"/>
      <c r="E735" s="2205"/>
      <c r="F735" s="2205"/>
      <c r="G735" s="2205"/>
      <c r="H735" s="2205"/>
      <c r="I735" s="2205"/>
      <c r="J735" s="2205"/>
      <c r="K735" s="2205"/>
      <c r="L735" s="2205"/>
      <c r="M735" s="2268"/>
      <c r="N735" s="2268"/>
      <c r="O735" s="2268"/>
      <c r="P735" s="2205"/>
      <c r="Q735" s="2205"/>
      <c r="R735" s="2205"/>
      <c r="S735" s="2205"/>
    </row>
    <row r="736" spans="1:19">
      <c r="A736" s="2256"/>
      <c r="B736" s="2205"/>
      <c r="C736" s="2205"/>
      <c r="D736" s="2205"/>
      <c r="E736" s="2205"/>
      <c r="F736" s="2205"/>
      <c r="G736" s="2205"/>
      <c r="H736" s="2205"/>
      <c r="I736" s="2205"/>
      <c r="J736" s="2205"/>
      <c r="K736" s="2205"/>
      <c r="L736" s="2205"/>
      <c r="M736" s="2268"/>
      <c r="N736" s="2268"/>
      <c r="O736" s="2268"/>
      <c r="P736" s="2205"/>
      <c r="Q736" s="2205"/>
      <c r="R736" s="2205"/>
      <c r="S736" s="2205"/>
    </row>
    <row r="737" spans="1:19">
      <c r="A737" s="2256"/>
      <c r="B737" s="2205"/>
      <c r="C737" s="2205"/>
      <c r="D737" s="2205"/>
      <c r="E737" s="2205"/>
      <c r="F737" s="2205"/>
      <c r="G737" s="2205"/>
      <c r="H737" s="2205"/>
      <c r="I737" s="2205"/>
      <c r="J737" s="2205"/>
      <c r="K737" s="2205"/>
      <c r="L737" s="2205"/>
      <c r="M737" s="2268"/>
      <c r="N737" s="2268"/>
      <c r="O737" s="2268"/>
      <c r="P737" s="2205"/>
      <c r="Q737" s="2205"/>
      <c r="R737" s="2205"/>
      <c r="S737" s="2205"/>
    </row>
    <row r="738" spans="1:19">
      <c r="A738" s="2256"/>
      <c r="B738" s="2205"/>
      <c r="C738" s="2205"/>
      <c r="D738" s="2205"/>
      <c r="E738" s="2205"/>
      <c r="F738" s="2205"/>
      <c r="G738" s="2205"/>
      <c r="H738" s="2205"/>
      <c r="I738" s="2205"/>
      <c r="J738" s="2205"/>
      <c r="K738" s="2205"/>
      <c r="L738" s="2205"/>
      <c r="M738" s="2268"/>
      <c r="N738" s="2268"/>
      <c r="O738" s="2268"/>
      <c r="P738" s="2205"/>
      <c r="Q738" s="2205"/>
      <c r="R738" s="2205"/>
      <c r="S738" s="2205"/>
    </row>
    <row r="739" spans="1:19">
      <c r="A739" s="2256"/>
      <c r="B739" s="2205"/>
      <c r="C739" s="2205"/>
      <c r="D739" s="2205"/>
      <c r="E739" s="2205"/>
      <c r="F739" s="2205"/>
      <c r="G739" s="2205"/>
      <c r="H739" s="2205"/>
      <c r="I739" s="2205"/>
      <c r="J739" s="2205"/>
      <c r="K739" s="2205"/>
      <c r="L739" s="2205"/>
      <c r="M739" s="2268"/>
      <c r="N739" s="2268"/>
      <c r="O739" s="2268"/>
      <c r="P739" s="2205"/>
      <c r="Q739" s="2205"/>
      <c r="R739" s="2205"/>
      <c r="S739" s="2205"/>
    </row>
    <row r="740" spans="1:19">
      <c r="A740" s="2256"/>
      <c r="B740" s="2205"/>
      <c r="C740" s="2205"/>
      <c r="D740" s="2205"/>
      <c r="E740" s="2205"/>
      <c r="F740" s="2205"/>
      <c r="G740" s="2205"/>
      <c r="H740" s="2205"/>
      <c r="I740" s="2205"/>
      <c r="J740" s="2205"/>
      <c r="K740" s="2205"/>
      <c r="L740" s="2205"/>
      <c r="M740" s="2268"/>
      <c r="N740" s="2268"/>
      <c r="O740" s="2268"/>
      <c r="P740" s="2205"/>
      <c r="Q740" s="2205"/>
      <c r="R740" s="2205"/>
      <c r="S740" s="2205"/>
    </row>
    <row r="741" spans="1:19">
      <c r="A741" s="2256"/>
      <c r="B741" s="2205"/>
      <c r="C741" s="2205"/>
      <c r="D741" s="2205"/>
      <c r="E741" s="2205"/>
      <c r="F741" s="2205"/>
      <c r="G741" s="2205"/>
      <c r="H741" s="2205"/>
      <c r="I741" s="2205"/>
      <c r="J741" s="2205"/>
      <c r="K741" s="2205"/>
      <c r="L741" s="2205"/>
      <c r="M741" s="2268"/>
      <c r="N741" s="2268"/>
      <c r="O741" s="2268"/>
      <c r="P741" s="2205"/>
      <c r="Q741" s="2205"/>
      <c r="R741" s="2205"/>
      <c r="S741" s="2205"/>
    </row>
    <row r="742" spans="1:19">
      <c r="A742" s="2256"/>
      <c r="B742" s="2205"/>
      <c r="C742" s="2205"/>
      <c r="D742" s="2205"/>
      <c r="E742" s="2205"/>
      <c r="F742" s="2205"/>
      <c r="G742" s="2205"/>
      <c r="H742" s="2205"/>
      <c r="I742" s="2205"/>
      <c r="J742" s="2205"/>
      <c r="K742" s="2205"/>
      <c r="L742" s="2205"/>
      <c r="M742" s="2268"/>
      <c r="N742" s="2268"/>
      <c r="O742" s="2268"/>
      <c r="P742" s="2205"/>
      <c r="Q742" s="2205"/>
      <c r="R742" s="2205"/>
      <c r="S742" s="2205"/>
    </row>
    <row r="743" spans="1:19">
      <c r="A743" s="2256"/>
      <c r="B743" s="2205"/>
      <c r="C743" s="2205"/>
      <c r="D743" s="2205"/>
      <c r="E743" s="2205"/>
      <c r="F743" s="2205"/>
      <c r="G743" s="2205"/>
      <c r="H743" s="2205"/>
      <c r="I743" s="2205"/>
      <c r="J743" s="2205"/>
      <c r="K743" s="2205"/>
      <c r="L743" s="2205"/>
      <c r="M743" s="2268"/>
      <c r="N743" s="2268"/>
      <c r="O743" s="2268"/>
      <c r="P743" s="2205"/>
      <c r="Q743" s="2205"/>
      <c r="R743" s="2205"/>
      <c r="S743" s="2205"/>
    </row>
    <row r="744" spans="1:19">
      <c r="A744" s="2256"/>
      <c r="B744" s="2205"/>
      <c r="C744" s="2205"/>
      <c r="D744" s="2205"/>
      <c r="E744" s="2205"/>
      <c r="F744" s="2205"/>
      <c r="G744" s="2205"/>
      <c r="H744" s="2205"/>
      <c r="I744" s="2205"/>
      <c r="J744" s="2205"/>
      <c r="K744" s="2205"/>
      <c r="L744" s="2205"/>
      <c r="M744" s="2268"/>
      <c r="N744" s="2268"/>
      <c r="O744" s="2268"/>
      <c r="P744" s="2205"/>
      <c r="Q744" s="2205"/>
      <c r="R744" s="2205"/>
      <c r="S744" s="2205"/>
    </row>
    <row r="745" spans="1:19">
      <c r="A745" s="2256"/>
      <c r="B745" s="2205"/>
      <c r="C745" s="2205"/>
      <c r="D745" s="2205"/>
      <c r="E745" s="2205"/>
      <c r="F745" s="2205"/>
      <c r="G745" s="2205"/>
      <c r="H745" s="2205"/>
      <c r="I745" s="2205"/>
      <c r="J745" s="2205"/>
      <c r="K745" s="2205"/>
      <c r="L745" s="2205"/>
      <c r="M745" s="2268"/>
      <c r="N745" s="2268"/>
      <c r="O745" s="2268"/>
      <c r="P745" s="2205"/>
      <c r="Q745" s="2205"/>
      <c r="R745" s="2205"/>
      <c r="S745" s="2205"/>
    </row>
    <row r="746" spans="1:19">
      <c r="A746" s="2256"/>
      <c r="B746" s="2205"/>
      <c r="C746" s="2205"/>
      <c r="D746" s="2205"/>
      <c r="E746" s="2205"/>
      <c r="F746" s="2205"/>
      <c r="G746" s="2205"/>
      <c r="H746" s="2205"/>
      <c r="I746" s="2205"/>
      <c r="J746" s="2205"/>
      <c r="K746" s="2205"/>
      <c r="L746" s="2205"/>
      <c r="M746" s="2268"/>
      <c r="N746" s="2268"/>
      <c r="O746" s="2268"/>
      <c r="P746" s="2205"/>
      <c r="Q746" s="2205"/>
      <c r="R746" s="2205"/>
      <c r="S746" s="2205"/>
    </row>
    <row r="747" spans="1:19">
      <c r="A747" s="2256"/>
      <c r="B747" s="2205"/>
      <c r="C747" s="2205"/>
      <c r="D747" s="2205"/>
      <c r="E747" s="2205"/>
      <c r="F747" s="2205"/>
      <c r="G747" s="2205"/>
      <c r="H747" s="2205"/>
      <c r="I747" s="2205"/>
      <c r="J747" s="2205"/>
      <c r="K747" s="2205"/>
      <c r="L747" s="2205"/>
      <c r="M747" s="2268"/>
      <c r="N747" s="2268"/>
      <c r="O747" s="2268"/>
      <c r="P747" s="2205"/>
      <c r="Q747" s="2205"/>
      <c r="R747" s="2205"/>
      <c r="S747" s="2205"/>
    </row>
    <row r="748" spans="1:19">
      <c r="A748" s="2256"/>
      <c r="B748" s="2205"/>
      <c r="C748" s="2205"/>
      <c r="D748" s="2205"/>
      <c r="E748" s="2205"/>
      <c r="F748" s="2205"/>
      <c r="G748" s="2205"/>
      <c r="H748" s="2205"/>
      <c r="I748" s="2205"/>
      <c r="J748" s="2205"/>
      <c r="K748" s="2205"/>
      <c r="L748" s="2205"/>
      <c r="M748" s="2268"/>
      <c r="N748" s="2268"/>
      <c r="O748" s="2268"/>
      <c r="P748" s="2205"/>
      <c r="Q748" s="2205"/>
      <c r="R748" s="2205"/>
      <c r="S748" s="2205"/>
    </row>
    <row r="749" spans="1:19">
      <c r="A749" s="2256"/>
      <c r="B749" s="2205"/>
      <c r="C749" s="2205"/>
      <c r="D749" s="2205"/>
      <c r="E749" s="2205"/>
      <c r="F749" s="2205"/>
      <c r="G749" s="2205"/>
      <c r="H749" s="2205"/>
      <c r="I749" s="2205"/>
      <c r="J749" s="2205"/>
      <c r="K749" s="2205"/>
      <c r="L749" s="2205"/>
      <c r="M749" s="2268"/>
      <c r="N749" s="2268"/>
      <c r="O749" s="2268"/>
      <c r="P749" s="2205"/>
      <c r="Q749" s="2205"/>
      <c r="R749" s="2205"/>
      <c r="S749" s="2205"/>
    </row>
    <row r="750" spans="1:19">
      <c r="A750" s="2256"/>
      <c r="B750" s="2205"/>
      <c r="C750" s="2205"/>
      <c r="D750" s="2205"/>
      <c r="E750" s="2205"/>
      <c r="F750" s="2205"/>
      <c r="G750" s="2205"/>
      <c r="H750" s="2205"/>
      <c r="I750" s="2205"/>
      <c r="J750" s="2205"/>
      <c r="K750" s="2205"/>
      <c r="L750" s="2205"/>
      <c r="M750" s="2268"/>
      <c r="N750" s="2268"/>
      <c r="O750" s="2268"/>
      <c r="P750" s="2205"/>
      <c r="Q750" s="2205"/>
      <c r="R750" s="2205"/>
      <c r="S750" s="2205"/>
    </row>
    <row r="751" spans="1:19">
      <c r="A751" s="2256"/>
      <c r="B751" s="2205"/>
      <c r="C751" s="2205"/>
      <c r="D751" s="2205"/>
      <c r="E751" s="2205"/>
      <c r="F751" s="2205"/>
      <c r="G751" s="2205"/>
      <c r="H751" s="2205"/>
      <c r="I751" s="2205"/>
      <c r="J751" s="2205"/>
      <c r="K751" s="2205"/>
      <c r="L751" s="2205"/>
      <c r="M751" s="2268"/>
      <c r="N751" s="2268"/>
      <c r="O751" s="2268"/>
      <c r="P751" s="2205"/>
      <c r="Q751" s="2205"/>
      <c r="R751" s="2205"/>
      <c r="S751" s="2205"/>
    </row>
    <row r="752" spans="1:19">
      <c r="A752" s="2256"/>
      <c r="B752" s="2205"/>
      <c r="C752" s="2205"/>
      <c r="D752" s="2205"/>
      <c r="E752" s="2205"/>
      <c r="F752" s="2205"/>
      <c r="G752" s="2205"/>
      <c r="H752" s="2205"/>
      <c r="I752" s="2205"/>
      <c r="J752" s="2205"/>
      <c r="K752" s="2205"/>
      <c r="L752" s="2205"/>
      <c r="M752" s="2268"/>
      <c r="N752" s="2268"/>
      <c r="O752" s="2268"/>
      <c r="P752" s="2205"/>
      <c r="Q752" s="2205"/>
      <c r="R752" s="2205"/>
      <c r="S752" s="2205"/>
    </row>
    <row r="753" spans="1:19">
      <c r="A753" s="2256"/>
      <c r="B753" s="2205"/>
      <c r="C753" s="2205"/>
      <c r="D753" s="2205"/>
      <c r="E753" s="2205"/>
      <c r="F753" s="2205"/>
      <c r="G753" s="2205"/>
      <c r="H753" s="2205"/>
      <c r="I753" s="2205"/>
      <c r="J753" s="2205"/>
      <c r="K753" s="2205"/>
      <c r="L753" s="2205"/>
      <c r="M753" s="2268"/>
      <c r="N753" s="2268"/>
      <c r="O753" s="2268"/>
      <c r="P753" s="2205"/>
      <c r="Q753" s="2205"/>
      <c r="R753" s="2205"/>
      <c r="S753" s="2205"/>
    </row>
    <row r="754" spans="1:19">
      <c r="A754" s="2256"/>
      <c r="B754" s="2205"/>
      <c r="C754" s="2205"/>
      <c r="D754" s="2205"/>
      <c r="E754" s="2205"/>
      <c r="F754" s="2205"/>
      <c r="G754" s="2205"/>
      <c r="H754" s="2205"/>
      <c r="I754" s="2205"/>
      <c r="J754" s="2205"/>
      <c r="K754" s="2205"/>
      <c r="L754" s="2205"/>
      <c r="M754" s="2268"/>
      <c r="N754" s="2268"/>
      <c r="O754" s="2268"/>
      <c r="P754" s="2205"/>
      <c r="Q754" s="2205"/>
      <c r="R754" s="2205"/>
      <c r="S754" s="2205"/>
    </row>
    <row r="755" spans="1:19">
      <c r="A755" s="2256"/>
      <c r="B755" s="2205"/>
      <c r="C755" s="2205"/>
      <c r="D755" s="2205"/>
      <c r="E755" s="2205"/>
      <c r="F755" s="2205"/>
      <c r="G755" s="2205"/>
      <c r="H755" s="2205"/>
      <c r="I755" s="2205"/>
      <c r="J755" s="2205"/>
      <c r="K755" s="2205"/>
      <c r="L755" s="2205"/>
      <c r="M755" s="2268"/>
      <c r="N755" s="2268"/>
      <c r="O755" s="2268"/>
      <c r="P755" s="2205"/>
      <c r="Q755" s="2205"/>
      <c r="R755" s="2205"/>
      <c r="S755" s="2205"/>
    </row>
    <row r="756" spans="1:19">
      <c r="A756" s="2256"/>
      <c r="B756" s="2205"/>
      <c r="C756" s="2205"/>
      <c r="D756" s="2205"/>
      <c r="E756" s="2205"/>
      <c r="F756" s="2205"/>
      <c r="G756" s="2205"/>
      <c r="H756" s="2205"/>
      <c r="I756" s="2205"/>
      <c r="J756" s="2205"/>
      <c r="K756" s="2205"/>
      <c r="L756" s="2205"/>
      <c r="M756" s="2268"/>
      <c r="N756" s="2268"/>
      <c r="O756" s="2268"/>
      <c r="P756" s="2205"/>
      <c r="Q756" s="2205"/>
      <c r="R756" s="2205"/>
      <c r="S756" s="2205"/>
    </row>
    <row r="757" spans="1:19">
      <c r="A757" s="2256"/>
      <c r="B757" s="2205"/>
      <c r="C757" s="2205"/>
      <c r="D757" s="2205"/>
      <c r="E757" s="2205"/>
      <c r="F757" s="2205"/>
      <c r="G757" s="2205"/>
      <c r="H757" s="2205"/>
      <c r="I757" s="2205"/>
      <c r="J757" s="2205"/>
      <c r="K757" s="2205"/>
      <c r="L757" s="2205"/>
      <c r="M757" s="2268"/>
      <c r="N757" s="2268"/>
      <c r="O757" s="2268"/>
      <c r="P757" s="2205"/>
      <c r="Q757" s="2205"/>
      <c r="R757" s="2205"/>
      <c r="S757" s="2205"/>
    </row>
    <row r="758" spans="1:19">
      <c r="A758" s="2256"/>
      <c r="B758" s="2205"/>
      <c r="C758" s="2205"/>
      <c r="D758" s="2205"/>
      <c r="E758" s="2205"/>
      <c r="F758" s="2205"/>
      <c r="G758" s="2205"/>
      <c r="H758" s="2205"/>
      <c r="I758" s="2205"/>
      <c r="J758" s="2205"/>
      <c r="K758" s="2205"/>
      <c r="L758" s="2205"/>
      <c r="M758" s="2268"/>
      <c r="N758" s="2268"/>
      <c r="O758" s="2268"/>
      <c r="P758" s="2205"/>
      <c r="Q758" s="2205"/>
      <c r="R758" s="2205"/>
      <c r="S758" s="2205"/>
    </row>
    <row r="759" spans="1:19">
      <c r="A759" s="2256"/>
      <c r="B759" s="2205"/>
      <c r="C759" s="2205"/>
      <c r="D759" s="2205"/>
      <c r="E759" s="2205"/>
      <c r="F759" s="2205"/>
      <c r="G759" s="2205"/>
      <c r="H759" s="2205"/>
      <c r="I759" s="2205"/>
      <c r="J759" s="2205"/>
      <c r="K759" s="2205"/>
      <c r="L759" s="2205"/>
      <c r="M759" s="2268"/>
      <c r="N759" s="2268"/>
      <c r="O759" s="2268"/>
      <c r="P759" s="2205"/>
      <c r="Q759" s="2205"/>
      <c r="R759" s="2205"/>
      <c r="S759" s="2205"/>
    </row>
    <row r="760" spans="1:19">
      <c r="A760" s="2256"/>
      <c r="B760" s="2205"/>
      <c r="C760" s="2205"/>
      <c r="D760" s="2205"/>
      <c r="E760" s="2205"/>
      <c r="F760" s="2205"/>
      <c r="G760" s="2205"/>
      <c r="H760" s="2205"/>
      <c r="I760" s="2205"/>
      <c r="J760" s="2205"/>
      <c r="K760" s="2205"/>
      <c r="L760" s="2205"/>
      <c r="M760" s="2268"/>
      <c r="N760" s="2268"/>
      <c r="O760" s="2268"/>
      <c r="P760" s="2205"/>
      <c r="Q760" s="2205"/>
      <c r="R760" s="2205"/>
      <c r="S760" s="2205"/>
    </row>
    <row r="761" spans="1:19">
      <c r="A761" s="2256"/>
      <c r="B761" s="2205"/>
      <c r="C761" s="2205"/>
      <c r="D761" s="2205"/>
      <c r="E761" s="2205"/>
      <c r="F761" s="2205"/>
      <c r="G761" s="2205"/>
      <c r="H761" s="2205"/>
      <c r="I761" s="2205"/>
      <c r="J761" s="2205"/>
      <c r="K761" s="2205"/>
      <c r="L761" s="2205"/>
      <c r="M761" s="2268"/>
      <c r="N761" s="2268"/>
      <c r="O761" s="2268"/>
      <c r="P761" s="2205"/>
      <c r="Q761" s="2205"/>
      <c r="R761" s="2205"/>
      <c r="S761" s="2205"/>
    </row>
    <row r="762" spans="1:19">
      <c r="A762" s="2256"/>
      <c r="B762" s="2205"/>
      <c r="C762" s="2205"/>
      <c r="D762" s="2205"/>
      <c r="E762" s="2205"/>
      <c r="F762" s="2205"/>
      <c r="G762" s="2205"/>
      <c r="H762" s="2205"/>
      <c r="I762" s="2205"/>
      <c r="J762" s="2205"/>
      <c r="K762" s="2205"/>
      <c r="L762" s="2205"/>
      <c r="M762" s="2268"/>
      <c r="N762" s="2268"/>
      <c r="O762" s="2268"/>
      <c r="P762" s="2205"/>
      <c r="Q762" s="2205"/>
      <c r="R762" s="2205"/>
      <c r="S762" s="2205"/>
    </row>
    <row r="763" spans="1:19">
      <c r="A763" s="2256"/>
      <c r="B763" s="2205"/>
      <c r="C763" s="2205"/>
      <c r="D763" s="2205"/>
      <c r="E763" s="2205"/>
      <c r="F763" s="2205"/>
      <c r="G763" s="2205"/>
      <c r="H763" s="2205"/>
      <c r="I763" s="2205"/>
      <c r="J763" s="2205"/>
      <c r="K763" s="2205"/>
      <c r="L763" s="2205"/>
      <c r="M763" s="2268"/>
      <c r="N763" s="2268"/>
      <c r="O763" s="2268"/>
      <c r="P763" s="2205"/>
      <c r="Q763" s="2205"/>
      <c r="R763" s="2205"/>
      <c r="S763" s="2205"/>
    </row>
    <row r="764" spans="1:19">
      <c r="A764" s="2256"/>
      <c r="B764" s="2205"/>
      <c r="C764" s="2205"/>
      <c r="D764" s="2205"/>
      <c r="E764" s="2205"/>
      <c r="F764" s="2205"/>
      <c r="G764" s="2205"/>
      <c r="H764" s="2205"/>
      <c r="I764" s="2205"/>
      <c r="J764" s="2205"/>
      <c r="K764" s="2205"/>
      <c r="L764" s="2205"/>
      <c r="M764" s="2268"/>
      <c r="N764" s="2268"/>
      <c r="O764" s="2268"/>
      <c r="P764" s="2205"/>
      <c r="Q764" s="2205"/>
      <c r="R764" s="2205"/>
      <c r="S764" s="2205"/>
    </row>
    <row r="765" spans="1:19">
      <c r="A765" s="2256"/>
      <c r="B765" s="2205"/>
      <c r="C765" s="2205"/>
      <c r="D765" s="2205"/>
      <c r="E765" s="2205"/>
      <c r="F765" s="2205"/>
      <c r="G765" s="2205"/>
      <c r="H765" s="2205"/>
      <c r="I765" s="2205"/>
      <c r="J765" s="2205"/>
      <c r="K765" s="2205"/>
      <c r="L765" s="2205"/>
      <c r="M765" s="2268"/>
      <c r="N765" s="2268"/>
      <c r="O765" s="2268"/>
      <c r="P765" s="2205"/>
      <c r="Q765" s="2205"/>
      <c r="R765" s="2205"/>
      <c r="S765" s="2205"/>
    </row>
    <row r="766" spans="1:19">
      <c r="A766" s="2256"/>
      <c r="B766" s="2205"/>
      <c r="C766" s="2205"/>
      <c r="D766" s="2205"/>
      <c r="E766" s="2205"/>
      <c r="F766" s="2205"/>
      <c r="G766" s="2205"/>
      <c r="H766" s="2205"/>
      <c r="I766" s="2205"/>
      <c r="J766" s="2205"/>
      <c r="K766" s="2205"/>
      <c r="L766" s="2205"/>
      <c r="M766" s="2268"/>
      <c r="N766" s="2268"/>
      <c r="O766" s="2268"/>
      <c r="P766" s="2205"/>
      <c r="Q766" s="2205"/>
      <c r="R766" s="2205"/>
      <c r="S766" s="2205"/>
    </row>
    <row r="767" spans="1:19">
      <c r="A767" s="2256"/>
      <c r="B767" s="2205"/>
      <c r="C767" s="2205"/>
      <c r="D767" s="2205"/>
      <c r="E767" s="2205"/>
      <c r="F767" s="2205"/>
      <c r="G767" s="2205"/>
      <c r="H767" s="2205"/>
      <c r="I767" s="2205"/>
      <c r="J767" s="2205"/>
      <c r="K767" s="2205"/>
      <c r="L767" s="2205"/>
      <c r="M767" s="2268"/>
      <c r="N767" s="2268"/>
      <c r="O767" s="2268"/>
      <c r="P767" s="2205"/>
      <c r="Q767" s="2205"/>
      <c r="R767" s="2205"/>
      <c r="S767" s="2205"/>
    </row>
    <row r="768" spans="1:19">
      <c r="A768" s="2256"/>
      <c r="B768" s="2205"/>
      <c r="C768" s="2205"/>
      <c r="D768" s="2205"/>
      <c r="E768" s="2205"/>
      <c r="F768" s="2205"/>
      <c r="G768" s="2205"/>
      <c r="H768" s="2205"/>
      <c r="I768" s="2205"/>
      <c r="J768" s="2205"/>
      <c r="K768" s="2205"/>
      <c r="L768" s="2205"/>
      <c r="M768" s="2268"/>
      <c r="N768" s="2268"/>
      <c r="O768" s="2268"/>
      <c r="P768" s="2205"/>
      <c r="Q768" s="2205"/>
      <c r="R768" s="2205"/>
      <c r="S768" s="2205"/>
    </row>
    <row r="769" spans="1:19">
      <c r="A769" s="2256"/>
      <c r="B769" s="2205"/>
      <c r="C769" s="2205"/>
      <c r="D769" s="2205"/>
      <c r="E769" s="2205"/>
      <c r="F769" s="2205"/>
      <c r="G769" s="2205"/>
      <c r="H769" s="2205"/>
      <c r="I769" s="2205"/>
      <c r="J769" s="2205"/>
      <c r="K769" s="2205"/>
      <c r="L769" s="2205"/>
      <c r="M769" s="2268"/>
      <c r="N769" s="2268"/>
      <c r="O769" s="2268"/>
      <c r="P769" s="2205"/>
      <c r="Q769" s="2205"/>
      <c r="R769" s="2205"/>
      <c r="S769" s="2205"/>
    </row>
    <row r="770" spans="1:19">
      <c r="A770" s="2256"/>
      <c r="B770" s="2205"/>
      <c r="C770" s="2205"/>
      <c r="D770" s="2205"/>
      <c r="E770" s="2205"/>
      <c r="F770" s="2205"/>
      <c r="G770" s="2205"/>
      <c r="H770" s="2205"/>
      <c r="I770" s="2205"/>
      <c r="J770" s="2205"/>
      <c r="K770" s="2205"/>
      <c r="L770" s="2205"/>
      <c r="M770" s="2268"/>
      <c r="N770" s="2268"/>
      <c r="O770" s="2268"/>
      <c r="P770" s="2205"/>
      <c r="Q770" s="2205"/>
      <c r="R770" s="2205"/>
      <c r="S770" s="2205"/>
    </row>
    <row r="771" spans="1:19">
      <c r="A771" s="2256"/>
      <c r="B771" s="2205"/>
      <c r="C771" s="2205"/>
      <c r="D771" s="2205"/>
      <c r="E771" s="2205"/>
      <c r="F771" s="2205"/>
      <c r="G771" s="2205"/>
      <c r="H771" s="2205"/>
      <c r="I771" s="2205"/>
      <c r="J771" s="2205"/>
      <c r="K771" s="2205"/>
      <c r="L771" s="2205"/>
      <c r="M771" s="2268"/>
      <c r="N771" s="2268"/>
      <c r="O771" s="2268"/>
      <c r="P771" s="2205"/>
      <c r="Q771" s="2205"/>
      <c r="R771" s="2205"/>
      <c r="S771" s="2205"/>
    </row>
    <row r="772" spans="1:19">
      <c r="A772" s="2256"/>
      <c r="B772" s="2205"/>
      <c r="C772" s="2205"/>
      <c r="D772" s="2205"/>
      <c r="E772" s="2205"/>
      <c r="F772" s="2205"/>
      <c r="G772" s="2205"/>
      <c r="H772" s="2205"/>
      <c r="I772" s="2205"/>
      <c r="J772" s="2205"/>
      <c r="K772" s="2205"/>
      <c r="L772" s="2205"/>
      <c r="M772" s="2268"/>
      <c r="N772" s="2268"/>
      <c r="O772" s="2268"/>
      <c r="P772" s="2205"/>
      <c r="Q772" s="2205"/>
      <c r="R772" s="2205"/>
      <c r="S772" s="2205"/>
    </row>
    <row r="773" spans="1:19">
      <c r="A773" s="2256"/>
      <c r="B773" s="2205"/>
      <c r="C773" s="2205"/>
      <c r="D773" s="2205"/>
      <c r="E773" s="2205"/>
      <c r="F773" s="2205"/>
      <c r="G773" s="2205"/>
      <c r="H773" s="2205"/>
      <c r="I773" s="2205"/>
      <c r="J773" s="2205"/>
      <c r="K773" s="2205"/>
      <c r="L773" s="2205"/>
      <c r="M773" s="2268"/>
      <c r="N773" s="2268"/>
      <c r="O773" s="2268"/>
      <c r="P773" s="2205"/>
      <c r="Q773" s="2205"/>
      <c r="R773" s="2205"/>
      <c r="S773" s="2205"/>
    </row>
    <row r="774" spans="1:19">
      <c r="A774" s="2256"/>
      <c r="B774" s="2205"/>
      <c r="C774" s="2205"/>
      <c r="D774" s="2205"/>
      <c r="E774" s="2205"/>
      <c r="F774" s="2205"/>
      <c r="G774" s="2205"/>
      <c r="H774" s="2205"/>
      <c r="I774" s="2205"/>
      <c r="J774" s="2205"/>
      <c r="K774" s="2205"/>
      <c r="L774" s="2205"/>
      <c r="M774" s="2268"/>
      <c r="N774" s="2268"/>
      <c r="O774" s="2268"/>
      <c r="P774" s="2205"/>
      <c r="Q774" s="2205"/>
      <c r="R774" s="2205"/>
      <c r="S774" s="2205"/>
    </row>
    <row r="775" spans="1:19">
      <c r="A775" s="2256"/>
      <c r="B775" s="2205"/>
      <c r="C775" s="2205"/>
      <c r="D775" s="2205"/>
      <c r="E775" s="2205"/>
      <c r="F775" s="2205"/>
      <c r="G775" s="2205"/>
      <c r="H775" s="2205"/>
      <c r="I775" s="2205"/>
      <c r="J775" s="2205"/>
      <c r="K775" s="2205"/>
      <c r="L775" s="2205"/>
      <c r="M775" s="2268"/>
      <c r="N775" s="2268"/>
      <c r="O775" s="2268"/>
      <c r="P775" s="2205"/>
      <c r="Q775" s="2205"/>
      <c r="R775" s="2205"/>
      <c r="S775" s="2205"/>
    </row>
    <row r="776" spans="1:19">
      <c r="A776" s="2256"/>
      <c r="B776" s="2205"/>
      <c r="C776" s="2205"/>
      <c r="D776" s="2205"/>
      <c r="E776" s="2205"/>
      <c r="F776" s="2205"/>
      <c r="G776" s="2205"/>
      <c r="H776" s="2205"/>
      <c r="I776" s="2205"/>
      <c r="J776" s="2205"/>
      <c r="K776" s="2205"/>
      <c r="L776" s="2205"/>
      <c r="M776" s="2268"/>
      <c r="N776" s="2268"/>
      <c r="O776" s="2268"/>
      <c r="P776" s="2205"/>
      <c r="Q776" s="2205"/>
      <c r="R776" s="2205"/>
      <c r="S776" s="2205"/>
    </row>
    <row r="777" spans="1:19">
      <c r="A777" s="2256"/>
      <c r="B777" s="2205"/>
      <c r="C777" s="2205"/>
      <c r="D777" s="2205"/>
      <c r="E777" s="2205"/>
      <c r="F777" s="2205"/>
      <c r="G777" s="2205"/>
      <c r="H777" s="2205"/>
      <c r="I777" s="2205"/>
      <c r="J777" s="2205"/>
      <c r="K777" s="2205"/>
      <c r="L777" s="2205"/>
      <c r="M777" s="2268"/>
      <c r="N777" s="2268"/>
      <c r="O777" s="2268"/>
      <c r="P777" s="2205"/>
      <c r="Q777" s="2205"/>
      <c r="R777" s="2205"/>
      <c r="S777" s="2205"/>
    </row>
    <row r="778" spans="1:19">
      <c r="A778" s="2256"/>
      <c r="B778" s="2205"/>
      <c r="C778" s="2205"/>
      <c r="D778" s="2205"/>
      <c r="E778" s="2205"/>
      <c r="F778" s="2205"/>
      <c r="G778" s="2205"/>
      <c r="H778" s="2205"/>
      <c r="I778" s="2205"/>
      <c r="J778" s="2205"/>
      <c r="K778" s="2205"/>
      <c r="L778" s="2205"/>
      <c r="M778" s="2268"/>
      <c r="N778" s="2268"/>
      <c r="O778" s="2268"/>
      <c r="P778" s="2205"/>
      <c r="Q778" s="2205"/>
      <c r="R778" s="2205"/>
      <c r="S778" s="2205"/>
    </row>
    <row r="779" spans="1:19">
      <c r="A779" s="2256"/>
      <c r="B779" s="2205"/>
      <c r="C779" s="2205"/>
      <c r="D779" s="2205"/>
      <c r="E779" s="2205"/>
      <c r="F779" s="2205"/>
      <c r="G779" s="2205"/>
      <c r="H779" s="2205"/>
      <c r="I779" s="2205"/>
      <c r="J779" s="2205"/>
      <c r="K779" s="2205"/>
      <c r="L779" s="2205"/>
      <c r="M779" s="2268"/>
      <c r="N779" s="2268"/>
      <c r="O779" s="2268"/>
      <c r="P779" s="2205"/>
      <c r="Q779" s="2205"/>
      <c r="R779" s="2205"/>
      <c r="S779" s="2205"/>
    </row>
    <row r="780" spans="1:19">
      <c r="A780" s="2256"/>
      <c r="B780" s="2205"/>
      <c r="C780" s="2205"/>
      <c r="D780" s="2205"/>
      <c r="E780" s="2205"/>
      <c r="F780" s="2205"/>
      <c r="G780" s="2205"/>
      <c r="H780" s="2205"/>
      <c r="I780" s="2205"/>
      <c r="J780" s="2205"/>
      <c r="K780" s="2205"/>
      <c r="L780" s="2205"/>
      <c r="M780" s="2268"/>
      <c r="N780" s="2268"/>
      <c r="O780" s="2268"/>
      <c r="P780" s="2205"/>
      <c r="Q780" s="2205"/>
      <c r="R780" s="2205"/>
      <c r="S780" s="2205"/>
    </row>
    <row r="781" spans="1:19">
      <c r="A781" s="2256"/>
      <c r="B781" s="2205"/>
      <c r="C781" s="2205"/>
      <c r="D781" s="2205"/>
      <c r="E781" s="2205"/>
      <c r="F781" s="2205"/>
      <c r="G781" s="2205"/>
      <c r="H781" s="2205"/>
      <c r="I781" s="2205"/>
      <c r="J781" s="2205"/>
      <c r="K781" s="2205"/>
      <c r="L781" s="2205"/>
      <c r="M781" s="2268"/>
      <c r="N781" s="2268"/>
      <c r="O781" s="2268"/>
      <c r="P781" s="2205"/>
      <c r="Q781" s="2205"/>
      <c r="R781" s="2205"/>
      <c r="S781" s="2205"/>
    </row>
    <row r="782" spans="1:19">
      <c r="A782" s="2256"/>
      <c r="B782" s="2205"/>
      <c r="C782" s="2205"/>
      <c r="D782" s="2205"/>
      <c r="E782" s="2205"/>
      <c r="F782" s="2205"/>
      <c r="G782" s="2205"/>
      <c r="H782" s="2205"/>
      <c r="I782" s="2205"/>
      <c r="J782" s="2205"/>
      <c r="K782" s="2205"/>
      <c r="L782" s="2205"/>
      <c r="M782" s="2268"/>
      <c r="N782" s="2268"/>
      <c r="O782" s="2268"/>
      <c r="P782" s="2205"/>
      <c r="Q782" s="2205"/>
      <c r="R782" s="2205"/>
      <c r="S782" s="2205"/>
    </row>
    <row r="783" spans="1:19">
      <c r="A783" s="2256"/>
      <c r="B783" s="2205"/>
      <c r="C783" s="2205"/>
      <c r="D783" s="2205"/>
      <c r="E783" s="2205"/>
      <c r="F783" s="2205"/>
      <c r="G783" s="2205"/>
      <c r="H783" s="2205"/>
      <c r="I783" s="2205"/>
      <c r="J783" s="2205"/>
      <c r="K783" s="2205"/>
      <c r="L783" s="2205"/>
      <c r="M783" s="2268"/>
      <c r="N783" s="2268"/>
      <c r="O783" s="2268"/>
      <c r="P783" s="2205"/>
      <c r="Q783" s="2205"/>
      <c r="R783" s="2205"/>
      <c r="S783" s="2205"/>
    </row>
    <row r="784" spans="1:19">
      <c r="A784" s="2256"/>
      <c r="B784" s="2205"/>
      <c r="C784" s="2205"/>
      <c r="D784" s="2205"/>
      <c r="E784" s="2205"/>
      <c r="F784" s="2205"/>
      <c r="G784" s="2205"/>
      <c r="H784" s="2205"/>
      <c r="I784" s="2205"/>
      <c r="J784" s="2205"/>
      <c r="K784" s="2205"/>
      <c r="L784" s="2205"/>
      <c r="M784" s="2268"/>
      <c r="N784" s="2268"/>
      <c r="O784" s="2268"/>
      <c r="P784" s="2205"/>
      <c r="Q784" s="2205"/>
      <c r="R784" s="2205"/>
      <c r="S784" s="2205"/>
    </row>
    <row r="785" spans="1:19">
      <c r="A785" s="2256"/>
      <c r="B785" s="2205"/>
      <c r="C785" s="2205"/>
      <c r="D785" s="2205"/>
      <c r="E785" s="2205"/>
      <c r="F785" s="2205"/>
      <c r="G785" s="2205"/>
      <c r="H785" s="2205"/>
      <c r="I785" s="2205"/>
      <c r="J785" s="2205"/>
      <c r="K785" s="2205"/>
      <c r="L785" s="2205"/>
      <c r="M785" s="2268"/>
      <c r="N785" s="2268"/>
      <c r="O785" s="2268"/>
      <c r="P785" s="2205"/>
      <c r="Q785" s="2205"/>
      <c r="R785" s="2205"/>
      <c r="S785" s="2205"/>
    </row>
    <row r="786" spans="1:19">
      <c r="A786" s="2256"/>
      <c r="B786" s="2205"/>
      <c r="C786" s="2205"/>
      <c r="D786" s="2205"/>
      <c r="E786" s="2205"/>
      <c r="F786" s="2205"/>
      <c r="G786" s="2205"/>
      <c r="H786" s="2205"/>
      <c r="I786" s="2205"/>
      <c r="J786" s="2205"/>
      <c r="K786" s="2205"/>
      <c r="L786" s="2205"/>
      <c r="M786" s="2268"/>
      <c r="N786" s="2268"/>
      <c r="O786" s="2268"/>
      <c r="P786" s="2205"/>
      <c r="Q786" s="2205"/>
      <c r="R786" s="2205"/>
      <c r="S786" s="2205"/>
    </row>
    <row r="787" spans="1:19">
      <c r="A787" s="2256"/>
      <c r="B787" s="2205"/>
      <c r="C787" s="2205"/>
      <c r="D787" s="2205"/>
      <c r="E787" s="2205"/>
      <c r="F787" s="2205"/>
      <c r="G787" s="2205"/>
      <c r="H787" s="2205"/>
      <c r="I787" s="2205"/>
      <c r="J787" s="2205"/>
      <c r="K787" s="2205"/>
      <c r="L787" s="2205"/>
      <c r="M787" s="2268"/>
      <c r="N787" s="2268"/>
      <c r="O787" s="2268"/>
      <c r="P787" s="2205"/>
      <c r="Q787" s="2205"/>
      <c r="R787" s="2205"/>
      <c r="S787" s="2205"/>
    </row>
    <row r="788" spans="1:19">
      <c r="A788" s="2256"/>
      <c r="B788" s="2205"/>
      <c r="C788" s="2205"/>
      <c r="D788" s="2205"/>
      <c r="E788" s="2205"/>
      <c r="F788" s="2205"/>
      <c r="G788" s="2205"/>
      <c r="H788" s="2205"/>
      <c r="I788" s="2205"/>
      <c r="J788" s="2205"/>
      <c r="K788" s="2205"/>
      <c r="L788" s="2205"/>
      <c r="M788" s="2268"/>
      <c r="N788" s="2268"/>
      <c r="O788" s="2268"/>
      <c r="P788" s="2205"/>
      <c r="Q788" s="2205"/>
      <c r="R788" s="2205"/>
      <c r="S788" s="2205"/>
    </row>
    <row r="789" spans="1:19">
      <c r="A789" s="2256"/>
      <c r="B789" s="2205"/>
      <c r="C789" s="2205"/>
      <c r="D789" s="2205"/>
      <c r="E789" s="2205"/>
      <c r="F789" s="2205"/>
      <c r="G789" s="2205"/>
      <c r="H789" s="2205"/>
      <c r="I789" s="2205"/>
      <c r="J789" s="2205"/>
      <c r="K789" s="2205"/>
      <c r="L789" s="2205"/>
      <c r="M789" s="2268"/>
      <c r="N789" s="2268"/>
      <c r="O789" s="2268"/>
      <c r="P789" s="2205"/>
      <c r="Q789" s="2205"/>
      <c r="R789" s="2205"/>
      <c r="S789" s="2205"/>
    </row>
    <row r="790" spans="1:19">
      <c r="A790" s="2256"/>
      <c r="B790" s="2205"/>
      <c r="C790" s="2205"/>
      <c r="D790" s="2205"/>
      <c r="E790" s="2205"/>
      <c r="F790" s="2205"/>
      <c r="G790" s="2205"/>
      <c r="H790" s="2205"/>
      <c r="I790" s="2205"/>
      <c r="J790" s="2205"/>
      <c r="K790" s="2205"/>
      <c r="L790" s="2205"/>
      <c r="M790" s="2268"/>
      <c r="N790" s="2268"/>
      <c r="O790" s="2268"/>
      <c r="P790" s="2205"/>
      <c r="Q790" s="2205"/>
      <c r="R790" s="2205"/>
      <c r="S790" s="2205"/>
    </row>
    <row r="791" spans="1:19">
      <c r="A791" s="2256"/>
      <c r="B791" s="2205"/>
      <c r="C791" s="2205"/>
      <c r="D791" s="2205"/>
      <c r="E791" s="2205"/>
      <c r="F791" s="2205"/>
      <c r="G791" s="2205"/>
      <c r="H791" s="2205"/>
      <c r="I791" s="2205"/>
      <c r="J791" s="2205"/>
      <c r="K791" s="2205"/>
      <c r="L791" s="2205"/>
      <c r="M791" s="2268"/>
      <c r="N791" s="2268"/>
      <c r="O791" s="2268"/>
      <c r="P791" s="2205"/>
      <c r="Q791" s="2205"/>
      <c r="R791" s="2205"/>
      <c r="S791" s="2205"/>
    </row>
    <row r="792" spans="1:19">
      <c r="A792" s="2256"/>
      <c r="B792" s="2205"/>
      <c r="C792" s="2205"/>
      <c r="D792" s="2205"/>
      <c r="E792" s="2205"/>
      <c r="F792" s="2205"/>
      <c r="G792" s="2205"/>
      <c r="H792" s="2205"/>
      <c r="I792" s="2205"/>
      <c r="J792" s="2205"/>
      <c r="K792" s="2205"/>
      <c r="L792" s="2205"/>
      <c r="M792" s="2268"/>
      <c r="N792" s="2268"/>
      <c r="O792" s="2268"/>
      <c r="P792" s="2205"/>
      <c r="Q792" s="2205"/>
      <c r="R792" s="2205"/>
      <c r="S792" s="2205"/>
    </row>
    <row r="793" spans="1:19">
      <c r="A793" s="2256"/>
      <c r="B793" s="2205"/>
      <c r="C793" s="2205"/>
      <c r="D793" s="2205"/>
      <c r="E793" s="2205"/>
      <c r="F793" s="2205"/>
      <c r="G793" s="2205"/>
      <c r="H793" s="2205"/>
      <c r="I793" s="2205"/>
      <c r="J793" s="2205"/>
      <c r="K793" s="2205"/>
      <c r="L793" s="2205"/>
      <c r="M793" s="2268"/>
      <c r="N793" s="2268"/>
      <c r="O793" s="2268"/>
      <c r="P793" s="2205"/>
      <c r="Q793" s="2205"/>
      <c r="R793" s="2205"/>
      <c r="S793" s="2205"/>
    </row>
    <row r="794" spans="1:19">
      <c r="A794" s="2256"/>
      <c r="B794" s="2205"/>
      <c r="C794" s="2205"/>
      <c r="D794" s="2205"/>
      <c r="E794" s="2205"/>
      <c r="F794" s="2205"/>
      <c r="G794" s="2205"/>
      <c r="H794" s="2205"/>
      <c r="I794" s="2205"/>
      <c r="J794" s="2205"/>
      <c r="K794" s="2205"/>
      <c r="L794" s="2205"/>
      <c r="M794" s="2268"/>
      <c r="N794" s="2268"/>
      <c r="O794" s="2268"/>
      <c r="P794" s="2205"/>
      <c r="Q794" s="2205"/>
      <c r="R794" s="2205"/>
      <c r="S794" s="2205"/>
    </row>
    <row r="795" spans="1:19">
      <c r="A795" s="2256"/>
      <c r="B795" s="2205"/>
      <c r="C795" s="2205"/>
      <c r="D795" s="2205"/>
      <c r="E795" s="2205"/>
      <c r="F795" s="2205"/>
      <c r="G795" s="2205"/>
      <c r="H795" s="2205"/>
      <c r="I795" s="2205"/>
      <c r="J795" s="2205"/>
      <c r="K795" s="2205"/>
      <c r="L795" s="2205"/>
      <c r="M795" s="2268"/>
      <c r="N795" s="2268"/>
      <c r="O795" s="2268"/>
      <c r="P795" s="2205"/>
      <c r="Q795" s="2205"/>
      <c r="R795" s="2205"/>
      <c r="S795" s="2205"/>
    </row>
    <row r="796" spans="1:19">
      <c r="A796" s="2256"/>
      <c r="B796" s="2205"/>
      <c r="C796" s="2205"/>
      <c r="D796" s="2205"/>
      <c r="E796" s="2205"/>
      <c r="F796" s="2205"/>
      <c r="G796" s="2205"/>
      <c r="H796" s="2205"/>
      <c r="I796" s="2205"/>
      <c r="J796" s="2205"/>
      <c r="K796" s="2205"/>
      <c r="L796" s="2205"/>
      <c r="M796" s="2268"/>
      <c r="N796" s="2268"/>
      <c r="O796" s="2268"/>
      <c r="P796" s="2205"/>
      <c r="Q796" s="2205"/>
      <c r="R796" s="2205"/>
      <c r="S796" s="2205"/>
    </row>
    <row r="797" spans="1:19">
      <c r="A797" s="2256"/>
      <c r="B797" s="2205"/>
      <c r="C797" s="2205"/>
      <c r="D797" s="2205"/>
      <c r="E797" s="2205"/>
      <c r="F797" s="2205"/>
      <c r="G797" s="2205"/>
      <c r="H797" s="2205"/>
      <c r="I797" s="2205"/>
      <c r="J797" s="2205"/>
      <c r="K797" s="2205"/>
      <c r="L797" s="2205"/>
      <c r="M797" s="2268"/>
      <c r="N797" s="2268"/>
      <c r="O797" s="2268"/>
      <c r="P797" s="2205"/>
      <c r="Q797" s="2205"/>
      <c r="R797" s="2205"/>
      <c r="S797" s="2205"/>
    </row>
    <row r="798" spans="1:19">
      <c r="A798" s="2256"/>
      <c r="B798" s="2205"/>
      <c r="C798" s="2205"/>
      <c r="D798" s="2205"/>
      <c r="E798" s="2205"/>
      <c r="F798" s="2205"/>
      <c r="G798" s="2205"/>
      <c r="H798" s="2205"/>
      <c r="I798" s="2205"/>
      <c r="J798" s="2205"/>
      <c r="K798" s="2205"/>
      <c r="L798" s="2205"/>
      <c r="M798" s="2268"/>
      <c r="N798" s="2268"/>
      <c r="O798" s="2268"/>
      <c r="P798" s="2205"/>
      <c r="Q798" s="2205"/>
      <c r="R798" s="2205"/>
      <c r="S798" s="2205"/>
    </row>
    <row r="799" spans="1:19">
      <c r="A799" s="2256"/>
      <c r="B799" s="2205"/>
      <c r="C799" s="2205"/>
      <c r="D799" s="2205"/>
      <c r="E799" s="2205"/>
      <c r="F799" s="2205"/>
      <c r="G799" s="2205"/>
      <c r="H799" s="2205"/>
      <c r="I799" s="2205"/>
      <c r="J799" s="2205"/>
      <c r="K799" s="2205"/>
      <c r="L799" s="2205"/>
      <c r="M799" s="2268"/>
      <c r="N799" s="2268"/>
      <c r="O799" s="2268"/>
      <c r="P799" s="2205"/>
      <c r="Q799" s="2205"/>
      <c r="R799" s="2205"/>
      <c r="S799" s="2205"/>
    </row>
    <row r="800" spans="1:19">
      <c r="A800" s="2256"/>
      <c r="B800" s="2205"/>
      <c r="C800" s="2205"/>
      <c r="D800" s="2205"/>
      <c r="E800" s="2205"/>
      <c r="F800" s="2205"/>
      <c r="G800" s="2205"/>
      <c r="H800" s="2205"/>
      <c r="I800" s="2205"/>
      <c r="J800" s="2205"/>
      <c r="K800" s="2205"/>
      <c r="L800" s="2205"/>
      <c r="M800" s="2268"/>
      <c r="N800" s="2268"/>
      <c r="O800" s="2268"/>
      <c r="P800" s="2205"/>
      <c r="Q800" s="2205"/>
      <c r="R800" s="2205"/>
      <c r="S800" s="2205"/>
    </row>
    <row r="801" spans="1:19">
      <c r="A801" s="2256"/>
      <c r="B801" s="2205"/>
      <c r="C801" s="2205"/>
      <c r="D801" s="2205"/>
      <c r="E801" s="2205"/>
      <c r="F801" s="2205"/>
      <c r="G801" s="2205"/>
      <c r="H801" s="2205"/>
      <c r="I801" s="2205"/>
      <c r="J801" s="2205"/>
      <c r="K801" s="2205"/>
      <c r="L801" s="2205"/>
      <c r="M801" s="2268"/>
      <c r="N801" s="2268"/>
      <c r="O801" s="2268"/>
      <c r="P801" s="2205"/>
      <c r="Q801" s="2205"/>
      <c r="R801" s="2205"/>
      <c r="S801" s="2205"/>
    </row>
    <row r="802" spans="1:19">
      <c r="A802" s="2256"/>
      <c r="B802" s="2205"/>
      <c r="C802" s="2205"/>
      <c r="D802" s="2205"/>
      <c r="E802" s="2205"/>
      <c r="F802" s="2205"/>
      <c r="G802" s="2205"/>
      <c r="H802" s="2205"/>
      <c r="I802" s="2205"/>
      <c r="J802" s="2205"/>
      <c r="K802" s="2205"/>
      <c r="L802" s="2205"/>
      <c r="M802" s="2268"/>
      <c r="N802" s="2268"/>
      <c r="O802" s="2268"/>
      <c r="P802" s="2205"/>
      <c r="Q802" s="2205"/>
      <c r="R802" s="2205"/>
      <c r="S802" s="2205"/>
    </row>
    <row r="803" spans="1:19">
      <c r="A803" s="2256"/>
      <c r="B803" s="2205"/>
      <c r="C803" s="2205"/>
      <c r="D803" s="2205"/>
      <c r="E803" s="2205"/>
      <c r="F803" s="2205"/>
      <c r="G803" s="2205"/>
      <c r="H803" s="2205"/>
      <c r="I803" s="2205"/>
      <c r="J803" s="2205"/>
      <c r="K803" s="2205"/>
      <c r="L803" s="2205"/>
      <c r="M803" s="2268"/>
      <c r="N803" s="2268"/>
      <c r="O803" s="2268"/>
      <c r="P803" s="2205"/>
      <c r="Q803" s="2205"/>
      <c r="R803" s="2205"/>
      <c r="S803" s="2205"/>
    </row>
    <row r="804" spans="1:19">
      <c r="A804" s="2256"/>
      <c r="B804" s="2205"/>
      <c r="C804" s="2205"/>
      <c r="D804" s="2205"/>
      <c r="E804" s="2205"/>
      <c r="F804" s="2205"/>
      <c r="G804" s="2205"/>
      <c r="H804" s="2205"/>
      <c r="I804" s="2205"/>
      <c r="J804" s="2205"/>
      <c r="K804" s="2205"/>
      <c r="L804" s="2205"/>
      <c r="M804" s="2268"/>
      <c r="N804" s="2268"/>
      <c r="O804" s="2268"/>
      <c r="P804" s="2205"/>
      <c r="Q804" s="2205"/>
      <c r="R804" s="2205"/>
      <c r="S804" s="2205"/>
    </row>
    <row r="805" spans="1:19">
      <c r="A805" s="2256"/>
      <c r="B805" s="2205"/>
      <c r="C805" s="2205"/>
      <c r="D805" s="2205"/>
      <c r="E805" s="2205"/>
      <c r="F805" s="2205"/>
      <c r="G805" s="2205"/>
      <c r="H805" s="2205"/>
      <c r="I805" s="2205"/>
      <c r="J805" s="2205"/>
      <c r="K805" s="2205"/>
      <c r="L805" s="2205"/>
      <c r="M805" s="2268"/>
      <c r="N805" s="2268"/>
      <c r="O805" s="2268"/>
      <c r="P805" s="2205"/>
      <c r="Q805" s="2205"/>
      <c r="R805" s="2205"/>
      <c r="S805" s="2205"/>
    </row>
    <row r="806" spans="1:19">
      <c r="A806" s="2256"/>
      <c r="B806" s="2205"/>
      <c r="C806" s="2205"/>
      <c r="D806" s="2205"/>
      <c r="E806" s="2205"/>
      <c r="F806" s="2205"/>
      <c r="G806" s="2205"/>
      <c r="H806" s="2205"/>
      <c r="I806" s="2205"/>
      <c r="J806" s="2205"/>
      <c r="K806" s="2205"/>
      <c r="L806" s="2205"/>
      <c r="M806" s="2268"/>
      <c r="N806" s="2268"/>
      <c r="O806" s="2268"/>
      <c r="P806" s="2205"/>
      <c r="Q806" s="2205"/>
      <c r="R806" s="2205"/>
      <c r="S806" s="2205"/>
    </row>
    <row r="807" spans="1:19">
      <c r="A807" s="2256"/>
      <c r="B807" s="2205"/>
      <c r="C807" s="2205"/>
      <c r="D807" s="2205"/>
      <c r="E807" s="2205"/>
      <c r="F807" s="2205"/>
      <c r="G807" s="2205"/>
      <c r="H807" s="2205"/>
      <c r="I807" s="2205"/>
      <c r="J807" s="2205"/>
      <c r="K807" s="2205"/>
      <c r="L807" s="2205"/>
      <c r="M807" s="2268"/>
      <c r="N807" s="2268"/>
      <c r="O807" s="2268"/>
      <c r="P807" s="2205"/>
      <c r="Q807" s="2205"/>
      <c r="R807" s="2205"/>
      <c r="S807" s="2205"/>
    </row>
    <row r="808" spans="1:19">
      <c r="A808" s="2256"/>
      <c r="B808" s="2205"/>
      <c r="C808" s="2205"/>
      <c r="D808" s="2205"/>
      <c r="E808" s="2205"/>
      <c r="F808" s="2205"/>
      <c r="G808" s="2205"/>
      <c r="H808" s="2205"/>
      <c r="I808" s="2205"/>
      <c r="J808" s="2205"/>
      <c r="K808" s="2205"/>
      <c r="L808" s="2205"/>
      <c r="M808" s="2268"/>
      <c r="N808" s="2268"/>
      <c r="O808" s="2268"/>
      <c r="P808" s="2205"/>
      <c r="Q808" s="2205"/>
      <c r="R808" s="2205"/>
      <c r="S808" s="2205"/>
    </row>
    <row r="809" spans="1:19">
      <c r="A809" s="2256"/>
      <c r="B809" s="2205"/>
      <c r="C809" s="2205"/>
      <c r="D809" s="2205"/>
      <c r="E809" s="2205"/>
      <c r="F809" s="2205"/>
      <c r="G809" s="2205"/>
      <c r="H809" s="2205"/>
      <c r="I809" s="2205"/>
      <c r="J809" s="2205"/>
      <c r="K809" s="2205"/>
      <c r="L809" s="2205"/>
      <c r="M809" s="2268"/>
      <c r="N809" s="2268"/>
      <c r="O809" s="2268"/>
      <c r="P809" s="2205"/>
      <c r="Q809" s="2205"/>
      <c r="R809" s="2205"/>
      <c r="S809" s="2205"/>
    </row>
    <row r="810" spans="1:19">
      <c r="A810" s="2256"/>
      <c r="B810" s="2205"/>
      <c r="C810" s="2205"/>
      <c r="D810" s="2205"/>
      <c r="E810" s="2205"/>
      <c r="F810" s="2205"/>
      <c r="G810" s="2205"/>
      <c r="H810" s="2205"/>
      <c r="I810" s="2205"/>
      <c r="J810" s="2205"/>
      <c r="K810" s="2205"/>
      <c r="L810" s="2205"/>
      <c r="M810" s="2268"/>
      <c r="N810" s="2268"/>
      <c r="O810" s="2268"/>
      <c r="P810" s="2205"/>
      <c r="Q810" s="2205"/>
      <c r="R810" s="2205"/>
      <c r="S810" s="2205"/>
    </row>
    <row r="811" spans="1:19">
      <c r="A811" s="2256"/>
      <c r="B811" s="2205"/>
      <c r="C811" s="2205"/>
      <c r="D811" s="2205"/>
      <c r="E811" s="2205"/>
      <c r="F811" s="2205"/>
      <c r="G811" s="2205"/>
      <c r="H811" s="2205"/>
      <c r="I811" s="2205"/>
      <c r="J811" s="2205"/>
      <c r="K811" s="2205"/>
      <c r="L811" s="2205"/>
      <c r="M811" s="2268"/>
      <c r="N811" s="2268"/>
      <c r="O811" s="2268"/>
      <c r="P811" s="2205"/>
      <c r="Q811" s="2205"/>
      <c r="R811" s="2205"/>
      <c r="S811" s="2205"/>
    </row>
    <row r="812" spans="1:19">
      <c r="A812" s="2256"/>
      <c r="B812" s="2205"/>
      <c r="C812" s="2205"/>
      <c r="D812" s="2205"/>
      <c r="E812" s="2205"/>
      <c r="F812" s="2205"/>
      <c r="G812" s="2205"/>
      <c r="H812" s="2205"/>
      <c r="I812" s="2205"/>
      <c r="J812" s="2205"/>
      <c r="K812" s="2205"/>
      <c r="L812" s="2205"/>
      <c r="M812" s="2268"/>
      <c r="N812" s="2268"/>
      <c r="O812" s="2268"/>
      <c r="P812" s="2205"/>
      <c r="Q812" s="2205"/>
      <c r="R812" s="2205"/>
      <c r="S812" s="2205"/>
    </row>
    <row r="813" spans="1:19">
      <c r="A813" s="2256"/>
      <c r="B813" s="2205"/>
      <c r="C813" s="2205"/>
      <c r="D813" s="2205"/>
      <c r="E813" s="2205"/>
      <c r="F813" s="2205"/>
      <c r="G813" s="2205"/>
      <c r="H813" s="2205"/>
      <c r="I813" s="2205"/>
      <c r="J813" s="2205"/>
      <c r="K813" s="2205"/>
      <c r="L813" s="2205"/>
      <c r="M813" s="2268"/>
      <c r="N813" s="2268"/>
      <c r="O813" s="2268"/>
      <c r="P813" s="2205"/>
      <c r="Q813" s="2205"/>
      <c r="R813" s="2205"/>
      <c r="S813" s="2205"/>
    </row>
    <row r="814" spans="1:19">
      <c r="A814" s="2256"/>
      <c r="B814" s="2205"/>
      <c r="C814" s="2205"/>
      <c r="D814" s="2205"/>
      <c r="E814" s="2205"/>
      <c r="F814" s="2205"/>
      <c r="G814" s="2205"/>
      <c r="H814" s="2205"/>
      <c r="I814" s="2205"/>
      <c r="J814" s="2205"/>
      <c r="K814" s="2205"/>
      <c r="L814" s="2205"/>
      <c r="M814" s="2268"/>
      <c r="N814" s="2268"/>
      <c r="O814" s="2268"/>
      <c r="P814" s="2205"/>
      <c r="Q814" s="2205"/>
      <c r="R814" s="2205"/>
      <c r="S814" s="2205"/>
    </row>
    <row r="815" spans="1:19">
      <c r="A815" s="2256"/>
      <c r="B815" s="2205"/>
      <c r="C815" s="2205"/>
      <c r="D815" s="2205"/>
      <c r="E815" s="2205"/>
      <c r="F815" s="2205"/>
      <c r="G815" s="2205"/>
      <c r="H815" s="2205"/>
      <c r="I815" s="2205"/>
      <c r="J815" s="2205"/>
      <c r="K815" s="2205"/>
      <c r="L815" s="2205"/>
      <c r="M815" s="2268"/>
      <c r="N815" s="2268"/>
      <c r="O815" s="2268"/>
      <c r="P815" s="2205"/>
      <c r="Q815" s="2205"/>
      <c r="R815" s="2205"/>
      <c r="S815" s="2205"/>
    </row>
    <row r="816" spans="1:19">
      <c r="A816" s="2256"/>
      <c r="B816" s="2205"/>
      <c r="C816" s="2205"/>
      <c r="D816" s="2205"/>
      <c r="E816" s="2205"/>
      <c r="F816" s="2205"/>
      <c r="G816" s="2205"/>
      <c r="H816" s="2205"/>
      <c r="I816" s="2205"/>
      <c r="J816" s="2205"/>
      <c r="K816" s="2205"/>
      <c r="L816" s="2205"/>
      <c r="M816" s="2268"/>
      <c r="N816" s="2268"/>
      <c r="O816" s="2268"/>
      <c r="P816" s="2205"/>
      <c r="Q816" s="2205"/>
      <c r="R816" s="2205"/>
      <c r="S816" s="2205"/>
    </row>
    <row r="817" spans="1:19">
      <c r="A817" s="2256"/>
      <c r="B817" s="2205"/>
      <c r="C817" s="2205"/>
      <c r="D817" s="2205"/>
      <c r="E817" s="2205"/>
      <c r="F817" s="2205"/>
      <c r="G817" s="2205"/>
      <c r="H817" s="2205"/>
      <c r="I817" s="2205"/>
      <c r="J817" s="2205"/>
      <c r="K817" s="2205"/>
      <c r="L817" s="2205"/>
      <c r="M817" s="2268"/>
      <c r="N817" s="2268"/>
      <c r="O817" s="2268"/>
      <c r="P817" s="2205"/>
      <c r="Q817" s="2205"/>
      <c r="R817" s="2205"/>
      <c r="S817" s="2205"/>
    </row>
    <row r="818" spans="1:19">
      <c r="A818" s="2256"/>
      <c r="B818" s="2205"/>
      <c r="C818" s="2205"/>
      <c r="D818" s="2205"/>
      <c r="E818" s="2205"/>
      <c r="F818" s="2205"/>
      <c r="G818" s="2205"/>
      <c r="H818" s="2205"/>
      <c r="I818" s="2205"/>
      <c r="J818" s="2205"/>
      <c r="K818" s="2205"/>
      <c r="L818" s="2205"/>
      <c r="M818" s="2268"/>
      <c r="N818" s="2268"/>
      <c r="O818" s="2268"/>
      <c r="P818" s="2205"/>
      <c r="Q818" s="2205"/>
      <c r="R818" s="2205"/>
      <c r="S818" s="2205"/>
    </row>
    <row r="819" spans="1:19">
      <c r="A819" s="2256"/>
      <c r="B819" s="2205"/>
      <c r="C819" s="2205"/>
      <c r="D819" s="2205"/>
      <c r="E819" s="2205"/>
      <c r="F819" s="2205"/>
      <c r="G819" s="2205"/>
      <c r="H819" s="2205"/>
      <c r="I819" s="2205"/>
      <c r="J819" s="2205"/>
      <c r="K819" s="2205"/>
      <c r="L819" s="2205"/>
      <c r="M819" s="2268"/>
      <c r="N819" s="2268"/>
      <c r="O819" s="2268"/>
      <c r="P819" s="2205"/>
      <c r="Q819" s="2205"/>
      <c r="R819" s="2205"/>
      <c r="S819" s="2205"/>
    </row>
    <row r="820" spans="1:19">
      <c r="A820" s="2256"/>
      <c r="B820" s="2205"/>
      <c r="C820" s="2205"/>
      <c r="D820" s="2205"/>
      <c r="E820" s="2205"/>
      <c r="F820" s="2205"/>
      <c r="G820" s="2205"/>
      <c r="H820" s="2205"/>
      <c r="I820" s="2205"/>
      <c r="J820" s="2205"/>
      <c r="K820" s="2205"/>
      <c r="L820" s="2205"/>
      <c r="M820" s="2268"/>
      <c r="N820" s="2268"/>
      <c r="O820" s="2268"/>
      <c r="P820" s="2205"/>
      <c r="Q820" s="2205"/>
      <c r="R820" s="2205"/>
      <c r="S820" s="2205"/>
    </row>
    <row r="821" spans="1:19">
      <c r="A821" s="2256"/>
      <c r="B821" s="2205"/>
      <c r="C821" s="2205"/>
      <c r="D821" s="2205"/>
      <c r="E821" s="2205"/>
      <c r="F821" s="2205"/>
      <c r="G821" s="2205"/>
      <c r="H821" s="2205"/>
      <c r="I821" s="2205"/>
      <c r="J821" s="2205"/>
      <c r="K821" s="2205"/>
      <c r="L821" s="2205"/>
      <c r="M821" s="2268"/>
      <c r="N821" s="2268"/>
      <c r="O821" s="2268"/>
      <c r="P821" s="2205"/>
      <c r="Q821" s="2205"/>
      <c r="R821" s="2205"/>
      <c r="S821" s="2205"/>
    </row>
    <row r="822" spans="1:19">
      <c r="A822" s="2256"/>
      <c r="B822" s="2205"/>
      <c r="C822" s="2205"/>
      <c r="D822" s="2205"/>
      <c r="E822" s="2205"/>
      <c r="F822" s="2205"/>
      <c r="G822" s="2205"/>
      <c r="H822" s="2205"/>
      <c r="I822" s="2205"/>
      <c r="J822" s="2205"/>
      <c r="K822" s="2205"/>
      <c r="L822" s="2205"/>
      <c r="M822" s="2268"/>
      <c r="N822" s="2268"/>
      <c r="O822" s="2268"/>
      <c r="P822" s="2205"/>
      <c r="Q822" s="2205"/>
      <c r="R822" s="2205"/>
      <c r="S822" s="2205"/>
    </row>
    <row r="823" spans="1:19">
      <c r="A823" s="2256"/>
      <c r="B823" s="2205"/>
      <c r="C823" s="2205"/>
      <c r="D823" s="2205"/>
      <c r="E823" s="2205"/>
      <c r="F823" s="2205"/>
      <c r="G823" s="2205"/>
      <c r="H823" s="2205"/>
      <c r="I823" s="2205"/>
      <c r="J823" s="2205"/>
      <c r="K823" s="2205"/>
      <c r="L823" s="2205"/>
      <c r="M823" s="2268"/>
      <c r="N823" s="2268"/>
      <c r="O823" s="2268"/>
      <c r="P823" s="2205"/>
      <c r="Q823" s="2205"/>
      <c r="R823" s="2205"/>
      <c r="S823" s="2205"/>
    </row>
    <row r="824" spans="1:19">
      <c r="A824" s="2256"/>
      <c r="B824" s="2205"/>
      <c r="C824" s="2205"/>
      <c r="D824" s="2205"/>
      <c r="E824" s="2205"/>
      <c r="F824" s="2205"/>
      <c r="G824" s="2205"/>
      <c r="H824" s="2205"/>
      <c r="I824" s="2205"/>
      <c r="J824" s="2205"/>
      <c r="K824" s="2205"/>
      <c r="L824" s="2205"/>
      <c r="M824" s="2268"/>
      <c r="N824" s="2268"/>
      <c r="O824" s="2268"/>
      <c r="P824" s="2205"/>
      <c r="Q824" s="2205"/>
      <c r="R824" s="2205"/>
      <c r="S824" s="2205"/>
    </row>
    <row r="825" spans="1:19">
      <c r="A825" s="2256"/>
      <c r="B825" s="2205"/>
      <c r="C825" s="2205"/>
      <c r="D825" s="2205"/>
      <c r="E825" s="2205"/>
      <c r="F825" s="2205"/>
      <c r="G825" s="2205"/>
      <c r="H825" s="2205"/>
      <c r="I825" s="2205"/>
      <c r="J825" s="2205"/>
      <c r="K825" s="2205"/>
      <c r="L825" s="2205"/>
      <c r="M825" s="2268"/>
      <c r="N825" s="2268"/>
      <c r="O825" s="2268"/>
      <c r="P825" s="2205"/>
      <c r="Q825" s="2205"/>
      <c r="R825" s="2205"/>
      <c r="S825" s="2205"/>
    </row>
    <row r="826" spans="1:19">
      <c r="A826" s="2256"/>
      <c r="B826" s="2205"/>
      <c r="C826" s="2205"/>
      <c r="D826" s="2205"/>
      <c r="E826" s="2205"/>
      <c r="F826" s="2205"/>
      <c r="G826" s="2205"/>
      <c r="H826" s="2205"/>
      <c r="I826" s="2205"/>
      <c r="J826" s="2205"/>
      <c r="K826" s="2205"/>
      <c r="L826" s="2205"/>
      <c r="M826" s="2268"/>
      <c r="N826" s="2268"/>
      <c r="O826" s="2268"/>
      <c r="P826" s="2205"/>
      <c r="Q826" s="2205"/>
      <c r="R826" s="2205"/>
      <c r="S826" s="2205"/>
    </row>
    <row r="827" spans="1:19">
      <c r="A827" s="2256"/>
      <c r="B827" s="2205"/>
      <c r="C827" s="2205"/>
      <c r="D827" s="2205"/>
      <c r="E827" s="2205"/>
      <c r="F827" s="2205"/>
      <c r="G827" s="2205"/>
      <c r="H827" s="2205"/>
      <c r="I827" s="2205"/>
      <c r="J827" s="2205"/>
      <c r="K827" s="2205"/>
      <c r="L827" s="2205"/>
      <c r="M827" s="2268"/>
      <c r="N827" s="2268"/>
      <c r="O827" s="2268"/>
      <c r="P827" s="2205"/>
      <c r="Q827" s="2205"/>
      <c r="R827" s="2205"/>
      <c r="S827" s="2205"/>
    </row>
    <row r="828" spans="1:19">
      <c r="A828" s="2256"/>
      <c r="B828" s="2205"/>
      <c r="C828" s="2205"/>
      <c r="D828" s="2205"/>
      <c r="E828" s="2205"/>
      <c r="F828" s="2205"/>
      <c r="G828" s="2205"/>
      <c r="H828" s="2205"/>
      <c r="I828" s="2205"/>
      <c r="J828" s="2205"/>
      <c r="K828" s="2205"/>
      <c r="L828" s="2205"/>
      <c r="M828" s="2268"/>
      <c r="N828" s="2268"/>
      <c r="O828" s="2268"/>
      <c r="P828" s="2205"/>
      <c r="Q828" s="2205"/>
      <c r="R828" s="2205"/>
      <c r="S828" s="2205"/>
    </row>
    <row r="829" spans="1:19">
      <c r="A829" s="2256"/>
      <c r="B829" s="2205"/>
      <c r="C829" s="2205"/>
      <c r="D829" s="2205"/>
      <c r="E829" s="2205"/>
      <c r="F829" s="2205"/>
      <c r="G829" s="2205"/>
      <c r="H829" s="2205"/>
      <c r="I829" s="2205"/>
      <c r="J829" s="2205"/>
      <c r="K829" s="2205"/>
      <c r="L829" s="2205"/>
      <c r="M829" s="2268"/>
      <c r="N829" s="2268"/>
      <c r="O829" s="2268"/>
      <c r="P829" s="2205"/>
      <c r="Q829" s="2205"/>
      <c r="R829" s="2205"/>
      <c r="S829" s="2205"/>
    </row>
    <row r="830" spans="1:19">
      <c r="A830" s="2256"/>
      <c r="B830" s="2205"/>
      <c r="C830" s="2205"/>
      <c r="D830" s="2205"/>
      <c r="E830" s="2205"/>
      <c r="F830" s="2205"/>
      <c r="G830" s="2205"/>
      <c r="H830" s="2205"/>
      <c r="I830" s="2205"/>
      <c r="J830" s="2205"/>
      <c r="K830" s="2205"/>
      <c r="L830" s="2205"/>
      <c r="M830" s="2268"/>
      <c r="N830" s="2268"/>
      <c r="O830" s="2268"/>
      <c r="P830" s="2205"/>
      <c r="Q830" s="2205"/>
      <c r="R830" s="2205"/>
      <c r="S830" s="2205"/>
    </row>
    <row r="831" spans="1:19">
      <c r="A831" s="2256"/>
      <c r="B831" s="2205"/>
      <c r="C831" s="2205"/>
      <c r="D831" s="2205"/>
      <c r="E831" s="2205"/>
      <c r="F831" s="2205"/>
      <c r="G831" s="2205"/>
      <c r="H831" s="2205"/>
      <c r="I831" s="2205"/>
      <c r="J831" s="2205"/>
      <c r="K831" s="2205"/>
      <c r="L831" s="2205"/>
      <c r="M831" s="2268"/>
      <c r="N831" s="2268"/>
      <c r="O831" s="2268"/>
      <c r="P831" s="2205"/>
      <c r="Q831" s="2205"/>
      <c r="R831" s="2205"/>
      <c r="S831" s="2205"/>
    </row>
    <row r="832" spans="1:19">
      <c r="A832" s="2256"/>
      <c r="B832" s="2205"/>
      <c r="C832" s="2205"/>
      <c r="D832" s="2205"/>
      <c r="E832" s="2205"/>
      <c r="F832" s="2205"/>
      <c r="G832" s="2205"/>
      <c r="H832" s="2205"/>
      <c r="I832" s="2205"/>
      <c r="J832" s="2205"/>
      <c r="K832" s="2205"/>
      <c r="L832" s="2205"/>
      <c r="M832" s="2268"/>
      <c r="N832" s="2268"/>
      <c r="O832" s="2268"/>
      <c r="P832" s="2205"/>
      <c r="Q832" s="2205"/>
      <c r="R832" s="2205"/>
      <c r="S832" s="2205"/>
    </row>
    <row r="833" spans="1:19">
      <c r="A833" s="2256"/>
      <c r="B833" s="2205"/>
      <c r="C833" s="2205"/>
      <c r="D833" s="2205"/>
      <c r="E833" s="2205"/>
      <c r="F833" s="2205"/>
      <c r="G833" s="2205"/>
      <c r="H833" s="2205"/>
      <c r="I833" s="2205"/>
      <c r="J833" s="2205"/>
      <c r="K833" s="2205"/>
      <c r="L833" s="2205"/>
      <c r="M833" s="2268"/>
      <c r="N833" s="2268"/>
      <c r="O833" s="2268"/>
      <c r="P833" s="2205"/>
      <c r="Q833" s="2205"/>
      <c r="R833" s="2205"/>
      <c r="S833" s="2205"/>
    </row>
    <row r="834" spans="1:19">
      <c r="A834" s="2256"/>
      <c r="B834" s="2205"/>
      <c r="C834" s="2205"/>
      <c r="D834" s="2205"/>
      <c r="E834" s="2205"/>
      <c r="F834" s="2205"/>
      <c r="G834" s="2205"/>
      <c r="H834" s="2205"/>
      <c r="I834" s="2205"/>
      <c r="J834" s="2205"/>
      <c r="K834" s="2205"/>
      <c r="L834" s="2205"/>
      <c r="M834" s="2268"/>
      <c r="N834" s="2268"/>
      <c r="O834" s="2268"/>
      <c r="P834" s="2205"/>
      <c r="Q834" s="2205"/>
      <c r="R834" s="2205"/>
      <c r="S834" s="2205"/>
    </row>
    <row r="835" spans="1:19">
      <c r="A835" s="2256"/>
      <c r="B835" s="2205"/>
      <c r="C835" s="2205"/>
      <c r="D835" s="2205"/>
      <c r="E835" s="2205"/>
      <c r="F835" s="2205"/>
      <c r="G835" s="2205"/>
      <c r="H835" s="2205"/>
      <c r="I835" s="2205"/>
      <c r="J835" s="2205"/>
      <c r="K835" s="2205"/>
      <c r="L835" s="2205"/>
      <c r="M835" s="2268"/>
      <c r="N835" s="2268"/>
      <c r="O835" s="2268"/>
      <c r="P835" s="2205"/>
      <c r="Q835" s="2205"/>
      <c r="R835" s="2205"/>
      <c r="S835" s="2205"/>
    </row>
    <row r="836" spans="1:19">
      <c r="A836" s="2256"/>
      <c r="B836" s="2205"/>
      <c r="C836" s="2205"/>
      <c r="D836" s="2205"/>
      <c r="E836" s="2205"/>
      <c r="F836" s="2205"/>
      <c r="G836" s="2205"/>
      <c r="H836" s="2205"/>
      <c r="I836" s="2205"/>
      <c r="J836" s="2205"/>
      <c r="K836" s="2205"/>
      <c r="L836" s="2205"/>
      <c r="M836" s="2268"/>
      <c r="N836" s="2268"/>
      <c r="O836" s="2268"/>
      <c r="P836" s="2205"/>
      <c r="Q836" s="2205"/>
      <c r="R836" s="2205"/>
      <c r="S836" s="2205"/>
    </row>
    <row r="837" spans="1:19">
      <c r="A837" s="2256"/>
      <c r="B837" s="2205"/>
      <c r="C837" s="2205"/>
      <c r="D837" s="2205"/>
      <c r="E837" s="2205"/>
      <c r="F837" s="2205"/>
      <c r="G837" s="2205"/>
      <c r="H837" s="2205"/>
      <c r="I837" s="2205"/>
      <c r="J837" s="2205"/>
      <c r="K837" s="2205"/>
      <c r="L837" s="2205"/>
      <c r="M837" s="2268"/>
      <c r="N837" s="2268"/>
      <c r="O837" s="2268"/>
      <c r="P837" s="2205"/>
      <c r="Q837" s="2205"/>
      <c r="R837" s="2205"/>
      <c r="S837" s="2205"/>
    </row>
    <row r="838" spans="1:19">
      <c r="A838" s="2256"/>
      <c r="B838" s="2205"/>
      <c r="C838" s="2205"/>
      <c r="D838" s="2205"/>
      <c r="E838" s="2205"/>
      <c r="F838" s="2205"/>
      <c r="G838" s="2205"/>
      <c r="H838" s="2205"/>
      <c r="I838" s="2205"/>
      <c r="J838" s="2205"/>
      <c r="K838" s="2205"/>
      <c r="L838" s="2205"/>
      <c r="M838" s="2268"/>
      <c r="N838" s="2268"/>
      <c r="O838" s="2268"/>
      <c r="P838" s="2205"/>
      <c r="Q838" s="2205"/>
      <c r="R838" s="2205"/>
      <c r="S838" s="2205"/>
    </row>
    <row r="839" spans="1:19">
      <c r="A839" s="2256"/>
      <c r="B839" s="2205"/>
      <c r="C839" s="2205"/>
      <c r="D839" s="2205"/>
      <c r="E839" s="2205"/>
      <c r="F839" s="2205"/>
      <c r="G839" s="2205"/>
      <c r="H839" s="2205"/>
      <c r="I839" s="2205"/>
      <c r="J839" s="2205"/>
      <c r="K839" s="2205"/>
      <c r="L839" s="2205"/>
      <c r="M839" s="2268"/>
      <c r="N839" s="2268"/>
      <c r="O839" s="2268"/>
      <c r="P839" s="2205"/>
      <c r="Q839" s="2205"/>
      <c r="R839" s="2205"/>
      <c r="S839" s="2205"/>
    </row>
    <row r="840" spans="1:19">
      <c r="A840" s="2256"/>
      <c r="B840" s="2205"/>
      <c r="C840" s="2205"/>
      <c r="D840" s="2205"/>
      <c r="E840" s="2205"/>
      <c r="F840" s="2205"/>
      <c r="G840" s="2205"/>
      <c r="H840" s="2205"/>
      <c r="I840" s="2205"/>
      <c r="J840" s="2205"/>
      <c r="K840" s="2205"/>
      <c r="L840" s="2205"/>
      <c r="M840" s="2268"/>
      <c r="N840" s="2268"/>
      <c r="O840" s="2268"/>
      <c r="P840" s="2205"/>
      <c r="Q840" s="2205"/>
      <c r="R840" s="2205"/>
      <c r="S840" s="2205"/>
    </row>
    <row r="841" spans="1:19">
      <c r="A841" s="2256"/>
      <c r="B841" s="2205"/>
      <c r="C841" s="2205"/>
      <c r="D841" s="2205"/>
      <c r="E841" s="2205"/>
      <c r="F841" s="2205"/>
      <c r="G841" s="2205"/>
      <c r="H841" s="2205"/>
      <c r="I841" s="2205"/>
      <c r="J841" s="2205"/>
      <c r="K841" s="2205"/>
      <c r="L841" s="2205"/>
      <c r="M841" s="2268"/>
      <c r="N841" s="2268"/>
      <c r="O841" s="2268"/>
      <c r="P841" s="2205"/>
      <c r="Q841" s="2205"/>
      <c r="R841" s="2205"/>
      <c r="S841" s="2205"/>
    </row>
    <row r="842" spans="1:19">
      <c r="A842" s="2256"/>
      <c r="B842" s="2205"/>
      <c r="C842" s="2205"/>
      <c r="D842" s="2205"/>
      <c r="E842" s="2205"/>
      <c r="F842" s="2205"/>
      <c r="G842" s="2205"/>
      <c r="H842" s="2205"/>
      <c r="I842" s="2205"/>
      <c r="J842" s="2205"/>
      <c r="K842" s="2205"/>
      <c r="L842" s="2205"/>
      <c r="M842" s="2268"/>
      <c r="N842" s="2268"/>
      <c r="O842" s="2268"/>
      <c r="P842" s="2205"/>
      <c r="Q842" s="2205"/>
      <c r="R842" s="2205"/>
      <c r="S842" s="2205"/>
    </row>
    <row r="843" spans="1:19">
      <c r="A843" s="2256"/>
      <c r="B843" s="2205"/>
      <c r="C843" s="2205"/>
      <c r="D843" s="2205"/>
      <c r="E843" s="2205"/>
      <c r="F843" s="2205"/>
      <c r="G843" s="2205"/>
      <c r="H843" s="2205"/>
      <c r="I843" s="2205"/>
      <c r="J843" s="2205"/>
      <c r="K843" s="2205"/>
      <c r="L843" s="2205"/>
      <c r="M843" s="2268"/>
      <c r="N843" s="2268"/>
      <c r="O843" s="2268"/>
      <c r="P843" s="2205"/>
      <c r="Q843" s="2205"/>
      <c r="R843" s="2205"/>
      <c r="S843" s="2205"/>
    </row>
    <row r="844" spans="1:19">
      <c r="A844" s="2256"/>
      <c r="B844" s="2205"/>
      <c r="C844" s="2205"/>
      <c r="D844" s="2205"/>
      <c r="E844" s="2205"/>
      <c r="F844" s="2205"/>
      <c r="G844" s="2205"/>
      <c r="H844" s="2205"/>
      <c r="I844" s="2205"/>
      <c r="J844" s="2205"/>
      <c r="K844" s="2205"/>
      <c r="L844" s="2205"/>
      <c r="M844" s="2268"/>
      <c r="N844" s="2268"/>
      <c r="O844" s="2268"/>
      <c r="P844" s="2205"/>
      <c r="Q844" s="2205"/>
      <c r="R844" s="2205"/>
      <c r="S844" s="2205"/>
    </row>
    <row r="845" spans="1:19">
      <c r="A845" s="2256"/>
      <c r="B845" s="2205"/>
      <c r="C845" s="2205"/>
      <c r="D845" s="2205"/>
      <c r="E845" s="2205"/>
      <c r="F845" s="2205"/>
      <c r="G845" s="2205"/>
      <c r="H845" s="2205"/>
      <c r="I845" s="2205"/>
      <c r="J845" s="2205"/>
      <c r="K845" s="2205"/>
      <c r="L845" s="2205"/>
      <c r="M845" s="2268"/>
      <c r="N845" s="2268"/>
      <c r="O845" s="2268"/>
      <c r="P845" s="2205"/>
      <c r="Q845" s="2205"/>
      <c r="R845" s="2205"/>
      <c r="S845" s="2205"/>
    </row>
    <row r="846" spans="1:19">
      <c r="A846" s="2256"/>
      <c r="B846" s="2205"/>
      <c r="C846" s="2205"/>
      <c r="D846" s="2205"/>
      <c r="E846" s="2205"/>
      <c r="F846" s="2205"/>
      <c r="G846" s="2205"/>
      <c r="H846" s="2205"/>
      <c r="I846" s="2205"/>
      <c r="J846" s="2205"/>
      <c r="K846" s="2205"/>
      <c r="L846" s="2205"/>
      <c r="M846" s="2268"/>
      <c r="N846" s="2268"/>
      <c r="O846" s="2268"/>
      <c r="P846" s="2205"/>
      <c r="Q846" s="2205"/>
      <c r="R846" s="2205"/>
      <c r="S846" s="2205"/>
    </row>
    <row r="847" spans="1:19">
      <c r="A847" s="2256"/>
      <c r="B847" s="2205"/>
      <c r="C847" s="2205"/>
      <c r="D847" s="2205"/>
      <c r="E847" s="2205"/>
      <c r="F847" s="2205"/>
      <c r="G847" s="2205"/>
      <c r="H847" s="2205"/>
      <c r="I847" s="2205"/>
      <c r="J847" s="2205"/>
      <c r="K847" s="2205"/>
      <c r="L847" s="2205"/>
      <c r="M847" s="2268"/>
      <c r="N847" s="2268"/>
      <c r="O847" s="2268"/>
      <c r="P847" s="2205"/>
      <c r="Q847" s="2205"/>
      <c r="R847" s="2205"/>
      <c r="S847" s="2205"/>
    </row>
    <row r="848" spans="1:19">
      <c r="A848" s="2256"/>
      <c r="B848" s="2205"/>
      <c r="C848" s="2205"/>
      <c r="D848" s="2205"/>
      <c r="E848" s="2205"/>
      <c r="F848" s="2205"/>
      <c r="G848" s="2205"/>
      <c r="H848" s="2205"/>
      <c r="I848" s="2205"/>
      <c r="J848" s="2205"/>
      <c r="K848" s="2205"/>
      <c r="L848" s="2205"/>
      <c r="M848" s="2268"/>
      <c r="N848" s="2268"/>
      <c r="O848" s="2268"/>
      <c r="P848" s="2205"/>
      <c r="Q848" s="2205"/>
      <c r="R848" s="2205"/>
      <c r="S848" s="2205"/>
    </row>
    <row r="849" spans="1:19">
      <c r="A849" s="2256"/>
      <c r="B849" s="2205"/>
      <c r="C849" s="2205"/>
      <c r="D849" s="2205"/>
      <c r="E849" s="2205"/>
      <c r="F849" s="2205"/>
      <c r="G849" s="2205"/>
      <c r="H849" s="2205"/>
      <c r="I849" s="2205"/>
      <c r="J849" s="2205"/>
      <c r="K849" s="2205"/>
      <c r="L849" s="2205"/>
      <c r="M849" s="2268"/>
      <c r="N849" s="2268"/>
      <c r="O849" s="2268"/>
      <c r="P849" s="2205"/>
      <c r="Q849" s="2205"/>
      <c r="R849" s="2205"/>
      <c r="S849" s="2205"/>
    </row>
    <row r="850" spans="1:19">
      <c r="A850" s="2256"/>
      <c r="B850" s="2205"/>
      <c r="C850" s="2205"/>
      <c r="D850" s="2205"/>
      <c r="E850" s="2205"/>
      <c r="F850" s="2205"/>
      <c r="G850" s="2205"/>
      <c r="H850" s="2205"/>
      <c r="I850" s="2205"/>
      <c r="J850" s="2205"/>
      <c r="K850" s="2205"/>
      <c r="L850" s="2205"/>
      <c r="M850" s="2268"/>
      <c r="N850" s="2268"/>
      <c r="O850" s="2268"/>
      <c r="P850" s="2205"/>
      <c r="Q850" s="2205"/>
      <c r="R850" s="2205"/>
      <c r="S850" s="2205"/>
    </row>
    <row r="851" spans="1:19">
      <c r="A851" s="2256"/>
      <c r="B851" s="2205"/>
      <c r="C851" s="2205"/>
      <c r="D851" s="2205"/>
      <c r="E851" s="2205"/>
      <c r="F851" s="2205"/>
      <c r="G851" s="2205"/>
      <c r="H851" s="2205"/>
      <c r="I851" s="2205"/>
      <c r="J851" s="2205"/>
      <c r="K851" s="2205"/>
      <c r="L851" s="2205"/>
      <c r="M851" s="2268"/>
      <c r="N851" s="2268"/>
      <c r="O851" s="2268"/>
      <c r="P851" s="2205"/>
      <c r="Q851" s="2205"/>
      <c r="R851" s="2205"/>
      <c r="S851" s="2205"/>
    </row>
    <row r="852" spans="1:19">
      <c r="A852" s="2256"/>
      <c r="B852" s="2205"/>
      <c r="C852" s="2205"/>
      <c r="D852" s="2205"/>
      <c r="E852" s="2205"/>
      <c r="F852" s="2205"/>
      <c r="G852" s="2205"/>
      <c r="H852" s="2205"/>
      <c r="I852" s="2205"/>
      <c r="J852" s="2205"/>
      <c r="K852" s="2205"/>
      <c r="L852" s="2205"/>
      <c r="M852" s="2268"/>
      <c r="N852" s="2268"/>
      <c r="O852" s="2268"/>
      <c r="P852" s="2205"/>
      <c r="Q852" s="2205"/>
      <c r="R852" s="2205"/>
      <c r="S852" s="2205"/>
    </row>
    <row r="853" spans="1:19">
      <c r="A853" s="2256"/>
      <c r="B853" s="2205"/>
      <c r="C853" s="2205"/>
      <c r="D853" s="2205"/>
      <c r="E853" s="2205"/>
      <c r="F853" s="2205"/>
      <c r="G853" s="2205"/>
      <c r="H853" s="2205"/>
      <c r="I853" s="2205"/>
      <c r="J853" s="2205"/>
      <c r="K853" s="2205"/>
      <c r="L853" s="2205"/>
      <c r="M853" s="2268"/>
      <c r="N853" s="2268"/>
      <c r="O853" s="2268"/>
      <c r="P853" s="2205"/>
      <c r="Q853" s="2205"/>
      <c r="R853" s="2205"/>
      <c r="S853" s="2205"/>
    </row>
    <row r="854" spans="1:19">
      <c r="A854" s="2256"/>
      <c r="B854" s="2205"/>
      <c r="C854" s="2205"/>
      <c r="D854" s="2205"/>
      <c r="E854" s="2205"/>
      <c r="F854" s="2205"/>
      <c r="G854" s="2205"/>
      <c r="H854" s="2205"/>
      <c r="I854" s="2205"/>
      <c r="J854" s="2205"/>
      <c r="K854" s="2205"/>
      <c r="L854" s="2205"/>
      <c r="M854" s="2268"/>
      <c r="N854" s="2268"/>
      <c r="O854" s="2268"/>
      <c r="P854" s="2205"/>
      <c r="Q854" s="2205"/>
      <c r="R854" s="2205"/>
      <c r="S854" s="2205"/>
    </row>
    <row r="855" spans="11:16">
      <c r="K855" s="2205"/>
      <c r="L855" s="2205"/>
      <c r="M855" s="2268"/>
      <c r="N855" s="2268"/>
      <c r="O855" s="2268"/>
      <c r="P855" s="2205"/>
    </row>
  </sheetData>
  <sheetProtection selectLockedCells="1" selectUnlockedCells="1" formatCells="0" insertRows="0" deleteRows="0"/>
  <mergeCells count="12">
    <mergeCell ref="A168:B168"/>
    <mergeCell ref="C168:E168"/>
    <mergeCell ref="A169:B169"/>
    <mergeCell ref="C169:E169"/>
    <mergeCell ref="A170:B170"/>
    <mergeCell ref="C170:E170"/>
    <mergeCell ref="B172:E172"/>
    <mergeCell ref="G172:H172"/>
    <mergeCell ref="A174:E174"/>
    <mergeCell ref="A172:A173"/>
    <mergeCell ref="F172:F173"/>
    <mergeCell ref="I172:I173"/>
  </mergeCells>
  <conditionalFormatting sqref="B171">
    <cfRule type="cellIs" dxfId="5" priority="2" stopIfTrue="1" operator="equal">
      <formula>$C$163&amp;$C$164</formula>
    </cfRule>
  </conditionalFormatting>
  <conditionalFormatting sqref="A174:E174">
    <cfRule type="cellIs" dxfId="2" priority="1" stopIfTrue="1" operator="equal">
      <formula>"调整金额借贷不等,请检查!差额为:"</formula>
    </cfRule>
  </conditionalFormatting>
  <dataValidations count="3">
    <dataValidation type="list" allowBlank="1" showInputMessage="1" showErrorMessage="1" errorTitle="错误" error="请按设定的科目填列！" sqref="C175:C207">
      <formula1>$C$1:$C$157</formula1>
    </dataValidation>
    <dataValidation type="list" allowBlank="1" showInputMessage="1" showErrorMessage="1" sqref="I175:I207">
      <formula1>$I$2:$I$4</formula1>
    </dataValidation>
    <dataValidation type="decimal" operator="between" allowBlank="1" showInputMessage="1" showErrorMessage="1" errorTitle="输入有误" error="抱歉，此处已限定只能输入数字。" sqref="G175:H207" errorStyle="warning">
      <formula1>-99999999999999900000</formula1>
      <formula2>99999999999999900000</formula2>
    </dataValidation>
  </dataValidations>
  <printOptions horizontalCentered="1"/>
  <pageMargins left="0.31496062992126" right="0.433070866141732" top="0.748031496062992" bottom="0.708661417322835" header="0.31496062992126" footer="0.236220472440945"/>
  <pageSetup paperSize="9" orientation="portrait" blackAndWhite="1"/>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tint="-0.249977111117893"/>
  </sheetPr>
  <dimension ref="A1:T1024"/>
  <sheetViews>
    <sheetView showGridLines="0" showZeros="0" view="pageBreakPreview" zoomScale="89" zoomScaleNormal="100" zoomScaleSheetLayoutView="89" topLeftCell="A103" workbookViewId="0">
      <pane xSplit="9" ySplit="7" topLeftCell="J110" activePane="bottomRight" state="frozen"/>
      <selection/>
      <selection pane="topRight"/>
      <selection pane="bottomLeft"/>
      <selection pane="bottomRight" activeCell="F122" sqref="F122"/>
    </sheetView>
  </sheetViews>
  <sheetFormatPr defaultColWidth="9" defaultRowHeight="12.75"/>
  <cols>
    <col min="1" max="1" width="3.25" style="2203" customWidth="1"/>
    <col min="2" max="2" width="6.5" style="2203" customWidth="1"/>
    <col min="3" max="3" width="29.375" style="2203" customWidth="1"/>
    <col min="4" max="4" width="3.625" style="2203" customWidth="1"/>
    <col min="5" max="5" width="11.375" style="2203" customWidth="1"/>
    <col min="6" max="6" width="7.25" style="2203" customWidth="1"/>
    <col min="7" max="8" width="11.25" style="2203" customWidth="1"/>
    <col min="9" max="9" width="4.125" style="2202" customWidth="1"/>
    <col min="10" max="16384" width="9" style="2203"/>
  </cols>
  <sheetData>
    <row r="1" hidden="1" spans="1:20">
      <c r="A1" s="2204"/>
      <c r="B1" s="2204"/>
      <c r="C1" s="2204"/>
      <c r="D1" s="2204"/>
      <c r="E1" s="2204"/>
      <c r="F1" s="2204"/>
      <c r="G1" s="2204"/>
      <c r="H1" s="2204"/>
      <c r="I1" s="2205"/>
      <c r="J1" s="2204"/>
      <c r="K1" s="2204"/>
      <c r="L1" s="2204"/>
      <c r="M1" s="2204"/>
      <c r="N1" s="2204"/>
      <c r="O1" s="2204"/>
      <c r="P1" s="2204"/>
      <c r="Q1" s="2204"/>
      <c r="R1" s="2204"/>
      <c r="S1" s="2204"/>
      <c r="T1" s="2204"/>
    </row>
    <row r="2" hidden="1" spans="1:20">
      <c r="A2" s="2204"/>
      <c r="B2" s="2204"/>
      <c r="C2" s="2204" t="s">
        <v>116</v>
      </c>
      <c r="D2" s="2204"/>
      <c r="E2" s="2204"/>
      <c r="F2" s="2204"/>
      <c r="G2" s="2204"/>
      <c r="H2" s="2204"/>
      <c r="I2" s="2205" t="s">
        <v>1400</v>
      </c>
      <c r="J2" s="2204"/>
      <c r="K2" s="2204"/>
      <c r="L2" s="2204"/>
      <c r="M2" s="2204"/>
      <c r="N2" s="2204"/>
      <c r="O2" s="2204"/>
      <c r="P2" s="2204"/>
      <c r="Q2" s="2204"/>
      <c r="R2" s="2204"/>
      <c r="S2" s="2204"/>
      <c r="T2" s="2204"/>
    </row>
    <row r="3" hidden="1" spans="1:20">
      <c r="A3" s="2204"/>
      <c r="B3" s="2204"/>
      <c r="C3" s="2204" t="s">
        <v>117</v>
      </c>
      <c r="D3" s="2204"/>
      <c r="E3" s="2204"/>
      <c r="F3" s="2204"/>
      <c r="G3" s="2204"/>
      <c r="H3" s="2204"/>
      <c r="I3" s="2205" t="s">
        <v>1401</v>
      </c>
      <c r="J3" s="2204"/>
      <c r="K3" s="2204"/>
      <c r="L3" s="2204"/>
      <c r="M3" s="2204"/>
      <c r="N3" s="2204"/>
      <c r="O3" s="2204"/>
      <c r="P3" s="2204"/>
      <c r="Q3" s="2204"/>
      <c r="R3" s="2204"/>
      <c r="S3" s="2204"/>
      <c r="T3" s="2204"/>
    </row>
    <row r="4" hidden="1" spans="1:20">
      <c r="A4" s="2204"/>
      <c r="B4" s="2204"/>
      <c r="C4" s="2204" t="s">
        <v>118</v>
      </c>
      <c r="D4" s="2204"/>
      <c r="E4" s="2204"/>
      <c r="F4" s="2204"/>
      <c r="G4" s="2204"/>
      <c r="H4" s="2204"/>
      <c r="I4" s="2205"/>
      <c r="J4" s="2204"/>
      <c r="K4" s="2204"/>
      <c r="L4" s="2204"/>
      <c r="M4" s="2204"/>
      <c r="N4" s="2204"/>
      <c r="O4" s="2204"/>
      <c r="P4" s="2204"/>
      <c r="Q4" s="2204"/>
      <c r="R4" s="2204"/>
      <c r="S4" s="2204"/>
      <c r="T4" s="2204"/>
    </row>
    <row r="5" hidden="1" spans="1:20">
      <c r="A5" s="2204"/>
      <c r="B5" s="2204"/>
      <c r="C5" s="2204"/>
      <c r="D5" s="2204"/>
      <c r="E5" s="2204"/>
      <c r="F5" s="2204"/>
      <c r="G5" s="2204"/>
      <c r="H5" s="2204"/>
      <c r="I5" s="2205"/>
      <c r="J5" s="2204"/>
      <c r="K5" s="2204"/>
      <c r="L5" s="2204"/>
      <c r="M5" s="2204"/>
      <c r="N5" s="2204"/>
      <c r="O5" s="2204"/>
      <c r="P5" s="2204"/>
      <c r="Q5" s="2204"/>
      <c r="R5" s="2204"/>
      <c r="S5" s="2204"/>
      <c r="T5" s="2204"/>
    </row>
    <row r="6" hidden="1" spans="1:20">
      <c r="A6" s="2204"/>
      <c r="B6" s="2204"/>
      <c r="C6" s="2204" t="s">
        <v>121</v>
      </c>
      <c r="D6" s="2204"/>
      <c r="E6" s="2204"/>
      <c r="F6" s="2204"/>
      <c r="G6" s="2204"/>
      <c r="H6" s="2204"/>
      <c r="I6" s="2205"/>
      <c r="J6" s="2204"/>
      <c r="K6" s="2204"/>
      <c r="L6" s="2204"/>
      <c r="M6" s="2204"/>
      <c r="N6" s="2204"/>
      <c r="O6" s="2204"/>
      <c r="P6" s="2204"/>
      <c r="Q6" s="2204"/>
      <c r="R6" s="2204"/>
      <c r="S6" s="2204"/>
      <c r="T6" s="2204"/>
    </row>
    <row r="7" hidden="1" spans="1:20">
      <c r="A7" s="2204"/>
      <c r="B7" s="2204"/>
      <c r="C7" s="2204" t="s">
        <v>122</v>
      </c>
      <c r="D7" s="2204"/>
      <c r="E7" s="2204"/>
      <c r="F7" s="2204"/>
      <c r="G7" s="2204"/>
      <c r="H7" s="2204"/>
      <c r="I7" s="2205"/>
      <c r="J7" s="2204"/>
      <c r="K7" s="2204"/>
      <c r="L7" s="2204"/>
      <c r="M7" s="2204"/>
      <c r="N7" s="2204"/>
      <c r="O7" s="2204"/>
      <c r="P7" s="2204"/>
      <c r="Q7" s="2204"/>
      <c r="R7" s="2204"/>
      <c r="S7" s="2204"/>
      <c r="T7" s="2204"/>
    </row>
    <row r="8" hidden="1" spans="1:20">
      <c r="A8" s="2204"/>
      <c r="B8" s="2204"/>
      <c r="C8" s="2204" t="s">
        <v>123</v>
      </c>
      <c r="D8" s="2204"/>
      <c r="E8" s="2204"/>
      <c r="F8" s="2204"/>
      <c r="G8" s="2204"/>
      <c r="H8" s="2204"/>
      <c r="I8" s="2205"/>
      <c r="J8" s="2204"/>
      <c r="K8" s="2204"/>
      <c r="L8" s="2204"/>
      <c r="M8" s="2204"/>
      <c r="N8" s="2204"/>
      <c r="O8" s="2204"/>
      <c r="P8" s="2204"/>
      <c r="Q8" s="2204"/>
      <c r="R8" s="2204"/>
      <c r="S8" s="2204"/>
      <c r="T8" s="2204"/>
    </row>
    <row r="9" hidden="1" spans="1:20">
      <c r="A9" s="2204"/>
      <c r="B9" s="2204"/>
      <c r="C9" s="2204" t="s">
        <v>124</v>
      </c>
      <c r="D9" s="2204"/>
      <c r="E9" s="2204"/>
      <c r="F9" s="2204"/>
      <c r="G9" s="2204"/>
      <c r="H9" s="2204"/>
      <c r="I9" s="2205"/>
      <c r="J9" s="2204"/>
      <c r="K9" s="2204"/>
      <c r="L9" s="2204"/>
      <c r="M9" s="2204"/>
      <c r="N9" s="2204"/>
      <c r="O9" s="2204"/>
      <c r="P9" s="2204"/>
      <c r="Q9" s="2204"/>
      <c r="R9" s="2204"/>
      <c r="S9" s="2204"/>
      <c r="T9" s="2204"/>
    </row>
    <row r="10" hidden="1" spans="1:20">
      <c r="A10" s="2204"/>
      <c r="B10" s="2204"/>
      <c r="C10" s="2204"/>
      <c r="D10" s="2204"/>
      <c r="E10" s="2204"/>
      <c r="F10" s="2204"/>
      <c r="G10" s="2204"/>
      <c r="H10" s="2204"/>
      <c r="I10" s="2205"/>
      <c r="J10" s="2204"/>
      <c r="K10" s="2204"/>
      <c r="L10" s="2204"/>
      <c r="M10" s="2204"/>
      <c r="N10" s="2204"/>
      <c r="O10" s="2204"/>
      <c r="P10" s="2204"/>
      <c r="Q10" s="2204"/>
      <c r="R10" s="2204"/>
      <c r="S10" s="2204"/>
      <c r="T10" s="2204"/>
    </row>
    <row r="11" hidden="1" spans="1:20">
      <c r="A11" s="2204"/>
      <c r="B11" s="2204"/>
      <c r="C11" s="2204" t="s">
        <v>128</v>
      </c>
      <c r="D11" s="2204"/>
      <c r="E11" s="2204"/>
      <c r="F11" s="2204"/>
      <c r="G11" s="2204"/>
      <c r="H11" s="2204"/>
      <c r="I11" s="2205"/>
      <c r="J11" s="2204"/>
      <c r="K11" s="2204"/>
      <c r="L11" s="2204"/>
      <c r="M11" s="2204"/>
      <c r="N11" s="2204"/>
      <c r="O11" s="2204"/>
      <c r="P11" s="2204"/>
      <c r="Q11" s="2204"/>
      <c r="R11" s="2204"/>
      <c r="S11" s="2204"/>
      <c r="T11" s="2204"/>
    </row>
    <row r="12" hidden="1" spans="1:20">
      <c r="A12" s="2204"/>
      <c r="B12" s="2204"/>
      <c r="C12" s="2204" t="s">
        <v>129</v>
      </c>
      <c r="D12" s="2204"/>
      <c r="E12" s="2204"/>
      <c r="F12" s="2204"/>
      <c r="G12" s="2204"/>
      <c r="H12" s="2204"/>
      <c r="I12" s="2205"/>
      <c r="J12" s="2204"/>
      <c r="K12" s="2204"/>
      <c r="L12" s="2204"/>
      <c r="M12" s="2204"/>
      <c r="N12" s="2204"/>
      <c r="O12" s="2204"/>
      <c r="P12" s="2204"/>
      <c r="Q12" s="2204"/>
      <c r="R12" s="2204"/>
      <c r="S12" s="2204"/>
      <c r="T12" s="2204"/>
    </row>
    <row r="13" hidden="1" spans="1:20">
      <c r="A13" s="2204"/>
      <c r="B13" s="2204"/>
      <c r="C13" s="2204" t="s">
        <v>130</v>
      </c>
      <c r="D13" s="2204"/>
      <c r="E13" s="2204"/>
      <c r="F13" s="2204"/>
      <c r="G13" s="2204"/>
      <c r="H13" s="2204"/>
      <c r="I13" s="2205"/>
      <c r="J13" s="2204"/>
      <c r="K13" s="2204"/>
      <c r="L13" s="2204"/>
      <c r="M13" s="2204"/>
      <c r="N13" s="2204"/>
      <c r="O13" s="2204"/>
      <c r="P13" s="2204"/>
      <c r="Q13" s="2204"/>
      <c r="R13" s="2204"/>
      <c r="S13" s="2204"/>
      <c r="T13" s="2204"/>
    </row>
    <row r="14" hidden="1" spans="1:20">
      <c r="A14" s="2204"/>
      <c r="B14" s="2204"/>
      <c r="C14" s="2204" t="s">
        <v>131</v>
      </c>
      <c r="D14" s="2204"/>
      <c r="E14" s="2204"/>
      <c r="F14" s="2204"/>
      <c r="G14" s="2204"/>
      <c r="H14" s="2204"/>
      <c r="I14" s="2205"/>
      <c r="J14" s="2204"/>
      <c r="K14" s="2204"/>
      <c r="L14" s="2204"/>
      <c r="M14" s="2204"/>
      <c r="N14" s="2204"/>
      <c r="O14" s="2204"/>
      <c r="P14" s="2204"/>
      <c r="Q14" s="2204"/>
      <c r="R14" s="2204"/>
      <c r="S14" s="2204"/>
      <c r="T14" s="2204"/>
    </row>
    <row r="15" hidden="1" spans="1:20">
      <c r="A15" s="2204"/>
      <c r="B15" s="2204"/>
      <c r="C15" s="2204" t="s">
        <v>132</v>
      </c>
      <c r="D15" s="2204"/>
      <c r="E15" s="2204"/>
      <c r="F15" s="2204"/>
      <c r="G15" s="2204"/>
      <c r="H15" s="2204"/>
      <c r="I15" s="2205"/>
      <c r="J15" s="2204"/>
      <c r="K15" s="2204"/>
      <c r="L15" s="2204"/>
      <c r="M15" s="2204"/>
      <c r="N15" s="2204"/>
      <c r="O15" s="2204"/>
      <c r="P15" s="2204"/>
      <c r="Q15" s="2204"/>
      <c r="R15" s="2204"/>
      <c r="S15" s="2204"/>
      <c r="T15" s="2204"/>
    </row>
    <row r="16" hidden="1" spans="1:20">
      <c r="A16" s="2204"/>
      <c r="B16" s="2204"/>
      <c r="C16" s="2204"/>
      <c r="D16" s="2204"/>
      <c r="E16" s="2204"/>
      <c r="F16" s="2204"/>
      <c r="G16" s="2204"/>
      <c r="H16" s="2204"/>
      <c r="I16" s="2205"/>
      <c r="J16" s="2204"/>
      <c r="K16" s="2204"/>
      <c r="L16" s="2204"/>
      <c r="M16" s="2204"/>
      <c r="N16" s="2204"/>
      <c r="O16" s="2204"/>
      <c r="P16" s="2204"/>
      <c r="Q16" s="2204"/>
      <c r="R16" s="2204"/>
      <c r="S16" s="2204"/>
      <c r="T16" s="2204"/>
    </row>
    <row r="17" hidden="1" spans="1:20">
      <c r="A17" s="2204"/>
      <c r="B17" s="2204"/>
      <c r="C17" s="2204" t="s">
        <v>135</v>
      </c>
      <c r="D17" s="2204"/>
      <c r="E17" s="2204"/>
      <c r="F17" s="2204"/>
      <c r="G17" s="2204"/>
      <c r="H17" s="2204"/>
      <c r="I17" s="2205"/>
      <c r="J17" s="2204"/>
      <c r="K17" s="2204"/>
      <c r="L17" s="2204"/>
      <c r="M17" s="2204"/>
      <c r="N17" s="2204"/>
      <c r="O17" s="2204"/>
      <c r="P17" s="2204"/>
      <c r="Q17" s="2204"/>
      <c r="R17" s="2204"/>
      <c r="S17" s="2204"/>
      <c r="T17" s="2204"/>
    </row>
    <row r="18" hidden="1" spans="1:20">
      <c r="A18" s="2204"/>
      <c r="B18" s="2204"/>
      <c r="C18" s="2204" t="s">
        <v>136</v>
      </c>
      <c r="D18" s="2204"/>
      <c r="E18" s="2204"/>
      <c r="F18" s="2204"/>
      <c r="G18" s="2204"/>
      <c r="H18" s="2204"/>
      <c r="I18" s="2205"/>
      <c r="J18" s="2204"/>
      <c r="K18" s="2204"/>
      <c r="L18" s="2204"/>
      <c r="M18" s="2204"/>
      <c r="N18" s="2204"/>
      <c r="O18" s="2204"/>
      <c r="P18" s="2204"/>
      <c r="Q18" s="2204"/>
      <c r="R18" s="2204"/>
      <c r="S18" s="2204"/>
      <c r="T18" s="2204"/>
    </row>
    <row r="19" hidden="1" spans="1:20">
      <c r="A19" s="2204"/>
      <c r="B19" s="2204"/>
      <c r="C19" s="2204" t="s">
        <v>137</v>
      </c>
      <c r="D19" s="2204"/>
      <c r="E19" s="2204"/>
      <c r="F19" s="2204"/>
      <c r="G19" s="2204"/>
      <c r="H19" s="2204"/>
      <c r="I19" s="2205"/>
      <c r="J19" s="2204"/>
      <c r="K19" s="2204"/>
      <c r="L19" s="2204"/>
      <c r="M19" s="2204"/>
      <c r="N19" s="2204"/>
      <c r="O19" s="2204"/>
      <c r="P19" s="2204"/>
      <c r="Q19" s="2204"/>
      <c r="R19" s="2204"/>
      <c r="S19" s="2204"/>
      <c r="T19" s="2204"/>
    </row>
    <row r="20" hidden="1" spans="1:20">
      <c r="A20" s="2204"/>
      <c r="B20" s="2204"/>
      <c r="C20" s="2204" t="s">
        <v>138</v>
      </c>
      <c r="D20" s="2204"/>
      <c r="E20" s="2204"/>
      <c r="F20" s="2204"/>
      <c r="G20" s="2204"/>
      <c r="H20" s="2204"/>
      <c r="I20" s="2205"/>
      <c r="J20" s="2204"/>
      <c r="K20" s="2204"/>
      <c r="L20" s="2204"/>
      <c r="M20" s="2204"/>
      <c r="N20" s="2204"/>
      <c r="O20" s="2204"/>
      <c r="P20" s="2204"/>
      <c r="Q20" s="2204"/>
      <c r="R20" s="2204"/>
      <c r="S20" s="2204"/>
      <c r="T20" s="2204"/>
    </row>
    <row r="21" hidden="1" spans="1:20">
      <c r="A21" s="2204"/>
      <c r="B21" s="2204"/>
      <c r="C21" s="2204"/>
      <c r="D21" s="2204"/>
      <c r="E21" s="2204"/>
      <c r="F21" s="2204"/>
      <c r="G21" s="2204"/>
      <c r="H21" s="2204"/>
      <c r="I21" s="2205"/>
      <c r="J21" s="2204"/>
      <c r="K21" s="2204"/>
      <c r="L21" s="2204"/>
      <c r="M21" s="2204"/>
      <c r="N21" s="2204"/>
      <c r="O21" s="2204"/>
      <c r="P21" s="2204"/>
      <c r="Q21" s="2204"/>
      <c r="R21" s="2204"/>
      <c r="S21" s="2204"/>
      <c r="T21" s="2204"/>
    </row>
    <row r="22" hidden="1" spans="1:20">
      <c r="A22" s="2204"/>
      <c r="B22" s="2204"/>
      <c r="C22" s="2204" t="s">
        <v>142</v>
      </c>
      <c r="D22" s="2204"/>
      <c r="E22" s="2204"/>
      <c r="F22" s="2204"/>
      <c r="G22" s="2204"/>
      <c r="H22" s="2204"/>
      <c r="I22" s="2205"/>
      <c r="J22" s="2204"/>
      <c r="K22" s="2204"/>
      <c r="L22" s="2204"/>
      <c r="M22" s="2204"/>
      <c r="N22" s="2204"/>
      <c r="O22" s="2204"/>
      <c r="P22" s="2204"/>
      <c r="Q22" s="2204"/>
      <c r="R22" s="2204"/>
      <c r="S22" s="2204"/>
      <c r="T22" s="2204"/>
    </row>
    <row r="23" hidden="1" spans="1:20">
      <c r="A23" s="2204"/>
      <c r="B23" s="2204"/>
      <c r="C23" s="2204" t="s">
        <v>144</v>
      </c>
      <c r="D23" s="2204"/>
      <c r="E23" s="2204"/>
      <c r="F23" s="2204"/>
      <c r="G23" s="2204"/>
      <c r="H23" s="2204"/>
      <c r="I23" s="2205"/>
      <c r="J23" s="2204"/>
      <c r="K23" s="2204"/>
      <c r="L23" s="2204"/>
      <c r="M23" s="2204"/>
      <c r="N23" s="2204"/>
      <c r="O23" s="2204"/>
      <c r="P23" s="2204"/>
      <c r="Q23" s="2204"/>
      <c r="R23" s="2204"/>
      <c r="S23" s="2204"/>
      <c r="T23" s="2204"/>
    </row>
    <row r="24" hidden="1" spans="1:20">
      <c r="A24" s="2204"/>
      <c r="B24" s="2204"/>
      <c r="C24" s="2204" t="s">
        <v>145</v>
      </c>
      <c r="D24" s="2204"/>
      <c r="E24" s="2204"/>
      <c r="F24" s="2204"/>
      <c r="G24" s="2204"/>
      <c r="H24" s="2204"/>
      <c r="I24" s="2205"/>
      <c r="J24" s="2204"/>
      <c r="K24" s="2204"/>
      <c r="L24" s="2204"/>
      <c r="M24" s="2204"/>
      <c r="N24" s="2204"/>
      <c r="O24" s="2204"/>
      <c r="P24" s="2204"/>
      <c r="Q24" s="2204"/>
      <c r="R24" s="2204"/>
      <c r="S24" s="2204"/>
      <c r="T24" s="2204"/>
    </row>
    <row r="25" hidden="1" spans="1:20">
      <c r="A25" s="2204"/>
      <c r="B25" s="2204"/>
      <c r="C25" s="2204" t="s">
        <v>146</v>
      </c>
      <c r="D25" s="2204"/>
      <c r="E25" s="2204"/>
      <c r="F25" s="2204"/>
      <c r="G25" s="2204"/>
      <c r="H25" s="2204"/>
      <c r="I25" s="2205"/>
      <c r="J25" s="2204"/>
      <c r="K25" s="2204"/>
      <c r="L25" s="2204"/>
      <c r="M25" s="2204"/>
      <c r="N25" s="2204"/>
      <c r="O25" s="2204"/>
      <c r="P25" s="2204"/>
      <c r="Q25" s="2204"/>
      <c r="R25" s="2204"/>
      <c r="S25" s="2204"/>
      <c r="T25" s="2204"/>
    </row>
    <row r="26" hidden="1" spans="1:20">
      <c r="A26" s="2204"/>
      <c r="B26" s="2204"/>
      <c r="C26" s="2204"/>
      <c r="D26" s="2204"/>
      <c r="E26" s="2204"/>
      <c r="F26" s="2204"/>
      <c r="G26" s="2204"/>
      <c r="H26" s="2204"/>
      <c r="I26" s="2205"/>
      <c r="J26" s="2204"/>
      <c r="K26" s="2204"/>
      <c r="L26" s="2204"/>
      <c r="M26" s="2204"/>
      <c r="N26" s="2204"/>
      <c r="O26" s="2204"/>
      <c r="P26" s="2204"/>
      <c r="Q26" s="2204"/>
      <c r="R26" s="2204"/>
      <c r="S26" s="2204"/>
      <c r="T26" s="2204"/>
    </row>
    <row r="27" hidden="1" spans="1:20">
      <c r="A27" s="2204"/>
      <c r="B27" s="2204"/>
      <c r="C27" s="2204" t="s">
        <v>149</v>
      </c>
      <c r="D27" s="2204"/>
      <c r="E27" s="2204"/>
      <c r="F27" s="2204"/>
      <c r="G27" s="2204"/>
      <c r="H27" s="2204"/>
      <c r="I27" s="2205"/>
      <c r="J27" s="2204"/>
      <c r="K27" s="2204"/>
      <c r="L27" s="2204"/>
      <c r="M27" s="2204"/>
      <c r="N27" s="2204"/>
      <c r="O27" s="2204"/>
      <c r="P27" s="2204"/>
      <c r="Q27" s="2204"/>
      <c r="R27" s="2204"/>
      <c r="S27" s="2204"/>
      <c r="T27" s="2204"/>
    </row>
    <row r="28" hidden="1" spans="1:20">
      <c r="A28" s="2204"/>
      <c r="B28" s="2204"/>
      <c r="C28" s="2204" t="s">
        <v>150</v>
      </c>
      <c r="D28" s="2204"/>
      <c r="E28" s="2204"/>
      <c r="F28" s="2204"/>
      <c r="G28" s="2204"/>
      <c r="H28" s="2204"/>
      <c r="I28" s="2205"/>
      <c r="J28" s="2204"/>
      <c r="K28" s="2204"/>
      <c r="L28" s="2204"/>
      <c r="M28" s="2204"/>
      <c r="N28" s="2204"/>
      <c r="O28" s="2204"/>
      <c r="P28" s="2204"/>
      <c r="Q28" s="2204"/>
      <c r="R28" s="2204"/>
      <c r="S28" s="2204"/>
      <c r="T28" s="2204"/>
    </row>
    <row r="29" hidden="1" spans="1:20">
      <c r="A29" s="2204"/>
      <c r="B29" s="2204"/>
      <c r="C29" s="2204" t="s">
        <v>152</v>
      </c>
      <c r="D29" s="2204"/>
      <c r="E29" s="2204"/>
      <c r="F29" s="2204"/>
      <c r="G29" s="2204"/>
      <c r="H29" s="2204"/>
      <c r="I29" s="2205"/>
      <c r="J29" s="2204"/>
      <c r="K29" s="2204"/>
      <c r="L29" s="2204"/>
      <c r="M29" s="2204"/>
      <c r="N29" s="2204"/>
      <c r="O29" s="2204"/>
      <c r="P29" s="2204"/>
      <c r="Q29" s="2204"/>
      <c r="R29" s="2204"/>
      <c r="S29" s="2204"/>
      <c r="T29" s="2204"/>
    </row>
    <row r="30" hidden="1" spans="1:20">
      <c r="A30" s="2204"/>
      <c r="B30" s="2204"/>
      <c r="C30" s="2204"/>
      <c r="D30" s="2204"/>
      <c r="E30" s="2204"/>
      <c r="F30" s="2204"/>
      <c r="G30" s="2204"/>
      <c r="H30" s="2204"/>
      <c r="I30" s="2205"/>
      <c r="J30" s="2204"/>
      <c r="K30" s="2204"/>
      <c r="L30" s="2204"/>
      <c r="M30" s="2204"/>
      <c r="N30" s="2204"/>
      <c r="O30" s="2204"/>
      <c r="P30" s="2204"/>
      <c r="Q30" s="2204"/>
      <c r="R30" s="2204"/>
      <c r="S30" s="2204"/>
      <c r="T30" s="2204"/>
    </row>
    <row r="31" hidden="1" spans="1:20">
      <c r="A31" s="2204"/>
      <c r="B31" s="2204"/>
      <c r="C31" s="2204" t="s">
        <v>1456</v>
      </c>
      <c r="D31" s="2204"/>
      <c r="E31" s="2204"/>
      <c r="F31" s="2204"/>
      <c r="G31" s="2204"/>
      <c r="H31" s="2204"/>
      <c r="I31" s="2205"/>
      <c r="J31" s="2204"/>
      <c r="K31" s="2204"/>
      <c r="L31" s="2204"/>
      <c r="M31" s="2204"/>
      <c r="N31" s="2204"/>
      <c r="O31" s="2204"/>
      <c r="P31" s="2204"/>
      <c r="Q31" s="2204"/>
      <c r="R31" s="2204"/>
      <c r="S31" s="2204"/>
      <c r="T31" s="2204"/>
    </row>
    <row r="32" hidden="1" spans="1:20">
      <c r="A32" s="2204"/>
      <c r="B32" s="2204"/>
      <c r="C32" s="2204" t="s">
        <v>1457</v>
      </c>
      <c r="D32" s="2204"/>
      <c r="E32" s="2204"/>
      <c r="F32" s="2204"/>
      <c r="G32" s="2204"/>
      <c r="H32" s="2204"/>
      <c r="I32" s="2205"/>
      <c r="J32" s="2204"/>
      <c r="K32" s="2204"/>
      <c r="L32" s="2204"/>
      <c r="M32" s="2204"/>
      <c r="N32" s="2204"/>
      <c r="O32" s="2204"/>
      <c r="P32" s="2204"/>
      <c r="Q32" s="2204"/>
      <c r="R32" s="2204"/>
      <c r="S32" s="2204"/>
      <c r="T32" s="2204"/>
    </row>
    <row r="33" hidden="1" spans="1:20">
      <c r="A33" s="2204"/>
      <c r="B33" s="2204"/>
      <c r="C33" s="2204" t="s">
        <v>1458</v>
      </c>
      <c r="D33" s="2204"/>
      <c r="E33" s="2204"/>
      <c r="F33" s="2204"/>
      <c r="G33" s="2204"/>
      <c r="H33" s="2204"/>
      <c r="I33" s="2205"/>
      <c r="J33" s="2204"/>
      <c r="K33" s="2204"/>
      <c r="L33" s="2204"/>
      <c r="M33" s="2204"/>
      <c r="N33" s="2204"/>
      <c r="O33" s="2204"/>
      <c r="P33" s="2204"/>
      <c r="Q33" s="2204"/>
      <c r="R33" s="2204"/>
      <c r="S33" s="2204"/>
      <c r="T33" s="2204"/>
    </row>
    <row r="34" hidden="1" spans="1:20">
      <c r="A34" s="2204"/>
      <c r="B34" s="2204"/>
      <c r="C34" s="2204" t="s">
        <v>1459</v>
      </c>
      <c r="D34" s="2204"/>
      <c r="E34" s="2204"/>
      <c r="F34" s="2204"/>
      <c r="G34" s="2204"/>
      <c r="H34" s="2204"/>
      <c r="I34" s="2205"/>
      <c r="J34" s="2204"/>
      <c r="K34" s="2204"/>
      <c r="L34" s="2204"/>
      <c r="M34" s="2204"/>
      <c r="N34" s="2204"/>
      <c r="O34" s="2204"/>
      <c r="P34" s="2204"/>
      <c r="Q34" s="2204"/>
      <c r="R34" s="2204"/>
      <c r="S34" s="2204"/>
      <c r="T34" s="2204"/>
    </row>
    <row r="35" hidden="1" spans="1:20">
      <c r="A35" s="2204"/>
      <c r="B35" s="2204"/>
      <c r="C35" s="2204" t="s">
        <v>1460</v>
      </c>
      <c r="D35" s="2204"/>
      <c r="E35" s="2204"/>
      <c r="F35" s="2204"/>
      <c r="G35" s="2204"/>
      <c r="H35" s="2204"/>
      <c r="I35" s="2205"/>
      <c r="J35" s="2204"/>
      <c r="K35" s="2204"/>
      <c r="L35" s="2204"/>
      <c r="M35" s="2204"/>
      <c r="N35" s="2204"/>
      <c r="O35" s="2204"/>
      <c r="P35" s="2204"/>
      <c r="Q35" s="2204"/>
      <c r="R35" s="2204"/>
      <c r="S35" s="2204"/>
      <c r="T35" s="2204"/>
    </row>
    <row r="36" hidden="1" spans="1:20">
      <c r="A36" s="2204"/>
      <c r="B36" s="2204"/>
      <c r="C36" s="2204" t="s">
        <v>1461</v>
      </c>
      <c r="D36" s="2204"/>
      <c r="E36" s="2204"/>
      <c r="F36" s="2204"/>
      <c r="G36" s="2204"/>
      <c r="H36" s="2204"/>
      <c r="I36" s="2205"/>
      <c r="J36" s="2204"/>
      <c r="K36" s="2204"/>
      <c r="L36" s="2204"/>
      <c r="M36" s="2204"/>
      <c r="N36" s="2204"/>
      <c r="O36" s="2204"/>
      <c r="P36" s="2204"/>
      <c r="Q36" s="2204"/>
      <c r="R36" s="2204"/>
      <c r="S36" s="2204"/>
      <c r="T36" s="2204"/>
    </row>
    <row r="37" hidden="1" spans="1:20">
      <c r="A37" s="2204"/>
      <c r="B37" s="2204"/>
      <c r="C37" s="2204" t="s">
        <v>1462</v>
      </c>
      <c r="D37" s="2204"/>
      <c r="E37" s="2204"/>
      <c r="F37" s="2204"/>
      <c r="G37" s="2204"/>
      <c r="H37" s="2204"/>
      <c r="I37" s="2205"/>
      <c r="J37" s="2204"/>
      <c r="K37" s="2204"/>
      <c r="L37" s="2204"/>
      <c r="M37" s="2204"/>
      <c r="N37" s="2204"/>
      <c r="O37" s="2204"/>
      <c r="P37" s="2204"/>
      <c r="Q37" s="2204"/>
      <c r="R37" s="2204"/>
      <c r="S37" s="2204"/>
      <c r="T37" s="2204"/>
    </row>
    <row r="38" hidden="1" spans="1:20">
      <c r="A38" s="2204"/>
      <c r="B38" s="2204"/>
      <c r="C38" s="2204" t="s">
        <v>1407</v>
      </c>
      <c r="D38" s="2204"/>
      <c r="E38" s="2204"/>
      <c r="F38" s="2204"/>
      <c r="G38" s="2204"/>
      <c r="H38" s="2204"/>
      <c r="I38" s="2205"/>
      <c r="J38" s="2204"/>
      <c r="K38" s="2204"/>
      <c r="L38" s="2204"/>
      <c r="M38" s="2204"/>
      <c r="N38" s="2204"/>
      <c r="O38" s="2204"/>
      <c r="P38" s="2204"/>
      <c r="Q38" s="2204"/>
      <c r="R38" s="2204"/>
      <c r="S38" s="2204"/>
      <c r="T38" s="2204"/>
    </row>
    <row r="39" hidden="1" spans="1:20">
      <c r="A39" s="2204"/>
      <c r="B39" s="2204"/>
      <c r="C39" s="2204" t="s">
        <v>1463</v>
      </c>
      <c r="D39" s="2204"/>
      <c r="E39" s="2204"/>
      <c r="F39" s="2204"/>
      <c r="G39" s="2204"/>
      <c r="H39" s="2204"/>
      <c r="I39" s="2205"/>
      <c r="J39" s="2204"/>
      <c r="K39" s="2204"/>
      <c r="L39" s="2204"/>
      <c r="M39" s="2204"/>
      <c r="N39" s="2204"/>
      <c r="O39" s="2204"/>
      <c r="P39" s="2204"/>
      <c r="Q39" s="2204"/>
      <c r="R39" s="2204"/>
      <c r="S39" s="2204"/>
      <c r="T39" s="2204"/>
    </row>
    <row r="40" hidden="1" spans="1:20">
      <c r="A40" s="2204"/>
      <c r="B40" s="2204"/>
      <c r="C40" s="2204" t="s">
        <v>1464</v>
      </c>
      <c r="D40" s="2204"/>
      <c r="E40" s="2204"/>
      <c r="F40" s="2204"/>
      <c r="G40" s="2204"/>
      <c r="H40" s="2204"/>
      <c r="I40" s="2205"/>
      <c r="J40" s="2204"/>
      <c r="K40" s="2204"/>
      <c r="L40" s="2204"/>
      <c r="M40" s="2204"/>
      <c r="N40" s="2204"/>
      <c r="O40" s="2204"/>
      <c r="P40" s="2204"/>
      <c r="Q40" s="2204"/>
      <c r="R40" s="2204"/>
      <c r="S40" s="2204"/>
      <c r="T40" s="2204"/>
    </row>
    <row r="41" hidden="1" spans="1:20">
      <c r="A41" s="2204"/>
      <c r="B41" s="2204"/>
      <c r="C41" s="2204" t="s">
        <v>1465</v>
      </c>
      <c r="D41" s="2204"/>
      <c r="E41" s="2204"/>
      <c r="F41" s="2204"/>
      <c r="G41" s="2204"/>
      <c r="H41" s="2204"/>
      <c r="I41" s="2205"/>
      <c r="J41" s="2204"/>
      <c r="K41" s="2204"/>
      <c r="L41" s="2204"/>
      <c r="M41" s="2204"/>
      <c r="N41" s="2204"/>
      <c r="O41" s="2204"/>
      <c r="P41" s="2204"/>
      <c r="Q41" s="2204"/>
      <c r="R41" s="2204"/>
      <c r="S41" s="2204"/>
      <c r="T41" s="2204"/>
    </row>
    <row r="42" hidden="1" spans="1:20">
      <c r="A42" s="2204"/>
      <c r="B42" s="2204"/>
      <c r="C42" s="2204" t="s">
        <v>1466</v>
      </c>
      <c r="D42" s="2204"/>
      <c r="E42" s="2204"/>
      <c r="F42" s="2204"/>
      <c r="G42" s="2204"/>
      <c r="H42" s="2204"/>
      <c r="I42" s="2205"/>
      <c r="J42" s="2204"/>
      <c r="K42" s="2204"/>
      <c r="L42" s="2204"/>
      <c r="M42" s="2204"/>
      <c r="N42" s="2204"/>
      <c r="O42" s="2204"/>
      <c r="P42" s="2204"/>
      <c r="Q42" s="2204"/>
      <c r="R42" s="2204"/>
      <c r="S42" s="2204"/>
      <c r="T42" s="2204"/>
    </row>
    <row r="43" hidden="1" spans="1:20">
      <c r="A43" s="2204"/>
      <c r="B43" s="2204"/>
      <c r="C43" s="2204" t="s">
        <v>1467</v>
      </c>
      <c r="D43" s="2204"/>
      <c r="E43" s="2204"/>
      <c r="F43" s="2204"/>
      <c r="G43" s="2204"/>
      <c r="H43" s="2204"/>
      <c r="I43" s="2205"/>
      <c r="J43" s="2204"/>
      <c r="K43" s="2204"/>
      <c r="L43" s="2204"/>
      <c r="M43" s="2204"/>
      <c r="N43" s="2204"/>
      <c r="O43" s="2204"/>
      <c r="P43" s="2204"/>
      <c r="Q43" s="2204"/>
      <c r="R43" s="2204"/>
      <c r="S43" s="2204"/>
      <c r="T43" s="2204"/>
    </row>
    <row r="44" hidden="1" spans="1:20">
      <c r="A44" s="2204"/>
      <c r="B44" s="2204"/>
      <c r="C44" s="2204" t="s">
        <v>1468</v>
      </c>
      <c r="D44" s="2204"/>
      <c r="E44" s="2204"/>
      <c r="F44" s="2204"/>
      <c r="G44" s="2204"/>
      <c r="H44" s="2204"/>
      <c r="I44" s="2205"/>
      <c r="J44" s="2204"/>
      <c r="K44" s="2204"/>
      <c r="L44" s="2204"/>
      <c r="M44" s="2204"/>
      <c r="N44" s="2204"/>
      <c r="O44" s="2204"/>
      <c r="P44" s="2204"/>
      <c r="Q44" s="2204"/>
      <c r="R44" s="2204"/>
      <c r="S44" s="2204"/>
      <c r="T44" s="2204"/>
    </row>
    <row r="45" hidden="1" spans="1:20">
      <c r="A45" s="2204"/>
      <c r="B45" s="2204"/>
      <c r="C45" s="2204" t="s">
        <v>279</v>
      </c>
      <c r="D45" s="2204"/>
      <c r="E45" s="2204"/>
      <c r="F45" s="2204"/>
      <c r="G45" s="2204"/>
      <c r="H45" s="2204"/>
      <c r="I45" s="2205"/>
      <c r="J45" s="2204"/>
      <c r="K45" s="2204"/>
      <c r="L45" s="2204"/>
      <c r="M45" s="2204"/>
      <c r="N45" s="2204"/>
      <c r="O45" s="2204"/>
      <c r="P45" s="2204"/>
      <c r="Q45" s="2204"/>
      <c r="R45" s="2204"/>
      <c r="S45" s="2204"/>
      <c r="T45" s="2204"/>
    </row>
    <row r="46" hidden="1" spans="1:20">
      <c r="A46" s="2204"/>
      <c r="B46" s="2204"/>
      <c r="C46" s="2204"/>
      <c r="D46" s="2204"/>
      <c r="E46" s="2204"/>
      <c r="F46" s="2204"/>
      <c r="G46" s="2204"/>
      <c r="H46" s="2204"/>
      <c r="I46" s="2205"/>
      <c r="J46" s="2204"/>
      <c r="K46" s="2204"/>
      <c r="L46" s="2204"/>
      <c r="M46" s="2204"/>
      <c r="N46" s="2204"/>
      <c r="O46" s="2204"/>
      <c r="P46" s="2204"/>
      <c r="Q46" s="2204"/>
      <c r="R46" s="2204"/>
      <c r="S46" s="2204"/>
      <c r="T46" s="2204"/>
    </row>
    <row r="47" hidden="1" spans="1:20">
      <c r="A47" s="2204"/>
      <c r="B47" s="2204"/>
      <c r="C47" s="2204" t="str">
        <f>IF(C2="","","上年"&amp;C2)</f>
        <v>上年销售商品、提供劳务收到的现金</v>
      </c>
      <c r="D47" s="2204"/>
      <c r="E47" s="2204"/>
      <c r="F47" s="2204"/>
      <c r="G47" s="2204"/>
      <c r="H47" s="2204"/>
      <c r="I47" s="2205"/>
      <c r="J47" s="2204"/>
      <c r="K47" s="2204"/>
      <c r="L47" s="2204"/>
      <c r="M47" s="2204"/>
      <c r="N47" s="2204"/>
      <c r="O47" s="2204"/>
      <c r="P47" s="2204"/>
      <c r="Q47" s="2204"/>
      <c r="R47" s="2204"/>
      <c r="S47" s="2204"/>
      <c r="T47" s="2204"/>
    </row>
    <row r="48" hidden="1" spans="1:20">
      <c r="A48" s="2204"/>
      <c r="B48" s="2204"/>
      <c r="C48" s="2204" t="str">
        <f t="shared" ref="C48:C90" si="0">IF(C3="","","上年"&amp;C3)</f>
        <v>上年收到的税费返还</v>
      </c>
      <c r="D48" s="2204"/>
      <c r="E48" s="2204"/>
      <c r="F48" s="2204"/>
      <c r="G48" s="2204"/>
      <c r="H48" s="2204"/>
      <c r="I48" s="2205"/>
      <c r="J48" s="2204"/>
      <c r="K48" s="2204"/>
      <c r="L48" s="2204"/>
      <c r="M48" s="2204"/>
      <c r="N48" s="2204"/>
      <c r="O48" s="2204"/>
      <c r="P48" s="2204"/>
      <c r="Q48" s="2204"/>
      <c r="R48" s="2204"/>
      <c r="S48" s="2204"/>
      <c r="T48" s="2204"/>
    </row>
    <row r="49" hidden="1" spans="1:20">
      <c r="A49" s="2204"/>
      <c r="B49" s="2204"/>
      <c r="C49" s="2204" t="str">
        <f t="shared" si="0"/>
        <v>上年收到其他与经营活动有关的现金</v>
      </c>
      <c r="D49" s="2204"/>
      <c r="E49" s="2204"/>
      <c r="F49" s="2204"/>
      <c r="G49" s="2204"/>
      <c r="H49" s="2204"/>
      <c r="I49" s="2205"/>
      <c r="J49" s="2204"/>
      <c r="K49" s="2204"/>
      <c r="L49" s="2204"/>
      <c r="M49" s="2204"/>
      <c r="N49" s="2204"/>
      <c r="O49" s="2204"/>
      <c r="P49" s="2204"/>
      <c r="Q49" s="2204"/>
      <c r="R49" s="2204"/>
      <c r="S49" s="2204"/>
      <c r="T49" s="2204"/>
    </row>
    <row r="50" hidden="1" spans="1:20">
      <c r="A50" s="2204"/>
      <c r="B50" s="2204"/>
      <c r="C50" s="2204" t="str">
        <f t="shared" si="0"/>
        <v/>
      </c>
      <c r="D50" s="2204"/>
      <c r="E50" s="2204"/>
      <c r="F50" s="2204"/>
      <c r="G50" s="2204"/>
      <c r="H50" s="2204"/>
      <c r="I50" s="2205"/>
      <c r="J50" s="2204"/>
      <c r="K50" s="2204"/>
      <c r="L50" s="2204"/>
      <c r="M50" s="2204"/>
      <c r="N50" s="2204"/>
      <c r="O50" s="2204"/>
      <c r="P50" s="2204"/>
      <c r="Q50" s="2204"/>
      <c r="R50" s="2204"/>
      <c r="S50" s="2204"/>
      <c r="T50" s="2204"/>
    </row>
    <row r="51" hidden="1" spans="1:20">
      <c r="A51" s="2204"/>
      <c r="B51" s="2204"/>
      <c r="C51" s="2204" t="str">
        <f t="shared" si="0"/>
        <v>上年购买商品、接受劳务支付的现金</v>
      </c>
      <c r="D51" s="2204"/>
      <c r="E51" s="2204"/>
      <c r="F51" s="2204"/>
      <c r="G51" s="2204"/>
      <c r="H51" s="2204"/>
      <c r="I51" s="2205"/>
      <c r="J51" s="2204"/>
      <c r="K51" s="2204"/>
      <c r="L51" s="2204"/>
      <c r="M51" s="2204"/>
      <c r="N51" s="2204"/>
      <c r="O51" s="2204"/>
      <c r="P51" s="2204"/>
      <c r="Q51" s="2204"/>
      <c r="R51" s="2204"/>
      <c r="S51" s="2204"/>
      <c r="T51" s="2204"/>
    </row>
    <row r="52" hidden="1" spans="1:20">
      <c r="A52" s="2204"/>
      <c r="B52" s="2204"/>
      <c r="C52" s="2204" t="str">
        <f t="shared" si="0"/>
        <v>上年支付给职工以及为职工支付的现金</v>
      </c>
      <c r="D52" s="2204"/>
      <c r="E52" s="2204"/>
      <c r="F52" s="2204"/>
      <c r="G52" s="2204"/>
      <c r="H52" s="2204"/>
      <c r="I52" s="2205"/>
      <c r="J52" s="2204"/>
      <c r="K52" s="2204"/>
      <c r="L52" s="2204"/>
      <c r="M52" s="2204"/>
      <c r="N52" s="2204"/>
      <c r="O52" s="2204"/>
      <c r="P52" s="2204"/>
      <c r="Q52" s="2204"/>
      <c r="R52" s="2204"/>
      <c r="S52" s="2204"/>
      <c r="T52" s="2204"/>
    </row>
    <row r="53" hidden="1" spans="1:20">
      <c r="A53" s="2204"/>
      <c r="B53" s="2204"/>
      <c r="C53" s="2204" t="str">
        <f t="shared" si="0"/>
        <v>上年支付的各项税费</v>
      </c>
      <c r="D53" s="2204"/>
      <c r="E53" s="2204"/>
      <c r="F53" s="2204"/>
      <c r="G53" s="2204"/>
      <c r="H53" s="2204"/>
      <c r="I53" s="2205"/>
      <c r="J53" s="2204"/>
      <c r="K53" s="2204"/>
      <c r="L53" s="2204"/>
      <c r="M53" s="2204"/>
      <c r="N53" s="2204"/>
      <c r="O53" s="2204"/>
      <c r="P53" s="2204"/>
      <c r="Q53" s="2204"/>
      <c r="R53" s="2204"/>
      <c r="S53" s="2204"/>
      <c r="T53" s="2204"/>
    </row>
    <row r="54" hidden="1" spans="1:20">
      <c r="A54" s="2204"/>
      <c r="B54" s="2204"/>
      <c r="C54" s="2204" t="str">
        <f t="shared" si="0"/>
        <v>上年支付其他与经营活动有关的现金</v>
      </c>
      <c r="D54" s="2204"/>
      <c r="E54" s="2204"/>
      <c r="F54" s="2204"/>
      <c r="G54" s="2204"/>
      <c r="H54" s="2204"/>
      <c r="I54" s="2205"/>
      <c r="J54" s="2204"/>
      <c r="K54" s="2204"/>
      <c r="L54" s="2204"/>
      <c r="M54" s="2204"/>
      <c r="N54" s="2204"/>
      <c r="O54" s="2204"/>
      <c r="P54" s="2204"/>
      <c r="Q54" s="2204"/>
      <c r="R54" s="2204"/>
      <c r="S54" s="2204"/>
      <c r="T54" s="2204"/>
    </row>
    <row r="55" hidden="1" spans="1:20">
      <c r="A55" s="2204"/>
      <c r="B55" s="2204"/>
      <c r="C55" s="2204" t="str">
        <f t="shared" si="0"/>
        <v/>
      </c>
      <c r="D55" s="2204"/>
      <c r="E55" s="2204"/>
      <c r="F55" s="2204"/>
      <c r="G55" s="2204"/>
      <c r="H55" s="2204"/>
      <c r="I55" s="2205"/>
      <c r="J55" s="2204"/>
      <c r="K55" s="2204"/>
      <c r="L55" s="2204"/>
      <c r="M55" s="2204"/>
      <c r="N55" s="2204"/>
      <c r="O55" s="2204"/>
      <c r="P55" s="2204"/>
      <c r="Q55" s="2204"/>
      <c r="R55" s="2204"/>
      <c r="S55" s="2204"/>
      <c r="T55" s="2204"/>
    </row>
    <row r="56" hidden="1" spans="1:20">
      <c r="A56" s="2204"/>
      <c r="B56" s="2204"/>
      <c r="C56" s="2204" t="str">
        <f t="shared" si="0"/>
        <v>上年收回投资收到的现金</v>
      </c>
      <c r="D56" s="2204"/>
      <c r="E56" s="2204"/>
      <c r="F56" s="2204"/>
      <c r="G56" s="2204"/>
      <c r="H56" s="2204"/>
      <c r="I56" s="2205"/>
      <c r="J56" s="2204"/>
      <c r="K56" s="2204"/>
      <c r="L56" s="2204"/>
      <c r="M56" s="2204"/>
      <c r="N56" s="2204"/>
      <c r="O56" s="2204"/>
      <c r="P56" s="2204"/>
      <c r="Q56" s="2204"/>
      <c r="R56" s="2204"/>
      <c r="S56" s="2204"/>
      <c r="T56" s="2204"/>
    </row>
    <row r="57" hidden="1" spans="1:20">
      <c r="A57" s="2204"/>
      <c r="B57" s="2204"/>
      <c r="C57" s="2204" t="str">
        <f t="shared" si="0"/>
        <v>上年取得投资收益收到的现金</v>
      </c>
      <c r="D57" s="2204"/>
      <c r="E57" s="2204"/>
      <c r="F57" s="2204"/>
      <c r="G57" s="2204"/>
      <c r="H57" s="2204"/>
      <c r="I57" s="2205"/>
      <c r="J57" s="2204"/>
      <c r="K57" s="2204"/>
      <c r="L57" s="2204"/>
      <c r="M57" s="2204"/>
      <c r="N57" s="2204"/>
      <c r="O57" s="2204"/>
      <c r="P57" s="2204"/>
      <c r="Q57" s="2204"/>
      <c r="R57" s="2204"/>
      <c r="S57" s="2204"/>
      <c r="T57" s="2204"/>
    </row>
    <row r="58" hidden="1" spans="1:20">
      <c r="A58" s="2204"/>
      <c r="B58" s="2204"/>
      <c r="C58" s="2204" t="str">
        <f t="shared" si="0"/>
        <v>上年处置固定资产、无形资产和其他长期资产收回的现金净额</v>
      </c>
      <c r="D58" s="2204"/>
      <c r="E58" s="2204"/>
      <c r="F58" s="2204"/>
      <c r="G58" s="2204"/>
      <c r="H58" s="2204"/>
      <c r="I58" s="2205"/>
      <c r="J58" s="2204"/>
      <c r="K58" s="2204"/>
      <c r="L58" s="2204"/>
      <c r="M58" s="2204"/>
      <c r="N58" s="2204"/>
      <c r="O58" s="2204"/>
      <c r="P58" s="2204"/>
      <c r="Q58" s="2204"/>
      <c r="R58" s="2204"/>
      <c r="S58" s="2204"/>
      <c r="T58" s="2204"/>
    </row>
    <row r="59" hidden="1" spans="1:20">
      <c r="A59" s="2204"/>
      <c r="B59" s="2204"/>
      <c r="C59" s="2204" t="str">
        <f t="shared" si="0"/>
        <v>上年处置子公司及其他营业单位收到的现金净额</v>
      </c>
      <c r="D59" s="2204"/>
      <c r="E59" s="2204"/>
      <c r="F59" s="2204"/>
      <c r="G59" s="2204"/>
      <c r="H59" s="2204"/>
      <c r="I59" s="2205"/>
      <c r="J59" s="2204"/>
      <c r="K59" s="2204"/>
      <c r="L59" s="2204"/>
      <c r="M59" s="2204"/>
      <c r="N59" s="2204"/>
      <c r="O59" s="2204"/>
      <c r="P59" s="2204"/>
      <c r="Q59" s="2204"/>
      <c r="R59" s="2204"/>
      <c r="S59" s="2204"/>
      <c r="T59" s="2204"/>
    </row>
    <row r="60" hidden="1" spans="1:20">
      <c r="A60" s="2204"/>
      <c r="B60" s="2204"/>
      <c r="C60" s="2204" t="str">
        <f t="shared" si="0"/>
        <v>上年收到其他与投资活动有关的现金</v>
      </c>
      <c r="D60" s="2204"/>
      <c r="E60" s="2204"/>
      <c r="F60" s="2204"/>
      <c r="G60" s="2204"/>
      <c r="H60" s="2204"/>
      <c r="I60" s="2205"/>
      <c r="J60" s="2204"/>
      <c r="K60" s="2204"/>
      <c r="L60" s="2204"/>
      <c r="M60" s="2204"/>
      <c r="N60" s="2204"/>
      <c r="O60" s="2204"/>
      <c r="P60" s="2204"/>
      <c r="Q60" s="2204"/>
      <c r="R60" s="2204"/>
      <c r="S60" s="2204"/>
      <c r="T60" s="2204"/>
    </row>
    <row r="61" hidden="1" spans="1:20">
      <c r="A61" s="2204"/>
      <c r="B61" s="2204"/>
      <c r="C61" s="2204" t="str">
        <f t="shared" si="0"/>
        <v/>
      </c>
      <c r="D61" s="2204"/>
      <c r="E61" s="2204"/>
      <c r="F61" s="2204"/>
      <c r="G61" s="2204"/>
      <c r="H61" s="2204"/>
      <c r="I61" s="2205"/>
      <c r="J61" s="2204"/>
      <c r="K61" s="2204"/>
      <c r="L61" s="2204"/>
      <c r="M61" s="2204"/>
      <c r="N61" s="2204"/>
      <c r="O61" s="2204"/>
      <c r="P61" s="2204"/>
      <c r="Q61" s="2204"/>
      <c r="R61" s="2204"/>
      <c r="S61" s="2204"/>
      <c r="T61" s="2204"/>
    </row>
    <row r="62" hidden="1" spans="1:20">
      <c r="A62" s="2204"/>
      <c r="B62" s="2204"/>
      <c r="C62" s="2204" t="str">
        <f t="shared" si="0"/>
        <v>上年购建固定资产、无形资产和其他长期资产支付的现金</v>
      </c>
      <c r="D62" s="2204"/>
      <c r="E62" s="2204"/>
      <c r="F62" s="2204"/>
      <c r="G62" s="2204"/>
      <c r="H62" s="2204"/>
      <c r="I62" s="2205"/>
      <c r="J62" s="2204"/>
      <c r="K62" s="2204"/>
      <c r="L62" s="2204"/>
      <c r="M62" s="2204"/>
      <c r="N62" s="2204"/>
      <c r="O62" s="2204"/>
      <c r="P62" s="2204"/>
      <c r="Q62" s="2204"/>
      <c r="R62" s="2204"/>
      <c r="S62" s="2204"/>
      <c r="T62" s="2204"/>
    </row>
    <row r="63" hidden="1" spans="1:20">
      <c r="A63" s="2204"/>
      <c r="B63" s="2204"/>
      <c r="C63" s="2204" t="str">
        <f t="shared" si="0"/>
        <v>上年投资支付的现金</v>
      </c>
      <c r="D63" s="2204"/>
      <c r="E63" s="2204"/>
      <c r="F63" s="2204"/>
      <c r="G63" s="2204"/>
      <c r="H63" s="2204"/>
      <c r="I63" s="2205"/>
      <c r="J63" s="2204"/>
      <c r="K63" s="2204"/>
      <c r="L63" s="2204"/>
      <c r="M63" s="2204"/>
      <c r="N63" s="2204"/>
      <c r="O63" s="2204"/>
      <c r="P63" s="2204"/>
      <c r="Q63" s="2204"/>
      <c r="R63" s="2204"/>
      <c r="S63" s="2204"/>
      <c r="T63" s="2204"/>
    </row>
    <row r="64" hidden="1" spans="1:20">
      <c r="A64" s="2204"/>
      <c r="B64" s="2204"/>
      <c r="C64" s="2204" t="str">
        <f t="shared" si="0"/>
        <v>上年取得子公司及其他营业单位支付的现金净额</v>
      </c>
      <c r="D64" s="2204"/>
      <c r="E64" s="2204"/>
      <c r="F64" s="2204"/>
      <c r="G64" s="2204"/>
      <c r="H64" s="2204"/>
      <c r="I64" s="2205"/>
      <c r="J64" s="2204"/>
      <c r="K64" s="2204"/>
      <c r="L64" s="2204"/>
      <c r="M64" s="2204"/>
      <c r="N64" s="2204"/>
      <c r="O64" s="2204"/>
      <c r="P64" s="2204"/>
      <c r="Q64" s="2204"/>
      <c r="R64" s="2204"/>
      <c r="S64" s="2204"/>
      <c r="T64" s="2204"/>
    </row>
    <row r="65" hidden="1" spans="1:20">
      <c r="A65" s="2204"/>
      <c r="B65" s="2204"/>
      <c r="C65" s="2204" t="str">
        <f t="shared" si="0"/>
        <v>上年支付其他与投资活动有关的现金</v>
      </c>
      <c r="D65" s="2204"/>
      <c r="E65" s="2204"/>
      <c r="F65" s="2204"/>
      <c r="G65" s="2204"/>
      <c r="H65" s="2204"/>
      <c r="I65" s="2205"/>
      <c r="J65" s="2204"/>
      <c r="K65" s="2204"/>
      <c r="L65" s="2204"/>
      <c r="M65" s="2204"/>
      <c r="N65" s="2204"/>
      <c r="O65" s="2204"/>
      <c r="P65" s="2204"/>
      <c r="Q65" s="2204"/>
      <c r="R65" s="2204"/>
      <c r="S65" s="2204"/>
      <c r="T65" s="2204"/>
    </row>
    <row r="66" hidden="1" spans="1:20">
      <c r="A66" s="2204"/>
      <c r="B66" s="2204"/>
      <c r="C66" s="2204" t="str">
        <f t="shared" si="0"/>
        <v/>
      </c>
      <c r="D66" s="2204"/>
      <c r="E66" s="2204"/>
      <c r="F66" s="2204"/>
      <c r="G66" s="2204"/>
      <c r="H66" s="2204"/>
      <c r="I66" s="2205"/>
      <c r="J66" s="2204"/>
      <c r="K66" s="2204"/>
      <c r="L66" s="2204"/>
      <c r="M66" s="2204"/>
      <c r="N66" s="2204"/>
      <c r="O66" s="2204"/>
      <c r="P66" s="2204"/>
      <c r="Q66" s="2204"/>
      <c r="R66" s="2204"/>
      <c r="S66" s="2204"/>
      <c r="T66" s="2204"/>
    </row>
    <row r="67" hidden="1" spans="1:20">
      <c r="A67" s="2204"/>
      <c r="B67" s="2204"/>
      <c r="C67" s="2204" t="str">
        <f t="shared" si="0"/>
        <v>上年吸收投资收到的现金</v>
      </c>
      <c r="D67" s="2204"/>
      <c r="E67" s="2204"/>
      <c r="F67" s="2204"/>
      <c r="G67" s="2204"/>
      <c r="H67" s="2204"/>
      <c r="I67" s="2205"/>
      <c r="J67" s="2204"/>
      <c r="K67" s="2204"/>
      <c r="L67" s="2204"/>
      <c r="M67" s="2204"/>
      <c r="N67" s="2204"/>
      <c r="O67" s="2204"/>
      <c r="P67" s="2204"/>
      <c r="Q67" s="2204"/>
      <c r="R67" s="2204"/>
      <c r="S67" s="2204"/>
      <c r="T67" s="2204"/>
    </row>
    <row r="68" hidden="1" spans="1:20">
      <c r="A68" s="2204"/>
      <c r="B68" s="2204"/>
      <c r="C68" s="2204" t="str">
        <f t="shared" si="0"/>
        <v>上年取得借款收到的现金</v>
      </c>
      <c r="D68" s="2204"/>
      <c r="E68" s="2204"/>
      <c r="F68" s="2204"/>
      <c r="G68" s="2204"/>
      <c r="H68" s="2204"/>
      <c r="I68" s="2205"/>
      <c r="J68" s="2204"/>
      <c r="K68" s="2204"/>
      <c r="L68" s="2204"/>
      <c r="M68" s="2204"/>
      <c r="N68" s="2204"/>
      <c r="O68" s="2204"/>
      <c r="P68" s="2204"/>
      <c r="Q68" s="2204"/>
      <c r="R68" s="2204"/>
      <c r="S68" s="2204"/>
      <c r="T68" s="2204"/>
    </row>
    <row r="69" hidden="1" spans="1:20">
      <c r="A69" s="2204"/>
      <c r="B69" s="2204"/>
      <c r="C69" s="2204" t="str">
        <f t="shared" si="0"/>
        <v>上年发行债券收到的现金</v>
      </c>
      <c r="D69" s="2204"/>
      <c r="E69" s="2204"/>
      <c r="F69" s="2204"/>
      <c r="G69" s="2204"/>
      <c r="H69" s="2204"/>
      <c r="I69" s="2205"/>
      <c r="J69" s="2204"/>
      <c r="K69" s="2204"/>
      <c r="L69" s="2204"/>
      <c r="M69" s="2204"/>
      <c r="N69" s="2204"/>
      <c r="O69" s="2204"/>
      <c r="P69" s="2204"/>
      <c r="Q69" s="2204"/>
      <c r="R69" s="2204"/>
      <c r="S69" s="2204"/>
      <c r="T69" s="2204"/>
    </row>
    <row r="70" hidden="1" spans="1:20">
      <c r="A70" s="2204"/>
      <c r="B70" s="2204"/>
      <c r="C70" s="2204" t="str">
        <f t="shared" si="0"/>
        <v>上年收到其他与筹资活动有关的现金</v>
      </c>
      <c r="D70" s="2204"/>
      <c r="E70" s="2204"/>
      <c r="F70" s="2204"/>
      <c r="G70" s="2204"/>
      <c r="H70" s="2204"/>
      <c r="I70" s="2205"/>
      <c r="J70" s="2204"/>
      <c r="K70" s="2204"/>
      <c r="L70" s="2204"/>
      <c r="M70" s="2204"/>
      <c r="N70" s="2204"/>
      <c r="O70" s="2204"/>
      <c r="P70" s="2204"/>
      <c r="Q70" s="2204"/>
      <c r="R70" s="2204"/>
      <c r="S70" s="2204"/>
      <c r="T70" s="2204"/>
    </row>
    <row r="71" hidden="1" spans="1:20">
      <c r="A71" s="2204"/>
      <c r="B71" s="2204"/>
      <c r="C71" s="2204" t="str">
        <f t="shared" si="0"/>
        <v/>
      </c>
      <c r="D71" s="2204"/>
      <c r="E71" s="2204"/>
      <c r="F71" s="2204"/>
      <c r="G71" s="2204"/>
      <c r="H71" s="2204"/>
      <c r="I71" s="2205"/>
      <c r="J71" s="2204"/>
      <c r="K71" s="2204"/>
      <c r="L71" s="2204"/>
      <c r="M71" s="2204"/>
      <c r="N71" s="2204"/>
      <c r="O71" s="2204"/>
      <c r="P71" s="2204"/>
      <c r="Q71" s="2204"/>
      <c r="R71" s="2204"/>
      <c r="S71" s="2204"/>
      <c r="T71" s="2204"/>
    </row>
    <row r="72" hidden="1" spans="1:20">
      <c r="A72" s="2204"/>
      <c r="B72" s="2204"/>
      <c r="C72" s="2204" t="str">
        <f t="shared" si="0"/>
        <v>上年偿还债务支付的现金</v>
      </c>
      <c r="D72" s="2204"/>
      <c r="E72" s="2204"/>
      <c r="F72" s="2204"/>
      <c r="G72" s="2204"/>
      <c r="H72" s="2204"/>
      <c r="I72" s="2205"/>
      <c r="J72" s="2204"/>
      <c r="K72" s="2204"/>
      <c r="L72" s="2204"/>
      <c r="M72" s="2204"/>
      <c r="N72" s="2204"/>
      <c r="O72" s="2204"/>
      <c r="P72" s="2204"/>
      <c r="Q72" s="2204"/>
      <c r="R72" s="2204"/>
      <c r="S72" s="2204"/>
      <c r="T72" s="2204"/>
    </row>
    <row r="73" hidden="1" spans="1:20">
      <c r="A73" s="2204"/>
      <c r="B73" s="2204"/>
      <c r="C73" s="2204" t="str">
        <f t="shared" si="0"/>
        <v>上年分配股利、利润或偿付利息支付的现金</v>
      </c>
      <c r="D73" s="2204"/>
      <c r="E73" s="2204"/>
      <c r="F73" s="2204"/>
      <c r="G73" s="2204"/>
      <c r="H73" s="2204"/>
      <c r="I73" s="2205"/>
      <c r="J73" s="2204"/>
      <c r="K73" s="2204"/>
      <c r="L73" s="2204"/>
      <c r="M73" s="2204"/>
      <c r="N73" s="2204"/>
      <c r="O73" s="2204"/>
      <c r="P73" s="2204"/>
      <c r="Q73" s="2204"/>
      <c r="R73" s="2204"/>
      <c r="S73" s="2204"/>
      <c r="T73" s="2204"/>
    </row>
    <row r="74" hidden="1" spans="1:20">
      <c r="A74" s="2204"/>
      <c r="B74" s="2204"/>
      <c r="C74" s="2204" t="str">
        <f t="shared" si="0"/>
        <v>上年支付其他与筹资活动有关的现金</v>
      </c>
      <c r="D74" s="2204"/>
      <c r="E74" s="2204"/>
      <c r="F74" s="2204"/>
      <c r="G74" s="2204"/>
      <c r="H74" s="2204"/>
      <c r="I74" s="2205"/>
      <c r="J74" s="2204"/>
      <c r="K74" s="2204"/>
      <c r="L74" s="2204"/>
      <c r="M74" s="2204"/>
      <c r="N74" s="2204"/>
      <c r="O74" s="2204"/>
      <c r="P74" s="2204"/>
      <c r="Q74" s="2204"/>
      <c r="R74" s="2204"/>
      <c r="S74" s="2204"/>
      <c r="T74" s="2204"/>
    </row>
    <row r="75" hidden="1" spans="1:20">
      <c r="A75" s="2204"/>
      <c r="B75" s="2204"/>
      <c r="C75" s="2204" t="str">
        <f t="shared" si="0"/>
        <v/>
      </c>
      <c r="D75" s="2204"/>
      <c r="E75" s="2204"/>
      <c r="F75" s="2204"/>
      <c r="G75" s="2204"/>
      <c r="H75" s="2204"/>
      <c r="I75" s="2205"/>
      <c r="J75" s="2204"/>
      <c r="K75" s="2204"/>
      <c r="L75" s="2204"/>
      <c r="M75" s="2204"/>
      <c r="N75" s="2204"/>
      <c r="O75" s="2204"/>
      <c r="P75" s="2204"/>
      <c r="Q75" s="2204"/>
      <c r="R75" s="2204"/>
      <c r="S75" s="2204"/>
      <c r="T75" s="2204"/>
    </row>
    <row r="76" hidden="1" spans="1:20">
      <c r="A76" s="2204"/>
      <c r="B76" s="2204"/>
      <c r="C76" s="2204" t="str">
        <f t="shared" si="0"/>
        <v>上年计提的资产减值准备</v>
      </c>
      <c r="D76" s="2204"/>
      <c r="E76" s="2204"/>
      <c r="F76" s="2204"/>
      <c r="G76" s="2204"/>
      <c r="H76" s="2204"/>
      <c r="I76" s="2205"/>
      <c r="J76" s="2204"/>
      <c r="K76" s="2204"/>
      <c r="L76" s="2204"/>
      <c r="M76" s="2204"/>
      <c r="N76" s="2204"/>
      <c r="O76" s="2204"/>
      <c r="P76" s="2204"/>
      <c r="Q76" s="2204"/>
      <c r="R76" s="2204"/>
      <c r="S76" s="2204"/>
      <c r="T76" s="2204"/>
    </row>
    <row r="77" hidden="1" spans="1:20">
      <c r="A77" s="2204"/>
      <c r="B77" s="2204"/>
      <c r="C77" s="2204" t="str">
        <f t="shared" si="0"/>
        <v>上年固定资产折旧</v>
      </c>
      <c r="D77" s="2204"/>
      <c r="E77" s="2204"/>
      <c r="F77" s="2204"/>
      <c r="G77" s="2204"/>
      <c r="H77" s="2204"/>
      <c r="I77" s="2205"/>
      <c r="J77" s="2204"/>
      <c r="K77" s="2204"/>
      <c r="L77" s="2204"/>
      <c r="M77" s="2204"/>
      <c r="N77" s="2204"/>
      <c r="O77" s="2204"/>
      <c r="P77" s="2204"/>
      <c r="Q77" s="2204"/>
      <c r="R77" s="2204"/>
      <c r="S77" s="2204"/>
      <c r="T77" s="2204"/>
    </row>
    <row r="78" hidden="1" spans="1:20">
      <c r="A78" s="2204"/>
      <c r="B78" s="2204"/>
      <c r="C78" s="2204" t="str">
        <f t="shared" si="0"/>
        <v>上年无形资产摊销</v>
      </c>
      <c r="D78" s="2204"/>
      <c r="E78" s="2204"/>
      <c r="F78" s="2204"/>
      <c r="G78" s="2204"/>
      <c r="H78" s="2204"/>
      <c r="I78" s="2205"/>
      <c r="J78" s="2204"/>
      <c r="K78" s="2204"/>
      <c r="L78" s="2204"/>
      <c r="M78" s="2204"/>
      <c r="N78" s="2204"/>
      <c r="O78" s="2204"/>
      <c r="P78" s="2204"/>
      <c r="Q78" s="2204"/>
      <c r="R78" s="2204"/>
      <c r="S78" s="2204"/>
      <c r="T78" s="2204"/>
    </row>
    <row r="79" hidden="1" spans="1:20">
      <c r="A79" s="2204"/>
      <c r="B79" s="2204"/>
      <c r="C79" s="2204" t="str">
        <f t="shared" si="0"/>
        <v>上年长期待摊费用摊销</v>
      </c>
      <c r="D79" s="2204"/>
      <c r="E79" s="2204"/>
      <c r="F79" s="2204"/>
      <c r="G79" s="2204"/>
      <c r="H79" s="2204"/>
      <c r="I79" s="2205"/>
      <c r="J79" s="2204"/>
      <c r="K79" s="2204"/>
      <c r="L79" s="2204"/>
      <c r="M79" s="2204"/>
      <c r="N79" s="2204"/>
      <c r="O79" s="2204"/>
      <c r="P79" s="2204"/>
      <c r="Q79" s="2204"/>
      <c r="R79" s="2204"/>
      <c r="S79" s="2204"/>
      <c r="T79" s="2204"/>
    </row>
    <row r="80" hidden="1" spans="1:20">
      <c r="A80" s="2204"/>
      <c r="B80" s="2204"/>
      <c r="C80" s="2204" t="str">
        <f t="shared" si="0"/>
        <v>上年处置固定资产、无形资产和其他长期资产的损失</v>
      </c>
      <c r="D80" s="2204"/>
      <c r="E80" s="2204"/>
      <c r="F80" s="2204"/>
      <c r="G80" s="2204"/>
      <c r="H80" s="2204"/>
      <c r="I80" s="2205"/>
      <c r="J80" s="2204"/>
      <c r="K80" s="2204"/>
      <c r="L80" s="2204"/>
      <c r="M80" s="2204"/>
      <c r="N80" s="2204"/>
      <c r="O80" s="2204"/>
      <c r="P80" s="2204"/>
      <c r="Q80" s="2204"/>
      <c r="R80" s="2204"/>
      <c r="S80" s="2204"/>
      <c r="T80" s="2204"/>
    </row>
    <row r="81" hidden="1" spans="1:20">
      <c r="A81" s="2204"/>
      <c r="B81" s="2204"/>
      <c r="C81" s="2204" t="str">
        <f t="shared" si="0"/>
        <v>上年固定资产报废损失</v>
      </c>
      <c r="D81" s="2204"/>
      <c r="E81" s="2204"/>
      <c r="F81" s="2204"/>
      <c r="G81" s="2204"/>
      <c r="H81" s="2204"/>
      <c r="I81" s="2205"/>
      <c r="J81" s="2204"/>
      <c r="K81" s="2204"/>
      <c r="L81" s="2204"/>
      <c r="M81" s="2204"/>
      <c r="N81" s="2204"/>
      <c r="O81" s="2204"/>
      <c r="P81" s="2204"/>
      <c r="Q81" s="2204"/>
      <c r="R81" s="2204"/>
      <c r="S81" s="2204"/>
      <c r="T81" s="2204"/>
    </row>
    <row r="82" hidden="1" spans="1:20">
      <c r="A82" s="2204"/>
      <c r="B82" s="2204"/>
      <c r="C82" s="2204" t="str">
        <f t="shared" si="0"/>
        <v>上年公允价值变动损失</v>
      </c>
      <c r="D82" s="2204"/>
      <c r="E82" s="2204"/>
      <c r="F82" s="2204"/>
      <c r="G82" s="2204"/>
      <c r="H82" s="2204"/>
      <c r="I82" s="2205"/>
      <c r="J82" s="2204"/>
      <c r="K82" s="2204"/>
      <c r="L82" s="2204"/>
      <c r="M82" s="2204"/>
      <c r="N82" s="2204"/>
      <c r="O82" s="2204"/>
      <c r="P82" s="2204"/>
      <c r="Q82" s="2204"/>
      <c r="R82" s="2204"/>
      <c r="S82" s="2204"/>
      <c r="T82" s="2204"/>
    </row>
    <row r="83" hidden="1" spans="1:20">
      <c r="A83" s="2204"/>
      <c r="B83" s="2204"/>
      <c r="C83" s="2204" t="str">
        <f t="shared" si="0"/>
        <v>上年财务费用</v>
      </c>
      <c r="D83" s="2204"/>
      <c r="E83" s="2204"/>
      <c r="F83" s="2204"/>
      <c r="G83" s="2204"/>
      <c r="H83" s="2204"/>
      <c r="I83" s="2205"/>
      <c r="J83" s="2204"/>
      <c r="K83" s="2204"/>
      <c r="L83" s="2204"/>
      <c r="M83" s="2204"/>
      <c r="N83" s="2204"/>
      <c r="O83" s="2204"/>
      <c r="P83" s="2204"/>
      <c r="Q83" s="2204"/>
      <c r="R83" s="2204"/>
      <c r="S83" s="2204"/>
      <c r="T83" s="2204"/>
    </row>
    <row r="84" hidden="1" spans="1:20">
      <c r="A84" s="2204"/>
      <c r="B84" s="2204"/>
      <c r="C84" s="2204" t="str">
        <f t="shared" si="0"/>
        <v>上年投资损失</v>
      </c>
      <c r="D84" s="2204"/>
      <c r="E84" s="2204"/>
      <c r="F84" s="2204"/>
      <c r="G84" s="2204"/>
      <c r="H84" s="2204"/>
      <c r="I84" s="2205"/>
      <c r="J84" s="2204"/>
      <c r="K84" s="2204"/>
      <c r="L84" s="2204"/>
      <c r="M84" s="2204"/>
      <c r="N84" s="2204"/>
      <c r="O84" s="2204"/>
      <c r="P84" s="2204"/>
      <c r="Q84" s="2204"/>
      <c r="R84" s="2204"/>
      <c r="S84" s="2204"/>
      <c r="T84" s="2204"/>
    </row>
    <row r="85" hidden="1" spans="1:20">
      <c r="A85" s="2204"/>
      <c r="B85" s="2204"/>
      <c r="C85" s="2204" t="str">
        <f t="shared" si="0"/>
        <v>上年递延所得税资产减少</v>
      </c>
      <c r="D85" s="2204"/>
      <c r="E85" s="2204"/>
      <c r="F85" s="2204"/>
      <c r="G85" s="2204"/>
      <c r="H85" s="2204"/>
      <c r="I85" s="2205"/>
      <c r="J85" s="2204"/>
      <c r="K85" s="2204"/>
      <c r="L85" s="2204"/>
      <c r="M85" s="2204"/>
      <c r="N85" s="2204"/>
      <c r="O85" s="2204"/>
      <c r="P85" s="2204"/>
      <c r="Q85" s="2204"/>
      <c r="R85" s="2204"/>
      <c r="S85" s="2204"/>
      <c r="T85" s="2204"/>
    </row>
    <row r="86" hidden="1" spans="1:20">
      <c r="A86" s="2204"/>
      <c r="B86" s="2204"/>
      <c r="C86" s="2204" t="str">
        <f t="shared" si="0"/>
        <v>上年递延所得税负债增加</v>
      </c>
      <c r="D86" s="2204"/>
      <c r="E86" s="2204"/>
      <c r="F86" s="2204"/>
      <c r="G86" s="2204"/>
      <c r="H86" s="2204"/>
      <c r="I86" s="2205"/>
      <c r="J86" s="2204"/>
      <c r="K86" s="2204"/>
      <c r="L86" s="2204"/>
      <c r="M86" s="2204"/>
      <c r="N86" s="2204"/>
      <c r="O86" s="2204"/>
      <c r="P86" s="2204"/>
      <c r="Q86" s="2204"/>
      <c r="R86" s="2204"/>
      <c r="S86" s="2204"/>
      <c r="T86" s="2204"/>
    </row>
    <row r="87" hidden="1" spans="1:20">
      <c r="A87" s="2204"/>
      <c r="B87" s="2204"/>
      <c r="C87" s="2204" t="str">
        <f t="shared" si="0"/>
        <v>上年存货的减少</v>
      </c>
      <c r="D87" s="2204"/>
      <c r="E87" s="2204"/>
      <c r="F87" s="2204"/>
      <c r="G87" s="2204"/>
      <c r="H87" s="2204"/>
      <c r="I87" s="2205"/>
      <c r="J87" s="2204"/>
      <c r="K87" s="2204"/>
      <c r="L87" s="2204"/>
      <c r="M87" s="2204"/>
      <c r="N87" s="2204"/>
      <c r="O87" s="2204"/>
      <c r="P87" s="2204"/>
      <c r="Q87" s="2204"/>
      <c r="R87" s="2204"/>
      <c r="S87" s="2204"/>
      <c r="T87" s="2204"/>
    </row>
    <row r="88" hidden="1" spans="1:20">
      <c r="A88" s="2204"/>
      <c r="B88" s="2204"/>
      <c r="C88" s="2204" t="str">
        <f t="shared" si="0"/>
        <v>上年经营性应收项目的减少</v>
      </c>
      <c r="D88" s="2204"/>
      <c r="E88" s="2204"/>
      <c r="F88" s="2204"/>
      <c r="G88" s="2204"/>
      <c r="H88" s="2204"/>
      <c r="I88" s="2205"/>
      <c r="J88" s="2204"/>
      <c r="K88" s="2204"/>
      <c r="L88" s="2204"/>
      <c r="M88" s="2204"/>
      <c r="N88" s="2204"/>
      <c r="O88" s="2204"/>
      <c r="P88" s="2204"/>
      <c r="Q88" s="2204"/>
      <c r="R88" s="2204"/>
      <c r="S88" s="2204"/>
      <c r="T88" s="2204"/>
    </row>
    <row r="89" hidden="1" spans="1:20">
      <c r="A89" s="2204"/>
      <c r="B89" s="2204"/>
      <c r="C89" s="2204" t="str">
        <f t="shared" si="0"/>
        <v>上年经营性应付项目的增加</v>
      </c>
      <c r="D89" s="2204"/>
      <c r="E89" s="2204"/>
      <c r="F89" s="2204"/>
      <c r="G89" s="2204"/>
      <c r="H89" s="2204"/>
      <c r="I89" s="2205"/>
      <c r="J89" s="2204"/>
      <c r="K89" s="2204"/>
      <c r="L89" s="2204"/>
      <c r="M89" s="2204"/>
      <c r="N89" s="2204"/>
      <c r="O89" s="2204"/>
      <c r="P89" s="2204"/>
      <c r="Q89" s="2204"/>
      <c r="R89" s="2204"/>
      <c r="S89" s="2204"/>
      <c r="T89" s="2204"/>
    </row>
    <row r="90" hidden="1" spans="1:20">
      <c r="A90" s="2204"/>
      <c r="B90" s="2204"/>
      <c r="C90" s="2204" t="str">
        <f t="shared" si="0"/>
        <v>上年其他</v>
      </c>
      <c r="D90" s="2204"/>
      <c r="E90" s="2204"/>
      <c r="F90" s="2204"/>
      <c r="G90" s="2204"/>
      <c r="H90" s="2204"/>
      <c r="I90" s="2205"/>
      <c r="J90" s="2204"/>
      <c r="K90" s="2204"/>
      <c r="L90" s="2204"/>
      <c r="M90" s="2204"/>
      <c r="N90" s="2204"/>
      <c r="O90" s="2204"/>
      <c r="P90" s="2204"/>
      <c r="Q90" s="2204"/>
      <c r="R90" s="2204"/>
      <c r="S90" s="2204"/>
      <c r="T90" s="2204"/>
    </row>
    <row r="91" hidden="1" spans="1:20">
      <c r="A91" s="2204"/>
      <c r="B91" s="2204"/>
      <c r="C91" s="2204"/>
      <c r="D91" s="2204"/>
      <c r="E91" s="2204"/>
      <c r="F91" s="2204"/>
      <c r="G91" s="2204"/>
      <c r="H91" s="2204"/>
      <c r="I91" s="2205"/>
      <c r="J91" s="2204"/>
      <c r="K91" s="2204"/>
      <c r="L91" s="2204"/>
      <c r="M91" s="2204"/>
      <c r="N91" s="2204"/>
      <c r="O91" s="2204"/>
      <c r="P91" s="2204"/>
      <c r="Q91" s="2204"/>
      <c r="R91" s="2204"/>
      <c r="S91" s="2204"/>
      <c r="T91" s="2204"/>
    </row>
    <row r="92" hidden="1" spans="1:20">
      <c r="A92" s="2204"/>
      <c r="B92" s="2204"/>
      <c r="C92" s="2204"/>
      <c r="D92" s="2204"/>
      <c r="E92" s="2204"/>
      <c r="F92" s="2204"/>
      <c r="G92" s="2204"/>
      <c r="H92" s="2204"/>
      <c r="I92" s="2205"/>
      <c r="J92" s="2204"/>
      <c r="K92" s="2204"/>
      <c r="L92" s="2204"/>
      <c r="M92" s="2204"/>
      <c r="N92" s="2204"/>
      <c r="O92" s="2204"/>
      <c r="P92" s="2204"/>
      <c r="Q92" s="2204"/>
      <c r="R92" s="2204"/>
      <c r="S92" s="2204"/>
      <c r="T92" s="2204"/>
    </row>
    <row r="93" hidden="1" spans="1:20">
      <c r="A93" s="2204"/>
      <c r="B93" s="2204"/>
      <c r="C93" s="2204"/>
      <c r="D93" s="2204"/>
      <c r="E93" s="2204"/>
      <c r="F93" s="2204"/>
      <c r="G93" s="2204"/>
      <c r="H93" s="2204"/>
      <c r="I93" s="2205"/>
      <c r="J93" s="2204"/>
      <c r="K93" s="2204"/>
      <c r="L93" s="2204"/>
      <c r="M93" s="2204"/>
      <c r="N93" s="2204"/>
      <c r="O93" s="2204"/>
      <c r="P93" s="2204"/>
      <c r="Q93" s="2204"/>
      <c r="R93" s="2204"/>
      <c r="S93" s="2204"/>
      <c r="T93" s="2204"/>
    </row>
    <row r="94" hidden="1" spans="1:20">
      <c r="A94" s="2204"/>
      <c r="B94" s="2204"/>
      <c r="C94" s="2204"/>
      <c r="D94" s="2204"/>
      <c r="E94" s="2204"/>
      <c r="F94" s="2204"/>
      <c r="G94" s="2204"/>
      <c r="H94" s="2204"/>
      <c r="I94" s="2205"/>
      <c r="J94" s="2204"/>
      <c r="K94" s="2204"/>
      <c r="L94" s="2204"/>
      <c r="M94" s="2204"/>
      <c r="N94" s="2204"/>
      <c r="O94" s="2204"/>
      <c r="P94" s="2204"/>
      <c r="Q94" s="2204"/>
      <c r="R94" s="2204"/>
      <c r="S94" s="2204"/>
      <c r="T94" s="2204"/>
    </row>
    <row r="95" hidden="1" spans="1:20">
      <c r="A95" s="2204"/>
      <c r="B95" s="2204"/>
      <c r="C95" s="2204"/>
      <c r="D95" s="2204"/>
      <c r="E95" s="2204"/>
      <c r="F95" s="2204"/>
      <c r="G95" s="2204"/>
      <c r="H95" s="2204"/>
      <c r="I95" s="2205"/>
      <c r="J95" s="2204"/>
      <c r="K95" s="2204"/>
      <c r="L95" s="2204"/>
      <c r="M95" s="2204"/>
      <c r="N95" s="2204"/>
      <c r="O95" s="2204"/>
      <c r="P95" s="2204"/>
      <c r="Q95" s="2204"/>
      <c r="R95" s="2204"/>
      <c r="S95" s="2204"/>
      <c r="T95" s="2204"/>
    </row>
    <row r="96" hidden="1" spans="1:20">
      <c r="A96" s="2204"/>
      <c r="B96" s="2204"/>
      <c r="C96" s="2204"/>
      <c r="D96" s="2204"/>
      <c r="E96" s="2204"/>
      <c r="F96" s="2204"/>
      <c r="G96" s="2204"/>
      <c r="H96" s="2204"/>
      <c r="I96" s="2205"/>
      <c r="J96" s="2204"/>
      <c r="K96" s="2204"/>
      <c r="L96" s="2204"/>
      <c r="M96" s="2204"/>
      <c r="N96" s="2204"/>
      <c r="O96" s="2204"/>
      <c r="P96" s="2204"/>
      <c r="Q96" s="2204"/>
      <c r="R96" s="2204"/>
      <c r="S96" s="2204"/>
      <c r="T96" s="2204"/>
    </row>
    <row r="97" hidden="1" spans="1:20">
      <c r="A97" s="2204"/>
      <c r="B97" s="2204"/>
      <c r="C97" s="2204"/>
      <c r="D97" s="2204"/>
      <c r="E97" s="2204"/>
      <c r="F97" s="2204"/>
      <c r="G97" s="2204"/>
      <c r="H97" s="2204"/>
      <c r="I97" s="2205"/>
      <c r="J97" s="2204"/>
      <c r="K97" s="2204"/>
      <c r="L97" s="2204"/>
      <c r="M97" s="2204"/>
      <c r="N97" s="2204"/>
      <c r="O97" s="2204"/>
      <c r="P97" s="2204"/>
      <c r="Q97" s="2204"/>
      <c r="R97" s="2204"/>
      <c r="S97" s="2204"/>
      <c r="T97" s="2204"/>
    </row>
    <row r="98" hidden="1" spans="1:20">
      <c r="A98" s="2204"/>
      <c r="B98" s="2204"/>
      <c r="C98" s="2204"/>
      <c r="D98" s="2204"/>
      <c r="E98" s="2204"/>
      <c r="F98" s="2204"/>
      <c r="G98" s="2204"/>
      <c r="H98" s="2204"/>
      <c r="I98" s="2205"/>
      <c r="J98" s="2204"/>
      <c r="K98" s="2204"/>
      <c r="L98" s="2204"/>
      <c r="M98" s="2204"/>
      <c r="N98" s="2204"/>
      <c r="O98" s="2204"/>
      <c r="P98" s="2204"/>
      <c r="Q98" s="2204"/>
      <c r="R98" s="2204"/>
      <c r="S98" s="2204"/>
      <c r="T98" s="2204"/>
    </row>
    <row r="99" hidden="1" spans="1:20">
      <c r="A99" s="2204"/>
      <c r="B99" s="2204"/>
      <c r="C99" s="2204"/>
      <c r="D99" s="2204"/>
      <c r="E99" s="2204"/>
      <c r="F99" s="2204"/>
      <c r="G99" s="2204"/>
      <c r="H99" s="2204"/>
      <c r="I99" s="2205"/>
      <c r="J99" s="2204"/>
      <c r="K99" s="2204"/>
      <c r="L99" s="2204"/>
      <c r="M99" s="2204"/>
      <c r="N99" s="2204"/>
      <c r="O99" s="2204"/>
      <c r="P99" s="2204"/>
      <c r="Q99" s="2204"/>
      <c r="R99" s="2204"/>
      <c r="S99" s="2204"/>
      <c r="T99" s="2204"/>
    </row>
    <row r="100" hidden="1" spans="1:20">
      <c r="A100" s="2204"/>
      <c r="B100" s="2204"/>
      <c r="C100" s="2204"/>
      <c r="D100" s="2204"/>
      <c r="E100" s="2204"/>
      <c r="F100" s="2204"/>
      <c r="G100" s="2204"/>
      <c r="H100" s="2204"/>
      <c r="I100" s="2205"/>
      <c r="J100" s="2204"/>
      <c r="K100" s="2204"/>
      <c r="L100" s="2204"/>
      <c r="M100" s="2204"/>
      <c r="N100" s="2204"/>
      <c r="O100" s="2204"/>
      <c r="P100" s="2204"/>
      <c r="Q100" s="2204"/>
      <c r="R100" s="2204"/>
      <c r="S100" s="2204"/>
      <c r="T100" s="2204"/>
    </row>
    <row r="101" hidden="1" spans="1:20">
      <c r="A101" s="2204"/>
      <c r="B101" s="2204"/>
      <c r="C101" s="2204"/>
      <c r="D101" s="2204"/>
      <c r="E101" s="2204"/>
      <c r="F101" s="2204"/>
      <c r="G101" s="2204"/>
      <c r="H101" s="2204"/>
      <c r="I101" s="2205"/>
      <c r="J101" s="2204"/>
      <c r="K101" s="2204"/>
      <c r="L101" s="2204"/>
      <c r="M101" s="2204"/>
      <c r="N101" s="2204"/>
      <c r="O101" s="2204"/>
      <c r="P101" s="2204"/>
      <c r="Q101" s="2204"/>
      <c r="R101" s="2204"/>
      <c r="S101" s="2204"/>
      <c r="T101" s="2204"/>
    </row>
    <row r="102" hidden="1" spans="1:20">
      <c r="A102" s="2204"/>
      <c r="B102" s="2204"/>
      <c r="C102" s="2204"/>
      <c r="D102" s="2204"/>
      <c r="E102" s="2204"/>
      <c r="F102" s="2204"/>
      <c r="G102" s="2204"/>
      <c r="H102" s="2204"/>
      <c r="I102" s="2205"/>
      <c r="J102" s="2204"/>
      <c r="K102" s="2204"/>
      <c r="L102" s="2204"/>
      <c r="M102" s="2204"/>
      <c r="N102" s="2204"/>
      <c r="O102" s="2204"/>
      <c r="P102" s="2204"/>
      <c r="Q102" s="2204"/>
      <c r="R102" s="2204"/>
      <c r="S102" s="2204"/>
      <c r="T102" s="2204"/>
    </row>
    <row r="103" ht="18.75" customHeight="1" spans="1:20">
      <c r="A103" s="2206" t="s">
        <v>1429</v>
      </c>
      <c r="B103" s="2207"/>
      <c r="C103" s="2208" t="str">
        <f>参数表!C3</f>
        <v>石嘴山市深阳蓝光市政工程有限公司</v>
      </c>
      <c r="D103" s="2208"/>
      <c r="E103" s="2208"/>
      <c r="F103" s="2209"/>
      <c r="G103" s="2210" t="s">
        <v>1430</v>
      </c>
      <c r="H103" s="2210" t="s">
        <v>1431</v>
      </c>
      <c r="I103" s="2242"/>
      <c r="J103" s="2204"/>
      <c r="K103" s="2204"/>
      <c r="L103" s="2204"/>
      <c r="M103" s="2204"/>
      <c r="N103" s="2204"/>
      <c r="O103" s="2204"/>
      <c r="P103" s="2204"/>
      <c r="Q103" s="2204"/>
      <c r="R103" s="2204"/>
      <c r="S103" s="2204"/>
      <c r="T103" s="2204"/>
    </row>
    <row r="104" ht="14.25" spans="1:20">
      <c r="A104" s="2206" t="s">
        <v>1432</v>
      </c>
      <c r="B104" s="2207"/>
      <c r="C104" s="2211" t="s">
        <v>1469</v>
      </c>
      <c r="D104" s="2212"/>
      <c r="E104" s="2212"/>
      <c r="F104" s="2213" t="s">
        <v>1434</v>
      </c>
      <c r="G104" s="2214">
        <f>参数表!F10</f>
        <v>0</v>
      </c>
      <c r="H104" s="2215">
        <f>资负表及利润表调整分录!H169</f>
        <v>0</v>
      </c>
      <c r="I104" s="2243"/>
      <c r="J104" s="2204"/>
      <c r="K104" s="2204"/>
      <c r="L104" s="2204"/>
      <c r="M104" s="2204"/>
      <c r="N104" s="2204"/>
      <c r="O104" s="2204"/>
      <c r="P104" s="2204"/>
      <c r="Q104" s="2204"/>
      <c r="R104" s="2204"/>
      <c r="S104" s="2204"/>
      <c r="T104" s="2204"/>
    </row>
    <row r="105" ht="14.25" customHeight="1" spans="1:20">
      <c r="A105" s="2206" t="s">
        <v>1435</v>
      </c>
      <c r="B105" s="2207"/>
      <c r="C105" s="2216" t="str">
        <f>参数表!D7</f>
        <v>2016年度</v>
      </c>
      <c r="D105" s="2216"/>
      <c r="E105" s="2216"/>
      <c r="F105" s="2213" t="s">
        <v>1436</v>
      </c>
      <c r="G105" s="2214">
        <f>参数表!C11</f>
        <v>0</v>
      </c>
      <c r="H105" s="2215">
        <f>资负表及利润表调整分录!H170</f>
        <v>0</v>
      </c>
      <c r="I105" s="2243"/>
      <c r="J105" s="2204"/>
      <c r="K105" s="2204"/>
      <c r="L105" s="2204"/>
      <c r="M105" s="2204"/>
      <c r="N105" s="2204"/>
      <c r="O105" s="2204"/>
      <c r="P105" s="2204"/>
      <c r="Q105" s="2204"/>
      <c r="R105" s="2204"/>
      <c r="S105" s="2204"/>
      <c r="T105" s="2204"/>
    </row>
    <row r="106" ht="14.25" customHeight="1" spans="1:20">
      <c r="A106" s="2217"/>
      <c r="B106" s="2218" t="str">
        <f>IF(审定现流表!C2=0,"","审定现金流量表"&amp;审定现流表!A2&amp;审定现流表!C2&amp;"元。")</f>
        <v/>
      </c>
      <c r="C106" s="2219"/>
      <c r="D106" s="2220"/>
      <c r="E106" s="2221"/>
      <c r="F106" s="2221"/>
      <c r="G106" s="2222"/>
      <c r="H106" s="2223"/>
      <c r="I106" s="2223"/>
      <c r="J106" s="2204"/>
      <c r="K106" s="2204"/>
      <c r="L106" s="2204"/>
      <c r="M106" s="2204"/>
      <c r="N106" s="2204"/>
      <c r="O106" s="2204"/>
      <c r="P106" s="2204"/>
      <c r="Q106" s="2204"/>
      <c r="R106" s="2204"/>
      <c r="S106" s="2204"/>
      <c r="T106" s="2204"/>
    </row>
    <row r="107" ht="14.25" customHeight="1" spans="1:20">
      <c r="A107" s="2224" t="s">
        <v>161</v>
      </c>
      <c r="B107" s="2225" t="s">
        <v>1439</v>
      </c>
      <c r="C107" s="2226"/>
      <c r="D107" s="2226"/>
      <c r="E107" s="2226"/>
      <c r="F107" s="2225" t="s">
        <v>1440</v>
      </c>
      <c r="G107" s="2227" t="s">
        <v>1441</v>
      </c>
      <c r="H107" s="2228"/>
      <c r="I107" s="2244" t="s">
        <v>1442</v>
      </c>
      <c r="J107" s="2204"/>
      <c r="K107" s="2204"/>
      <c r="L107" s="2204"/>
      <c r="M107" s="2204"/>
      <c r="N107" s="2204"/>
      <c r="O107" s="2204"/>
      <c r="P107" s="2204"/>
      <c r="Q107" s="2204"/>
      <c r="R107" s="2204"/>
      <c r="S107" s="2204"/>
      <c r="T107" s="2204"/>
    </row>
    <row r="108" ht="36" spans="1:20">
      <c r="A108" s="2229"/>
      <c r="B108" s="2230" t="s">
        <v>1420</v>
      </c>
      <c r="C108" s="2225" t="s">
        <v>1444</v>
      </c>
      <c r="D108" s="2231"/>
      <c r="E108" s="2225" t="s">
        <v>1445</v>
      </c>
      <c r="F108" s="2226"/>
      <c r="G108" s="2232" t="s">
        <v>1470</v>
      </c>
      <c r="H108" s="2232" t="s">
        <v>1471</v>
      </c>
      <c r="I108" s="2245"/>
      <c r="J108" s="2204"/>
      <c r="K108" s="2204"/>
      <c r="L108" s="2204"/>
      <c r="M108" s="2204"/>
      <c r="N108" s="2204"/>
      <c r="O108" s="2204"/>
      <c r="P108" s="2204"/>
      <c r="Q108" s="2204"/>
      <c r="R108" s="2204"/>
      <c r="S108" s="2204"/>
      <c r="T108" s="2204"/>
    </row>
    <row r="109" ht="14.25" customHeight="1" spans="1:20">
      <c r="A109" s="2233" t="s">
        <v>1448</v>
      </c>
      <c r="B109" s="2234"/>
      <c r="C109" s="2234"/>
      <c r="D109" s="2234"/>
      <c r="E109" s="2235"/>
      <c r="F109" s="2236"/>
      <c r="G109" s="2237">
        <f>ROUND(SUM(G110:G154),2)</f>
        <v>0</v>
      </c>
      <c r="H109" s="2237">
        <f>ROUND(SUM(H110:H154),2)</f>
        <v>0</v>
      </c>
      <c r="I109" s="2246" t="s">
        <v>1449</v>
      </c>
      <c r="J109" s="2204"/>
      <c r="K109" s="2204"/>
      <c r="L109" s="2204"/>
      <c r="M109" s="2204"/>
      <c r="N109" s="2204"/>
      <c r="O109" s="2204"/>
      <c r="P109" s="2204"/>
      <c r="Q109" s="2204"/>
      <c r="R109" s="2204"/>
      <c r="S109" s="2204"/>
      <c r="T109" s="2204"/>
    </row>
    <row r="110" ht="14.25" hidden="1" customHeight="1" spans="1:20">
      <c r="A110" s="2238"/>
      <c r="B110" s="2239"/>
      <c r="C110" s="2240"/>
      <c r="D110" s="2239"/>
      <c r="E110" s="2239"/>
      <c r="F110" s="2238"/>
      <c r="G110" s="1794"/>
      <c r="H110" s="1794"/>
      <c r="I110" s="2247"/>
      <c r="J110" s="2204"/>
      <c r="K110" s="2204"/>
      <c r="L110" s="2204"/>
      <c r="M110" s="2204"/>
      <c r="N110" s="2204"/>
      <c r="O110" s="2204"/>
      <c r="P110" s="2204"/>
      <c r="Q110" s="2204"/>
      <c r="R110" s="2204"/>
      <c r="S110" s="2204"/>
      <c r="T110" s="2204"/>
    </row>
    <row r="111" ht="14.25" customHeight="1" spans="1:20">
      <c r="A111" s="2238"/>
      <c r="B111" s="2239"/>
      <c r="C111" s="2241"/>
      <c r="D111" s="2239"/>
      <c r="E111" s="2239"/>
      <c r="F111" s="2238"/>
      <c r="G111" s="1794"/>
      <c r="H111" s="1794"/>
      <c r="I111" s="2247"/>
      <c r="J111" s="2204"/>
      <c r="K111" s="2204"/>
      <c r="L111" s="2204"/>
      <c r="M111" s="2204"/>
      <c r="N111" s="2204"/>
      <c r="O111" s="2204"/>
      <c r="P111" s="2204"/>
      <c r="Q111" s="2204"/>
      <c r="R111" s="2204"/>
      <c r="S111" s="2204"/>
      <c r="T111" s="2204"/>
    </row>
    <row r="112" ht="14.25" customHeight="1" spans="1:20">
      <c r="A112" s="2238"/>
      <c r="B112" s="2239"/>
      <c r="C112" s="2241"/>
      <c r="D112" s="2239"/>
      <c r="E112" s="2239"/>
      <c r="F112" s="2238"/>
      <c r="G112" s="1794"/>
      <c r="H112" s="1794"/>
      <c r="I112" s="2247"/>
      <c r="J112" s="2204"/>
      <c r="K112" s="2204"/>
      <c r="L112" s="2204"/>
      <c r="M112" s="2204"/>
      <c r="N112" s="2204"/>
      <c r="O112" s="2204"/>
      <c r="P112" s="2204"/>
      <c r="Q112" s="2204"/>
      <c r="R112" s="2204"/>
      <c r="S112" s="2204"/>
      <c r="T112" s="2204"/>
    </row>
    <row r="113" ht="14.25" customHeight="1" spans="1:20">
      <c r="A113" s="2238"/>
      <c r="B113" s="2239"/>
      <c r="C113" s="2241"/>
      <c r="D113" s="2239"/>
      <c r="E113" s="2239"/>
      <c r="F113" s="2238"/>
      <c r="G113" s="1794"/>
      <c r="H113" s="1794"/>
      <c r="I113" s="2247"/>
      <c r="J113" s="2204"/>
      <c r="K113" s="2204"/>
      <c r="L113" s="2204"/>
      <c r="M113" s="2204"/>
      <c r="N113" s="2204"/>
      <c r="O113" s="2204"/>
      <c r="P113" s="2204"/>
      <c r="Q113" s="2204"/>
      <c r="R113" s="2204"/>
      <c r="S113" s="2204"/>
      <c r="T113" s="2204"/>
    </row>
    <row r="114" ht="14.25" customHeight="1" spans="1:20">
      <c r="A114" s="2238"/>
      <c r="B114" s="2239"/>
      <c r="C114" s="2241"/>
      <c r="D114" s="2239"/>
      <c r="E114" s="2239"/>
      <c r="F114" s="2238"/>
      <c r="G114" s="1794"/>
      <c r="H114" s="1794"/>
      <c r="I114" s="2247"/>
      <c r="J114" s="2204"/>
      <c r="K114" s="2204"/>
      <c r="L114" s="2204"/>
      <c r="M114" s="2204"/>
      <c r="N114" s="2204"/>
      <c r="O114" s="2204"/>
      <c r="P114" s="2204"/>
      <c r="Q114" s="2204"/>
      <c r="R114" s="2204"/>
      <c r="S114" s="2204"/>
      <c r="T114" s="2204"/>
    </row>
    <row r="115" ht="14.25" customHeight="1" spans="1:20">
      <c r="A115" s="2238"/>
      <c r="B115" s="2239"/>
      <c r="C115" s="2241"/>
      <c r="D115" s="2239"/>
      <c r="E115" s="2239"/>
      <c r="F115" s="2238"/>
      <c r="G115" s="1794"/>
      <c r="H115" s="1794"/>
      <c r="I115" s="2247"/>
      <c r="J115" s="2204"/>
      <c r="K115" s="2204"/>
      <c r="L115" s="2204"/>
      <c r="M115" s="2204"/>
      <c r="N115" s="2204"/>
      <c r="O115" s="2204"/>
      <c r="P115" s="2204"/>
      <c r="Q115" s="2204"/>
      <c r="R115" s="2204"/>
      <c r="S115" s="2204"/>
      <c r="T115" s="2204"/>
    </row>
    <row r="116" ht="14.25" customHeight="1" spans="1:20">
      <c r="A116" s="2238"/>
      <c r="B116" s="2239"/>
      <c r="C116" s="2241"/>
      <c r="D116" s="2239"/>
      <c r="E116" s="2239"/>
      <c r="F116" s="2238"/>
      <c r="G116" s="1794"/>
      <c r="H116" s="1794"/>
      <c r="I116" s="2247"/>
      <c r="J116" s="2204"/>
      <c r="K116" s="2204"/>
      <c r="L116" s="2204"/>
      <c r="M116" s="2204"/>
      <c r="N116" s="2204"/>
      <c r="O116" s="2204"/>
      <c r="P116" s="2204"/>
      <c r="Q116" s="2204"/>
      <c r="R116" s="2204"/>
      <c r="S116" s="2204"/>
      <c r="T116" s="2204"/>
    </row>
    <row r="117" ht="14.25" customHeight="1" spans="1:20">
      <c r="A117" s="2238"/>
      <c r="B117" s="2239"/>
      <c r="C117" s="2241"/>
      <c r="D117" s="2239"/>
      <c r="E117" s="2239"/>
      <c r="F117" s="2238"/>
      <c r="G117" s="1794"/>
      <c r="H117" s="1794"/>
      <c r="I117" s="2247"/>
      <c r="J117" s="2204"/>
      <c r="K117" s="2204"/>
      <c r="L117" s="2204"/>
      <c r="M117" s="2204"/>
      <c r="N117" s="2204"/>
      <c r="O117" s="2204"/>
      <c r="P117" s="2204"/>
      <c r="Q117" s="2204"/>
      <c r="R117" s="2204"/>
      <c r="S117" s="2204"/>
      <c r="T117" s="2204"/>
    </row>
    <row r="118" ht="14.25" customHeight="1" spans="1:20">
      <c r="A118" s="2238"/>
      <c r="B118" s="2239"/>
      <c r="C118" s="2241"/>
      <c r="D118" s="2239"/>
      <c r="E118" s="2239"/>
      <c r="F118" s="2238"/>
      <c r="G118" s="1794"/>
      <c r="H118" s="1794"/>
      <c r="I118" s="2247"/>
      <c r="J118" s="2204"/>
      <c r="K118" s="2204"/>
      <c r="L118" s="2204"/>
      <c r="M118" s="2204"/>
      <c r="N118" s="2204"/>
      <c r="O118" s="2204"/>
      <c r="P118" s="2204"/>
      <c r="Q118" s="2204"/>
      <c r="R118" s="2204"/>
      <c r="S118" s="2204"/>
      <c r="T118" s="2204"/>
    </row>
    <row r="119" ht="14.25" customHeight="1" spans="1:20">
      <c r="A119" s="2238"/>
      <c r="B119" s="2239"/>
      <c r="C119" s="2241"/>
      <c r="D119" s="2239"/>
      <c r="E119" s="2239"/>
      <c r="F119" s="2238"/>
      <c r="G119" s="1794"/>
      <c r="H119" s="1794"/>
      <c r="I119" s="2247"/>
      <c r="J119" s="2204"/>
      <c r="K119" s="2204"/>
      <c r="L119" s="2204"/>
      <c r="M119" s="2204"/>
      <c r="N119" s="2204"/>
      <c r="O119" s="2204"/>
      <c r="P119" s="2204"/>
      <c r="Q119" s="2204"/>
      <c r="R119" s="2204"/>
      <c r="S119" s="2204"/>
      <c r="T119" s="2204"/>
    </row>
    <row r="120" ht="14.25" customHeight="1" spans="1:20">
      <c r="A120" s="2238"/>
      <c r="B120" s="2239"/>
      <c r="C120" s="2241"/>
      <c r="D120" s="2239"/>
      <c r="E120" s="2239"/>
      <c r="F120" s="2238"/>
      <c r="G120" s="1794"/>
      <c r="H120" s="1794"/>
      <c r="I120" s="2247"/>
      <c r="J120" s="2204"/>
      <c r="K120" s="2204"/>
      <c r="L120" s="2204"/>
      <c r="M120" s="2204"/>
      <c r="N120" s="2204"/>
      <c r="O120" s="2204"/>
      <c r="P120" s="2204"/>
      <c r="Q120" s="2204"/>
      <c r="R120" s="2204"/>
      <c r="S120" s="2204"/>
      <c r="T120" s="2204"/>
    </row>
    <row r="121" ht="14.25" customHeight="1" spans="1:20">
      <c r="A121" s="2238"/>
      <c r="B121" s="2239"/>
      <c r="C121" s="2241"/>
      <c r="D121" s="2239"/>
      <c r="E121" s="2239"/>
      <c r="F121" s="2238"/>
      <c r="G121" s="1794"/>
      <c r="H121" s="1794"/>
      <c r="I121" s="2247"/>
      <c r="J121" s="2204"/>
      <c r="K121" s="2204"/>
      <c r="L121" s="2204"/>
      <c r="M121" s="2204"/>
      <c r="N121" s="2204"/>
      <c r="O121" s="2204"/>
      <c r="P121" s="2204"/>
      <c r="Q121" s="2204"/>
      <c r="R121" s="2204"/>
      <c r="S121" s="2204"/>
      <c r="T121" s="2204"/>
    </row>
    <row r="122" ht="14.25" customHeight="1" spans="1:20">
      <c r="A122" s="2238"/>
      <c r="B122" s="2239"/>
      <c r="C122" s="2241"/>
      <c r="D122" s="2239"/>
      <c r="E122" s="2239"/>
      <c r="F122" s="2238"/>
      <c r="G122" s="1794"/>
      <c r="H122" s="1794"/>
      <c r="I122" s="2247"/>
      <c r="J122" s="2204"/>
      <c r="K122" s="2204"/>
      <c r="L122" s="2204"/>
      <c r="M122" s="2204"/>
      <c r="N122" s="2204"/>
      <c r="O122" s="2204"/>
      <c r="P122" s="2204"/>
      <c r="Q122" s="2204"/>
      <c r="R122" s="2204"/>
      <c r="S122" s="2204"/>
      <c r="T122" s="2204"/>
    </row>
    <row r="123" ht="14.25" customHeight="1" spans="1:20">
      <c r="A123" s="2238"/>
      <c r="B123" s="2239"/>
      <c r="C123" s="2241"/>
      <c r="D123" s="2239"/>
      <c r="E123" s="2239"/>
      <c r="F123" s="2238"/>
      <c r="G123" s="1794"/>
      <c r="H123" s="1794"/>
      <c r="I123" s="2247"/>
      <c r="J123" s="2204"/>
      <c r="K123" s="2204"/>
      <c r="L123" s="2204"/>
      <c r="M123" s="2204"/>
      <c r="N123" s="2204"/>
      <c r="O123" s="2204"/>
      <c r="P123" s="2204"/>
      <c r="Q123" s="2204"/>
      <c r="R123" s="2204"/>
      <c r="S123" s="2204"/>
      <c r="T123" s="2204"/>
    </row>
    <row r="124" ht="14.25" customHeight="1" spans="1:20">
      <c r="A124" s="2238"/>
      <c r="B124" s="2239"/>
      <c r="C124" s="2241"/>
      <c r="D124" s="2239"/>
      <c r="E124" s="2239"/>
      <c r="F124" s="2238"/>
      <c r="G124" s="1794"/>
      <c r="H124" s="1794"/>
      <c r="I124" s="2247"/>
      <c r="J124" s="2204"/>
      <c r="K124" s="2204"/>
      <c r="L124" s="2204"/>
      <c r="M124" s="2204"/>
      <c r="N124" s="2204"/>
      <c r="O124" s="2204"/>
      <c r="P124" s="2204"/>
      <c r="Q124" s="2204"/>
      <c r="R124" s="2204"/>
      <c r="S124" s="2204"/>
      <c r="T124" s="2204"/>
    </row>
    <row r="125" ht="14.25" customHeight="1" spans="1:20">
      <c r="A125" s="2238"/>
      <c r="B125" s="2239"/>
      <c r="C125" s="2241"/>
      <c r="D125" s="2239"/>
      <c r="E125" s="2239"/>
      <c r="F125" s="2238"/>
      <c r="G125" s="1794"/>
      <c r="H125" s="1794"/>
      <c r="I125" s="2247"/>
      <c r="J125" s="2204"/>
      <c r="K125" s="2204"/>
      <c r="L125" s="2204"/>
      <c r="M125" s="2204"/>
      <c r="N125" s="2204"/>
      <c r="O125" s="2204"/>
      <c r="P125" s="2204"/>
      <c r="Q125" s="2204"/>
      <c r="R125" s="2204"/>
      <c r="S125" s="2204"/>
      <c r="T125" s="2204"/>
    </row>
    <row r="126" ht="14.25" customHeight="1" spans="1:20">
      <c r="A126" s="2238"/>
      <c r="B126" s="2239"/>
      <c r="C126" s="2241"/>
      <c r="D126" s="2239"/>
      <c r="E126" s="2239"/>
      <c r="F126" s="2238"/>
      <c r="G126" s="1794"/>
      <c r="H126" s="1794"/>
      <c r="I126" s="2247"/>
      <c r="J126" s="2204"/>
      <c r="K126" s="2204"/>
      <c r="L126" s="2204"/>
      <c r="M126" s="2204"/>
      <c r="N126" s="2204"/>
      <c r="O126" s="2204"/>
      <c r="P126" s="2204"/>
      <c r="Q126" s="2204"/>
      <c r="R126" s="2204"/>
      <c r="S126" s="2204"/>
      <c r="T126" s="2204"/>
    </row>
    <row r="127" ht="14.25" customHeight="1" spans="1:20">
      <c r="A127" s="2238"/>
      <c r="B127" s="2239"/>
      <c r="C127" s="2241"/>
      <c r="D127" s="2239"/>
      <c r="E127" s="2239"/>
      <c r="F127" s="2238"/>
      <c r="G127" s="1794"/>
      <c r="H127" s="1794"/>
      <c r="I127" s="2247"/>
      <c r="J127" s="2204"/>
      <c r="K127" s="2204"/>
      <c r="L127" s="2204"/>
      <c r="M127" s="2204"/>
      <c r="N127" s="2204"/>
      <c r="O127" s="2204"/>
      <c r="P127" s="2204"/>
      <c r="Q127" s="2204"/>
      <c r="R127" s="2204"/>
      <c r="S127" s="2204"/>
      <c r="T127" s="2204"/>
    </row>
    <row r="128" ht="14.25" customHeight="1" spans="1:20">
      <c r="A128" s="2238"/>
      <c r="B128" s="2239"/>
      <c r="C128" s="2241"/>
      <c r="D128" s="2239"/>
      <c r="E128" s="2239"/>
      <c r="F128" s="2238"/>
      <c r="G128" s="1794"/>
      <c r="H128" s="1794"/>
      <c r="I128" s="2247"/>
      <c r="J128" s="2204"/>
      <c r="K128" s="2204"/>
      <c r="L128" s="2204"/>
      <c r="M128" s="2204"/>
      <c r="N128" s="2204"/>
      <c r="O128" s="2204"/>
      <c r="P128" s="2204"/>
      <c r="Q128" s="2204"/>
      <c r="R128" s="2204"/>
      <c r="S128" s="2204"/>
      <c r="T128" s="2204"/>
    </row>
    <row r="129" ht="14.25" customHeight="1" spans="1:20">
      <c r="A129" s="2238"/>
      <c r="B129" s="2239"/>
      <c r="C129" s="2241"/>
      <c r="D129" s="2239"/>
      <c r="E129" s="2239"/>
      <c r="F129" s="2238"/>
      <c r="G129" s="1794"/>
      <c r="H129" s="1794"/>
      <c r="I129" s="2247"/>
      <c r="J129" s="2204"/>
      <c r="K129" s="2204"/>
      <c r="L129" s="2204"/>
      <c r="M129" s="2204"/>
      <c r="N129" s="2204"/>
      <c r="O129" s="2204"/>
      <c r="P129" s="2204"/>
      <c r="Q129" s="2204"/>
      <c r="R129" s="2204"/>
      <c r="S129" s="2204"/>
      <c r="T129" s="2204"/>
    </row>
    <row r="130" ht="14.25" customHeight="1" spans="1:20">
      <c r="A130" s="2238"/>
      <c r="B130" s="2239"/>
      <c r="C130" s="2241"/>
      <c r="D130" s="2239"/>
      <c r="E130" s="2239"/>
      <c r="F130" s="2238"/>
      <c r="G130" s="1794"/>
      <c r="H130" s="1794"/>
      <c r="I130" s="2247"/>
      <c r="J130" s="2204"/>
      <c r="K130" s="2204"/>
      <c r="L130" s="2204"/>
      <c r="M130" s="2204"/>
      <c r="N130" s="2204"/>
      <c r="O130" s="2204"/>
      <c r="P130" s="2204"/>
      <c r="Q130" s="2204"/>
      <c r="R130" s="2204"/>
      <c r="S130" s="2204"/>
      <c r="T130" s="2204"/>
    </row>
    <row r="131" ht="14.25" customHeight="1" spans="1:20">
      <c r="A131" s="2238"/>
      <c r="B131" s="2239"/>
      <c r="C131" s="2241"/>
      <c r="D131" s="2239"/>
      <c r="E131" s="2239"/>
      <c r="F131" s="2238"/>
      <c r="G131" s="1794"/>
      <c r="H131" s="1794"/>
      <c r="I131" s="2247"/>
      <c r="J131" s="2204"/>
      <c r="K131" s="2204"/>
      <c r="L131" s="2204"/>
      <c r="M131" s="2204"/>
      <c r="N131" s="2204"/>
      <c r="O131" s="2204"/>
      <c r="P131" s="2204"/>
      <c r="Q131" s="2204"/>
      <c r="R131" s="2204"/>
      <c r="S131" s="2204"/>
      <c r="T131" s="2204"/>
    </row>
    <row r="132" ht="14.25" customHeight="1" spans="1:20">
      <c r="A132" s="2238"/>
      <c r="B132" s="2239"/>
      <c r="C132" s="2241"/>
      <c r="D132" s="2239"/>
      <c r="E132" s="2239"/>
      <c r="F132" s="2238"/>
      <c r="G132" s="1794"/>
      <c r="H132" s="1794"/>
      <c r="I132" s="2247"/>
      <c r="J132" s="2204"/>
      <c r="K132" s="2204"/>
      <c r="L132" s="2204"/>
      <c r="M132" s="2204"/>
      <c r="N132" s="2204"/>
      <c r="O132" s="2204"/>
      <c r="P132" s="2204"/>
      <c r="Q132" s="2204"/>
      <c r="R132" s="2204"/>
      <c r="S132" s="2204"/>
      <c r="T132" s="2204"/>
    </row>
    <row r="133" ht="14.25" customHeight="1" spans="1:20">
      <c r="A133" s="2238"/>
      <c r="B133" s="2239"/>
      <c r="C133" s="2241"/>
      <c r="D133" s="2239"/>
      <c r="E133" s="2239"/>
      <c r="F133" s="2238"/>
      <c r="G133" s="1794"/>
      <c r="H133" s="1794"/>
      <c r="I133" s="2247"/>
      <c r="J133" s="2204"/>
      <c r="K133" s="2204"/>
      <c r="L133" s="2204"/>
      <c r="M133" s="2204"/>
      <c r="N133" s="2204"/>
      <c r="O133" s="2204"/>
      <c r="P133" s="2204"/>
      <c r="Q133" s="2204"/>
      <c r="R133" s="2204"/>
      <c r="S133" s="2204"/>
      <c r="T133" s="2204"/>
    </row>
    <row r="134" ht="14.25" customHeight="1" spans="1:20">
      <c r="A134" s="2238"/>
      <c r="B134" s="2239"/>
      <c r="C134" s="2241"/>
      <c r="D134" s="2239"/>
      <c r="E134" s="2239"/>
      <c r="F134" s="2238"/>
      <c r="G134" s="1794"/>
      <c r="H134" s="1794"/>
      <c r="I134" s="2247"/>
      <c r="J134" s="2204"/>
      <c r="K134" s="2204"/>
      <c r="L134" s="2204"/>
      <c r="M134" s="2204"/>
      <c r="N134" s="2204"/>
      <c r="O134" s="2204"/>
      <c r="P134" s="2204"/>
      <c r="Q134" s="2204"/>
      <c r="R134" s="2204"/>
      <c r="S134" s="2204"/>
      <c r="T134" s="2204"/>
    </row>
    <row r="135" ht="14.25" customHeight="1" spans="1:20">
      <c r="A135" s="2238"/>
      <c r="B135" s="2239"/>
      <c r="C135" s="2241"/>
      <c r="D135" s="2239"/>
      <c r="E135" s="2239"/>
      <c r="F135" s="2238"/>
      <c r="G135" s="1794"/>
      <c r="H135" s="1794"/>
      <c r="I135" s="2247"/>
      <c r="J135" s="2204"/>
      <c r="K135" s="2204"/>
      <c r="L135" s="2204"/>
      <c r="M135" s="2204"/>
      <c r="N135" s="2204"/>
      <c r="O135" s="2204"/>
      <c r="P135" s="2204"/>
      <c r="Q135" s="2204"/>
      <c r="R135" s="2204"/>
      <c r="S135" s="2204"/>
      <c r="T135" s="2204"/>
    </row>
    <row r="136" ht="14.25" customHeight="1" spans="1:20">
      <c r="A136" s="2238"/>
      <c r="B136" s="2239"/>
      <c r="C136" s="2241"/>
      <c r="D136" s="2239"/>
      <c r="E136" s="2239"/>
      <c r="F136" s="2238"/>
      <c r="G136" s="1794"/>
      <c r="H136" s="1794"/>
      <c r="I136" s="2247"/>
      <c r="J136" s="2204"/>
      <c r="K136" s="2204"/>
      <c r="L136" s="2204"/>
      <c r="M136" s="2204"/>
      <c r="N136" s="2204"/>
      <c r="O136" s="2204"/>
      <c r="P136" s="2204"/>
      <c r="Q136" s="2204"/>
      <c r="R136" s="2204"/>
      <c r="S136" s="2204"/>
      <c r="T136" s="2204"/>
    </row>
    <row r="137" ht="14.25" customHeight="1" spans="1:20">
      <c r="A137" s="2238"/>
      <c r="B137" s="2239"/>
      <c r="C137" s="2241"/>
      <c r="D137" s="2239"/>
      <c r="E137" s="2239"/>
      <c r="F137" s="2238"/>
      <c r="G137" s="1794"/>
      <c r="H137" s="1794"/>
      <c r="I137" s="2247"/>
      <c r="J137" s="2204"/>
      <c r="K137" s="2204"/>
      <c r="L137" s="2204"/>
      <c r="M137" s="2204"/>
      <c r="N137" s="2204"/>
      <c r="O137" s="2204"/>
      <c r="P137" s="2204"/>
      <c r="Q137" s="2204"/>
      <c r="R137" s="2204"/>
      <c r="S137" s="2204"/>
      <c r="T137" s="2204"/>
    </row>
    <row r="138" ht="14.25" customHeight="1" spans="1:20">
      <c r="A138" s="2238"/>
      <c r="B138" s="2239"/>
      <c r="C138" s="2241"/>
      <c r="D138" s="2239"/>
      <c r="E138" s="2239"/>
      <c r="F138" s="2238"/>
      <c r="G138" s="1794"/>
      <c r="H138" s="1794"/>
      <c r="I138" s="2247"/>
      <c r="J138" s="2204"/>
      <c r="K138" s="2204"/>
      <c r="L138" s="2204"/>
      <c r="M138" s="2204"/>
      <c r="N138" s="2204"/>
      <c r="O138" s="2204"/>
      <c r="P138" s="2204"/>
      <c r="Q138" s="2204"/>
      <c r="R138" s="2204"/>
      <c r="S138" s="2204"/>
      <c r="T138" s="2204"/>
    </row>
    <row r="139" ht="14.25" customHeight="1" spans="1:20">
      <c r="A139" s="2238"/>
      <c r="B139" s="2239"/>
      <c r="C139" s="2241"/>
      <c r="D139" s="2239"/>
      <c r="E139" s="2239"/>
      <c r="F139" s="2238"/>
      <c r="G139" s="1794"/>
      <c r="H139" s="1794"/>
      <c r="I139" s="2247"/>
      <c r="J139" s="2204"/>
      <c r="K139" s="2204"/>
      <c r="L139" s="2204"/>
      <c r="M139" s="2204"/>
      <c r="N139" s="2204"/>
      <c r="O139" s="2204"/>
      <c r="P139" s="2204"/>
      <c r="Q139" s="2204"/>
      <c r="R139" s="2204"/>
      <c r="S139" s="2204"/>
      <c r="T139" s="2204"/>
    </row>
    <row r="140" ht="14.25" customHeight="1" spans="1:20">
      <c r="A140" s="2238"/>
      <c r="B140" s="2239"/>
      <c r="C140" s="2241"/>
      <c r="D140" s="2239"/>
      <c r="E140" s="2239"/>
      <c r="F140" s="2238"/>
      <c r="G140" s="1794"/>
      <c r="H140" s="1794"/>
      <c r="I140" s="2247"/>
      <c r="J140" s="2204"/>
      <c r="K140" s="2204"/>
      <c r="L140" s="2204"/>
      <c r="M140" s="2204"/>
      <c r="N140" s="2204"/>
      <c r="O140" s="2204"/>
      <c r="P140" s="2204"/>
      <c r="Q140" s="2204"/>
      <c r="R140" s="2204"/>
      <c r="S140" s="2204"/>
      <c r="T140" s="2204"/>
    </row>
    <row r="141" ht="14.25" customHeight="1" spans="1:20">
      <c r="A141" s="2238"/>
      <c r="B141" s="2239"/>
      <c r="C141" s="2241"/>
      <c r="D141" s="2239"/>
      <c r="E141" s="2239"/>
      <c r="F141" s="2238"/>
      <c r="G141" s="1794"/>
      <c r="H141" s="1794"/>
      <c r="I141" s="2247"/>
      <c r="J141" s="2204"/>
      <c r="K141" s="2204"/>
      <c r="L141" s="2204"/>
      <c r="M141" s="2204"/>
      <c r="N141" s="2204"/>
      <c r="O141" s="2204"/>
      <c r="P141" s="2204"/>
      <c r="Q141" s="2204"/>
      <c r="R141" s="2204"/>
      <c r="S141" s="2204"/>
      <c r="T141" s="2204"/>
    </row>
    <row r="142" ht="14.25" customHeight="1" spans="1:20">
      <c r="A142" s="2238"/>
      <c r="B142" s="2239"/>
      <c r="C142" s="2241"/>
      <c r="D142" s="2239"/>
      <c r="E142" s="2239"/>
      <c r="F142" s="2238"/>
      <c r="G142" s="1794"/>
      <c r="H142" s="1794"/>
      <c r="I142" s="2247"/>
      <c r="J142" s="2204"/>
      <c r="K142" s="2204"/>
      <c r="L142" s="2204"/>
      <c r="M142" s="2204"/>
      <c r="N142" s="2204"/>
      <c r="O142" s="2204"/>
      <c r="P142" s="2204"/>
      <c r="Q142" s="2204"/>
      <c r="R142" s="2204"/>
      <c r="S142" s="2204"/>
      <c r="T142" s="2204"/>
    </row>
    <row r="143" ht="14.25" customHeight="1" spans="1:20">
      <c r="A143" s="2238"/>
      <c r="B143" s="2239"/>
      <c r="C143" s="2241"/>
      <c r="D143" s="2239"/>
      <c r="E143" s="2239"/>
      <c r="F143" s="2238"/>
      <c r="G143" s="1794"/>
      <c r="H143" s="1794"/>
      <c r="I143" s="2247"/>
      <c r="J143" s="2204"/>
      <c r="K143" s="2204"/>
      <c r="L143" s="2204"/>
      <c r="M143" s="2204"/>
      <c r="N143" s="2204"/>
      <c r="O143" s="2204"/>
      <c r="P143" s="2204"/>
      <c r="Q143" s="2204"/>
      <c r="R143" s="2204"/>
      <c r="S143" s="2204"/>
      <c r="T143" s="2204"/>
    </row>
    <row r="144" ht="14.25" customHeight="1" spans="1:20">
      <c r="A144" s="2238"/>
      <c r="B144" s="2239"/>
      <c r="C144" s="2241"/>
      <c r="D144" s="2239"/>
      <c r="E144" s="2239"/>
      <c r="F144" s="2238"/>
      <c r="G144" s="1794"/>
      <c r="H144" s="1794"/>
      <c r="I144" s="2247"/>
      <c r="J144" s="2204"/>
      <c r="K144" s="2204"/>
      <c r="L144" s="2204"/>
      <c r="M144" s="2204"/>
      <c r="N144" s="2204"/>
      <c r="O144" s="2204"/>
      <c r="P144" s="2204"/>
      <c r="Q144" s="2204"/>
      <c r="R144" s="2204"/>
      <c r="S144" s="2204"/>
      <c r="T144" s="2204"/>
    </row>
    <row r="145" ht="14.25" customHeight="1" spans="1:20">
      <c r="A145" s="2238"/>
      <c r="B145" s="2239"/>
      <c r="C145" s="2241"/>
      <c r="D145" s="2239"/>
      <c r="E145" s="2239"/>
      <c r="F145" s="2238"/>
      <c r="G145" s="1794"/>
      <c r="H145" s="1794"/>
      <c r="I145" s="2247"/>
      <c r="J145" s="2204"/>
      <c r="K145" s="2204"/>
      <c r="L145" s="2204"/>
      <c r="M145" s="2204"/>
      <c r="N145" s="2204"/>
      <c r="O145" s="2204"/>
      <c r="P145" s="2204"/>
      <c r="Q145" s="2204"/>
      <c r="R145" s="2204"/>
      <c r="S145" s="2204"/>
      <c r="T145" s="2204"/>
    </row>
    <row r="146" ht="14.25" customHeight="1" spans="1:20">
      <c r="A146" s="2238"/>
      <c r="B146" s="2239"/>
      <c r="C146" s="2241"/>
      <c r="D146" s="2239"/>
      <c r="E146" s="2239"/>
      <c r="F146" s="2238"/>
      <c r="G146" s="1794"/>
      <c r="H146" s="1794"/>
      <c r="I146" s="2247"/>
      <c r="J146" s="2204"/>
      <c r="K146" s="2204"/>
      <c r="L146" s="2204"/>
      <c r="M146" s="2204"/>
      <c r="N146" s="2204"/>
      <c r="O146" s="2204"/>
      <c r="P146" s="2204"/>
      <c r="Q146" s="2204"/>
      <c r="R146" s="2204"/>
      <c r="S146" s="2204"/>
      <c r="T146" s="2204"/>
    </row>
    <row r="147" ht="14.25" customHeight="1" spans="1:20">
      <c r="A147" s="2238"/>
      <c r="B147" s="2239"/>
      <c r="C147" s="2241"/>
      <c r="D147" s="2239"/>
      <c r="E147" s="2239"/>
      <c r="F147" s="2238"/>
      <c r="G147" s="1794"/>
      <c r="H147" s="1794"/>
      <c r="I147" s="2247"/>
      <c r="J147" s="2204"/>
      <c r="K147" s="2204"/>
      <c r="L147" s="2204"/>
      <c r="M147" s="2204"/>
      <c r="N147" s="2204"/>
      <c r="O147" s="2204"/>
      <c r="P147" s="2204"/>
      <c r="Q147" s="2204"/>
      <c r="R147" s="2204"/>
      <c r="S147" s="2204"/>
      <c r="T147" s="2204"/>
    </row>
    <row r="148" ht="14.25" customHeight="1" spans="1:20">
      <c r="A148" s="2238"/>
      <c r="B148" s="2239"/>
      <c r="C148" s="2241"/>
      <c r="D148" s="2239"/>
      <c r="E148" s="2239"/>
      <c r="F148" s="2238"/>
      <c r="G148" s="1794"/>
      <c r="H148" s="1794"/>
      <c r="I148" s="2247"/>
      <c r="J148" s="2204"/>
      <c r="K148" s="2204"/>
      <c r="L148" s="2204"/>
      <c r="M148" s="2204"/>
      <c r="N148" s="2204"/>
      <c r="O148" s="2204"/>
      <c r="P148" s="2204"/>
      <c r="Q148" s="2204"/>
      <c r="R148" s="2204"/>
      <c r="S148" s="2204"/>
      <c r="T148" s="2204"/>
    </row>
    <row r="149" ht="14.25" customHeight="1" spans="1:20">
      <c r="A149" s="2238"/>
      <c r="B149" s="2239"/>
      <c r="C149" s="2241"/>
      <c r="D149" s="2239"/>
      <c r="E149" s="2239"/>
      <c r="F149" s="2238"/>
      <c r="G149" s="1794"/>
      <c r="H149" s="1794"/>
      <c r="I149" s="2247"/>
      <c r="J149" s="2204"/>
      <c r="K149" s="2204"/>
      <c r="L149" s="2204"/>
      <c r="M149" s="2204"/>
      <c r="N149" s="2204"/>
      <c r="O149" s="2204"/>
      <c r="P149" s="2204"/>
      <c r="Q149" s="2204"/>
      <c r="R149" s="2204"/>
      <c r="S149" s="2204"/>
      <c r="T149" s="2204"/>
    </row>
    <row r="150" ht="14.25" customHeight="1" spans="1:20">
      <c r="A150" s="2238"/>
      <c r="B150" s="2239"/>
      <c r="C150" s="2241"/>
      <c r="D150" s="2239"/>
      <c r="E150" s="2239"/>
      <c r="F150" s="2238"/>
      <c r="G150" s="1794"/>
      <c r="H150" s="1794"/>
      <c r="I150" s="2247"/>
      <c r="J150" s="2204"/>
      <c r="K150" s="2204"/>
      <c r="L150" s="2204"/>
      <c r="M150" s="2204"/>
      <c r="N150" s="2204"/>
      <c r="O150" s="2204"/>
      <c r="P150" s="2204"/>
      <c r="Q150" s="2204"/>
      <c r="R150" s="2204"/>
      <c r="S150" s="2204"/>
      <c r="T150" s="2204"/>
    </row>
    <row r="151" ht="14.25" customHeight="1" spans="1:20">
      <c r="A151" s="2238"/>
      <c r="B151" s="2239"/>
      <c r="C151" s="2241"/>
      <c r="D151" s="2239"/>
      <c r="E151" s="2239"/>
      <c r="F151" s="2238"/>
      <c r="G151" s="1794"/>
      <c r="H151" s="1794"/>
      <c r="I151" s="2247"/>
      <c r="J151" s="2204"/>
      <c r="K151" s="2204"/>
      <c r="L151" s="2204"/>
      <c r="M151" s="2204"/>
      <c r="N151" s="2204"/>
      <c r="O151" s="2204"/>
      <c r="P151" s="2204"/>
      <c r="Q151" s="2204"/>
      <c r="R151" s="2204"/>
      <c r="S151" s="2204"/>
      <c r="T151" s="2204"/>
    </row>
    <row r="152" ht="14.25" customHeight="1" spans="1:20">
      <c r="A152" s="2238"/>
      <c r="B152" s="2239"/>
      <c r="C152" s="2241"/>
      <c r="D152" s="2239"/>
      <c r="E152" s="2239"/>
      <c r="F152" s="2238"/>
      <c r="G152" s="1794"/>
      <c r="H152" s="1794"/>
      <c r="I152" s="2247"/>
      <c r="J152" s="2204"/>
      <c r="K152" s="2204"/>
      <c r="L152" s="2204"/>
      <c r="M152" s="2204"/>
      <c r="N152" s="2204"/>
      <c r="O152" s="2204"/>
      <c r="P152" s="2204"/>
      <c r="Q152" s="2204"/>
      <c r="R152" s="2204"/>
      <c r="S152" s="2204"/>
      <c r="T152" s="2204"/>
    </row>
    <row r="153" ht="14.25" customHeight="1" spans="1:20">
      <c r="A153" s="2238"/>
      <c r="B153" s="2239"/>
      <c r="C153" s="2241"/>
      <c r="D153" s="2239"/>
      <c r="E153" s="2239"/>
      <c r="F153" s="2238"/>
      <c r="G153" s="1794"/>
      <c r="H153" s="1794"/>
      <c r="I153" s="2247"/>
      <c r="J153" s="2204"/>
      <c r="K153" s="2204"/>
      <c r="L153" s="2204"/>
      <c r="M153" s="2204"/>
      <c r="N153" s="2204"/>
      <c r="O153" s="2204"/>
      <c r="P153" s="2204"/>
      <c r="Q153" s="2204"/>
      <c r="R153" s="2204"/>
      <c r="S153" s="2204"/>
      <c r="T153" s="2204"/>
    </row>
    <row r="154" ht="14.25" hidden="1" customHeight="1" spans="1:20">
      <c r="A154" s="2238"/>
      <c r="B154" s="2239"/>
      <c r="C154" s="2241"/>
      <c r="D154" s="2239"/>
      <c r="E154" s="2239"/>
      <c r="F154" s="2238"/>
      <c r="G154" s="1794"/>
      <c r="H154" s="1794"/>
      <c r="I154" s="2247"/>
      <c r="J154" s="2204"/>
      <c r="K154" s="2204"/>
      <c r="L154" s="2204"/>
      <c r="M154" s="2204"/>
      <c r="N154" s="2204"/>
      <c r="O154" s="2204"/>
      <c r="P154" s="2204"/>
      <c r="Q154" s="2204"/>
      <c r="R154" s="2204"/>
      <c r="S154" s="2204"/>
      <c r="T154" s="2204"/>
    </row>
    <row r="155" ht="14.25" spans="1:20">
      <c r="A155" s="2248" t="s">
        <v>1455</v>
      </c>
      <c r="B155" s="2249"/>
      <c r="C155" s="2250"/>
      <c r="D155" s="2249"/>
      <c r="E155" s="2249"/>
      <c r="F155" s="2249"/>
      <c r="G155" s="2249"/>
      <c r="H155" s="2249"/>
      <c r="I155" s="2253"/>
      <c r="J155" s="2204"/>
      <c r="K155" s="2204"/>
      <c r="L155" s="2204"/>
      <c r="M155" s="2204"/>
      <c r="N155" s="2204"/>
      <c r="O155" s="2204"/>
      <c r="P155" s="2204"/>
      <c r="Q155" s="2204"/>
      <c r="R155" s="2204"/>
      <c r="S155" s="2204"/>
      <c r="T155" s="2204"/>
    </row>
    <row r="156" s="2202" customFormat="1" ht="3.75" customHeight="1" spans="1:19">
      <c r="A156" s="2251"/>
      <c r="B156" s="2252"/>
      <c r="C156" s="2252"/>
      <c r="D156" s="2252"/>
      <c r="E156" s="2252"/>
      <c r="F156" s="2252"/>
      <c r="G156" s="2252"/>
      <c r="H156" s="2252"/>
      <c r="I156" s="2252"/>
      <c r="J156" s="2205"/>
      <c r="K156" s="2205"/>
      <c r="L156" s="2205"/>
      <c r="M156" s="2205"/>
      <c r="N156" s="2205"/>
      <c r="O156" s="2205"/>
      <c r="P156" s="2205"/>
      <c r="Q156" s="2205"/>
      <c r="R156" s="2205"/>
      <c r="S156" s="2205"/>
    </row>
    <row r="157" spans="1:20">
      <c r="A157" s="2204"/>
      <c r="B157" s="2204"/>
      <c r="C157" s="2204"/>
      <c r="D157" s="2204"/>
      <c r="E157" s="2204"/>
      <c r="F157" s="2204"/>
      <c r="G157" s="2204"/>
      <c r="H157" s="2204"/>
      <c r="I157" s="2205"/>
      <c r="J157" s="2204"/>
      <c r="K157" s="2204"/>
      <c r="L157" s="2204"/>
      <c r="M157" s="2204"/>
      <c r="N157" s="2204"/>
      <c r="O157" s="2204"/>
      <c r="P157" s="2204"/>
      <c r="Q157" s="2204"/>
      <c r="R157" s="2204"/>
      <c r="S157" s="2204"/>
      <c r="T157" s="2204"/>
    </row>
    <row r="158" spans="1:20">
      <c r="A158" s="2204"/>
      <c r="B158" s="2204"/>
      <c r="C158" s="2204"/>
      <c r="D158" s="2204"/>
      <c r="E158" s="2204"/>
      <c r="F158" s="2204"/>
      <c r="G158" s="2204"/>
      <c r="H158" s="2204"/>
      <c r="I158" s="2205"/>
      <c r="J158" s="2204"/>
      <c r="K158" s="2204"/>
      <c r="L158" s="2204"/>
      <c r="M158" s="2204"/>
      <c r="N158" s="2204"/>
      <c r="O158" s="2204"/>
      <c r="P158" s="2204"/>
      <c r="Q158" s="2204"/>
      <c r="R158" s="2204"/>
      <c r="S158" s="2204"/>
      <c r="T158" s="2204"/>
    </row>
    <row r="159" spans="1:20">
      <c r="A159" s="2204"/>
      <c r="B159" s="2204"/>
      <c r="C159" s="2204"/>
      <c r="D159" s="2204"/>
      <c r="E159" s="2204"/>
      <c r="F159" s="2204"/>
      <c r="G159" s="2204"/>
      <c r="H159" s="2204"/>
      <c r="I159" s="2205"/>
      <c r="J159" s="2204"/>
      <c r="K159" s="2204"/>
      <c r="L159" s="2204"/>
      <c r="M159" s="2204"/>
      <c r="N159" s="2204"/>
      <c r="O159" s="2204"/>
      <c r="P159" s="2204"/>
      <c r="Q159" s="2204"/>
      <c r="R159" s="2204"/>
      <c r="S159" s="2204"/>
      <c r="T159" s="2204"/>
    </row>
    <row r="160" spans="1:20">
      <c r="A160" s="2204"/>
      <c r="B160" s="2204"/>
      <c r="C160" s="2204"/>
      <c r="D160" s="2204"/>
      <c r="E160" s="2204"/>
      <c r="F160" s="2204"/>
      <c r="G160" s="2204"/>
      <c r="H160" s="2204"/>
      <c r="I160" s="2205"/>
      <c r="J160" s="2204"/>
      <c r="K160" s="2204"/>
      <c r="L160" s="2204"/>
      <c r="M160" s="2204"/>
      <c r="N160" s="2204"/>
      <c r="O160" s="2204"/>
      <c r="P160" s="2204"/>
      <c r="Q160" s="2204"/>
      <c r="R160" s="2204"/>
      <c r="S160" s="2204"/>
      <c r="T160" s="2204"/>
    </row>
    <row r="161" spans="1:20">
      <c r="A161" s="2204"/>
      <c r="B161" s="2204"/>
      <c r="C161" s="2204"/>
      <c r="D161" s="2204"/>
      <c r="E161" s="2204"/>
      <c r="F161" s="2204"/>
      <c r="G161" s="2204"/>
      <c r="H161" s="2204"/>
      <c r="I161" s="2205"/>
      <c r="J161" s="2204"/>
      <c r="K161" s="2204"/>
      <c r="L161" s="2204"/>
      <c r="M161" s="2204"/>
      <c r="N161" s="2204"/>
      <c r="O161" s="2204"/>
      <c r="P161" s="2204"/>
      <c r="Q161" s="2204"/>
      <c r="R161" s="2204"/>
      <c r="S161" s="2204"/>
      <c r="T161" s="2204"/>
    </row>
    <row r="162" spans="1:20">
      <c r="A162" s="2204"/>
      <c r="B162" s="2204"/>
      <c r="C162" s="2204"/>
      <c r="D162" s="2204"/>
      <c r="E162" s="2204"/>
      <c r="F162" s="2204"/>
      <c r="G162" s="2204"/>
      <c r="H162" s="2204"/>
      <c r="I162" s="2205"/>
      <c r="J162" s="2204"/>
      <c r="K162" s="2204"/>
      <c r="L162" s="2204"/>
      <c r="M162" s="2204"/>
      <c r="N162" s="2204"/>
      <c r="O162" s="2204"/>
      <c r="P162" s="2204"/>
      <c r="Q162" s="2204"/>
      <c r="R162" s="2204"/>
      <c r="S162" s="2204"/>
      <c r="T162" s="2204"/>
    </row>
    <row r="163" spans="1:20">
      <c r="A163" s="2204"/>
      <c r="B163" s="2204"/>
      <c r="C163" s="2204"/>
      <c r="D163" s="2204"/>
      <c r="E163" s="2204"/>
      <c r="F163" s="2204"/>
      <c r="G163" s="2204"/>
      <c r="H163" s="2204"/>
      <c r="I163" s="2205"/>
      <c r="J163" s="2204"/>
      <c r="K163" s="2204"/>
      <c r="L163" s="2204"/>
      <c r="M163" s="2204"/>
      <c r="N163" s="2204"/>
      <c r="O163" s="2204"/>
      <c r="P163" s="2204"/>
      <c r="Q163" s="2204"/>
      <c r="R163" s="2204"/>
      <c r="S163" s="2204"/>
      <c r="T163" s="2204"/>
    </row>
    <row r="164" spans="1:20">
      <c r="A164" s="2204"/>
      <c r="B164" s="2204"/>
      <c r="C164" s="2204"/>
      <c r="D164" s="2204"/>
      <c r="E164" s="2204"/>
      <c r="F164" s="2204"/>
      <c r="G164" s="2204"/>
      <c r="H164" s="2204"/>
      <c r="I164" s="2205"/>
      <c r="J164" s="2204"/>
      <c r="K164" s="2204"/>
      <c r="L164" s="2204"/>
      <c r="M164" s="2204"/>
      <c r="N164" s="2204"/>
      <c r="O164" s="2204"/>
      <c r="P164" s="2204"/>
      <c r="Q164" s="2204"/>
      <c r="R164" s="2204"/>
      <c r="S164" s="2204"/>
      <c r="T164" s="2204"/>
    </row>
    <row r="165" spans="1:20">
      <c r="A165" s="2204"/>
      <c r="B165" s="2204"/>
      <c r="C165" s="2204"/>
      <c r="D165" s="2204"/>
      <c r="E165" s="2204"/>
      <c r="F165" s="2204"/>
      <c r="G165" s="2204"/>
      <c r="H165" s="2204"/>
      <c r="I165" s="2205"/>
      <c r="J165" s="2204"/>
      <c r="K165" s="2204"/>
      <c r="L165" s="2204"/>
      <c r="M165" s="2204"/>
      <c r="N165" s="2204"/>
      <c r="O165" s="2204"/>
      <c r="P165" s="2204"/>
      <c r="Q165" s="2204"/>
      <c r="R165" s="2204"/>
      <c r="S165" s="2204"/>
      <c r="T165" s="2204"/>
    </row>
    <row r="166" spans="1:20">
      <c r="A166" s="2204"/>
      <c r="B166" s="2204"/>
      <c r="C166" s="2204"/>
      <c r="D166" s="2204"/>
      <c r="E166" s="2204"/>
      <c r="F166" s="2204"/>
      <c r="G166" s="2204"/>
      <c r="H166" s="2204"/>
      <c r="I166" s="2205"/>
      <c r="J166" s="2204"/>
      <c r="K166" s="2204"/>
      <c r="L166" s="2204"/>
      <c r="M166" s="2204"/>
      <c r="N166" s="2204"/>
      <c r="O166" s="2204"/>
      <c r="P166" s="2204"/>
      <c r="Q166" s="2204"/>
      <c r="R166" s="2204"/>
      <c r="S166" s="2204"/>
      <c r="T166" s="2204"/>
    </row>
    <row r="167" spans="1:20">
      <c r="A167" s="2204"/>
      <c r="B167" s="2204"/>
      <c r="C167" s="2204"/>
      <c r="D167" s="2204"/>
      <c r="E167" s="2204"/>
      <c r="F167" s="2204"/>
      <c r="G167" s="2204"/>
      <c r="H167" s="2204"/>
      <c r="I167" s="2205"/>
      <c r="J167" s="2204"/>
      <c r="K167" s="2204"/>
      <c r="L167" s="2204"/>
      <c r="M167" s="2204"/>
      <c r="N167" s="2204"/>
      <c r="O167" s="2204"/>
      <c r="P167" s="2204"/>
      <c r="Q167" s="2204"/>
      <c r="R167" s="2204"/>
      <c r="S167" s="2204"/>
      <c r="T167" s="2204"/>
    </row>
    <row r="168" spans="1:20">
      <c r="A168" s="2204"/>
      <c r="B168" s="2204"/>
      <c r="C168" s="2204"/>
      <c r="D168" s="2204"/>
      <c r="E168" s="2204"/>
      <c r="F168" s="2204"/>
      <c r="G168" s="2204"/>
      <c r="H168" s="2204"/>
      <c r="I168" s="2205"/>
      <c r="J168" s="2204"/>
      <c r="K168" s="2204"/>
      <c r="L168" s="2204"/>
      <c r="M168" s="2204"/>
      <c r="N168" s="2204"/>
      <c r="O168" s="2204"/>
      <c r="P168" s="2204"/>
      <c r="Q168" s="2204"/>
      <c r="R168" s="2204"/>
      <c r="S168" s="2204"/>
      <c r="T168" s="2204"/>
    </row>
    <row r="169" spans="1:20">
      <c r="A169" s="2204"/>
      <c r="B169" s="2204"/>
      <c r="C169" s="2204"/>
      <c r="D169" s="2204"/>
      <c r="E169" s="2204"/>
      <c r="F169" s="2204"/>
      <c r="G169" s="2204"/>
      <c r="H169" s="2204"/>
      <c r="I169" s="2205"/>
      <c r="J169" s="2204"/>
      <c r="K169" s="2204"/>
      <c r="L169" s="2204"/>
      <c r="M169" s="2204"/>
      <c r="N169" s="2204"/>
      <c r="O169" s="2204"/>
      <c r="P169" s="2204"/>
      <c r="Q169" s="2204"/>
      <c r="R169" s="2204"/>
      <c r="S169" s="2204"/>
      <c r="T169" s="2204"/>
    </row>
    <row r="170" spans="1:20">
      <c r="A170" s="2204"/>
      <c r="B170" s="2204"/>
      <c r="C170" s="2204"/>
      <c r="D170" s="2204"/>
      <c r="E170" s="2204"/>
      <c r="F170" s="2204"/>
      <c r="G170" s="2204"/>
      <c r="H170" s="2204"/>
      <c r="I170" s="2205"/>
      <c r="J170" s="2204"/>
      <c r="K170" s="2204"/>
      <c r="L170" s="2204"/>
      <c r="M170" s="2204"/>
      <c r="N170" s="2204"/>
      <c r="O170" s="2204"/>
      <c r="P170" s="2204"/>
      <c r="Q170" s="2204"/>
      <c r="R170" s="2204"/>
      <c r="S170" s="2204"/>
      <c r="T170" s="2204"/>
    </row>
    <row r="171" spans="1:20">
      <c r="A171" s="2204"/>
      <c r="B171" s="2204"/>
      <c r="C171" s="2204"/>
      <c r="D171" s="2204"/>
      <c r="E171" s="2204"/>
      <c r="F171" s="2204"/>
      <c r="G171" s="2204"/>
      <c r="H171" s="2204"/>
      <c r="I171" s="2205"/>
      <c r="J171" s="2204"/>
      <c r="K171" s="2204"/>
      <c r="L171" s="2204"/>
      <c r="M171" s="2204"/>
      <c r="N171" s="2204"/>
      <c r="O171" s="2204"/>
      <c r="P171" s="2204"/>
      <c r="Q171" s="2204"/>
      <c r="R171" s="2204"/>
      <c r="S171" s="2204"/>
      <c r="T171" s="2204"/>
    </row>
    <row r="172" spans="1:20">
      <c r="A172" s="2204"/>
      <c r="B172" s="2204"/>
      <c r="C172" s="2204"/>
      <c r="D172" s="2204"/>
      <c r="E172" s="2204"/>
      <c r="F172" s="2204"/>
      <c r="G172" s="2204"/>
      <c r="H172" s="2204"/>
      <c r="I172" s="2205"/>
      <c r="J172" s="2204"/>
      <c r="K172" s="2204"/>
      <c r="L172" s="2204"/>
      <c r="M172" s="2204"/>
      <c r="N172" s="2204"/>
      <c r="O172" s="2204"/>
      <c r="P172" s="2204"/>
      <c r="Q172" s="2204"/>
      <c r="R172" s="2204"/>
      <c r="S172" s="2204"/>
      <c r="T172" s="2204"/>
    </row>
    <row r="173" spans="1:20">
      <c r="A173" s="2204"/>
      <c r="B173" s="2204"/>
      <c r="C173" s="2204"/>
      <c r="D173" s="2204"/>
      <c r="E173" s="2204"/>
      <c r="F173" s="2204"/>
      <c r="G173" s="2204"/>
      <c r="H173" s="2204"/>
      <c r="I173" s="2205"/>
      <c r="J173" s="2204"/>
      <c r="K173" s="2204"/>
      <c r="L173" s="2204"/>
      <c r="M173" s="2204"/>
      <c r="N173" s="2204"/>
      <c r="O173" s="2204"/>
      <c r="P173" s="2204"/>
      <c r="Q173" s="2204"/>
      <c r="R173" s="2204"/>
      <c r="S173" s="2204"/>
      <c r="T173" s="2204"/>
    </row>
    <row r="174" spans="1:20">
      <c r="A174" s="2204"/>
      <c r="B174" s="2204"/>
      <c r="C174" s="2204"/>
      <c r="D174" s="2204"/>
      <c r="E174" s="2204"/>
      <c r="F174" s="2204"/>
      <c r="G174" s="2204"/>
      <c r="H174" s="2204"/>
      <c r="I174" s="2205"/>
      <c r="J174" s="2204"/>
      <c r="K174" s="2204"/>
      <c r="L174" s="2204"/>
      <c r="M174" s="2204"/>
      <c r="N174" s="2204"/>
      <c r="O174" s="2204"/>
      <c r="P174" s="2204"/>
      <c r="Q174" s="2204"/>
      <c r="R174" s="2204"/>
      <c r="S174" s="2204"/>
      <c r="T174" s="2204"/>
    </row>
    <row r="175" spans="1:20">
      <c r="A175" s="2204"/>
      <c r="B175" s="2204"/>
      <c r="C175" s="2204"/>
      <c r="D175" s="2204"/>
      <c r="E175" s="2204"/>
      <c r="F175" s="2204"/>
      <c r="G175" s="2204"/>
      <c r="H175" s="2204"/>
      <c r="I175" s="2205"/>
      <c r="J175" s="2204"/>
      <c r="K175" s="2204"/>
      <c r="L175" s="2204"/>
      <c r="M175" s="2204"/>
      <c r="N175" s="2204"/>
      <c r="O175" s="2204"/>
      <c r="P175" s="2204"/>
      <c r="Q175" s="2204"/>
      <c r="R175" s="2204"/>
      <c r="S175" s="2204"/>
      <c r="T175" s="2204"/>
    </row>
    <row r="176" spans="1:20">
      <c r="A176" s="2204"/>
      <c r="B176" s="2204"/>
      <c r="C176" s="2204"/>
      <c r="D176" s="2204"/>
      <c r="E176" s="2204"/>
      <c r="F176" s="2204"/>
      <c r="G176" s="2204"/>
      <c r="H176" s="2204"/>
      <c r="I176" s="2205"/>
      <c r="J176" s="2204"/>
      <c r="K176" s="2204"/>
      <c r="L176" s="2204"/>
      <c r="M176" s="2204"/>
      <c r="N176" s="2204"/>
      <c r="O176" s="2204"/>
      <c r="P176" s="2204"/>
      <c r="Q176" s="2204"/>
      <c r="R176" s="2204"/>
      <c r="S176" s="2204"/>
      <c r="T176" s="2204"/>
    </row>
    <row r="177" spans="1:20">
      <c r="A177" s="2204"/>
      <c r="B177" s="2204"/>
      <c r="C177" s="2204"/>
      <c r="D177" s="2204"/>
      <c r="E177" s="2204"/>
      <c r="F177" s="2204"/>
      <c r="G177" s="2204"/>
      <c r="H177" s="2204"/>
      <c r="I177" s="2205"/>
      <c r="J177" s="2204"/>
      <c r="K177" s="2204"/>
      <c r="L177" s="2204"/>
      <c r="M177" s="2204"/>
      <c r="N177" s="2204"/>
      <c r="O177" s="2204"/>
      <c r="P177" s="2204"/>
      <c r="Q177" s="2204"/>
      <c r="R177" s="2204"/>
      <c r="S177" s="2204"/>
      <c r="T177" s="2204"/>
    </row>
    <row r="178" spans="1:20">
      <c r="A178" s="2204"/>
      <c r="B178" s="2204"/>
      <c r="C178" s="2204"/>
      <c r="D178" s="2204"/>
      <c r="E178" s="2204"/>
      <c r="F178" s="2204"/>
      <c r="G178" s="2204"/>
      <c r="H178" s="2204"/>
      <c r="I178" s="2205"/>
      <c r="J178" s="2204"/>
      <c r="K178" s="2204"/>
      <c r="L178" s="2204"/>
      <c r="M178" s="2204"/>
      <c r="N178" s="2204"/>
      <c r="O178" s="2204"/>
      <c r="P178" s="2204"/>
      <c r="Q178" s="2204"/>
      <c r="R178" s="2204"/>
      <c r="S178" s="2204"/>
      <c r="T178" s="2204"/>
    </row>
    <row r="179" spans="1:20">
      <c r="A179" s="2204"/>
      <c r="B179" s="2204"/>
      <c r="C179" s="2204"/>
      <c r="D179" s="2204"/>
      <c r="E179" s="2204"/>
      <c r="F179" s="2204"/>
      <c r="G179" s="2204"/>
      <c r="H179" s="2204"/>
      <c r="I179" s="2205"/>
      <c r="J179" s="2204"/>
      <c r="K179" s="2204"/>
      <c r="L179" s="2204"/>
      <c r="M179" s="2204"/>
      <c r="N179" s="2204"/>
      <c r="O179" s="2204"/>
      <c r="P179" s="2204"/>
      <c r="Q179" s="2204"/>
      <c r="R179" s="2204"/>
      <c r="S179" s="2204"/>
      <c r="T179" s="2204"/>
    </row>
    <row r="180" spans="1:20">
      <c r="A180" s="2204"/>
      <c r="B180" s="2204"/>
      <c r="C180" s="2204"/>
      <c r="D180" s="2204"/>
      <c r="E180" s="2204"/>
      <c r="F180" s="2204"/>
      <c r="G180" s="2204"/>
      <c r="H180" s="2204"/>
      <c r="I180" s="2205"/>
      <c r="J180" s="2204"/>
      <c r="K180" s="2204"/>
      <c r="L180" s="2204"/>
      <c r="M180" s="2204"/>
      <c r="N180" s="2204"/>
      <c r="O180" s="2204"/>
      <c r="P180" s="2204"/>
      <c r="Q180" s="2204"/>
      <c r="R180" s="2204"/>
      <c r="S180" s="2204"/>
      <c r="T180" s="2204"/>
    </row>
    <row r="181" spans="1:20">
      <c r="A181" s="2204"/>
      <c r="B181" s="2204"/>
      <c r="C181" s="2204"/>
      <c r="D181" s="2204"/>
      <c r="E181" s="2204"/>
      <c r="F181" s="2204"/>
      <c r="G181" s="2204"/>
      <c r="H181" s="2204"/>
      <c r="I181" s="2205"/>
      <c r="J181" s="2204"/>
      <c r="K181" s="2204"/>
      <c r="L181" s="2204"/>
      <c r="M181" s="2204"/>
      <c r="N181" s="2204"/>
      <c r="O181" s="2204"/>
      <c r="P181" s="2204"/>
      <c r="Q181" s="2204"/>
      <c r="R181" s="2204"/>
      <c r="S181" s="2204"/>
      <c r="T181" s="2204"/>
    </row>
    <row r="182" spans="1:20">
      <c r="A182" s="2204"/>
      <c r="B182" s="2204"/>
      <c r="C182" s="2204"/>
      <c r="D182" s="2204"/>
      <c r="E182" s="2204"/>
      <c r="F182" s="2204"/>
      <c r="G182" s="2204"/>
      <c r="H182" s="2204"/>
      <c r="I182" s="2205"/>
      <c r="J182" s="2204"/>
      <c r="K182" s="2204"/>
      <c r="L182" s="2204"/>
      <c r="M182" s="2204"/>
      <c r="N182" s="2204"/>
      <c r="O182" s="2204"/>
      <c r="P182" s="2204"/>
      <c r="Q182" s="2204"/>
      <c r="R182" s="2204"/>
      <c r="S182" s="2204"/>
      <c r="T182" s="2204"/>
    </row>
    <row r="183" spans="1:20">
      <c r="A183" s="2204"/>
      <c r="B183" s="2204"/>
      <c r="C183" s="2204"/>
      <c r="D183" s="2204"/>
      <c r="E183" s="2204"/>
      <c r="F183" s="2204"/>
      <c r="G183" s="2204"/>
      <c r="H183" s="2204"/>
      <c r="I183" s="2205"/>
      <c r="J183" s="2204"/>
      <c r="K183" s="2204"/>
      <c r="L183" s="2204"/>
      <c r="M183" s="2204"/>
      <c r="N183" s="2204"/>
      <c r="O183" s="2204"/>
      <c r="P183" s="2204"/>
      <c r="Q183" s="2204"/>
      <c r="R183" s="2204"/>
      <c r="S183" s="2204"/>
      <c r="T183" s="2204"/>
    </row>
    <row r="184" spans="1:20">
      <c r="A184" s="2204"/>
      <c r="B184" s="2204"/>
      <c r="C184" s="2204"/>
      <c r="D184" s="2204"/>
      <c r="E184" s="2204"/>
      <c r="F184" s="2204"/>
      <c r="G184" s="2204"/>
      <c r="H184" s="2204"/>
      <c r="I184" s="2205"/>
      <c r="J184" s="2204"/>
      <c r="K184" s="2204"/>
      <c r="L184" s="2204"/>
      <c r="M184" s="2204"/>
      <c r="N184" s="2204"/>
      <c r="O184" s="2204"/>
      <c r="P184" s="2204"/>
      <c r="Q184" s="2204"/>
      <c r="R184" s="2204"/>
      <c r="S184" s="2204"/>
      <c r="T184" s="2204"/>
    </row>
    <row r="185" spans="1:20">
      <c r="A185" s="2204"/>
      <c r="B185" s="2204"/>
      <c r="C185" s="2204"/>
      <c r="D185" s="2204"/>
      <c r="E185" s="2204"/>
      <c r="F185" s="2204"/>
      <c r="G185" s="2204"/>
      <c r="H185" s="2204"/>
      <c r="I185" s="2205"/>
      <c r="J185" s="2204"/>
      <c r="K185" s="2204"/>
      <c r="L185" s="2204"/>
      <c r="M185" s="2204"/>
      <c r="N185" s="2204"/>
      <c r="O185" s="2204"/>
      <c r="P185" s="2204"/>
      <c r="Q185" s="2204"/>
      <c r="R185" s="2204"/>
      <c r="S185" s="2204"/>
      <c r="T185" s="2204"/>
    </row>
    <row r="186" spans="1:20">
      <c r="A186" s="2204"/>
      <c r="B186" s="2204"/>
      <c r="C186" s="2204"/>
      <c r="D186" s="2204"/>
      <c r="E186" s="2204"/>
      <c r="F186" s="2204"/>
      <c r="G186" s="2204"/>
      <c r="H186" s="2204"/>
      <c r="I186" s="2205"/>
      <c r="J186" s="2204"/>
      <c r="K186" s="2204"/>
      <c r="L186" s="2204"/>
      <c r="M186" s="2204"/>
      <c r="N186" s="2204"/>
      <c r="O186" s="2204"/>
      <c r="P186" s="2204"/>
      <c r="Q186" s="2204"/>
      <c r="R186" s="2204"/>
      <c r="S186" s="2204"/>
      <c r="T186" s="2204"/>
    </row>
    <row r="187" spans="1:20">
      <c r="A187" s="2204"/>
      <c r="B187" s="2204"/>
      <c r="C187" s="2204"/>
      <c r="D187" s="2204"/>
      <c r="E187" s="2204"/>
      <c r="F187" s="2204"/>
      <c r="G187" s="2204"/>
      <c r="H187" s="2204"/>
      <c r="I187" s="2205"/>
      <c r="J187" s="2204"/>
      <c r="K187" s="2204"/>
      <c r="L187" s="2204"/>
      <c r="M187" s="2204"/>
      <c r="N187" s="2204"/>
      <c r="O187" s="2204"/>
      <c r="P187" s="2204"/>
      <c r="Q187" s="2204"/>
      <c r="R187" s="2204"/>
      <c r="S187" s="2204"/>
      <c r="T187" s="2204"/>
    </row>
    <row r="188" spans="1:20">
      <c r="A188" s="2204"/>
      <c r="B188" s="2204"/>
      <c r="C188" s="2204"/>
      <c r="D188" s="2204"/>
      <c r="E188" s="2204"/>
      <c r="F188" s="2204"/>
      <c r="G188" s="2204"/>
      <c r="H188" s="2204"/>
      <c r="I188" s="2205"/>
      <c r="J188" s="2204"/>
      <c r="K188" s="2204"/>
      <c r="L188" s="2204"/>
      <c r="M188" s="2204"/>
      <c r="N188" s="2204"/>
      <c r="O188" s="2204"/>
      <c r="P188" s="2204"/>
      <c r="Q188" s="2204"/>
      <c r="R188" s="2204"/>
      <c r="S188" s="2204"/>
      <c r="T188" s="2204"/>
    </row>
    <row r="189" spans="1:20">
      <c r="A189" s="2204"/>
      <c r="B189" s="2204"/>
      <c r="C189" s="2204"/>
      <c r="D189" s="2204"/>
      <c r="E189" s="2204"/>
      <c r="F189" s="2204"/>
      <c r="G189" s="2204"/>
      <c r="H189" s="2204"/>
      <c r="I189" s="2205"/>
      <c r="J189" s="2204"/>
      <c r="K189" s="2204"/>
      <c r="L189" s="2204"/>
      <c r="M189" s="2204"/>
      <c r="N189" s="2204"/>
      <c r="O189" s="2204"/>
      <c r="P189" s="2204"/>
      <c r="Q189" s="2204"/>
      <c r="R189" s="2204"/>
      <c r="S189" s="2204"/>
      <c r="T189" s="2204"/>
    </row>
    <row r="190" spans="1:20">
      <c r="A190" s="2204"/>
      <c r="B190" s="2204"/>
      <c r="C190" s="2204"/>
      <c r="D190" s="2204"/>
      <c r="E190" s="2204"/>
      <c r="F190" s="2204"/>
      <c r="G190" s="2204"/>
      <c r="H190" s="2204"/>
      <c r="I190" s="2205"/>
      <c r="J190" s="2204"/>
      <c r="K190" s="2204"/>
      <c r="L190" s="2204"/>
      <c r="M190" s="2204"/>
      <c r="N190" s="2204"/>
      <c r="O190" s="2204"/>
      <c r="P190" s="2204"/>
      <c r="Q190" s="2204"/>
      <c r="R190" s="2204"/>
      <c r="S190" s="2204"/>
      <c r="T190" s="2204"/>
    </row>
    <row r="191" spans="1:20">
      <c r="A191" s="2204"/>
      <c r="B191" s="2204"/>
      <c r="C191" s="2204"/>
      <c r="D191" s="2204"/>
      <c r="E191" s="2204"/>
      <c r="F191" s="2204"/>
      <c r="G191" s="2204"/>
      <c r="H191" s="2204"/>
      <c r="I191" s="2205"/>
      <c r="J191" s="2204"/>
      <c r="K191" s="2204"/>
      <c r="L191" s="2204"/>
      <c r="M191" s="2204"/>
      <c r="N191" s="2204"/>
      <c r="O191" s="2204"/>
      <c r="P191" s="2204"/>
      <c r="Q191" s="2204"/>
      <c r="R191" s="2204"/>
      <c r="S191" s="2204"/>
      <c r="T191" s="2204"/>
    </row>
    <row r="192" spans="1:20">
      <c r="A192" s="2204"/>
      <c r="B192" s="2204"/>
      <c r="C192" s="2204"/>
      <c r="D192" s="2204"/>
      <c r="E192" s="2204"/>
      <c r="F192" s="2204"/>
      <c r="G192" s="2204"/>
      <c r="H192" s="2204"/>
      <c r="I192" s="2205"/>
      <c r="J192" s="2204"/>
      <c r="K192" s="2204"/>
      <c r="L192" s="2204"/>
      <c r="M192" s="2204"/>
      <c r="N192" s="2204"/>
      <c r="O192" s="2204"/>
      <c r="P192" s="2204"/>
      <c r="Q192" s="2204"/>
      <c r="R192" s="2204"/>
      <c r="S192" s="2204"/>
      <c r="T192" s="2204"/>
    </row>
    <row r="193" spans="1:20">
      <c r="A193" s="2204"/>
      <c r="B193" s="2204"/>
      <c r="C193" s="2204"/>
      <c r="D193" s="2204"/>
      <c r="E193" s="2204"/>
      <c r="F193" s="2204"/>
      <c r="G193" s="2204"/>
      <c r="H193" s="2204"/>
      <c r="I193" s="2205"/>
      <c r="J193" s="2204"/>
      <c r="K193" s="2204"/>
      <c r="L193" s="2204"/>
      <c r="M193" s="2204"/>
      <c r="N193" s="2204"/>
      <c r="O193" s="2204"/>
      <c r="P193" s="2204"/>
      <c r="Q193" s="2204"/>
      <c r="R193" s="2204"/>
      <c r="S193" s="2204"/>
      <c r="T193" s="2204"/>
    </row>
    <row r="194" spans="1:20">
      <c r="A194" s="2204"/>
      <c r="B194" s="2204"/>
      <c r="C194" s="2204"/>
      <c r="D194" s="2204"/>
      <c r="E194" s="2204"/>
      <c r="F194" s="2204"/>
      <c r="G194" s="2204"/>
      <c r="H194" s="2204"/>
      <c r="I194" s="2205"/>
      <c r="J194" s="2204"/>
      <c r="K194" s="2204"/>
      <c r="L194" s="2204"/>
      <c r="M194" s="2204"/>
      <c r="N194" s="2204"/>
      <c r="O194" s="2204"/>
      <c r="P194" s="2204"/>
      <c r="Q194" s="2204"/>
      <c r="R194" s="2204"/>
      <c r="S194" s="2204"/>
      <c r="T194" s="2204"/>
    </row>
    <row r="195" spans="1:20">
      <c r="A195" s="2204"/>
      <c r="B195" s="2204"/>
      <c r="C195" s="2204"/>
      <c r="D195" s="2204"/>
      <c r="E195" s="2204"/>
      <c r="F195" s="2204"/>
      <c r="G195" s="2204"/>
      <c r="H195" s="2204"/>
      <c r="I195" s="2205"/>
      <c r="J195" s="2204"/>
      <c r="K195" s="2204"/>
      <c r="L195" s="2204"/>
      <c r="M195" s="2204"/>
      <c r="N195" s="2204"/>
      <c r="O195" s="2204"/>
      <c r="P195" s="2204"/>
      <c r="Q195" s="2204"/>
      <c r="R195" s="2204"/>
      <c r="S195" s="2204"/>
      <c r="T195" s="2204"/>
    </row>
    <row r="196" spans="1:20">
      <c r="A196" s="2204"/>
      <c r="B196" s="2204"/>
      <c r="C196" s="2204"/>
      <c r="D196" s="2204"/>
      <c r="E196" s="2204"/>
      <c r="F196" s="2204"/>
      <c r="G196" s="2204"/>
      <c r="H196" s="2204"/>
      <c r="I196" s="2205"/>
      <c r="J196" s="2204"/>
      <c r="K196" s="2204"/>
      <c r="L196" s="2204"/>
      <c r="M196" s="2204"/>
      <c r="N196" s="2204"/>
      <c r="O196" s="2204"/>
      <c r="P196" s="2204"/>
      <c r="Q196" s="2204"/>
      <c r="R196" s="2204"/>
      <c r="S196" s="2204"/>
      <c r="T196" s="2204"/>
    </row>
    <row r="197" spans="1:20">
      <c r="A197" s="2204"/>
      <c r="B197" s="2204"/>
      <c r="C197" s="2204"/>
      <c r="D197" s="2204"/>
      <c r="E197" s="2204"/>
      <c r="F197" s="2204"/>
      <c r="G197" s="2204"/>
      <c r="H197" s="2204"/>
      <c r="I197" s="2205"/>
      <c r="J197" s="2204"/>
      <c r="K197" s="2204"/>
      <c r="L197" s="2204"/>
      <c r="M197" s="2204"/>
      <c r="N197" s="2204"/>
      <c r="O197" s="2204"/>
      <c r="P197" s="2204"/>
      <c r="Q197" s="2204"/>
      <c r="R197" s="2204"/>
      <c r="S197" s="2204"/>
      <c r="T197" s="2204"/>
    </row>
    <row r="198" spans="1:20">
      <c r="A198" s="2204"/>
      <c r="B198" s="2204"/>
      <c r="C198" s="2204"/>
      <c r="D198" s="2204"/>
      <c r="E198" s="2204"/>
      <c r="F198" s="2204"/>
      <c r="G198" s="2204"/>
      <c r="H198" s="2204"/>
      <c r="I198" s="2205"/>
      <c r="J198" s="2204"/>
      <c r="K198" s="2204"/>
      <c r="L198" s="2204"/>
      <c r="M198" s="2204"/>
      <c r="N198" s="2204"/>
      <c r="O198" s="2204"/>
      <c r="P198" s="2204"/>
      <c r="Q198" s="2204"/>
      <c r="R198" s="2204"/>
      <c r="S198" s="2204"/>
      <c r="T198" s="2204"/>
    </row>
    <row r="199" spans="1:20">
      <c r="A199" s="2204"/>
      <c r="B199" s="2204"/>
      <c r="C199" s="2204"/>
      <c r="D199" s="2204"/>
      <c r="E199" s="2204"/>
      <c r="F199" s="2204"/>
      <c r="G199" s="2204"/>
      <c r="H199" s="2204"/>
      <c r="I199" s="2205"/>
      <c r="J199" s="2204"/>
      <c r="K199" s="2204"/>
      <c r="L199" s="2204"/>
      <c r="M199" s="2204"/>
      <c r="N199" s="2204"/>
      <c r="O199" s="2204"/>
      <c r="P199" s="2204"/>
      <c r="Q199" s="2204"/>
      <c r="R199" s="2204"/>
      <c r="S199" s="2204"/>
      <c r="T199" s="2204"/>
    </row>
    <row r="200" spans="1:20">
      <c r="A200" s="2204"/>
      <c r="B200" s="2204"/>
      <c r="C200" s="2204"/>
      <c r="D200" s="2204"/>
      <c r="E200" s="2204"/>
      <c r="F200" s="2204"/>
      <c r="G200" s="2204"/>
      <c r="H200" s="2204"/>
      <c r="I200" s="2205"/>
      <c r="J200" s="2204"/>
      <c r="K200" s="2204"/>
      <c r="L200" s="2204"/>
      <c r="M200" s="2204"/>
      <c r="N200" s="2204"/>
      <c r="O200" s="2204"/>
      <c r="P200" s="2204"/>
      <c r="Q200" s="2204"/>
      <c r="R200" s="2204"/>
      <c r="S200" s="2204"/>
      <c r="T200" s="2204"/>
    </row>
    <row r="201" spans="1:20">
      <c r="A201" s="2204"/>
      <c r="B201" s="2204"/>
      <c r="C201" s="2204"/>
      <c r="D201" s="2204"/>
      <c r="E201" s="2204"/>
      <c r="F201" s="2204"/>
      <c r="G201" s="2204"/>
      <c r="H201" s="2204"/>
      <c r="I201" s="2205"/>
      <c r="J201" s="2204"/>
      <c r="K201" s="2204"/>
      <c r="L201" s="2204"/>
      <c r="M201" s="2204"/>
      <c r="N201" s="2204"/>
      <c r="O201" s="2204"/>
      <c r="P201" s="2204"/>
      <c r="Q201" s="2204"/>
      <c r="R201" s="2204"/>
      <c r="S201" s="2204"/>
      <c r="T201" s="2204"/>
    </row>
    <row r="202" spans="1:20">
      <c r="A202" s="2204"/>
      <c r="B202" s="2204"/>
      <c r="C202" s="2204"/>
      <c r="D202" s="2204"/>
      <c r="E202" s="2204"/>
      <c r="F202" s="2204"/>
      <c r="G202" s="2204"/>
      <c r="H202" s="2204"/>
      <c r="I202" s="2205"/>
      <c r="J202" s="2204"/>
      <c r="K202" s="2204"/>
      <c r="L202" s="2204"/>
      <c r="M202" s="2204"/>
      <c r="N202" s="2204"/>
      <c r="O202" s="2204"/>
      <c r="P202" s="2204"/>
      <c r="Q202" s="2204"/>
      <c r="R202" s="2204"/>
      <c r="S202" s="2204"/>
      <c r="T202" s="2204"/>
    </row>
    <row r="203" spans="1:20">
      <c r="A203" s="2204"/>
      <c r="B203" s="2204"/>
      <c r="C203" s="2204"/>
      <c r="D203" s="2204"/>
      <c r="E203" s="2204"/>
      <c r="F203" s="2204"/>
      <c r="G203" s="2204"/>
      <c r="H203" s="2204"/>
      <c r="I203" s="2205"/>
      <c r="J203" s="2204"/>
      <c r="K203" s="2204"/>
      <c r="L203" s="2204"/>
      <c r="M203" s="2204"/>
      <c r="N203" s="2204"/>
      <c r="O203" s="2204"/>
      <c r="P203" s="2204"/>
      <c r="Q203" s="2204"/>
      <c r="R203" s="2204"/>
      <c r="S203" s="2204"/>
      <c r="T203" s="2204"/>
    </row>
    <row r="204" spans="1:20">
      <c r="A204" s="2204"/>
      <c r="B204" s="2204"/>
      <c r="C204" s="2204"/>
      <c r="D204" s="2204"/>
      <c r="E204" s="2204"/>
      <c r="F204" s="2204"/>
      <c r="G204" s="2204"/>
      <c r="H204" s="2204"/>
      <c r="I204" s="2205"/>
      <c r="J204" s="2204"/>
      <c r="K204" s="2204"/>
      <c r="L204" s="2204"/>
      <c r="M204" s="2204"/>
      <c r="N204" s="2204"/>
      <c r="O204" s="2204"/>
      <c r="P204" s="2204"/>
      <c r="Q204" s="2204"/>
      <c r="R204" s="2204"/>
      <c r="S204" s="2204"/>
      <c r="T204" s="2204"/>
    </row>
    <row r="205" spans="1:20">
      <c r="A205" s="2204"/>
      <c r="B205" s="2204"/>
      <c r="C205" s="2204"/>
      <c r="D205" s="2204"/>
      <c r="E205" s="2204"/>
      <c r="F205" s="2204"/>
      <c r="G205" s="2204"/>
      <c r="H205" s="2204"/>
      <c r="I205" s="2205"/>
      <c r="J205" s="2204"/>
      <c r="K205" s="2204"/>
      <c r="L205" s="2204"/>
      <c r="M205" s="2204"/>
      <c r="N205" s="2204"/>
      <c r="O205" s="2204"/>
      <c r="P205" s="2204"/>
      <c r="Q205" s="2204"/>
      <c r="R205" s="2204"/>
      <c r="S205" s="2204"/>
      <c r="T205" s="2204"/>
    </row>
    <row r="206" spans="1:20">
      <c r="A206" s="2204"/>
      <c r="B206" s="2204"/>
      <c r="C206" s="2204"/>
      <c r="D206" s="2204"/>
      <c r="E206" s="2204"/>
      <c r="F206" s="2204"/>
      <c r="G206" s="2204"/>
      <c r="H206" s="2204"/>
      <c r="I206" s="2205"/>
      <c r="J206" s="2204"/>
      <c r="K206" s="2204"/>
      <c r="L206" s="2204"/>
      <c r="M206" s="2204"/>
      <c r="N206" s="2204"/>
      <c r="O206" s="2204"/>
      <c r="P206" s="2204"/>
      <c r="Q206" s="2204"/>
      <c r="R206" s="2204"/>
      <c r="S206" s="2204"/>
      <c r="T206" s="2204"/>
    </row>
    <row r="207" spans="1:20">
      <c r="A207" s="2204"/>
      <c r="B207" s="2204"/>
      <c r="C207" s="2204"/>
      <c r="D207" s="2204"/>
      <c r="E207" s="2204"/>
      <c r="F207" s="2204"/>
      <c r="G207" s="2204"/>
      <c r="H207" s="2204"/>
      <c r="I207" s="2205"/>
      <c r="J207" s="2204"/>
      <c r="K207" s="2204"/>
      <c r="L207" s="2204"/>
      <c r="M207" s="2204"/>
      <c r="N207" s="2204"/>
      <c r="O207" s="2204"/>
      <c r="P207" s="2204"/>
      <c r="Q207" s="2204"/>
      <c r="R207" s="2204"/>
      <c r="S207" s="2204"/>
      <c r="T207" s="2204"/>
    </row>
    <row r="208" spans="1:20">
      <c r="A208" s="2204"/>
      <c r="B208" s="2204"/>
      <c r="C208" s="2204"/>
      <c r="D208" s="2204"/>
      <c r="E208" s="2204"/>
      <c r="F208" s="2204"/>
      <c r="G208" s="2204"/>
      <c r="H208" s="2204"/>
      <c r="I208" s="2205"/>
      <c r="J208" s="2204"/>
      <c r="K208" s="2204"/>
      <c r="L208" s="2204"/>
      <c r="M208" s="2204"/>
      <c r="N208" s="2204"/>
      <c r="O208" s="2204"/>
      <c r="P208" s="2204"/>
      <c r="Q208" s="2204"/>
      <c r="R208" s="2204"/>
      <c r="S208" s="2204"/>
      <c r="T208" s="2204"/>
    </row>
    <row r="209" spans="1:20">
      <c r="A209" s="2204"/>
      <c r="B209" s="2204"/>
      <c r="C209" s="2204"/>
      <c r="D209" s="2204"/>
      <c r="E209" s="2204"/>
      <c r="F209" s="2204"/>
      <c r="G209" s="2204"/>
      <c r="H209" s="2204"/>
      <c r="I209" s="2205"/>
      <c r="J209" s="2204"/>
      <c r="K209" s="2204"/>
      <c r="L209" s="2204"/>
      <c r="M209" s="2204"/>
      <c r="N209" s="2204"/>
      <c r="O209" s="2204"/>
      <c r="P209" s="2204"/>
      <c r="Q209" s="2204"/>
      <c r="R209" s="2204"/>
      <c r="S209" s="2204"/>
      <c r="T209" s="2204"/>
    </row>
    <row r="210" spans="1:20">
      <c r="A210" s="2204"/>
      <c r="B210" s="2204"/>
      <c r="C210" s="2204"/>
      <c r="D210" s="2204"/>
      <c r="E210" s="2204"/>
      <c r="F210" s="2204"/>
      <c r="G210" s="2204"/>
      <c r="H210" s="2204"/>
      <c r="I210" s="2205"/>
      <c r="J210" s="2204"/>
      <c r="K210" s="2204"/>
      <c r="L210" s="2204"/>
      <c r="M210" s="2204"/>
      <c r="N210" s="2204"/>
      <c r="O210" s="2204"/>
      <c r="P210" s="2204"/>
      <c r="Q210" s="2204"/>
      <c r="R210" s="2204"/>
      <c r="S210" s="2204"/>
      <c r="T210" s="2204"/>
    </row>
    <row r="211" spans="1:20">
      <c r="A211" s="2204"/>
      <c r="B211" s="2204"/>
      <c r="C211" s="2204"/>
      <c r="D211" s="2204"/>
      <c r="E211" s="2204"/>
      <c r="F211" s="2204"/>
      <c r="G211" s="2204"/>
      <c r="H211" s="2204"/>
      <c r="I211" s="2205"/>
      <c r="J211" s="2204"/>
      <c r="K211" s="2204"/>
      <c r="L211" s="2204"/>
      <c r="M211" s="2204"/>
      <c r="N211" s="2204"/>
      <c r="O211" s="2204"/>
      <c r="P211" s="2204"/>
      <c r="Q211" s="2204"/>
      <c r="R211" s="2204"/>
      <c r="S211" s="2204"/>
      <c r="T211" s="2204"/>
    </row>
    <row r="212" spans="1:20">
      <c r="A212" s="2204"/>
      <c r="B212" s="2204"/>
      <c r="C212" s="2204"/>
      <c r="D212" s="2204"/>
      <c r="E212" s="2204"/>
      <c r="F212" s="2204"/>
      <c r="G212" s="2204"/>
      <c r="H212" s="2204"/>
      <c r="I212" s="2205"/>
      <c r="J212" s="2204"/>
      <c r="K212" s="2204"/>
      <c r="L212" s="2204"/>
      <c r="M212" s="2204"/>
      <c r="N212" s="2204"/>
      <c r="O212" s="2204"/>
      <c r="P212" s="2204"/>
      <c r="Q212" s="2204"/>
      <c r="R212" s="2204"/>
      <c r="S212" s="2204"/>
      <c r="T212" s="2204"/>
    </row>
    <row r="213" spans="1:20">
      <c r="A213" s="2204"/>
      <c r="B213" s="2204"/>
      <c r="C213" s="2204"/>
      <c r="D213" s="2204"/>
      <c r="E213" s="2204"/>
      <c r="F213" s="2204"/>
      <c r="G213" s="2204"/>
      <c r="H213" s="2204"/>
      <c r="I213" s="2205"/>
      <c r="J213" s="2204"/>
      <c r="K213" s="2204"/>
      <c r="L213" s="2204"/>
      <c r="M213" s="2204"/>
      <c r="N213" s="2204"/>
      <c r="O213" s="2204"/>
      <c r="P213" s="2204"/>
      <c r="Q213" s="2204"/>
      <c r="R213" s="2204"/>
      <c r="S213" s="2204"/>
      <c r="T213" s="2204"/>
    </row>
    <row r="214" spans="1:20">
      <c r="A214" s="2204"/>
      <c r="B214" s="2204"/>
      <c r="C214" s="2204"/>
      <c r="D214" s="2204"/>
      <c r="E214" s="2204"/>
      <c r="F214" s="2204"/>
      <c r="G214" s="2204"/>
      <c r="H214" s="2204"/>
      <c r="I214" s="2205"/>
      <c r="J214" s="2204"/>
      <c r="K214" s="2204"/>
      <c r="L214" s="2204"/>
      <c r="M214" s="2204"/>
      <c r="N214" s="2204"/>
      <c r="O214" s="2204"/>
      <c r="P214" s="2204"/>
      <c r="Q214" s="2204"/>
      <c r="R214" s="2204"/>
      <c r="S214" s="2204"/>
      <c r="T214" s="2204"/>
    </row>
    <row r="215" spans="1:20">
      <c r="A215" s="2204"/>
      <c r="B215" s="2204"/>
      <c r="C215" s="2204"/>
      <c r="D215" s="2204"/>
      <c r="E215" s="2204"/>
      <c r="F215" s="2204"/>
      <c r="G215" s="2204"/>
      <c r="H215" s="2204"/>
      <c r="I215" s="2205"/>
      <c r="J215" s="2204"/>
      <c r="K215" s="2204"/>
      <c r="L215" s="2204"/>
      <c r="M215" s="2204"/>
      <c r="N215" s="2204"/>
      <c r="O215" s="2204"/>
      <c r="P215" s="2204"/>
      <c r="Q215" s="2204"/>
      <c r="R215" s="2204"/>
      <c r="S215" s="2204"/>
      <c r="T215" s="2204"/>
    </row>
    <row r="216" spans="1:20">
      <c r="A216" s="2204"/>
      <c r="B216" s="2204"/>
      <c r="C216" s="2204"/>
      <c r="D216" s="2204"/>
      <c r="E216" s="2204"/>
      <c r="F216" s="2204"/>
      <c r="G216" s="2204"/>
      <c r="H216" s="2204"/>
      <c r="I216" s="2205"/>
      <c r="J216" s="2204"/>
      <c r="K216" s="2204"/>
      <c r="L216" s="2204"/>
      <c r="M216" s="2204"/>
      <c r="N216" s="2204"/>
      <c r="O216" s="2204"/>
      <c r="P216" s="2204"/>
      <c r="Q216" s="2204"/>
      <c r="R216" s="2204"/>
      <c r="S216" s="2204"/>
      <c r="T216" s="2204"/>
    </row>
    <row r="217" spans="1:20">
      <c r="A217" s="2204"/>
      <c r="B217" s="2204"/>
      <c r="C217" s="2204"/>
      <c r="D217" s="2204"/>
      <c r="E217" s="2204"/>
      <c r="F217" s="2204"/>
      <c r="G217" s="2204"/>
      <c r="H217" s="2204"/>
      <c r="I217" s="2205"/>
      <c r="J217" s="2204"/>
      <c r="K217" s="2204"/>
      <c r="L217" s="2204"/>
      <c r="M217" s="2204"/>
      <c r="N217" s="2204"/>
      <c r="O217" s="2204"/>
      <c r="P217" s="2204"/>
      <c r="Q217" s="2204"/>
      <c r="R217" s="2204"/>
      <c r="S217" s="2204"/>
      <c r="T217" s="2204"/>
    </row>
    <row r="218" spans="1:20">
      <c r="A218" s="2204"/>
      <c r="B218" s="2204"/>
      <c r="C218" s="2204"/>
      <c r="D218" s="2204"/>
      <c r="E218" s="2204"/>
      <c r="F218" s="2204"/>
      <c r="G218" s="2204"/>
      <c r="H218" s="2204"/>
      <c r="I218" s="2205"/>
      <c r="J218" s="2204"/>
      <c r="K218" s="2204"/>
      <c r="L218" s="2204"/>
      <c r="M218" s="2204"/>
      <c r="N218" s="2204"/>
      <c r="O218" s="2204"/>
      <c r="P218" s="2204"/>
      <c r="Q218" s="2204"/>
      <c r="R218" s="2204"/>
      <c r="S218" s="2204"/>
      <c r="T218" s="2204"/>
    </row>
    <row r="219" spans="1:20">
      <c r="A219" s="2204"/>
      <c r="B219" s="2204"/>
      <c r="C219" s="2204"/>
      <c r="D219" s="2204"/>
      <c r="E219" s="2204"/>
      <c r="F219" s="2204"/>
      <c r="G219" s="2204"/>
      <c r="H219" s="2204"/>
      <c r="I219" s="2205"/>
      <c r="J219" s="2204"/>
      <c r="K219" s="2204"/>
      <c r="L219" s="2204"/>
      <c r="M219" s="2204"/>
      <c r="N219" s="2204"/>
      <c r="O219" s="2204"/>
      <c r="P219" s="2204"/>
      <c r="Q219" s="2204"/>
      <c r="R219" s="2204"/>
      <c r="S219" s="2204"/>
      <c r="T219" s="2204"/>
    </row>
    <row r="220" spans="1:20">
      <c r="A220" s="2204"/>
      <c r="B220" s="2204"/>
      <c r="C220" s="2204"/>
      <c r="D220" s="2204"/>
      <c r="E220" s="2204"/>
      <c r="F220" s="2204"/>
      <c r="G220" s="2204"/>
      <c r="H220" s="2204"/>
      <c r="I220" s="2205"/>
      <c r="J220" s="2204"/>
      <c r="K220" s="2204"/>
      <c r="L220" s="2204"/>
      <c r="M220" s="2204"/>
      <c r="N220" s="2204"/>
      <c r="O220" s="2204"/>
      <c r="P220" s="2204"/>
      <c r="Q220" s="2204"/>
      <c r="R220" s="2204"/>
      <c r="S220" s="2204"/>
      <c r="T220" s="2204"/>
    </row>
    <row r="221" spans="1:20">
      <c r="A221" s="2204"/>
      <c r="B221" s="2204"/>
      <c r="C221" s="2204"/>
      <c r="D221" s="2204"/>
      <c r="E221" s="2204"/>
      <c r="F221" s="2204"/>
      <c r="G221" s="2204"/>
      <c r="H221" s="2204"/>
      <c r="I221" s="2205"/>
      <c r="J221" s="2204"/>
      <c r="K221" s="2204"/>
      <c r="L221" s="2204"/>
      <c r="M221" s="2204"/>
      <c r="N221" s="2204"/>
      <c r="O221" s="2204"/>
      <c r="P221" s="2204"/>
      <c r="Q221" s="2204"/>
      <c r="R221" s="2204"/>
      <c r="S221" s="2204"/>
      <c r="T221" s="2204"/>
    </row>
    <row r="222" spans="1:20">
      <c r="A222" s="2204"/>
      <c r="B222" s="2204"/>
      <c r="C222" s="2204"/>
      <c r="D222" s="2204"/>
      <c r="E222" s="2204"/>
      <c r="F222" s="2204"/>
      <c r="G222" s="2204"/>
      <c r="H222" s="2204"/>
      <c r="I222" s="2205"/>
      <c r="J222" s="2204"/>
      <c r="K222" s="2204"/>
      <c r="L222" s="2204"/>
      <c r="M222" s="2204"/>
      <c r="N222" s="2204"/>
      <c r="O222" s="2204"/>
      <c r="P222" s="2204"/>
      <c r="Q222" s="2204"/>
      <c r="R222" s="2204"/>
      <c r="S222" s="2204"/>
      <c r="T222" s="2204"/>
    </row>
    <row r="223" spans="1:20">
      <c r="A223" s="2204"/>
      <c r="B223" s="2204"/>
      <c r="C223" s="2204"/>
      <c r="D223" s="2204"/>
      <c r="E223" s="2204"/>
      <c r="F223" s="2204"/>
      <c r="G223" s="2204"/>
      <c r="H223" s="2204"/>
      <c r="I223" s="2205"/>
      <c r="J223" s="2204"/>
      <c r="K223" s="2204"/>
      <c r="L223" s="2204"/>
      <c r="M223" s="2204"/>
      <c r="N223" s="2204"/>
      <c r="O223" s="2204"/>
      <c r="P223" s="2204"/>
      <c r="Q223" s="2204"/>
      <c r="R223" s="2204"/>
      <c r="S223" s="2204"/>
      <c r="T223" s="2204"/>
    </row>
    <row r="224" spans="1:20">
      <c r="A224" s="2204"/>
      <c r="B224" s="2204"/>
      <c r="C224" s="2204"/>
      <c r="D224" s="2204"/>
      <c r="E224" s="2204"/>
      <c r="F224" s="2204"/>
      <c r="G224" s="2204"/>
      <c r="H224" s="2204"/>
      <c r="I224" s="2205"/>
      <c r="J224" s="2204"/>
      <c r="K224" s="2204"/>
      <c r="L224" s="2204"/>
      <c r="M224" s="2204"/>
      <c r="N224" s="2204"/>
      <c r="O224" s="2204"/>
      <c r="P224" s="2204"/>
      <c r="Q224" s="2204"/>
      <c r="R224" s="2204"/>
      <c r="S224" s="2204"/>
      <c r="T224" s="2204"/>
    </row>
    <row r="225" spans="1:20">
      <c r="A225" s="2204"/>
      <c r="B225" s="2204"/>
      <c r="C225" s="2204"/>
      <c r="D225" s="2204"/>
      <c r="E225" s="2204"/>
      <c r="F225" s="2204"/>
      <c r="G225" s="2204"/>
      <c r="H225" s="2204"/>
      <c r="I225" s="2205"/>
      <c r="J225" s="2204"/>
      <c r="K225" s="2204"/>
      <c r="L225" s="2204"/>
      <c r="M225" s="2204"/>
      <c r="N225" s="2204"/>
      <c r="O225" s="2204"/>
      <c r="P225" s="2204"/>
      <c r="Q225" s="2204"/>
      <c r="R225" s="2204"/>
      <c r="S225" s="2204"/>
      <c r="T225" s="2204"/>
    </row>
    <row r="226" spans="1:20">
      <c r="A226" s="2204"/>
      <c r="B226" s="2204"/>
      <c r="C226" s="2204"/>
      <c r="D226" s="2204"/>
      <c r="E226" s="2204"/>
      <c r="F226" s="2204"/>
      <c r="G226" s="2204"/>
      <c r="H226" s="2204"/>
      <c r="I226" s="2205"/>
      <c r="J226" s="2204"/>
      <c r="K226" s="2204"/>
      <c r="L226" s="2204"/>
      <c r="M226" s="2204"/>
      <c r="N226" s="2204"/>
      <c r="O226" s="2204"/>
      <c r="P226" s="2204"/>
      <c r="Q226" s="2204"/>
      <c r="R226" s="2204"/>
      <c r="S226" s="2204"/>
      <c r="T226" s="2204"/>
    </row>
    <row r="227" spans="1:20">
      <c r="A227" s="2204"/>
      <c r="B227" s="2204"/>
      <c r="C227" s="2204"/>
      <c r="D227" s="2204"/>
      <c r="E227" s="2204"/>
      <c r="F227" s="2204"/>
      <c r="G227" s="2204"/>
      <c r="H227" s="2204"/>
      <c r="I227" s="2205"/>
      <c r="J227" s="2204"/>
      <c r="K227" s="2204"/>
      <c r="L227" s="2204"/>
      <c r="M227" s="2204"/>
      <c r="N227" s="2204"/>
      <c r="O227" s="2204"/>
      <c r="P227" s="2204"/>
      <c r="Q227" s="2204"/>
      <c r="R227" s="2204"/>
      <c r="S227" s="2204"/>
      <c r="T227" s="2204"/>
    </row>
    <row r="228" spans="1:20">
      <c r="A228" s="2204"/>
      <c r="B228" s="2204"/>
      <c r="C228" s="2204"/>
      <c r="D228" s="2204"/>
      <c r="E228" s="2204"/>
      <c r="F228" s="2204"/>
      <c r="G228" s="2204"/>
      <c r="H228" s="2204"/>
      <c r="I228" s="2205"/>
      <c r="J228" s="2204"/>
      <c r="K228" s="2204"/>
      <c r="L228" s="2204"/>
      <c r="M228" s="2204"/>
      <c r="N228" s="2204"/>
      <c r="O228" s="2204"/>
      <c r="P228" s="2204"/>
      <c r="Q228" s="2204"/>
      <c r="R228" s="2204"/>
      <c r="S228" s="2204"/>
      <c r="T228" s="2204"/>
    </row>
    <row r="229" spans="1:20">
      <c r="A229" s="2204"/>
      <c r="B229" s="2204"/>
      <c r="C229" s="2204"/>
      <c r="D229" s="2204"/>
      <c r="E229" s="2204"/>
      <c r="F229" s="2204"/>
      <c r="G229" s="2204"/>
      <c r="H229" s="2204"/>
      <c r="I229" s="2205"/>
      <c r="J229" s="2204"/>
      <c r="K229" s="2204"/>
      <c r="L229" s="2204"/>
      <c r="M229" s="2204"/>
      <c r="N229" s="2204"/>
      <c r="O229" s="2204"/>
      <c r="P229" s="2204"/>
      <c r="Q229" s="2204"/>
      <c r="R229" s="2204"/>
      <c r="S229" s="2204"/>
      <c r="T229" s="2204"/>
    </row>
    <row r="230" spans="1:20">
      <c r="A230" s="2204"/>
      <c r="B230" s="2204"/>
      <c r="C230" s="2204"/>
      <c r="D230" s="2204"/>
      <c r="E230" s="2204"/>
      <c r="F230" s="2204"/>
      <c r="G230" s="2204"/>
      <c r="H230" s="2204"/>
      <c r="I230" s="2205"/>
      <c r="J230" s="2204"/>
      <c r="K230" s="2204"/>
      <c r="L230" s="2204"/>
      <c r="M230" s="2204"/>
      <c r="N230" s="2204"/>
      <c r="O230" s="2204"/>
      <c r="P230" s="2204"/>
      <c r="Q230" s="2204"/>
      <c r="R230" s="2204"/>
      <c r="S230" s="2204"/>
      <c r="T230" s="2204"/>
    </row>
    <row r="231" spans="1:20">
      <c r="A231" s="2204"/>
      <c r="B231" s="2204"/>
      <c r="C231" s="2204"/>
      <c r="D231" s="2204"/>
      <c r="E231" s="2204"/>
      <c r="F231" s="2204"/>
      <c r="G231" s="2204"/>
      <c r="H231" s="2204"/>
      <c r="I231" s="2205"/>
      <c r="J231" s="2204"/>
      <c r="K231" s="2204"/>
      <c r="L231" s="2204"/>
      <c r="M231" s="2204"/>
      <c r="N231" s="2204"/>
      <c r="O231" s="2204"/>
      <c r="P231" s="2204"/>
      <c r="Q231" s="2204"/>
      <c r="R231" s="2204"/>
      <c r="S231" s="2204"/>
      <c r="T231" s="2204"/>
    </row>
    <row r="232" spans="1:20">
      <c r="A232" s="2204"/>
      <c r="B232" s="2204"/>
      <c r="C232" s="2204"/>
      <c r="D232" s="2204"/>
      <c r="E232" s="2204"/>
      <c r="F232" s="2204"/>
      <c r="G232" s="2204"/>
      <c r="H232" s="2204"/>
      <c r="I232" s="2205"/>
      <c r="J232" s="2204"/>
      <c r="K232" s="2204"/>
      <c r="L232" s="2204"/>
      <c r="M232" s="2204"/>
      <c r="N232" s="2204"/>
      <c r="O232" s="2204"/>
      <c r="P232" s="2204"/>
      <c r="Q232" s="2204"/>
      <c r="R232" s="2204"/>
      <c r="S232" s="2204"/>
      <c r="T232" s="2204"/>
    </row>
    <row r="233" spans="1:20">
      <c r="A233" s="2204"/>
      <c r="B233" s="2204"/>
      <c r="C233" s="2204"/>
      <c r="D233" s="2204"/>
      <c r="E233" s="2204"/>
      <c r="F233" s="2204"/>
      <c r="G233" s="2204"/>
      <c r="H233" s="2204"/>
      <c r="I233" s="2205"/>
      <c r="J233" s="2204"/>
      <c r="K233" s="2204"/>
      <c r="L233" s="2204"/>
      <c r="M233" s="2204"/>
      <c r="N233" s="2204"/>
      <c r="O233" s="2204"/>
      <c r="P233" s="2204"/>
      <c r="Q233" s="2204"/>
      <c r="R233" s="2204"/>
      <c r="S233" s="2204"/>
      <c r="T233" s="2204"/>
    </row>
    <row r="234" spans="1:20">
      <c r="A234" s="2204"/>
      <c r="B234" s="2204"/>
      <c r="C234" s="2204"/>
      <c r="D234" s="2204"/>
      <c r="E234" s="2204"/>
      <c r="F234" s="2204"/>
      <c r="G234" s="2204"/>
      <c r="H234" s="2204"/>
      <c r="I234" s="2205"/>
      <c r="J234" s="2204"/>
      <c r="K234" s="2204"/>
      <c r="L234" s="2204"/>
      <c r="M234" s="2204"/>
      <c r="N234" s="2204"/>
      <c r="O234" s="2204"/>
      <c r="P234" s="2204"/>
      <c r="Q234" s="2204"/>
      <c r="R234" s="2204"/>
      <c r="S234" s="2204"/>
      <c r="T234" s="2204"/>
    </row>
    <row r="235" spans="1:20">
      <c r="A235" s="2204"/>
      <c r="B235" s="2204"/>
      <c r="C235" s="2204"/>
      <c r="D235" s="2204"/>
      <c r="E235" s="2204"/>
      <c r="F235" s="2204"/>
      <c r="G235" s="2204"/>
      <c r="H235" s="2204"/>
      <c r="I235" s="2205"/>
      <c r="J235" s="2204"/>
      <c r="K235" s="2204"/>
      <c r="L235" s="2204"/>
      <c r="M235" s="2204"/>
      <c r="N235" s="2204"/>
      <c r="O235" s="2204"/>
      <c r="P235" s="2204"/>
      <c r="Q235" s="2204"/>
      <c r="R235" s="2204"/>
      <c r="S235" s="2204"/>
      <c r="T235" s="2204"/>
    </row>
    <row r="236" spans="1:20">
      <c r="A236" s="2204"/>
      <c r="B236" s="2204"/>
      <c r="C236" s="2204"/>
      <c r="D236" s="2204"/>
      <c r="E236" s="2204"/>
      <c r="F236" s="2204"/>
      <c r="G236" s="2204"/>
      <c r="H236" s="2204"/>
      <c r="I236" s="2205"/>
      <c r="J236" s="2204"/>
      <c r="K236" s="2204"/>
      <c r="L236" s="2204"/>
      <c r="M236" s="2204"/>
      <c r="N236" s="2204"/>
      <c r="O236" s="2204"/>
      <c r="P236" s="2204"/>
      <c r="Q236" s="2204"/>
      <c r="R236" s="2204"/>
      <c r="S236" s="2204"/>
      <c r="T236" s="2204"/>
    </row>
    <row r="237" spans="1:20">
      <c r="A237" s="2204"/>
      <c r="B237" s="2204"/>
      <c r="C237" s="2204"/>
      <c r="D237" s="2204"/>
      <c r="E237" s="2204"/>
      <c r="F237" s="2204"/>
      <c r="G237" s="2204"/>
      <c r="H237" s="2204"/>
      <c r="I237" s="2205"/>
      <c r="J237" s="2204"/>
      <c r="K237" s="2204"/>
      <c r="L237" s="2204"/>
      <c r="M237" s="2204"/>
      <c r="N237" s="2204"/>
      <c r="O237" s="2204"/>
      <c r="P237" s="2204"/>
      <c r="Q237" s="2204"/>
      <c r="R237" s="2204"/>
      <c r="S237" s="2204"/>
      <c r="T237" s="2204"/>
    </row>
    <row r="238" spans="1:20">
      <c r="A238" s="2204"/>
      <c r="B238" s="2204"/>
      <c r="C238" s="2204"/>
      <c r="D238" s="2204"/>
      <c r="E238" s="2204"/>
      <c r="F238" s="2204"/>
      <c r="G238" s="2204"/>
      <c r="H238" s="2204"/>
      <c r="I238" s="2205"/>
      <c r="J238" s="2204"/>
      <c r="K238" s="2204"/>
      <c r="L238" s="2204"/>
      <c r="M238" s="2204"/>
      <c r="N238" s="2204"/>
      <c r="O238" s="2204"/>
      <c r="P238" s="2204"/>
      <c r="Q238" s="2204"/>
      <c r="R238" s="2204"/>
      <c r="S238" s="2204"/>
      <c r="T238" s="2204"/>
    </row>
    <row r="239" spans="1:20">
      <c r="A239" s="2204"/>
      <c r="B239" s="2204"/>
      <c r="C239" s="2204"/>
      <c r="D239" s="2204"/>
      <c r="E239" s="2204"/>
      <c r="F239" s="2204"/>
      <c r="G239" s="2204"/>
      <c r="H239" s="2204"/>
      <c r="I239" s="2205"/>
      <c r="J239" s="2204"/>
      <c r="K239" s="2204"/>
      <c r="L239" s="2204"/>
      <c r="M239" s="2204"/>
      <c r="N239" s="2204"/>
      <c r="O239" s="2204"/>
      <c r="P239" s="2204"/>
      <c r="Q239" s="2204"/>
      <c r="R239" s="2204"/>
      <c r="S239" s="2204"/>
      <c r="T239" s="2204"/>
    </row>
    <row r="240" spans="1:20">
      <c r="A240" s="2204"/>
      <c r="B240" s="2204"/>
      <c r="C240" s="2204"/>
      <c r="D240" s="2204"/>
      <c r="E240" s="2204"/>
      <c r="F240" s="2204"/>
      <c r="G240" s="2204"/>
      <c r="H240" s="2204"/>
      <c r="I240" s="2205"/>
      <c r="J240" s="2204"/>
      <c r="K240" s="2204"/>
      <c r="L240" s="2204"/>
      <c r="M240" s="2204"/>
      <c r="N240" s="2204"/>
      <c r="O240" s="2204"/>
      <c r="P240" s="2204"/>
      <c r="Q240" s="2204"/>
      <c r="R240" s="2204"/>
      <c r="S240" s="2204"/>
      <c r="T240" s="2204"/>
    </row>
    <row r="241" spans="1:20">
      <c r="A241" s="2204"/>
      <c r="B241" s="2204"/>
      <c r="C241" s="2204"/>
      <c r="D241" s="2204"/>
      <c r="E241" s="2204"/>
      <c r="F241" s="2204"/>
      <c r="G241" s="2204"/>
      <c r="H241" s="2204"/>
      <c r="I241" s="2205"/>
      <c r="J241" s="2204"/>
      <c r="K241" s="2204"/>
      <c r="L241" s="2204"/>
      <c r="M241" s="2204"/>
      <c r="N241" s="2204"/>
      <c r="O241" s="2204"/>
      <c r="P241" s="2204"/>
      <c r="Q241" s="2204"/>
      <c r="R241" s="2204"/>
      <c r="S241" s="2204"/>
      <c r="T241" s="2204"/>
    </row>
    <row r="242" spans="1:20">
      <c r="A242" s="2204"/>
      <c r="B242" s="2204"/>
      <c r="C242" s="2204"/>
      <c r="D242" s="2204"/>
      <c r="E242" s="2204"/>
      <c r="F242" s="2204"/>
      <c r="G242" s="2204"/>
      <c r="H242" s="2204"/>
      <c r="I242" s="2205"/>
      <c r="J242" s="2204"/>
      <c r="K242" s="2204"/>
      <c r="L242" s="2204"/>
      <c r="M242" s="2204"/>
      <c r="N242" s="2204"/>
      <c r="O242" s="2204"/>
      <c r="P242" s="2204"/>
      <c r="Q242" s="2204"/>
      <c r="R242" s="2204"/>
      <c r="S242" s="2204"/>
      <c r="T242" s="2204"/>
    </row>
    <row r="243" spans="1:20">
      <c r="A243" s="2204"/>
      <c r="B243" s="2204"/>
      <c r="C243" s="2204"/>
      <c r="D243" s="2204"/>
      <c r="E243" s="2204"/>
      <c r="F243" s="2204"/>
      <c r="G243" s="2204"/>
      <c r="H243" s="2204"/>
      <c r="I243" s="2205"/>
      <c r="J243" s="2204"/>
      <c r="K243" s="2204"/>
      <c r="L243" s="2204"/>
      <c r="M243" s="2204"/>
      <c r="N243" s="2204"/>
      <c r="O243" s="2204"/>
      <c r="P243" s="2204"/>
      <c r="Q243" s="2204"/>
      <c r="R243" s="2204"/>
      <c r="S243" s="2204"/>
      <c r="T243" s="2204"/>
    </row>
    <row r="244" spans="1:20">
      <c r="A244" s="2204"/>
      <c r="B244" s="2204"/>
      <c r="C244" s="2204"/>
      <c r="D244" s="2204"/>
      <c r="E244" s="2204"/>
      <c r="F244" s="2204"/>
      <c r="G244" s="2204"/>
      <c r="H244" s="2204"/>
      <c r="I244" s="2205"/>
      <c r="J244" s="2204"/>
      <c r="K244" s="2204"/>
      <c r="L244" s="2204"/>
      <c r="M244" s="2204"/>
      <c r="N244" s="2204"/>
      <c r="O244" s="2204"/>
      <c r="P244" s="2204"/>
      <c r="Q244" s="2204"/>
      <c r="R244" s="2204"/>
      <c r="S244" s="2204"/>
      <c r="T244" s="2204"/>
    </row>
    <row r="245" spans="1:20">
      <c r="A245" s="2204"/>
      <c r="B245" s="2204"/>
      <c r="C245" s="2204"/>
      <c r="D245" s="2204"/>
      <c r="E245" s="2204"/>
      <c r="F245" s="2204"/>
      <c r="G245" s="2204"/>
      <c r="H245" s="2204"/>
      <c r="I245" s="2205"/>
      <c r="J245" s="2204"/>
      <c r="K245" s="2204"/>
      <c r="L245" s="2204"/>
      <c r="M245" s="2204"/>
      <c r="N245" s="2204"/>
      <c r="O245" s="2204"/>
      <c r="P245" s="2204"/>
      <c r="Q245" s="2204"/>
      <c r="R245" s="2204"/>
      <c r="S245" s="2204"/>
      <c r="T245" s="2204"/>
    </row>
    <row r="246" spans="1:20">
      <c r="A246" s="2204"/>
      <c r="B246" s="2204"/>
      <c r="C246" s="2204"/>
      <c r="D246" s="2204"/>
      <c r="E246" s="2204"/>
      <c r="F246" s="2204"/>
      <c r="G246" s="2204"/>
      <c r="H246" s="2204"/>
      <c r="I246" s="2205"/>
      <c r="J246" s="2204"/>
      <c r="K246" s="2204"/>
      <c r="L246" s="2204"/>
      <c r="M246" s="2204"/>
      <c r="N246" s="2204"/>
      <c r="O246" s="2204"/>
      <c r="P246" s="2204"/>
      <c r="Q246" s="2204"/>
      <c r="R246" s="2204"/>
      <c r="S246" s="2204"/>
      <c r="T246" s="2204"/>
    </row>
    <row r="247" spans="1:20">
      <c r="A247" s="2204"/>
      <c r="B247" s="2204"/>
      <c r="C247" s="2204"/>
      <c r="D247" s="2204"/>
      <c r="E247" s="2204"/>
      <c r="F247" s="2204"/>
      <c r="G247" s="2204"/>
      <c r="H247" s="2204"/>
      <c r="I247" s="2205"/>
      <c r="J247" s="2204"/>
      <c r="K247" s="2204"/>
      <c r="L247" s="2204"/>
      <c r="M247" s="2204"/>
      <c r="N247" s="2204"/>
      <c r="O247" s="2204"/>
      <c r="P247" s="2204"/>
      <c r="Q247" s="2204"/>
      <c r="R247" s="2204"/>
      <c r="S247" s="2204"/>
      <c r="T247" s="2204"/>
    </row>
    <row r="248" spans="1:20">
      <c r="A248" s="2204"/>
      <c r="B248" s="2204"/>
      <c r="C248" s="2204"/>
      <c r="D248" s="2204"/>
      <c r="E248" s="2204"/>
      <c r="F248" s="2204"/>
      <c r="G248" s="2204"/>
      <c r="H248" s="2204"/>
      <c r="I248" s="2205"/>
      <c r="J248" s="2204"/>
      <c r="K248" s="2204"/>
      <c r="L248" s="2204"/>
      <c r="M248" s="2204"/>
      <c r="N248" s="2204"/>
      <c r="O248" s="2204"/>
      <c r="P248" s="2204"/>
      <c r="Q248" s="2204"/>
      <c r="R248" s="2204"/>
      <c r="S248" s="2204"/>
      <c r="T248" s="2204"/>
    </row>
    <row r="249" spans="1:20">
      <c r="A249" s="2204"/>
      <c r="B249" s="2204"/>
      <c r="C249" s="2204"/>
      <c r="D249" s="2204"/>
      <c r="E249" s="2204"/>
      <c r="F249" s="2204"/>
      <c r="G249" s="2204"/>
      <c r="H249" s="2204"/>
      <c r="I249" s="2205"/>
      <c r="J249" s="2204"/>
      <c r="K249" s="2204"/>
      <c r="L249" s="2204"/>
      <c r="M249" s="2204"/>
      <c r="N249" s="2204"/>
      <c r="O249" s="2204"/>
      <c r="P249" s="2204"/>
      <c r="Q249" s="2204"/>
      <c r="R249" s="2204"/>
      <c r="S249" s="2204"/>
      <c r="T249" s="2204"/>
    </row>
    <row r="250" spans="1:20">
      <c r="A250" s="2204"/>
      <c r="B250" s="2204"/>
      <c r="C250" s="2204"/>
      <c r="D250" s="2204"/>
      <c r="E250" s="2204"/>
      <c r="F250" s="2204"/>
      <c r="G250" s="2204"/>
      <c r="H250" s="2204"/>
      <c r="I250" s="2205"/>
      <c r="J250" s="2204"/>
      <c r="K250" s="2204"/>
      <c r="L250" s="2204"/>
      <c r="M250" s="2204"/>
      <c r="N250" s="2204"/>
      <c r="O250" s="2204"/>
      <c r="P250" s="2204"/>
      <c r="Q250" s="2204"/>
      <c r="R250" s="2204"/>
      <c r="S250" s="2204"/>
      <c r="T250" s="2204"/>
    </row>
    <row r="251" spans="1:20">
      <c r="A251" s="2204"/>
      <c r="B251" s="2204"/>
      <c r="C251" s="2204"/>
      <c r="D251" s="2204"/>
      <c r="E251" s="2204"/>
      <c r="F251" s="2204"/>
      <c r="G251" s="2204"/>
      <c r="H251" s="2204"/>
      <c r="I251" s="2205"/>
      <c r="J251" s="2204"/>
      <c r="K251" s="2204"/>
      <c r="L251" s="2204"/>
      <c r="M251" s="2204"/>
      <c r="N251" s="2204"/>
      <c r="O251" s="2204"/>
      <c r="P251" s="2204"/>
      <c r="Q251" s="2204"/>
      <c r="R251" s="2204"/>
      <c r="S251" s="2204"/>
      <c r="T251" s="2204"/>
    </row>
    <row r="252" spans="1:20">
      <c r="A252" s="2204"/>
      <c r="B252" s="2204"/>
      <c r="C252" s="2204"/>
      <c r="D252" s="2204"/>
      <c r="E252" s="2204"/>
      <c r="F252" s="2204"/>
      <c r="G252" s="2204"/>
      <c r="H252" s="2204"/>
      <c r="I252" s="2205"/>
      <c r="J252" s="2204"/>
      <c r="K252" s="2204"/>
      <c r="L252" s="2204"/>
      <c r="M252" s="2204"/>
      <c r="N252" s="2204"/>
      <c r="O252" s="2204"/>
      <c r="P252" s="2204"/>
      <c r="Q252" s="2204"/>
      <c r="R252" s="2204"/>
      <c r="S252" s="2204"/>
      <c r="T252" s="2204"/>
    </row>
    <row r="253" spans="1:20">
      <c r="A253" s="2204"/>
      <c r="B253" s="2204"/>
      <c r="C253" s="2204"/>
      <c r="D253" s="2204"/>
      <c r="E253" s="2204"/>
      <c r="F253" s="2204"/>
      <c r="G253" s="2204"/>
      <c r="H253" s="2204"/>
      <c r="I253" s="2205"/>
      <c r="J253" s="2204"/>
      <c r="K253" s="2204"/>
      <c r="L253" s="2204"/>
      <c r="M253" s="2204"/>
      <c r="N253" s="2204"/>
      <c r="O253" s="2204"/>
      <c r="P253" s="2204"/>
      <c r="Q253" s="2204"/>
      <c r="R253" s="2204"/>
      <c r="S253" s="2204"/>
      <c r="T253" s="2204"/>
    </row>
    <row r="254" spans="1:20">
      <c r="A254" s="2204"/>
      <c r="B254" s="2204"/>
      <c r="C254" s="2204"/>
      <c r="D254" s="2204"/>
      <c r="E254" s="2204"/>
      <c r="F254" s="2204"/>
      <c r="G254" s="2204"/>
      <c r="H254" s="2204"/>
      <c r="I254" s="2205"/>
      <c r="J254" s="2204"/>
      <c r="K254" s="2204"/>
      <c r="L254" s="2204"/>
      <c r="M254" s="2204"/>
      <c r="N254" s="2204"/>
      <c r="O254" s="2204"/>
      <c r="P254" s="2204"/>
      <c r="Q254" s="2204"/>
      <c r="R254" s="2204"/>
      <c r="S254" s="2204"/>
      <c r="T254" s="2204"/>
    </row>
    <row r="255" spans="1:20">
      <c r="A255" s="2204"/>
      <c r="B255" s="2204"/>
      <c r="C255" s="2204"/>
      <c r="D255" s="2204"/>
      <c r="E255" s="2204"/>
      <c r="F255" s="2204"/>
      <c r="G255" s="2204"/>
      <c r="H255" s="2204"/>
      <c r="I255" s="2205"/>
      <c r="J255" s="2204"/>
      <c r="K255" s="2204"/>
      <c r="L255" s="2204"/>
      <c r="M255" s="2204"/>
      <c r="N255" s="2204"/>
      <c r="O255" s="2204"/>
      <c r="P255" s="2204"/>
      <c r="Q255" s="2204"/>
      <c r="R255" s="2204"/>
      <c r="S255" s="2204"/>
      <c r="T255" s="2204"/>
    </row>
    <row r="256" spans="1:20">
      <c r="A256" s="2204"/>
      <c r="B256" s="2204"/>
      <c r="C256" s="2204"/>
      <c r="D256" s="2204"/>
      <c r="E256" s="2204"/>
      <c r="F256" s="2204"/>
      <c r="G256" s="2204"/>
      <c r="H256" s="2204"/>
      <c r="I256" s="2205"/>
      <c r="J256" s="2204"/>
      <c r="K256" s="2204"/>
      <c r="L256" s="2204"/>
      <c r="M256" s="2204"/>
      <c r="N256" s="2204"/>
      <c r="O256" s="2204"/>
      <c r="P256" s="2204"/>
      <c r="Q256" s="2204"/>
      <c r="R256" s="2204"/>
      <c r="S256" s="2204"/>
      <c r="T256" s="2204"/>
    </row>
    <row r="257" spans="1:20">
      <c r="A257" s="2204"/>
      <c r="B257" s="2204"/>
      <c r="C257" s="2204"/>
      <c r="D257" s="2204"/>
      <c r="E257" s="2204"/>
      <c r="F257" s="2204"/>
      <c r="G257" s="2204"/>
      <c r="H257" s="2204"/>
      <c r="I257" s="2205"/>
      <c r="J257" s="2204"/>
      <c r="K257" s="2204"/>
      <c r="L257" s="2204"/>
      <c r="M257" s="2204"/>
      <c r="N257" s="2204"/>
      <c r="O257" s="2204"/>
      <c r="P257" s="2204"/>
      <c r="Q257" s="2204"/>
      <c r="R257" s="2204"/>
      <c r="S257" s="2204"/>
      <c r="T257" s="2204"/>
    </row>
    <row r="258" spans="1:20">
      <c r="A258" s="2204"/>
      <c r="B258" s="2204"/>
      <c r="C258" s="2204"/>
      <c r="D258" s="2204"/>
      <c r="E258" s="2204"/>
      <c r="F258" s="2204"/>
      <c r="G258" s="2204"/>
      <c r="H258" s="2204"/>
      <c r="I258" s="2205"/>
      <c r="J258" s="2204"/>
      <c r="K258" s="2204"/>
      <c r="L258" s="2204"/>
      <c r="M258" s="2204"/>
      <c r="N258" s="2204"/>
      <c r="O258" s="2204"/>
      <c r="P258" s="2204"/>
      <c r="Q258" s="2204"/>
      <c r="R258" s="2204"/>
      <c r="S258" s="2204"/>
      <c r="T258" s="2204"/>
    </row>
    <row r="259" spans="1:20">
      <c r="A259" s="2204"/>
      <c r="B259" s="2204"/>
      <c r="C259" s="2204"/>
      <c r="D259" s="2204"/>
      <c r="E259" s="2204"/>
      <c r="F259" s="2204"/>
      <c r="G259" s="2204"/>
      <c r="H259" s="2204"/>
      <c r="I259" s="2205"/>
      <c r="J259" s="2204"/>
      <c r="K259" s="2204"/>
      <c r="L259" s="2204"/>
      <c r="M259" s="2204"/>
      <c r="N259" s="2204"/>
      <c r="O259" s="2204"/>
      <c r="P259" s="2204"/>
      <c r="Q259" s="2204"/>
      <c r="R259" s="2204"/>
      <c r="S259" s="2204"/>
      <c r="T259" s="2204"/>
    </row>
    <row r="260" spans="1:20">
      <c r="A260" s="2204"/>
      <c r="B260" s="2204"/>
      <c r="C260" s="2204"/>
      <c r="D260" s="2204"/>
      <c r="E260" s="2204"/>
      <c r="F260" s="2204"/>
      <c r="G260" s="2204"/>
      <c r="H260" s="2204"/>
      <c r="I260" s="2205"/>
      <c r="J260" s="2204"/>
      <c r="K260" s="2204"/>
      <c r="L260" s="2204"/>
      <c r="M260" s="2204"/>
      <c r="N260" s="2204"/>
      <c r="O260" s="2204"/>
      <c r="P260" s="2204"/>
      <c r="Q260" s="2204"/>
      <c r="R260" s="2204"/>
      <c r="S260" s="2204"/>
      <c r="T260" s="2204"/>
    </row>
    <row r="261" spans="1:20">
      <c r="A261" s="2204"/>
      <c r="B261" s="2204"/>
      <c r="C261" s="2204"/>
      <c r="D261" s="2204"/>
      <c r="E261" s="2204"/>
      <c r="F261" s="2204"/>
      <c r="G261" s="2204"/>
      <c r="H261" s="2204"/>
      <c r="I261" s="2205"/>
      <c r="J261" s="2204"/>
      <c r="K261" s="2204"/>
      <c r="L261" s="2204"/>
      <c r="M261" s="2204"/>
      <c r="N261" s="2204"/>
      <c r="O261" s="2204"/>
      <c r="P261" s="2204"/>
      <c r="Q261" s="2204"/>
      <c r="R261" s="2204"/>
      <c r="S261" s="2204"/>
      <c r="T261" s="2204"/>
    </row>
    <row r="262" spans="1:20">
      <c r="A262" s="2204"/>
      <c r="B262" s="2204"/>
      <c r="C262" s="2204"/>
      <c r="D262" s="2204"/>
      <c r="E262" s="2204"/>
      <c r="F262" s="2204"/>
      <c r="G262" s="2204"/>
      <c r="H262" s="2204"/>
      <c r="I262" s="2205"/>
      <c r="J262" s="2204"/>
      <c r="K262" s="2204"/>
      <c r="L262" s="2204"/>
      <c r="M262" s="2204"/>
      <c r="N262" s="2204"/>
      <c r="O262" s="2204"/>
      <c r="P262" s="2204"/>
      <c r="Q262" s="2204"/>
      <c r="R262" s="2204"/>
      <c r="S262" s="2204"/>
      <c r="T262" s="2204"/>
    </row>
    <row r="263" spans="1:20">
      <c r="A263" s="2204"/>
      <c r="B263" s="2204"/>
      <c r="C263" s="2204"/>
      <c r="D263" s="2204"/>
      <c r="E263" s="2204"/>
      <c r="F263" s="2204"/>
      <c r="G263" s="2204"/>
      <c r="H263" s="2204"/>
      <c r="I263" s="2205"/>
      <c r="J263" s="2204"/>
      <c r="K263" s="2204"/>
      <c r="L263" s="2204"/>
      <c r="M263" s="2204"/>
      <c r="N263" s="2204"/>
      <c r="O263" s="2204"/>
      <c r="P263" s="2204"/>
      <c r="Q263" s="2204"/>
      <c r="R263" s="2204"/>
      <c r="S263" s="2204"/>
      <c r="T263" s="2204"/>
    </row>
    <row r="264" spans="1:20">
      <c r="A264" s="2204"/>
      <c r="B264" s="2204"/>
      <c r="C264" s="2204"/>
      <c r="D264" s="2204"/>
      <c r="E264" s="2204"/>
      <c r="F264" s="2204"/>
      <c r="G264" s="2204"/>
      <c r="H264" s="2204"/>
      <c r="I264" s="2205"/>
      <c r="J264" s="2204"/>
      <c r="K264" s="2204"/>
      <c r="L264" s="2204"/>
      <c r="M264" s="2204"/>
      <c r="N264" s="2204"/>
      <c r="O264" s="2204"/>
      <c r="P264" s="2204"/>
      <c r="Q264" s="2204"/>
      <c r="R264" s="2204"/>
      <c r="S264" s="2204"/>
      <c r="T264" s="2204"/>
    </row>
    <row r="265" spans="1:20">
      <c r="A265" s="2204"/>
      <c r="B265" s="2204"/>
      <c r="C265" s="2204"/>
      <c r="D265" s="2204"/>
      <c r="E265" s="2204"/>
      <c r="F265" s="2204"/>
      <c r="G265" s="2204"/>
      <c r="H265" s="2204"/>
      <c r="I265" s="2205"/>
      <c r="J265" s="2204"/>
      <c r="K265" s="2204"/>
      <c r="L265" s="2204"/>
      <c r="M265" s="2204"/>
      <c r="N265" s="2204"/>
      <c r="O265" s="2204"/>
      <c r="P265" s="2204"/>
      <c r="Q265" s="2204"/>
      <c r="R265" s="2204"/>
      <c r="S265" s="2204"/>
      <c r="T265" s="2204"/>
    </row>
    <row r="266" spans="1:20">
      <c r="A266" s="2204"/>
      <c r="B266" s="2204"/>
      <c r="C266" s="2204"/>
      <c r="D266" s="2204"/>
      <c r="E266" s="2204"/>
      <c r="F266" s="2204"/>
      <c r="G266" s="2204"/>
      <c r="H266" s="2204"/>
      <c r="I266" s="2205"/>
      <c r="J266" s="2204"/>
      <c r="K266" s="2204"/>
      <c r="L266" s="2204"/>
      <c r="M266" s="2204"/>
      <c r="N266" s="2204"/>
      <c r="O266" s="2204"/>
      <c r="P266" s="2204"/>
      <c r="Q266" s="2204"/>
      <c r="R266" s="2204"/>
      <c r="S266" s="2204"/>
      <c r="T266" s="2204"/>
    </row>
    <row r="267" spans="1:20">
      <c r="A267" s="2204"/>
      <c r="B267" s="2204"/>
      <c r="C267" s="2204"/>
      <c r="D267" s="2204"/>
      <c r="E267" s="2204"/>
      <c r="F267" s="2204"/>
      <c r="G267" s="2204"/>
      <c r="H267" s="2204"/>
      <c r="I267" s="2205"/>
      <c r="J267" s="2204"/>
      <c r="K267" s="2204"/>
      <c r="L267" s="2204"/>
      <c r="M267" s="2204"/>
      <c r="N267" s="2204"/>
      <c r="O267" s="2204"/>
      <c r="P267" s="2204"/>
      <c r="Q267" s="2204"/>
      <c r="R267" s="2204"/>
      <c r="S267" s="2204"/>
      <c r="T267" s="2204"/>
    </row>
    <row r="268" spans="1:20">
      <c r="A268" s="2204"/>
      <c r="B268" s="2204"/>
      <c r="C268" s="2204"/>
      <c r="D268" s="2204"/>
      <c r="E268" s="2204"/>
      <c r="F268" s="2204"/>
      <c r="G268" s="2204"/>
      <c r="H268" s="2204"/>
      <c r="I268" s="2205"/>
      <c r="J268" s="2204"/>
      <c r="K268" s="2204"/>
      <c r="L268" s="2204"/>
      <c r="M268" s="2204"/>
      <c r="N268" s="2204"/>
      <c r="O268" s="2204"/>
      <c r="P268" s="2204"/>
      <c r="Q268" s="2204"/>
      <c r="R268" s="2204"/>
      <c r="S268" s="2204"/>
      <c r="T268" s="2204"/>
    </row>
    <row r="269" spans="1:20">
      <c r="A269" s="2204"/>
      <c r="B269" s="2204"/>
      <c r="C269" s="2204"/>
      <c r="D269" s="2204"/>
      <c r="E269" s="2204"/>
      <c r="F269" s="2204"/>
      <c r="G269" s="2204"/>
      <c r="H269" s="2204"/>
      <c r="I269" s="2205"/>
      <c r="J269" s="2204"/>
      <c r="K269" s="2204"/>
      <c r="L269" s="2204"/>
      <c r="M269" s="2204"/>
      <c r="N269" s="2204"/>
      <c r="O269" s="2204"/>
      <c r="P269" s="2204"/>
      <c r="Q269" s="2204"/>
      <c r="R269" s="2204"/>
      <c r="S269" s="2204"/>
      <c r="T269" s="2204"/>
    </row>
    <row r="270" spans="1:20">
      <c r="A270" s="2204"/>
      <c r="B270" s="2204"/>
      <c r="C270" s="2204"/>
      <c r="D270" s="2204"/>
      <c r="E270" s="2204"/>
      <c r="F270" s="2204"/>
      <c r="G270" s="2204"/>
      <c r="H270" s="2204"/>
      <c r="I270" s="2205"/>
      <c r="J270" s="2204"/>
      <c r="K270" s="2204"/>
      <c r="L270" s="2204"/>
      <c r="M270" s="2204"/>
      <c r="N270" s="2204"/>
      <c r="O270" s="2204"/>
      <c r="P270" s="2204"/>
      <c r="Q270" s="2204"/>
      <c r="R270" s="2204"/>
      <c r="S270" s="2204"/>
      <c r="T270" s="2204"/>
    </row>
    <row r="271" spans="1:20">
      <c r="A271" s="2204"/>
      <c r="B271" s="2204"/>
      <c r="C271" s="2204"/>
      <c r="D271" s="2204"/>
      <c r="E271" s="2204"/>
      <c r="F271" s="2204"/>
      <c r="G271" s="2204"/>
      <c r="H271" s="2204"/>
      <c r="I271" s="2205"/>
      <c r="J271" s="2204"/>
      <c r="K271" s="2204"/>
      <c r="L271" s="2204"/>
      <c r="M271" s="2204"/>
      <c r="N271" s="2204"/>
      <c r="O271" s="2204"/>
      <c r="P271" s="2204"/>
      <c r="Q271" s="2204"/>
      <c r="R271" s="2204"/>
      <c r="S271" s="2204"/>
      <c r="T271" s="2204"/>
    </row>
    <row r="272" spans="1:20">
      <c r="A272" s="2204"/>
      <c r="B272" s="2204"/>
      <c r="C272" s="2204"/>
      <c r="D272" s="2204"/>
      <c r="E272" s="2204"/>
      <c r="F272" s="2204"/>
      <c r="G272" s="2204"/>
      <c r="H272" s="2204"/>
      <c r="I272" s="2205"/>
      <c r="J272" s="2204"/>
      <c r="K272" s="2204"/>
      <c r="L272" s="2204"/>
      <c r="M272" s="2204"/>
      <c r="N272" s="2204"/>
      <c r="O272" s="2204"/>
      <c r="P272" s="2204"/>
      <c r="Q272" s="2204"/>
      <c r="R272" s="2204"/>
      <c r="S272" s="2204"/>
      <c r="T272" s="2204"/>
    </row>
    <row r="273" spans="1:20">
      <c r="A273" s="2204"/>
      <c r="B273" s="2204"/>
      <c r="C273" s="2204"/>
      <c r="D273" s="2204"/>
      <c r="E273" s="2204"/>
      <c r="F273" s="2204"/>
      <c r="G273" s="2204"/>
      <c r="H273" s="2204"/>
      <c r="I273" s="2205"/>
      <c r="J273" s="2204"/>
      <c r="K273" s="2204"/>
      <c r="L273" s="2204"/>
      <c r="M273" s="2204"/>
      <c r="N273" s="2204"/>
      <c r="O273" s="2204"/>
      <c r="P273" s="2204"/>
      <c r="Q273" s="2204"/>
      <c r="R273" s="2204"/>
      <c r="S273" s="2204"/>
      <c r="T273" s="2204"/>
    </row>
    <row r="274" spans="1:20">
      <c r="A274" s="2204"/>
      <c r="B274" s="2204"/>
      <c r="C274" s="2204"/>
      <c r="D274" s="2204"/>
      <c r="E274" s="2204"/>
      <c r="F274" s="2204"/>
      <c r="G274" s="2204"/>
      <c r="H274" s="2204"/>
      <c r="I274" s="2205"/>
      <c r="J274" s="2204"/>
      <c r="K274" s="2204"/>
      <c r="L274" s="2204"/>
      <c r="M274" s="2204"/>
      <c r="N274" s="2204"/>
      <c r="O274" s="2204"/>
      <c r="P274" s="2204"/>
      <c r="Q274" s="2204"/>
      <c r="R274" s="2204"/>
      <c r="S274" s="2204"/>
      <c r="T274" s="2204"/>
    </row>
    <row r="275" spans="1:20">
      <c r="A275" s="2204"/>
      <c r="B275" s="2204"/>
      <c r="C275" s="2204"/>
      <c r="D275" s="2204"/>
      <c r="E275" s="2204"/>
      <c r="F275" s="2204"/>
      <c r="G275" s="2204"/>
      <c r="H275" s="2204"/>
      <c r="I275" s="2205"/>
      <c r="J275" s="2204"/>
      <c r="K275" s="2204"/>
      <c r="L275" s="2204"/>
      <c r="M275" s="2204"/>
      <c r="N275" s="2204"/>
      <c r="O275" s="2204"/>
      <c r="P275" s="2204"/>
      <c r="Q275" s="2204"/>
      <c r="R275" s="2204"/>
      <c r="S275" s="2204"/>
      <c r="T275" s="2204"/>
    </row>
    <row r="276" spans="1:20">
      <c r="A276" s="2204"/>
      <c r="B276" s="2204"/>
      <c r="C276" s="2204"/>
      <c r="D276" s="2204"/>
      <c r="E276" s="2204"/>
      <c r="F276" s="2204"/>
      <c r="G276" s="2204"/>
      <c r="H276" s="2204"/>
      <c r="I276" s="2205"/>
      <c r="J276" s="2204"/>
      <c r="K276" s="2204"/>
      <c r="L276" s="2204"/>
      <c r="M276" s="2204"/>
      <c r="N276" s="2204"/>
      <c r="O276" s="2204"/>
      <c r="P276" s="2204"/>
      <c r="Q276" s="2204"/>
      <c r="R276" s="2204"/>
      <c r="S276" s="2204"/>
      <c r="T276" s="2204"/>
    </row>
    <row r="277" spans="1:20">
      <c r="A277" s="2204"/>
      <c r="B277" s="2204"/>
      <c r="C277" s="2204"/>
      <c r="D277" s="2204"/>
      <c r="E277" s="2204"/>
      <c r="F277" s="2204"/>
      <c r="G277" s="2204"/>
      <c r="H277" s="2204"/>
      <c r="I277" s="2205"/>
      <c r="J277" s="2204"/>
      <c r="K277" s="2204"/>
      <c r="L277" s="2204"/>
      <c r="M277" s="2204"/>
      <c r="N277" s="2204"/>
      <c r="O277" s="2204"/>
      <c r="P277" s="2204"/>
      <c r="Q277" s="2204"/>
      <c r="R277" s="2204"/>
      <c r="S277" s="2204"/>
      <c r="T277" s="2204"/>
    </row>
    <row r="278" spans="1:20">
      <c r="A278" s="2204"/>
      <c r="B278" s="2204"/>
      <c r="C278" s="2204"/>
      <c r="D278" s="2204"/>
      <c r="E278" s="2204"/>
      <c r="F278" s="2204"/>
      <c r="G278" s="2204"/>
      <c r="H278" s="2204"/>
      <c r="I278" s="2205"/>
      <c r="J278" s="2204"/>
      <c r="K278" s="2204"/>
      <c r="L278" s="2204"/>
      <c r="M278" s="2204"/>
      <c r="N278" s="2204"/>
      <c r="O278" s="2204"/>
      <c r="P278" s="2204"/>
      <c r="Q278" s="2204"/>
      <c r="R278" s="2204"/>
      <c r="S278" s="2204"/>
      <c r="T278" s="2204"/>
    </row>
    <row r="279" spans="1:20">
      <c r="A279" s="2204"/>
      <c r="B279" s="2204"/>
      <c r="C279" s="2204"/>
      <c r="D279" s="2204"/>
      <c r="E279" s="2204"/>
      <c r="F279" s="2204"/>
      <c r="G279" s="2204"/>
      <c r="H279" s="2204"/>
      <c r="I279" s="2205"/>
      <c r="J279" s="2204"/>
      <c r="K279" s="2204"/>
      <c r="L279" s="2204"/>
      <c r="M279" s="2204"/>
      <c r="N279" s="2204"/>
      <c r="O279" s="2204"/>
      <c r="P279" s="2204"/>
      <c r="Q279" s="2204"/>
      <c r="R279" s="2204"/>
      <c r="S279" s="2204"/>
      <c r="T279" s="2204"/>
    </row>
    <row r="280" spans="1:20">
      <c r="A280" s="2204"/>
      <c r="B280" s="2204"/>
      <c r="C280" s="2204"/>
      <c r="D280" s="2204"/>
      <c r="E280" s="2204"/>
      <c r="F280" s="2204"/>
      <c r="G280" s="2204"/>
      <c r="H280" s="2204"/>
      <c r="I280" s="2205"/>
      <c r="J280" s="2204"/>
      <c r="K280" s="2204"/>
      <c r="L280" s="2204"/>
      <c r="M280" s="2204"/>
      <c r="N280" s="2204"/>
      <c r="O280" s="2204"/>
      <c r="P280" s="2204"/>
      <c r="Q280" s="2204"/>
      <c r="R280" s="2204"/>
      <c r="S280" s="2204"/>
      <c r="T280" s="2204"/>
    </row>
    <row r="281" spans="1:20">
      <c r="A281" s="2204"/>
      <c r="B281" s="2204"/>
      <c r="C281" s="2204"/>
      <c r="D281" s="2204"/>
      <c r="E281" s="2204"/>
      <c r="F281" s="2204"/>
      <c r="G281" s="2204"/>
      <c r="H281" s="2204"/>
      <c r="I281" s="2205"/>
      <c r="J281" s="2204"/>
      <c r="K281" s="2204"/>
      <c r="L281" s="2204"/>
      <c r="M281" s="2204"/>
      <c r="N281" s="2204"/>
      <c r="O281" s="2204"/>
      <c r="P281" s="2204"/>
      <c r="Q281" s="2204"/>
      <c r="R281" s="2204"/>
      <c r="S281" s="2204"/>
      <c r="T281" s="2204"/>
    </row>
    <row r="282" spans="1:20">
      <c r="A282" s="2204"/>
      <c r="B282" s="2204"/>
      <c r="C282" s="2204"/>
      <c r="D282" s="2204"/>
      <c r="E282" s="2204"/>
      <c r="F282" s="2204"/>
      <c r="G282" s="2204"/>
      <c r="H282" s="2204"/>
      <c r="I282" s="2205"/>
      <c r="J282" s="2204"/>
      <c r="K282" s="2204"/>
      <c r="L282" s="2204"/>
      <c r="M282" s="2204"/>
      <c r="N282" s="2204"/>
      <c r="O282" s="2204"/>
      <c r="P282" s="2204"/>
      <c r="Q282" s="2204"/>
      <c r="R282" s="2204"/>
      <c r="S282" s="2204"/>
      <c r="T282" s="2204"/>
    </row>
    <row r="283" spans="1:20">
      <c r="A283" s="2204"/>
      <c r="B283" s="2204"/>
      <c r="C283" s="2204"/>
      <c r="D283" s="2204"/>
      <c r="E283" s="2204"/>
      <c r="F283" s="2204"/>
      <c r="G283" s="2204"/>
      <c r="H283" s="2204"/>
      <c r="I283" s="2205"/>
      <c r="J283" s="2204"/>
      <c r="K283" s="2204"/>
      <c r="L283" s="2204"/>
      <c r="M283" s="2204"/>
      <c r="N283" s="2204"/>
      <c r="O283" s="2204"/>
      <c r="P283" s="2204"/>
      <c r="Q283" s="2204"/>
      <c r="R283" s="2204"/>
      <c r="S283" s="2204"/>
      <c r="T283" s="2204"/>
    </row>
    <row r="284" spans="1:20">
      <c r="A284" s="2204"/>
      <c r="B284" s="2204"/>
      <c r="C284" s="2204"/>
      <c r="D284" s="2204"/>
      <c r="E284" s="2204"/>
      <c r="F284" s="2204"/>
      <c r="G284" s="2204"/>
      <c r="H284" s="2204"/>
      <c r="I284" s="2205"/>
      <c r="J284" s="2204"/>
      <c r="K284" s="2204"/>
      <c r="L284" s="2204"/>
      <c r="M284" s="2204"/>
      <c r="N284" s="2204"/>
      <c r="O284" s="2204"/>
      <c r="P284" s="2204"/>
      <c r="Q284" s="2204"/>
      <c r="R284" s="2204"/>
      <c r="S284" s="2204"/>
      <c r="T284" s="2204"/>
    </row>
    <row r="285" spans="1:20">
      <c r="A285" s="2204"/>
      <c r="B285" s="2204"/>
      <c r="C285" s="2204"/>
      <c r="D285" s="2204"/>
      <c r="E285" s="2204"/>
      <c r="F285" s="2204"/>
      <c r="G285" s="2204"/>
      <c r="H285" s="2204"/>
      <c r="I285" s="2205"/>
      <c r="J285" s="2204"/>
      <c r="K285" s="2204"/>
      <c r="L285" s="2204"/>
      <c r="M285" s="2204"/>
      <c r="N285" s="2204"/>
      <c r="O285" s="2204"/>
      <c r="P285" s="2204"/>
      <c r="Q285" s="2204"/>
      <c r="R285" s="2204"/>
      <c r="S285" s="2204"/>
      <c r="T285" s="2204"/>
    </row>
    <row r="286" spans="1:20">
      <c r="A286" s="2204"/>
      <c r="B286" s="2204"/>
      <c r="C286" s="2204"/>
      <c r="D286" s="2204"/>
      <c r="E286" s="2204"/>
      <c r="F286" s="2204"/>
      <c r="G286" s="2204"/>
      <c r="H286" s="2204"/>
      <c r="I286" s="2205"/>
      <c r="J286" s="2204"/>
      <c r="K286" s="2204"/>
      <c r="L286" s="2204"/>
      <c r="M286" s="2204"/>
      <c r="N286" s="2204"/>
      <c r="O286" s="2204"/>
      <c r="P286" s="2204"/>
      <c r="Q286" s="2204"/>
      <c r="R286" s="2204"/>
      <c r="S286" s="2204"/>
      <c r="T286" s="2204"/>
    </row>
    <row r="287" spans="1:20">
      <c r="A287" s="2204"/>
      <c r="B287" s="2204"/>
      <c r="C287" s="2204"/>
      <c r="D287" s="2204"/>
      <c r="E287" s="2204"/>
      <c r="F287" s="2204"/>
      <c r="G287" s="2204"/>
      <c r="H287" s="2204"/>
      <c r="I287" s="2205"/>
      <c r="J287" s="2204"/>
      <c r="K287" s="2204"/>
      <c r="L287" s="2204"/>
      <c r="M287" s="2204"/>
      <c r="N287" s="2204"/>
      <c r="O287" s="2204"/>
      <c r="P287" s="2204"/>
      <c r="Q287" s="2204"/>
      <c r="R287" s="2204"/>
      <c r="S287" s="2204"/>
      <c r="T287" s="2204"/>
    </row>
    <row r="288" spans="1:20">
      <c r="A288" s="2204"/>
      <c r="B288" s="2204"/>
      <c r="C288" s="2204"/>
      <c r="D288" s="2204"/>
      <c r="E288" s="2204"/>
      <c r="F288" s="2204"/>
      <c r="G288" s="2204"/>
      <c r="H288" s="2204"/>
      <c r="I288" s="2205"/>
      <c r="J288" s="2204"/>
      <c r="K288" s="2204"/>
      <c r="L288" s="2204"/>
      <c r="M288" s="2204"/>
      <c r="N288" s="2204"/>
      <c r="O288" s="2204"/>
      <c r="P288" s="2204"/>
      <c r="Q288" s="2204"/>
      <c r="R288" s="2204"/>
      <c r="S288" s="2204"/>
      <c r="T288" s="2204"/>
    </row>
    <row r="289" spans="1:20">
      <c r="A289" s="2204"/>
      <c r="B289" s="2204"/>
      <c r="C289" s="2204"/>
      <c r="D289" s="2204"/>
      <c r="E289" s="2204"/>
      <c r="F289" s="2204"/>
      <c r="G289" s="2204"/>
      <c r="H289" s="2204"/>
      <c r="I289" s="2205"/>
      <c r="J289" s="2204"/>
      <c r="K289" s="2204"/>
      <c r="L289" s="2204"/>
      <c r="M289" s="2204"/>
      <c r="N289" s="2204"/>
      <c r="O289" s="2204"/>
      <c r="P289" s="2204"/>
      <c r="Q289" s="2204"/>
      <c r="R289" s="2204"/>
      <c r="S289" s="2204"/>
      <c r="T289" s="2204"/>
    </row>
    <row r="290" spans="1:20">
      <c r="A290" s="2204"/>
      <c r="B290" s="2204"/>
      <c r="C290" s="2204"/>
      <c r="D290" s="2204"/>
      <c r="E290" s="2204"/>
      <c r="F290" s="2204"/>
      <c r="G290" s="2204"/>
      <c r="H290" s="2204"/>
      <c r="I290" s="2205"/>
      <c r="J290" s="2204"/>
      <c r="K290" s="2204"/>
      <c r="L290" s="2204"/>
      <c r="M290" s="2204"/>
      <c r="N290" s="2204"/>
      <c r="O290" s="2204"/>
      <c r="P290" s="2204"/>
      <c r="Q290" s="2204"/>
      <c r="R290" s="2204"/>
      <c r="S290" s="2204"/>
      <c r="T290" s="2204"/>
    </row>
    <row r="291" spans="1:20">
      <c r="A291" s="2204"/>
      <c r="B291" s="2204"/>
      <c r="C291" s="2204"/>
      <c r="D291" s="2204"/>
      <c r="E291" s="2204"/>
      <c r="F291" s="2204"/>
      <c r="G291" s="2204"/>
      <c r="H291" s="2204"/>
      <c r="I291" s="2205"/>
      <c r="J291" s="2204"/>
      <c r="K291" s="2204"/>
      <c r="L291" s="2204"/>
      <c r="M291" s="2204"/>
      <c r="N291" s="2204"/>
      <c r="O291" s="2204"/>
      <c r="P291" s="2204"/>
      <c r="Q291" s="2204"/>
      <c r="R291" s="2204"/>
      <c r="S291" s="2204"/>
      <c r="T291" s="2204"/>
    </row>
    <row r="292" spans="1:20">
      <c r="A292" s="2204"/>
      <c r="B292" s="2204"/>
      <c r="C292" s="2204"/>
      <c r="D292" s="2204"/>
      <c r="E292" s="2204"/>
      <c r="F292" s="2204"/>
      <c r="G292" s="2204"/>
      <c r="H292" s="2204"/>
      <c r="I292" s="2205"/>
      <c r="J292" s="2204"/>
      <c r="K292" s="2204"/>
      <c r="L292" s="2204"/>
      <c r="M292" s="2204"/>
      <c r="N292" s="2204"/>
      <c r="O292" s="2204"/>
      <c r="P292" s="2204"/>
      <c r="Q292" s="2204"/>
      <c r="R292" s="2204"/>
      <c r="S292" s="2204"/>
      <c r="T292" s="2204"/>
    </row>
    <row r="293" spans="1:20">
      <c r="A293" s="2204"/>
      <c r="B293" s="2204"/>
      <c r="C293" s="2204"/>
      <c r="D293" s="2204"/>
      <c r="E293" s="2204"/>
      <c r="F293" s="2204"/>
      <c r="G293" s="2204"/>
      <c r="H293" s="2204"/>
      <c r="I293" s="2205"/>
      <c r="J293" s="2204"/>
      <c r="K293" s="2204"/>
      <c r="L293" s="2204"/>
      <c r="M293" s="2204"/>
      <c r="N293" s="2204"/>
      <c r="O293" s="2204"/>
      <c r="P293" s="2204"/>
      <c r="Q293" s="2204"/>
      <c r="R293" s="2204"/>
      <c r="S293" s="2204"/>
      <c r="T293" s="2204"/>
    </row>
    <row r="294" spans="1:20">
      <c r="A294" s="2204"/>
      <c r="B294" s="2204"/>
      <c r="C294" s="2204"/>
      <c r="D294" s="2204"/>
      <c r="E294" s="2204"/>
      <c r="F294" s="2204"/>
      <c r="G294" s="2204"/>
      <c r="H294" s="2204"/>
      <c r="I294" s="2205"/>
      <c r="J294" s="2204"/>
      <c r="K294" s="2204"/>
      <c r="L294" s="2204"/>
      <c r="M294" s="2204"/>
      <c r="N294" s="2204"/>
      <c r="O294" s="2204"/>
      <c r="P294" s="2204"/>
      <c r="Q294" s="2204"/>
      <c r="R294" s="2204"/>
      <c r="S294" s="2204"/>
      <c r="T294" s="2204"/>
    </row>
    <row r="295" spans="1:20">
      <c r="A295" s="2204"/>
      <c r="B295" s="2204"/>
      <c r="C295" s="2204"/>
      <c r="D295" s="2204"/>
      <c r="E295" s="2204"/>
      <c r="F295" s="2204"/>
      <c r="G295" s="2204"/>
      <c r="H295" s="2204"/>
      <c r="I295" s="2205"/>
      <c r="J295" s="2204"/>
      <c r="K295" s="2204"/>
      <c r="L295" s="2204"/>
      <c r="M295" s="2204"/>
      <c r="N295" s="2204"/>
      <c r="O295" s="2204"/>
      <c r="P295" s="2204"/>
      <c r="Q295" s="2204"/>
      <c r="R295" s="2204"/>
      <c r="S295" s="2204"/>
      <c r="T295" s="2204"/>
    </row>
    <row r="296" spans="1:20">
      <c r="A296" s="2204"/>
      <c r="B296" s="2204"/>
      <c r="C296" s="2204"/>
      <c r="D296" s="2204"/>
      <c r="E296" s="2204"/>
      <c r="F296" s="2204"/>
      <c r="G296" s="2204"/>
      <c r="H296" s="2204"/>
      <c r="I296" s="2205"/>
      <c r="J296" s="2204"/>
      <c r="K296" s="2204"/>
      <c r="L296" s="2204"/>
      <c r="M296" s="2204"/>
      <c r="N296" s="2204"/>
      <c r="O296" s="2204"/>
      <c r="P296" s="2204"/>
      <c r="Q296" s="2204"/>
      <c r="R296" s="2204"/>
      <c r="S296" s="2204"/>
      <c r="T296" s="2204"/>
    </row>
    <row r="297" spans="1:20">
      <c r="A297" s="2204"/>
      <c r="B297" s="2204"/>
      <c r="C297" s="2204"/>
      <c r="D297" s="2204"/>
      <c r="E297" s="2204"/>
      <c r="F297" s="2204"/>
      <c r="G297" s="2204"/>
      <c r="H297" s="2204"/>
      <c r="I297" s="2205"/>
      <c r="J297" s="2204"/>
      <c r="K297" s="2204"/>
      <c r="L297" s="2204"/>
      <c r="M297" s="2204"/>
      <c r="N297" s="2204"/>
      <c r="O297" s="2204"/>
      <c r="P297" s="2204"/>
      <c r="Q297" s="2204"/>
      <c r="R297" s="2204"/>
      <c r="S297" s="2204"/>
      <c r="T297" s="2204"/>
    </row>
    <row r="298" spans="1:20">
      <c r="A298" s="2204"/>
      <c r="B298" s="2204"/>
      <c r="C298" s="2204"/>
      <c r="D298" s="2204"/>
      <c r="E298" s="2204"/>
      <c r="F298" s="2204"/>
      <c r="G298" s="2204"/>
      <c r="H298" s="2204"/>
      <c r="I298" s="2205"/>
      <c r="J298" s="2204"/>
      <c r="K298" s="2204"/>
      <c r="L298" s="2204"/>
      <c r="M298" s="2204"/>
      <c r="N298" s="2204"/>
      <c r="O298" s="2204"/>
      <c r="P298" s="2204"/>
      <c r="Q298" s="2204"/>
      <c r="R298" s="2204"/>
      <c r="S298" s="2204"/>
      <c r="T298" s="2204"/>
    </row>
    <row r="299" spans="1:20">
      <c r="A299" s="2204"/>
      <c r="B299" s="2204"/>
      <c r="C299" s="2204"/>
      <c r="D299" s="2204"/>
      <c r="E299" s="2204"/>
      <c r="F299" s="2204"/>
      <c r="G299" s="2204"/>
      <c r="H299" s="2204"/>
      <c r="I299" s="2205"/>
      <c r="J299" s="2204"/>
      <c r="K299" s="2204"/>
      <c r="L299" s="2204"/>
      <c r="M299" s="2204"/>
      <c r="N299" s="2204"/>
      <c r="O299" s="2204"/>
      <c r="P299" s="2204"/>
      <c r="Q299" s="2204"/>
      <c r="R299" s="2204"/>
      <c r="S299" s="2204"/>
      <c r="T299" s="2204"/>
    </row>
    <row r="300" spans="1:20">
      <c r="A300" s="2204"/>
      <c r="B300" s="2204"/>
      <c r="C300" s="2204"/>
      <c r="D300" s="2204"/>
      <c r="E300" s="2204"/>
      <c r="F300" s="2204"/>
      <c r="G300" s="2204"/>
      <c r="H300" s="2204"/>
      <c r="I300" s="2205"/>
      <c r="J300" s="2204"/>
      <c r="K300" s="2204"/>
      <c r="L300" s="2204"/>
      <c r="M300" s="2204"/>
      <c r="N300" s="2204"/>
      <c r="O300" s="2204"/>
      <c r="P300" s="2204"/>
      <c r="Q300" s="2204"/>
      <c r="R300" s="2204"/>
      <c r="S300" s="2204"/>
      <c r="T300" s="2204"/>
    </row>
    <row r="301" spans="1:20">
      <c r="A301" s="2204"/>
      <c r="B301" s="2204"/>
      <c r="C301" s="2204"/>
      <c r="D301" s="2204"/>
      <c r="E301" s="2204"/>
      <c r="F301" s="2204"/>
      <c r="G301" s="2204"/>
      <c r="H301" s="2204"/>
      <c r="I301" s="2205"/>
      <c r="J301" s="2204"/>
      <c r="K301" s="2204"/>
      <c r="L301" s="2204"/>
      <c r="M301" s="2204"/>
      <c r="N301" s="2204"/>
      <c r="O301" s="2204"/>
      <c r="P301" s="2204"/>
      <c r="Q301" s="2204"/>
      <c r="R301" s="2204"/>
      <c r="S301" s="2204"/>
      <c r="T301" s="2204"/>
    </row>
    <row r="302" spans="1:20">
      <c r="A302" s="2204"/>
      <c r="B302" s="2204"/>
      <c r="C302" s="2204"/>
      <c r="D302" s="2204"/>
      <c r="E302" s="2204"/>
      <c r="F302" s="2204"/>
      <c r="G302" s="2204"/>
      <c r="H302" s="2204"/>
      <c r="I302" s="2205"/>
      <c r="J302" s="2204"/>
      <c r="K302" s="2204"/>
      <c r="L302" s="2204"/>
      <c r="M302" s="2204"/>
      <c r="N302" s="2204"/>
      <c r="O302" s="2204"/>
      <c r="P302" s="2204"/>
      <c r="Q302" s="2204"/>
      <c r="R302" s="2204"/>
      <c r="S302" s="2204"/>
      <c r="T302" s="2204"/>
    </row>
    <row r="303" spans="1:20">
      <c r="A303" s="2204"/>
      <c r="B303" s="2204"/>
      <c r="C303" s="2204"/>
      <c r="D303" s="2204"/>
      <c r="E303" s="2204"/>
      <c r="F303" s="2204"/>
      <c r="G303" s="2204"/>
      <c r="H303" s="2204"/>
      <c r="I303" s="2205"/>
      <c r="J303" s="2204"/>
      <c r="K303" s="2204"/>
      <c r="L303" s="2204"/>
      <c r="M303" s="2204"/>
      <c r="N303" s="2204"/>
      <c r="O303" s="2204"/>
      <c r="P303" s="2204"/>
      <c r="Q303" s="2204"/>
      <c r="R303" s="2204"/>
      <c r="S303" s="2204"/>
      <c r="T303" s="2204"/>
    </row>
    <row r="304" spans="1:20">
      <c r="A304" s="2204"/>
      <c r="B304" s="2204"/>
      <c r="C304" s="2204"/>
      <c r="D304" s="2204"/>
      <c r="E304" s="2204"/>
      <c r="F304" s="2204"/>
      <c r="G304" s="2204"/>
      <c r="H304" s="2204"/>
      <c r="I304" s="2205"/>
      <c r="J304" s="2204"/>
      <c r="K304" s="2204"/>
      <c r="L304" s="2204"/>
      <c r="M304" s="2204"/>
      <c r="N304" s="2204"/>
      <c r="O304" s="2204"/>
      <c r="P304" s="2204"/>
      <c r="Q304" s="2204"/>
      <c r="R304" s="2204"/>
      <c r="S304" s="2204"/>
      <c r="T304" s="2204"/>
    </row>
    <row r="305" spans="1:20">
      <c r="A305" s="2204"/>
      <c r="B305" s="2204"/>
      <c r="C305" s="2204"/>
      <c r="D305" s="2204"/>
      <c r="E305" s="2204"/>
      <c r="F305" s="2204"/>
      <c r="G305" s="2204"/>
      <c r="H305" s="2204"/>
      <c r="I305" s="2205"/>
      <c r="J305" s="2204"/>
      <c r="K305" s="2204"/>
      <c r="L305" s="2204"/>
      <c r="M305" s="2204"/>
      <c r="N305" s="2204"/>
      <c r="O305" s="2204"/>
      <c r="P305" s="2204"/>
      <c r="Q305" s="2204"/>
      <c r="R305" s="2204"/>
      <c r="S305" s="2204"/>
      <c r="T305" s="2204"/>
    </row>
    <row r="306" spans="1:20">
      <c r="A306" s="2204"/>
      <c r="B306" s="2204"/>
      <c r="C306" s="2204"/>
      <c r="D306" s="2204"/>
      <c r="E306" s="2204"/>
      <c r="F306" s="2204"/>
      <c r="G306" s="2204"/>
      <c r="H306" s="2204"/>
      <c r="I306" s="2205"/>
      <c r="J306" s="2204"/>
      <c r="K306" s="2204"/>
      <c r="L306" s="2204"/>
      <c r="M306" s="2204"/>
      <c r="N306" s="2204"/>
      <c r="O306" s="2204"/>
      <c r="P306" s="2204"/>
      <c r="Q306" s="2204"/>
      <c r="R306" s="2204"/>
      <c r="S306" s="2204"/>
      <c r="T306" s="2204"/>
    </row>
    <row r="307" spans="1:20">
      <c r="A307" s="2204"/>
      <c r="B307" s="2204"/>
      <c r="C307" s="2204"/>
      <c r="D307" s="2204"/>
      <c r="E307" s="2204"/>
      <c r="F307" s="2204"/>
      <c r="G307" s="2204"/>
      <c r="H307" s="2204"/>
      <c r="I307" s="2205"/>
      <c r="J307" s="2204"/>
      <c r="K307" s="2204"/>
      <c r="L307" s="2204"/>
      <c r="M307" s="2204"/>
      <c r="N307" s="2204"/>
      <c r="O307" s="2204"/>
      <c r="P307" s="2204"/>
      <c r="Q307" s="2204"/>
      <c r="R307" s="2204"/>
      <c r="S307" s="2204"/>
      <c r="T307" s="2204"/>
    </row>
    <row r="308" spans="1:20">
      <c r="A308" s="2204"/>
      <c r="B308" s="2204"/>
      <c r="C308" s="2204"/>
      <c r="D308" s="2204"/>
      <c r="E308" s="2204"/>
      <c r="F308" s="2204"/>
      <c r="G308" s="2204"/>
      <c r="H308" s="2204"/>
      <c r="I308" s="2205"/>
      <c r="J308" s="2204"/>
      <c r="K308" s="2204"/>
      <c r="L308" s="2204"/>
      <c r="M308" s="2204"/>
      <c r="N308" s="2204"/>
      <c r="O308" s="2204"/>
      <c r="P308" s="2204"/>
      <c r="Q308" s="2204"/>
      <c r="R308" s="2204"/>
      <c r="S308" s="2204"/>
      <c r="T308" s="2204"/>
    </row>
    <row r="309" spans="1:20">
      <c r="A309" s="2204"/>
      <c r="B309" s="2204"/>
      <c r="C309" s="2204"/>
      <c r="D309" s="2204"/>
      <c r="E309" s="2204"/>
      <c r="F309" s="2204"/>
      <c r="G309" s="2204"/>
      <c r="H309" s="2204"/>
      <c r="I309" s="2205"/>
      <c r="J309" s="2204"/>
      <c r="K309" s="2204"/>
      <c r="L309" s="2204"/>
      <c r="M309" s="2204"/>
      <c r="N309" s="2204"/>
      <c r="O309" s="2204"/>
      <c r="P309" s="2204"/>
      <c r="Q309" s="2204"/>
      <c r="R309" s="2204"/>
      <c r="S309" s="2204"/>
      <c r="T309" s="2204"/>
    </row>
    <row r="310" spans="1:20">
      <c r="A310" s="2204"/>
      <c r="B310" s="2204"/>
      <c r="C310" s="2204"/>
      <c r="D310" s="2204"/>
      <c r="E310" s="2204"/>
      <c r="F310" s="2204"/>
      <c r="G310" s="2204"/>
      <c r="H310" s="2204"/>
      <c r="I310" s="2205"/>
      <c r="J310" s="2204"/>
      <c r="K310" s="2204"/>
      <c r="L310" s="2204"/>
      <c r="M310" s="2204"/>
      <c r="N310" s="2204"/>
      <c r="O310" s="2204"/>
      <c r="P310" s="2204"/>
      <c r="Q310" s="2204"/>
      <c r="R310" s="2204"/>
      <c r="S310" s="2204"/>
      <c r="T310" s="2204"/>
    </row>
    <row r="311" spans="1:20">
      <c r="A311" s="2204"/>
      <c r="B311" s="2204"/>
      <c r="C311" s="2204"/>
      <c r="D311" s="2204"/>
      <c r="E311" s="2204"/>
      <c r="F311" s="2204"/>
      <c r="G311" s="2204"/>
      <c r="H311" s="2204"/>
      <c r="I311" s="2205"/>
      <c r="J311" s="2204"/>
      <c r="K311" s="2204"/>
      <c r="L311" s="2204"/>
      <c r="M311" s="2204"/>
      <c r="N311" s="2204"/>
      <c r="O311" s="2204"/>
      <c r="P311" s="2204"/>
      <c r="Q311" s="2204"/>
      <c r="R311" s="2204"/>
      <c r="S311" s="2204"/>
      <c r="T311" s="2204"/>
    </row>
    <row r="312" spans="1:20">
      <c r="A312" s="2204"/>
      <c r="B312" s="2204"/>
      <c r="C312" s="2204"/>
      <c r="D312" s="2204"/>
      <c r="E312" s="2204"/>
      <c r="F312" s="2204"/>
      <c r="G312" s="2204"/>
      <c r="H312" s="2204"/>
      <c r="I312" s="2205"/>
      <c r="J312" s="2204"/>
      <c r="K312" s="2204"/>
      <c r="L312" s="2204"/>
      <c r="M312" s="2204"/>
      <c r="N312" s="2204"/>
      <c r="O312" s="2204"/>
      <c r="P312" s="2204"/>
      <c r="Q312" s="2204"/>
      <c r="R312" s="2204"/>
      <c r="S312" s="2204"/>
      <c r="T312" s="2204"/>
    </row>
    <row r="313" spans="1:20">
      <c r="A313" s="2204"/>
      <c r="B313" s="2204"/>
      <c r="C313" s="2204"/>
      <c r="D313" s="2204"/>
      <c r="E313" s="2204"/>
      <c r="F313" s="2204"/>
      <c r="G313" s="2204"/>
      <c r="H313" s="2204"/>
      <c r="I313" s="2205"/>
      <c r="J313" s="2204"/>
      <c r="K313" s="2204"/>
      <c r="L313" s="2204"/>
      <c r="M313" s="2204"/>
      <c r="N313" s="2204"/>
      <c r="O313" s="2204"/>
      <c r="P313" s="2204"/>
      <c r="Q313" s="2204"/>
      <c r="R313" s="2204"/>
      <c r="S313" s="2204"/>
      <c r="T313" s="2204"/>
    </row>
    <row r="314" spans="1:20">
      <c r="A314" s="2204"/>
      <c r="B314" s="2204"/>
      <c r="C314" s="2204"/>
      <c r="D314" s="2204"/>
      <c r="E314" s="2204"/>
      <c r="F314" s="2204"/>
      <c r="G314" s="2204"/>
      <c r="H314" s="2204"/>
      <c r="I314" s="2205"/>
      <c r="J314" s="2204"/>
      <c r="K314" s="2204"/>
      <c r="L314" s="2204"/>
      <c r="M314" s="2204"/>
      <c r="N314" s="2204"/>
      <c r="O314" s="2204"/>
      <c r="P314" s="2204"/>
      <c r="Q314" s="2204"/>
      <c r="R314" s="2204"/>
      <c r="S314" s="2204"/>
      <c r="T314" s="2204"/>
    </row>
    <row r="315" spans="1:20">
      <c r="A315" s="2204"/>
      <c r="B315" s="2204"/>
      <c r="C315" s="2204"/>
      <c r="D315" s="2204"/>
      <c r="E315" s="2204"/>
      <c r="F315" s="2204"/>
      <c r="G315" s="2204"/>
      <c r="H315" s="2204"/>
      <c r="I315" s="2205"/>
      <c r="J315" s="2204"/>
      <c r="K315" s="2204"/>
      <c r="L315" s="2204"/>
      <c r="M315" s="2204"/>
      <c r="N315" s="2204"/>
      <c r="O315" s="2204"/>
      <c r="P315" s="2204"/>
      <c r="Q315" s="2204"/>
      <c r="R315" s="2204"/>
      <c r="S315" s="2204"/>
      <c r="T315" s="2204"/>
    </row>
    <row r="316" spans="1:20">
      <c r="A316" s="2204"/>
      <c r="B316" s="2204"/>
      <c r="C316" s="2204"/>
      <c r="D316" s="2204"/>
      <c r="E316" s="2204"/>
      <c r="F316" s="2204"/>
      <c r="G316" s="2204"/>
      <c r="H316" s="2204"/>
      <c r="I316" s="2205"/>
      <c r="J316" s="2204"/>
      <c r="K316" s="2204"/>
      <c r="L316" s="2204"/>
      <c r="M316" s="2204"/>
      <c r="N316" s="2204"/>
      <c r="O316" s="2204"/>
      <c r="P316" s="2204"/>
      <c r="Q316" s="2204"/>
      <c r="R316" s="2204"/>
      <c r="S316" s="2204"/>
      <c r="T316" s="2204"/>
    </row>
    <row r="317" spans="1:20">
      <c r="A317" s="2204"/>
      <c r="B317" s="2204"/>
      <c r="C317" s="2204"/>
      <c r="D317" s="2204"/>
      <c r="E317" s="2204"/>
      <c r="F317" s="2204"/>
      <c r="G317" s="2204"/>
      <c r="H317" s="2204"/>
      <c r="I317" s="2205"/>
      <c r="J317" s="2204"/>
      <c r="K317" s="2204"/>
      <c r="L317" s="2204"/>
      <c r="M317" s="2204"/>
      <c r="N317" s="2204"/>
      <c r="O317" s="2204"/>
      <c r="P317" s="2204"/>
      <c r="Q317" s="2204"/>
      <c r="R317" s="2204"/>
      <c r="S317" s="2204"/>
      <c r="T317" s="2204"/>
    </row>
    <row r="318" spans="1:20">
      <c r="A318" s="2204"/>
      <c r="B318" s="2204"/>
      <c r="C318" s="2204"/>
      <c r="D318" s="2204"/>
      <c r="E318" s="2204"/>
      <c r="F318" s="2204"/>
      <c r="G318" s="2204"/>
      <c r="H318" s="2204"/>
      <c r="I318" s="2205"/>
      <c r="J318" s="2204"/>
      <c r="K318" s="2204"/>
      <c r="L318" s="2204"/>
      <c r="M318" s="2204"/>
      <c r="N318" s="2204"/>
      <c r="O318" s="2204"/>
      <c r="P318" s="2204"/>
      <c r="Q318" s="2204"/>
      <c r="R318" s="2204"/>
      <c r="S318" s="2204"/>
      <c r="T318" s="2204"/>
    </row>
    <row r="319" spans="1:20">
      <c r="A319" s="2204"/>
      <c r="B319" s="2204"/>
      <c r="C319" s="2204"/>
      <c r="D319" s="2204"/>
      <c r="E319" s="2204"/>
      <c r="F319" s="2204"/>
      <c r="G319" s="2204"/>
      <c r="H319" s="2204"/>
      <c r="I319" s="2205"/>
      <c r="J319" s="2204"/>
      <c r="K319" s="2204"/>
      <c r="L319" s="2204"/>
      <c r="M319" s="2204"/>
      <c r="N319" s="2204"/>
      <c r="O319" s="2204"/>
      <c r="P319" s="2204"/>
      <c r="Q319" s="2204"/>
      <c r="R319" s="2204"/>
      <c r="S319" s="2204"/>
      <c r="T319" s="2204"/>
    </row>
    <row r="320" spans="1:20">
      <c r="A320" s="2204"/>
      <c r="B320" s="2204"/>
      <c r="C320" s="2204"/>
      <c r="D320" s="2204"/>
      <c r="E320" s="2204"/>
      <c r="F320" s="2204"/>
      <c r="G320" s="2204"/>
      <c r="H320" s="2204"/>
      <c r="I320" s="2205"/>
      <c r="J320" s="2204"/>
      <c r="K320" s="2204"/>
      <c r="L320" s="2204"/>
      <c r="M320" s="2204"/>
      <c r="N320" s="2204"/>
      <c r="O320" s="2204"/>
      <c r="P320" s="2204"/>
      <c r="Q320" s="2204"/>
      <c r="R320" s="2204"/>
      <c r="S320" s="2204"/>
      <c r="T320" s="2204"/>
    </row>
    <row r="321" spans="1:20">
      <c r="A321" s="2204"/>
      <c r="B321" s="2204"/>
      <c r="C321" s="2204"/>
      <c r="D321" s="2204"/>
      <c r="E321" s="2204"/>
      <c r="F321" s="2204"/>
      <c r="G321" s="2204"/>
      <c r="H321" s="2204"/>
      <c r="I321" s="2205"/>
      <c r="J321" s="2204"/>
      <c r="K321" s="2204"/>
      <c r="L321" s="2204"/>
      <c r="M321" s="2204"/>
      <c r="N321" s="2204"/>
      <c r="O321" s="2204"/>
      <c r="P321" s="2204"/>
      <c r="Q321" s="2204"/>
      <c r="R321" s="2204"/>
      <c r="S321" s="2204"/>
      <c r="T321" s="2204"/>
    </row>
    <row r="322" spans="1:20">
      <c r="A322" s="2204"/>
      <c r="B322" s="2204"/>
      <c r="C322" s="2204"/>
      <c r="D322" s="2204"/>
      <c r="E322" s="2204"/>
      <c r="F322" s="2204"/>
      <c r="G322" s="2204"/>
      <c r="H322" s="2204"/>
      <c r="I322" s="2205"/>
      <c r="J322" s="2204"/>
      <c r="K322" s="2204"/>
      <c r="L322" s="2204"/>
      <c r="M322" s="2204"/>
      <c r="N322" s="2204"/>
      <c r="O322" s="2204"/>
      <c r="P322" s="2204"/>
      <c r="Q322" s="2204"/>
      <c r="R322" s="2204"/>
      <c r="S322" s="2204"/>
      <c r="T322" s="2204"/>
    </row>
    <row r="323" spans="1:20">
      <c r="A323" s="2204"/>
      <c r="B323" s="2204"/>
      <c r="C323" s="2204"/>
      <c r="D323" s="2204"/>
      <c r="E323" s="2204"/>
      <c r="F323" s="2204"/>
      <c r="G323" s="2204"/>
      <c r="H323" s="2204"/>
      <c r="I323" s="2205"/>
      <c r="J323" s="2204"/>
      <c r="K323" s="2204"/>
      <c r="L323" s="2204"/>
      <c r="M323" s="2204"/>
      <c r="N323" s="2204"/>
      <c r="O323" s="2204"/>
      <c r="P323" s="2204"/>
      <c r="Q323" s="2204"/>
      <c r="R323" s="2204"/>
      <c r="S323" s="2204"/>
      <c r="T323" s="2204"/>
    </row>
    <row r="324" spans="1:20">
      <c r="A324" s="2204"/>
      <c r="B324" s="2204"/>
      <c r="C324" s="2204"/>
      <c r="D324" s="2204"/>
      <c r="E324" s="2204"/>
      <c r="F324" s="2204"/>
      <c r="G324" s="2204"/>
      <c r="H324" s="2204"/>
      <c r="I324" s="2205"/>
      <c r="J324" s="2204"/>
      <c r="K324" s="2204"/>
      <c r="L324" s="2204"/>
      <c r="M324" s="2204"/>
      <c r="N324" s="2204"/>
      <c r="O324" s="2204"/>
      <c r="P324" s="2204"/>
      <c r="Q324" s="2204"/>
      <c r="R324" s="2204"/>
      <c r="S324" s="2204"/>
      <c r="T324" s="2204"/>
    </row>
    <row r="325" spans="1:20">
      <c r="A325" s="2204"/>
      <c r="B325" s="2204"/>
      <c r="C325" s="2204"/>
      <c r="D325" s="2204"/>
      <c r="E325" s="2204"/>
      <c r="F325" s="2204"/>
      <c r="G325" s="2204"/>
      <c r="H325" s="2204"/>
      <c r="I325" s="2205"/>
      <c r="J325" s="2204"/>
      <c r="K325" s="2204"/>
      <c r="L325" s="2204"/>
      <c r="M325" s="2204"/>
      <c r="N325" s="2204"/>
      <c r="O325" s="2204"/>
      <c r="P325" s="2204"/>
      <c r="Q325" s="2204"/>
      <c r="R325" s="2204"/>
      <c r="S325" s="2204"/>
      <c r="T325" s="2204"/>
    </row>
    <row r="326" spans="1:20">
      <c r="A326" s="2204"/>
      <c r="B326" s="2204"/>
      <c r="C326" s="2204"/>
      <c r="D326" s="2204"/>
      <c r="E326" s="2204"/>
      <c r="F326" s="2204"/>
      <c r="G326" s="2204"/>
      <c r="H326" s="2204"/>
      <c r="I326" s="2205"/>
      <c r="J326" s="2204"/>
      <c r="K326" s="2204"/>
      <c r="L326" s="2204"/>
      <c r="M326" s="2204"/>
      <c r="N326" s="2204"/>
      <c r="O326" s="2204"/>
      <c r="P326" s="2204"/>
      <c r="Q326" s="2204"/>
      <c r="R326" s="2204"/>
      <c r="S326" s="2204"/>
      <c r="T326" s="2204"/>
    </row>
    <row r="327" spans="1:20">
      <c r="A327" s="2204"/>
      <c r="B327" s="2204"/>
      <c r="C327" s="2204"/>
      <c r="D327" s="2204"/>
      <c r="E327" s="2204"/>
      <c r="F327" s="2204"/>
      <c r="G327" s="2204"/>
      <c r="H327" s="2204"/>
      <c r="I327" s="2205"/>
      <c r="J327" s="2204"/>
      <c r="K327" s="2204"/>
      <c r="L327" s="2204"/>
      <c r="M327" s="2204"/>
      <c r="N327" s="2204"/>
      <c r="O327" s="2204"/>
      <c r="P327" s="2204"/>
      <c r="Q327" s="2204"/>
      <c r="R327" s="2204"/>
      <c r="S327" s="2204"/>
      <c r="T327" s="2204"/>
    </row>
    <row r="328" spans="1:20">
      <c r="A328" s="2204"/>
      <c r="B328" s="2204"/>
      <c r="C328" s="2204"/>
      <c r="D328" s="2204"/>
      <c r="E328" s="2204"/>
      <c r="F328" s="2204"/>
      <c r="G328" s="2204"/>
      <c r="H328" s="2204"/>
      <c r="I328" s="2205"/>
      <c r="J328" s="2204"/>
      <c r="K328" s="2204"/>
      <c r="L328" s="2204"/>
      <c r="M328" s="2204"/>
      <c r="N328" s="2204"/>
      <c r="O328" s="2204"/>
      <c r="P328" s="2204"/>
      <c r="Q328" s="2204"/>
      <c r="R328" s="2204"/>
      <c r="S328" s="2204"/>
      <c r="T328" s="2204"/>
    </row>
    <row r="329" spans="1:20">
      <c r="A329" s="2204"/>
      <c r="B329" s="2204"/>
      <c r="C329" s="2204"/>
      <c r="D329" s="2204"/>
      <c r="E329" s="2204"/>
      <c r="F329" s="2204"/>
      <c r="G329" s="2204"/>
      <c r="H329" s="2204"/>
      <c r="I329" s="2205"/>
      <c r="J329" s="2204"/>
      <c r="K329" s="2204"/>
      <c r="L329" s="2204"/>
      <c r="M329" s="2204"/>
      <c r="N329" s="2204"/>
      <c r="O329" s="2204"/>
      <c r="P329" s="2204"/>
      <c r="Q329" s="2204"/>
      <c r="R329" s="2204"/>
      <c r="S329" s="2204"/>
      <c r="T329" s="2204"/>
    </row>
    <row r="330" spans="1:20">
      <c r="A330" s="2204"/>
      <c r="B330" s="2204"/>
      <c r="C330" s="2204"/>
      <c r="D330" s="2204"/>
      <c r="E330" s="2204"/>
      <c r="F330" s="2204"/>
      <c r="G330" s="2204"/>
      <c r="H330" s="2204"/>
      <c r="I330" s="2205"/>
      <c r="J330" s="2204"/>
      <c r="K330" s="2204"/>
      <c r="L330" s="2204"/>
      <c r="M330" s="2204"/>
      <c r="N330" s="2204"/>
      <c r="O330" s="2204"/>
      <c r="P330" s="2204"/>
      <c r="Q330" s="2204"/>
      <c r="R330" s="2204"/>
      <c r="S330" s="2204"/>
      <c r="T330" s="2204"/>
    </row>
    <row r="331" spans="1:20">
      <c r="A331" s="2204"/>
      <c r="B331" s="2204"/>
      <c r="C331" s="2204"/>
      <c r="D331" s="2204"/>
      <c r="E331" s="2204"/>
      <c r="F331" s="2204"/>
      <c r="G331" s="2204"/>
      <c r="H331" s="2204"/>
      <c r="I331" s="2205"/>
      <c r="J331" s="2204"/>
      <c r="K331" s="2204"/>
      <c r="L331" s="2204"/>
      <c r="M331" s="2204"/>
      <c r="N331" s="2204"/>
      <c r="O331" s="2204"/>
      <c r="P331" s="2204"/>
      <c r="Q331" s="2204"/>
      <c r="R331" s="2204"/>
      <c r="S331" s="2204"/>
      <c r="T331" s="2204"/>
    </row>
    <row r="332" spans="1:20">
      <c r="A332" s="2204"/>
      <c r="B332" s="2204"/>
      <c r="C332" s="2204"/>
      <c r="D332" s="2204"/>
      <c r="E332" s="2204"/>
      <c r="F332" s="2204"/>
      <c r="G332" s="2204"/>
      <c r="H332" s="2204"/>
      <c r="I332" s="2205"/>
      <c r="J332" s="2204"/>
      <c r="K332" s="2204"/>
      <c r="L332" s="2204"/>
      <c r="M332" s="2204"/>
      <c r="N332" s="2204"/>
      <c r="O332" s="2204"/>
      <c r="P332" s="2204"/>
      <c r="Q332" s="2204"/>
      <c r="R332" s="2204"/>
      <c r="S332" s="2204"/>
      <c r="T332" s="2204"/>
    </row>
    <row r="333" spans="1:20">
      <c r="A333" s="2204"/>
      <c r="B333" s="2204"/>
      <c r="C333" s="2204"/>
      <c r="D333" s="2204"/>
      <c r="E333" s="2204"/>
      <c r="F333" s="2204"/>
      <c r="G333" s="2204"/>
      <c r="H333" s="2204"/>
      <c r="I333" s="2205"/>
      <c r="J333" s="2204"/>
      <c r="K333" s="2204"/>
      <c r="L333" s="2204"/>
      <c r="M333" s="2204"/>
      <c r="N333" s="2204"/>
      <c r="O333" s="2204"/>
      <c r="P333" s="2204"/>
      <c r="Q333" s="2204"/>
      <c r="R333" s="2204"/>
      <c r="S333" s="2204"/>
      <c r="T333" s="2204"/>
    </row>
    <row r="334" spans="1:20">
      <c r="A334" s="2204"/>
      <c r="B334" s="2204"/>
      <c r="C334" s="2204"/>
      <c r="D334" s="2204"/>
      <c r="E334" s="2204"/>
      <c r="F334" s="2204"/>
      <c r="G334" s="2204"/>
      <c r="H334" s="2204"/>
      <c r="I334" s="2205"/>
      <c r="J334" s="2204"/>
      <c r="K334" s="2204"/>
      <c r="L334" s="2204"/>
      <c r="M334" s="2204"/>
      <c r="N334" s="2204"/>
      <c r="O334" s="2204"/>
      <c r="P334" s="2204"/>
      <c r="Q334" s="2204"/>
      <c r="R334" s="2204"/>
      <c r="S334" s="2204"/>
      <c r="T334" s="2204"/>
    </row>
    <row r="335" spans="1:20">
      <c r="A335" s="2204"/>
      <c r="B335" s="2204"/>
      <c r="C335" s="2204"/>
      <c r="D335" s="2204"/>
      <c r="E335" s="2204"/>
      <c r="F335" s="2204"/>
      <c r="G335" s="2204"/>
      <c r="H335" s="2204"/>
      <c r="I335" s="2205"/>
      <c r="J335" s="2204"/>
      <c r="K335" s="2204"/>
      <c r="L335" s="2204"/>
      <c r="M335" s="2204"/>
      <c r="N335" s="2204"/>
      <c r="O335" s="2204"/>
      <c r="P335" s="2204"/>
      <c r="Q335" s="2204"/>
      <c r="R335" s="2204"/>
      <c r="S335" s="2204"/>
      <c r="T335" s="2204"/>
    </row>
    <row r="336" spans="1:20">
      <c r="A336" s="2204"/>
      <c r="B336" s="2204"/>
      <c r="C336" s="2204"/>
      <c r="D336" s="2204"/>
      <c r="E336" s="2204"/>
      <c r="F336" s="2204"/>
      <c r="G336" s="2204"/>
      <c r="H336" s="2204"/>
      <c r="I336" s="2205"/>
      <c r="J336" s="2204"/>
      <c r="K336" s="2204"/>
      <c r="L336" s="2204"/>
      <c r="M336" s="2204"/>
      <c r="N336" s="2204"/>
      <c r="O336" s="2204"/>
      <c r="P336" s="2204"/>
      <c r="Q336" s="2204"/>
      <c r="R336" s="2204"/>
      <c r="S336" s="2204"/>
      <c r="T336" s="2204"/>
    </row>
    <row r="337" spans="1:20">
      <c r="A337" s="2204"/>
      <c r="B337" s="2204"/>
      <c r="C337" s="2204"/>
      <c r="D337" s="2204"/>
      <c r="E337" s="2204"/>
      <c r="F337" s="2204"/>
      <c r="G337" s="2204"/>
      <c r="H337" s="2204"/>
      <c r="I337" s="2205"/>
      <c r="J337" s="2204"/>
      <c r="K337" s="2204"/>
      <c r="L337" s="2204"/>
      <c r="M337" s="2204"/>
      <c r="N337" s="2204"/>
      <c r="O337" s="2204"/>
      <c r="P337" s="2204"/>
      <c r="Q337" s="2204"/>
      <c r="R337" s="2204"/>
      <c r="S337" s="2204"/>
      <c r="T337" s="2204"/>
    </row>
    <row r="338" spans="1:20">
      <c r="A338" s="2204"/>
      <c r="B338" s="2204"/>
      <c r="C338" s="2204"/>
      <c r="D338" s="2204"/>
      <c r="E338" s="2204"/>
      <c r="F338" s="2204"/>
      <c r="G338" s="2204"/>
      <c r="H338" s="2204"/>
      <c r="I338" s="2205"/>
      <c r="J338" s="2204"/>
      <c r="K338" s="2204"/>
      <c r="L338" s="2204"/>
      <c r="M338" s="2204"/>
      <c r="N338" s="2204"/>
      <c r="O338" s="2204"/>
      <c r="P338" s="2204"/>
      <c r="Q338" s="2204"/>
      <c r="R338" s="2204"/>
      <c r="S338" s="2204"/>
      <c r="T338" s="2204"/>
    </row>
    <row r="339" spans="1:20">
      <c r="A339" s="2204"/>
      <c r="B339" s="2204"/>
      <c r="C339" s="2204"/>
      <c r="D339" s="2204"/>
      <c r="E339" s="2204"/>
      <c r="F339" s="2204"/>
      <c r="G339" s="2204"/>
      <c r="H339" s="2204"/>
      <c r="I339" s="2205"/>
      <c r="J339" s="2204"/>
      <c r="K339" s="2204"/>
      <c r="L339" s="2204"/>
      <c r="M339" s="2204"/>
      <c r="N339" s="2204"/>
      <c r="O339" s="2204"/>
      <c r="P339" s="2204"/>
      <c r="Q339" s="2204"/>
      <c r="R339" s="2204"/>
      <c r="S339" s="2204"/>
      <c r="T339" s="2204"/>
    </row>
    <row r="340" spans="1:20">
      <c r="A340" s="2204"/>
      <c r="B340" s="2204"/>
      <c r="C340" s="2204"/>
      <c r="D340" s="2204"/>
      <c r="E340" s="2204"/>
      <c r="F340" s="2204"/>
      <c r="G340" s="2204"/>
      <c r="H340" s="2204"/>
      <c r="I340" s="2205"/>
      <c r="J340" s="2204"/>
      <c r="K340" s="2204"/>
      <c r="L340" s="2204"/>
      <c r="M340" s="2204"/>
      <c r="N340" s="2204"/>
      <c r="O340" s="2204"/>
      <c r="P340" s="2204"/>
      <c r="Q340" s="2204"/>
      <c r="R340" s="2204"/>
      <c r="S340" s="2204"/>
      <c r="T340" s="2204"/>
    </row>
    <row r="341" spans="1:20">
      <c r="A341" s="2204"/>
      <c r="B341" s="2204"/>
      <c r="C341" s="2204"/>
      <c r="D341" s="2204"/>
      <c r="E341" s="2204"/>
      <c r="F341" s="2204"/>
      <c r="G341" s="2204"/>
      <c r="H341" s="2204"/>
      <c r="I341" s="2205"/>
      <c r="J341" s="2204"/>
      <c r="K341" s="2204"/>
      <c r="L341" s="2204"/>
      <c r="M341" s="2204"/>
      <c r="N341" s="2204"/>
      <c r="O341" s="2204"/>
      <c r="P341" s="2204"/>
      <c r="Q341" s="2204"/>
      <c r="R341" s="2204"/>
      <c r="S341" s="2204"/>
      <c r="T341" s="2204"/>
    </row>
    <row r="342" spans="1:20">
      <c r="A342" s="2204"/>
      <c r="B342" s="2204"/>
      <c r="C342" s="2204"/>
      <c r="D342" s="2204"/>
      <c r="E342" s="2204"/>
      <c r="F342" s="2204"/>
      <c r="G342" s="2204"/>
      <c r="H342" s="2204"/>
      <c r="I342" s="2205"/>
      <c r="J342" s="2204"/>
      <c r="K342" s="2204"/>
      <c r="L342" s="2204"/>
      <c r="M342" s="2204"/>
      <c r="N342" s="2204"/>
      <c r="O342" s="2204"/>
      <c r="P342" s="2204"/>
      <c r="Q342" s="2204"/>
      <c r="R342" s="2204"/>
      <c r="S342" s="2204"/>
      <c r="T342" s="2204"/>
    </row>
    <row r="343" spans="1:20">
      <c r="A343" s="2204"/>
      <c r="B343" s="2204"/>
      <c r="C343" s="2204"/>
      <c r="D343" s="2204"/>
      <c r="E343" s="2204"/>
      <c r="F343" s="2204"/>
      <c r="G343" s="2204"/>
      <c r="H343" s="2204"/>
      <c r="I343" s="2205"/>
      <c r="J343" s="2204"/>
      <c r="K343" s="2204"/>
      <c r="L343" s="2204"/>
      <c r="M343" s="2204"/>
      <c r="N343" s="2204"/>
      <c r="O343" s="2204"/>
      <c r="P343" s="2204"/>
      <c r="Q343" s="2204"/>
      <c r="R343" s="2204"/>
      <c r="S343" s="2204"/>
      <c r="T343" s="2204"/>
    </row>
    <row r="344" spans="1:20">
      <c r="A344" s="2204"/>
      <c r="B344" s="2204"/>
      <c r="C344" s="2204"/>
      <c r="D344" s="2204"/>
      <c r="E344" s="2204"/>
      <c r="F344" s="2204"/>
      <c r="G344" s="2204"/>
      <c r="H344" s="2204"/>
      <c r="I344" s="2205"/>
      <c r="J344" s="2204"/>
      <c r="K344" s="2204"/>
      <c r="L344" s="2204"/>
      <c r="M344" s="2204"/>
      <c r="N344" s="2204"/>
      <c r="O344" s="2204"/>
      <c r="P344" s="2204"/>
      <c r="Q344" s="2204"/>
      <c r="R344" s="2204"/>
      <c r="S344" s="2204"/>
      <c r="T344" s="2204"/>
    </row>
    <row r="345" spans="1:20">
      <c r="A345" s="2204"/>
      <c r="B345" s="2204"/>
      <c r="C345" s="2204"/>
      <c r="D345" s="2204"/>
      <c r="E345" s="2204"/>
      <c r="F345" s="2204"/>
      <c r="G345" s="2204"/>
      <c r="H345" s="2204"/>
      <c r="I345" s="2205"/>
      <c r="J345" s="2204"/>
      <c r="K345" s="2204"/>
      <c r="L345" s="2204"/>
      <c r="M345" s="2204"/>
      <c r="N345" s="2204"/>
      <c r="O345" s="2204"/>
      <c r="P345" s="2204"/>
      <c r="Q345" s="2204"/>
      <c r="R345" s="2204"/>
      <c r="S345" s="2204"/>
      <c r="T345" s="2204"/>
    </row>
    <row r="346" spans="1:20">
      <c r="A346" s="2204"/>
      <c r="B346" s="2204"/>
      <c r="C346" s="2204"/>
      <c r="D346" s="2204"/>
      <c r="E346" s="2204"/>
      <c r="F346" s="2204"/>
      <c r="G346" s="2204"/>
      <c r="H346" s="2204"/>
      <c r="I346" s="2205"/>
      <c r="J346" s="2204"/>
      <c r="K346" s="2204"/>
      <c r="L346" s="2204"/>
      <c r="M346" s="2204"/>
      <c r="N346" s="2204"/>
      <c r="O346" s="2204"/>
      <c r="P346" s="2204"/>
      <c r="Q346" s="2204"/>
      <c r="R346" s="2204"/>
      <c r="S346" s="2204"/>
      <c r="T346" s="2204"/>
    </row>
    <row r="347" spans="1:20">
      <c r="A347" s="2204"/>
      <c r="B347" s="2204"/>
      <c r="C347" s="2204"/>
      <c r="D347" s="2204"/>
      <c r="E347" s="2204"/>
      <c r="F347" s="2204"/>
      <c r="G347" s="2204"/>
      <c r="H347" s="2204"/>
      <c r="I347" s="2205"/>
      <c r="J347" s="2204"/>
      <c r="K347" s="2204"/>
      <c r="L347" s="2204"/>
      <c r="M347" s="2204"/>
      <c r="N347" s="2204"/>
      <c r="O347" s="2204"/>
      <c r="P347" s="2204"/>
      <c r="Q347" s="2204"/>
      <c r="R347" s="2204"/>
      <c r="S347" s="2204"/>
      <c r="T347" s="2204"/>
    </row>
    <row r="348" spans="1:20">
      <c r="A348" s="2204"/>
      <c r="B348" s="2204"/>
      <c r="C348" s="2204"/>
      <c r="D348" s="2204"/>
      <c r="E348" s="2204"/>
      <c r="F348" s="2204"/>
      <c r="G348" s="2204"/>
      <c r="H348" s="2204"/>
      <c r="I348" s="2205"/>
      <c r="J348" s="2204"/>
      <c r="K348" s="2204"/>
      <c r="L348" s="2204"/>
      <c r="M348" s="2204"/>
      <c r="N348" s="2204"/>
      <c r="O348" s="2204"/>
      <c r="P348" s="2204"/>
      <c r="Q348" s="2204"/>
      <c r="R348" s="2204"/>
      <c r="S348" s="2204"/>
      <c r="T348" s="2204"/>
    </row>
    <row r="349" spans="1:20">
      <c r="A349" s="2204"/>
      <c r="B349" s="2204"/>
      <c r="C349" s="2204"/>
      <c r="D349" s="2204"/>
      <c r="E349" s="2204"/>
      <c r="F349" s="2204"/>
      <c r="G349" s="2204"/>
      <c r="H349" s="2204"/>
      <c r="I349" s="2205"/>
      <c r="J349" s="2204"/>
      <c r="K349" s="2204"/>
      <c r="L349" s="2204"/>
      <c r="M349" s="2204"/>
      <c r="N349" s="2204"/>
      <c r="O349" s="2204"/>
      <c r="P349" s="2204"/>
      <c r="Q349" s="2204"/>
      <c r="R349" s="2204"/>
      <c r="S349" s="2204"/>
      <c r="T349" s="2204"/>
    </row>
    <row r="350" spans="1:20">
      <c r="A350" s="2204"/>
      <c r="B350" s="2204"/>
      <c r="C350" s="2204"/>
      <c r="D350" s="2204"/>
      <c r="E350" s="2204"/>
      <c r="F350" s="2204"/>
      <c r="G350" s="2204"/>
      <c r="H350" s="2204"/>
      <c r="I350" s="2205"/>
      <c r="J350" s="2204"/>
      <c r="K350" s="2204"/>
      <c r="L350" s="2204"/>
      <c r="M350" s="2204"/>
      <c r="N350" s="2204"/>
      <c r="O350" s="2204"/>
      <c r="P350" s="2204"/>
      <c r="Q350" s="2204"/>
      <c r="R350" s="2204"/>
      <c r="S350" s="2204"/>
      <c r="T350" s="2204"/>
    </row>
    <row r="351" spans="1:20">
      <c r="A351" s="2204"/>
      <c r="B351" s="2204"/>
      <c r="C351" s="2204"/>
      <c r="D351" s="2204"/>
      <c r="E351" s="2204"/>
      <c r="F351" s="2204"/>
      <c r="G351" s="2204"/>
      <c r="H351" s="2204"/>
      <c r="I351" s="2205"/>
      <c r="J351" s="2204"/>
      <c r="K351" s="2204"/>
      <c r="L351" s="2204"/>
      <c r="M351" s="2204"/>
      <c r="N351" s="2204"/>
      <c r="O351" s="2204"/>
      <c r="P351" s="2204"/>
      <c r="Q351" s="2204"/>
      <c r="R351" s="2204"/>
      <c r="S351" s="2204"/>
      <c r="T351" s="2204"/>
    </row>
    <row r="352" spans="1:20">
      <c r="A352" s="2204"/>
      <c r="B352" s="2204"/>
      <c r="C352" s="2204"/>
      <c r="D352" s="2204"/>
      <c r="E352" s="2204"/>
      <c r="F352" s="2204"/>
      <c r="G352" s="2204"/>
      <c r="H352" s="2204"/>
      <c r="I352" s="2205"/>
      <c r="J352" s="2204"/>
      <c r="K352" s="2204"/>
      <c r="L352" s="2204"/>
      <c r="M352" s="2204"/>
      <c r="N352" s="2204"/>
      <c r="O352" s="2204"/>
      <c r="P352" s="2204"/>
      <c r="Q352" s="2204"/>
      <c r="R352" s="2204"/>
      <c r="S352" s="2204"/>
      <c r="T352" s="2204"/>
    </row>
    <row r="353" spans="1:20">
      <c r="A353" s="2204"/>
      <c r="B353" s="2204"/>
      <c r="C353" s="2204"/>
      <c r="D353" s="2204"/>
      <c r="E353" s="2204"/>
      <c r="F353" s="2204"/>
      <c r="G353" s="2204"/>
      <c r="H353" s="2204"/>
      <c r="I353" s="2205"/>
      <c r="J353" s="2204"/>
      <c r="K353" s="2204"/>
      <c r="L353" s="2204"/>
      <c r="M353" s="2204"/>
      <c r="N353" s="2204"/>
      <c r="O353" s="2204"/>
      <c r="P353" s="2204"/>
      <c r="Q353" s="2204"/>
      <c r="R353" s="2204"/>
      <c r="S353" s="2204"/>
      <c r="T353" s="2204"/>
    </row>
    <row r="354" spans="1:20">
      <c r="A354" s="2204"/>
      <c r="B354" s="2204"/>
      <c r="C354" s="2204"/>
      <c r="D354" s="2204"/>
      <c r="E354" s="2204"/>
      <c r="F354" s="2204"/>
      <c r="G354" s="2204"/>
      <c r="H354" s="2204"/>
      <c r="I354" s="2205"/>
      <c r="J354" s="2204"/>
      <c r="K354" s="2204"/>
      <c r="L354" s="2204"/>
      <c r="M354" s="2204"/>
      <c r="N354" s="2204"/>
      <c r="O354" s="2204"/>
      <c r="P354" s="2204"/>
      <c r="Q354" s="2204"/>
      <c r="R354" s="2204"/>
      <c r="S354" s="2204"/>
      <c r="T354" s="2204"/>
    </row>
    <row r="355" spans="1:20">
      <c r="A355" s="2204"/>
      <c r="B355" s="2204"/>
      <c r="C355" s="2204"/>
      <c r="D355" s="2204"/>
      <c r="E355" s="2204"/>
      <c r="F355" s="2204"/>
      <c r="G355" s="2204"/>
      <c r="H355" s="2204"/>
      <c r="I355" s="2205"/>
      <c r="J355" s="2204"/>
      <c r="K355" s="2204"/>
      <c r="L355" s="2204"/>
      <c r="M355" s="2204"/>
      <c r="N355" s="2204"/>
      <c r="O355" s="2204"/>
      <c r="P355" s="2204"/>
      <c r="Q355" s="2204"/>
      <c r="R355" s="2204"/>
      <c r="S355" s="2204"/>
      <c r="T355" s="2204"/>
    </row>
    <row r="356" spans="1:20">
      <c r="A356" s="2204"/>
      <c r="B356" s="2204"/>
      <c r="C356" s="2204"/>
      <c r="D356" s="2204"/>
      <c r="E356" s="2204"/>
      <c r="F356" s="2204"/>
      <c r="G356" s="2204"/>
      <c r="H356" s="2204"/>
      <c r="I356" s="2205"/>
      <c r="J356" s="2204"/>
      <c r="K356" s="2204"/>
      <c r="L356" s="2204"/>
      <c r="M356" s="2204"/>
      <c r="N356" s="2204"/>
      <c r="O356" s="2204"/>
      <c r="P356" s="2204"/>
      <c r="Q356" s="2204"/>
      <c r="R356" s="2204"/>
      <c r="S356" s="2204"/>
      <c r="T356" s="2204"/>
    </row>
    <row r="357" spans="1:20">
      <c r="A357" s="2204"/>
      <c r="B357" s="2204"/>
      <c r="C357" s="2204"/>
      <c r="D357" s="2204"/>
      <c r="E357" s="2204"/>
      <c r="F357" s="2204"/>
      <c r="G357" s="2204"/>
      <c r="H357" s="2204"/>
      <c r="I357" s="2205"/>
      <c r="J357" s="2204"/>
      <c r="K357" s="2204"/>
      <c r="L357" s="2204"/>
      <c r="M357" s="2204"/>
      <c r="N357" s="2204"/>
      <c r="O357" s="2204"/>
      <c r="P357" s="2204"/>
      <c r="Q357" s="2204"/>
      <c r="R357" s="2204"/>
      <c r="S357" s="2204"/>
      <c r="T357" s="2204"/>
    </row>
    <row r="358" spans="1:20">
      <c r="A358" s="2204"/>
      <c r="B358" s="2204"/>
      <c r="C358" s="2204"/>
      <c r="D358" s="2204"/>
      <c r="E358" s="2204"/>
      <c r="F358" s="2204"/>
      <c r="G358" s="2204"/>
      <c r="H358" s="2204"/>
      <c r="I358" s="2205"/>
      <c r="J358" s="2204"/>
      <c r="K358" s="2204"/>
      <c r="L358" s="2204"/>
      <c r="M358" s="2204"/>
      <c r="N358" s="2204"/>
      <c r="O358" s="2204"/>
      <c r="P358" s="2204"/>
      <c r="Q358" s="2204"/>
      <c r="R358" s="2204"/>
      <c r="S358" s="2204"/>
      <c r="T358" s="2204"/>
    </row>
    <row r="359" spans="1:20">
      <c r="A359" s="2204"/>
      <c r="B359" s="2204"/>
      <c r="C359" s="2204"/>
      <c r="D359" s="2204"/>
      <c r="E359" s="2204"/>
      <c r="F359" s="2204"/>
      <c r="G359" s="2204"/>
      <c r="H359" s="2204"/>
      <c r="I359" s="2205"/>
      <c r="J359" s="2204"/>
      <c r="K359" s="2204"/>
      <c r="L359" s="2204"/>
      <c r="M359" s="2204"/>
      <c r="N359" s="2204"/>
      <c r="O359" s="2204"/>
      <c r="P359" s="2204"/>
      <c r="Q359" s="2204"/>
      <c r="R359" s="2204"/>
      <c r="S359" s="2204"/>
      <c r="T359" s="2204"/>
    </row>
    <row r="360" spans="1:20">
      <c r="A360" s="2204"/>
      <c r="B360" s="2204"/>
      <c r="C360" s="2204"/>
      <c r="D360" s="2204"/>
      <c r="E360" s="2204"/>
      <c r="F360" s="2204"/>
      <c r="G360" s="2204"/>
      <c r="H360" s="2204"/>
      <c r="I360" s="2205"/>
      <c r="J360" s="2204"/>
      <c r="K360" s="2204"/>
      <c r="L360" s="2204"/>
      <c r="M360" s="2204"/>
      <c r="N360" s="2204"/>
      <c r="O360" s="2204"/>
      <c r="P360" s="2204"/>
      <c r="Q360" s="2204"/>
      <c r="R360" s="2204"/>
      <c r="S360" s="2204"/>
      <c r="T360" s="2204"/>
    </row>
    <row r="361" spans="1:20">
      <c r="A361" s="2204"/>
      <c r="B361" s="2204"/>
      <c r="C361" s="2204"/>
      <c r="D361" s="2204"/>
      <c r="E361" s="2204"/>
      <c r="F361" s="2204"/>
      <c r="G361" s="2204"/>
      <c r="H361" s="2204"/>
      <c r="I361" s="2205"/>
      <c r="J361" s="2204"/>
      <c r="K361" s="2204"/>
      <c r="L361" s="2204"/>
      <c r="M361" s="2204"/>
      <c r="N361" s="2204"/>
      <c r="O361" s="2204"/>
      <c r="P361" s="2204"/>
      <c r="Q361" s="2204"/>
      <c r="R361" s="2204"/>
      <c r="S361" s="2204"/>
      <c r="T361" s="2204"/>
    </row>
    <row r="362" spans="1:20">
      <c r="A362" s="2204"/>
      <c r="B362" s="2204"/>
      <c r="C362" s="2204"/>
      <c r="D362" s="2204"/>
      <c r="E362" s="2204"/>
      <c r="F362" s="2204"/>
      <c r="G362" s="2204"/>
      <c r="H362" s="2204"/>
      <c r="I362" s="2205"/>
      <c r="J362" s="2204"/>
      <c r="K362" s="2204"/>
      <c r="L362" s="2204"/>
      <c r="M362" s="2204"/>
      <c r="N362" s="2204"/>
      <c r="O362" s="2204"/>
      <c r="P362" s="2204"/>
      <c r="Q362" s="2204"/>
      <c r="R362" s="2204"/>
      <c r="S362" s="2204"/>
      <c r="T362" s="2204"/>
    </row>
    <row r="363" spans="1:20">
      <c r="A363" s="2204"/>
      <c r="B363" s="2204"/>
      <c r="C363" s="2204"/>
      <c r="D363" s="2204"/>
      <c r="E363" s="2204"/>
      <c r="F363" s="2204"/>
      <c r="G363" s="2204"/>
      <c r="H363" s="2204"/>
      <c r="I363" s="2205"/>
      <c r="J363" s="2204"/>
      <c r="K363" s="2204"/>
      <c r="L363" s="2204"/>
      <c r="M363" s="2204"/>
      <c r="N363" s="2204"/>
      <c r="O363" s="2204"/>
      <c r="P363" s="2204"/>
      <c r="Q363" s="2204"/>
      <c r="R363" s="2204"/>
      <c r="S363" s="2204"/>
      <c r="T363" s="2204"/>
    </row>
    <row r="364" spans="1:20">
      <c r="A364" s="2204"/>
      <c r="B364" s="2204"/>
      <c r="C364" s="2204"/>
      <c r="D364" s="2204"/>
      <c r="E364" s="2204"/>
      <c r="F364" s="2204"/>
      <c r="G364" s="2204"/>
      <c r="H364" s="2204"/>
      <c r="I364" s="2205"/>
      <c r="J364" s="2204"/>
      <c r="K364" s="2204"/>
      <c r="L364" s="2204"/>
      <c r="M364" s="2204"/>
      <c r="N364" s="2204"/>
      <c r="O364" s="2204"/>
      <c r="P364" s="2204"/>
      <c r="Q364" s="2204"/>
      <c r="R364" s="2204"/>
      <c r="S364" s="2204"/>
      <c r="T364" s="2204"/>
    </row>
    <row r="365" spans="1:20">
      <c r="A365" s="2204"/>
      <c r="B365" s="2204"/>
      <c r="C365" s="2204"/>
      <c r="D365" s="2204"/>
      <c r="E365" s="2204"/>
      <c r="F365" s="2204"/>
      <c r="G365" s="2204"/>
      <c r="H365" s="2204"/>
      <c r="I365" s="2205"/>
      <c r="J365" s="2204"/>
      <c r="K365" s="2204"/>
      <c r="L365" s="2204"/>
      <c r="M365" s="2204"/>
      <c r="N365" s="2204"/>
      <c r="O365" s="2204"/>
      <c r="P365" s="2204"/>
      <c r="Q365" s="2204"/>
      <c r="R365" s="2204"/>
      <c r="S365" s="2204"/>
      <c r="T365" s="2204"/>
    </row>
    <row r="366" spans="1:20">
      <c r="A366" s="2204"/>
      <c r="B366" s="2204"/>
      <c r="C366" s="2204"/>
      <c r="D366" s="2204"/>
      <c r="E366" s="2204"/>
      <c r="F366" s="2204"/>
      <c r="G366" s="2204"/>
      <c r="H366" s="2204"/>
      <c r="I366" s="2205"/>
      <c r="J366" s="2204"/>
      <c r="K366" s="2204"/>
      <c r="L366" s="2204"/>
      <c r="M366" s="2204"/>
      <c r="N366" s="2204"/>
      <c r="O366" s="2204"/>
      <c r="P366" s="2204"/>
      <c r="Q366" s="2204"/>
      <c r="R366" s="2204"/>
      <c r="S366" s="2204"/>
      <c r="T366" s="2204"/>
    </row>
    <row r="367" spans="1:20">
      <c r="A367" s="2204"/>
      <c r="B367" s="2204"/>
      <c r="C367" s="2204"/>
      <c r="D367" s="2204"/>
      <c r="E367" s="2204"/>
      <c r="F367" s="2204"/>
      <c r="G367" s="2204"/>
      <c r="H367" s="2204"/>
      <c r="I367" s="2205"/>
      <c r="J367" s="2204"/>
      <c r="K367" s="2204"/>
      <c r="L367" s="2204"/>
      <c r="M367" s="2204"/>
      <c r="N367" s="2204"/>
      <c r="O367" s="2204"/>
      <c r="P367" s="2204"/>
      <c r="Q367" s="2204"/>
      <c r="R367" s="2204"/>
      <c r="S367" s="2204"/>
      <c r="T367" s="2204"/>
    </row>
    <row r="368" spans="1:20">
      <c r="A368" s="2204"/>
      <c r="B368" s="2204"/>
      <c r="C368" s="2204"/>
      <c r="D368" s="2204"/>
      <c r="E368" s="2204"/>
      <c r="F368" s="2204"/>
      <c r="G368" s="2204"/>
      <c r="H368" s="2204"/>
      <c r="I368" s="2205"/>
      <c r="J368" s="2204"/>
      <c r="K368" s="2204"/>
      <c r="L368" s="2204"/>
      <c r="M368" s="2204"/>
      <c r="N368" s="2204"/>
      <c r="O368" s="2204"/>
      <c r="P368" s="2204"/>
      <c r="Q368" s="2204"/>
      <c r="R368" s="2204"/>
      <c r="S368" s="2204"/>
      <c r="T368" s="2204"/>
    </row>
    <row r="369" spans="1:20">
      <c r="A369" s="2204"/>
      <c r="B369" s="2204"/>
      <c r="C369" s="2204"/>
      <c r="D369" s="2204"/>
      <c r="E369" s="2204"/>
      <c r="F369" s="2204"/>
      <c r="G369" s="2204"/>
      <c r="H369" s="2204"/>
      <c r="I369" s="2205"/>
      <c r="J369" s="2204"/>
      <c r="K369" s="2204"/>
      <c r="L369" s="2204"/>
      <c r="M369" s="2204"/>
      <c r="N369" s="2204"/>
      <c r="O369" s="2204"/>
      <c r="P369" s="2204"/>
      <c r="Q369" s="2204"/>
      <c r="R369" s="2204"/>
      <c r="S369" s="2204"/>
      <c r="T369" s="2204"/>
    </row>
    <row r="370" spans="1:20">
      <c r="A370" s="2204"/>
      <c r="B370" s="2204"/>
      <c r="C370" s="2204"/>
      <c r="D370" s="2204"/>
      <c r="E370" s="2204"/>
      <c r="F370" s="2204"/>
      <c r="G370" s="2204"/>
      <c r="H370" s="2204"/>
      <c r="I370" s="2205"/>
      <c r="J370" s="2204"/>
      <c r="K370" s="2204"/>
      <c r="L370" s="2204"/>
      <c r="M370" s="2204"/>
      <c r="N370" s="2204"/>
      <c r="O370" s="2204"/>
      <c r="P370" s="2204"/>
      <c r="Q370" s="2204"/>
      <c r="R370" s="2204"/>
      <c r="S370" s="2204"/>
      <c r="T370" s="2204"/>
    </row>
    <row r="371" spans="1:20">
      <c r="A371" s="2204"/>
      <c r="B371" s="2204"/>
      <c r="C371" s="2204"/>
      <c r="D371" s="2204"/>
      <c r="E371" s="2204"/>
      <c r="F371" s="2204"/>
      <c r="G371" s="2204"/>
      <c r="H371" s="2204"/>
      <c r="I371" s="2205"/>
      <c r="J371" s="2204"/>
      <c r="K371" s="2204"/>
      <c r="L371" s="2204"/>
      <c r="M371" s="2204"/>
      <c r="N371" s="2204"/>
      <c r="O371" s="2204"/>
      <c r="P371" s="2204"/>
      <c r="Q371" s="2204"/>
      <c r="R371" s="2204"/>
      <c r="S371" s="2204"/>
      <c r="T371" s="2204"/>
    </row>
    <row r="372" spans="1:20">
      <c r="A372" s="2204"/>
      <c r="B372" s="2204"/>
      <c r="C372" s="2204"/>
      <c r="D372" s="2204"/>
      <c r="E372" s="2204"/>
      <c r="F372" s="2204"/>
      <c r="G372" s="2204"/>
      <c r="H372" s="2204"/>
      <c r="I372" s="2205"/>
      <c r="J372" s="2204"/>
      <c r="K372" s="2204"/>
      <c r="L372" s="2204"/>
      <c r="M372" s="2204"/>
      <c r="N372" s="2204"/>
      <c r="O372" s="2204"/>
      <c r="P372" s="2204"/>
      <c r="Q372" s="2204"/>
      <c r="R372" s="2204"/>
      <c r="S372" s="2204"/>
      <c r="T372" s="2204"/>
    </row>
    <row r="373" spans="1:20">
      <c r="A373" s="2204"/>
      <c r="B373" s="2204"/>
      <c r="C373" s="2204"/>
      <c r="D373" s="2204"/>
      <c r="E373" s="2204"/>
      <c r="F373" s="2204"/>
      <c r="G373" s="2204"/>
      <c r="H373" s="2204"/>
      <c r="I373" s="2205"/>
      <c r="J373" s="2204"/>
      <c r="K373" s="2204"/>
      <c r="L373" s="2204"/>
      <c r="M373" s="2204"/>
      <c r="N373" s="2204"/>
      <c r="O373" s="2204"/>
      <c r="P373" s="2204"/>
      <c r="Q373" s="2204"/>
      <c r="R373" s="2204"/>
      <c r="S373" s="2204"/>
      <c r="T373" s="2204"/>
    </row>
    <row r="374" spans="1:20">
      <c r="A374" s="2204"/>
      <c r="B374" s="2204"/>
      <c r="C374" s="2204"/>
      <c r="D374" s="2204"/>
      <c r="E374" s="2204"/>
      <c r="F374" s="2204"/>
      <c r="G374" s="2204"/>
      <c r="H374" s="2204"/>
      <c r="I374" s="2205"/>
      <c r="J374" s="2204"/>
      <c r="K374" s="2204"/>
      <c r="L374" s="2204"/>
      <c r="M374" s="2204"/>
      <c r="N374" s="2204"/>
      <c r="O374" s="2204"/>
      <c r="P374" s="2204"/>
      <c r="Q374" s="2204"/>
      <c r="R374" s="2204"/>
      <c r="S374" s="2204"/>
      <c r="T374" s="2204"/>
    </row>
    <row r="375" spans="1:20">
      <c r="A375" s="2204"/>
      <c r="B375" s="2204"/>
      <c r="C375" s="2204"/>
      <c r="D375" s="2204"/>
      <c r="E375" s="2204"/>
      <c r="F375" s="2204"/>
      <c r="G375" s="2204"/>
      <c r="H375" s="2204"/>
      <c r="I375" s="2205"/>
      <c r="J375" s="2204"/>
      <c r="K375" s="2204"/>
      <c r="L375" s="2204"/>
      <c r="M375" s="2204"/>
      <c r="N375" s="2204"/>
      <c r="O375" s="2204"/>
      <c r="P375" s="2204"/>
      <c r="Q375" s="2204"/>
      <c r="R375" s="2204"/>
      <c r="S375" s="2204"/>
      <c r="T375" s="2204"/>
    </row>
    <row r="376" spans="1:20">
      <c r="A376" s="2204"/>
      <c r="B376" s="2204"/>
      <c r="C376" s="2204"/>
      <c r="D376" s="2204"/>
      <c r="E376" s="2204"/>
      <c r="F376" s="2204"/>
      <c r="G376" s="2204"/>
      <c r="H376" s="2204"/>
      <c r="I376" s="2205"/>
      <c r="J376" s="2204"/>
      <c r="K376" s="2204"/>
      <c r="L376" s="2204"/>
      <c r="M376" s="2204"/>
      <c r="N376" s="2204"/>
      <c r="O376" s="2204"/>
      <c r="P376" s="2204"/>
      <c r="Q376" s="2204"/>
      <c r="R376" s="2204"/>
      <c r="S376" s="2204"/>
      <c r="T376" s="2204"/>
    </row>
    <row r="377" spans="1:20">
      <c r="A377" s="2204"/>
      <c r="B377" s="2204"/>
      <c r="C377" s="2204"/>
      <c r="D377" s="2204"/>
      <c r="E377" s="2204"/>
      <c r="F377" s="2204"/>
      <c r="G377" s="2204"/>
      <c r="H377" s="2204"/>
      <c r="I377" s="2205"/>
      <c r="J377" s="2204"/>
      <c r="K377" s="2204"/>
      <c r="L377" s="2204"/>
      <c r="M377" s="2204"/>
      <c r="N377" s="2204"/>
      <c r="O377" s="2204"/>
      <c r="P377" s="2204"/>
      <c r="Q377" s="2204"/>
      <c r="R377" s="2204"/>
      <c r="S377" s="2204"/>
      <c r="T377" s="2204"/>
    </row>
    <row r="378" spans="1:20">
      <c r="A378" s="2204"/>
      <c r="B378" s="2204"/>
      <c r="C378" s="2204"/>
      <c r="D378" s="2204"/>
      <c r="E378" s="2204"/>
      <c r="F378" s="2204"/>
      <c r="G378" s="2204"/>
      <c r="H378" s="2204"/>
      <c r="I378" s="2205"/>
      <c r="J378" s="2204"/>
      <c r="K378" s="2204"/>
      <c r="L378" s="2204"/>
      <c r="M378" s="2204"/>
      <c r="N378" s="2204"/>
      <c r="O378" s="2204"/>
      <c r="P378" s="2204"/>
      <c r="Q378" s="2204"/>
      <c r="R378" s="2204"/>
      <c r="S378" s="2204"/>
      <c r="T378" s="2204"/>
    </row>
    <row r="379" spans="1:20">
      <c r="A379" s="2204"/>
      <c r="B379" s="2204"/>
      <c r="C379" s="2204"/>
      <c r="D379" s="2204"/>
      <c r="E379" s="2204"/>
      <c r="F379" s="2204"/>
      <c r="G379" s="2204"/>
      <c r="H379" s="2204"/>
      <c r="I379" s="2205"/>
      <c r="J379" s="2204"/>
      <c r="K379" s="2204"/>
      <c r="L379" s="2204"/>
      <c r="M379" s="2204"/>
      <c r="N379" s="2204"/>
      <c r="O379" s="2204"/>
      <c r="P379" s="2204"/>
      <c r="Q379" s="2204"/>
      <c r="R379" s="2204"/>
      <c r="S379" s="2204"/>
      <c r="T379" s="2204"/>
    </row>
    <row r="380" spans="1:20">
      <c r="A380" s="2204"/>
      <c r="B380" s="2204"/>
      <c r="C380" s="2204"/>
      <c r="D380" s="2204"/>
      <c r="E380" s="2204"/>
      <c r="F380" s="2204"/>
      <c r="G380" s="2204"/>
      <c r="H380" s="2204"/>
      <c r="I380" s="2205"/>
      <c r="J380" s="2204"/>
      <c r="K380" s="2204"/>
      <c r="L380" s="2204"/>
      <c r="M380" s="2204"/>
      <c r="N380" s="2204"/>
      <c r="O380" s="2204"/>
      <c r="P380" s="2204"/>
      <c r="Q380" s="2204"/>
      <c r="R380" s="2204"/>
      <c r="S380" s="2204"/>
      <c r="T380" s="2204"/>
    </row>
    <row r="381" spans="1:20">
      <c r="A381" s="2204"/>
      <c r="B381" s="2204"/>
      <c r="C381" s="2204"/>
      <c r="D381" s="2204"/>
      <c r="E381" s="2204"/>
      <c r="F381" s="2204"/>
      <c r="G381" s="2204"/>
      <c r="H381" s="2204"/>
      <c r="I381" s="2205"/>
      <c r="J381" s="2204"/>
      <c r="K381" s="2204"/>
      <c r="L381" s="2204"/>
      <c r="M381" s="2204"/>
      <c r="N381" s="2204"/>
      <c r="O381" s="2204"/>
      <c r="P381" s="2204"/>
      <c r="Q381" s="2204"/>
      <c r="R381" s="2204"/>
      <c r="S381" s="2204"/>
      <c r="T381" s="2204"/>
    </row>
    <row r="382" spans="1:20">
      <c r="A382" s="2204"/>
      <c r="B382" s="2204"/>
      <c r="C382" s="2204"/>
      <c r="D382" s="2204"/>
      <c r="E382" s="2204"/>
      <c r="F382" s="2204"/>
      <c r="G382" s="2204"/>
      <c r="H382" s="2204"/>
      <c r="I382" s="2205"/>
      <c r="J382" s="2204"/>
      <c r="K382" s="2204"/>
      <c r="L382" s="2204"/>
      <c r="M382" s="2204"/>
      <c r="N382" s="2204"/>
      <c r="O382" s="2204"/>
      <c r="P382" s="2204"/>
      <c r="Q382" s="2204"/>
      <c r="R382" s="2204"/>
      <c r="S382" s="2204"/>
      <c r="T382" s="2204"/>
    </row>
    <row r="383" spans="1:20">
      <c r="A383" s="2204"/>
      <c r="B383" s="2204"/>
      <c r="C383" s="2204"/>
      <c r="D383" s="2204"/>
      <c r="E383" s="2204"/>
      <c r="F383" s="2204"/>
      <c r="G383" s="2204"/>
      <c r="H383" s="2204"/>
      <c r="I383" s="2205"/>
      <c r="J383" s="2204"/>
      <c r="K383" s="2204"/>
      <c r="L383" s="2204"/>
      <c r="M383" s="2204"/>
      <c r="N383" s="2204"/>
      <c r="O383" s="2204"/>
      <c r="P383" s="2204"/>
      <c r="Q383" s="2204"/>
      <c r="R383" s="2204"/>
      <c r="S383" s="2204"/>
      <c r="T383" s="2204"/>
    </row>
    <row r="384" spans="1:20">
      <c r="A384" s="2204"/>
      <c r="B384" s="2204"/>
      <c r="C384" s="2204"/>
      <c r="D384" s="2204"/>
      <c r="E384" s="2204"/>
      <c r="F384" s="2204"/>
      <c r="G384" s="2204"/>
      <c r="H384" s="2204"/>
      <c r="I384" s="2205"/>
      <c r="J384" s="2204"/>
      <c r="K384" s="2204"/>
      <c r="L384" s="2204"/>
      <c r="M384" s="2204"/>
      <c r="N384" s="2204"/>
      <c r="O384" s="2204"/>
      <c r="P384" s="2204"/>
      <c r="Q384" s="2204"/>
      <c r="R384" s="2204"/>
      <c r="S384" s="2204"/>
      <c r="T384" s="2204"/>
    </row>
    <row r="385" spans="1:20">
      <c r="A385" s="2204"/>
      <c r="B385" s="2204"/>
      <c r="C385" s="2204"/>
      <c r="D385" s="2204"/>
      <c r="E385" s="2204"/>
      <c r="F385" s="2204"/>
      <c r="G385" s="2204"/>
      <c r="H385" s="2204"/>
      <c r="I385" s="2205"/>
      <c r="J385" s="2204"/>
      <c r="K385" s="2204"/>
      <c r="L385" s="2204"/>
      <c r="M385" s="2204"/>
      <c r="N385" s="2204"/>
      <c r="O385" s="2204"/>
      <c r="P385" s="2204"/>
      <c r="Q385" s="2204"/>
      <c r="R385" s="2204"/>
      <c r="S385" s="2204"/>
      <c r="T385" s="2204"/>
    </row>
    <row r="386" spans="1:20">
      <c r="A386" s="2204"/>
      <c r="B386" s="2204"/>
      <c r="C386" s="2204"/>
      <c r="D386" s="2204"/>
      <c r="E386" s="2204"/>
      <c r="F386" s="2204"/>
      <c r="G386" s="2204"/>
      <c r="H386" s="2204"/>
      <c r="I386" s="2205"/>
      <c r="J386" s="2204"/>
      <c r="K386" s="2204"/>
      <c r="L386" s="2204"/>
      <c r="M386" s="2204"/>
      <c r="N386" s="2204"/>
      <c r="O386" s="2204"/>
      <c r="P386" s="2204"/>
      <c r="Q386" s="2204"/>
      <c r="R386" s="2204"/>
      <c r="S386" s="2204"/>
      <c r="T386" s="2204"/>
    </row>
    <row r="387" spans="1:20">
      <c r="A387" s="2204"/>
      <c r="B387" s="2204"/>
      <c r="C387" s="2204"/>
      <c r="D387" s="2204"/>
      <c r="E387" s="2204"/>
      <c r="F387" s="2204"/>
      <c r="G387" s="2204"/>
      <c r="H387" s="2204"/>
      <c r="I387" s="2205"/>
      <c r="J387" s="2204"/>
      <c r="K387" s="2204"/>
      <c r="L387" s="2204"/>
      <c r="M387" s="2204"/>
      <c r="N387" s="2204"/>
      <c r="O387" s="2204"/>
      <c r="P387" s="2204"/>
      <c r="Q387" s="2204"/>
      <c r="R387" s="2204"/>
      <c r="S387" s="2204"/>
      <c r="T387" s="2204"/>
    </row>
    <row r="388" spans="1:20">
      <c r="A388" s="2204"/>
      <c r="B388" s="2204"/>
      <c r="C388" s="2204"/>
      <c r="D388" s="2204"/>
      <c r="E388" s="2204"/>
      <c r="F388" s="2204"/>
      <c r="G388" s="2204"/>
      <c r="H388" s="2204"/>
      <c r="I388" s="2205"/>
      <c r="J388" s="2204"/>
      <c r="K388" s="2204"/>
      <c r="L388" s="2204"/>
      <c r="M388" s="2204"/>
      <c r="N388" s="2204"/>
      <c r="O388" s="2204"/>
      <c r="P388" s="2204"/>
      <c r="Q388" s="2204"/>
      <c r="R388" s="2204"/>
      <c r="S388" s="2204"/>
      <c r="T388" s="2204"/>
    </row>
    <row r="389" spans="1:20">
      <c r="A389" s="2204"/>
      <c r="B389" s="2204"/>
      <c r="C389" s="2204"/>
      <c r="D389" s="2204"/>
      <c r="E389" s="2204"/>
      <c r="F389" s="2204"/>
      <c r="G389" s="2204"/>
      <c r="H389" s="2204"/>
      <c r="I389" s="2205"/>
      <c r="J389" s="2204"/>
      <c r="K389" s="2204"/>
      <c r="L389" s="2204"/>
      <c r="M389" s="2204"/>
      <c r="N389" s="2204"/>
      <c r="O389" s="2204"/>
      <c r="P389" s="2204"/>
      <c r="Q389" s="2204"/>
      <c r="R389" s="2204"/>
      <c r="S389" s="2204"/>
      <c r="T389" s="2204"/>
    </row>
    <row r="390" spans="1:20">
      <c r="A390" s="2204"/>
      <c r="B390" s="2204"/>
      <c r="C390" s="2204"/>
      <c r="D390" s="2204"/>
      <c r="E390" s="2204"/>
      <c r="F390" s="2204"/>
      <c r="G390" s="2204"/>
      <c r="H390" s="2204"/>
      <c r="I390" s="2205"/>
      <c r="J390" s="2204"/>
      <c r="K390" s="2204"/>
      <c r="L390" s="2204"/>
      <c r="M390" s="2204"/>
      <c r="N390" s="2204"/>
      <c r="O390" s="2204"/>
      <c r="P390" s="2204"/>
      <c r="Q390" s="2204"/>
      <c r="R390" s="2204"/>
      <c r="S390" s="2204"/>
      <c r="T390" s="2204"/>
    </row>
    <row r="391" spans="1:20">
      <c r="A391" s="2204"/>
      <c r="B391" s="2204"/>
      <c r="C391" s="2204"/>
      <c r="D391" s="2204"/>
      <c r="E391" s="2204"/>
      <c r="F391" s="2204"/>
      <c r="G391" s="2204"/>
      <c r="H391" s="2204"/>
      <c r="I391" s="2205"/>
      <c r="J391" s="2204"/>
      <c r="K391" s="2204"/>
      <c r="L391" s="2204"/>
      <c r="M391" s="2204"/>
      <c r="N391" s="2204"/>
      <c r="O391" s="2204"/>
      <c r="P391" s="2204"/>
      <c r="Q391" s="2204"/>
      <c r="R391" s="2204"/>
      <c r="S391" s="2204"/>
      <c r="T391" s="2204"/>
    </row>
    <row r="392" spans="1:20">
      <c r="A392" s="2204"/>
      <c r="B392" s="2204"/>
      <c r="C392" s="2204"/>
      <c r="D392" s="2204"/>
      <c r="E392" s="2204"/>
      <c r="F392" s="2204"/>
      <c r="G392" s="2204"/>
      <c r="H392" s="2204"/>
      <c r="I392" s="2205"/>
      <c r="J392" s="2204"/>
      <c r="K392" s="2204"/>
      <c r="L392" s="2204"/>
      <c r="M392" s="2204"/>
      <c r="N392" s="2204"/>
      <c r="O392" s="2204"/>
      <c r="P392" s="2204"/>
      <c r="Q392" s="2204"/>
      <c r="R392" s="2204"/>
      <c r="S392" s="2204"/>
      <c r="T392" s="2204"/>
    </row>
    <row r="393" spans="1:20">
      <c r="A393" s="2204"/>
      <c r="B393" s="2204"/>
      <c r="C393" s="2204"/>
      <c r="D393" s="2204"/>
      <c r="E393" s="2204"/>
      <c r="F393" s="2204"/>
      <c r="G393" s="2204"/>
      <c r="H393" s="2204"/>
      <c r="I393" s="2205"/>
      <c r="J393" s="2204"/>
      <c r="K393" s="2204"/>
      <c r="L393" s="2204"/>
      <c r="M393" s="2204"/>
      <c r="N393" s="2204"/>
      <c r="O393" s="2204"/>
      <c r="P393" s="2204"/>
      <c r="Q393" s="2204"/>
      <c r="R393" s="2204"/>
      <c r="S393" s="2204"/>
      <c r="T393" s="2204"/>
    </row>
    <row r="394" spans="1:20">
      <c r="A394" s="2204"/>
      <c r="B394" s="2204"/>
      <c r="C394" s="2204"/>
      <c r="D394" s="2204"/>
      <c r="E394" s="2204"/>
      <c r="F394" s="2204"/>
      <c r="G394" s="2204"/>
      <c r="H394" s="2204"/>
      <c r="I394" s="2205"/>
      <c r="J394" s="2204"/>
      <c r="K394" s="2204"/>
      <c r="L394" s="2204"/>
      <c r="M394" s="2204"/>
      <c r="N394" s="2204"/>
      <c r="O394" s="2204"/>
      <c r="P394" s="2204"/>
      <c r="Q394" s="2204"/>
      <c r="R394" s="2204"/>
      <c r="S394" s="2204"/>
      <c r="T394" s="2204"/>
    </row>
    <row r="395" spans="1:20">
      <c r="A395" s="2204"/>
      <c r="B395" s="2204"/>
      <c r="C395" s="2204"/>
      <c r="D395" s="2204"/>
      <c r="E395" s="2204"/>
      <c r="F395" s="2204"/>
      <c r="G395" s="2204"/>
      <c r="H395" s="2204"/>
      <c r="I395" s="2205"/>
      <c r="J395" s="2204"/>
      <c r="K395" s="2204"/>
      <c r="L395" s="2204"/>
      <c r="M395" s="2204"/>
      <c r="N395" s="2204"/>
      <c r="O395" s="2204"/>
      <c r="P395" s="2204"/>
      <c r="Q395" s="2204"/>
      <c r="R395" s="2204"/>
      <c r="S395" s="2204"/>
      <c r="T395" s="2204"/>
    </row>
    <row r="396" spans="1:20">
      <c r="A396" s="2204"/>
      <c r="B396" s="2204"/>
      <c r="C396" s="2204"/>
      <c r="D396" s="2204"/>
      <c r="E396" s="2204"/>
      <c r="F396" s="2204"/>
      <c r="G396" s="2204"/>
      <c r="H396" s="2204"/>
      <c r="I396" s="2205"/>
      <c r="J396" s="2204"/>
      <c r="K396" s="2204"/>
      <c r="L396" s="2204"/>
      <c r="M396" s="2204"/>
      <c r="N396" s="2204"/>
      <c r="O396" s="2204"/>
      <c r="P396" s="2204"/>
      <c r="Q396" s="2204"/>
      <c r="R396" s="2204"/>
      <c r="S396" s="2204"/>
      <c r="T396" s="2204"/>
    </row>
    <row r="397" spans="1:20">
      <c r="A397" s="2204"/>
      <c r="B397" s="2204"/>
      <c r="C397" s="2204"/>
      <c r="D397" s="2204"/>
      <c r="E397" s="2204"/>
      <c r="F397" s="2204"/>
      <c r="G397" s="2204"/>
      <c r="H397" s="2204"/>
      <c r="I397" s="2205"/>
      <c r="J397" s="2204"/>
      <c r="K397" s="2204"/>
      <c r="L397" s="2204"/>
      <c r="M397" s="2204"/>
      <c r="N397" s="2204"/>
      <c r="O397" s="2204"/>
      <c r="P397" s="2204"/>
      <c r="Q397" s="2204"/>
      <c r="R397" s="2204"/>
      <c r="S397" s="2204"/>
      <c r="T397" s="2204"/>
    </row>
    <row r="398" spans="1:20">
      <c r="A398" s="2204"/>
      <c r="B398" s="2204"/>
      <c r="C398" s="2204"/>
      <c r="D398" s="2204"/>
      <c r="E398" s="2204"/>
      <c r="F398" s="2204"/>
      <c r="G398" s="2204"/>
      <c r="H398" s="2204"/>
      <c r="I398" s="2205"/>
      <c r="J398" s="2204"/>
      <c r="K398" s="2204"/>
      <c r="L398" s="2204"/>
      <c r="M398" s="2204"/>
      <c r="N398" s="2204"/>
      <c r="O398" s="2204"/>
      <c r="P398" s="2204"/>
      <c r="Q398" s="2204"/>
      <c r="R398" s="2204"/>
      <c r="S398" s="2204"/>
      <c r="T398" s="2204"/>
    </row>
    <row r="399" spans="1:20">
      <c r="A399" s="2204"/>
      <c r="B399" s="2204"/>
      <c r="C399" s="2204"/>
      <c r="D399" s="2204"/>
      <c r="E399" s="2204"/>
      <c r="F399" s="2204"/>
      <c r="G399" s="2204"/>
      <c r="H399" s="2204"/>
      <c r="I399" s="2205"/>
      <c r="J399" s="2204"/>
      <c r="K399" s="2204"/>
      <c r="L399" s="2204"/>
      <c r="M399" s="2204"/>
      <c r="N399" s="2204"/>
      <c r="O399" s="2204"/>
      <c r="P399" s="2204"/>
      <c r="Q399" s="2204"/>
      <c r="R399" s="2204"/>
      <c r="S399" s="2204"/>
      <c r="T399" s="2204"/>
    </row>
    <row r="400" spans="1:20">
      <c r="A400" s="2204"/>
      <c r="B400" s="2204"/>
      <c r="C400" s="2204"/>
      <c r="D400" s="2204"/>
      <c r="E400" s="2204"/>
      <c r="F400" s="2204"/>
      <c r="G400" s="2204"/>
      <c r="H400" s="2204"/>
      <c r="I400" s="2205"/>
      <c r="J400" s="2204"/>
      <c r="K400" s="2204"/>
      <c r="L400" s="2204"/>
      <c r="M400" s="2204"/>
      <c r="N400" s="2204"/>
      <c r="O400" s="2204"/>
      <c r="P400" s="2204"/>
      <c r="Q400" s="2204"/>
      <c r="R400" s="2204"/>
      <c r="S400" s="2204"/>
      <c r="T400" s="2204"/>
    </row>
    <row r="401" spans="1:20">
      <c r="A401" s="2204"/>
      <c r="B401" s="2204"/>
      <c r="C401" s="2204"/>
      <c r="D401" s="2204"/>
      <c r="E401" s="2204"/>
      <c r="F401" s="2204"/>
      <c r="G401" s="2204"/>
      <c r="H401" s="2204"/>
      <c r="I401" s="2205"/>
      <c r="J401" s="2204"/>
      <c r="K401" s="2204"/>
      <c r="L401" s="2204"/>
      <c r="M401" s="2204"/>
      <c r="N401" s="2204"/>
      <c r="O401" s="2204"/>
      <c r="P401" s="2204"/>
      <c r="Q401" s="2204"/>
      <c r="R401" s="2204"/>
      <c r="S401" s="2204"/>
      <c r="T401" s="2204"/>
    </row>
    <row r="402" spans="1:20">
      <c r="A402" s="2204"/>
      <c r="B402" s="2204"/>
      <c r="C402" s="2204"/>
      <c r="D402" s="2204"/>
      <c r="E402" s="2204"/>
      <c r="F402" s="2204"/>
      <c r="G402" s="2204"/>
      <c r="H402" s="2204"/>
      <c r="I402" s="2205"/>
      <c r="J402" s="2204"/>
      <c r="K402" s="2204"/>
      <c r="L402" s="2204"/>
      <c r="M402" s="2204"/>
      <c r="N402" s="2204"/>
      <c r="O402" s="2204"/>
      <c r="P402" s="2204"/>
      <c r="Q402" s="2204"/>
      <c r="R402" s="2204"/>
      <c r="S402" s="2204"/>
      <c r="T402" s="2204"/>
    </row>
    <row r="403" spans="1:20">
      <c r="A403" s="2204"/>
      <c r="B403" s="2204"/>
      <c r="C403" s="2204"/>
      <c r="D403" s="2204"/>
      <c r="E403" s="2204"/>
      <c r="F403" s="2204"/>
      <c r="G403" s="2204"/>
      <c r="H403" s="2204"/>
      <c r="I403" s="2205"/>
      <c r="J403" s="2204"/>
      <c r="K403" s="2204"/>
      <c r="L403" s="2204"/>
      <c r="M403" s="2204"/>
      <c r="N403" s="2204"/>
      <c r="O403" s="2204"/>
      <c r="P403" s="2204"/>
      <c r="Q403" s="2204"/>
      <c r="R403" s="2204"/>
      <c r="S403" s="2204"/>
      <c r="T403" s="2204"/>
    </row>
    <row r="404" spans="1:20">
      <c r="A404" s="2204"/>
      <c r="B404" s="2204"/>
      <c r="C404" s="2204"/>
      <c r="D404" s="2204"/>
      <c r="E404" s="2204"/>
      <c r="F404" s="2204"/>
      <c r="G404" s="2204"/>
      <c r="H404" s="2204"/>
      <c r="I404" s="2205"/>
      <c r="J404" s="2204"/>
      <c r="K404" s="2204"/>
      <c r="L404" s="2204"/>
      <c r="M404" s="2204"/>
      <c r="N404" s="2204"/>
      <c r="O404" s="2204"/>
      <c r="P404" s="2204"/>
      <c r="Q404" s="2204"/>
      <c r="R404" s="2204"/>
      <c r="S404" s="2204"/>
      <c r="T404" s="2204"/>
    </row>
    <row r="405" spans="1:20">
      <c r="A405" s="2204"/>
      <c r="B405" s="2204"/>
      <c r="C405" s="2204"/>
      <c r="D405" s="2204"/>
      <c r="E405" s="2204"/>
      <c r="F405" s="2204"/>
      <c r="G405" s="2204"/>
      <c r="H405" s="2204"/>
      <c r="I405" s="2205"/>
      <c r="J405" s="2204"/>
      <c r="K405" s="2204"/>
      <c r="L405" s="2204"/>
      <c r="M405" s="2204"/>
      <c r="N405" s="2204"/>
      <c r="O405" s="2204"/>
      <c r="P405" s="2204"/>
      <c r="Q405" s="2204"/>
      <c r="R405" s="2204"/>
      <c r="S405" s="2204"/>
      <c r="T405" s="2204"/>
    </row>
    <row r="406" spans="1:20">
      <c r="A406" s="2204"/>
      <c r="B406" s="2204"/>
      <c r="C406" s="2204"/>
      <c r="D406" s="2204"/>
      <c r="E406" s="2204"/>
      <c r="F406" s="2204"/>
      <c r="G406" s="2204"/>
      <c r="H406" s="2204"/>
      <c r="I406" s="2205"/>
      <c r="J406" s="2204"/>
      <c r="K406" s="2204"/>
      <c r="L406" s="2204"/>
      <c r="M406" s="2204"/>
      <c r="N406" s="2204"/>
      <c r="O406" s="2204"/>
      <c r="P406" s="2204"/>
      <c r="Q406" s="2204"/>
      <c r="R406" s="2204"/>
      <c r="S406" s="2204"/>
      <c r="T406" s="2204"/>
    </row>
    <row r="407" spans="1:20">
      <c r="A407" s="2204"/>
      <c r="B407" s="2204"/>
      <c r="C407" s="2204"/>
      <c r="D407" s="2204"/>
      <c r="E407" s="2204"/>
      <c r="F407" s="2204"/>
      <c r="G407" s="2204"/>
      <c r="H407" s="2204"/>
      <c r="I407" s="2205"/>
      <c r="J407" s="2204"/>
      <c r="K407" s="2204"/>
      <c r="L407" s="2204"/>
      <c r="M407" s="2204"/>
      <c r="N407" s="2204"/>
      <c r="O407" s="2204"/>
      <c r="P407" s="2204"/>
      <c r="Q407" s="2204"/>
      <c r="R407" s="2204"/>
      <c r="S407" s="2204"/>
      <c r="T407" s="2204"/>
    </row>
    <row r="408" spans="1:20">
      <c r="A408" s="2204"/>
      <c r="B408" s="2204"/>
      <c r="C408" s="2204"/>
      <c r="D408" s="2204"/>
      <c r="E408" s="2204"/>
      <c r="F408" s="2204"/>
      <c r="G408" s="2204"/>
      <c r="H408" s="2204"/>
      <c r="I408" s="2205"/>
      <c r="J408" s="2204"/>
      <c r="K408" s="2204"/>
      <c r="L408" s="2204"/>
      <c r="M408" s="2204"/>
      <c r="N408" s="2204"/>
      <c r="O408" s="2204"/>
      <c r="P408" s="2204"/>
      <c r="Q408" s="2204"/>
      <c r="R408" s="2204"/>
      <c r="S408" s="2204"/>
      <c r="T408" s="2204"/>
    </row>
    <row r="409" spans="1:20">
      <c r="A409" s="2204"/>
      <c r="B409" s="2204"/>
      <c r="C409" s="2204"/>
      <c r="D409" s="2204"/>
      <c r="E409" s="2204"/>
      <c r="F409" s="2204"/>
      <c r="G409" s="2204"/>
      <c r="H409" s="2204"/>
      <c r="I409" s="2205"/>
      <c r="J409" s="2204"/>
      <c r="K409" s="2204"/>
      <c r="L409" s="2204"/>
      <c r="M409" s="2204"/>
      <c r="N409" s="2204"/>
      <c r="O409" s="2204"/>
      <c r="P409" s="2204"/>
      <c r="Q409" s="2204"/>
      <c r="R409" s="2204"/>
      <c r="S409" s="2204"/>
      <c r="T409" s="2204"/>
    </row>
    <row r="410" spans="1:20">
      <c r="A410" s="2204"/>
      <c r="B410" s="2204"/>
      <c r="C410" s="2204"/>
      <c r="D410" s="2204"/>
      <c r="E410" s="2204"/>
      <c r="F410" s="2204"/>
      <c r="G410" s="2204"/>
      <c r="H410" s="2204"/>
      <c r="I410" s="2205"/>
      <c r="J410" s="2204"/>
      <c r="K410" s="2204"/>
      <c r="L410" s="2204"/>
      <c r="M410" s="2204"/>
      <c r="N410" s="2204"/>
      <c r="O410" s="2204"/>
      <c r="P410" s="2204"/>
      <c r="Q410" s="2204"/>
      <c r="R410" s="2204"/>
      <c r="S410" s="2204"/>
      <c r="T410" s="2204"/>
    </row>
    <row r="411" spans="1:20">
      <c r="A411" s="2204"/>
      <c r="B411" s="2204"/>
      <c r="C411" s="2204"/>
      <c r="D411" s="2204"/>
      <c r="E411" s="2204"/>
      <c r="F411" s="2204"/>
      <c r="G411" s="2204"/>
      <c r="H411" s="2204"/>
      <c r="I411" s="2205"/>
      <c r="J411" s="2204"/>
      <c r="K411" s="2204"/>
      <c r="L411" s="2204"/>
      <c r="M411" s="2204"/>
      <c r="N411" s="2204"/>
      <c r="O411" s="2204"/>
      <c r="P411" s="2204"/>
      <c r="Q411" s="2204"/>
      <c r="R411" s="2204"/>
      <c r="S411" s="2204"/>
      <c r="T411" s="2204"/>
    </row>
    <row r="412" spans="1:20">
      <c r="A412" s="2204"/>
      <c r="B412" s="2204"/>
      <c r="C412" s="2204"/>
      <c r="D412" s="2204"/>
      <c r="E412" s="2204"/>
      <c r="F412" s="2204"/>
      <c r="G412" s="2204"/>
      <c r="H412" s="2204"/>
      <c r="I412" s="2205"/>
      <c r="J412" s="2204"/>
      <c r="K412" s="2204"/>
      <c r="L412" s="2204"/>
      <c r="M412" s="2204"/>
      <c r="N412" s="2204"/>
      <c r="O412" s="2204"/>
      <c r="P412" s="2204"/>
      <c r="Q412" s="2204"/>
      <c r="R412" s="2204"/>
      <c r="S412" s="2204"/>
      <c r="T412" s="2204"/>
    </row>
    <row r="413" spans="1:20">
      <c r="A413" s="2204"/>
      <c r="B413" s="2204"/>
      <c r="C413" s="2204"/>
      <c r="D413" s="2204"/>
      <c r="E413" s="2204"/>
      <c r="F413" s="2204"/>
      <c r="G413" s="2204"/>
      <c r="H413" s="2204"/>
      <c r="I413" s="2205"/>
      <c r="J413" s="2204"/>
      <c r="K413" s="2204"/>
      <c r="L413" s="2204"/>
      <c r="M413" s="2204"/>
      <c r="N413" s="2204"/>
      <c r="O413" s="2204"/>
      <c r="P413" s="2204"/>
      <c r="Q413" s="2204"/>
      <c r="R413" s="2204"/>
      <c r="S413" s="2204"/>
      <c r="T413" s="2204"/>
    </row>
    <row r="414" spans="1:20">
      <c r="A414" s="2204"/>
      <c r="B414" s="2204"/>
      <c r="C414" s="2204"/>
      <c r="D414" s="2204"/>
      <c r="E414" s="2204"/>
      <c r="F414" s="2204"/>
      <c r="G414" s="2204"/>
      <c r="H414" s="2204"/>
      <c r="I414" s="2205"/>
      <c r="J414" s="2204"/>
      <c r="K414" s="2204"/>
      <c r="L414" s="2204"/>
      <c r="M414" s="2204"/>
      <c r="N414" s="2204"/>
      <c r="O414" s="2204"/>
      <c r="P414" s="2204"/>
      <c r="Q414" s="2204"/>
      <c r="R414" s="2204"/>
      <c r="S414" s="2204"/>
      <c r="T414" s="2204"/>
    </row>
    <row r="415" spans="1:20">
      <c r="A415" s="2204"/>
      <c r="B415" s="2204"/>
      <c r="C415" s="2204"/>
      <c r="D415" s="2204"/>
      <c r="E415" s="2204"/>
      <c r="F415" s="2204"/>
      <c r="G415" s="2204"/>
      <c r="H415" s="2204"/>
      <c r="I415" s="2205"/>
      <c r="J415" s="2204"/>
      <c r="K415" s="2204"/>
      <c r="L415" s="2204"/>
      <c r="M415" s="2204"/>
      <c r="N415" s="2204"/>
      <c r="O415" s="2204"/>
      <c r="P415" s="2204"/>
      <c r="Q415" s="2204"/>
      <c r="R415" s="2204"/>
      <c r="S415" s="2204"/>
      <c r="T415" s="2204"/>
    </row>
    <row r="416" spans="1:20">
      <c r="A416" s="2204"/>
      <c r="B416" s="2204"/>
      <c r="C416" s="2204"/>
      <c r="D416" s="2204"/>
      <c r="E416" s="2204"/>
      <c r="F416" s="2204"/>
      <c r="G416" s="2204"/>
      <c r="H416" s="2204"/>
      <c r="I416" s="2205"/>
      <c r="J416" s="2204"/>
      <c r="K416" s="2204"/>
      <c r="L416" s="2204"/>
      <c r="M416" s="2204"/>
      <c r="N416" s="2204"/>
      <c r="O416" s="2204"/>
      <c r="P416" s="2204"/>
      <c r="Q416" s="2204"/>
      <c r="R416" s="2204"/>
      <c r="S416" s="2204"/>
      <c r="T416" s="2204"/>
    </row>
    <row r="417" spans="1:20">
      <c r="A417" s="2204"/>
      <c r="B417" s="2204"/>
      <c r="C417" s="2204"/>
      <c r="D417" s="2204"/>
      <c r="E417" s="2204"/>
      <c r="F417" s="2204"/>
      <c r="G417" s="2204"/>
      <c r="H417" s="2204"/>
      <c r="I417" s="2205"/>
      <c r="J417" s="2204"/>
      <c r="K417" s="2204"/>
      <c r="L417" s="2204"/>
      <c r="M417" s="2204"/>
      <c r="N417" s="2204"/>
      <c r="O417" s="2204"/>
      <c r="P417" s="2204"/>
      <c r="Q417" s="2204"/>
      <c r="R417" s="2204"/>
      <c r="S417" s="2204"/>
      <c r="T417" s="2204"/>
    </row>
    <row r="418" spans="1:20">
      <c r="A418" s="2204"/>
      <c r="B418" s="2204"/>
      <c r="C418" s="2204"/>
      <c r="D418" s="2204"/>
      <c r="E418" s="2204"/>
      <c r="F418" s="2204"/>
      <c r="G418" s="2204"/>
      <c r="H418" s="2204"/>
      <c r="I418" s="2205"/>
      <c r="J418" s="2204"/>
      <c r="K418" s="2204"/>
      <c r="L418" s="2204"/>
      <c r="M418" s="2204"/>
      <c r="N418" s="2204"/>
      <c r="O418" s="2204"/>
      <c r="P418" s="2204"/>
      <c r="Q418" s="2204"/>
      <c r="R418" s="2204"/>
      <c r="S418" s="2204"/>
      <c r="T418" s="2204"/>
    </row>
    <row r="419" spans="1:20">
      <c r="A419" s="2204"/>
      <c r="B419" s="2204"/>
      <c r="C419" s="2204"/>
      <c r="D419" s="2204"/>
      <c r="E419" s="2204"/>
      <c r="F419" s="2204"/>
      <c r="G419" s="2204"/>
      <c r="H419" s="2204"/>
      <c r="I419" s="2205"/>
      <c r="J419" s="2204"/>
      <c r="K419" s="2204"/>
      <c r="L419" s="2204"/>
      <c r="M419" s="2204"/>
      <c r="N419" s="2204"/>
      <c r="O419" s="2204"/>
      <c r="P419" s="2204"/>
      <c r="Q419" s="2204"/>
      <c r="R419" s="2204"/>
      <c r="S419" s="2204"/>
      <c r="T419" s="2204"/>
    </row>
    <row r="420" spans="1:20">
      <c r="A420" s="2204"/>
      <c r="B420" s="2204"/>
      <c r="C420" s="2204"/>
      <c r="D420" s="2204"/>
      <c r="E420" s="2204"/>
      <c r="F420" s="2204"/>
      <c r="G420" s="2204"/>
      <c r="H420" s="2204"/>
      <c r="I420" s="2205"/>
      <c r="J420" s="2204"/>
      <c r="K420" s="2204"/>
      <c r="L420" s="2204"/>
      <c r="M420" s="2204"/>
      <c r="N420" s="2204"/>
      <c r="O420" s="2204"/>
      <c r="P420" s="2204"/>
      <c r="Q420" s="2204"/>
      <c r="R420" s="2204"/>
      <c r="S420" s="2204"/>
      <c r="T420" s="2204"/>
    </row>
    <row r="421" spans="1:20">
      <c r="A421" s="2204"/>
      <c r="B421" s="2204"/>
      <c r="C421" s="2204"/>
      <c r="D421" s="2204"/>
      <c r="E421" s="2204"/>
      <c r="F421" s="2204"/>
      <c r="G421" s="2204"/>
      <c r="H421" s="2204"/>
      <c r="I421" s="2205"/>
      <c r="J421" s="2204"/>
      <c r="K421" s="2204"/>
      <c r="L421" s="2204"/>
      <c r="M421" s="2204"/>
      <c r="N421" s="2204"/>
      <c r="O421" s="2204"/>
      <c r="P421" s="2204"/>
      <c r="Q421" s="2204"/>
      <c r="R421" s="2204"/>
      <c r="S421" s="2204"/>
      <c r="T421" s="2204"/>
    </row>
    <row r="422" spans="1:20">
      <c r="A422" s="2204"/>
      <c r="B422" s="2204"/>
      <c r="C422" s="2204"/>
      <c r="D422" s="2204"/>
      <c r="E422" s="2204"/>
      <c r="F422" s="2204"/>
      <c r="G422" s="2204"/>
      <c r="H422" s="2204"/>
      <c r="I422" s="2205"/>
      <c r="J422" s="2204"/>
      <c r="K422" s="2204"/>
      <c r="L422" s="2204"/>
      <c r="M422" s="2204"/>
      <c r="N422" s="2204"/>
      <c r="O422" s="2204"/>
      <c r="P422" s="2204"/>
      <c r="Q422" s="2204"/>
      <c r="R422" s="2204"/>
      <c r="S422" s="2204"/>
      <c r="T422" s="2204"/>
    </row>
    <row r="423" spans="1:20">
      <c r="A423" s="2204"/>
      <c r="B423" s="2204"/>
      <c r="C423" s="2204"/>
      <c r="D423" s="2204"/>
      <c r="E423" s="2204"/>
      <c r="F423" s="2204"/>
      <c r="G423" s="2204"/>
      <c r="H423" s="2204"/>
      <c r="I423" s="2205"/>
      <c r="J423" s="2204"/>
      <c r="K423" s="2204"/>
      <c r="L423" s="2204"/>
      <c r="M423" s="2204"/>
      <c r="N423" s="2204"/>
      <c r="O423" s="2204"/>
      <c r="P423" s="2204"/>
      <c r="Q423" s="2204"/>
      <c r="R423" s="2204"/>
      <c r="S423" s="2204"/>
      <c r="T423" s="2204"/>
    </row>
    <row r="424" spans="1:20">
      <c r="A424" s="2204"/>
      <c r="B424" s="2204"/>
      <c r="C424" s="2204"/>
      <c r="D424" s="2204"/>
      <c r="E424" s="2204"/>
      <c r="F424" s="2204"/>
      <c r="G424" s="2204"/>
      <c r="H424" s="2204"/>
      <c r="I424" s="2205"/>
      <c r="J424" s="2204"/>
      <c r="K424" s="2204"/>
      <c r="L424" s="2204"/>
      <c r="M424" s="2204"/>
      <c r="N424" s="2204"/>
      <c r="O424" s="2204"/>
      <c r="P424" s="2204"/>
      <c r="Q424" s="2204"/>
      <c r="R424" s="2204"/>
      <c r="S424" s="2204"/>
      <c r="T424" s="2204"/>
    </row>
    <row r="425" spans="1:20">
      <c r="A425" s="2204"/>
      <c r="B425" s="2204"/>
      <c r="C425" s="2204"/>
      <c r="D425" s="2204"/>
      <c r="E425" s="2204"/>
      <c r="F425" s="2204"/>
      <c r="G425" s="2204"/>
      <c r="H425" s="2204"/>
      <c r="I425" s="2205"/>
      <c r="J425" s="2204"/>
      <c r="K425" s="2204"/>
      <c r="L425" s="2204"/>
      <c r="M425" s="2204"/>
      <c r="N425" s="2204"/>
      <c r="O425" s="2204"/>
      <c r="P425" s="2204"/>
      <c r="Q425" s="2204"/>
      <c r="R425" s="2204"/>
      <c r="S425" s="2204"/>
      <c r="T425" s="2204"/>
    </row>
    <row r="426" spans="1:20">
      <c r="A426" s="2204"/>
      <c r="B426" s="2204"/>
      <c r="C426" s="2204"/>
      <c r="D426" s="2204"/>
      <c r="E426" s="2204"/>
      <c r="F426" s="2204"/>
      <c r="G426" s="2204"/>
      <c r="H426" s="2204"/>
      <c r="I426" s="2205"/>
      <c r="J426" s="2204"/>
      <c r="K426" s="2204"/>
      <c r="L426" s="2204"/>
      <c r="M426" s="2204"/>
      <c r="N426" s="2204"/>
      <c r="O426" s="2204"/>
      <c r="P426" s="2204"/>
      <c r="Q426" s="2204"/>
      <c r="R426" s="2204"/>
      <c r="S426" s="2204"/>
      <c r="T426" s="2204"/>
    </row>
    <row r="427" spans="1:20">
      <c r="A427" s="2204"/>
      <c r="B427" s="2204"/>
      <c r="C427" s="2204"/>
      <c r="D427" s="2204"/>
      <c r="E427" s="2204"/>
      <c r="F427" s="2204"/>
      <c r="G427" s="2204"/>
      <c r="H427" s="2204"/>
      <c r="I427" s="2205"/>
      <c r="J427" s="2204"/>
      <c r="K427" s="2204"/>
      <c r="L427" s="2204"/>
      <c r="M427" s="2204"/>
      <c r="N427" s="2204"/>
      <c r="O427" s="2204"/>
      <c r="P427" s="2204"/>
      <c r="Q427" s="2204"/>
      <c r="R427" s="2204"/>
      <c r="S427" s="2204"/>
      <c r="T427" s="2204"/>
    </row>
    <row r="428" spans="1:20">
      <c r="A428" s="2204"/>
      <c r="B428" s="2204"/>
      <c r="C428" s="2204"/>
      <c r="D428" s="2204"/>
      <c r="E428" s="2204"/>
      <c r="F428" s="2204"/>
      <c r="G428" s="2204"/>
      <c r="H428" s="2204"/>
      <c r="I428" s="2205"/>
      <c r="J428" s="2204"/>
      <c r="K428" s="2204"/>
      <c r="L428" s="2204"/>
      <c r="M428" s="2204"/>
      <c r="N428" s="2204"/>
      <c r="O428" s="2204"/>
      <c r="P428" s="2204"/>
      <c r="Q428" s="2204"/>
      <c r="R428" s="2204"/>
      <c r="S428" s="2204"/>
      <c r="T428" s="2204"/>
    </row>
    <row r="429" spans="1:20">
      <c r="A429" s="2204"/>
      <c r="B429" s="2204"/>
      <c r="C429" s="2204"/>
      <c r="D429" s="2204"/>
      <c r="E429" s="2204"/>
      <c r="F429" s="2204"/>
      <c r="G429" s="2204"/>
      <c r="H429" s="2204"/>
      <c r="I429" s="2205"/>
      <c r="J429" s="2204"/>
      <c r="K429" s="2204"/>
      <c r="L429" s="2204"/>
      <c r="M429" s="2204"/>
      <c r="N429" s="2204"/>
      <c r="O429" s="2204"/>
      <c r="P429" s="2204"/>
      <c r="Q429" s="2204"/>
      <c r="R429" s="2204"/>
      <c r="S429" s="2204"/>
      <c r="T429" s="2204"/>
    </row>
    <row r="430" spans="1:20">
      <c r="A430" s="2204"/>
      <c r="B430" s="2204"/>
      <c r="C430" s="2204"/>
      <c r="D430" s="2204"/>
      <c r="E430" s="2204"/>
      <c r="F430" s="2204"/>
      <c r="G430" s="2204"/>
      <c r="H430" s="2204"/>
      <c r="I430" s="2205"/>
      <c r="J430" s="2204"/>
      <c r="K430" s="2204"/>
      <c r="L430" s="2204"/>
      <c r="M430" s="2204"/>
      <c r="N430" s="2204"/>
      <c r="O430" s="2204"/>
      <c r="P430" s="2204"/>
      <c r="Q430" s="2204"/>
      <c r="R430" s="2204"/>
      <c r="S430" s="2204"/>
      <c r="T430" s="2204"/>
    </row>
    <row r="431" spans="1:20">
      <c r="A431" s="2204"/>
      <c r="B431" s="2204"/>
      <c r="C431" s="2204"/>
      <c r="D431" s="2204"/>
      <c r="E431" s="2204"/>
      <c r="F431" s="2204"/>
      <c r="G431" s="2204"/>
      <c r="H431" s="2204"/>
      <c r="I431" s="2205"/>
      <c r="J431" s="2204"/>
      <c r="K431" s="2204"/>
      <c r="L431" s="2204"/>
      <c r="M431" s="2204"/>
      <c r="N431" s="2204"/>
      <c r="O431" s="2204"/>
      <c r="P431" s="2204"/>
      <c r="Q431" s="2204"/>
      <c r="R431" s="2204"/>
      <c r="S431" s="2204"/>
      <c r="T431" s="2204"/>
    </row>
    <row r="432" spans="1:20">
      <c r="A432" s="2204"/>
      <c r="B432" s="2204"/>
      <c r="C432" s="2204"/>
      <c r="D432" s="2204"/>
      <c r="E432" s="2204"/>
      <c r="F432" s="2204"/>
      <c r="G432" s="2204"/>
      <c r="H432" s="2204"/>
      <c r="I432" s="2205"/>
      <c r="J432" s="2204"/>
      <c r="K432" s="2204"/>
      <c r="L432" s="2204"/>
      <c r="M432" s="2204"/>
      <c r="N432" s="2204"/>
      <c r="O432" s="2204"/>
      <c r="P432" s="2204"/>
      <c r="Q432" s="2204"/>
      <c r="R432" s="2204"/>
      <c r="S432" s="2204"/>
      <c r="T432" s="2204"/>
    </row>
    <row r="433" spans="1:20">
      <c r="A433" s="2204"/>
      <c r="B433" s="2204"/>
      <c r="C433" s="2204"/>
      <c r="D433" s="2204"/>
      <c r="E433" s="2204"/>
      <c r="F433" s="2204"/>
      <c r="G433" s="2204"/>
      <c r="H433" s="2204"/>
      <c r="I433" s="2205"/>
      <c r="J433" s="2204"/>
      <c r="K433" s="2204"/>
      <c r="L433" s="2204"/>
      <c r="M433" s="2204"/>
      <c r="N433" s="2204"/>
      <c r="O433" s="2204"/>
      <c r="P433" s="2204"/>
      <c r="Q433" s="2204"/>
      <c r="R433" s="2204"/>
      <c r="S433" s="2204"/>
      <c r="T433" s="2204"/>
    </row>
    <row r="434" spans="1:20">
      <c r="A434" s="2204"/>
      <c r="B434" s="2204"/>
      <c r="C434" s="2204"/>
      <c r="D434" s="2204"/>
      <c r="E434" s="2204"/>
      <c r="F434" s="2204"/>
      <c r="G434" s="2204"/>
      <c r="H434" s="2204"/>
      <c r="I434" s="2205"/>
      <c r="J434" s="2204"/>
      <c r="K434" s="2204"/>
      <c r="L434" s="2204"/>
      <c r="M434" s="2204"/>
      <c r="N434" s="2204"/>
      <c r="O434" s="2204"/>
      <c r="P434" s="2204"/>
      <c r="Q434" s="2204"/>
      <c r="R434" s="2204"/>
      <c r="S434" s="2204"/>
      <c r="T434" s="2204"/>
    </row>
    <row r="435" spans="1:20">
      <c r="A435" s="2204"/>
      <c r="B435" s="2204"/>
      <c r="C435" s="2204"/>
      <c r="D435" s="2204"/>
      <c r="E435" s="2204"/>
      <c r="F435" s="2204"/>
      <c r="G435" s="2204"/>
      <c r="H435" s="2204"/>
      <c r="I435" s="2205"/>
      <c r="J435" s="2204"/>
      <c r="K435" s="2204"/>
      <c r="L435" s="2204"/>
      <c r="M435" s="2204"/>
      <c r="N435" s="2204"/>
      <c r="O435" s="2204"/>
      <c r="P435" s="2204"/>
      <c r="Q435" s="2204"/>
      <c r="R435" s="2204"/>
      <c r="S435" s="2204"/>
      <c r="T435" s="2204"/>
    </row>
    <row r="436" spans="1:20">
      <c r="A436" s="2204"/>
      <c r="B436" s="2204"/>
      <c r="C436" s="2204"/>
      <c r="D436" s="2204"/>
      <c r="E436" s="2204"/>
      <c r="F436" s="2204"/>
      <c r="G436" s="2204"/>
      <c r="H436" s="2204"/>
      <c r="I436" s="2205"/>
      <c r="J436" s="2204"/>
      <c r="K436" s="2204"/>
      <c r="L436" s="2204"/>
      <c r="M436" s="2204"/>
      <c r="N436" s="2204"/>
      <c r="O436" s="2204"/>
      <c r="P436" s="2204"/>
      <c r="Q436" s="2204"/>
      <c r="R436" s="2204"/>
      <c r="S436" s="2204"/>
      <c r="T436" s="2204"/>
    </row>
    <row r="437" spans="1:20">
      <c r="A437" s="2204"/>
      <c r="B437" s="2204"/>
      <c r="C437" s="2204"/>
      <c r="D437" s="2204"/>
      <c r="E437" s="2204"/>
      <c r="F437" s="2204"/>
      <c r="G437" s="2204"/>
      <c r="H437" s="2204"/>
      <c r="I437" s="2205"/>
      <c r="J437" s="2204"/>
      <c r="K437" s="2204"/>
      <c r="L437" s="2204"/>
      <c r="M437" s="2204"/>
      <c r="N437" s="2204"/>
      <c r="O437" s="2204"/>
      <c r="P437" s="2204"/>
      <c r="Q437" s="2204"/>
      <c r="R437" s="2204"/>
      <c r="S437" s="2204"/>
      <c r="T437" s="2204"/>
    </row>
    <row r="438" spans="1:20">
      <c r="A438" s="2204"/>
      <c r="B438" s="2204"/>
      <c r="C438" s="2204"/>
      <c r="D438" s="2204"/>
      <c r="E438" s="2204"/>
      <c r="F438" s="2204"/>
      <c r="G438" s="2204"/>
      <c r="H438" s="2204"/>
      <c r="I438" s="2205"/>
      <c r="J438" s="2204"/>
      <c r="K438" s="2204"/>
      <c r="L438" s="2204"/>
      <c r="M438" s="2204"/>
      <c r="N438" s="2204"/>
      <c r="O438" s="2204"/>
      <c r="P438" s="2204"/>
      <c r="Q438" s="2204"/>
      <c r="R438" s="2204"/>
      <c r="S438" s="2204"/>
      <c r="T438" s="2204"/>
    </row>
    <row r="439" spans="1:20">
      <c r="A439" s="2204"/>
      <c r="B439" s="2204"/>
      <c r="C439" s="2204"/>
      <c r="D439" s="2204"/>
      <c r="E439" s="2204"/>
      <c r="F439" s="2204"/>
      <c r="G439" s="2204"/>
      <c r="H439" s="2204"/>
      <c r="I439" s="2205"/>
      <c r="J439" s="2204"/>
      <c r="K439" s="2204"/>
      <c r="L439" s="2204"/>
      <c r="M439" s="2204"/>
      <c r="N439" s="2204"/>
      <c r="O439" s="2204"/>
      <c r="P439" s="2204"/>
      <c r="Q439" s="2204"/>
      <c r="R439" s="2204"/>
      <c r="S439" s="2204"/>
      <c r="T439" s="2204"/>
    </row>
    <row r="440" spans="1:20">
      <c r="A440" s="2204"/>
      <c r="B440" s="2204"/>
      <c r="C440" s="2204"/>
      <c r="D440" s="2204"/>
      <c r="E440" s="2204"/>
      <c r="F440" s="2204"/>
      <c r="G440" s="2204"/>
      <c r="H440" s="2204"/>
      <c r="I440" s="2205"/>
      <c r="J440" s="2204"/>
      <c r="K440" s="2204"/>
      <c r="L440" s="2204"/>
      <c r="M440" s="2204"/>
      <c r="N440" s="2204"/>
      <c r="O440" s="2204"/>
      <c r="P440" s="2204"/>
      <c r="Q440" s="2204"/>
      <c r="R440" s="2204"/>
      <c r="S440" s="2204"/>
      <c r="T440" s="2204"/>
    </row>
    <row r="441" spans="1:20">
      <c r="A441" s="2204"/>
      <c r="B441" s="2204"/>
      <c r="C441" s="2204"/>
      <c r="D441" s="2204"/>
      <c r="E441" s="2204"/>
      <c r="F441" s="2204"/>
      <c r="G441" s="2204"/>
      <c r="H441" s="2204"/>
      <c r="I441" s="2205"/>
      <c r="J441" s="2204"/>
      <c r="K441" s="2204"/>
      <c r="L441" s="2204"/>
      <c r="M441" s="2204"/>
      <c r="N441" s="2204"/>
      <c r="O441" s="2204"/>
      <c r="P441" s="2204"/>
      <c r="Q441" s="2204"/>
      <c r="R441" s="2204"/>
      <c r="S441" s="2204"/>
      <c r="T441" s="2204"/>
    </row>
    <row r="442" spans="1:20">
      <c r="A442" s="2204"/>
      <c r="B442" s="2204"/>
      <c r="C442" s="2204"/>
      <c r="D442" s="2204"/>
      <c r="E442" s="2204"/>
      <c r="F442" s="2204"/>
      <c r="G442" s="2204"/>
      <c r="H442" s="2204"/>
      <c r="I442" s="2205"/>
      <c r="J442" s="2204"/>
      <c r="K442" s="2204"/>
      <c r="L442" s="2204"/>
      <c r="M442" s="2204"/>
      <c r="N442" s="2204"/>
      <c r="O442" s="2204"/>
      <c r="P442" s="2204"/>
      <c r="Q442" s="2204"/>
      <c r="R442" s="2204"/>
      <c r="S442" s="2204"/>
      <c r="T442" s="2204"/>
    </row>
    <row r="443" spans="1:20">
      <c r="A443" s="2204"/>
      <c r="B443" s="2204"/>
      <c r="C443" s="2204"/>
      <c r="D443" s="2204"/>
      <c r="E443" s="2204"/>
      <c r="F443" s="2204"/>
      <c r="G443" s="2204"/>
      <c r="H443" s="2204"/>
      <c r="I443" s="2205"/>
      <c r="J443" s="2204"/>
      <c r="K443" s="2204"/>
      <c r="L443" s="2204"/>
      <c r="M443" s="2204"/>
      <c r="N443" s="2204"/>
      <c r="O443" s="2204"/>
      <c r="P443" s="2204"/>
      <c r="Q443" s="2204"/>
      <c r="R443" s="2204"/>
      <c r="S443" s="2204"/>
      <c r="T443" s="2204"/>
    </row>
    <row r="444" spans="1:20">
      <c r="A444" s="2204"/>
      <c r="B444" s="2204"/>
      <c r="C444" s="2204"/>
      <c r="D444" s="2204"/>
      <c r="E444" s="2204"/>
      <c r="F444" s="2204"/>
      <c r="G444" s="2204"/>
      <c r="H444" s="2204"/>
      <c r="I444" s="2205"/>
      <c r="J444" s="2204"/>
      <c r="K444" s="2204"/>
      <c r="L444" s="2204"/>
      <c r="M444" s="2204"/>
      <c r="N444" s="2204"/>
      <c r="O444" s="2204"/>
      <c r="P444" s="2204"/>
      <c r="Q444" s="2204"/>
      <c r="R444" s="2204"/>
      <c r="S444" s="2204"/>
      <c r="T444" s="2204"/>
    </row>
    <row r="445" spans="1:20">
      <c r="A445" s="2204"/>
      <c r="B445" s="2204"/>
      <c r="C445" s="2204"/>
      <c r="D445" s="2204"/>
      <c r="E445" s="2204"/>
      <c r="F445" s="2204"/>
      <c r="G445" s="2204"/>
      <c r="H445" s="2204"/>
      <c r="I445" s="2205"/>
      <c r="J445" s="2204"/>
      <c r="K445" s="2204"/>
      <c r="L445" s="2204"/>
      <c r="M445" s="2204"/>
      <c r="N445" s="2204"/>
      <c r="O445" s="2204"/>
      <c r="P445" s="2204"/>
      <c r="Q445" s="2204"/>
      <c r="R445" s="2204"/>
      <c r="S445" s="2204"/>
      <c r="T445" s="2204"/>
    </row>
    <row r="446" spans="1:20">
      <c r="A446" s="2204"/>
      <c r="B446" s="2204"/>
      <c r="C446" s="2204"/>
      <c r="D446" s="2204"/>
      <c r="E446" s="2204"/>
      <c r="F446" s="2204"/>
      <c r="G446" s="2204"/>
      <c r="H446" s="2204"/>
      <c r="I446" s="2205"/>
      <c r="J446" s="2204"/>
      <c r="K446" s="2204"/>
      <c r="L446" s="2204"/>
      <c r="M446" s="2204"/>
      <c r="N446" s="2204"/>
      <c r="O446" s="2204"/>
      <c r="P446" s="2204"/>
      <c r="Q446" s="2204"/>
      <c r="R446" s="2204"/>
      <c r="S446" s="2204"/>
      <c r="T446" s="2204"/>
    </row>
    <row r="447" spans="1:20">
      <c r="A447" s="2204"/>
      <c r="B447" s="2204"/>
      <c r="C447" s="2204"/>
      <c r="D447" s="2204"/>
      <c r="E447" s="2204"/>
      <c r="F447" s="2204"/>
      <c r="G447" s="2204"/>
      <c r="H447" s="2204"/>
      <c r="I447" s="2205"/>
      <c r="J447" s="2204"/>
      <c r="K447" s="2204"/>
      <c r="L447" s="2204"/>
      <c r="M447" s="2204"/>
      <c r="N447" s="2204"/>
      <c r="O447" s="2204"/>
      <c r="P447" s="2204"/>
      <c r="Q447" s="2204"/>
      <c r="R447" s="2204"/>
      <c r="S447" s="2204"/>
      <c r="T447" s="2204"/>
    </row>
    <row r="448" spans="1:20">
      <c r="A448" s="2204"/>
      <c r="B448" s="2204"/>
      <c r="C448" s="2204"/>
      <c r="D448" s="2204"/>
      <c r="E448" s="2204"/>
      <c r="F448" s="2204"/>
      <c r="G448" s="2204"/>
      <c r="H448" s="2204"/>
      <c r="I448" s="2205"/>
      <c r="J448" s="2204"/>
      <c r="K448" s="2204"/>
      <c r="L448" s="2204"/>
      <c r="M448" s="2204"/>
      <c r="N448" s="2204"/>
      <c r="O448" s="2204"/>
      <c r="P448" s="2204"/>
      <c r="Q448" s="2204"/>
      <c r="R448" s="2204"/>
      <c r="S448" s="2204"/>
      <c r="T448" s="2204"/>
    </row>
    <row r="449" spans="1:20">
      <c r="A449" s="2204"/>
      <c r="B449" s="2204"/>
      <c r="C449" s="2204"/>
      <c r="D449" s="2204"/>
      <c r="E449" s="2204"/>
      <c r="F449" s="2204"/>
      <c r="G449" s="2204"/>
      <c r="H449" s="2204"/>
      <c r="I449" s="2205"/>
      <c r="J449" s="2204"/>
      <c r="K449" s="2204"/>
      <c r="L449" s="2204"/>
      <c r="M449" s="2204"/>
      <c r="N449" s="2204"/>
      <c r="O449" s="2204"/>
      <c r="P449" s="2204"/>
      <c r="Q449" s="2204"/>
      <c r="R449" s="2204"/>
      <c r="S449" s="2204"/>
      <c r="T449" s="2204"/>
    </row>
    <row r="450" spans="1:20">
      <c r="A450" s="2204"/>
      <c r="B450" s="2204"/>
      <c r="C450" s="2204"/>
      <c r="D450" s="2204"/>
      <c r="E450" s="2204"/>
      <c r="F450" s="2204"/>
      <c r="G450" s="2204"/>
      <c r="H450" s="2204"/>
      <c r="I450" s="2205"/>
      <c r="J450" s="2204"/>
      <c r="K450" s="2204"/>
      <c r="L450" s="2204"/>
      <c r="M450" s="2204"/>
      <c r="N450" s="2204"/>
      <c r="O450" s="2204"/>
      <c r="P450" s="2204"/>
      <c r="Q450" s="2204"/>
      <c r="R450" s="2204"/>
      <c r="S450" s="2204"/>
      <c r="T450" s="2204"/>
    </row>
    <row r="451" spans="1:20">
      <c r="A451" s="2204"/>
      <c r="B451" s="2204"/>
      <c r="C451" s="2204"/>
      <c r="D451" s="2204"/>
      <c r="E451" s="2204"/>
      <c r="F451" s="2204"/>
      <c r="G451" s="2204"/>
      <c r="H451" s="2204"/>
      <c r="I451" s="2205"/>
      <c r="J451" s="2204"/>
      <c r="K451" s="2204"/>
      <c r="L451" s="2204"/>
      <c r="M451" s="2204"/>
      <c r="N451" s="2204"/>
      <c r="O451" s="2204"/>
      <c r="P451" s="2204"/>
      <c r="Q451" s="2204"/>
      <c r="R451" s="2204"/>
      <c r="S451" s="2204"/>
      <c r="T451" s="2204"/>
    </row>
    <row r="452" spans="1:20">
      <c r="A452" s="2204"/>
      <c r="B452" s="2204"/>
      <c r="C452" s="2204"/>
      <c r="D452" s="2204"/>
      <c r="E452" s="2204"/>
      <c r="F452" s="2204"/>
      <c r="G452" s="2204"/>
      <c r="H452" s="2204"/>
      <c r="I452" s="2205"/>
      <c r="J452" s="2204"/>
      <c r="K452" s="2204"/>
      <c r="L452" s="2204"/>
      <c r="M452" s="2204"/>
      <c r="N452" s="2204"/>
      <c r="O452" s="2204"/>
      <c r="P452" s="2204"/>
      <c r="Q452" s="2204"/>
      <c r="R452" s="2204"/>
      <c r="S452" s="2204"/>
      <c r="T452" s="2204"/>
    </row>
    <row r="453" spans="1:20">
      <c r="A453" s="2204"/>
      <c r="B453" s="2204"/>
      <c r="C453" s="2204"/>
      <c r="D453" s="2204"/>
      <c r="E453" s="2204"/>
      <c r="F453" s="2204"/>
      <c r="G453" s="2204"/>
      <c r="H453" s="2204"/>
      <c r="I453" s="2205"/>
      <c r="J453" s="2204"/>
      <c r="K453" s="2204"/>
      <c r="L453" s="2204"/>
      <c r="M453" s="2204"/>
      <c r="N453" s="2204"/>
      <c r="O453" s="2204"/>
      <c r="P453" s="2204"/>
      <c r="Q453" s="2204"/>
      <c r="R453" s="2204"/>
      <c r="S453" s="2204"/>
      <c r="T453" s="2204"/>
    </row>
    <row r="454" spans="1:20">
      <c r="A454" s="2204"/>
      <c r="B454" s="2204"/>
      <c r="C454" s="2204"/>
      <c r="D454" s="2204"/>
      <c r="E454" s="2204"/>
      <c r="F454" s="2204"/>
      <c r="G454" s="2204"/>
      <c r="H454" s="2204"/>
      <c r="I454" s="2205"/>
      <c r="J454" s="2204"/>
      <c r="K454" s="2204"/>
      <c r="L454" s="2204"/>
      <c r="M454" s="2204"/>
      <c r="N454" s="2204"/>
      <c r="O454" s="2204"/>
      <c r="P454" s="2204"/>
      <c r="Q454" s="2204"/>
      <c r="R454" s="2204"/>
      <c r="S454" s="2204"/>
      <c r="T454" s="2204"/>
    </row>
    <row r="455" spans="1:20">
      <c r="A455" s="2204"/>
      <c r="B455" s="2204"/>
      <c r="C455" s="2204"/>
      <c r="D455" s="2204"/>
      <c r="E455" s="2204"/>
      <c r="F455" s="2204"/>
      <c r="G455" s="2204"/>
      <c r="H455" s="2204"/>
      <c r="I455" s="2205"/>
      <c r="J455" s="2204"/>
      <c r="K455" s="2204"/>
      <c r="L455" s="2204"/>
      <c r="M455" s="2204"/>
      <c r="N455" s="2204"/>
      <c r="O455" s="2204"/>
      <c r="P455" s="2204"/>
      <c r="Q455" s="2204"/>
      <c r="R455" s="2204"/>
      <c r="S455" s="2204"/>
      <c r="T455" s="2204"/>
    </row>
    <row r="456" spans="1:20">
      <c r="A456" s="2204"/>
      <c r="B456" s="2204"/>
      <c r="C456" s="2204"/>
      <c r="D456" s="2204"/>
      <c r="E456" s="2204"/>
      <c r="F456" s="2204"/>
      <c r="G456" s="2204"/>
      <c r="H456" s="2204"/>
      <c r="I456" s="2205"/>
      <c r="J456" s="2204"/>
      <c r="K456" s="2204"/>
      <c r="L456" s="2204"/>
      <c r="M456" s="2204"/>
      <c r="N456" s="2204"/>
      <c r="O456" s="2204"/>
      <c r="P456" s="2204"/>
      <c r="Q456" s="2204"/>
      <c r="R456" s="2204"/>
      <c r="S456" s="2204"/>
      <c r="T456" s="2204"/>
    </row>
    <row r="457" spans="1:20">
      <c r="A457" s="2204"/>
      <c r="B457" s="2204"/>
      <c r="C457" s="2204"/>
      <c r="D457" s="2204"/>
      <c r="E457" s="2204"/>
      <c r="F457" s="2204"/>
      <c r="G457" s="2204"/>
      <c r="H457" s="2204"/>
      <c r="I457" s="2205"/>
      <c r="J457" s="2204"/>
      <c r="K457" s="2204"/>
      <c r="L457" s="2204"/>
      <c r="M457" s="2204"/>
      <c r="N457" s="2204"/>
      <c r="O457" s="2204"/>
      <c r="P457" s="2204"/>
      <c r="Q457" s="2204"/>
      <c r="R457" s="2204"/>
      <c r="S457" s="2204"/>
      <c r="T457" s="2204"/>
    </row>
    <row r="458" spans="1:20">
      <c r="A458" s="2204"/>
      <c r="B458" s="2204"/>
      <c r="C458" s="2204"/>
      <c r="D458" s="2204"/>
      <c r="E458" s="2204"/>
      <c r="F458" s="2204"/>
      <c r="G458" s="2204"/>
      <c r="H458" s="2204"/>
      <c r="I458" s="2205"/>
      <c r="J458" s="2204"/>
      <c r="K458" s="2204"/>
      <c r="L458" s="2204"/>
      <c r="M458" s="2204"/>
      <c r="N458" s="2204"/>
      <c r="O458" s="2204"/>
      <c r="P458" s="2204"/>
      <c r="Q458" s="2204"/>
      <c r="R458" s="2204"/>
      <c r="S458" s="2204"/>
      <c r="T458" s="2204"/>
    </row>
    <row r="459" spans="1:20">
      <c r="A459" s="2204"/>
      <c r="B459" s="2204"/>
      <c r="C459" s="2204"/>
      <c r="D459" s="2204"/>
      <c r="E459" s="2204"/>
      <c r="F459" s="2204"/>
      <c r="G459" s="2204"/>
      <c r="H459" s="2204"/>
      <c r="I459" s="2205"/>
      <c r="J459" s="2204"/>
      <c r="K459" s="2204"/>
      <c r="L459" s="2204"/>
      <c r="M459" s="2204"/>
      <c r="N459" s="2204"/>
      <c r="O459" s="2204"/>
      <c r="P459" s="2204"/>
      <c r="Q459" s="2204"/>
      <c r="R459" s="2204"/>
      <c r="S459" s="2204"/>
      <c r="T459" s="2204"/>
    </row>
    <row r="460" spans="1:20">
      <c r="A460" s="2204"/>
      <c r="B460" s="2204"/>
      <c r="C460" s="2204"/>
      <c r="D460" s="2204"/>
      <c r="E460" s="2204"/>
      <c r="F460" s="2204"/>
      <c r="G460" s="2204"/>
      <c r="H460" s="2204"/>
      <c r="I460" s="2205"/>
      <c r="J460" s="2204"/>
      <c r="K460" s="2204"/>
      <c r="L460" s="2204"/>
      <c r="M460" s="2204"/>
      <c r="N460" s="2204"/>
      <c r="O460" s="2204"/>
      <c r="P460" s="2204"/>
      <c r="Q460" s="2204"/>
      <c r="R460" s="2204"/>
      <c r="S460" s="2204"/>
      <c r="T460" s="2204"/>
    </row>
    <row r="461" spans="1:20">
      <c r="A461" s="2204"/>
      <c r="B461" s="2204"/>
      <c r="C461" s="2204"/>
      <c r="D461" s="2204"/>
      <c r="E461" s="2204"/>
      <c r="F461" s="2204"/>
      <c r="G461" s="2204"/>
      <c r="H461" s="2204"/>
      <c r="I461" s="2205"/>
      <c r="J461" s="2204"/>
      <c r="K461" s="2204"/>
      <c r="L461" s="2204"/>
      <c r="M461" s="2204"/>
      <c r="N461" s="2204"/>
      <c r="O461" s="2204"/>
      <c r="P461" s="2204"/>
      <c r="Q461" s="2204"/>
      <c r="R461" s="2204"/>
      <c r="S461" s="2204"/>
      <c r="T461" s="2204"/>
    </row>
    <row r="462" spans="1:20">
      <c r="A462" s="2204"/>
      <c r="B462" s="2204"/>
      <c r="C462" s="2204"/>
      <c r="D462" s="2204"/>
      <c r="E462" s="2204"/>
      <c r="F462" s="2204"/>
      <c r="G462" s="2204"/>
      <c r="H462" s="2204"/>
      <c r="I462" s="2205"/>
      <c r="J462" s="2204"/>
      <c r="K462" s="2204"/>
      <c r="L462" s="2204"/>
      <c r="M462" s="2204"/>
      <c r="N462" s="2204"/>
      <c r="O462" s="2204"/>
      <c r="P462" s="2204"/>
      <c r="Q462" s="2204"/>
      <c r="R462" s="2204"/>
      <c r="S462" s="2204"/>
      <c r="T462" s="2204"/>
    </row>
    <row r="463" spans="1:20">
      <c r="A463" s="2204"/>
      <c r="B463" s="2204"/>
      <c r="C463" s="2204"/>
      <c r="D463" s="2204"/>
      <c r="E463" s="2204"/>
      <c r="F463" s="2204"/>
      <c r="G463" s="2204"/>
      <c r="H463" s="2204"/>
      <c r="I463" s="2205"/>
      <c r="J463" s="2204"/>
      <c r="K463" s="2204"/>
      <c r="L463" s="2204"/>
      <c r="M463" s="2204"/>
      <c r="N463" s="2204"/>
      <c r="O463" s="2204"/>
      <c r="P463" s="2204"/>
      <c r="Q463" s="2204"/>
      <c r="R463" s="2204"/>
      <c r="S463" s="2204"/>
      <c r="T463" s="2204"/>
    </row>
    <row r="464" spans="1:20">
      <c r="A464" s="2204"/>
      <c r="B464" s="2204"/>
      <c r="C464" s="2204"/>
      <c r="D464" s="2204"/>
      <c r="E464" s="2204"/>
      <c r="F464" s="2204"/>
      <c r="G464" s="2204"/>
      <c r="H464" s="2204"/>
      <c r="I464" s="2205"/>
      <c r="J464" s="2204"/>
      <c r="K464" s="2204"/>
      <c r="L464" s="2204"/>
      <c r="M464" s="2204"/>
      <c r="N464" s="2204"/>
      <c r="O464" s="2204"/>
      <c r="P464" s="2204"/>
      <c r="Q464" s="2204"/>
      <c r="R464" s="2204"/>
      <c r="S464" s="2204"/>
      <c r="T464" s="2204"/>
    </row>
    <row r="465" spans="1:20">
      <c r="A465" s="2204"/>
      <c r="B465" s="2204"/>
      <c r="C465" s="2204"/>
      <c r="D465" s="2204"/>
      <c r="E465" s="2204"/>
      <c r="F465" s="2204"/>
      <c r="G465" s="2204"/>
      <c r="H465" s="2204"/>
      <c r="I465" s="2205"/>
      <c r="J465" s="2204"/>
      <c r="K465" s="2204"/>
      <c r="L465" s="2204"/>
      <c r="M465" s="2204"/>
      <c r="N465" s="2204"/>
      <c r="O465" s="2204"/>
      <c r="P465" s="2204"/>
      <c r="Q465" s="2204"/>
      <c r="R465" s="2204"/>
      <c r="S465" s="2204"/>
      <c r="T465" s="2204"/>
    </row>
    <row r="466" spans="1:20">
      <c r="A466" s="2204"/>
      <c r="B466" s="2204"/>
      <c r="C466" s="2204"/>
      <c r="D466" s="2204"/>
      <c r="E466" s="2204"/>
      <c r="F466" s="2204"/>
      <c r="G466" s="2204"/>
      <c r="H466" s="2204"/>
      <c r="I466" s="2205"/>
      <c r="J466" s="2204"/>
      <c r="K466" s="2204"/>
      <c r="L466" s="2204"/>
      <c r="M466" s="2204"/>
      <c r="N466" s="2204"/>
      <c r="O466" s="2204"/>
      <c r="P466" s="2204"/>
      <c r="Q466" s="2204"/>
      <c r="R466" s="2204"/>
      <c r="S466" s="2204"/>
      <c r="T466" s="2204"/>
    </row>
    <row r="467" spans="1:20">
      <c r="A467" s="2204"/>
      <c r="B467" s="2204"/>
      <c r="C467" s="2204"/>
      <c r="D467" s="2204"/>
      <c r="E467" s="2204"/>
      <c r="F467" s="2204"/>
      <c r="G467" s="2204"/>
      <c r="H467" s="2204"/>
      <c r="I467" s="2205"/>
      <c r="J467" s="2204"/>
      <c r="K467" s="2204"/>
      <c r="L467" s="2204"/>
      <c r="M467" s="2204"/>
      <c r="N467" s="2204"/>
      <c r="O467" s="2204"/>
      <c r="P467" s="2204"/>
      <c r="Q467" s="2204"/>
      <c r="R467" s="2204"/>
      <c r="S467" s="2204"/>
      <c r="T467" s="2204"/>
    </row>
    <row r="468" spans="1:20">
      <c r="A468" s="2204"/>
      <c r="B468" s="2204"/>
      <c r="C468" s="2204"/>
      <c r="D468" s="2204"/>
      <c r="E468" s="2204"/>
      <c r="F468" s="2204"/>
      <c r="G468" s="2204"/>
      <c r="H468" s="2204"/>
      <c r="I468" s="2205"/>
      <c r="J468" s="2204"/>
      <c r="K468" s="2204"/>
      <c r="L468" s="2204"/>
      <c r="M468" s="2204"/>
      <c r="N468" s="2204"/>
      <c r="O468" s="2204"/>
      <c r="P468" s="2204"/>
      <c r="Q468" s="2204"/>
      <c r="R468" s="2204"/>
      <c r="S468" s="2204"/>
      <c r="T468" s="2204"/>
    </row>
    <row r="469" spans="1:20">
      <c r="A469" s="2204"/>
      <c r="B469" s="2204"/>
      <c r="C469" s="2204"/>
      <c r="D469" s="2204"/>
      <c r="E469" s="2204"/>
      <c r="F469" s="2204"/>
      <c r="G469" s="2204"/>
      <c r="H469" s="2204"/>
      <c r="I469" s="2205"/>
      <c r="J469" s="2204"/>
      <c r="K469" s="2204"/>
      <c r="L469" s="2204"/>
      <c r="M469" s="2204"/>
      <c r="N469" s="2204"/>
      <c r="O469" s="2204"/>
      <c r="P469" s="2204"/>
      <c r="Q469" s="2204"/>
      <c r="R469" s="2204"/>
      <c r="S469" s="2204"/>
      <c r="T469" s="2204"/>
    </row>
    <row r="470" spans="1:20">
      <c r="A470" s="2204"/>
      <c r="B470" s="2204"/>
      <c r="C470" s="2204"/>
      <c r="D470" s="2204"/>
      <c r="E470" s="2204"/>
      <c r="F470" s="2204"/>
      <c r="G470" s="2204"/>
      <c r="H470" s="2204"/>
      <c r="I470" s="2205"/>
      <c r="J470" s="2204"/>
      <c r="K470" s="2204"/>
      <c r="L470" s="2204"/>
      <c r="M470" s="2204"/>
      <c r="N470" s="2204"/>
      <c r="O470" s="2204"/>
      <c r="P470" s="2204"/>
      <c r="Q470" s="2204"/>
      <c r="R470" s="2204"/>
      <c r="S470" s="2204"/>
      <c r="T470" s="2204"/>
    </row>
    <row r="471" spans="1:20">
      <c r="A471" s="2204"/>
      <c r="B471" s="2204"/>
      <c r="C471" s="2204"/>
      <c r="D471" s="2204"/>
      <c r="E471" s="2204"/>
      <c r="F471" s="2204"/>
      <c r="G471" s="2204"/>
      <c r="H471" s="2204"/>
      <c r="I471" s="2205"/>
      <c r="J471" s="2204"/>
      <c r="K471" s="2204"/>
      <c r="L471" s="2204"/>
      <c r="M471" s="2204"/>
      <c r="N471" s="2204"/>
      <c r="O471" s="2204"/>
      <c r="P471" s="2204"/>
      <c r="Q471" s="2204"/>
      <c r="R471" s="2204"/>
      <c r="S471" s="2204"/>
      <c r="T471" s="2204"/>
    </row>
    <row r="472" spans="1:20">
      <c r="A472" s="2204"/>
      <c r="B472" s="2204"/>
      <c r="C472" s="2204"/>
      <c r="D472" s="2204"/>
      <c r="E472" s="2204"/>
      <c r="F472" s="2204"/>
      <c r="G472" s="2204"/>
      <c r="H472" s="2204"/>
      <c r="I472" s="2205"/>
      <c r="J472" s="2204"/>
      <c r="K472" s="2204"/>
      <c r="L472" s="2204"/>
      <c r="M472" s="2204"/>
      <c r="N472" s="2204"/>
      <c r="O472" s="2204"/>
      <c r="P472" s="2204"/>
      <c r="Q472" s="2204"/>
      <c r="R472" s="2204"/>
      <c r="S472" s="2204"/>
      <c r="T472" s="2204"/>
    </row>
    <row r="473" spans="1:20">
      <c r="A473" s="2204"/>
      <c r="B473" s="2204"/>
      <c r="C473" s="2204"/>
      <c r="D473" s="2204"/>
      <c r="E473" s="2204"/>
      <c r="F473" s="2204"/>
      <c r="G473" s="2204"/>
      <c r="H473" s="2204"/>
      <c r="I473" s="2205"/>
      <c r="J473" s="2204"/>
      <c r="K473" s="2204"/>
      <c r="L473" s="2204"/>
      <c r="M473" s="2204"/>
      <c r="N473" s="2204"/>
      <c r="O473" s="2204"/>
      <c r="P473" s="2204"/>
      <c r="Q473" s="2204"/>
      <c r="R473" s="2204"/>
      <c r="S473" s="2204"/>
      <c r="T473" s="2204"/>
    </row>
    <row r="474" spans="1:20">
      <c r="A474" s="2204"/>
      <c r="B474" s="2204"/>
      <c r="C474" s="2204"/>
      <c r="D474" s="2204"/>
      <c r="E474" s="2204"/>
      <c r="F474" s="2204"/>
      <c r="G474" s="2204"/>
      <c r="H474" s="2204"/>
      <c r="I474" s="2205"/>
      <c r="J474" s="2204"/>
      <c r="K474" s="2204"/>
      <c r="L474" s="2204"/>
      <c r="M474" s="2204"/>
      <c r="N474" s="2204"/>
      <c r="O474" s="2204"/>
      <c r="P474" s="2204"/>
      <c r="Q474" s="2204"/>
      <c r="R474" s="2204"/>
      <c r="S474" s="2204"/>
      <c r="T474" s="2204"/>
    </row>
    <row r="475" spans="1:20">
      <c r="A475" s="2204"/>
      <c r="B475" s="2204"/>
      <c r="C475" s="2204"/>
      <c r="D475" s="2204"/>
      <c r="E475" s="2204"/>
      <c r="F475" s="2204"/>
      <c r="G475" s="2204"/>
      <c r="H475" s="2204"/>
      <c r="I475" s="2205"/>
      <c r="J475" s="2204"/>
      <c r="K475" s="2204"/>
      <c r="L475" s="2204"/>
      <c r="M475" s="2204"/>
      <c r="N475" s="2204"/>
      <c r="O475" s="2204"/>
      <c r="P475" s="2204"/>
      <c r="Q475" s="2204"/>
      <c r="R475" s="2204"/>
      <c r="S475" s="2204"/>
      <c r="T475" s="2204"/>
    </row>
    <row r="476" spans="1:20">
      <c r="A476" s="2204"/>
      <c r="B476" s="2204"/>
      <c r="C476" s="2204"/>
      <c r="D476" s="2204"/>
      <c r="E476" s="2204"/>
      <c r="F476" s="2204"/>
      <c r="G476" s="2204"/>
      <c r="H476" s="2204"/>
      <c r="I476" s="2205"/>
      <c r="J476" s="2204"/>
      <c r="K476" s="2204"/>
      <c r="L476" s="2204"/>
      <c r="M476" s="2204"/>
      <c r="N476" s="2204"/>
      <c r="O476" s="2204"/>
      <c r="P476" s="2204"/>
      <c r="Q476" s="2204"/>
      <c r="R476" s="2204"/>
      <c r="S476" s="2204"/>
      <c r="T476" s="2204"/>
    </row>
    <row r="477" spans="1:20">
      <c r="A477" s="2204"/>
      <c r="B477" s="2204"/>
      <c r="C477" s="2204"/>
      <c r="D477" s="2204"/>
      <c r="E477" s="2204"/>
      <c r="F477" s="2204"/>
      <c r="G477" s="2204"/>
      <c r="H477" s="2204"/>
      <c r="I477" s="2205"/>
      <c r="J477" s="2204"/>
      <c r="K477" s="2204"/>
      <c r="L477" s="2204"/>
      <c r="M477" s="2204"/>
      <c r="N477" s="2204"/>
      <c r="O477" s="2204"/>
      <c r="P477" s="2204"/>
      <c r="Q477" s="2204"/>
      <c r="R477" s="2204"/>
      <c r="S477" s="2204"/>
      <c r="T477" s="2204"/>
    </row>
    <row r="478" spans="1:20">
      <c r="A478" s="2204"/>
      <c r="B478" s="2204"/>
      <c r="C478" s="2204"/>
      <c r="D478" s="2204"/>
      <c r="E478" s="2204"/>
      <c r="F478" s="2204"/>
      <c r="G478" s="2204"/>
      <c r="H478" s="2204"/>
      <c r="I478" s="2205"/>
      <c r="J478" s="2204"/>
      <c r="K478" s="2204"/>
      <c r="L478" s="2204"/>
      <c r="M478" s="2204"/>
      <c r="N478" s="2204"/>
      <c r="O478" s="2204"/>
      <c r="P478" s="2204"/>
      <c r="Q478" s="2204"/>
      <c r="R478" s="2204"/>
      <c r="S478" s="2204"/>
      <c r="T478" s="2204"/>
    </row>
    <row r="479" spans="1:20">
      <c r="A479" s="2204"/>
      <c r="B479" s="2204"/>
      <c r="C479" s="2204"/>
      <c r="D479" s="2204"/>
      <c r="E479" s="2204"/>
      <c r="F479" s="2204"/>
      <c r="G479" s="2204"/>
      <c r="H479" s="2204"/>
      <c r="I479" s="2205"/>
      <c r="J479" s="2204"/>
      <c r="K479" s="2204"/>
      <c r="L479" s="2204"/>
      <c r="M479" s="2204"/>
      <c r="N479" s="2204"/>
      <c r="O479" s="2204"/>
      <c r="P479" s="2204"/>
      <c r="Q479" s="2204"/>
      <c r="R479" s="2204"/>
      <c r="S479" s="2204"/>
      <c r="T479" s="2204"/>
    </row>
    <row r="480" spans="1:20">
      <c r="A480" s="2204"/>
      <c r="B480" s="2204"/>
      <c r="C480" s="2204"/>
      <c r="D480" s="2204"/>
      <c r="E480" s="2204"/>
      <c r="F480" s="2204"/>
      <c r="G480" s="2204"/>
      <c r="H480" s="2204"/>
      <c r="I480" s="2205"/>
      <c r="J480" s="2204"/>
      <c r="K480" s="2204"/>
      <c r="L480" s="2204"/>
      <c r="M480" s="2204"/>
      <c r="N480" s="2204"/>
      <c r="O480" s="2204"/>
      <c r="P480" s="2204"/>
      <c r="Q480" s="2204"/>
      <c r="R480" s="2204"/>
      <c r="S480" s="2204"/>
      <c r="T480" s="2204"/>
    </row>
    <row r="481" spans="1:20">
      <c r="A481" s="2204"/>
      <c r="B481" s="2204"/>
      <c r="C481" s="2204"/>
      <c r="D481" s="2204"/>
      <c r="E481" s="2204"/>
      <c r="F481" s="2204"/>
      <c r="G481" s="2204"/>
      <c r="H481" s="2204"/>
      <c r="I481" s="2205"/>
      <c r="J481" s="2204"/>
      <c r="K481" s="2204"/>
      <c r="L481" s="2204"/>
      <c r="M481" s="2204"/>
      <c r="N481" s="2204"/>
      <c r="O481" s="2204"/>
      <c r="P481" s="2204"/>
      <c r="Q481" s="2204"/>
      <c r="R481" s="2204"/>
      <c r="S481" s="2204"/>
      <c r="T481" s="2204"/>
    </row>
    <row r="482" spans="1:20">
      <c r="A482" s="2204"/>
      <c r="B482" s="2204"/>
      <c r="C482" s="2204"/>
      <c r="D482" s="2204"/>
      <c r="E482" s="2204"/>
      <c r="F482" s="2204"/>
      <c r="G482" s="2204"/>
      <c r="H482" s="2204"/>
      <c r="I482" s="2205"/>
      <c r="J482" s="2204"/>
      <c r="K482" s="2204"/>
      <c r="L482" s="2204"/>
      <c r="M482" s="2204"/>
      <c r="N482" s="2204"/>
      <c r="O482" s="2204"/>
      <c r="P482" s="2204"/>
      <c r="Q482" s="2204"/>
      <c r="R482" s="2204"/>
      <c r="S482" s="2204"/>
      <c r="T482" s="2204"/>
    </row>
    <row r="483" spans="1:20">
      <c r="A483" s="2204"/>
      <c r="B483" s="2204"/>
      <c r="C483" s="2204"/>
      <c r="D483" s="2204"/>
      <c r="E483" s="2204"/>
      <c r="F483" s="2204"/>
      <c r="G483" s="2204"/>
      <c r="H483" s="2204"/>
      <c r="I483" s="2205"/>
      <c r="J483" s="2204"/>
      <c r="K483" s="2204"/>
      <c r="L483" s="2204"/>
      <c r="M483" s="2204"/>
      <c r="N483" s="2204"/>
      <c r="O483" s="2204"/>
      <c r="P483" s="2204"/>
      <c r="Q483" s="2204"/>
      <c r="R483" s="2204"/>
      <c r="S483" s="2204"/>
      <c r="T483" s="2204"/>
    </row>
    <row r="484" spans="1:20">
      <c r="A484" s="2204"/>
      <c r="B484" s="2204"/>
      <c r="C484" s="2204"/>
      <c r="D484" s="2204"/>
      <c r="E484" s="2204"/>
      <c r="F484" s="2204"/>
      <c r="G484" s="2204"/>
      <c r="H484" s="2204"/>
      <c r="I484" s="2205"/>
      <c r="J484" s="2204"/>
      <c r="K484" s="2204"/>
      <c r="L484" s="2204"/>
      <c r="M484" s="2204"/>
      <c r="N484" s="2204"/>
      <c r="O484" s="2204"/>
      <c r="P484" s="2204"/>
      <c r="Q484" s="2204"/>
      <c r="R484" s="2204"/>
      <c r="S484" s="2204"/>
      <c r="T484" s="2204"/>
    </row>
    <row r="485" spans="1:20">
      <c r="A485" s="2204"/>
      <c r="B485" s="2204"/>
      <c r="C485" s="2204"/>
      <c r="D485" s="2204"/>
      <c r="E485" s="2204"/>
      <c r="F485" s="2204"/>
      <c r="G485" s="2204"/>
      <c r="H485" s="2204"/>
      <c r="I485" s="2205"/>
      <c r="J485" s="2204"/>
      <c r="K485" s="2204"/>
      <c r="L485" s="2204"/>
      <c r="M485" s="2204"/>
      <c r="N485" s="2204"/>
      <c r="O485" s="2204"/>
      <c r="P485" s="2204"/>
      <c r="Q485" s="2204"/>
      <c r="R485" s="2204"/>
      <c r="S485" s="2204"/>
      <c r="T485" s="2204"/>
    </row>
    <row r="486" spans="1:20">
      <c r="A486" s="2204"/>
      <c r="B486" s="2204"/>
      <c r="C486" s="2204"/>
      <c r="D486" s="2204"/>
      <c r="E486" s="2204"/>
      <c r="F486" s="2204"/>
      <c r="G486" s="2204"/>
      <c r="H486" s="2204"/>
      <c r="I486" s="2205"/>
      <c r="J486" s="2204"/>
      <c r="K486" s="2204"/>
      <c r="L486" s="2204"/>
      <c r="M486" s="2204"/>
      <c r="N486" s="2204"/>
      <c r="O486" s="2204"/>
      <c r="P486" s="2204"/>
      <c r="Q486" s="2204"/>
      <c r="R486" s="2204"/>
      <c r="S486" s="2204"/>
      <c r="T486" s="2204"/>
    </row>
    <row r="487" spans="1:20">
      <c r="A487" s="2204"/>
      <c r="B487" s="2204"/>
      <c r="C487" s="2204"/>
      <c r="D487" s="2204"/>
      <c r="E487" s="2204"/>
      <c r="F487" s="2204"/>
      <c r="G487" s="2204"/>
      <c r="H487" s="2204"/>
      <c r="I487" s="2205"/>
      <c r="J487" s="2204"/>
      <c r="K487" s="2204"/>
      <c r="L487" s="2204"/>
      <c r="M487" s="2204"/>
      <c r="N487" s="2204"/>
      <c r="O487" s="2204"/>
      <c r="P487" s="2204"/>
      <c r="Q487" s="2204"/>
      <c r="R487" s="2204"/>
      <c r="S487" s="2204"/>
      <c r="T487" s="2204"/>
    </row>
    <row r="488" spans="1:20">
      <c r="A488" s="2204"/>
      <c r="B488" s="2204"/>
      <c r="C488" s="2204"/>
      <c r="D488" s="2204"/>
      <c r="E488" s="2204"/>
      <c r="F488" s="2204"/>
      <c r="G488" s="2204"/>
      <c r="H488" s="2204"/>
      <c r="I488" s="2205"/>
      <c r="J488" s="2204"/>
      <c r="K488" s="2204"/>
      <c r="L488" s="2204"/>
      <c r="M488" s="2204"/>
      <c r="N488" s="2204"/>
      <c r="O488" s="2204"/>
      <c r="P488" s="2204"/>
      <c r="Q488" s="2204"/>
      <c r="R488" s="2204"/>
      <c r="S488" s="2204"/>
      <c r="T488" s="2204"/>
    </row>
    <row r="489" spans="1:20">
      <c r="A489" s="2204"/>
      <c r="B489" s="2204"/>
      <c r="C489" s="2204"/>
      <c r="D489" s="2204"/>
      <c r="E489" s="2204"/>
      <c r="F489" s="2204"/>
      <c r="G489" s="2204"/>
      <c r="H489" s="2204"/>
      <c r="I489" s="2205"/>
      <c r="J489" s="2204"/>
      <c r="K489" s="2204"/>
      <c r="L489" s="2204"/>
      <c r="M489" s="2204"/>
      <c r="N489" s="2204"/>
      <c r="O489" s="2204"/>
      <c r="P489" s="2204"/>
      <c r="Q489" s="2204"/>
      <c r="R489" s="2204"/>
      <c r="S489" s="2204"/>
      <c r="T489" s="2204"/>
    </row>
    <row r="490" spans="1:20">
      <c r="A490" s="2204"/>
      <c r="B490" s="2204"/>
      <c r="C490" s="2204"/>
      <c r="D490" s="2204"/>
      <c r="E490" s="2204"/>
      <c r="F490" s="2204"/>
      <c r="G490" s="2204"/>
      <c r="H490" s="2204"/>
      <c r="I490" s="2205"/>
      <c r="J490" s="2204"/>
      <c r="K490" s="2204"/>
      <c r="L490" s="2204"/>
      <c r="M490" s="2204"/>
      <c r="N490" s="2204"/>
      <c r="O490" s="2204"/>
      <c r="P490" s="2204"/>
      <c r="Q490" s="2204"/>
      <c r="R490" s="2204"/>
      <c r="S490" s="2204"/>
      <c r="T490" s="2204"/>
    </row>
    <row r="491" spans="1:20">
      <c r="A491" s="2204"/>
      <c r="B491" s="2204"/>
      <c r="C491" s="2204"/>
      <c r="D491" s="2204"/>
      <c r="E491" s="2204"/>
      <c r="F491" s="2204"/>
      <c r="G491" s="2204"/>
      <c r="H491" s="2204"/>
      <c r="I491" s="2205"/>
      <c r="J491" s="2204"/>
      <c r="K491" s="2204"/>
      <c r="L491" s="2204"/>
      <c r="M491" s="2204"/>
      <c r="N491" s="2204"/>
      <c r="O491" s="2204"/>
      <c r="P491" s="2204"/>
      <c r="Q491" s="2204"/>
      <c r="R491" s="2204"/>
      <c r="S491" s="2204"/>
      <c r="T491" s="2204"/>
    </row>
    <row r="492" spans="1:20">
      <c r="A492" s="2204"/>
      <c r="B492" s="2204"/>
      <c r="C492" s="2204"/>
      <c r="D492" s="2204"/>
      <c r="E492" s="2204"/>
      <c r="F492" s="2204"/>
      <c r="G492" s="2204"/>
      <c r="H492" s="2204"/>
      <c r="I492" s="2205"/>
      <c r="J492" s="2204"/>
      <c r="K492" s="2204"/>
      <c r="L492" s="2204"/>
      <c r="M492" s="2204"/>
      <c r="N492" s="2204"/>
      <c r="O492" s="2204"/>
      <c r="P492" s="2204"/>
      <c r="Q492" s="2204"/>
      <c r="R492" s="2204"/>
      <c r="S492" s="2204"/>
      <c r="T492" s="2204"/>
    </row>
    <row r="493" spans="1:20">
      <c r="A493" s="2204"/>
      <c r="B493" s="2204"/>
      <c r="C493" s="2204"/>
      <c r="D493" s="2204"/>
      <c r="E493" s="2204"/>
      <c r="F493" s="2204"/>
      <c r="G493" s="2204"/>
      <c r="H493" s="2204"/>
      <c r="I493" s="2205"/>
      <c r="J493" s="2204"/>
      <c r="K493" s="2204"/>
      <c r="L493" s="2204"/>
      <c r="M493" s="2204"/>
      <c r="N493" s="2204"/>
      <c r="O493" s="2204"/>
      <c r="P493" s="2204"/>
      <c r="Q493" s="2204"/>
      <c r="R493" s="2204"/>
      <c r="S493" s="2204"/>
      <c r="T493" s="2204"/>
    </row>
    <row r="494" spans="1:20">
      <c r="A494" s="2204"/>
      <c r="B494" s="2204"/>
      <c r="C494" s="2204"/>
      <c r="D494" s="2204"/>
      <c r="E494" s="2204"/>
      <c r="F494" s="2204"/>
      <c r="G494" s="2204"/>
      <c r="H494" s="2204"/>
      <c r="I494" s="2205"/>
      <c r="J494" s="2204"/>
      <c r="K494" s="2204"/>
      <c r="L494" s="2204"/>
      <c r="M494" s="2204"/>
      <c r="N494" s="2204"/>
      <c r="O494" s="2204"/>
      <c r="P494" s="2204"/>
      <c r="Q494" s="2204"/>
      <c r="R494" s="2204"/>
      <c r="S494" s="2204"/>
      <c r="T494" s="2204"/>
    </row>
    <row r="495" spans="1:20">
      <c r="A495" s="2204"/>
      <c r="B495" s="2204"/>
      <c r="C495" s="2204"/>
      <c r="D495" s="2204"/>
      <c r="E495" s="2204"/>
      <c r="F495" s="2204"/>
      <c r="G495" s="2204"/>
      <c r="H495" s="2204"/>
      <c r="I495" s="2205"/>
      <c r="J495" s="2204"/>
      <c r="K495" s="2204"/>
      <c r="L495" s="2204"/>
      <c r="M495" s="2204"/>
      <c r="N495" s="2204"/>
      <c r="O495" s="2204"/>
      <c r="P495" s="2204"/>
      <c r="Q495" s="2204"/>
      <c r="R495" s="2204"/>
      <c r="S495" s="2204"/>
      <c r="T495" s="2204"/>
    </row>
    <row r="496" spans="1:20">
      <c r="A496" s="2204"/>
      <c r="B496" s="2204"/>
      <c r="C496" s="2204"/>
      <c r="D496" s="2204"/>
      <c r="E496" s="2204"/>
      <c r="F496" s="2204"/>
      <c r="G496" s="2204"/>
      <c r="H496" s="2204"/>
      <c r="I496" s="2205"/>
      <c r="J496" s="2204"/>
      <c r="K496" s="2204"/>
      <c r="L496" s="2204"/>
      <c r="M496" s="2204"/>
      <c r="N496" s="2204"/>
      <c r="O496" s="2204"/>
      <c r="P496" s="2204"/>
      <c r="Q496" s="2204"/>
      <c r="R496" s="2204"/>
      <c r="S496" s="2204"/>
      <c r="T496" s="2204"/>
    </row>
    <row r="497" spans="1:20">
      <c r="A497" s="2204"/>
      <c r="B497" s="2204"/>
      <c r="C497" s="2204"/>
      <c r="D497" s="2204"/>
      <c r="E497" s="2204"/>
      <c r="F497" s="2204"/>
      <c r="G497" s="2204"/>
      <c r="H497" s="2204"/>
      <c r="I497" s="2205"/>
      <c r="J497" s="2204"/>
      <c r="K497" s="2204"/>
      <c r="L497" s="2204"/>
      <c r="M497" s="2204"/>
      <c r="N497" s="2204"/>
      <c r="O497" s="2204"/>
      <c r="P497" s="2204"/>
      <c r="Q497" s="2204"/>
      <c r="R497" s="2204"/>
      <c r="S497" s="2204"/>
      <c r="T497" s="2204"/>
    </row>
    <row r="498" spans="1:20">
      <c r="A498" s="2204"/>
      <c r="B498" s="2204"/>
      <c r="C498" s="2204"/>
      <c r="D498" s="2204"/>
      <c r="E498" s="2204"/>
      <c r="F498" s="2204"/>
      <c r="G498" s="2204"/>
      <c r="H498" s="2204"/>
      <c r="I498" s="2205"/>
      <c r="J498" s="2204"/>
      <c r="K498" s="2204"/>
      <c r="L498" s="2204"/>
      <c r="M498" s="2204"/>
      <c r="N498" s="2204"/>
      <c r="O498" s="2204"/>
      <c r="P498" s="2204"/>
      <c r="Q498" s="2204"/>
      <c r="R498" s="2204"/>
      <c r="S498" s="2204"/>
      <c r="T498" s="2204"/>
    </row>
    <row r="499" spans="1:20">
      <c r="A499" s="2204"/>
      <c r="B499" s="2204"/>
      <c r="C499" s="2204"/>
      <c r="D499" s="2204"/>
      <c r="E499" s="2204"/>
      <c r="F499" s="2204"/>
      <c r="G499" s="2204"/>
      <c r="H499" s="2204"/>
      <c r="I499" s="2205"/>
      <c r="J499" s="2204"/>
      <c r="K499" s="2204"/>
      <c r="L499" s="2204"/>
      <c r="M499" s="2204"/>
      <c r="N499" s="2204"/>
      <c r="O499" s="2204"/>
      <c r="P499" s="2204"/>
      <c r="Q499" s="2204"/>
      <c r="R499" s="2204"/>
      <c r="S499" s="2204"/>
      <c r="T499" s="2204"/>
    </row>
    <row r="500" spans="1:20">
      <c r="A500" s="2204"/>
      <c r="B500" s="2204"/>
      <c r="C500" s="2204"/>
      <c r="D500" s="2204"/>
      <c r="E500" s="2204"/>
      <c r="F500" s="2204"/>
      <c r="G500" s="2204"/>
      <c r="H500" s="2204"/>
      <c r="I500" s="2205"/>
      <c r="J500" s="2204"/>
      <c r="K500" s="2204"/>
      <c r="L500" s="2204"/>
      <c r="M500" s="2204"/>
      <c r="N500" s="2204"/>
      <c r="O500" s="2204"/>
      <c r="P500" s="2204"/>
      <c r="Q500" s="2204"/>
      <c r="R500" s="2204"/>
      <c r="S500" s="2204"/>
      <c r="T500" s="2204"/>
    </row>
    <row r="501" spans="1:20">
      <c r="A501" s="2204"/>
      <c r="B501" s="2204"/>
      <c r="C501" s="2204"/>
      <c r="D501" s="2204"/>
      <c r="E501" s="2204"/>
      <c r="F501" s="2204"/>
      <c r="G501" s="2204"/>
      <c r="H501" s="2204"/>
      <c r="I501" s="2205"/>
      <c r="J501" s="2204"/>
      <c r="K501" s="2204"/>
      <c r="L501" s="2204"/>
      <c r="M501" s="2204"/>
      <c r="N501" s="2204"/>
      <c r="O501" s="2204"/>
      <c r="P501" s="2204"/>
      <c r="Q501" s="2204"/>
      <c r="R501" s="2204"/>
      <c r="S501" s="2204"/>
      <c r="T501" s="2204"/>
    </row>
    <row r="502" spans="1:20">
      <c r="A502" s="2204"/>
      <c r="B502" s="2204"/>
      <c r="C502" s="2204"/>
      <c r="D502" s="2204"/>
      <c r="E502" s="2204"/>
      <c r="F502" s="2204"/>
      <c r="G502" s="2204"/>
      <c r="H502" s="2204"/>
      <c r="I502" s="2205"/>
      <c r="J502" s="2204"/>
      <c r="K502" s="2204"/>
      <c r="L502" s="2204"/>
      <c r="M502" s="2204"/>
      <c r="N502" s="2204"/>
      <c r="O502" s="2204"/>
      <c r="P502" s="2204"/>
      <c r="Q502" s="2204"/>
      <c r="R502" s="2204"/>
      <c r="S502" s="2204"/>
      <c r="T502" s="2204"/>
    </row>
    <row r="503" spans="1:20">
      <c r="A503" s="2204"/>
      <c r="B503" s="2204"/>
      <c r="C503" s="2204"/>
      <c r="D503" s="2204"/>
      <c r="E503" s="2204"/>
      <c r="F503" s="2204"/>
      <c r="G503" s="2204"/>
      <c r="H503" s="2204"/>
      <c r="I503" s="2205"/>
      <c r="J503" s="2204"/>
      <c r="K503" s="2204"/>
      <c r="L503" s="2204"/>
      <c r="M503" s="2204"/>
      <c r="N503" s="2204"/>
      <c r="O503" s="2204"/>
      <c r="P503" s="2204"/>
      <c r="Q503" s="2204"/>
      <c r="R503" s="2204"/>
      <c r="S503" s="2204"/>
      <c r="T503" s="2204"/>
    </row>
    <row r="504" spans="1:20">
      <c r="A504" s="2204"/>
      <c r="B504" s="2204"/>
      <c r="C504" s="2204"/>
      <c r="D504" s="2204"/>
      <c r="E504" s="2204"/>
      <c r="F504" s="2204"/>
      <c r="G504" s="2204"/>
      <c r="H504" s="2204"/>
      <c r="I504" s="2205"/>
      <c r="J504" s="2204"/>
      <c r="K504" s="2204"/>
      <c r="L504" s="2204"/>
      <c r="M504" s="2204"/>
      <c r="N504" s="2204"/>
      <c r="O504" s="2204"/>
      <c r="P504" s="2204"/>
      <c r="Q504" s="2204"/>
      <c r="R504" s="2204"/>
      <c r="S504" s="2204"/>
      <c r="T504" s="2204"/>
    </row>
    <row r="505" spans="1:20">
      <c r="A505" s="2204"/>
      <c r="B505" s="2204"/>
      <c r="C505" s="2204"/>
      <c r="D505" s="2204"/>
      <c r="E505" s="2204"/>
      <c r="F505" s="2204"/>
      <c r="G505" s="2204"/>
      <c r="H505" s="2204"/>
      <c r="I505" s="2205"/>
      <c r="J505" s="2204"/>
      <c r="K505" s="2204"/>
      <c r="L505" s="2204"/>
      <c r="M505" s="2204"/>
      <c r="N505" s="2204"/>
      <c r="O505" s="2204"/>
      <c r="P505" s="2204"/>
      <c r="Q505" s="2204"/>
      <c r="R505" s="2204"/>
      <c r="S505" s="2204"/>
      <c r="T505" s="2204"/>
    </row>
    <row r="506" spans="1:20">
      <c r="A506" s="2204"/>
      <c r="B506" s="2204"/>
      <c r="C506" s="2204"/>
      <c r="D506" s="2204"/>
      <c r="E506" s="2204"/>
      <c r="F506" s="2204"/>
      <c r="G506" s="2204"/>
      <c r="H506" s="2204"/>
      <c r="I506" s="2205"/>
      <c r="J506" s="2204"/>
      <c r="K506" s="2204"/>
      <c r="L506" s="2204"/>
      <c r="M506" s="2204"/>
      <c r="N506" s="2204"/>
      <c r="O506" s="2204"/>
      <c r="P506" s="2204"/>
      <c r="Q506" s="2204"/>
      <c r="R506" s="2204"/>
      <c r="S506" s="2204"/>
      <c r="T506" s="2204"/>
    </row>
    <row r="507" spans="1:20">
      <c r="A507" s="2204"/>
      <c r="B507" s="2204"/>
      <c r="C507" s="2204"/>
      <c r="D507" s="2204"/>
      <c r="E507" s="2204"/>
      <c r="F507" s="2204"/>
      <c r="G507" s="2204"/>
      <c r="H507" s="2204"/>
      <c r="I507" s="2205"/>
      <c r="J507" s="2204"/>
      <c r="K507" s="2204"/>
      <c r="L507" s="2204"/>
      <c r="M507" s="2204"/>
      <c r="N507" s="2204"/>
      <c r="O507" s="2204"/>
      <c r="P507" s="2204"/>
      <c r="Q507" s="2204"/>
      <c r="R507" s="2204"/>
      <c r="S507" s="2204"/>
      <c r="T507" s="2204"/>
    </row>
    <row r="508" spans="1:20">
      <c r="A508" s="2204"/>
      <c r="B508" s="2204"/>
      <c r="C508" s="2204"/>
      <c r="D508" s="2204"/>
      <c r="E508" s="2204"/>
      <c r="F508" s="2204"/>
      <c r="G508" s="2204"/>
      <c r="H508" s="2204"/>
      <c r="I508" s="2205"/>
      <c r="J508" s="2204"/>
      <c r="K508" s="2204"/>
      <c r="L508" s="2204"/>
      <c r="M508" s="2204"/>
      <c r="N508" s="2204"/>
      <c r="O508" s="2204"/>
      <c r="P508" s="2204"/>
      <c r="Q508" s="2204"/>
      <c r="R508" s="2204"/>
      <c r="S508" s="2204"/>
      <c r="T508" s="2204"/>
    </row>
    <row r="509" spans="1:20">
      <c r="A509" s="2204"/>
      <c r="B509" s="2204"/>
      <c r="C509" s="2204"/>
      <c r="D509" s="2204"/>
      <c r="E509" s="2204"/>
      <c r="F509" s="2204"/>
      <c r="G509" s="2204"/>
      <c r="H509" s="2204"/>
      <c r="I509" s="2205"/>
      <c r="J509" s="2204"/>
      <c r="K509" s="2204"/>
      <c r="L509" s="2204"/>
      <c r="M509" s="2204"/>
      <c r="N509" s="2204"/>
      <c r="O509" s="2204"/>
      <c r="P509" s="2204"/>
      <c r="Q509" s="2204"/>
      <c r="R509" s="2204"/>
      <c r="S509" s="2204"/>
      <c r="T509" s="2204"/>
    </row>
    <row r="510" spans="1:20">
      <c r="A510" s="2204"/>
      <c r="B510" s="2204"/>
      <c r="C510" s="2204"/>
      <c r="D510" s="2204"/>
      <c r="E510" s="2204"/>
      <c r="F510" s="2204"/>
      <c r="G510" s="2204"/>
      <c r="H510" s="2204"/>
      <c r="I510" s="2205"/>
      <c r="J510" s="2204"/>
      <c r="K510" s="2204"/>
      <c r="L510" s="2204"/>
      <c r="M510" s="2204"/>
      <c r="N510" s="2204"/>
      <c r="O510" s="2204"/>
      <c r="P510" s="2204"/>
      <c r="Q510" s="2204"/>
      <c r="R510" s="2204"/>
      <c r="S510" s="2204"/>
      <c r="T510" s="2204"/>
    </row>
    <row r="511" spans="1:20">
      <c r="A511" s="2204"/>
      <c r="B511" s="2204"/>
      <c r="C511" s="2204"/>
      <c r="D511" s="2204"/>
      <c r="E511" s="2204"/>
      <c r="F511" s="2204"/>
      <c r="G511" s="2204"/>
      <c r="H511" s="2204"/>
      <c r="I511" s="2205"/>
      <c r="J511" s="2204"/>
      <c r="K511" s="2204"/>
      <c r="L511" s="2204"/>
      <c r="M511" s="2204"/>
      <c r="N511" s="2204"/>
      <c r="O511" s="2204"/>
      <c r="P511" s="2204"/>
      <c r="Q511" s="2204"/>
      <c r="R511" s="2204"/>
      <c r="S511" s="2204"/>
      <c r="T511" s="2204"/>
    </row>
    <row r="512" spans="1:20">
      <c r="A512" s="2204"/>
      <c r="B512" s="2204"/>
      <c r="C512" s="2204"/>
      <c r="D512" s="2204"/>
      <c r="E512" s="2204"/>
      <c r="F512" s="2204"/>
      <c r="G512" s="2204"/>
      <c r="H512" s="2204"/>
      <c r="I512" s="2205"/>
      <c r="J512" s="2204"/>
      <c r="K512" s="2204"/>
      <c r="L512" s="2204"/>
      <c r="M512" s="2204"/>
      <c r="N512" s="2204"/>
      <c r="O512" s="2204"/>
      <c r="P512" s="2204"/>
      <c r="Q512" s="2204"/>
      <c r="R512" s="2204"/>
      <c r="S512" s="2204"/>
      <c r="T512" s="2204"/>
    </row>
    <row r="513" spans="1:20">
      <c r="A513" s="2204"/>
      <c r="B513" s="2204"/>
      <c r="C513" s="2204"/>
      <c r="D513" s="2204"/>
      <c r="E513" s="2204"/>
      <c r="F513" s="2204"/>
      <c r="G513" s="2204"/>
      <c r="H513" s="2204"/>
      <c r="I513" s="2205"/>
      <c r="J513" s="2204"/>
      <c r="K513" s="2204"/>
      <c r="L513" s="2204"/>
      <c r="M513" s="2204"/>
      <c r="N513" s="2204"/>
      <c r="O513" s="2204"/>
      <c r="P513" s="2204"/>
      <c r="Q513" s="2204"/>
      <c r="R513" s="2204"/>
      <c r="S513" s="2204"/>
      <c r="T513" s="2204"/>
    </row>
    <row r="514" spans="1:20">
      <c r="A514" s="2204"/>
      <c r="B514" s="2204"/>
      <c r="C514" s="2204"/>
      <c r="D514" s="2204"/>
      <c r="E514" s="2204"/>
      <c r="F514" s="2204"/>
      <c r="G514" s="2204"/>
      <c r="H514" s="2204"/>
      <c r="I514" s="2205"/>
      <c r="J514" s="2204"/>
      <c r="K514" s="2204"/>
      <c r="L514" s="2204"/>
      <c r="M514" s="2204"/>
      <c r="N514" s="2204"/>
      <c r="O514" s="2204"/>
      <c r="P514" s="2204"/>
      <c r="Q514" s="2204"/>
      <c r="R514" s="2204"/>
      <c r="S514" s="2204"/>
      <c r="T514" s="2204"/>
    </row>
    <row r="515" spans="1:20">
      <c r="A515" s="2204"/>
      <c r="B515" s="2204"/>
      <c r="C515" s="2204"/>
      <c r="D515" s="2204"/>
      <c r="E515" s="2204"/>
      <c r="F515" s="2204"/>
      <c r="G515" s="2204"/>
      <c r="H515" s="2204"/>
      <c r="I515" s="2205"/>
      <c r="J515" s="2204"/>
      <c r="K515" s="2204"/>
      <c r="L515" s="2204"/>
      <c r="M515" s="2204"/>
      <c r="N515" s="2204"/>
      <c r="O515" s="2204"/>
      <c r="P515" s="2204"/>
      <c r="Q515" s="2204"/>
      <c r="R515" s="2204"/>
      <c r="S515" s="2204"/>
      <c r="T515" s="2204"/>
    </row>
    <row r="516" spans="1:20">
      <c r="A516" s="2204"/>
      <c r="B516" s="2204"/>
      <c r="C516" s="2204"/>
      <c r="D516" s="2204"/>
      <c r="E516" s="2204"/>
      <c r="F516" s="2204"/>
      <c r="G516" s="2204"/>
      <c r="H516" s="2204"/>
      <c r="I516" s="2205"/>
      <c r="J516" s="2204"/>
      <c r="K516" s="2204"/>
      <c r="L516" s="2204"/>
      <c r="M516" s="2204"/>
      <c r="N516" s="2204"/>
      <c r="O516" s="2204"/>
      <c r="P516" s="2204"/>
      <c r="Q516" s="2204"/>
      <c r="R516" s="2204"/>
      <c r="S516" s="2204"/>
      <c r="T516" s="2204"/>
    </row>
    <row r="517" spans="1:20">
      <c r="A517" s="2204"/>
      <c r="B517" s="2204"/>
      <c r="C517" s="2204"/>
      <c r="D517" s="2204"/>
      <c r="E517" s="2204"/>
      <c r="F517" s="2204"/>
      <c r="G517" s="2204"/>
      <c r="H517" s="2204"/>
      <c r="I517" s="2205"/>
      <c r="J517" s="2204"/>
      <c r="K517" s="2204"/>
      <c r="L517" s="2204"/>
      <c r="M517" s="2204"/>
      <c r="N517" s="2204"/>
      <c r="O517" s="2204"/>
      <c r="P517" s="2204"/>
      <c r="Q517" s="2204"/>
      <c r="R517" s="2204"/>
      <c r="S517" s="2204"/>
      <c r="T517" s="2204"/>
    </row>
    <row r="518" spans="1:20">
      <c r="A518" s="2204"/>
      <c r="B518" s="2204"/>
      <c r="C518" s="2204"/>
      <c r="D518" s="2204"/>
      <c r="E518" s="2204"/>
      <c r="F518" s="2204"/>
      <c r="G518" s="2204"/>
      <c r="H518" s="2204"/>
      <c r="I518" s="2205"/>
      <c r="J518" s="2204"/>
      <c r="K518" s="2204"/>
      <c r="L518" s="2204"/>
      <c r="M518" s="2204"/>
      <c r="N518" s="2204"/>
      <c r="O518" s="2204"/>
      <c r="P518" s="2204"/>
      <c r="Q518" s="2204"/>
      <c r="R518" s="2204"/>
      <c r="S518" s="2204"/>
      <c r="T518" s="2204"/>
    </row>
    <row r="519" spans="1:20">
      <c r="A519" s="2204"/>
      <c r="B519" s="2204"/>
      <c r="C519" s="2204"/>
      <c r="D519" s="2204"/>
      <c r="E519" s="2204"/>
      <c r="F519" s="2204"/>
      <c r="G519" s="2204"/>
      <c r="H519" s="2204"/>
      <c r="I519" s="2205"/>
      <c r="J519" s="2204"/>
      <c r="K519" s="2204"/>
      <c r="L519" s="2204"/>
      <c r="M519" s="2204"/>
      <c r="N519" s="2204"/>
      <c r="O519" s="2204"/>
      <c r="P519" s="2204"/>
      <c r="Q519" s="2204"/>
      <c r="R519" s="2204"/>
      <c r="S519" s="2204"/>
      <c r="T519" s="2204"/>
    </row>
    <row r="520" spans="1:20">
      <c r="A520" s="2204"/>
      <c r="B520" s="2204"/>
      <c r="C520" s="2204"/>
      <c r="D520" s="2204"/>
      <c r="E520" s="2204"/>
      <c r="F520" s="2204"/>
      <c r="G520" s="2204"/>
      <c r="H520" s="2204"/>
      <c r="I520" s="2205"/>
      <c r="J520" s="2204"/>
      <c r="K520" s="2204"/>
      <c r="L520" s="2204"/>
      <c r="M520" s="2204"/>
      <c r="N520" s="2204"/>
      <c r="O520" s="2204"/>
      <c r="P520" s="2204"/>
      <c r="Q520" s="2204"/>
      <c r="R520" s="2204"/>
      <c r="S520" s="2204"/>
      <c r="T520" s="2204"/>
    </row>
    <row r="521" spans="1:20">
      <c r="A521" s="2204"/>
      <c r="B521" s="2204"/>
      <c r="C521" s="2204"/>
      <c r="D521" s="2204"/>
      <c r="E521" s="2204"/>
      <c r="F521" s="2204"/>
      <c r="G521" s="2204"/>
      <c r="H521" s="2204"/>
      <c r="I521" s="2205"/>
      <c r="J521" s="2204"/>
      <c r="K521" s="2204"/>
      <c r="L521" s="2204"/>
      <c r="M521" s="2204"/>
      <c r="N521" s="2204"/>
      <c r="O521" s="2204"/>
      <c r="P521" s="2204"/>
      <c r="Q521" s="2204"/>
      <c r="R521" s="2204"/>
      <c r="S521" s="2204"/>
      <c r="T521" s="2204"/>
    </row>
    <row r="522" spans="1:20">
      <c r="A522" s="2204"/>
      <c r="B522" s="2204"/>
      <c r="C522" s="2204"/>
      <c r="D522" s="2204"/>
      <c r="E522" s="2204"/>
      <c r="F522" s="2204"/>
      <c r="G522" s="2204"/>
      <c r="H522" s="2204"/>
      <c r="I522" s="2205"/>
      <c r="J522" s="2204"/>
      <c r="K522" s="2204"/>
      <c r="L522" s="2204"/>
      <c r="M522" s="2204"/>
      <c r="N522" s="2204"/>
      <c r="O522" s="2204"/>
      <c r="P522" s="2204"/>
      <c r="Q522" s="2204"/>
      <c r="R522" s="2204"/>
      <c r="S522" s="2204"/>
      <c r="T522" s="2204"/>
    </row>
    <row r="523" spans="1:20">
      <c r="A523" s="2204"/>
      <c r="B523" s="2204"/>
      <c r="C523" s="2204"/>
      <c r="D523" s="2204"/>
      <c r="E523" s="2204"/>
      <c r="F523" s="2204"/>
      <c r="G523" s="2204"/>
      <c r="H523" s="2204"/>
      <c r="I523" s="2205"/>
      <c r="J523" s="2204"/>
      <c r="K523" s="2204"/>
      <c r="L523" s="2204"/>
      <c r="M523" s="2204"/>
      <c r="N523" s="2204"/>
      <c r="O523" s="2204"/>
      <c r="P523" s="2204"/>
      <c r="Q523" s="2204"/>
      <c r="R523" s="2204"/>
      <c r="S523" s="2204"/>
      <c r="T523" s="2204"/>
    </row>
    <row r="524" spans="1:20">
      <c r="A524" s="2204"/>
      <c r="B524" s="2204"/>
      <c r="C524" s="2204"/>
      <c r="D524" s="2204"/>
      <c r="E524" s="2204"/>
      <c r="F524" s="2204"/>
      <c r="G524" s="2204"/>
      <c r="H524" s="2204"/>
      <c r="I524" s="2205"/>
      <c r="J524" s="2204"/>
      <c r="K524" s="2204"/>
      <c r="L524" s="2204"/>
      <c r="M524" s="2204"/>
      <c r="N524" s="2204"/>
      <c r="O524" s="2204"/>
      <c r="P524" s="2204"/>
      <c r="Q524" s="2204"/>
      <c r="R524" s="2204"/>
      <c r="S524" s="2204"/>
      <c r="T524" s="2204"/>
    </row>
    <row r="525" spans="1:20">
      <c r="A525" s="2204"/>
      <c r="B525" s="2204"/>
      <c r="C525" s="2204"/>
      <c r="D525" s="2204"/>
      <c r="E525" s="2204"/>
      <c r="F525" s="2204"/>
      <c r="G525" s="2204"/>
      <c r="H525" s="2204"/>
      <c r="I525" s="2205"/>
      <c r="J525" s="2204"/>
      <c r="K525" s="2204"/>
      <c r="L525" s="2204"/>
      <c r="M525" s="2204"/>
      <c r="N525" s="2204"/>
      <c r="O525" s="2204"/>
      <c r="P525" s="2204"/>
      <c r="Q525" s="2204"/>
      <c r="R525" s="2204"/>
      <c r="S525" s="2204"/>
      <c r="T525" s="2204"/>
    </row>
    <row r="526" spans="1:20">
      <c r="A526" s="2204"/>
      <c r="B526" s="2204"/>
      <c r="C526" s="2204"/>
      <c r="D526" s="2204"/>
      <c r="E526" s="2204"/>
      <c r="F526" s="2204"/>
      <c r="G526" s="2204"/>
      <c r="H526" s="2204"/>
      <c r="I526" s="2205"/>
      <c r="J526" s="2204"/>
      <c r="K526" s="2204"/>
      <c r="L526" s="2204"/>
      <c r="M526" s="2204"/>
      <c r="N526" s="2204"/>
      <c r="O526" s="2204"/>
      <c r="P526" s="2204"/>
      <c r="Q526" s="2204"/>
      <c r="R526" s="2204"/>
      <c r="S526" s="2204"/>
      <c r="T526" s="2204"/>
    </row>
    <row r="527" spans="1:20">
      <c r="A527" s="2204"/>
      <c r="B527" s="2204"/>
      <c r="C527" s="2204"/>
      <c r="D527" s="2204"/>
      <c r="E527" s="2204"/>
      <c r="F527" s="2204"/>
      <c r="G527" s="2204"/>
      <c r="H527" s="2204"/>
      <c r="I527" s="2205"/>
      <c r="J527" s="2204"/>
      <c r="K527" s="2204"/>
      <c r="L527" s="2204"/>
      <c r="M527" s="2204"/>
      <c r="N527" s="2204"/>
      <c r="O527" s="2204"/>
      <c r="P527" s="2204"/>
      <c r="Q527" s="2204"/>
      <c r="R527" s="2204"/>
      <c r="S527" s="2204"/>
      <c r="T527" s="2204"/>
    </row>
    <row r="528" spans="1:20">
      <c r="A528" s="2204"/>
      <c r="B528" s="2204"/>
      <c r="C528" s="2204"/>
      <c r="D528" s="2204"/>
      <c r="E528" s="2204"/>
      <c r="F528" s="2204"/>
      <c r="G528" s="2204"/>
      <c r="H528" s="2204"/>
      <c r="I528" s="2205"/>
      <c r="J528" s="2204"/>
      <c r="K528" s="2204"/>
      <c r="L528" s="2204"/>
      <c r="M528" s="2204"/>
      <c r="N528" s="2204"/>
      <c r="O528" s="2204"/>
      <c r="P528" s="2204"/>
      <c r="Q528" s="2204"/>
      <c r="R528" s="2204"/>
      <c r="S528" s="2204"/>
      <c r="T528" s="2204"/>
    </row>
    <row r="529" spans="1:20">
      <c r="A529" s="2204"/>
      <c r="B529" s="2204"/>
      <c r="C529" s="2204"/>
      <c r="D529" s="2204"/>
      <c r="E529" s="2204"/>
      <c r="F529" s="2204"/>
      <c r="G529" s="2204"/>
      <c r="H529" s="2204"/>
      <c r="I529" s="2205"/>
      <c r="J529" s="2204"/>
      <c r="K529" s="2204"/>
      <c r="L529" s="2204"/>
      <c r="M529" s="2204"/>
      <c r="N529" s="2204"/>
      <c r="O529" s="2204"/>
      <c r="P529" s="2204"/>
      <c r="Q529" s="2204"/>
      <c r="R529" s="2204"/>
      <c r="S529" s="2204"/>
      <c r="T529" s="2204"/>
    </row>
    <row r="530" spans="1:20">
      <c r="A530" s="2204"/>
      <c r="B530" s="2204"/>
      <c r="C530" s="2204"/>
      <c r="D530" s="2204"/>
      <c r="E530" s="2204"/>
      <c r="F530" s="2204"/>
      <c r="G530" s="2204"/>
      <c r="H530" s="2204"/>
      <c r="I530" s="2205"/>
      <c r="J530" s="2204"/>
      <c r="K530" s="2204"/>
      <c r="L530" s="2204"/>
      <c r="M530" s="2204"/>
      <c r="N530" s="2204"/>
      <c r="O530" s="2204"/>
      <c r="P530" s="2204"/>
      <c r="Q530" s="2204"/>
      <c r="R530" s="2204"/>
      <c r="S530" s="2204"/>
      <c r="T530" s="2204"/>
    </row>
    <row r="531" spans="1:20">
      <c r="A531" s="2204"/>
      <c r="B531" s="2204"/>
      <c r="C531" s="2204"/>
      <c r="D531" s="2204"/>
      <c r="E531" s="2204"/>
      <c r="F531" s="2204"/>
      <c r="G531" s="2204"/>
      <c r="H531" s="2204"/>
      <c r="I531" s="2205"/>
      <c r="J531" s="2204"/>
      <c r="K531" s="2204"/>
      <c r="L531" s="2204"/>
      <c r="M531" s="2204"/>
      <c r="N531" s="2204"/>
      <c r="O531" s="2204"/>
      <c r="P531" s="2204"/>
      <c r="Q531" s="2204"/>
      <c r="R531" s="2204"/>
      <c r="S531" s="2204"/>
      <c r="T531" s="2204"/>
    </row>
    <row r="532" spans="1:20">
      <c r="A532" s="2204"/>
      <c r="B532" s="2204"/>
      <c r="C532" s="2204"/>
      <c r="D532" s="2204"/>
      <c r="E532" s="2204"/>
      <c r="F532" s="2204"/>
      <c r="G532" s="2204"/>
      <c r="H532" s="2204"/>
      <c r="I532" s="2205"/>
      <c r="J532" s="2204"/>
      <c r="K532" s="2204"/>
      <c r="L532" s="2204"/>
      <c r="M532" s="2204"/>
      <c r="N532" s="2204"/>
      <c r="O532" s="2204"/>
      <c r="P532" s="2204"/>
      <c r="Q532" s="2204"/>
      <c r="R532" s="2204"/>
      <c r="S532" s="2204"/>
      <c r="T532" s="2204"/>
    </row>
    <row r="533" spans="1:20">
      <c r="A533" s="2204"/>
      <c r="B533" s="2204"/>
      <c r="C533" s="2204"/>
      <c r="D533" s="2204"/>
      <c r="E533" s="2204"/>
      <c r="F533" s="2204"/>
      <c r="G533" s="2204"/>
      <c r="H533" s="2204"/>
      <c r="I533" s="2205"/>
      <c r="J533" s="2204"/>
      <c r="K533" s="2204"/>
      <c r="L533" s="2204"/>
      <c r="M533" s="2204"/>
      <c r="N533" s="2204"/>
      <c r="O533" s="2204"/>
      <c r="P533" s="2204"/>
      <c r="Q533" s="2204"/>
      <c r="R533" s="2204"/>
      <c r="S533" s="2204"/>
      <c r="T533" s="2204"/>
    </row>
    <row r="534" spans="1:20">
      <c r="A534" s="2204"/>
      <c r="B534" s="2204"/>
      <c r="C534" s="2204"/>
      <c r="D534" s="2204"/>
      <c r="E534" s="2204"/>
      <c r="F534" s="2204"/>
      <c r="G534" s="2204"/>
      <c r="H534" s="2204"/>
      <c r="I534" s="2205"/>
      <c r="J534" s="2204"/>
      <c r="K534" s="2204"/>
      <c r="L534" s="2204"/>
      <c r="M534" s="2204"/>
      <c r="N534" s="2204"/>
      <c r="O534" s="2204"/>
      <c r="P534" s="2204"/>
      <c r="Q534" s="2204"/>
      <c r="R534" s="2204"/>
      <c r="S534" s="2204"/>
      <c r="T534" s="2204"/>
    </row>
    <row r="535" spans="1:20">
      <c r="A535" s="2204"/>
      <c r="B535" s="2204"/>
      <c r="C535" s="2204"/>
      <c r="D535" s="2204"/>
      <c r="E535" s="2204"/>
      <c r="F535" s="2204"/>
      <c r="G535" s="2204"/>
      <c r="H535" s="2204"/>
      <c r="I535" s="2205"/>
      <c r="J535" s="2204"/>
      <c r="K535" s="2204"/>
      <c r="L535" s="2204"/>
      <c r="M535" s="2204"/>
      <c r="N535" s="2204"/>
      <c r="O535" s="2204"/>
      <c r="P535" s="2204"/>
      <c r="Q535" s="2204"/>
      <c r="R535" s="2204"/>
      <c r="S535" s="2204"/>
      <c r="T535" s="2204"/>
    </row>
    <row r="536" spans="1:20">
      <c r="A536" s="2204"/>
      <c r="B536" s="2204"/>
      <c r="C536" s="2204"/>
      <c r="D536" s="2204"/>
      <c r="E536" s="2204"/>
      <c r="F536" s="2204"/>
      <c r="G536" s="2204"/>
      <c r="H536" s="2204"/>
      <c r="I536" s="2205"/>
      <c r="J536" s="2204"/>
      <c r="K536" s="2204"/>
      <c r="L536" s="2204"/>
      <c r="M536" s="2204"/>
      <c r="N536" s="2204"/>
      <c r="O536" s="2204"/>
      <c r="P536" s="2204"/>
      <c r="Q536" s="2204"/>
      <c r="R536" s="2204"/>
      <c r="S536" s="2204"/>
      <c r="T536" s="2204"/>
    </row>
    <row r="537" spans="1:20">
      <c r="A537" s="2204"/>
      <c r="B537" s="2204"/>
      <c r="C537" s="2204"/>
      <c r="D537" s="2204"/>
      <c r="E537" s="2204"/>
      <c r="F537" s="2204"/>
      <c r="G537" s="2204"/>
      <c r="H537" s="2204"/>
      <c r="I537" s="2205"/>
      <c r="J537" s="2204"/>
      <c r="K537" s="2204"/>
      <c r="L537" s="2204"/>
      <c r="M537" s="2204"/>
      <c r="N537" s="2204"/>
      <c r="O537" s="2204"/>
      <c r="P537" s="2204"/>
      <c r="Q537" s="2204"/>
      <c r="R537" s="2204"/>
      <c r="S537" s="2204"/>
      <c r="T537" s="2204"/>
    </row>
    <row r="538" spans="1:20">
      <c r="A538" s="2204"/>
      <c r="B538" s="2204"/>
      <c r="C538" s="2204"/>
      <c r="D538" s="2204"/>
      <c r="E538" s="2204"/>
      <c r="F538" s="2204"/>
      <c r="G538" s="2204"/>
      <c r="H538" s="2204"/>
      <c r="I538" s="2205"/>
      <c r="J538" s="2204"/>
      <c r="K538" s="2204"/>
      <c r="L538" s="2204"/>
      <c r="M538" s="2204"/>
      <c r="N538" s="2204"/>
      <c r="O538" s="2204"/>
      <c r="P538" s="2204"/>
      <c r="Q538" s="2204"/>
      <c r="R538" s="2204"/>
      <c r="S538" s="2204"/>
      <c r="T538" s="2204"/>
    </row>
    <row r="539" spans="1:20">
      <c r="A539" s="2204"/>
      <c r="B539" s="2204"/>
      <c r="C539" s="2204"/>
      <c r="D539" s="2204"/>
      <c r="E539" s="2204"/>
      <c r="F539" s="2204"/>
      <c r="G539" s="2204"/>
      <c r="H539" s="2204"/>
      <c r="I539" s="2205"/>
      <c r="J539" s="2204"/>
      <c r="K539" s="2204"/>
      <c r="L539" s="2204"/>
      <c r="M539" s="2204"/>
      <c r="N539" s="2204"/>
      <c r="O539" s="2204"/>
      <c r="P539" s="2204"/>
      <c r="Q539" s="2204"/>
      <c r="R539" s="2204"/>
      <c r="S539" s="2204"/>
      <c r="T539" s="2204"/>
    </row>
    <row r="540" spans="1:20">
      <c r="A540" s="2204"/>
      <c r="B540" s="2204"/>
      <c r="C540" s="2204"/>
      <c r="D540" s="2204"/>
      <c r="E540" s="2204"/>
      <c r="F540" s="2204"/>
      <c r="G540" s="2204"/>
      <c r="H540" s="2204"/>
      <c r="I540" s="2205"/>
      <c r="J540" s="2204"/>
      <c r="K540" s="2204"/>
      <c r="L540" s="2204"/>
      <c r="M540" s="2204"/>
      <c r="N540" s="2204"/>
      <c r="O540" s="2204"/>
      <c r="P540" s="2204"/>
      <c r="Q540" s="2204"/>
      <c r="R540" s="2204"/>
      <c r="S540" s="2204"/>
      <c r="T540" s="2204"/>
    </row>
    <row r="541" spans="1:20">
      <c r="A541" s="2204"/>
      <c r="B541" s="2204"/>
      <c r="C541" s="2204"/>
      <c r="D541" s="2204"/>
      <c r="E541" s="2204"/>
      <c r="F541" s="2204"/>
      <c r="G541" s="2204"/>
      <c r="H541" s="2204"/>
      <c r="I541" s="2205"/>
      <c r="J541" s="2204"/>
      <c r="K541" s="2204"/>
      <c r="L541" s="2204"/>
      <c r="M541" s="2204"/>
      <c r="N541" s="2204"/>
      <c r="O541" s="2204"/>
      <c r="P541" s="2204"/>
      <c r="Q541" s="2204"/>
      <c r="R541" s="2204"/>
      <c r="S541" s="2204"/>
      <c r="T541" s="2204"/>
    </row>
    <row r="542" spans="1:20">
      <c r="A542" s="2204"/>
      <c r="B542" s="2204"/>
      <c r="C542" s="2204"/>
      <c r="D542" s="2204"/>
      <c r="E542" s="2204"/>
      <c r="F542" s="2204"/>
      <c r="G542" s="2204"/>
      <c r="H542" s="2204"/>
      <c r="I542" s="2205"/>
      <c r="J542" s="2204"/>
      <c r="K542" s="2204"/>
      <c r="L542" s="2204"/>
      <c r="M542" s="2204"/>
      <c r="N542" s="2204"/>
      <c r="O542" s="2204"/>
      <c r="P542" s="2204"/>
      <c r="Q542" s="2204"/>
      <c r="R542" s="2204"/>
      <c r="S542" s="2204"/>
      <c r="T542" s="2204"/>
    </row>
    <row r="543" spans="1:20">
      <c r="A543" s="2204"/>
      <c r="B543" s="2204"/>
      <c r="C543" s="2204"/>
      <c r="D543" s="2204"/>
      <c r="E543" s="2204"/>
      <c r="F543" s="2204"/>
      <c r="G543" s="2204"/>
      <c r="H543" s="2204"/>
      <c r="I543" s="2205"/>
      <c r="J543" s="2204"/>
      <c r="K543" s="2204"/>
      <c r="L543" s="2204"/>
      <c r="M543" s="2204"/>
      <c r="N543" s="2204"/>
      <c r="O543" s="2204"/>
      <c r="P543" s="2204"/>
      <c r="Q543" s="2204"/>
      <c r="R543" s="2204"/>
      <c r="S543" s="2204"/>
      <c r="T543" s="2204"/>
    </row>
    <row r="544" spans="1:20">
      <c r="A544" s="2204"/>
      <c r="B544" s="2204"/>
      <c r="C544" s="2204"/>
      <c r="D544" s="2204"/>
      <c r="E544" s="2204"/>
      <c r="F544" s="2204"/>
      <c r="G544" s="2204"/>
      <c r="H544" s="2204"/>
      <c r="I544" s="2205"/>
      <c r="J544" s="2204"/>
      <c r="K544" s="2204"/>
      <c r="L544" s="2204"/>
      <c r="M544" s="2204"/>
      <c r="N544" s="2204"/>
      <c r="O544" s="2204"/>
      <c r="P544" s="2204"/>
      <c r="Q544" s="2204"/>
      <c r="R544" s="2204"/>
      <c r="S544" s="2204"/>
      <c r="T544" s="2204"/>
    </row>
    <row r="545" spans="1:20">
      <c r="A545" s="2204"/>
      <c r="B545" s="2204"/>
      <c r="C545" s="2204"/>
      <c r="D545" s="2204"/>
      <c r="E545" s="2204"/>
      <c r="F545" s="2204"/>
      <c r="G545" s="2204"/>
      <c r="H545" s="2204"/>
      <c r="I545" s="2205"/>
      <c r="J545" s="2204"/>
      <c r="K545" s="2204"/>
      <c r="L545" s="2204"/>
      <c r="M545" s="2204"/>
      <c r="N545" s="2204"/>
      <c r="O545" s="2204"/>
      <c r="P545" s="2204"/>
      <c r="Q545" s="2204"/>
      <c r="R545" s="2204"/>
      <c r="S545" s="2204"/>
      <c r="T545" s="2204"/>
    </row>
    <row r="546" spans="1:20">
      <c r="A546" s="2204"/>
      <c r="B546" s="2204"/>
      <c r="C546" s="2204"/>
      <c r="D546" s="2204"/>
      <c r="E546" s="2204"/>
      <c r="F546" s="2204"/>
      <c r="G546" s="2204"/>
      <c r="H546" s="2204"/>
      <c r="I546" s="2205"/>
      <c r="J546" s="2204"/>
      <c r="K546" s="2204"/>
      <c r="L546" s="2204"/>
      <c r="M546" s="2204"/>
      <c r="N546" s="2204"/>
      <c r="O546" s="2204"/>
      <c r="P546" s="2204"/>
      <c r="Q546" s="2204"/>
      <c r="R546" s="2204"/>
      <c r="S546" s="2204"/>
      <c r="T546" s="2204"/>
    </row>
    <row r="547" spans="1:20">
      <c r="A547" s="2204"/>
      <c r="B547" s="2204"/>
      <c r="C547" s="2204"/>
      <c r="D547" s="2204"/>
      <c r="E547" s="2204"/>
      <c r="F547" s="2204"/>
      <c r="G547" s="2204"/>
      <c r="H547" s="2204"/>
      <c r="I547" s="2205"/>
      <c r="J547" s="2204"/>
      <c r="K547" s="2204"/>
      <c r="L547" s="2204"/>
      <c r="M547" s="2204"/>
      <c r="N547" s="2204"/>
      <c r="O547" s="2204"/>
      <c r="P547" s="2204"/>
      <c r="Q547" s="2204"/>
      <c r="R547" s="2204"/>
      <c r="S547" s="2204"/>
      <c r="T547" s="2204"/>
    </row>
    <row r="548" spans="1:20">
      <c r="A548" s="2204"/>
      <c r="B548" s="2204"/>
      <c r="C548" s="2204"/>
      <c r="D548" s="2204"/>
      <c r="E548" s="2204"/>
      <c r="F548" s="2204"/>
      <c r="G548" s="2204"/>
      <c r="H548" s="2204"/>
      <c r="I548" s="2205"/>
      <c r="J548" s="2204"/>
      <c r="K548" s="2204"/>
      <c r="L548" s="2204"/>
      <c r="M548" s="2204"/>
      <c r="N548" s="2204"/>
      <c r="O548" s="2204"/>
      <c r="P548" s="2204"/>
      <c r="Q548" s="2204"/>
      <c r="R548" s="2204"/>
      <c r="S548" s="2204"/>
      <c r="T548" s="2204"/>
    </row>
    <row r="549" spans="1:20">
      <c r="A549" s="2204"/>
      <c r="B549" s="2204"/>
      <c r="C549" s="2204"/>
      <c r="D549" s="2204"/>
      <c r="E549" s="2204"/>
      <c r="F549" s="2204"/>
      <c r="G549" s="2204"/>
      <c r="H549" s="2204"/>
      <c r="I549" s="2205"/>
      <c r="J549" s="2204"/>
      <c r="K549" s="2204"/>
      <c r="L549" s="2204"/>
      <c r="M549" s="2204"/>
      <c r="N549" s="2204"/>
      <c r="O549" s="2204"/>
      <c r="P549" s="2204"/>
      <c r="Q549" s="2204"/>
      <c r="R549" s="2204"/>
      <c r="S549" s="2204"/>
      <c r="T549" s="2204"/>
    </row>
    <row r="550" spans="1:20">
      <c r="A550" s="2204"/>
      <c r="B550" s="2204"/>
      <c r="C550" s="2204"/>
      <c r="D550" s="2204"/>
      <c r="E550" s="2204"/>
      <c r="F550" s="2204"/>
      <c r="G550" s="2204"/>
      <c r="H550" s="2204"/>
      <c r="I550" s="2205"/>
      <c r="J550" s="2204"/>
      <c r="K550" s="2204"/>
      <c r="L550" s="2204"/>
      <c r="M550" s="2204"/>
      <c r="N550" s="2204"/>
      <c r="O550" s="2204"/>
      <c r="P550" s="2204"/>
      <c r="Q550" s="2204"/>
      <c r="R550" s="2204"/>
      <c r="S550" s="2204"/>
      <c r="T550" s="2204"/>
    </row>
    <row r="551" spans="1:20">
      <c r="A551" s="2204"/>
      <c r="B551" s="2204"/>
      <c r="C551" s="2204"/>
      <c r="D551" s="2204"/>
      <c r="E551" s="2204"/>
      <c r="F551" s="2204"/>
      <c r="G551" s="2204"/>
      <c r="H551" s="2204"/>
      <c r="I551" s="2205"/>
      <c r="J551" s="2204"/>
      <c r="K551" s="2204"/>
      <c r="L551" s="2204"/>
      <c r="M551" s="2204"/>
      <c r="N551" s="2204"/>
      <c r="O551" s="2204"/>
      <c r="P551" s="2204"/>
      <c r="Q551" s="2204"/>
      <c r="R551" s="2204"/>
      <c r="S551" s="2204"/>
      <c r="T551" s="2204"/>
    </row>
    <row r="552" spans="1:20">
      <c r="A552" s="2204"/>
      <c r="B552" s="2204"/>
      <c r="C552" s="2204"/>
      <c r="D552" s="2204"/>
      <c r="E552" s="2204"/>
      <c r="F552" s="2204"/>
      <c r="G552" s="2204"/>
      <c r="H552" s="2204"/>
      <c r="I552" s="2205"/>
      <c r="J552" s="2204"/>
      <c r="K552" s="2204"/>
      <c r="L552" s="2204"/>
      <c r="M552" s="2204"/>
      <c r="N552" s="2204"/>
      <c r="O552" s="2204"/>
      <c r="P552" s="2204"/>
      <c r="Q552" s="2204"/>
      <c r="R552" s="2204"/>
      <c r="S552" s="2204"/>
      <c r="T552" s="2204"/>
    </row>
    <row r="553" spans="1:20">
      <c r="A553" s="2204"/>
      <c r="B553" s="2204"/>
      <c r="C553" s="2204"/>
      <c r="D553" s="2204"/>
      <c r="E553" s="2204"/>
      <c r="F553" s="2204"/>
      <c r="G553" s="2204"/>
      <c r="H553" s="2204"/>
      <c r="I553" s="2205"/>
      <c r="J553" s="2204"/>
      <c r="K553" s="2204"/>
      <c r="L553" s="2204"/>
      <c r="M553" s="2204"/>
      <c r="N553" s="2204"/>
      <c r="O553" s="2204"/>
      <c r="P553" s="2204"/>
      <c r="Q553" s="2204"/>
      <c r="R553" s="2204"/>
      <c r="S553" s="2204"/>
      <c r="T553" s="2204"/>
    </row>
    <row r="554" spans="1:20">
      <c r="A554" s="2204"/>
      <c r="B554" s="2204"/>
      <c r="C554" s="2204"/>
      <c r="D554" s="2204"/>
      <c r="E554" s="2204"/>
      <c r="F554" s="2204"/>
      <c r="G554" s="2204"/>
      <c r="H554" s="2204"/>
      <c r="I554" s="2205"/>
      <c r="J554" s="2204"/>
      <c r="K554" s="2204"/>
      <c r="L554" s="2204"/>
      <c r="M554" s="2204"/>
      <c r="N554" s="2204"/>
      <c r="O554" s="2204"/>
      <c r="P554" s="2204"/>
      <c r="Q554" s="2204"/>
      <c r="R554" s="2204"/>
      <c r="S554" s="2204"/>
      <c r="T554" s="2204"/>
    </row>
    <row r="555" spans="1:20">
      <c r="A555" s="2204"/>
      <c r="B555" s="2204"/>
      <c r="C555" s="2204"/>
      <c r="D555" s="2204"/>
      <c r="E555" s="2204"/>
      <c r="F555" s="2204"/>
      <c r="G555" s="2204"/>
      <c r="H555" s="2204"/>
      <c r="I555" s="2205"/>
      <c r="J555" s="2204"/>
      <c r="K555" s="2204"/>
      <c r="L555" s="2204"/>
      <c r="M555" s="2204"/>
      <c r="N555" s="2204"/>
      <c r="O555" s="2204"/>
      <c r="P555" s="2204"/>
      <c r="Q555" s="2204"/>
      <c r="R555" s="2204"/>
      <c r="S555" s="2204"/>
      <c r="T555" s="2204"/>
    </row>
    <row r="556" spans="1:20">
      <c r="A556" s="2204"/>
      <c r="B556" s="2204"/>
      <c r="C556" s="2204"/>
      <c r="D556" s="2204"/>
      <c r="E556" s="2204"/>
      <c r="F556" s="2204"/>
      <c r="G556" s="2204"/>
      <c r="H556" s="2204"/>
      <c r="I556" s="2205"/>
      <c r="J556" s="2204"/>
      <c r="K556" s="2204"/>
      <c r="L556" s="2204"/>
      <c r="M556" s="2204"/>
      <c r="N556" s="2204"/>
      <c r="O556" s="2204"/>
      <c r="P556" s="2204"/>
      <c r="Q556" s="2204"/>
      <c r="R556" s="2204"/>
      <c r="S556" s="2204"/>
      <c r="T556" s="2204"/>
    </row>
    <row r="557" spans="1:20">
      <c r="A557" s="2204"/>
      <c r="B557" s="2204"/>
      <c r="C557" s="2204"/>
      <c r="D557" s="2204"/>
      <c r="E557" s="2204"/>
      <c r="F557" s="2204"/>
      <c r="G557" s="2204"/>
      <c r="H557" s="2204"/>
      <c r="I557" s="2205"/>
      <c r="J557" s="2204"/>
      <c r="K557" s="2204"/>
      <c r="L557" s="2204"/>
      <c r="M557" s="2204"/>
      <c r="N557" s="2204"/>
      <c r="O557" s="2204"/>
      <c r="P557" s="2204"/>
      <c r="Q557" s="2204"/>
      <c r="R557" s="2204"/>
      <c r="S557" s="2204"/>
      <c r="T557" s="2204"/>
    </row>
    <row r="558" spans="1:20">
      <c r="A558" s="2204"/>
      <c r="B558" s="2204"/>
      <c r="C558" s="2204"/>
      <c r="D558" s="2204"/>
      <c r="E558" s="2204"/>
      <c r="F558" s="2204"/>
      <c r="G558" s="2204"/>
      <c r="H558" s="2204"/>
      <c r="I558" s="2205"/>
      <c r="J558" s="2204"/>
      <c r="K558" s="2204"/>
      <c r="L558" s="2204"/>
      <c r="M558" s="2204"/>
      <c r="N558" s="2204"/>
      <c r="O558" s="2204"/>
      <c r="P558" s="2204"/>
      <c r="Q558" s="2204"/>
      <c r="R558" s="2204"/>
      <c r="S558" s="2204"/>
      <c r="T558" s="2204"/>
    </row>
    <row r="559" spans="1:20">
      <c r="A559" s="2204"/>
      <c r="B559" s="2204"/>
      <c r="C559" s="2204"/>
      <c r="D559" s="2204"/>
      <c r="E559" s="2204"/>
      <c r="F559" s="2204"/>
      <c r="G559" s="2204"/>
      <c r="H559" s="2204"/>
      <c r="I559" s="2205"/>
      <c r="J559" s="2204"/>
      <c r="K559" s="2204"/>
      <c r="L559" s="2204"/>
      <c r="M559" s="2204"/>
      <c r="N559" s="2204"/>
      <c r="O559" s="2204"/>
      <c r="P559" s="2204"/>
      <c r="Q559" s="2204"/>
      <c r="R559" s="2204"/>
      <c r="S559" s="2204"/>
      <c r="T559" s="2204"/>
    </row>
    <row r="560" spans="1:20">
      <c r="A560" s="2204"/>
      <c r="B560" s="2204"/>
      <c r="C560" s="2204"/>
      <c r="D560" s="2204"/>
      <c r="E560" s="2204"/>
      <c r="F560" s="2204"/>
      <c r="G560" s="2204"/>
      <c r="H560" s="2204"/>
      <c r="I560" s="2205"/>
      <c r="J560" s="2204"/>
      <c r="K560" s="2204"/>
      <c r="L560" s="2204"/>
      <c r="M560" s="2204"/>
      <c r="N560" s="2204"/>
      <c r="O560" s="2204"/>
      <c r="P560" s="2204"/>
      <c r="Q560" s="2204"/>
      <c r="R560" s="2204"/>
      <c r="S560" s="2204"/>
      <c r="T560" s="2204"/>
    </row>
    <row r="561" spans="1:20">
      <c r="A561" s="2204"/>
      <c r="B561" s="2204"/>
      <c r="C561" s="2204"/>
      <c r="D561" s="2204"/>
      <c r="E561" s="2204"/>
      <c r="F561" s="2204"/>
      <c r="G561" s="2204"/>
      <c r="H561" s="2204"/>
      <c r="I561" s="2205"/>
      <c r="J561" s="2204"/>
      <c r="K561" s="2204"/>
      <c r="L561" s="2204"/>
      <c r="M561" s="2204"/>
      <c r="N561" s="2204"/>
      <c r="O561" s="2204"/>
      <c r="P561" s="2204"/>
      <c r="Q561" s="2204"/>
      <c r="R561" s="2204"/>
      <c r="S561" s="2204"/>
      <c r="T561" s="2204"/>
    </row>
    <row r="562" spans="1:20">
      <c r="A562" s="2204"/>
      <c r="B562" s="2204"/>
      <c r="C562" s="2204"/>
      <c r="D562" s="2204"/>
      <c r="E562" s="2204"/>
      <c r="F562" s="2204"/>
      <c r="G562" s="2204"/>
      <c r="H562" s="2204"/>
      <c r="I562" s="2205"/>
      <c r="J562" s="2204"/>
      <c r="K562" s="2204"/>
      <c r="L562" s="2204"/>
      <c r="M562" s="2204"/>
      <c r="N562" s="2204"/>
      <c r="O562" s="2204"/>
      <c r="P562" s="2204"/>
      <c r="Q562" s="2204"/>
      <c r="R562" s="2204"/>
      <c r="S562" s="2204"/>
      <c r="T562" s="2204"/>
    </row>
    <row r="563" spans="1:20">
      <c r="A563" s="2204"/>
      <c r="B563" s="2204"/>
      <c r="C563" s="2204"/>
      <c r="D563" s="2204"/>
      <c r="E563" s="2204"/>
      <c r="F563" s="2204"/>
      <c r="G563" s="2204"/>
      <c r="H563" s="2204"/>
      <c r="I563" s="2205"/>
      <c r="J563" s="2204"/>
      <c r="K563" s="2204"/>
      <c r="L563" s="2204"/>
      <c r="M563" s="2204"/>
      <c r="N563" s="2204"/>
      <c r="O563" s="2204"/>
      <c r="P563" s="2204"/>
      <c r="Q563" s="2204"/>
      <c r="R563" s="2204"/>
      <c r="S563" s="2204"/>
      <c r="T563" s="2204"/>
    </row>
    <row r="564" spans="1:20">
      <c r="A564" s="2204"/>
      <c r="B564" s="2204"/>
      <c r="C564" s="2204"/>
      <c r="D564" s="2204"/>
      <c r="E564" s="2204"/>
      <c r="F564" s="2204"/>
      <c r="G564" s="2204"/>
      <c r="H564" s="2204"/>
      <c r="I564" s="2205"/>
      <c r="J564" s="2204"/>
      <c r="K564" s="2204"/>
      <c r="L564" s="2204"/>
      <c r="M564" s="2204"/>
      <c r="N564" s="2204"/>
      <c r="O564" s="2204"/>
      <c r="P564" s="2204"/>
      <c r="Q564" s="2204"/>
      <c r="R564" s="2204"/>
      <c r="S564" s="2204"/>
      <c r="T564" s="2204"/>
    </row>
    <row r="565" spans="1:20">
      <c r="A565" s="2204"/>
      <c r="B565" s="2204"/>
      <c r="C565" s="2204"/>
      <c r="D565" s="2204"/>
      <c r="E565" s="2204"/>
      <c r="F565" s="2204"/>
      <c r="G565" s="2204"/>
      <c r="H565" s="2204"/>
      <c r="I565" s="2205"/>
      <c r="J565" s="2204"/>
      <c r="K565" s="2204"/>
      <c r="L565" s="2204"/>
      <c r="M565" s="2204"/>
      <c r="N565" s="2204"/>
      <c r="O565" s="2204"/>
      <c r="P565" s="2204"/>
      <c r="Q565" s="2204"/>
      <c r="R565" s="2204"/>
      <c r="S565" s="2204"/>
      <c r="T565" s="2204"/>
    </row>
    <row r="566" spans="1:20">
      <c r="A566" s="2204"/>
      <c r="B566" s="2204"/>
      <c r="C566" s="2204"/>
      <c r="D566" s="2204"/>
      <c r="E566" s="2204"/>
      <c r="F566" s="2204"/>
      <c r="G566" s="2204"/>
      <c r="H566" s="2204"/>
      <c r="I566" s="2205"/>
      <c r="J566" s="2204"/>
      <c r="K566" s="2204"/>
      <c r="L566" s="2204"/>
      <c r="M566" s="2204"/>
      <c r="N566" s="2204"/>
      <c r="O566" s="2204"/>
      <c r="P566" s="2204"/>
      <c r="Q566" s="2204"/>
      <c r="R566" s="2204"/>
      <c r="S566" s="2204"/>
      <c r="T566" s="2204"/>
    </row>
    <row r="567" spans="1:20">
      <c r="A567" s="2204"/>
      <c r="B567" s="2204"/>
      <c r="C567" s="2204"/>
      <c r="D567" s="2204"/>
      <c r="E567" s="2204"/>
      <c r="F567" s="2204"/>
      <c r="G567" s="2204"/>
      <c r="H567" s="2204"/>
      <c r="I567" s="2205"/>
      <c r="J567" s="2204"/>
      <c r="K567" s="2204"/>
      <c r="L567" s="2204"/>
      <c r="M567" s="2204"/>
      <c r="N567" s="2204"/>
      <c r="O567" s="2204"/>
      <c r="P567" s="2204"/>
      <c r="Q567" s="2204"/>
      <c r="R567" s="2204"/>
      <c r="S567" s="2204"/>
      <c r="T567" s="2204"/>
    </row>
    <row r="568" spans="1:20">
      <c r="A568" s="2204"/>
      <c r="B568" s="2204"/>
      <c r="C568" s="2204"/>
      <c r="D568" s="2204"/>
      <c r="E568" s="2204"/>
      <c r="F568" s="2204"/>
      <c r="G568" s="2204"/>
      <c r="H568" s="2204"/>
      <c r="I568" s="2205"/>
      <c r="J568" s="2204"/>
      <c r="K568" s="2204"/>
      <c r="L568" s="2204"/>
      <c r="M568" s="2204"/>
      <c r="N568" s="2204"/>
      <c r="O568" s="2204"/>
      <c r="P568" s="2204"/>
      <c r="Q568" s="2204"/>
      <c r="R568" s="2204"/>
      <c r="S568" s="2204"/>
      <c r="T568" s="2204"/>
    </row>
    <row r="569" spans="1:20">
      <c r="A569" s="2204"/>
      <c r="B569" s="2204"/>
      <c r="C569" s="2204"/>
      <c r="D569" s="2204"/>
      <c r="E569" s="2204"/>
      <c r="F569" s="2204"/>
      <c r="G569" s="2204"/>
      <c r="H569" s="2204"/>
      <c r="I569" s="2205"/>
      <c r="J569" s="2204"/>
      <c r="K569" s="2204"/>
      <c r="L569" s="2204"/>
      <c r="M569" s="2204"/>
      <c r="N569" s="2204"/>
      <c r="O569" s="2204"/>
      <c r="P569" s="2204"/>
      <c r="Q569" s="2204"/>
      <c r="R569" s="2204"/>
      <c r="S569" s="2204"/>
      <c r="T569" s="2204"/>
    </row>
    <row r="570" spans="1:20">
      <c r="A570" s="2204"/>
      <c r="B570" s="2204"/>
      <c r="C570" s="2204"/>
      <c r="D570" s="2204"/>
      <c r="E570" s="2204"/>
      <c r="F570" s="2204"/>
      <c r="G570" s="2204"/>
      <c r="H570" s="2204"/>
      <c r="I570" s="2205"/>
      <c r="J570" s="2204"/>
      <c r="K570" s="2204"/>
      <c r="L570" s="2204"/>
      <c r="M570" s="2204"/>
      <c r="N570" s="2204"/>
      <c r="O570" s="2204"/>
      <c r="P570" s="2204"/>
      <c r="Q570" s="2204"/>
      <c r="R570" s="2204"/>
      <c r="S570" s="2204"/>
      <c r="T570" s="2204"/>
    </row>
    <row r="571" spans="1:20">
      <c r="A571" s="2204"/>
      <c r="B571" s="2204"/>
      <c r="C571" s="2204"/>
      <c r="D571" s="2204"/>
      <c r="E571" s="2204"/>
      <c r="F571" s="2204"/>
      <c r="G571" s="2204"/>
      <c r="H571" s="2204"/>
      <c r="I571" s="2205"/>
      <c r="J571" s="2204"/>
      <c r="K571" s="2204"/>
      <c r="L571" s="2204"/>
      <c r="M571" s="2204"/>
      <c r="N571" s="2204"/>
      <c r="O571" s="2204"/>
      <c r="P571" s="2204"/>
      <c r="Q571" s="2204"/>
      <c r="R571" s="2204"/>
      <c r="S571" s="2204"/>
      <c r="T571" s="2204"/>
    </row>
    <row r="572" spans="1:20">
      <c r="A572" s="2204"/>
      <c r="B572" s="2204"/>
      <c r="C572" s="2204"/>
      <c r="D572" s="2204"/>
      <c r="E572" s="2204"/>
      <c r="F572" s="2204"/>
      <c r="G572" s="2204"/>
      <c r="H572" s="2204"/>
      <c r="I572" s="2205"/>
      <c r="J572" s="2204"/>
      <c r="K572" s="2204"/>
      <c r="L572" s="2204"/>
      <c r="M572" s="2204"/>
      <c r="N572" s="2204"/>
      <c r="O572" s="2204"/>
      <c r="P572" s="2204"/>
      <c r="Q572" s="2204"/>
      <c r="R572" s="2204"/>
      <c r="S572" s="2204"/>
      <c r="T572" s="2204"/>
    </row>
    <row r="573" spans="1:20">
      <c r="A573" s="2204"/>
      <c r="B573" s="2204"/>
      <c r="C573" s="2204"/>
      <c r="D573" s="2204"/>
      <c r="E573" s="2204"/>
      <c r="F573" s="2204"/>
      <c r="G573" s="2204"/>
      <c r="H573" s="2204"/>
      <c r="I573" s="2205"/>
      <c r="J573" s="2204"/>
      <c r="K573" s="2204"/>
      <c r="L573" s="2204"/>
      <c r="M573" s="2204"/>
      <c r="N573" s="2204"/>
      <c r="O573" s="2204"/>
      <c r="P573" s="2204"/>
      <c r="Q573" s="2204"/>
      <c r="R573" s="2204"/>
      <c r="S573" s="2204"/>
      <c r="T573" s="2204"/>
    </row>
    <row r="574" spans="1:20">
      <c r="A574" s="2204"/>
      <c r="B574" s="2204"/>
      <c r="C574" s="2204"/>
      <c r="D574" s="2204"/>
      <c r="E574" s="2204"/>
      <c r="F574" s="2204"/>
      <c r="G574" s="2204"/>
      <c r="H574" s="2204"/>
      <c r="I574" s="2205"/>
      <c r="J574" s="2204"/>
      <c r="K574" s="2204"/>
      <c r="L574" s="2204"/>
      <c r="M574" s="2204"/>
      <c r="N574" s="2204"/>
      <c r="O574" s="2204"/>
      <c r="P574" s="2204"/>
      <c r="Q574" s="2204"/>
      <c r="R574" s="2204"/>
      <c r="S574" s="2204"/>
      <c r="T574" s="2204"/>
    </row>
    <row r="575" spans="1:20">
      <c r="A575" s="2204"/>
      <c r="B575" s="2204"/>
      <c r="C575" s="2204"/>
      <c r="D575" s="2204"/>
      <c r="E575" s="2204"/>
      <c r="F575" s="2204"/>
      <c r="G575" s="2204"/>
      <c r="H575" s="2204"/>
      <c r="I575" s="2205"/>
      <c r="J575" s="2204"/>
      <c r="K575" s="2204"/>
      <c r="L575" s="2204"/>
      <c r="M575" s="2204"/>
      <c r="N575" s="2204"/>
      <c r="O575" s="2204"/>
      <c r="P575" s="2204"/>
      <c r="Q575" s="2204"/>
      <c r="R575" s="2204"/>
      <c r="S575" s="2204"/>
      <c r="T575" s="2204"/>
    </row>
    <row r="576" spans="1:20">
      <c r="A576" s="2204"/>
      <c r="B576" s="2204"/>
      <c r="C576" s="2204"/>
      <c r="D576" s="2204"/>
      <c r="E576" s="2204"/>
      <c r="F576" s="2204"/>
      <c r="G576" s="2204"/>
      <c r="H576" s="2204"/>
      <c r="I576" s="2205"/>
      <c r="J576" s="2204"/>
      <c r="K576" s="2204"/>
      <c r="L576" s="2204"/>
      <c r="M576" s="2204"/>
      <c r="N576" s="2204"/>
      <c r="O576" s="2204"/>
      <c r="P576" s="2204"/>
      <c r="Q576" s="2204"/>
      <c r="R576" s="2204"/>
      <c r="S576" s="2204"/>
      <c r="T576" s="2204"/>
    </row>
    <row r="577" spans="1:20">
      <c r="A577" s="2204"/>
      <c r="B577" s="2204"/>
      <c r="C577" s="2204"/>
      <c r="D577" s="2204"/>
      <c r="E577" s="2204"/>
      <c r="F577" s="2204"/>
      <c r="G577" s="2204"/>
      <c r="H577" s="2204"/>
      <c r="I577" s="2205"/>
      <c r="J577" s="2204"/>
      <c r="K577" s="2204"/>
      <c r="L577" s="2204"/>
      <c r="M577" s="2204"/>
      <c r="N577" s="2204"/>
      <c r="O577" s="2204"/>
      <c r="P577" s="2204"/>
      <c r="Q577" s="2204"/>
      <c r="R577" s="2204"/>
      <c r="S577" s="2204"/>
      <c r="T577" s="2204"/>
    </row>
    <row r="578" spans="1:20">
      <c r="A578" s="2204"/>
      <c r="B578" s="2204"/>
      <c r="C578" s="2204"/>
      <c r="D578" s="2204"/>
      <c r="E578" s="2204"/>
      <c r="F578" s="2204"/>
      <c r="G578" s="2204"/>
      <c r="H578" s="2204"/>
      <c r="I578" s="2205"/>
      <c r="J578" s="2204"/>
      <c r="K578" s="2204"/>
      <c r="L578" s="2204"/>
      <c r="M578" s="2204"/>
      <c r="N578" s="2204"/>
      <c r="O578" s="2204"/>
      <c r="P578" s="2204"/>
      <c r="Q578" s="2204"/>
      <c r="R578" s="2204"/>
      <c r="S578" s="2204"/>
      <c r="T578" s="2204"/>
    </row>
    <row r="579" spans="1:20">
      <c r="A579" s="2204"/>
      <c r="B579" s="2204"/>
      <c r="C579" s="2204"/>
      <c r="D579" s="2204"/>
      <c r="E579" s="2204"/>
      <c r="F579" s="2204"/>
      <c r="G579" s="2204"/>
      <c r="H579" s="2204"/>
      <c r="I579" s="2205"/>
      <c r="J579" s="2204"/>
      <c r="K579" s="2204"/>
      <c r="L579" s="2204"/>
      <c r="M579" s="2204"/>
      <c r="N579" s="2204"/>
      <c r="O579" s="2204"/>
      <c r="P579" s="2204"/>
      <c r="Q579" s="2204"/>
      <c r="R579" s="2204"/>
      <c r="S579" s="2204"/>
      <c r="T579" s="2204"/>
    </row>
    <row r="580" spans="1:20">
      <c r="A580" s="2204"/>
      <c r="B580" s="2204"/>
      <c r="C580" s="2204"/>
      <c r="D580" s="2204"/>
      <c r="E580" s="2204"/>
      <c r="F580" s="2204"/>
      <c r="G580" s="2204"/>
      <c r="H580" s="2204"/>
      <c r="I580" s="2205"/>
      <c r="J580" s="2204"/>
      <c r="K580" s="2204"/>
      <c r="L580" s="2204"/>
      <c r="M580" s="2204"/>
      <c r="N580" s="2204"/>
      <c r="O580" s="2204"/>
      <c r="P580" s="2204"/>
      <c r="Q580" s="2204"/>
      <c r="R580" s="2204"/>
      <c r="S580" s="2204"/>
      <c r="T580" s="2204"/>
    </row>
    <row r="581" spans="1:20">
      <c r="A581" s="2204"/>
      <c r="B581" s="2204"/>
      <c r="C581" s="2204"/>
      <c r="D581" s="2204"/>
      <c r="E581" s="2204"/>
      <c r="F581" s="2204"/>
      <c r="G581" s="2204"/>
      <c r="H581" s="2204"/>
      <c r="I581" s="2205"/>
      <c r="J581" s="2204"/>
      <c r="K581" s="2204"/>
      <c r="L581" s="2204"/>
      <c r="M581" s="2204"/>
      <c r="N581" s="2204"/>
      <c r="O581" s="2204"/>
      <c r="P581" s="2204"/>
      <c r="Q581" s="2204"/>
      <c r="R581" s="2204"/>
      <c r="S581" s="2204"/>
      <c r="T581" s="2204"/>
    </row>
    <row r="582" spans="1:20">
      <c r="A582" s="2204"/>
      <c r="B582" s="2204"/>
      <c r="C582" s="2204"/>
      <c r="D582" s="2204"/>
      <c r="E582" s="2204"/>
      <c r="F582" s="2204"/>
      <c r="G582" s="2204"/>
      <c r="H582" s="2204"/>
      <c r="I582" s="2205"/>
      <c r="J582" s="2204"/>
      <c r="K582" s="2204"/>
      <c r="L582" s="2204"/>
      <c r="M582" s="2204"/>
      <c r="N582" s="2204"/>
      <c r="O582" s="2204"/>
      <c r="P582" s="2204"/>
      <c r="Q582" s="2204"/>
      <c r="R582" s="2204"/>
      <c r="S582" s="2204"/>
      <c r="T582" s="2204"/>
    </row>
    <row r="583" spans="1:20">
      <c r="A583" s="2204"/>
      <c r="B583" s="2204"/>
      <c r="C583" s="2204"/>
      <c r="D583" s="2204"/>
      <c r="E583" s="2204"/>
      <c r="F583" s="2204"/>
      <c r="G583" s="2204"/>
      <c r="H583" s="2204"/>
      <c r="I583" s="2205"/>
      <c r="J583" s="2204"/>
      <c r="K583" s="2204"/>
      <c r="L583" s="2204"/>
      <c r="M583" s="2204"/>
      <c r="N583" s="2204"/>
      <c r="O583" s="2204"/>
      <c r="P583" s="2204"/>
      <c r="Q583" s="2204"/>
      <c r="R583" s="2204"/>
      <c r="S583" s="2204"/>
      <c r="T583" s="2204"/>
    </row>
    <row r="584" spans="1:20">
      <c r="A584" s="2204"/>
      <c r="B584" s="2204"/>
      <c r="C584" s="2204"/>
      <c r="D584" s="2204"/>
      <c r="E584" s="2204"/>
      <c r="F584" s="2204"/>
      <c r="G584" s="2204"/>
      <c r="H584" s="2204"/>
      <c r="I584" s="2205"/>
      <c r="J584" s="2204"/>
      <c r="K584" s="2204"/>
      <c r="L584" s="2204"/>
      <c r="M584" s="2204"/>
      <c r="N584" s="2204"/>
      <c r="O584" s="2204"/>
      <c r="P584" s="2204"/>
      <c r="Q584" s="2204"/>
      <c r="R584" s="2204"/>
      <c r="S584" s="2204"/>
      <c r="T584" s="2204"/>
    </row>
    <row r="585" spans="1:20">
      <c r="A585" s="2204"/>
      <c r="B585" s="2204"/>
      <c r="C585" s="2204"/>
      <c r="D585" s="2204"/>
      <c r="E585" s="2204"/>
      <c r="F585" s="2204"/>
      <c r="G585" s="2204"/>
      <c r="H585" s="2204"/>
      <c r="I585" s="2205"/>
      <c r="J585" s="2204"/>
      <c r="K585" s="2204"/>
      <c r="L585" s="2204"/>
      <c r="M585" s="2204"/>
      <c r="N585" s="2204"/>
      <c r="O585" s="2204"/>
      <c r="P585" s="2204"/>
      <c r="Q585" s="2204"/>
      <c r="R585" s="2204"/>
      <c r="S585" s="2204"/>
      <c r="T585" s="2204"/>
    </row>
    <row r="586" spans="1:20">
      <c r="A586" s="2204"/>
      <c r="B586" s="2204"/>
      <c r="C586" s="2204"/>
      <c r="D586" s="2204"/>
      <c r="E586" s="2204"/>
      <c r="F586" s="2204"/>
      <c r="G586" s="2204"/>
      <c r="H586" s="2204"/>
      <c r="I586" s="2205"/>
      <c r="J586" s="2204"/>
      <c r="K586" s="2204"/>
      <c r="L586" s="2204"/>
      <c r="M586" s="2204"/>
      <c r="N586" s="2204"/>
      <c r="O586" s="2204"/>
      <c r="P586" s="2204"/>
      <c r="Q586" s="2204"/>
      <c r="R586" s="2204"/>
      <c r="S586" s="2204"/>
      <c r="T586" s="2204"/>
    </row>
    <row r="587" spans="1:20">
      <c r="A587" s="2204"/>
      <c r="B587" s="2204"/>
      <c r="C587" s="2204"/>
      <c r="D587" s="2204"/>
      <c r="E587" s="2204"/>
      <c r="F587" s="2204"/>
      <c r="G587" s="2204"/>
      <c r="H587" s="2204"/>
      <c r="I587" s="2205"/>
      <c r="J587" s="2204"/>
      <c r="K587" s="2204"/>
      <c r="L587" s="2204"/>
      <c r="M587" s="2204"/>
      <c r="N587" s="2204"/>
      <c r="O587" s="2204"/>
      <c r="P587" s="2204"/>
      <c r="Q587" s="2204"/>
      <c r="R587" s="2204"/>
      <c r="S587" s="2204"/>
      <c r="T587" s="2204"/>
    </row>
    <row r="588" spans="1:20">
      <c r="A588" s="2204"/>
      <c r="B588" s="2204"/>
      <c r="C588" s="2204"/>
      <c r="D588" s="2204"/>
      <c r="E588" s="2204"/>
      <c r="F588" s="2204"/>
      <c r="G588" s="2204"/>
      <c r="H588" s="2204"/>
      <c r="I588" s="2205"/>
      <c r="J588" s="2204"/>
      <c r="K588" s="2204"/>
      <c r="L588" s="2204"/>
      <c r="M588" s="2204"/>
      <c r="N588" s="2204"/>
      <c r="O588" s="2204"/>
      <c r="P588" s="2204"/>
      <c r="Q588" s="2204"/>
      <c r="R588" s="2204"/>
      <c r="S588" s="2204"/>
      <c r="T588" s="2204"/>
    </row>
    <row r="589" spans="1:20">
      <c r="A589" s="2204"/>
      <c r="B589" s="2204"/>
      <c r="C589" s="2204"/>
      <c r="D589" s="2204"/>
      <c r="E589" s="2204"/>
      <c r="F589" s="2204"/>
      <c r="G589" s="2204"/>
      <c r="H589" s="2204"/>
      <c r="I589" s="2205"/>
      <c r="J589" s="2204"/>
      <c r="K589" s="2204"/>
      <c r="L589" s="2204"/>
      <c r="M589" s="2204"/>
      <c r="N589" s="2204"/>
      <c r="O589" s="2204"/>
      <c r="P589" s="2204"/>
      <c r="Q589" s="2204"/>
      <c r="R589" s="2204"/>
      <c r="S589" s="2204"/>
      <c r="T589" s="2204"/>
    </row>
    <row r="590" spans="1:20">
      <c r="A590" s="2204"/>
      <c r="B590" s="2204"/>
      <c r="C590" s="2204"/>
      <c r="D590" s="2204"/>
      <c r="E590" s="2204"/>
      <c r="F590" s="2204"/>
      <c r="G590" s="2204"/>
      <c r="H590" s="2204"/>
      <c r="I590" s="2205"/>
      <c r="J590" s="2204"/>
      <c r="K590" s="2204"/>
      <c r="L590" s="2204"/>
      <c r="M590" s="2204"/>
      <c r="N590" s="2204"/>
      <c r="O590" s="2204"/>
      <c r="P590" s="2204"/>
      <c r="Q590" s="2204"/>
      <c r="R590" s="2204"/>
      <c r="S590" s="2204"/>
      <c r="T590" s="2204"/>
    </row>
    <row r="591" spans="1:20">
      <c r="A591" s="2204"/>
      <c r="B591" s="2204"/>
      <c r="C591" s="2204"/>
      <c r="D591" s="2204"/>
      <c r="E591" s="2204"/>
      <c r="F591" s="2204"/>
      <c r="G591" s="2204"/>
      <c r="H591" s="2204"/>
      <c r="I591" s="2205"/>
      <c r="J591" s="2204"/>
      <c r="K591" s="2204"/>
      <c r="L591" s="2204"/>
      <c r="M591" s="2204"/>
      <c r="N591" s="2204"/>
      <c r="O591" s="2204"/>
      <c r="P591" s="2204"/>
      <c r="Q591" s="2204"/>
      <c r="R591" s="2204"/>
      <c r="S591" s="2204"/>
      <c r="T591" s="2204"/>
    </row>
    <row r="592" spans="1:20">
      <c r="A592" s="2204"/>
      <c r="B592" s="2204"/>
      <c r="C592" s="2204"/>
      <c r="D592" s="2204"/>
      <c r="E592" s="2204"/>
      <c r="F592" s="2204"/>
      <c r="G592" s="2204"/>
      <c r="H592" s="2204"/>
      <c r="I592" s="2205"/>
      <c r="J592" s="2204"/>
      <c r="K592" s="2204"/>
      <c r="L592" s="2204"/>
      <c r="M592" s="2204"/>
      <c r="N592" s="2204"/>
      <c r="O592" s="2204"/>
      <c r="P592" s="2204"/>
      <c r="Q592" s="2204"/>
      <c r="R592" s="2204"/>
      <c r="S592" s="2204"/>
      <c r="T592" s="2204"/>
    </row>
    <row r="593" spans="1:20">
      <c r="A593" s="2204"/>
      <c r="B593" s="2204"/>
      <c r="C593" s="2204"/>
      <c r="D593" s="2204"/>
      <c r="E593" s="2204"/>
      <c r="F593" s="2204"/>
      <c r="G593" s="2204"/>
      <c r="H593" s="2204"/>
      <c r="I593" s="2205"/>
      <c r="J593" s="2204"/>
      <c r="K593" s="2204"/>
      <c r="L593" s="2204"/>
      <c r="M593" s="2204"/>
      <c r="N593" s="2204"/>
      <c r="O593" s="2204"/>
      <c r="P593" s="2204"/>
      <c r="Q593" s="2204"/>
      <c r="R593" s="2204"/>
      <c r="S593" s="2204"/>
      <c r="T593" s="2204"/>
    </row>
    <row r="594" spans="1:20">
      <c r="A594" s="2204"/>
      <c r="B594" s="2204"/>
      <c r="C594" s="2204"/>
      <c r="D594" s="2204"/>
      <c r="E594" s="2204"/>
      <c r="F594" s="2204"/>
      <c r="G594" s="2204"/>
      <c r="H594" s="2204"/>
      <c r="I594" s="2205"/>
      <c r="J594" s="2204"/>
      <c r="K594" s="2204"/>
      <c r="L594" s="2204"/>
      <c r="M594" s="2204"/>
      <c r="N594" s="2204"/>
      <c r="O594" s="2204"/>
      <c r="P594" s="2204"/>
      <c r="Q594" s="2204"/>
      <c r="R594" s="2204"/>
      <c r="S594" s="2204"/>
      <c r="T594" s="2204"/>
    </row>
    <row r="595" spans="1:20">
      <c r="A595" s="2204"/>
      <c r="B595" s="2204"/>
      <c r="C595" s="2204"/>
      <c r="D595" s="2204"/>
      <c r="E595" s="2204"/>
      <c r="F595" s="2204"/>
      <c r="G595" s="2204"/>
      <c r="H595" s="2204"/>
      <c r="I595" s="2205"/>
      <c r="J595" s="2204"/>
      <c r="K595" s="2204"/>
      <c r="L595" s="2204"/>
      <c r="M595" s="2204"/>
      <c r="N595" s="2204"/>
      <c r="O595" s="2204"/>
      <c r="P595" s="2204"/>
      <c r="Q595" s="2204"/>
      <c r="R595" s="2204"/>
      <c r="S595" s="2204"/>
      <c r="T595" s="2204"/>
    </row>
    <row r="596" spans="1:20">
      <c r="A596" s="2204"/>
      <c r="B596" s="2204"/>
      <c r="C596" s="2204"/>
      <c r="D596" s="2204"/>
      <c r="E596" s="2204"/>
      <c r="F596" s="2204"/>
      <c r="G596" s="2204"/>
      <c r="H596" s="2204"/>
      <c r="I596" s="2205"/>
      <c r="J596" s="2204"/>
      <c r="K596" s="2204"/>
      <c r="L596" s="2204"/>
      <c r="M596" s="2204"/>
      <c r="N596" s="2204"/>
      <c r="O596" s="2204"/>
      <c r="P596" s="2204"/>
      <c r="Q596" s="2204"/>
      <c r="R596" s="2204"/>
      <c r="S596" s="2204"/>
      <c r="T596" s="2204"/>
    </row>
    <row r="597" spans="1:20">
      <c r="A597" s="2204"/>
      <c r="B597" s="2204"/>
      <c r="C597" s="2204"/>
      <c r="D597" s="2204"/>
      <c r="E597" s="2204"/>
      <c r="F597" s="2204"/>
      <c r="G597" s="2204"/>
      <c r="H597" s="2204"/>
      <c r="I597" s="2205"/>
      <c r="J597" s="2204"/>
      <c r="K597" s="2204"/>
      <c r="L597" s="2204"/>
      <c r="M597" s="2204"/>
      <c r="N597" s="2204"/>
      <c r="O597" s="2204"/>
      <c r="P597" s="2204"/>
      <c r="Q597" s="2204"/>
      <c r="R597" s="2204"/>
      <c r="S597" s="2204"/>
      <c r="T597" s="2204"/>
    </row>
    <row r="598" spans="1:20">
      <c r="A598" s="2204"/>
      <c r="B598" s="2204"/>
      <c r="C598" s="2204"/>
      <c r="D598" s="2204"/>
      <c r="E598" s="2204"/>
      <c r="F598" s="2204"/>
      <c r="G598" s="2204"/>
      <c r="H598" s="2204"/>
      <c r="I598" s="2205"/>
      <c r="J598" s="2204"/>
      <c r="K598" s="2204"/>
      <c r="L598" s="2204"/>
      <c r="M598" s="2204"/>
      <c r="N598" s="2204"/>
      <c r="O598" s="2204"/>
      <c r="P598" s="2204"/>
      <c r="Q598" s="2204"/>
      <c r="R598" s="2204"/>
      <c r="S598" s="2204"/>
      <c r="T598" s="2204"/>
    </row>
    <row r="599" spans="1:20">
      <c r="A599" s="2204"/>
      <c r="B599" s="2204"/>
      <c r="C599" s="2204"/>
      <c r="D599" s="2204"/>
      <c r="E599" s="2204"/>
      <c r="F599" s="2204"/>
      <c r="G599" s="2204"/>
      <c r="H599" s="2204"/>
      <c r="I599" s="2205"/>
      <c r="J599" s="2204"/>
      <c r="K599" s="2204"/>
      <c r="L599" s="2204"/>
      <c r="M599" s="2204"/>
      <c r="N599" s="2204"/>
      <c r="O599" s="2204"/>
      <c r="P599" s="2204"/>
      <c r="Q599" s="2204"/>
      <c r="R599" s="2204"/>
      <c r="S599" s="2204"/>
      <c r="T599" s="2204"/>
    </row>
    <row r="600" spans="1:20">
      <c r="A600" s="2204"/>
      <c r="B600" s="2204"/>
      <c r="C600" s="2204"/>
      <c r="D600" s="2204"/>
      <c r="E600" s="2204"/>
      <c r="F600" s="2204"/>
      <c r="G600" s="2204"/>
      <c r="H600" s="2204"/>
      <c r="I600" s="2205"/>
      <c r="J600" s="2204"/>
      <c r="K600" s="2204"/>
      <c r="L600" s="2204"/>
      <c r="M600" s="2204"/>
      <c r="N600" s="2204"/>
      <c r="O600" s="2204"/>
      <c r="P600" s="2204"/>
      <c r="Q600" s="2204"/>
      <c r="R600" s="2204"/>
      <c r="S600" s="2204"/>
      <c r="T600" s="2204"/>
    </row>
    <row r="601" spans="1:20">
      <c r="A601" s="2204"/>
      <c r="B601" s="2204"/>
      <c r="C601" s="2204"/>
      <c r="D601" s="2204"/>
      <c r="E601" s="2204"/>
      <c r="F601" s="2204"/>
      <c r="G601" s="2204"/>
      <c r="H601" s="2204"/>
      <c r="I601" s="2205"/>
      <c r="J601" s="2204"/>
      <c r="K601" s="2204"/>
      <c r="L601" s="2204"/>
      <c r="M601" s="2204"/>
      <c r="N601" s="2204"/>
      <c r="O601" s="2204"/>
      <c r="P601" s="2204"/>
      <c r="Q601" s="2204"/>
      <c r="R601" s="2204"/>
      <c r="S601" s="2204"/>
      <c r="T601" s="2204"/>
    </row>
    <row r="602" spans="1:20">
      <c r="A602" s="2204"/>
      <c r="B602" s="2204"/>
      <c r="C602" s="2204"/>
      <c r="D602" s="2204"/>
      <c r="E602" s="2204"/>
      <c r="F602" s="2204"/>
      <c r="G602" s="2204"/>
      <c r="H602" s="2204"/>
      <c r="I602" s="2205"/>
      <c r="J602" s="2204"/>
      <c r="K602" s="2204"/>
      <c r="L602" s="2204"/>
      <c r="M602" s="2204"/>
      <c r="N602" s="2204"/>
      <c r="O602" s="2204"/>
      <c r="P602" s="2204"/>
      <c r="Q602" s="2204"/>
      <c r="R602" s="2204"/>
      <c r="S602" s="2204"/>
      <c r="T602" s="2204"/>
    </row>
    <row r="603" spans="1:20">
      <c r="A603" s="2204"/>
      <c r="B603" s="2204"/>
      <c r="C603" s="2204"/>
      <c r="D603" s="2204"/>
      <c r="E603" s="2204"/>
      <c r="F603" s="2204"/>
      <c r="G603" s="2204"/>
      <c r="H603" s="2204"/>
      <c r="I603" s="2205"/>
      <c r="J603" s="2204"/>
      <c r="K603" s="2204"/>
      <c r="L603" s="2204"/>
      <c r="M603" s="2204"/>
      <c r="N603" s="2204"/>
      <c r="O603" s="2204"/>
      <c r="P603" s="2204"/>
      <c r="Q603" s="2204"/>
      <c r="R603" s="2204"/>
      <c r="S603" s="2204"/>
      <c r="T603" s="2204"/>
    </row>
    <row r="604" spans="1:20">
      <c r="A604" s="2204"/>
      <c r="B604" s="2204"/>
      <c r="C604" s="2204"/>
      <c r="D604" s="2204"/>
      <c r="E604" s="2204"/>
      <c r="F604" s="2204"/>
      <c r="G604" s="2204"/>
      <c r="H604" s="2204"/>
      <c r="I604" s="2205"/>
      <c r="J604" s="2204"/>
      <c r="K604" s="2204"/>
      <c r="L604" s="2204"/>
      <c r="M604" s="2204"/>
      <c r="N604" s="2204"/>
      <c r="O604" s="2204"/>
      <c r="P604" s="2204"/>
      <c r="Q604" s="2204"/>
      <c r="R604" s="2204"/>
      <c r="S604" s="2204"/>
      <c r="T604" s="2204"/>
    </row>
    <row r="605" spans="1:20">
      <c r="A605" s="2204"/>
      <c r="B605" s="2204"/>
      <c r="C605" s="2204"/>
      <c r="D605" s="2204"/>
      <c r="E605" s="2204"/>
      <c r="F605" s="2204"/>
      <c r="G605" s="2204"/>
      <c r="H605" s="2204"/>
      <c r="I605" s="2205"/>
      <c r="J605" s="2204"/>
      <c r="K605" s="2204"/>
      <c r="L605" s="2204"/>
      <c r="M605" s="2204"/>
      <c r="N605" s="2204"/>
      <c r="O605" s="2204"/>
      <c r="P605" s="2204"/>
      <c r="Q605" s="2204"/>
      <c r="R605" s="2204"/>
      <c r="S605" s="2204"/>
      <c r="T605" s="2204"/>
    </row>
    <row r="606" spans="1:20">
      <c r="A606" s="2204"/>
      <c r="B606" s="2204"/>
      <c r="C606" s="2204"/>
      <c r="D606" s="2204"/>
      <c r="E606" s="2204"/>
      <c r="F606" s="2204"/>
      <c r="G606" s="2204"/>
      <c r="H606" s="2204"/>
      <c r="I606" s="2205"/>
      <c r="J606" s="2204"/>
      <c r="K606" s="2204"/>
      <c r="L606" s="2204"/>
      <c r="M606" s="2204"/>
      <c r="N606" s="2204"/>
      <c r="O606" s="2204"/>
      <c r="P606" s="2204"/>
      <c r="Q606" s="2204"/>
      <c r="R606" s="2204"/>
      <c r="S606" s="2204"/>
      <c r="T606" s="2204"/>
    </row>
    <row r="607" spans="1:20">
      <c r="A607" s="2204"/>
      <c r="B607" s="2204"/>
      <c r="C607" s="2204"/>
      <c r="D607" s="2204"/>
      <c r="E607" s="2204"/>
      <c r="F607" s="2204"/>
      <c r="G607" s="2204"/>
      <c r="H607" s="2204"/>
      <c r="I607" s="2205"/>
      <c r="J607" s="2204"/>
      <c r="K607" s="2204"/>
      <c r="L607" s="2204"/>
      <c r="M607" s="2204"/>
      <c r="N607" s="2204"/>
      <c r="O607" s="2204"/>
      <c r="P607" s="2204"/>
      <c r="Q607" s="2204"/>
      <c r="R607" s="2204"/>
      <c r="S607" s="2204"/>
      <c r="T607" s="2204"/>
    </row>
    <row r="608" spans="1:20">
      <c r="A608" s="2204"/>
      <c r="B608" s="2204"/>
      <c r="C608" s="2204"/>
      <c r="D608" s="2204"/>
      <c r="E608" s="2204"/>
      <c r="F608" s="2204"/>
      <c r="G608" s="2204"/>
      <c r="H608" s="2204"/>
      <c r="I608" s="2205"/>
      <c r="J608" s="2204"/>
      <c r="K608" s="2204"/>
      <c r="L608" s="2204"/>
      <c r="M608" s="2204"/>
      <c r="N608" s="2204"/>
      <c r="O608" s="2204"/>
      <c r="P608" s="2204"/>
      <c r="Q608" s="2204"/>
      <c r="R608" s="2204"/>
      <c r="S608" s="2204"/>
      <c r="T608" s="2204"/>
    </row>
    <row r="609" spans="1:20">
      <c r="A609" s="2204"/>
      <c r="B609" s="2204"/>
      <c r="C609" s="2204"/>
      <c r="D609" s="2204"/>
      <c r="E609" s="2204"/>
      <c r="F609" s="2204"/>
      <c r="G609" s="2204"/>
      <c r="H609" s="2204"/>
      <c r="I609" s="2205"/>
      <c r="J609" s="2204"/>
      <c r="K609" s="2204"/>
      <c r="L609" s="2204"/>
      <c r="M609" s="2204"/>
      <c r="N609" s="2204"/>
      <c r="O609" s="2204"/>
      <c r="P609" s="2204"/>
      <c r="Q609" s="2204"/>
      <c r="R609" s="2204"/>
      <c r="S609" s="2204"/>
      <c r="T609" s="2204"/>
    </row>
    <row r="610" spans="1:20">
      <c r="A610" s="2204"/>
      <c r="B610" s="2204"/>
      <c r="C610" s="2204"/>
      <c r="D610" s="2204"/>
      <c r="E610" s="2204"/>
      <c r="F610" s="2204"/>
      <c r="G610" s="2204"/>
      <c r="H610" s="2204"/>
      <c r="I610" s="2205"/>
      <c r="J610" s="2204"/>
      <c r="K610" s="2204"/>
      <c r="L610" s="2204"/>
      <c r="M610" s="2204"/>
      <c r="N610" s="2204"/>
      <c r="O610" s="2204"/>
      <c r="P610" s="2204"/>
      <c r="Q610" s="2204"/>
      <c r="R610" s="2204"/>
      <c r="S610" s="2204"/>
      <c r="T610" s="2204"/>
    </row>
    <row r="611" spans="1:20">
      <c r="A611" s="2204"/>
      <c r="B611" s="2204"/>
      <c r="C611" s="2204"/>
      <c r="D611" s="2204"/>
      <c r="E611" s="2204"/>
      <c r="F611" s="2204"/>
      <c r="G611" s="2204"/>
      <c r="H611" s="2204"/>
      <c r="I611" s="2205"/>
      <c r="J611" s="2204"/>
      <c r="K611" s="2204"/>
      <c r="L611" s="2204"/>
      <c r="M611" s="2204"/>
      <c r="N611" s="2204"/>
      <c r="O611" s="2204"/>
      <c r="P611" s="2204"/>
      <c r="Q611" s="2204"/>
      <c r="R611" s="2204"/>
      <c r="S611" s="2204"/>
      <c r="T611" s="2204"/>
    </row>
    <row r="612" spans="1:20">
      <c r="A612" s="2204"/>
      <c r="B612" s="2204"/>
      <c r="C612" s="2204"/>
      <c r="D612" s="2204"/>
      <c r="E612" s="2204"/>
      <c r="F612" s="2204"/>
      <c r="G612" s="2204"/>
      <c r="H612" s="2204"/>
      <c r="I612" s="2205"/>
      <c r="J612" s="2204"/>
      <c r="K612" s="2204"/>
      <c r="L612" s="2204"/>
      <c r="M612" s="2204"/>
      <c r="N612" s="2204"/>
      <c r="O612" s="2204"/>
      <c r="P612" s="2204"/>
      <c r="Q612" s="2204"/>
      <c r="R612" s="2204"/>
      <c r="S612" s="2204"/>
      <c r="T612" s="2204"/>
    </row>
    <row r="613" spans="1:20">
      <c r="A613" s="2204"/>
      <c r="B613" s="2204"/>
      <c r="C613" s="2204"/>
      <c r="D613" s="2204"/>
      <c r="E613" s="2204"/>
      <c r="F613" s="2204"/>
      <c r="G613" s="2204"/>
      <c r="H613" s="2204"/>
      <c r="I613" s="2205"/>
      <c r="J613" s="2204"/>
      <c r="K613" s="2204"/>
      <c r="L613" s="2204"/>
      <c r="M613" s="2204"/>
      <c r="N613" s="2204"/>
      <c r="O613" s="2204"/>
      <c r="P613" s="2204"/>
      <c r="Q613" s="2204"/>
      <c r="R613" s="2204"/>
      <c r="S613" s="2204"/>
      <c r="T613" s="2204"/>
    </row>
    <row r="614" spans="1:20">
      <c r="A614" s="2204"/>
      <c r="B614" s="2204"/>
      <c r="C614" s="2204"/>
      <c r="D614" s="2204"/>
      <c r="E614" s="2204"/>
      <c r="F614" s="2204"/>
      <c r="G614" s="2204"/>
      <c r="H614" s="2204"/>
      <c r="I614" s="2205"/>
      <c r="J614" s="2204"/>
      <c r="K614" s="2204"/>
      <c r="L614" s="2204"/>
      <c r="M614" s="2204"/>
      <c r="N614" s="2204"/>
      <c r="O614" s="2204"/>
      <c r="P614" s="2204"/>
      <c r="Q614" s="2204"/>
      <c r="R614" s="2204"/>
      <c r="S614" s="2204"/>
      <c r="T614" s="2204"/>
    </row>
    <row r="615" spans="1:20">
      <c r="A615" s="2204"/>
      <c r="B615" s="2204"/>
      <c r="C615" s="2204"/>
      <c r="D615" s="2204"/>
      <c r="E615" s="2204"/>
      <c r="F615" s="2204"/>
      <c r="G615" s="2204"/>
      <c r="H615" s="2204"/>
      <c r="I615" s="2205"/>
      <c r="J615" s="2204"/>
      <c r="K615" s="2204"/>
      <c r="L615" s="2204"/>
      <c r="M615" s="2204"/>
      <c r="N615" s="2204"/>
      <c r="O615" s="2204"/>
      <c r="P615" s="2204"/>
      <c r="Q615" s="2204"/>
      <c r="R615" s="2204"/>
      <c r="S615" s="2204"/>
      <c r="T615" s="2204"/>
    </row>
    <row r="616" spans="1:20">
      <c r="A616" s="2204"/>
      <c r="B616" s="2204"/>
      <c r="C616" s="2204"/>
      <c r="D616" s="2204"/>
      <c r="E616" s="2204"/>
      <c r="F616" s="2204"/>
      <c r="G616" s="2204"/>
      <c r="H616" s="2204"/>
      <c r="I616" s="2205"/>
      <c r="J616" s="2204"/>
      <c r="K616" s="2204"/>
      <c r="L616" s="2204"/>
      <c r="M616" s="2204"/>
      <c r="N616" s="2204"/>
      <c r="O616" s="2204"/>
      <c r="P616" s="2204"/>
      <c r="Q616" s="2204"/>
      <c r="R616" s="2204"/>
      <c r="S616" s="2204"/>
      <c r="T616" s="2204"/>
    </row>
    <row r="617" spans="1:20">
      <c r="A617" s="2204"/>
      <c r="B617" s="2204"/>
      <c r="C617" s="2204"/>
      <c r="D617" s="2204"/>
      <c r="E617" s="2204"/>
      <c r="F617" s="2204"/>
      <c r="G617" s="2204"/>
      <c r="H617" s="2204"/>
      <c r="I617" s="2205"/>
      <c r="J617" s="2204"/>
      <c r="K617" s="2204"/>
      <c r="L617" s="2204"/>
      <c r="M617" s="2204"/>
      <c r="N617" s="2204"/>
      <c r="O617" s="2204"/>
      <c r="P617" s="2204"/>
      <c r="Q617" s="2204"/>
      <c r="R617" s="2204"/>
      <c r="S617" s="2204"/>
      <c r="T617" s="2204"/>
    </row>
    <row r="618" spans="1:20">
      <c r="A618" s="2204"/>
      <c r="B618" s="2204"/>
      <c r="C618" s="2204"/>
      <c r="D618" s="2204"/>
      <c r="E618" s="2204"/>
      <c r="F618" s="2204"/>
      <c r="G618" s="2204"/>
      <c r="H618" s="2204"/>
      <c r="I618" s="2205"/>
      <c r="J618" s="2204"/>
      <c r="K618" s="2204"/>
      <c r="L618" s="2204"/>
      <c r="M618" s="2204"/>
      <c r="N618" s="2204"/>
      <c r="O618" s="2204"/>
      <c r="P618" s="2204"/>
      <c r="Q618" s="2204"/>
      <c r="R618" s="2204"/>
      <c r="S618" s="2204"/>
      <c r="T618" s="2204"/>
    </row>
    <row r="619" spans="1:20">
      <c r="A619" s="2204"/>
      <c r="B619" s="2204"/>
      <c r="C619" s="2204"/>
      <c r="D619" s="2204"/>
      <c r="E619" s="2204"/>
      <c r="F619" s="2204"/>
      <c r="G619" s="2204"/>
      <c r="H619" s="2204"/>
      <c r="I619" s="2205"/>
      <c r="J619" s="2204"/>
      <c r="K619" s="2204"/>
      <c r="L619" s="2204"/>
      <c r="M619" s="2204"/>
      <c r="N619" s="2204"/>
      <c r="O619" s="2204"/>
      <c r="P619" s="2204"/>
      <c r="Q619" s="2204"/>
      <c r="R619" s="2204"/>
      <c r="S619" s="2204"/>
      <c r="T619" s="2204"/>
    </row>
    <row r="620" spans="1:20">
      <c r="A620" s="2204"/>
      <c r="B620" s="2204"/>
      <c r="C620" s="2204"/>
      <c r="D620" s="2204"/>
      <c r="E620" s="2204"/>
      <c r="F620" s="2204"/>
      <c r="G620" s="2204"/>
      <c r="H620" s="2204"/>
      <c r="I620" s="2205"/>
      <c r="J620" s="2204"/>
      <c r="K620" s="2204"/>
      <c r="L620" s="2204"/>
      <c r="M620" s="2204"/>
      <c r="N620" s="2204"/>
      <c r="O620" s="2204"/>
      <c r="P620" s="2204"/>
      <c r="Q620" s="2204"/>
      <c r="R620" s="2204"/>
      <c r="S620" s="2204"/>
      <c r="T620" s="2204"/>
    </row>
    <row r="621" spans="1:20">
      <c r="A621" s="2204"/>
      <c r="B621" s="2204"/>
      <c r="C621" s="2204"/>
      <c r="D621" s="2204"/>
      <c r="E621" s="2204"/>
      <c r="F621" s="2204"/>
      <c r="G621" s="2204"/>
      <c r="H621" s="2204"/>
      <c r="I621" s="2205"/>
      <c r="J621" s="2204"/>
      <c r="K621" s="2204"/>
      <c r="L621" s="2204"/>
      <c r="M621" s="2204"/>
      <c r="N621" s="2204"/>
      <c r="O621" s="2204"/>
      <c r="P621" s="2204"/>
      <c r="Q621" s="2204"/>
      <c r="R621" s="2204"/>
      <c r="S621" s="2204"/>
      <c r="T621" s="2204"/>
    </row>
    <row r="622" spans="1:20">
      <c r="A622" s="2204"/>
      <c r="B622" s="2204"/>
      <c r="C622" s="2204"/>
      <c r="D622" s="2204"/>
      <c r="E622" s="2204"/>
      <c r="F622" s="2204"/>
      <c r="G622" s="2204"/>
      <c r="H622" s="2204"/>
      <c r="I622" s="2205"/>
      <c r="J622" s="2204"/>
      <c r="K622" s="2204"/>
      <c r="L622" s="2204"/>
      <c r="M622" s="2204"/>
      <c r="N622" s="2204"/>
      <c r="O622" s="2204"/>
      <c r="P622" s="2204"/>
      <c r="Q622" s="2204"/>
      <c r="R622" s="2204"/>
      <c r="S622" s="2204"/>
      <c r="T622" s="2204"/>
    </row>
    <row r="623" spans="1:20">
      <c r="A623" s="2204"/>
      <c r="B623" s="2204"/>
      <c r="C623" s="2204"/>
      <c r="D623" s="2204"/>
      <c r="E623" s="2204"/>
      <c r="F623" s="2204"/>
      <c r="G623" s="2204"/>
      <c r="H623" s="2204"/>
      <c r="I623" s="2205"/>
      <c r="J623" s="2204"/>
      <c r="K623" s="2204"/>
      <c r="L623" s="2204"/>
      <c r="M623" s="2204"/>
      <c r="N623" s="2204"/>
      <c r="O623" s="2204"/>
      <c r="P623" s="2204"/>
      <c r="Q623" s="2204"/>
      <c r="R623" s="2204"/>
      <c r="S623" s="2204"/>
      <c r="T623" s="2204"/>
    </row>
    <row r="624" spans="1:20">
      <c r="A624" s="2204"/>
      <c r="B624" s="2204"/>
      <c r="C624" s="2204"/>
      <c r="D624" s="2204"/>
      <c r="E624" s="2204"/>
      <c r="F624" s="2204"/>
      <c r="G624" s="2204"/>
      <c r="H624" s="2204"/>
      <c r="I624" s="2205"/>
      <c r="J624" s="2204"/>
      <c r="K624" s="2204"/>
      <c r="L624" s="2204"/>
      <c r="M624" s="2204"/>
      <c r="N624" s="2204"/>
      <c r="O624" s="2204"/>
      <c r="P624" s="2204"/>
      <c r="Q624" s="2204"/>
      <c r="R624" s="2204"/>
      <c r="S624" s="2204"/>
      <c r="T624" s="2204"/>
    </row>
    <row r="625" spans="1:20">
      <c r="A625" s="2204"/>
      <c r="B625" s="2204"/>
      <c r="C625" s="2204"/>
      <c r="D625" s="2204"/>
      <c r="E625" s="2204"/>
      <c r="F625" s="2204"/>
      <c r="G625" s="2204"/>
      <c r="H625" s="2204"/>
      <c r="I625" s="2205"/>
      <c r="J625" s="2204"/>
      <c r="K625" s="2204"/>
      <c r="L625" s="2204"/>
      <c r="M625" s="2204"/>
      <c r="N625" s="2204"/>
      <c r="O625" s="2204"/>
      <c r="P625" s="2204"/>
      <c r="Q625" s="2204"/>
      <c r="R625" s="2204"/>
      <c r="S625" s="2204"/>
      <c r="T625" s="2204"/>
    </row>
    <row r="626" spans="1:20">
      <c r="A626" s="2204"/>
      <c r="B626" s="2204"/>
      <c r="C626" s="2204"/>
      <c r="D626" s="2204"/>
      <c r="E626" s="2204"/>
      <c r="F626" s="2204"/>
      <c r="G626" s="2204"/>
      <c r="H626" s="2204"/>
      <c r="I626" s="2205"/>
      <c r="J626" s="2204"/>
      <c r="K626" s="2204"/>
      <c r="L626" s="2204"/>
      <c r="M626" s="2204"/>
      <c r="N626" s="2204"/>
      <c r="O626" s="2204"/>
      <c r="P626" s="2204"/>
      <c r="Q626" s="2204"/>
      <c r="R626" s="2204"/>
      <c r="S626" s="2204"/>
      <c r="T626" s="2204"/>
    </row>
    <row r="627" spans="1:20">
      <c r="A627" s="2204"/>
      <c r="B627" s="2204"/>
      <c r="C627" s="2204"/>
      <c r="D627" s="2204"/>
      <c r="E627" s="2204"/>
      <c r="F627" s="2204"/>
      <c r="G627" s="2204"/>
      <c r="H627" s="2204"/>
      <c r="I627" s="2205"/>
      <c r="J627" s="2204"/>
      <c r="K627" s="2204"/>
      <c r="L627" s="2204"/>
      <c r="M627" s="2204"/>
      <c r="N627" s="2204"/>
      <c r="O627" s="2204"/>
      <c r="P627" s="2204"/>
      <c r="Q627" s="2204"/>
      <c r="R627" s="2204"/>
      <c r="S627" s="2204"/>
      <c r="T627" s="2204"/>
    </row>
    <row r="628" spans="1:20">
      <c r="A628" s="2204"/>
      <c r="B628" s="2204"/>
      <c r="C628" s="2204"/>
      <c r="D628" s="2204"/>
      <c r="E628" s="2204"/>
      <c r="F628" s="2204"/>
      <c r="G628" s="2204"/>
      <c r="H628" s="2204"/>
      <c r="I628" s="2205"/>
      <c r="J628" s="2204"/>
      <c r="K628" s="2204"/>
      <c r="L628" s="2204"/>
      <c r="M628" s="2204"/>
      <c r="N628" s="2204"/>
      <c r="O628" s="2204"/>
      <c r="P628" s="2204"/>
      <c r="Q628" s="2204"/>
      <c r="R628" s="2204"/>
      <c r="S628" s="2204"/>
      <c r="T628" s="2204"/>
    </row>
    <row r="629" spans="1:20">
      <c r="A629" s="2204"/>
      <c r="B629" s="2204"/>
      <c r="C629" s="2204"/>
      <c r="D629" s="2204"/>
      <c r="E629" s="2204"/>
      <c r="F629" s="2204"/>
      <c r="G629" s="2204"/>
      <c r="H629" s="2204"/>
      <c r="I629" s="2205"/>
      <c r="J629" s="2204"/>
      <c r="K629" s="2204"/>
      <c r="L629" s="2204"/>
      <c r="M629" s="2204"/>
      <c r="N629" s="2204"/>
      <c r="O629" s="2204"/>
      <c r="P629" s="2204"/>
      <c r="Q629" s="2204"/>
      <c r="R629" s="2204"/>
      <c r="S629" s="2204"/>
      <c r="T629" s="2204"/>
    </row>
    <row r="630" spans="1:20">
      <c r="A630" s="2204"/>
      <c r="B630" s="2204"/>
      <c r="C630" s="2204"/>
      <c r="D630" s="2204"/>
      <c r="E630" s="2204"/>
      <c r="F630" s="2204"/>
      <c r="G630" s="2204"/>
      <c r="H630" s="2204"/>
      <c r="I630" s="2205"/>
      <c r="J630" s="2204"/>
      <c r="K630" s="2204"/>
      <c r="L630" s="2204"/>
      <c r="M630" s="2204"/>
      <c r="N630" s="2204"/>
      <c r="O630" s="2204"/>
      <c r="P630" s="2204"/>
      <c r="Q630" s="2204"/>
      <c r="R630" s="2204"/>
      <c r="S630" s="2204"/>
      <c r="T630" s="2204"/>
    </row>
    <row r="631" spans="1:20">
      <c r="A631" s="2204"/>
      <c r="B631" s="2204"/>
      <c r="C631" s="2204"/>
      <c r="D631" s="2204"/>
      <c r="E631" s="2204"/>
      <c r="F631" s="2204"/>
      <c r="G631" s="2204"/>
      <c r="H631" s="2204"/>
      <c r="I631" s="2205"/>
      <c r="J631" s="2204"/>
      <c r="K631" s="2204"/>
      <c r="L631" s="2204"/>
      <c r="M631" s="2204"/>
      <c r="N631" s="2204"/>
      <c r="O631" s="2204"/>
      <c r="P631" s="2204"/>
      <c r="Q631" s="2204"/>
      <c r="R631" s="2204"/>
      <c r="S631" s="2204"/>
      <c r="T631" s="2204"/>
    </row>
    <row r="632" spans="1:20">
      <c r="A632" s="2204"/>
      <c r="B632" s="2204"/>
      <c r="C632" s="2204"/>
      <c r="D632" s="2204"/>
      <c r="E632" s="2204"/>
      <c r="F632" s="2204"/>
      <c r="G632" s="2204"/>
      <c r="H632" s="2204"/>
      <c r="I632" s="2205"/>
      <c r="J632" s="2204"/>
      <c r="K632" s="2204"/>
      <c r="L632" s="2204"/>
      <c r="M632" s="2204"/>
      <c r="N632" s="2204"/>
      <c r="O632" s="2204"/>
      <c r="P632" s="2204"/>
      <c r="Q632" s="2204"/>
      <c r="R632" s="2204"/>
      <c r="S632" s="2204"/>
      <c r="T632" s="2204"/>
    </row>
    <row r="633" spans="1:20">
      <c r="A633" s="2204"/>
      <c r="B633" s="2204"/>
      <c r="C633" s="2204"/>
      <c r="D633" s="2204"/>
      <c r="E633" s="2204"/>
      <c r="F633" s="2204"/>
      <c r="G633" s="2204"/>
      <c r="H633" s="2204"/>
      <c r="I633" s="2205"/>
      <c r="J633" s="2204"/>
      <c r="K633" s="2204"/>
      <c r="L633" s="2204"/>
      <c r="M633" s="2204"/>
      <c r="N633" s="2204"/>
      <c r="O633" s="2204"/>
      <c r="P633" s="2204"/>
      <c r="Q633" s="2204"/>
      <c r="R633" s="2204"/>
      <c r="S633" s="2204"/>
      <c r="T633" s="2204"/>
    </row>
    <row r="634" spans="1:20">
      <c r="A634" s="2204"/>
      <c r="B634" s="2204"/>
      <c r="C634" s="2204"/>
      <c r="D634" s="2204"/>
      <c r="E634" s="2204"/>
      <c r="F634" s="2204"/>
      <c r="G634" s="2204"/>
      <c r="H634" s="2204"/>
      <c r="I634" s="2205"/>
      <c r="J634" s="2204"/>
      <c r="K634" s="2204"/>
      <c r="L634" s="2204"/>
      <c r="M634" s="2204"/>
      <c r="N634" s="2204"/>
      <c r="O634" s="2204"/>
      <c r="P634" s="2204"/>
      <c r="Q634" s="2204"/>
      <c r="R634" s="2204"/>
      <c r="S634" s="2204"/>
      <c r="T634" s="2204"/>
    </row>
    <row r="635" spans="1:20">
      <c r="A635" s="2204"/>
      <c r="B635" s="2204"/>
      <c r="C635" s="2204"/>
      <c r="D635" s="2204"/>
      <c r="E635" s="2204"/>
      <c r="F635" s="2204"/>
      <c r="G635" s="2204"/>
      <c r="H635" s="2204"/>
      <c r="I635" s="2205"/>
      <c r="J635" s="2204"/>
      <c r="K635" s="2204"/>
      <c r="L635" s="2204"/>
      <c r="M635" s="2204"/>
      <c r="N635" s="2204"/>
      <c r="O635" s="2204"/>
      <c r="P635" s="2204"/>
      <c r="Q635" s="2204"/>
      <c r="R635" s="2204"/>
      <c r="S635" s="2204"/>
      <c r="T635" s="2204"/>
    </row>
    <row r="636" spans="1:20">
      <c r="A636" s="2204"/>
      <c r="B636" s="2204"/>
      <c r="C636" s="2204"/>
      <c r="D636" s="2204"/>
      <c r="E636" s="2204"/>
      <c r="F636" s="2204"/>
      <c r="G636" s="2204"/>
      <c r="H636" s="2204"/>
      <c r="I636" s="2205"/>
      <c r="J636" s="2204"/>
      <c r="K636" s="2204"/>
      <c r="L636" s="2204"/>
      <c r="M636" s="2204"/>
      <c r="N636" s="2204"/>
      <c r="O636" s="2204"/>
      <c r="P636" s="2204"/>
      <c r="Q636" s="2204"/>
      <c r="R636" s="2204"/>
      <c r="S636" s="2204"/>
      <c r="T636" s="2204"/>
    </row>
    <row r="637" spans="1:20">
      <c r="A637" s="2204"/>
      <c r="B637" s="2204"/>
      <c r="C637" s="2204"/>
      <c r="D637" s="2204"/>
      <c r="E637" s="2204"/>
      <c r="F637" s="2204"/>
      <c r="G637" s="2204"/>
      <c r="H637" s="2204"/>
      <c r="I637" s="2205"/>
      <c r="J637" s="2204"/>
      <c r="K637" s="2204"/>
      <c r="L637" s="2204"/>
      <c r="M637" s="2204"/>
      <c r="N637" s="2204"/>
      <c r="O637" s="2204"/>
      <c r="P637" s="2204"/>
      <c r="Q637" s="2204"/>
      <c r="R637" s="2204"/>
      <c r="S637" s="2204"/>
      <c r="T637" s="2204"/>
    </row>
    <row r="638" spans="1:20">
      <c r="A638" s="2204"/>
      <c r="B638" s="2204"/>
      <c r="C638" s="2204"/>
      <c r="D638" s="2204"/>
      <c r="E638" s="2204"/>
      <c r="F638" s="2204"/>
      <c r="G638" s="2204"/>
      <c r="H638" s="2204"/>
      <c r="I638" s="2205"/>
      <c r="J638" s="2204"/>
      <c r="K638" s="2204"/>
      <c r="L638" s="2204"/>
      <c r="M638" s="2204"/>
      <c r="N638" s="2204"/>
      <c r="O638" s="2204"/>
      <c r="P638" s="2204"/>
      <c r="Q638" s="2204"/>
      <c r="R638" s="2204"/>
      <c r="S638" s="2204"/>
      <c r="T638" s="2204"/>
    </row>
    <row r="639" spans="1:20">
      <c r="A639" s="2204"/>
      <c r="B639" s="2204"/>
      <c r="C639" s="2204"/>
      <c r="D639" s="2204"/>
      <c r="E639" s="2204"/>
      <c r="F639" s="2204"/>
      <c r="G639" s="2204"/>
      <c r="H639" s="2204"/>
      <c r="I639" s="2205"/>
      <c r="J639" s="2204"/>
      <c r="K639" s="2204"/>
      <c r="L639" s="2204"/>
      <c r="M639" s="2204"/>
      <c r="N639" s="2204"/>
      <c r="O639" s="2204"/>
      <c r="P639" s="2204"/>
      <c r="Q639" s="2204"/>
      <c r="R639" s="2204"/>
      <c r="S639" s="2204"/>
      <c r="T639" s="2204"/>
    </row>
    <row r="640" spans="1:20">
      <c r="A640" s="2204"/>
      <c r="B640" s="2204"/>
      <c r="C640" s="2204"/>
      <c r="D640" s="2204"/>
      <c r="E640" s="2204"/>
      <c r="F640" s="2204"/>
      <c r="G640" s="2204"/>
      <c r="H640" s="2204"/>
      <c r="I640" s="2205"/>
      <c r="J640" s="2204"/>
      <c r="K640" s="2204"/>
      <c r="L640" s="2204"/>
      <c r="M640" s="2204"/>
      <c r="N640" s="2204"/>
      <c r="O640" s="2204"/>
      <c r="P640" s="2204"/>
      <c r="Q640" s="2204"/>
      <c r="R640" s="2204"/>
      <c r="S640" s="2204"/>
      <c r="T640" s="2204"/>
    </row>
    <row r="641" spans="1:20">
      <c r="A641" s="2204"/>
      <c r="B641" s="2204"/>
      <c r="C641" s="2204"/>
      <c r="D641" s="2204"/>
      <c r="E641" s="2204"/>
      <c r="F641" s="2204"/>
      <c r="G641" s="2204"/>
      <c r="H641" s="2204"/>
      <c r="I641" s="2205"/>
      <c r="J641" s="2204"/>
      <c r="K641" s="2204"/>
      <c r="L641" s="2204"/>
      <c r="M641" s="2204"/>
      <c r="N641" s="2204"/>
      <c r="O641" s="2204"/>
      <c r="P641" s="2204"/>
      <c r="Q641" s="2204"/>
      <c r="R641" s="2204"/>
      <c r="S641" s="2204"/>
      <c r="T641" s="2204"/>
    </row>
    <row r="642" spans="1:20">
      <c r="A642" s="2204"/>
      <c r="B642" s="2204"/>
      <c r="C642" s="2204"/>
      <c r="D642" s="2204"/>
      <c r="E642" s="2204"/>
      <c r="F642" s="2204"/>
      <c r="G642" s="2204"/>
      <c r="H642" s="2204"/>
      <c r="I642" s="2205"/>
      <c r="J642" s="2204"/>
      <c r="K642" s="2204"/>
      <c r="L642" s="2204"/>
      <c r="M642" s="2204"/>
      <c r="N642" s="2204"/>
      <c r="O642" s="2204"/>
      <c r="P642" s="2204"/>
      <c r="Q642" s="2204"/>
      <c r="R642" s="2204"/>
      <c r="S642" s="2204"/>
      <c r="T642" s="2204"/>
    </row>
    <row r="643" spans="1:20">
      <c r="A643" s="2204"/>
      <c r="B643" s="2204"/>
      <c r="C643" s="2204"/>
      <c r="D643" s="2204"/>
      <c r="E643" s="2204"/>
      <c r="F643" s="2204"/>
      <c r="G643" s="2204"/>
      <c r="H643" s="2204"/>
      <c r="I643" s="2205"/>
      <c r="J643" s="2204"/>
      <c r="K643" s="2204"/>
      <c r="L643" s="2204"/>
      <c r="M643" s="2204"/>
      <c r="N643" s="2204"/>
      <c r="O643" s="2204"/>
      <c r="P643" s="2204"/>
      <c r="Q643" s="2204"/>
      <c r="R643" s="2204"/>
      <c r="S643" s="2204"/>
      <c r="T643" s="2204"/>
    </row>
    <row r="644" spans="1:20">
      <c r="A644" s="2204"/>
      <c r="B644" s="2204"/>
      <c r="C644" s="2204"/>
      <c r="D644" s="2204"/>
      <c r="E644" s="2204"/>
      <c r="F644" s="2204"/>
      <c r="G644" s="2204"/>
      <c r="H644" s="2204"/>
      <c r="I644" s="2205"/>
      <c r="J644" s="2204"/>
      <c r="K644" s="2204"/>
      <c r="L644" s="2204"/>
      <c r="M644" s="2204"/>
      <c r="N644" s="2204"/>
      <c r="O644" s="2204"/>
      <c r="P644" s="2204"/>
      <c r="Q644" s="2204"/>
      <c r="R644" s="2204"/>
      <c r="S644" s="2204"/>
      <c r="T644" s="2204"/>
    </row>
    <row r="645" spans="1:20">
      <c r="A645" s="2204"/>
      <c r="B645" s="2204"/>
      <c r="C645" s="2204"/>
      <c r="D645" s="2204"/>
      <c r="E645" s="2204"/>
      <c r="F645" s="2204"/>
      <c r="G645" s="2204"/>
      <c r="H645" s="2204"/>
      <c r="I645" s="2205"/>
      <c r="J645" s="2204"/>
      <c r="K645" s="2204"/>
      <c r="L645" s="2204"/>
      <c r="M645" s="2204"/>
      <c r="N645" s="2204"/>
      <c r="O645" s="2204"/>
      <c r="P645" s="2204"/>
      <c r="Q645" s="2204"/>
      <c r="R645" s="2204"/>
      <c r="S645" s="2204"/>
      <c r="T645" s="2204"/>
    </row>
    <row r="646" spans="1:20">
      <c r="A646" s="2204"/>
      <c r="B646" s="2204"/>
      <c r="C646" s="2204"/>
      <c r="D646" s="2204"/>
      <c r="E646" s="2204"/>
      <c r="F646" s="2204"/>
      <c r="G646" s="2204"/>
      <c r="H646" s="2204"/>
      <c r="I646" s="2205"/>
      <c r="J646" s="2204"/>
      <c r="K646" s="2204"/>
      <c r="L646" s="2204"/>
      <c r="M646" s="2204"/>
      <c r="N646" s="2204"/>
      <c r="O646" s="2204"/>
      <c r="P646" s="2204"/>
      <c r="Q646" s="2204"/>
      <c r="R646" s="2204"/>
      <c r="S646" s="2204"/>
      <c r="T646" s="2204"/>
    </row>
    <row r="647" spans="1:20">
      <c r="A647" s="2204"/>
      <c r="B647" s="2204"/>
      <c r="C647" s="2204"/>
      <c r="D647" s="2204"/>
      <c r="E647" s="2204"/>
      <c r="F647" s="2204"/>
      <c r="G647" s="2204"/>
      <c r="H647" s="2204"/>
      <c r="I647" s="2205"/>
      <c r="J647" s="2204"/>
      <c r="K647" s="2204"/>
      <c r="L647" s="2204"/>
      <c r="M647" s="2204"/>
      <c r="N647" s="2204"/>
      <c r="O647" s="2204"/>
      <c r="P647" s="2204"/>
      <c r="Q647" s="2204"/>
      <c r="R647" s="2204"/>
      <c r="S647" s="2204"/>
      <c r="T647" s="2204"/>
    </row>
    <row r="648" spans="1:20">
      <c r="A648" s="2204"/>
      <c r="B648" s="2204"/>
      <c r="C648" s="2204"/>
      <c r="D648" s="2204"/>
      <c r="E648" s="2204"/>
      <c r="F648" s="2204"/>
      <c r="G648" s="2204"/>
      <c r="H648" s="2204"/>
      <c r="I648" s="2205"/>
      <c r="J648" s="2204"/>
      <c r="K648" s="2204"/>
      <c r="L648" s="2204"/>
      <c r="M648" s="2204"/>
      <c r="N648" s="2204"/>
      <c r="O648" s="2204"/>
      <c r="P648" s="2204"/>
      <c r="Q648" s="2204"/>
      <c r="R648" s="2204"/>
      <c r="S648" s="2204"/>
      <c r="T648" s="2204"/>
    </row>
    <row r="649" spans="1:20">
      <c r="A649" s="2204"/>
      <c r="B649" s="2204"/>
      <c r="C649" s="2204"/>
      <c r="D649" s="2204"/>
      <c r="E649" s="2204"/>
      <c r="F649" s="2204"/>
      <c r="G649" s="2204"/>
      <c r="H649" s="2204"/>
      <c r="I649" s="2205"/>
      <c r="J649" s="2204"/>
      <c r="K649" s="2204"/>
      <c r="L649" s="2204"/>
      <c r="M649" s="2204"/>
      <c r="N649" s="2204"/>
      <c r="O649" s="2204"/>
      <c r="P649" s="2204"/>
      <c r="Q649" s="2204"/>
      <c r="R649" s="2204"/>
      <c r="S649" s="2204"/>
      <c r="T649" s="2204"/>
    </row>
    <row r="650" spans="1:20">
      <c r="A650" s="2204"/>
      <c r="B650" s="2204"/>
      <c r="C650" s="2204"/>
      <c r="D650" s="2204"/>
      <c r="E650" s="2204"/>
      <c r="F650" s="2204"/>
      <c r="G650" s="2204"/>
      <c r="H650" s="2204"/>
      <c r="I650" s="2205"/>
      <c r="J650" s="2204"/>
      <c r="K650" s="2204"/>
      <c r="L650" s="2204"/>
      <c r="M650" s="2204"/>
      <c r="N650" s="2204"/>
      <c r="O650" s="2204"/>
      <c r="P650" s="2204"/>
      <c r="Q650" s="2204"/>
      <c r="R650" s="2204"/>
      <c r="S650" s="2204"/>
      <c r="T650" s="2204"/>
    </row>
    <row r="651" spans="1:20">
      <c r="A651" s="2204"/>
      <c r="B651" s="2204"/>
      <c r="C651" s="2204"/>
      <c r="D651" s="2204"/>
      <c r="E651" s="2204"/>
      <c r="F651" s="2204"/>
      <c r="G651" s="2204"/>
      <c r="H651" s="2204"/>
      <c r="I651" s="2205"/>
      <c r="J651" s="2204"/>
      <c r="K651" s="2204"/>
      <c r="L651" s="2204"/>
      <c r="M651" s="2204"/>
      <c r="N651" s="2204"/>
      <c r="O651" s="2204"/>
      <c r="P651" s="2204"/>
      <c r="Q651" s="2204"/>
      <c r="R651" s="2204"/>
      <c r="S651" s="2204"/>
      <c r="T651" s="2204"/>
    </row>
    <row r="652" spans="1:20">
      <c r="A652" s="2204"/>
      <c r="B652" s="2204"/>
      <c r="C652" s="2204"/>
      <c r="D652" s="2204"/>
      <c r="E652" s="2204"/>
      <c r="F652" s="2204"/>
      <c r="G652" s="2204"/>
      <c r="H652" s="2204"/>
      <c r="I652" s="2205"/>
      <c r="J652" s="2204"/>
      <c r="K652" s="2204"/>
      <c r="L652" s="2204"/>
      <c r="M652" s="2204"/>
      <c r="N652" s="2204"/>
      <c r="O652" s="2204"/>
      <c r="P652" s="2204"/>
      <c r="Q652" s="2204"/>
      <c r="R652" s="2204"/>
      <c r="S652" s="2204"/>
      <c r="T652" s="2204"/>
    </row>
    <row r="653" spans="1:20">
      <c r="A653" s="2204"/>
      <c r="B653" s="2204"/>
      <c r="C653" s="2204"/>
      <c r="D653" s="2204"/>
      <c r="E653" s="2204"/>
      <c r="F653" s="2204"/>
      <c r="G653" s="2204"/>
      <c r="H653" s="2204"/>
      <c r="I653" s="2205"/>
      <c r="J653" s="2204"/>
      <c r="K653" s="2204"/>
      <c r="L653" s="2204"/>
      <c r="M653" s="2204"/>
      <c r="N653" s="2204"/>
      <c r="O653" s="2204"/>
      <c r="P653" s="2204"/>
      <c r="Q653" s="2204"/>
      <c r="R653" s="2204"/>
      <c r="S653" s="2204"/>
      <c r="T653" s="2204"/>
    </row>
    <row r="654" spans="1:20">
      <c r="A654" s="2204"/>
      <c r="B654" s="2204"/>
      <c r="C654" s="2204"/>
      <c r="D654" s="2204"/>
      <c r="E654" s="2204"/>
      <c r="F654" s="2204"/>
      <c r="G654" s="2204"/>
      <c r="H654" s="2204"/>
      <c r="I654" s="2205"/>
      <c r="J654" s="2204"/>
      <c r="K654" s="2204"/>
      <c r="L654" s="2204"/>
      <c r="M654" s="2204"/>
      <c r="N654" s="2204"/>
      <c r="O654" s="2204"/>
      <c r="P654" s="2204"/>
      <c r="Q654" s="2204"/>
      <c r="R654" s="2204"/>
      <c r="S654" s="2204"/>
      <c r="T654" s="2204"/>
    </row>
    <row r="655" spans="1:20">
      <c r="A655" s="2204"/>
      <c r="B655" s="2204"/>
      <c r="C655" s="2204"/>
      <c r="D655" s="2204"/>
      <c r="E655" s="2204"/>
      <c r="F655" s="2204"/>
      <c r="G655" s="2204"/>
      <c r="H655" s="2204"/>
      <c r="I655" s="2205"/>
      <c r="J655" s="2204"/>
      <c r="K655" s="2204"/>
      <c r="L655" s="2204"/>
      <c r="M655" s="2204"/>
      <c r="N655" s="2204"/>
      <c r="O655" s="2204"/>
      <c r="P655" s="2204"/>
      <c r="Q655" s="2204"/>
      <c r="R655" s="2204"/>
      <c r="S655" s="2204"/>
      <c r="T655" s="2204"/>
    </row>
    <row r="656" spans="1:20">
      <c r="A656" s="2204"/>
      <c r="B656" s="2204"/>
      <c r="C656" s="2204"/>
      <c r="D656" s="2204"/>
      <c r="E656" s="2204"/>
      <c r="F656" s="2204"/>
      <c r="G656" s="2204"/>
      <c r="H656" s="2204"/>
      <c r="I656" s="2205"/>
      <c r="J656" s="2204"/>
      <c r="K656" s="2204"/>
      <c r="L656" s="2204"/>
      <c r="M656" s="2204"/>
      <c r="N656" s="2204"/>
      <c r="O656" s="2204"/>
      <c r="P656" s="2204"/>
      <c r="Q656" s="2204"/>
      <c r="R656" s="2204"/>
      <c r="S656" s="2204"/>
      <c r="T656" s="2204"/>
    </row>
    <row r="657" spans="1:20">
      <c r="A657" s="2204"/>
      <c r="B657" s="2204"/>
      <c r="C657" s="2204"/>
      <c r="D657" s="2204"/>
      <c r="E657" s="2204"/>
      <c r="F657" s="2204"/>
      <c r="G657" s="2204"/>
      <c r="H657" s="2204"/>
      <c r="I657" s="2205"/>
      <c r="J657" s="2204"/>
      <c r="K657" s="2204"/>
      <c r="L657" s="2204"/>
      <c r="M657" s="2204"/>
      <c r="N657" s="2204"/>
      <c r="O657" s="2204"/>
      <c r="P657" s="2204"/>
      <c r="Q657" s="2204"/>
      <c r="R657" s="2204"/>
      <c r="S657" s="2204"/>
      <c r="T657" s="2204"/>
    </row>
    <row r="658" spans="1:20">
      <c r="A658" s="2204"/>
      <c r="B658" s="2204"/>
      <c r="C658" s="2204"/>
      <c r="D658" s="2204"/>
      <c r="E658" s="2204"/>
      <c r="F658" s="2204"/>
      <c r="G658" s="2204"/>
      <c r="H658" s="2204"/>
      <c r="I658" s="2205"/>
      <c r="J658" s="2204"/>
      <c r="K658" s="2204"/>
      <c r="L658" s="2204"/>
      <c r="M658" s="2204"/>
      <c r="N658" s="2204"/>
      <c r="O658" s="2204"/>
      <c r="P658" s="2204"/>
      <c r="Q658" s="2204"/>
      <c r="R658" s="2204"/>
      <c r="S658" s="2204"/>
      <c r="T658" s="2204"/>
    </row>
    <row r="659" spans="1:20">
      <c r="A659" s="2204"/>
      <c r="B659" s="2204"/>
      <c r="C659" s="2204"/>
      <c r="D659" s="2204"/>
      <c r="E659" s="2204"/>
      <c r="F659" s="2204"/>
      <c r="G659" s="2204"/>
      <c r="H659" s="2204"/>
      <c r="I659" s="2205"/>
      <c r="J659" s="2204"/>
      <c r="K659" s="2204"/>
      <c r="L659" s="2204"/>
      <c r="M659" s="2204"/>
      <c r="N659" s="2204"/>
      <c r="O659" s="2204"/>
      <c r="P659" s="2204"/>
      <c r="Q659" s="2204"/>
      <c r="R659" s="2204"/>
      <c r="S659" s="2204"/>
      <c r="T659" s="2204"/>
    </row>
    <row r="660" spans="1:20">
      <c r="A660" s="2204"/>
      <c r="B660" s="2204"/>
      <c r="C660" s="2204"/>
      <c r="D660" s="2204"/>
      <c r="E660" s="2204"/>
      <c r="F660" s="2204"/>
      <c r="G660" s="2204"/>
      <c r="H660" s="2204"/>
      <c r="I660" s="2205"/>
      <c r="J660" s="2204"/>
      <c r="K660" s="2204"/>
      <c r="L660" s="2204"/>
      <c r="M660" s="2204"/>
      <c r="N660" s="2204"/>
      <c r="O660" s="2204"/>
      <c r="P660" s="2204"/>
      <c r="Q660" s="2204"/>
      <c r="R660" s="2204"/>
      <c r="S660" s="2204"/>
      <c r="T660" s="2204"/>
    </row>
    <row r="661" spans="1:20">
      <c r="A661" s="2204"/>
      <c r="B661" s="2204"/>
      <c r="C661" s="2204"/>
      <c r="D661" s="2204"/>
      <c r="E661" s="2204"/>
      <c r="F661" s="2204"/>
      <c r="G661" s="2204"/>
      <c r="H661" s="2204"/>
      <c r="I661" s="2205"/>
      <c r="J661" s="2204"/>
      <c r="K661" s="2204"/>
      <c r="L661" s="2204"/>
      <c r="M661" s="2204"/>
      <c r="N661" s="2204"/>
      <c r="O661" s="2204"/>
      <c r="P661" s="2204"/>
      <c r="Q661" s="2204"/>
      <c r="R661" s="2204"/>
      <c r="S661" s="2204"/>
      <c r="T661" s="2204"/>
    </row>
    <row r="662" spans="1:20">
      <c r="A662" s="2204"/>
      <c r="B662" s="2204"/>
      <c r="C662" s="2204"/>
      <c r="D662" s="2204"/>
      <c r="E662" s="2204"/>
      <c r="F662" s="2204"/>
      <c r="G662" s="2204"/>
      <c r="H662" s="2204"/>
      <c r="I662" s="2205"/>
      <c r="J662" s="2204"/>
      <c r="K662" s="2204"/>
      <c r="L662" s="2204"/>
      <c r="M662" s="2204"/>
      <c r="N662" s="2204"/>
      <c r="O662" s="2204"/>
      <c r="P662" s="2204"/>
      <c r="Q662" s="2204"/>
      <c r="R662" s="2204"/>
      <c r="S662" s="2204"/>
      <c r="T662" s="2204"/>
    </row>
    <row r="663" spans="1:20">
      <c r="A663" s="2204"/>
      <c r="B663" s="2204"/>
      <c r="C663" s="2204"/>
      <c r="D663" s="2204"/>
      <c r="E663" s="2204"/>
      <c r="F663" s="2204"/>
      <c r="G663" s="2204"/>
      <c r="H663" s="2204"/>
      <c r="I663" s="2205"/>
      <c r="J663" s="2204"/>
      <c r="K663" s="2204"/>
      <c r="L663" s="2204"/>
      <c r="M663" s="2204"/>
      <c r="N663" s="2204"/>
      <c r="O663" s="2204"/>
      <c r="P663" s="2204"/>
      <c r="Q663" s="2204"/>
      <c r="R663" s="2204"/>
      <c r="S663" s="2204"/>
      <c r="T663" s="2204"/>
    </row>
    <row r="664" spans="1:20">
      <c r="A664" s="2204"/>
      <c r="B664" s="2204"/>
      <c r="C664" s="2204"/>
      <c r="D664" s="2204"/>
      <c r="E664" s="2204"/>
      <c r="F664" s="2204"/>
      <c r="G664" s="2204"/>
      <c r="H664" s="2204"/>
      <c r="I664" s="2205"/>
      <c r="J664" s="2204"/>
      <c r="K664" s="2204"/>
      <c r="L664" s="2204"/>
      <c r="M664" s="2204"/>
      <c r="N664" s="2204"/>
      <c r="O664" s="2204"/>
      <c r="P664" s="2204"/>
      <c r="Q664" s="2204"/>
      <c r="R664" s="2204"/>
      <c r="S664" s="2204"/>
      <c r="T664" s="2204"/>
    </row>
    <row r="665" spans="1:20">
      <c r="A665" s="2204"/>
      <c r="B665" s="2204"/>
      <c r="C665" s="2204"/>
      <c r="D665" s="2204"/>
      <c r="E665" s="2204"/>
      <c r="F665" s="2204"/>
      <c r="G665" s="2204"/>
      <c r="H665" s="2204"/>
      <c r="I665" s="2205"/>
      <c r="J665" s="2204"/>
      <c r="K665" s="2204"/>
      <c r="L665" s="2204"/>
      <c r="M665" s="2204"/>
      <c r="N665" s="2204"/>
      <c r="O665" s="2204"/>
      <c r="P665" s="2204"/>
      <c r="Q665" s="2204"/>
      <c r="R665" s="2204"/>
      <c r="S665" s="2204"/>
      <c r="T665" s="2204"/>
    </row>
    <row r="666" spans="1:20">
      <c r="A666" s="2204"/>
      <c r="B666" s="2204"/>
      <c r="C666" s="2204"/>
      <c r="D666" s="2204"/>
      <c r="E666" s="2204"/>
      <c r="F666" s="2204"/>
      <c r="G666" s="2204"/>
      <c r="H666" s="2204"/>
      <c r="I666" s="2205"/>
      <c r="J666" s="2204"/>
      <c r="K666" s="2204"/>
      <c r="L666" s="2204"/>
      <c r="M666" s="2204"/>
      <c r="N666" s="2204"/>
      <c r="O666" s="2204"/>
      <c r="P666" s="2204"/>
      <c r="Q666" s="2204"/>
      <c r="R666" s="2204"/>
      <c r="S666" s="2204"/>
      <c r="T666" s="2204"/>
    </row>
    <row r="667" spans="1:20">
      <c r="A667" s="2204"/>
      <c r="B667" s="2204"/>
      <c r="C667" s="2204"/>
      <c r="D667" s="2204"/>
      <c r="E667" s="2204"/>
      <c r="F667" s="2204"/>
      <c r="G667" s="2204"/>
      <c r="H667" s="2204"/>
      <c r="I667" s="2205"/>
      <c r="J667" s="2204"/>
      <c r="K667" s="2204"/>
      <c r="L667" s="2204"/>
      <c r="M667" s="2204"/>
      <c r="N667" s="2204"/>
      <c r="O667" s="2204"/>
      <c r="P667" s="2204"/>
      <c r="Q667" s="2204"/>
      <c r="R667" s="2204"/>
      <c r="S667" s="2204"/>
      <c r="T667" s="2204"/>
    </row>
    <row r="668" spans="1:20">
      <c r="A668" s="2204"/>
      <c r="B668" s="2204"/>
      <c r="C668" s="2204"/>
      <c r="D668" s="2204"/>
      <c r="E668" s="2204"/>
      <c r="F668" s="2204"/>
      <c r="G668" s="2204"/>
      <c r="H668" s="2204"/>
      <c r="I668" s="2205"/>
      <c r="J668" s="2204"/>
      <c r="K668" s="2204"/>
      <c r="L668" s="2204"/>
      <c r="M668" s="2204"/>
      <c r="N668" s="2204"/>
      <c r="O668" s="2204"/>
      <c r="P668" s="2204"/>
      <c r="Q668" s="2204"/>
      <c r="R668" s="2204"/>
      <c r="S668" s="2204"/>
      <c r="T668" s="2204"/>
    </row>
    <row r="669" spans="1:20">
      <c r="A669" s="2204"/>
      <c r="B669" s="2204"/>
      <c r="C669" s="2204"/>
      <c r="D669" s="2204"/>
      <c r="E669" s="2204"/>
      <c r="F669" s="2204"/>
      <c r="G669" s="2204"/>
      <c r="H669" s="2204"/>
      <c r="I669" s="2205"/>
      <c r="J669" s="2204"/>
      <c r="K669" s="2204"/>
      <c r="L669" s="2204"/>
      <c r="M669" s="2204"/>
      <c r="N669" s="2204"/>
      <c r="O669" s="2204"/>
      <c r="P669" s="2204"/>
      <c r="Q669" s="2204"/>
      <c r="R669" s="2204"/>
      <c r="S669" s="2204"/>
      <c r="T669" s="2204"/>
    </row>
    <row r="670" spans="1:20">
      <c r="A670" s="2204"/>
      <c r="B670" s="2204"/>
      <c r="C670" s="2204"/>
      <c r="D670" s="2204"/>
      <c r="E670" s="2204"/>
      <c r="F670" s="2204"/>
      <c r="G670" s="2204"/>
      <c r="H670" s="2204"/>
      <c r="I670" s="2205"/>
      <c r="J670" s="2204"/>
      <c r="K670" s="2204"/>
      <c r="L670" s="2204"/>
      <c r="M670" s="2204"/>
      <c r="N670" s="2204"/>
      <c r="O670" s="2204"/>
      <c r="P670" s="2204"/>
      <c r="Q670" s="2204"/>
      <c r="R670" s="2204"/>
      <c r="S670" s="2204"/>
      <c r="T670" s="2204"/>
    </row>
    <row r="671" spans="1:20">
      <c r="A671" s="2204"/>
      <c r="B671" s="2204"/>
      <c r="C671" s="2204"/>
      <c r="D671" s="2204"/>
      <c r="E671" s="2204"/>
      <c r="F671" s="2204"/>
      <c r="G671" s="2204"/>
      <c r="H671" s="2204"/>
      <c r="I671" s="2205"/>
      <c r="J671" s="2204"/>
      <c r="K671" s="2204"/>
      <c r="L671" s="2204"/>
      <c r="M671" s="2204"/>
      <c r="N671" s="2204"/>
      <c r="O671" s="2204"/>
      <c r="P671" s="2204"/>
      <c r="Q671" s="2204"/>
      <c r="R671" s="2204"/>
      <c r="S671" s="2204"/>
      <c r="T671" s="2204"/>
    </row>
    <row r="672" spans="1:20">
      <c r="A672" s="2204"/>
      <c r="B672" s="2204"/>
      <c r="C672" s="2204"/>
      <c r="D672" s="2204"/>
      <c r="E672" s="2204"/>
      <c r="F672" s="2204"/>
      <c r="G672" s="2204"/>
      <c r="H672" s="2204"/>
      <c r="I672" s="2205"/>
      <c r="J672" s="2204"/>
      <c r="K672" s="2204"/>
      <c r="L672" s="2204"/>
      <c r="M672" s="2204"/>
      <c r="N672" s="2204"/>
      <c r="O672" s="2204"/>
      <c r="P672" s="2204"/>
      <c r="Q672" s="2204"/>
      <c r="R672" s="2204"/>
      <c r="S672" s="2204"/>
      <c r="T672" s="2204"/>
    </row>
    <row r="673" spans="1:20">
      <c r="A673" s="2204"/>
      <c r="B673" s="2204"/>
      <c r="C673" s="2204"/>
      <c r="D673" s="2204"/>
      <c r="E673" s="2204"/>
      <c r="F673" s="2204"/>
      <c r="G673" s="2204"/>
      <c r="H673" s="2204"/>
      <c r="I673" s="2205"/>
      <c r="J673" s="2204"/>
      <c r="K673" s="2204"/>
      <c r="L673" s="2204"/>
      <c r="M673" s="2204"/>
      <c r="N673" s="2204"/>
      <c r="O673" s="2204"/>
      <c r="P673" s="2204"/>
      <c r="Q673" s="2204"/>
      <c r="R673" s="2204"/>
      <c r="S673" s="2204"/>
      <c r="T673" s="2204"/>
    </row>
    <row r="674" spans="1:20">
      <c r="A674" s="2204"/>
      <c r="B674" s="2204"/>
      <c r="C674" s="2204"/>
      <c r="D674" s="2204"/>
      <c r="E674" s="2204"/>
      <c r="F674" s="2204"/>
      <c r="G674" s="2204"/>
      <c r="H674" s="2204"/>
      <c r="I674" s="2205"/>
      <c r="J674" s="2204"/>
      <c r="K674" s="2204"/>
      <c r="L674" s="2204"/>
      <c r="M674" s="2204"/>
      <c r="N674" s="2204"/>
      <c r="O674" s="2204"/>
      <c r="P674" s="2204"/>
      <c r="Q674" s="2204"/>
      <c r="R674" s="2204"/>
      <c r="S674" s="2204"/>
      <c r="T674" s="2204"/>
    </row>
    <row r="675" spans="1:20">
      <c r="A675" s="2204"/>
      <c r="B675" s="2204"/>
      <c r="C675" s="2204"/>
      <c r="D675" s="2204"/>
      <c r="E675" s="2204"/>
      <c r="F675" s="2204"/>
      <c r="G675" s="2204"/>
      <c r="H675" s="2204"/>
      <c r="I675" s="2205"/>
      <c r="J675" s="2204"/>
      <c r="K675" s="2204"/>
      <c r="L675" s="2204"/>
      <c r="M675" s="2204"/>
      <c r="N675" s="2204"/>
      <c r="O675" s="2204"/>
      <c r="P675" s="2204"/>
      <c r="Q675" s="2204"/>
      <c r="R675" s="2204"/>
      <c r="S675" s="2204"/>
      <c r="T675" s="2204"/>
    </row>
    <row r="676" spans="1:20">
      <c r="A676" s="2204"/>
      <c r="B676" s="2204"/>
      <c r="C676" s="2204"/>
      <c r="D676" s="2204"/>
      <c r="E676" s="2204"/>
      <c r="F676" s="2204"/>
      <c r="G676" s="2204"/>
      <c r="H676" s="2204"/>
      <c r="I676" s="2205"/>
      <c r="J676" s="2204"/>
      <c r="K676" s="2204"/>
      <c r="L676" s="2204"/>
      <c r="M676" s="2204"/>
      <c r="N676" s="2204"/>
      <c r="O676" s="2204"/>
      <c r="P676" s="2204"/>
      <c r="Q676" s="2204"/>
      <c r="R676" s="2204"/>
      <c r="S676" s="2204"/>
      <c r="T676" s="2204"/>
    </row>
    <row r="677" spans="1:20">
      <c r="A677" s="2204"/>
      <c r="B677" s="2204"/>
      <c r="C677" s="2204"/>
      <c r="D677" s="2204"/>
      <c r="E677" s="2204"/>
      <c r="F677" s="2204"/>
      <c r="G677" s="2204"/>
      <c r="H677" s="2204"/>
      <c r="I677" s="2205"/>
      <c r="J677" s="2204"/>
      <c r="K677" s="2204"/>
      <c r="L677" s="2204"/>
      <c r="M677" s="2204"/>
      <c r="N677" s="2204"/>
      <c r="O677" s="2204"/>
      <c r="P677" s="2204"/>
      <c r="Q677" s="2204"/>
      <c r="R677" s="2204"/>
      <c r="S677" s="2204"/>
      <c r="T677" s="2204"/>
    </row>
    <row r="678" spans="1:20">
      <c r="A678" s="2204"/>
      <c r="B678" s="2204"/>
      <c r="C678" s="2204"/>
      <c r="D678" s="2204"/>
      <c r="E678" s="2204"/>
      <c r="F678" s="2204"/>
      <c r="G678" s="2204"/>
      <c r="H678" s="2204"/>
      <c r="I678" s="2205"/>
      <c r="J678" s="2204"/>
      <c r="K678" s="2204"/>
      <c r="L678" s="2204"/>
      <c r="M678" s="2204"/>
      <c r="N678" s="2204"/>
      <c r="O678" s="2204"/>
      <c r="P678" s="2204"/>
      <c r="Q678" s="2204"/>
      <c r="R678" s="2204"/>
      <c r="S678" s="2204"/>
      <c r="T678" s="2204"/>
    </row>
    <row r="679" spans="1:20">
      <c r="A679" s="2204"/>
      <c r="B679" s="2204"/>
      <c r="C679" s="2204"/>
      <c r="D679" s="2204"/>
      <c r="E679" s="2204"/>
      <c r="F679" s="2204"/>
      <c r="G679" s="2204"/>
      <c r="H679" s="2204"/>
      <c r="I679" s="2205"/>
      <c r="J679" s="2204"/>
      <c r="K679" s="2204"/>
      <c r="L679" s="2204"/>
      <c r="M679" s="2204"/>
      <c r="N679" s="2204"/>
      <c r="O679" s="2204"/>
      <c r="P679" s="2204"/>
      <c r="Q679" s="2204"/>
      <c r="R679" s="2204"/>
      <c r="S679" s="2204"/>
      <c r="T679" s="2204"/>
    </row>
    <row r="680" spans="1:20">
      <c r="A680" s="2204"/>
      <c r="B680" s="2204"/>
      <c r="C680" s="2204"/>
      <c r="D680" s="2204"/>
      <c r="E680" s="2204"/>
      <c r="F680" s="2204"/>
      <c r="G680" s="2204"/>
      <c r="H680" s="2204"/>
      <c r="I680" s="2205"/>
      <c r="J680" s="2204"/>
      <c r="K680" s="2204"/>
      <c r="L680" s="2204"/>
      <c r="M680" s="2204"/>
      <c r="N680" s="2204"/>
      <c r="O680" s="2204"/>
      <c r="P680" s="2204"/>
      <c r="Q680" s="2204"/>
      <c r="R680" s="2204"/>
      <c r="S680" s="2204"/>
      <c r="T680" s="2204"/>
    </row>
    <row r="681" spans="1:20">
      <c r="A681" s="2204"/>
      <c r="B681" s="2204"/>
      <c r="C681" s="2204"/>
      <c r="D681" s="2204"/>
      <c r="E681" s="2204"/>
      <c r="F681" s="2204"/>
      <c r="G681" s="2204"/>
      <c r="H681" s="2204"/>
      <c r="I681" s="2205"/>
      <c r="J681" s="2204"/>
      <c r="K681" s="2204"/>
      <c r="L681" s="2204"/>
      <c r="M681" s="2204"/>
      <c r="N681" s="2204"/>
      <c r="O681" s="2204"/>
      <c r="P681" s="2204"/>
      <c r="Q681" s="2204"/>
      <c r="R681" s="2204"/>
      <c r="S681" s="2204"/>
      <c r="T681" s="2204"/>
    </row>
    <row r="682" spans="1:20">
      <c r="A682" s="2204"/>
      <c r="B682" s="2204"/>
      <c r="C682" s="2204"/>
      <c r="D682" s="2204"/>
      <c r="E682" s="2204"/>
      <c r="F682" s="2204"/>
      <c r="G682" s="2204"/>
      <c r="H682" s="2204"/>
      <c r="I682" s="2205"/>
      <c r="J682" s="2204"/>
      <c r="K682" s="2204"/>
      <c r="L682" s="2204"/>
      <c r="M682" s="2204"/>
      <c r="N682" s="2204"/>
      <c r="O682" s="2204"/>
      <c r="P682" s="2204"/>
      <c r="Q682" s="2204"/>
      <c r="R682" s="2204"/>
      <c r="S682" s="2204"/>
      <c r="T682" s="2204"/>
    </row>
    <row r="683" spans="1:20">
      <c r="A683" s="2204"/>
      <c r="B683" s="2204"/>
      <c r="C683" s="2204"/>
      <c r="D683" s="2204"/>
      <c r="E683" s="2204"/>
      <c r="F683" s="2204"/>
      <c r="G683" s="2204"/>
      <c r="H683" s="2204"/>
      <c r="I683" s="2205"/>
      <c r="J683" s="2204"/>
      <c r="K683" s="2204"/>
      <c r="L683" s="2204"/>
      <c r="M683" s="2204"/>
      <c r="N683" s="2204"/>
      <c r="O683" s="2204"/>
      <c r="P683" s="2204"/>
      <c r="Q683" s="2204"/>
      <c r="R683" s="2204"/>
      <c r="S683" s="2204"/>
      <c r="T683" s="2204"/>
    </row>
    <row r="684" spans="1:20">
      <c r="A684" s="2204"/>
      <c r="B684" s="2204"/>
      <c r="C684" s="2204"/>
      <c r="D684" s="2204"/>
      <c r="E684" s="2204"/>
      <c r="F684" s="2204"/>
      <c r="G684" s="2204"/>
      <c r="H684" s="2204"/>
      <c r="I684" s="2205"/>
      <c r="J684" s="2204"/>
      <c r="K684" s="2204"/>
      <c r="L684" s="2204"/>
      <c r="M684" s="2204"/>
      <c r="N684" s="2204"/>
      <c r="O684" s="2204"/>
      <c r="P684" s="2204"/>
      <c r="Q684" s="2204"/>
      <c r="R684" s="2204"/>
      <c r="S684" s="2204"/>
      <c r="T684" s="2204"/>
    </row>
    <row r="685" spans="1:20">
      <c r="A685" s="2204"/>
      <c r="B685" s="2204"/>
      <c r="C685" s="2204"/>
      <c r="D685" s="2204"/>
      <c r="E685" s="2204"/>
      <c r="F685" s="2204"/>
      <c r="G685" s="2204"/>
      <c r="H685" s="2204"/>
      <c r="I685" s="2205"/>
      <c r="J685" s="2204"/>
      <c r="K685" s="2204"/>
      <c r="L685" s="2204"/>
      <c r="M685" s="2204"/>
      <c r="N685" s="2204"/>
      <c r="O685" s="2204"/>
      <c r="P685" s="2204"/>
      <c r="Q685" s="2204"/>
      <c r="R685" s="2204"/>
      <c r="S685" s="2204"/>
      <c r="T685" s="2204"/>
    </row>
    <row r="686" spans="1:20">
      <c r="A686" s="2204"/>
      <c r="B686" s="2204"/>
      <c r="C686" s="2204"/>
      <c r="D686" s="2204"/>
      <c r="E686" s="2204"/>
      <c r="F686" s="2204"/>
      <c r="G686" s="2204"/>
      <c r="H686" s="2204"/>
      <c r="I686" s="2205"/>
      <c r="J686" s="2204"/>
      <c r="K686" s="2204"/>
      <c r="L686" s="2204"/>
      <c r="M686" s="2204"/>
      <c r="N686" s="2204"/>
      <c r="O686" s="2204"/>
      <c r="P686" s="2204"/>
      <c r="Q686" s="2204"/>
      <c r="R686" s="2204"/>
      <c r="S686" s="2204"/>
      <c r="T686" s="2204"/>
    </row>
    <row r="687" spans="1:20">
      <c r="A687" s="2204"/>
      <c r="B687" s="2204"/>
      <c r="C687" s="2204"/>
      <c r="D687" s="2204"/>
      <c r="E687" s="2204"/>
      <c r="F687" s="2204"/>
      <c r="G687" s="2204"/>
      <c r="H687" s="2204"/>
      <c r="I687" s="2205"/>
      <c r="J687" s="2204"/>
      <c r="K687" s="2204"/>
      <c r="L687" s="2204"/>
      <c r="M687" s="2204"/>
      <c r="N687" s="2204"/>
      <c r="O687" s="2204"/>
      <c r="P687" s="2204"/>
      <c r="Q687" s="2204"/>
      <c r="R687" s="2204"/>
      <c r="S687" s="2204"/>
      <c r="T687" s="2204"/>
    </row>
    <row r="688" spans="1:20">
      <c r="A688" s="2204"/>
      <c r="B688" s="2204"/>
      <c r="C688" s="2204"/>
      <c r="D688" s="2204"/>
      <c r="E688" s="2204"/>
      <c r="F688" s="2204"/>
      <c r="G688" s="2204"/>
      <c r="H688" s="2204"/>
      <c r="I688" s="2205"/>
      <c r="J688" s="2204"/>
      <c r="K688" s="2204"/>
      <c r="L688" s="2204"/>
      <c r="M688" s="2204"/>
      <c r="N688" s="2204"/>
      <c r="O688" s="2204"/>
      <c r="P688" s="2204"/>
      <c r="Q688" s="2204"/>
      <c r="R688" s="2204"/>
      <c r="S688" s="2204"/>
      <c r="T688" s="2204"/>
    </row>
    <row r="689" spans="1:20">
      <c r="A689" s="2204"/>
      <c r="B689" s="2204"/>
      <c r="C689" s="2204"/>
      <c r="D689" s="2204"/>
      <c r="E689" s="2204"/>
      <c r="F689" s="2204"/>
      <c r="G689" s="2204"/>
      <c r="H689" s="2204"/>
      <c r="I689" s="2205"/>
      <c r="J689" s="2204"/>
      <c r="K689" s="2204"/>
      <c r="L689" s="2204"/>
      <c r="M689" s="2204"/>
      <c r="N689" s="2204"/>
      <c r="O689" s="2204"/>
      <c r="P689" s="2204"/>
      <c r="Q689" s="2204"/>
      <c r="R689" s="2204"/>
      <c r="S689" s="2204"/>
      <c r="T689" s="2204"/>
    </row>
    <row r="690" spans="1:20">
      <c r="A690" s="2204"/>
      <c r="B690" s="2204"/>
      <c r="C690" s="2204"/>
      <c r="D690" s="2204"/>
      <c r="E690" s="2204"/>
      <c r="F690" s="2204"/>
      <c r="G690" s="2204"/>
      <c r="H690" s="2204"/>
      <c r="I690" s="2205"/>
      <c r="J690" s="2204"/>
      <c r="K690" s="2204"/>
      <c r="L690" s="2204"/>
      <c r="M690" s="2204"/>
      <c r="N690" s="2204"/>
      <c r="O690" s="2204"/>
      <c r="P690" s="2204"/>
      <c r="Q690" s="2204"/>
      <c r="R690" s="2204"/>
      <c r="S690" s="2204"/>
      <c r="T690" s="2204"/>
    </row>
    <row r="691" spans="1:20">
      <c r="A691" s="2204"/>
      <c r="B691" s="2204"/>
      <c r="C691" s="2204"/>
      <c r="D691" s="2204"/>
      <c r="E691" s="2204"/>
      <c r="F691" s="2204"/>
      <c r="G691" s="2204"/>
      <c r="H691" s="2204"/>
      <c r="I691" s="2205"/>
      <c r="J691" s="2204"/>
      <c r="K691" s="2204"/>
      <c r="L691" s="2204"/>
      <c r="M691" s="2204"/>
      <c r="N691" s="2204"/>
      <c r="O691" s="2204"/>
      <c r="P691" s="2204"/>
      <c r="Q691" s="2204"/>
      <c r="R691" s="2204"/>
      <c r="S691" s="2204"/>
      <c r="T691" s="2204"/>
    </row>
    <row r="692" spans="1:20">
      <c r="A692" s="2204"/>
      <c r="B692" s="2204"/>
      <c r="C692" s="2204"/>
      <c r="D692" s="2204"/>
      <c r="E692" s="2204"/>
      <c r="F692" s="2204"/>
      <c r="G692" s="2204"/>
      <c r="H692" s="2204"/>
      <c r="I692" s="2205"/>
      <c r="J692" s="2204"/>
      <c r="K692" s="2204"/>
      <c r="L692" s="2204"/>
      <c r="M692" s="2204"/>
      <c r="N692" s="2204"/>
      <c r="O692" s="2204"/>
      <c r="P692" s="2204"/>
      <c r="Q692" s="2204"/>
      <c r="R692" s="2204"/>
      <c r="S692" s="2204"/>
      <c r="T692" s="2204"/>
    </row>
    <row r="693" spans="1:20">
      <c r="A693" s="2204"/>
      <c r="B693" s="2204"/>
      <c r="C693" s="2204"/>
      <c r="D693" s="2204"/>
      <c r="E693" s="2204"/>
      <c r="F693" s="2204"/>
      <c r="G693" s="2204"/>
      <c r="H693" s="2204"/>
      <c r="I693" s="2205"/>
      <c r="J693" s="2204"/>
      <c r="K693" s="2204"/>
      <c r="L693" s="2204"/>
      <c r="M693" s="2204"/>
      <c r="N693" s="2204"/>
      <c r="O693" s="2204"/>
      <c r="P693" s="2204"/>
      <c r="Q693" s="2204"/>
      <c r="R693" s="2204"/>
      <c r="S693" s="2204"/>
      <c r="T693" s="2204"/>
    </row>
    <row r="694" spans="1:20">
      <c r="A694" s="2204"/>
      <c r="B694" s="2204"/>
      <c r="C694" s="2204"/>
      <c r="D694" s="2204"/>
      <c r="E694" s="2204"/>
      <c r="F694" s="2204"/>
      <c r="G694" s="2204"/>
      <c r="H694" s="2204"/>
      <c r="I694" s="2205"/>
      <c r="J694" s="2204"/>
      <c r="K694" s="2204"/>
      <c r="L694" s="2204"/>
      <c r="M694" s="2204"/>
      <c r="N694" s="2204"/>
      <c r="O694" s="2204"/>
      <c r="P694" s="2204"/>
      <c r="Q694" s="2204"/>
      <c r="R694" s="2204"/>
      <c r="S694" s="2204"/>
      <c r="T694" s="2204"/>
    </row>
    <row r="695" spans="1:20">
      <c r="A695" s="2204"/>
      <c r="B695" s="2204"/>
      <c r="C695" s="2204"/>
      <c r="D695" s="2204"/>
      <c r="E695" s="2204"/>
      <c r="F695" s="2204"/>
      <c r="G695" s="2204"/>
      <c r="H695" s="2204"/>
      <c r="I695" s="2205"/>
      <c r="J695" s="2204"/>
      <c r="K695" s="2204"/>
      <c r="L695" s="2204"/>
      <c r="M695" s="2204"/>
      <c r="N695" s="2204"/>
      <c r="O695" s="2204"/>
      <c r="P695" s="2204"/>
      <c r="Q695" s="2204"/>
      <c r="R695" s="2204"/>
      <c r="S695" s="2204"/>
      <c r="T695" s="2204"/>
    </row>
    <row r="696" spans="1:20">
      <c r="A696" s="2204"/>
      <c r="B696" s="2204"/>
      <c r="C696" s="2204"/>
      <c r="D696" s="2204"/>
      <c r="E696" s="2204"/>
      <c r="F696" s="2204"/>
      <c r="G696" s="2204"/>
      <c r="H696" s="2204"/>
      <c r="I696" s="2205"/>
      <c r="J696" s="2204"/>
      <c r="K696" s="2204"/>
      <c r="L696" s="2204"/>
      <c r="M696" s="2204"/>
      <c r="N696" s="2204"/>
      <c r="O696" s="2204"/>
      <c r="P696" s="2204"/>
      <c r="Q696" s="2204"/>
      <c r="R696" s="2204"/>
      <c r="S696" s="2204"/>
      <c r="T696" s="2204"/>
    </row>
    <row r="697" spans="1:20">
      <c r="A697" s="2204"/>
      <c r="B697" s="2204"/>
      <c r="C697" s="2204"/>
      <c r="D697" s="2204"/>
      <c r="E697" s="2204"/>
      <c r="F697" s="2204"/>
      <c r="G697" s="2204"/>
      <c r="H697" s="2204"/>
      <c r="I697" s="2205"/>
      <c r="J697" s="2204"/>
      <c r="K697" s="2204"/>
      <c r="L697" s="2204"/>
      <c r="M697" s="2204"/>
      <c r="N697" s="2204"/>
      <c r="O697" s="2204"/>
      <c r="P697" s="2204"/>
      <c r="Q697" s="2204"/>
      <c r="R697" s="2204"/>
      <c r="S697" s="2204"/>
      <c r="T697" s="2204"/>
    </row>
    <row r="698" spans="1:20">
      <c r="A698" s="2204"/>
      <c r="B698" s="2204"/>
      <c r="C698" s="2204"/>
      <c r="D698" s="2204"/>
      <c r="E698" s="2204"/>
      <c r="F698" s="2204"/>
      <c r="G698" s="2204"/>
      <c r="H698" s="2204"/>
      <c r="I698" s="2205"/>
      <c r="J698" s="2204"/>
      <c r="K698" s="2204"/>
      <c r="L698" s="2204"/>
      <c r="M698" s="2204"/>
      <c r="N698" s="2204"/>
      <c r="O698" s="2204"/>
      <c r="P698" s="2204"/>
      <c r="Q698" s="2204"/>
      <c r="R698" s="2204"/>
      <c r="S698" s="2204"/>
      <c r="T698" s="2204"/>
    </row>
    <row r="699" spans="1:20">
      <c r="A699" s="2204"/>
      <c r="B699" s="2204"/>
      <c r="C699" s="2204"/>
      <c r="D699" s="2204"/>
      <c r="E699" s="2204"/>
      <c r="F699" s="2204"/>
      <c r="G699" s="2204"/>
      <c r="H699" s="2204"/>
      <c r="I699" s="2205"/>
      <c r="J699" s="2204"/>
      <c r="K699" s="2204"/>
      <c r="L699" s="2204"/>
      <c r="M699" s="2204"/>
      <c r="N699" s="2204"/>
      <c r="O699" s="2204"/>
      <c r="P699" s="2204"/>
      <c r="Q699" s="2204"/>
      <c r="R699" s="2204"/>
      <c r="S699" s="2204"/>
      <c r="T699" s="2204"/>
    </row>
    <row r="700" spans="1:20">
      <c r="A700" s="2204"/>
      <c r="B700" s="2204"/>
      <c r="C700" s="2204"/>
      <c r="D700" s="2204"/>
      <c r="E700" s="2204"/>
      <c r="F700" s="2204"/>
      <c r="G700" s="2204"/>
      <c r="H700" s="2204"/>
      <c r="I700" s="2205"/>
      <c r="J700" s="2204"/>
      <c r="K700" s="2204"/>
      <c r="L700" s="2204"/>
      <c r="M700" s="2204"/>
      <c r="N700" s="2204"/>
      <c r="O700" s="2204"/>
      <c r="P700" s="2204"/>
      <c r="Q700" s="2204"/>
      <c r="R700" s="2204"/>
      <c r="S700" s="2204"/>
      <c r="T700" s="2204"/>
    </row>
    <row r="701" spans="1:20">
      <c r="A701" s="2204"/>
      <c r="B701" s="2204"/>
      <c r="C701" s="2204"/>
      <c r="D701" s="2204"/>
      <c r="E701" s="2204"/>
      <c r="F701" s="2204"/>
      <c r="G701" s="2204"/>
      <c r="H701" s="2204"/>
      <c r="I701" s="2205"/>
      <c r="J701" s="2204"/>
      <c r="K701" s="2204"/>
      <c r="L701" s="2204"/>
      <c r="M701" s="2204"/>
      <c r="N701" s="2204"/>
      <c r="O701" s="2204"/>
      <c r="P701" s="2204"/>
      <c r="Q701" s="2204"/>
      <c r="R701" s="2204"/>
      <c r="S701" s="2204"/>
      <c r="T701" s="2204"/>
    </row>
    <row r="702" spans="1:20">
      <c r="A702" s="2204"/>
      <c r="B702" s="2204"/>
      <c r="C702" s="2204"/>
      <c r="D702" s="2204"/>
      <c r="E702" s="2204"/>
      <c r="F702" s="2204"/>
      <c r="G702" s="2204"/>
      <c r="H702" s="2204"/>
      <c r="I702" s="2205"/>
      <c r="J702" s="2204"/>
      <c r="K702" s="2204"/>
      <c r="L702" s="2204"/>
      <c r="M702" s="2204"/>
      <c r="N702" s="2204"/>
      <c r="O702" s="2204"/>
      <c r="P702" s="2204"/>
      <c r="Q702" s="2204"/>
      <c r="R702" s="2204"/>
      <c r="S702" s="2204"/>
      <c r="T702" s="2204"/>
    </row>
    <row r="703" spans="1:20">
      <c r="A703" s="2204"/>
      <c r="B703" s="2204"/>
      <c r="C703" s="2204"/>
      <c r="D703" s="2204"/>
      <c r="E703" s="2204"/>
      <c r="F703" s="2204"/>
      <c r="G703" s="2204"/>
      <c r="H703" s="2204"/>
      <c r="I703" s="2205"/>
      <c r="J703" s="2204"/>
      <c r="K703" s="2204"/>
      <c r="L703" s="2204"/>
      <c r="M703" s="2204"/>
      <c r="N703" s="2204"/>
      <c r="O703" s="2204"/>
      <c r="P703" s="2204"/>
      <c r="Q703" s="2204"/>
      <c r="R703" s="2204"/>
      <c r="S703" s="2204"/>
      <c r="T703" s="2204"/>
    </row>
    <row r="704" spans="1:20">
      <c r="A704" s="2204"/>
      <c r="B704" s="2204"/>
      <c r="C704" s="2204"/>
      <c r="D704" s="2204"/>
      <c r="E704" s="2204"/>
      <c r="F704" s="2204"/>
      <c r="G704" s="2204"/>
      <c r="H704" s="2204"/>
      <c r="I704" s="2205"/>
      <c r="J704" s="2204"/>
      <c r="K704" s="2204"/>
      <c r="L704" s="2204"/>
      <c r="M704" s="2204"/>
      <c r="N704" s="2204"/>
      <c r="O704" s="2204"/>
      <c r="P704" s="2204"/>
      <c r="Q704" s="2204"/>
      <c r="R704" s="2204"/>
      <c r="S704" s="2204"/>
      <c r="T704" s="2204"/>
    </row>
    <row r="705" spans="1:20">
      <c r="A705" s="2204"/>
      <c r="B705" s="2204"/>
      <c r="C705" s="2204"/>
      <c r="D705" s="2204"/>
      <c r="E705" s="2204"/>
      <c r="F705" s="2204"/>
      <c r="G705" s="2204"/>
      <c r="H705" s="2204"/>
      <c r="I705" s="2205"/>
      <c r="J705" s="2204"/>
      <c r="K705" s="2204"/>
      <c r="L705" s="2204"/>
      <c r="M705" s="2204"/>
      <c r="N705" s="2204"/>
      <c r="O705" s="2204"/>
      <c r="P705" s="2204"/>
      <c r="Q705" s="2204"/>
      <c r="R705" s="2204"/>
      <c r="S705" s="2204"/>
      <c r="T705" s="2204"/>
    </row>
    <row r="706" spans="1:20">
      <c r="A706" s="2204"/>
      <c r="B706" s="2204"/>
      <c r="C706" s="2204"/>
      <c r="D706" s="2204"/>
      <c r="E706" s="2204"/>
      <c r="F706" s="2204"/>
      <c r="G706" s="2204"/>
      <c r="H706" s="2204"/>
      <c r="I706" s="2205"/>
      <c r="J706" s="2204"/>
      <c r="K706" s="2204"/>
      <c r="L706" s="2204"/>
      <c r="M706" s="2204"/>
      <c r="N706" s="2204"/>
      <c r="O706" s="2204"/>
      <c r="P706" s="2204"/>
      <c r="Q706" s="2204"/>
      <c r="R706" s="2204"/>
      <c r="S706" s="2204"/>
      <c r="T706" s="2204"/>
    </row>
    <row r="707" spans="1:20">
      <c r="A707" s="2204"/>
      <c r="B707" s="2204"/>
      <c r="C707" s="2204"/>
      <c r="D707" s="2204"/>
      <c r="E707" s="2204"/>
      <c r="F707" s="2204"/>
      <c r="G707" s="2204"/>
      <c r="H707" s="2204"/>
      <c r="I707" s="2205"/>
      <c r="J707" s="2204"/>
      <c r="K707" s="2204"/>
      <c r="L707" s="2204"/>
      <c r="M707" s="2204"/>
      <c r="N707" s="2204"/>
      <c r="O707" s="2204"/>
      <c r="P707" s="2204"/>
      <c r="Q707" s="2204"/>
      <c r="R707" s="2204"/>
      <c r="S707" s="2204"/>
      <c r="T707" s="2204"/>
    </row>
    <row r="708" spans="1:20">
      <c r="A708" s="2204"/>
      <c r="B708" s="2204"/>
      <c r="C708" s="2204"/>
      <c r="D708" s="2204"/>
      <c r="E708" s="2204"/>
      <c r="F708" s="2204"/>
      <c r="G708" s="2204"/>
      <c r="H708" s="2204"/>
      <c r="I708" s="2205"/>
      <c r="J708" s="2204"/>
      <c r="K708" s="2204"/>
      <c r="L708" s="2204"/>
      <c r="M708" s="2204"/>
      <c r="N708" s="2204"/>
      <c r="O708" s="2204"/>
      <c r="P708" s="2204"/>
      <c r="Q708" s="2204"/>
      <c r="R708" s="2204"/>
      <c r="S708" s="2204"/>
      <c r="T708" s="2204"/>
    </row>
    <row r="709" spans="1:20">
      <c r="A709" s="2204"/>
      <c r="B709" s="2204"/>
      <c r="C709" s="2204"/>
      <c r="D709" s="2204"/>
      <c r="E709" s="2204"/>
      <c r="F709" s="2204"/>
      <c r="G709" s="2204"/>
      <c r="H709" s="2204"/>
      <c r="I709" s="2205"/>
      <c r="J709" s="2204"/>
      <c r="K709" s="2204"/>
      <c r="L709" s="2204"/>
      <c r="M709" s="2204"/>
      <c r="N709" s="2204"/>
      <c r="O709" s="2204"/>
      <c r="P709" s="2204"/>
      <c r="Q709" s="2204"/>
      <c r="R709" s="2204"/>
      <c r="S709" s="2204"/>
      <c r="T709" s="2204"/>
    </row>
    <row r="710" spans="1:20">
      <c r="A710" s="2204"/>
      <c r="B710" s="2204"/>
      <c r="C710" s="2204"/>
      <c r="D710" s="2204"/>
      <c r="E710" s="2204"/>
      <c r="F710" s="2204"/>
      <c r="G710" s="2204"/>
      <c r="H710" s="2204"/>
      <c r="I710" s="2205"/>
      <c r="J710" s="2204"/>
      <c r="K710" s="2204"/>
      <c r="L710" s="2204"/>
      <c r="M710" s="2204"/>
      <c r="N710" s="2204"/>
      <c r="O710" s="2204"/>
      <c r="P710" s="2204"/>
      <c r="Q710" s="2204"/>
      <c r="R710" s="2204"/>
      <c r="S710" s="2204"/>
      <c r="T710" s="2204"/>
    </row>
    <row r="711" spans="1:20">
      <c r="A711" s="2204"/>
      <c r="B711" s="2204"/>
      <c r="C711" s="2204"/>
      <c r="D711" s="2204"/>
      <c r="E711" s="2204"/>
      <c r="F711" s="2204"/>
      <c r="G711" s="2204"/>
      <c r="H711" s="2204"/>
      <c r="I711" s="2205"/>
      <c r="J711" s="2204"/>
      <c r="K711" s="2204"/>
      <c r="L711" s="2204"/>
      <c r="M711" s="2204"/>
      <c r="N711" s="2204"/>
      <c r="O711" s="2204"/>
      <c r="P711" s="2204"/>
      <c r="Q711" s="2204"/>
      <c r="R711" s="2204"/>
      <c r="S711" s="2204"/>
      <c r="T711" s="2204"/>
    </row>
    <row r="712" spans="1:20">
      <c r="A712" s="2204"/>
      <c r="B712" s="2204"/>
      <c r="C712" s="2204"/>
      <c r="D712" s="2204"/>
      <c r="E712" s="2204"/>
      <c r="F712" s="2204"/>
      <c r="G712" s="2204"/>
      <c r="H712" s="2204"/>
      <c r="I712" s="2205"/>
      <c r="J712" s="2204"/>
      <c r="K712" s="2204"/>
      <c r="L712" s="2204"/>
      <c r="M712" s="2204"/>
      <c r="N712" s="2204"/>
      <c r="O712" s="2204"/>
      <c r="P712" s="2204"/>
      <c r="Q712" s="2204"/>
      <c r="R712" s="2204"/>
      <c r="S712" s="2204"/>
      <c r="T712" s="2204"/>
    </row>
    <row r="713" spans="1:20">
      <c r="A713" s="2204"/>
      <c r="B713" s="2204"/>
      <c r="C713" s="2204"/>
      <c r="D713" s="2204"/>
      <c r="E713" s="2204"/>
      <c r="F713" s="2204"/>
      <c r="G713" s="2204"/>
      <c r="H713" s="2204"/>
      <c r="I713" s="2205"/>
      <c r="J713" s="2204"/>
      <c r="K713" s="2204"/>
      <c r="L713" s="2204"/>
      <c r="M713" s="2204"/>
      <c r="N713" s="2204"/>
      <c r="O713" s="2204"/>
      <c r="P713" s="2204"/>
      <c r="Q713" s="2204"/>
      <c r="R713" s="2204"/>
      <c r="S713" s="2204"/>
      <c r="T713" s="2204"/>
    </row>
    <row r="714" spans="1:20">
      <c r="A714" s="2204"/>
      <c r="B714" s="2204"/>
      <c r="C714" s="2204"/>
      <c r="D714" s="2204"/>
      <c r="E714" s="2204"/>
      <c r="F714" s="2204"/>
      <c r="G714" s="2204"/>
      <c r="H714" s="2204"/>
      <c r="I714" s="2205"/>
      <c r="J714" s="2204"/>
      <c r="K714" s="2204"/>
      <c r="L714" s="2204"/>
      <c r="M714" s="2204"/>
      <c r="N714" s="2204"/>
      <c r="O714" s="2204"/>
      <c r="P714" s="2204"/>
      <c r="Q714" s="2204"/>
      <c r="R714" s="2204"/>
      <c r="S714" s="2204"/>
      <c r="T714" s="2204"/>
    </row>
    <row r="715" spans="1:20">
      <c r="A715" s="2204"/>
      <c r="B715" s="2204"/>
      <c r="C715" s="2204"/>
      <c r="D715" s="2204"/>
      <c r="E715" s="2204"/>
      <c r="F715" s="2204"/>
      <c r="G715" s="2204"/>
      <c r="H715" s="2204"/>
      <c r="I715" s="2205"/>
      <c r="J715" s="2204"/>
      <c r="K715" s="2204"/>
      <c r="L715" s="2204"/>
      <c r="M715" s="2204"/>
      <c r="N715" s="2204"/>
      <c r="O715" s="2204"/>
      <c r="P715" s="2204"/>
      <c r="Q715" s="2204"/>
      <c r="R715" s="2204"/>
      <c r="S715" s="2204"/>
      <c r="T715" s="2204"/>
    </row>
    <row r="716" spans="1:20">
      <c r="A716" s="2204"/>
      <c r="B716" s="2204"/>
      <c r="C716" s="2204"/>
      <c r="D716" s="2204"/>
      <c r="E716" s="2204"/>
      <c r="F716" s="2204"/>
      <c r="G716" s="2204"/>
      <c r="H716" s="2204"/>
      <c r="I716" s="2205"/>
      <c r="J716" s="2204"/>
      <c r="K716" s="2204"/>
      <c r="L716" s="2204"/>
      <c r="M716" s="2204"/>
      <c r="N716" s="2204"/>
      <c r="O716" s="2204"/>
      <c r="P716" s="2204"/>
      <c r="Q716" s="2204"/>
      <c r="R716" s="2204"/>
      <c r="S716" s="2204"/>
      <c r="T716" s="2204"/>
    </row>
    <row r="717" spans="1:20">
      <c r="A717" s="2204"/>
      <c r="B717" s="2204"/>
      <c r="C717" s="2204"/>
      <c r="D717" s="2204"/>
      <c r="E717" s="2204"/>
      <c r="F717" s="2204"/>
      <c r="G717" s="2204"/>
      <c r="H717" s="2204"/>
      <c r="I717" s="2205"/>
      <c r="J717" s="2204"/>
      <c r="K717" s="2204"/>
      <c r="L717" s="2204"/>
      <c r="M717" s="2204"/>
      <c r="N717" s="2204"/>
      <c r="O717" s="2204"/>
      <c r="P717" s="2204"/>
      <c r="Q717" s="2204"/>
      <c r="R717" s="2204"/>
      <c r="S717" s="2204"/>
      <c r="T717" s="2204"/>
    </row>
    <row r="718" spans="1:20">
      <c r="A718" s="2204"/>
      <c r="B718" s="2204"/>
      <c r="C718" s="2204"/>
      <c r="D718" s="2204"/>
      <c r="E718" s="2204"/>
      <c r="F718" s="2204"/>
      <c r="G718" s="2204"/>
      <c r="H718" s="2204"/>
      <c r="I718" s="2205"/>
      <c r="J718" s="2204"/>
      <c r="K718" s="2204"/>
      <c r="L718" s="2204"/>
      <c r="M718" s="2204"/>
      <c r="N718" s="2204"/>
      <c r="O718" s="2204"/>
      <c r="P718" s="2204"/>
      <c r="Q718" s="2204"/>
      <c r="R718" s="2204"/>
      <c r="S718" s="2204"/>
      <c r="T718" s="2204"/>
    </row>
    <row r="719" spans="1:20">
      <c r="A719" s="2204"/>
      <c r="B719" s="2204"/>
      <c r="C719" s="2204"/>
      <c r="D719" s="2204"/>
      <c r="E719" s="2204"/>
      <c r="F719" s="2204"/>
      <c r="G719" s="2204"/>
      <c r="H719" s="2204"/>
      <c r="I719" s="2205"/>
      <c r="J719" s="2204"/>
      <c r="K719" s="2204"/>
      <c r="L719" s="2204"/>
      <c r="M719" s="2204"/>
      <c r="N719" s="2204"/>
      <c r="O719" s="2204"/>
      <c r="P719" s="2204"/>
      <c r="Q719" s="2204"/>
      <c r="R719" s="2204"/>
      <c r="S719" s="2204"/>
      <c r="T719" s="2204"/>
    </row>
    <row r="720" spans="1:20">
      <c r="A720" s="2204"/>
      <c r="B720" s="2204"/>
      <c r="C720" s="2204"/>
      <c r="D720" s="2204"/>
      <c r="E720" s="2204"/>
      <c r="F720" s="2204"/>
      <c r="G720" s="2204"/>
      <c r="H720" s="2204"/>
      <c r="I720" s="2205"/>
      <c r="J720" s="2204"/>
      <c r="K720" s="2204"/>
      <c r="L720" s="2204"/>
      <c r="M720" s="2204"/>
      <c r="N720" s="2204"/>
      <c r="O720" s="2204"/>
      <c r="P720" s="2204"/>
      <c r="Q720" s="2204"/>
      <c r="R720" s="2204"/>
      <c r="S720" s="2204"/>
      <c r="T720" s="2204"/>
    </row>
    <row r="721" spans="1:20">
      <c r="A721" s="2204"/>
      <c r="B721" s="2204"/>
      <c r="C721" s="2204"/>
      <c r="D721" s="2204"/>
      <c r="E721" s="2204"/>
      <c r="F721" s="2204"/>
      <c r="G721" s="2204"/>
      <c r="H721" s="2204"/>
      <c r="I721" s="2205"/>
      <c r="J721" s="2204"/>
      <c r="K721" s="2204"/>
      <c r="L721" s="2204"/>
      <c r="M721" s="2204"/>
      <c r="N721" s="2204"/>
      <c r="O721" s="2204"/>
      <c r="P721" s="2204"/>
      <c r="Q721" s="2204"/>
      <c r="R721" s="2204"/>
      <c r="S721" s="2204"/>
      <c r="T721" s="2204"/>
    </row>
    <row r="722" spans="1:20">
      <c r="A722" s="2204"/>
      <c r="B722" s="2204"/>
      <c r="C722" s="2204"/>
      <c r="D722" s="2204"/>
      <c r="E722" s="2204"/>
      <c r="F722" s="2204"/>
      <c r="G722" s="2204"/>
      <c r="H722" s="2204"/>
      <c r="I722" s="2205"/>
      <c r="J722" s="2204"/>
      <c r="K722" s="2204"/>
      <c r="L722" s="2204"/>
      <c r="M722" s="2204"/>
      <c r="N722" s="2204"/>
      <c r="O722" s="2204"/>
      <c r="P722" s="2204"/>
      <c r="Q722" s="2204"/>
      <c r="R722" s="2204"/>
      <c r="S722" s="2204"/>
      <c r="T722" s="2204"/>
    </row>
    <row r="723" spans="1:20">
      <c r="A723" s="2204"/>
      <c r="B723" s="2204"/>
      <c r="C723" s="2204"/>
      <c r="D723" s="2204"/>
      <c r="E723" s="2204"/>
      <c r="F723" s="2204"/>
      <c r="G723" s="2204"/>
      <c r="H723" s="2204"/>
      <c r="I723" s="2205"/>
      <c r="J723" s="2204"/>
      <c r="K723" s="2204"/>
      <c r="L723" s="2204"/>
      <c r="M723" s="2204"/>
      <c r="N723" s="2204"/>
      <c r="O723" s="2204"/>
      <c r="P723" s="2204"/>
      <c r="Q723" s="2204"/>
      <c r="R723" s="2204"/>
      <c r="S723" s="2204"/>
      <c r="T723" s="2204"/>
    </row>
    <row r="724" spans="1:20">
      <c r="A724" s="2204"/>
      <c r="B724" s="2204"/>
      <c r="C724" s="2204"/>
      <c r="D724" s="2204"/>
      <c r="E724" s="2204"/>
      <c r="F724" s="2204"/>
      <c r="G724" s="2204"/>
      <c r="H724" s="2204"/>
      <c r="I724" s="2205"/>
      <c r="J724" s="2204"/>
      <c r="K724" s="2204"/>
      <c r="L724" s="2204"/>
      <c r="M724" s="2204"/>
      <c r="N724" s="2204"/>
      <c r="O724" s="2204"/>
      <c r="P724" s="2204"/>
      <c r="Q724" s="2204"/>
      <c r="R724" s="2204"/>
      <c r="S724" s="2204"/>
      <c r="T724" s="2204"/>
    </row>
    <row r="725" spans="1:20">
      <c r="A725" s="2204"/>
      <c r="B725" s="2204"/>
      <c r="C725" s="2204"/>
      <c r="D725" s="2204"/>
      <c r="E725" s="2204"/>
      <c r="F725" s="2204"/>
      <c r="G725" s="2204"/>
      <c r="H725" s="2204"/>
      <c r="I725" s="2205"/>
      <c r="J725" s="2204"/>
      <c r="K725" s="2204"/>
      <c r="L725" s="2204"/>
      <c r="M725" s="2204"/>
      <c r="N725" s="2204"/>
      <c r="O725" s="2204"/>
      <c r="P725" s="2204"/>
      <c r="Q725" s="2204"/>
      <c r="R725" s="2204"/>
      <c r="S725" s="2204"/>
      <c r="T725" s="2204"/>
    </row>
    <row r="726" spans="1:20">
      <c r="A726" s="2204"/>
      <c r="B726" s="2204"/>
      <c r="C726" s="2204"/>
      <c r="D726" s="2204"/>
      <c r="E726" s="2204"/>
      <c r="F726" s="2204"/>
      <c r="G726" s="2204"/>
      <c r="H726" s="2204"/>
      <c r="I726" s="2205"/>
      <c r="J726" s="2204"/>
      <c r="K726" s="2204"/>
      <c r="L726" s="2204"/>
      <c r="M726" s="2204"/>
      <c r="N726" s="2204"/>
      <c r="O726" s="2204"/>
      <c r="P726" s="2204"/>
      <c r="Q726" s="2204"/>
      <c r="R726" s="2204"/>
      <c r="S726" s="2204"/>
      <c r="T726" s="2204"/>
    </row>
    <row r="727" spans="1:20">
      <c r="A727" s="2204"/>
      <c r="B727" s="2204"/>
      <c r="C727" s="2204"/>
      <c r="D727" s="2204"/>
      <c r="E727" s="2204"/>
      <c r="F727" s="2204"/>
      <c r="G727" s="2204"/>
      <c r="H727" s="2204"/>
      <c r="I727" s="2205"/>
      <c r="J727" s="2204"/>
      <c r="K727" s="2204"/>
      <c r="L727" s="2204"/>
      <c r="M727" s="2204"/>
      <c r="N727" s="2204"/>
      <c r="O727" s="2204"/>
      <c r="P727" s="2204"/>
      <c r="Q727" s="2204"/>
      <c r="R727" s="2204"/>
      <c r="S727" s="2204"/>
      <c r="T727" s="2204"/>
    </row>
    <row r="728" spans="1:20">
      <c r="A728" s="2204"/>
      <c r="B728" s="2204"/>
      <c r="C728" s="2204"/>
      <c r="D728" s="2204"/>
      <c r="E728" s="2204"/>
      <c r="F728" s="2204"/>
      <c r="G728" s="2204"/>
      <c r="H728" s="2204"/>
      <c r="I728" s="2205"/>
      <c r="J728" s="2204"/>
      <c r="K728" s="2204"/>
      <c r="L728" s="2204"/>
      <c r="M728" s="2204"/>
      <c r="N728" s="2204"/>
      <c r="O728" s="2204"/>
      <c r="P728" s="2204"/>
      <c r="Q728" s="2204"/>
      <c r="R728" s="2204"/>
      <c r="S728" s="2204"/>
      <c r="T728" s="2204"/>
    </row>
    <row r="729" spans="1:20">
      <c r="A729" s="2204"/>
      <c r="B729" s="2204"/>
      <c r="C729" s="2204"/>
      <c r="D729" s="2204"/>
      <c r="E729" s="2204"/>
      <c r="F729" s="2204"/>
      <c r="G729" s="2204"/>
      <c r="H729" s="2204"/>
      <c r="I729" s="2205"/>
      <c r="J729" s="2204"/>
      <c r="K729" s="2204"/>
      <c r="L729" s="2204"/>
      <c r="M729" s="2204"/>
      <c r="N729" s="2204"/>
      <c r="O729" s="2204"/>
      <c r="P729" s="2204"/>
      <c r="Q729" s="2204"/>
      <c r="R729" s="2204"/>
      <c r="S729" s="2204"/>
      <c r="T729" s="2204"/>
    </row>
    <row r="730" spans="1:20">
      <c r="A730" s="2204"/>
      <c r="B730" s="2204"/>
      <c r="C730" s="2204"/>
      <c r="D730" s="2204"/>
      <c r="E730" s="2204"/>
      <c r="F730" s="2204"/>
      <c r="G730" s="2204"/>
      <c r="H730" s="2204"/>
      <c r="I730" s="2205"/>
      <c r="J730" s="2204"/>
      <c r="K730" s="2204"/>
      <c r="L730" s="2204"/>
      <c r="M730" s="2204"/>
      <c r="N730" s="2204"/>
      <c r="O730" s="2204"/>
      <c r="P730" s="2204"/>
      <c r="Q730" s="2204"/>
      <c r="R730" s="2204"/>
      <c r="S730" s="2204"/>
      <c r="T730" s="2204"/>
    </row>
    <row r="731" spans="1:20">
      <c r="A731" s="2204"/>
      <c r="B731" s="2204"/>
      <c r="C731" s="2204"/>
      <c r="D731" s="2204"/>
      <c r="E731" s="2204"/>
      <c r="F731" s="2204"/>
      <c r="G731" s="2204"/>
      <c r="H731" s="2204"/>
      <c r="I731" s="2205"/>
      <c r="J731" s="2204"/>
      <c r="K731" s="2204"/>
      <c r="L731" s="2204"/>
      <c r="M731" s="2204"/>
      <c r="N731" s="2204"/>
      <c r="O731" s="2204"/>
      <c r="P731" s="2204"/>
      <c r="Q731" s="2204"/>
      <c r="R731" s="2204"/>
      <c r="S731" s="2204"/>
      <c r="T731" s="2204"/>
    </row>
    <row r="732" spans="1:20">
      <c r="A732" s="2204"/>
      <c r="B732" s="2204"/>
      <c r="C732" s="2204"/>
      <c r="D732" s="2204"/>
      <c r="E732" s="2204"/>
      <c r="F732" s="2204"/>
      <c r="G732" s="2204"/>
      <c r="H732" s="2204"/>
      <c r="I732" s="2205"/>
      <c r="J732" s="2204"/>
      <c r="K732" s="2204"/>
      <c r="L732" s="2204"/>
      <c r="M732" s="2204"/>
      <c r="N732" s="2204"/>
      <c r="O732" s="2204"/>
      <c r="P732" s="2204"/>
      <c r="Q732" s="2204"/>
      <c r="R732" s="2204"/>
      <c r="S732" s="2204"/>
      <c r="T732" s="2204"/>
    </row>
    <row r="733" spans="1:20">
      <c r="A733" s="2204"/>
      <c r="B733" s="2204"/>
      <c r="C733" s="2204"/>
      <c r="D733" s="2204"/>
      <c r="E733" s="2204"/>
      <c r="F733" s="2204"/>
      <c r="G733" s="2204"/>
      <c r="H733" s="2204"/>
      <c r="I733" s="2205"/>
      <c r="J733" s="2204"/>
      <c r="K733" s="2204"/>
      <c r="L733" s="2204"/>
      <c r="M733" s="2204"/>
      <c r="N733" s="2204"/>
      <c r="O733" s="2204"/>
      <c r="P733" s="2204"/>
      <c r="Q733" s="2204"/>
      <c r="R733" s="2204"/>
      <c r="S733" s="2204"/>
      <c r="T733" s="2204"/>
    </row>
    <row r="734" spans="1:20">
      <c r="A734" s="2204"/>
      <c r="B734" s="2204"/>
      <c r="C734" s="2204"/>
      <c r="D734" s="2204"/>
      <c r="E734" s="2204"/>
      <c r="F734" s="2204"/>
      <c r="G734" s="2204"/>
      <c r="H734" s="2204"/>
      <c r="I734" s="2205"/>
      <c r="J734" s="2204"/>
      <c r="K734" s="2204"/>
      <c r="L734" s="2204"/>
      <c r="M734" s="2204"/>
      <c r="N734" s="2204"/>
      <c r="O734" s="2204"/>
      <c r="P734" s="2204"/>
      <c r="Q734" s="2204"/>
      <c r="R734" s="2204"/>
      <c r="S734" s="2204"/>
      <c r="T734" s="2204"/>
    </row>
    <row r="735" spans="1:20">
      <c r="A735" s="2204"/>
      <c r="B735" s="2204"/>
      <c r="C735" s="2204"/>
      <c r="D735" s="2204"/>
      <c r="E735" s="2204"/>
      <c r="F735" s="2204"/>
      <c r="G735" s="2204"/>
      <c r="H735" s="2204"/>
      <c r="I735" s="2205"/>
      <c r="J735" s="2204"/>
      <c r="K735" s="2204"/>
      <c r="L735" s="2204"/>
      <c r="M735" s="2204"/>
      <c r="N735" s="2204"/>
      <c r="O735" s="2204"/>
      <c r="P735" s="2204"/>
      <c r="Q735" s="2204"/>
      <c r="R735" s="2204"/>
      <c r="S735" s="2204"/>
      <c r="T735" s="2204"/>
    </row>
    <row r="736" spans="1:20">
      <c r="A736" s="2204"/>
      <c r="B736" s="2204"/>
      <c r="C736" s="2204"/>
      <c r="D736" s="2204"/>
      <c r="E736" s="2204"/>
      <c r="F736" s="2204"/>
      <c r="G736" s="2204"/>
      <c r="H736" s="2204"/>
      <c r="I736" s="2205"/>
      <c r="J736" s="2204"/>
      <c r="K736" s="2204"/>
      <c r="L736" s="2204"/>
      <c r="M736" s="2204"/>
      <c r="N736" s="2204"/>
      <c r="O736" s="2204"/>
      <c r="P736" s="2204"/>
      <c r="Q736" s="2204"/>
      <c r="R736" s="2204"/>
      <c r="S736" s="2204"/>
      <c r="T736" s="2204"/>
    </row>
    <row r="737" spans="1:20">
      <c r="A737" s="2204"/>
      <c r="B737" s="2204"/>
      <c r="C737" s="2204"/>
      <c r="D737" s="2204"/>
      <c r="E737" s="2204"/>
      <c r="F737" s="2204"/>
      <c r="G737" s="2204"/>
      <c r="H737" s="2204"/>
      <c r="I737" s="2205"/>
      <c r="J737" s="2204"/>
      <c r="K737" s="2204"/>
      <c r="L737" s="2204"/>
      <c r="M737" s="2204"/>
      <c r="N737" s="2204"/>
      <c r="O737" s="2204"/>
      <c r="P737" s="2204"/>
      <c r="Q737" s="2204"/>
      <c r="R737" s="2204"/>
      <c r="S737" s="2204"/>
      <c r="T737" s="2204"/>
    </row>
    <row r="738" spans="1:20">
      <c r="A738" s="2204"/>
      <c r="B738" s="2204"/>
      <c r="C738" s="2204"/>
      <c r="D738" s="2204"/>
      <c r="E738" s="2204"/>
      <c r="F738" s="2204"/>
      <c r="G738" s="2204"/>
      <c r="H738" s="2204"/>
      <c r="I738" s="2205"/>
      <c r="J738" s="2204"/>
      <c r="K738" s="2204"/>
      <c r="L738" s="2204"/>
      <c r="M738" s="2204"/>
      <c r="N738" s="2204"/>
      <c r="O738" s="2204"/>
      <c r="P738" s="2204"/>
      <c r="Q738" s="2204"/>
      <c r="R738" s="2204"/>
      <c r="S738" s="2204"/>
      <c r="T738" s="2204"/>
    </row>
    <row r="739" spans="1:20">
      <c r="A739" s="2204"/>
      <c r="B739" s="2204"/>
      <c r="C739" s="2204"/>
      <c r="D739" s="2204"/>
      <c r="E739" s="2204"/>
      <c r="F739" s="2204"/>
      <c r="G739" s="2204"/>
      <c r="H739" s="2204"/>
      <c r="I739" s="2205"/>
      <c r="J739" s="2204"/>
      <c r="K739" s="2204"/>
      <c r="L739" s="2204"/>
      <c r="M739" s="2204"/>
      <c r="N739" s="2204"/>
      <c r="O739" s="2204"/>
      <c r="P739" s="2204"/>
      <c r="Q739" s="2204"/>
      <c r="R739" s="2204"/>
      <c r="S739" s="2204"/>
      <c r="T739" s="2204"/>
    </row>
    <row r="740" spans="1:20">
      <c r="A740" s="2204"/>
      <c r="B740" s="2204"/>
      <c r="C740" s="2204"/>
      <c r="D740" s="2204"/>
      <c r="E740" s="2204"/>
      <c r="F740" s="2204"/>
      <c r="G740" s="2204"/>
      <c r="H740" s="2204"/>
      <c r="I740" s="2205"/>
      <c r="J740" s="2204"/>
      <c r="K740" s="2204"/>
      <c r="L740" s="2204"/>
      <c r="M740" s="2204"/>
      <c r="N740" s="2204"/>
      <c r="O740" s="2204"/>
      <c r="P740" s="2204"/>
      <c r="Q740" s="2204"/>
      <c r="R740" s="2204"/>
      <c r="S740" s="2204"/>
      <c r="T740" s="2204"/>
    </row>
    <row r="741" spans="1:20">
      <c r="A741" s="2204"/>
      <c r="B741" s="2204"/>
      <c r="C741" s="2204"/>
      <c r="D741" s="2204"/>
      <c r="E741" s="2204"/>
      <c r="F741" s="2204"/>
      <c r="G741" s="2204"/>
      <c r="H741" s="2204"/>
      <c r="I741" s="2205"/>
      <c r="J741" s="2204"/>
      <c r="K741" s="2204"/>
      <c r="L741" s="2204"/>
      <c r="M741" s="2204"/>
      <c r="N741" s="2204"/>
      <c r="O741" s="2204"/>
      <c r="P741" s="2204"/>
      <c r="Q741" s="2204"/>
      <c r="R741" s="2204"/>
      <c r="S741" s="2204"/>
      <c r="T741" s="2204"/>
    </row>
    <row r="742" spans="1:20">
      <c r="A742" s="2204"/>
      <c r="B742" s="2204"/>
      <c r="C742" s="2204"/>
      <c r="D742" s="2204"/>
      <c r="E742" s="2204"/>
      <c r="F742" s="2204"/>
      <c r="G742" s="2204"/>
      <c r="H742" s="2204"/>
      <c r="I742" s="2205"/>
      <c r="J742" s="2204"/>
      <c r="K742" s="2204"/>
      <c r="L742" s="2204"/>
      <c r="M742" s="2204"/>
      <c r="N742" s="2204"/>
      <c r="O742" s="2204"/>
      <c r="P742" s="2204"/>
      <c r="Q742" s="2204"/>
      <c r="R742" s="2204"/>
      <c r="S742" s="2204"/>
      <c r="T742" s="2204"/>
    </row>
    <row r="743" spans="1:20">
      <c r="A743" s="2204"/>
      <c r="B743" s="2204"/>
      <c r="C743" s="2204"/>
      <c r="D743" s="2204"/>
      <c r="E743" s="2204"/>
      <c r="F743" s="2204"/>
      <c r="G743" s="2204"/>
      <c r="H743" s="2204"/>
      <c r="I743" s="2205"/>
      <c r="J743" s="2204"/>
      <c r="K743" s="2204"/>
      <c r="L743" s="2204"/>
      <c r="M743" s="2204"/>
      <c r="N743" s="2204"/>
      <c r="O743" s="2204"/>
      <c r="P743" s="2204"/>
      <c r="Q743" s="2204"/>
      <c r="R743" s="2204"/>
      <c r="S743" s="2204"/>
      <c r="T743" s="2204"/>
    </row>
    <row r="744" spans="1:20">
      <c r="A744" s="2204"/>
      <c r="B744" s="2204"/>
      <c r="C744" s="2204"/>
      <c r="D744" s="2204"/>
      <c r="E744" s="2204"/>
      <c r="F744" s="2204"/>
      <c r="G744" s="2204"/>
      <c r="H744" s="2204"/>
      <c r="I744" s="2205"/>
      <c r="J744" s="2204"/>
      <c r="K744" s="2204"/>
      <c r="L744" s="2204"/>
      <c r="M744" s="2204"/>
      <c r="N744" s="2204"/>
      <c r="O744" s="2204"/>
      <c r="P744" s="2204"/>
      <c r="Q744" s="2204"/>
      <c r="R744" s="2204"/>
      <c r="S744" s="2204"/>
      <c r="T744" s="2204"/>
    </row>
    <row r="745" spans="1:20">
      <c r="A745" s="2204"/>
      <c r="B745" s="2204"/>
      <c r="C745" s="2204"/>
      <c r="D745" s="2204"/>
      <c r="E745" s="2204"/>
      <c r="F745" s="2204"/>
      <c r="G745" s="2204"/>
      <c r="H745" s="2204"/>
      <c r="I745" s="2205"/>
      <c r="J745" s="2204"/>
      <c r="K745" s="2204"/>
      <c r="L745" s="2204"/>
      <c r="M745" s="2204"/>
      <c r="N745" s="2204"/>
      <c r="O745" s="2204"/>
      <c r="P745" s="2204"/>
      <c r="Q745" s="2204"/>
      <c r="R745" s="2204"/>
      <c r="S745" s="2204"/>
      <c r="T745" s="2204"/>
    </row>
    <row r="746" spans="1:20">
      <c r="A746" s="2204"/>
      <c r="B746" s="2204"/>
      <c r="C746" s="2204"/>
      <c r="D746" s="2204"/>
      <c r="E746" s="2204"/>
      <c r="F746" s="2204"/>
      <c r="G746" s="2204"/>
      <c r="H746" s="2204"/>
      <c r="I746" s="2205"/>
      <c r="J746" s="2204"/>
      <c r="K746" s="2204"/>
      <c r="L746" s="2204"/>
      <c r="M746" s="2204"/>
      <c r="N746" s="2204"/>
      <c r="O746" s="2204"/>
      <c r="P746" s="2204"/>
      <c r="Q746" s="2204"/>
      <c r="R746" s="2204"/>
      <c r="S746" s="2204"/>
      <c r="T746" s="2204"/>
    </row>
    <row r="747" spans="1:20">
      <c r="A747" s="2204"/>
      <c r="B747" s="2204"/>
      <c r="C747" s="2204"/>
      <c r="D747" s="2204"/>
      <c r="E747" s="2204"/>
      <c r="F747" s="2204"/>
      <c r="G747" s="2204"/>
      <c r="H747" s="2204"/>
      <c r="I747" s="2205"/>
      <c r="J747" s="2204"/>
      <c r="K747" s="2204"/>
      <c r="L747" s="2204"/>
      <c r="M747" s="2204"/>
      <c r="N747" s="2204"/>
      <c r="O747" s="2204"/>
      <c r="P747" s="2204"/>
      <c r="Q747" s="2204"/>
      <c r="R747" s="2204"/>
      <c r="S747" s="2204"/>
      <c r="T747" s="2204"/>
    </row>
    <row r="748" spans="1:20">
      <c r="A748" s="2204"/>
      <c r="B748" s="2204"/>
      <c r="C748" s="2204"/>
      <c r="D748" s="2204"/>
      <c r="E748" s="2204"/>
      <c r="F748" s="2204"/>
      <c r="G748" s="2204"/>
      <c r="H748" s="2204"/>
      <c r="I748" s="2205"/>
      <c r="J748" s="2204"/>
      <c r="K748" s="2204"/>
      <c r="L748" s="2204"/>
      <c r="M748" s="2204"/>
      <c r="N748" s="2204"/>
      <c r="O748" s="2204"/>
      <c r="P748" s="2204"/>
      <c r="Q748" s="2204"/>
      <c r="R748" s="2204"/>
      <c r="S748" s="2204"/>
      <c r="T748" s="2204"/>
    </row>
    <row r="749" spans="1:20">
      <c r="A749" s="2204"/>
      <c r="B749" s="2204"/>
      <c r="C749" s="2204"/>
      <c r="D749" s="2204"/>
      <c r="E749" s="2204"/>
      <c r="F749" s="2204"/>
      <c r="G749" s="2204"/>
      <c r="H749" s="2204"/>
      <c r="I749" s="2205"/>
      <c r="J749" s="2204"/>
      <c r="K749" s="2204"/>
      <c r="L749" s="2204"/>
      <c r="M749" s="2204"/>
      <c r="N749" s="2204"/>
      <c r="O749" s="2204"/>
      <c r="P749" s="2204"/>
      <c r="Q749" s="2204"/>
      <c r="R749" s="2204"/>
      <c r="S749" s="2204"/>
      <c r="T749" s="2204"/>
    </row>
    <row r="750" spans="1:20">
      <c r="A750" s="2204"/>
      <c r="B750" s="2204"/>
      <c r="C750" s="2204"/>
      <c r="D750" s="2204"/>
      <c r="E750" s="2204"/>
      <c r="F750" s="2204"/>
      <c r="G750" s="2204"/>
      <c r="H750" s="2204"/>
      <c r="I750" s="2205"/>
      <c r="J750" s="2204"/>
      <c r="K750" s="2204"/>
      <c r="L750" s="2204"/>
      <c r="M750" s="2204"/>
      <c r="N750" s="2204"/>
      <c r="O750" s="2204"/>
      <c r="P750" s="2204"/>
      <c r="Q750" s="2204"/>
      <c r="R750" s="2204"/>
      <c r="S750" s="2204"/>
      <c r="T750" s="2204"/>
    </row>
    <row r="751" spans="1:20">
      <c r="A751" s="2204"/>
      <c r="B751" s="2204"/>
      <c r="C751" s="2204"/>
      <c r="D751" s="2204"/>
      <c r="E751" s="2204"/>
      <c r="F751" s="2204"/>
      <c r="G751" s="2204"/>
      <c r="H751" s="2204"/>
      <c r="I751" s="2205"/>
      <c r="J751" s="2204"/>
      <c r="K751" s="2204"/>
      <c r="L751" s="2204"/>
      <c r="M751" s="2204"/>
      <c r="N751" s="2204"/>
      <c r="O751" s="2204"/>
      <c r="P751" s="2204"/>
      <c r="Q751" s="2204"/>
      <c r="R751" s="2204"/>
      <c r="S751" s="2204"/>
      <c r="T751" s="2204"/>
    </row>
    <row r="752" spans="1:20">
      <c r="A752" s="2204"/>
      <c r="B752" s="2204"/>
      <c r="C752" s="2204"/>
      <c r="D752" s="2204"/>
      <c r="E752" s="2204"/>
      <c r="F752" s="2204"/>
      <c r="G752" s="2204"/>
      <c r="H752" s="2204"/>
      <c r="I752" s="2205"/>
      <c r="J752" s="2204"/>
      <c r="K752" s="2204"/>
      <c r="L752" s="2204"/>
      <c r="M752" s="2204"/>
      <c r="N752" s="2204"/>
      <c r="O752" s="2204"/>
      <c r="P752" s="2204"/>
      <c r="Q752" s="2204"/>
      <c r="R752" s="2204"/>
      <c r="S752" s="2204"/>
      <c r="T752" s="2204"/>
    </row>
    <row r="753" spans="1:20">
      <c r="A753" s="2204"/>
      <c r="B753" s="2204"/>
      <c r="C753" s="2204"/>
      <c r="D753" s="2204"/>
      <c r="E753" s="2204"/>
      <c r="F753" s="2204"/>
      <c r="G753" s="2204"/>
      <c r="H753" s="2204"/>
      <c r="I753" s="2205"/>
      <c r="J753" s="2204"/>
      <c r="K753" s="2204"/>
      <c r="L753" s="2204"/>
      <c r="M753" s="2204"/>
      <c r="N753" s="2204"/>
      <c r="O753" s="2204"/>
      <c r="P753" s="2204"/>
      <c r="Q753" s="2204"/>
      <c r="R753" s="2204"/>
      <c r="S753" s="2204"/>
      <c r="T753" s="2204"/>
    </row>
    <row r="754" spans="1:20">
      <c r="A754" s="2204"/>
      <c r="B754" s="2204"/>
      <c r="C754" s="2204"/>
      <c r="D754" s="2204"/>
      <c r="E754" s="2204"/>
      <c r="F754" s="2204"/>
      <c r="G754" s="2204"/>
      <c r="H754" s="2204"/>
      <c r="I754" s="2205"/>
      <c r="J754" s="2204"/>
      <c r="K754" s="2204"/>
      <c r="L754" s="2204"/>
      <c r="M754" s="2204"/>
      <c r="N754" s="2204"/>
      <c r="O754" s="2204"/>
      <c r="P754" s="2204"/>
      <c r="Q754" s="2204"/>
      <c r="R754" s="2204"/>
      <c r="S754" s="2204"/>
      <c r="T754" s="2204"/>
    </row>
    <row r="755" spans="1:20">
      <c r="A755" s="2204"/>
      <c r="B755" s="2204"/>
      <c r="C755" s="2204"/>
      <c r="D755" s="2204"/>
      <c r="E755" s="2204"/>
      <c r="F755" s="2204"/>
      <c r="G755" s="2204"/>
      <c r="H755" s="2204"/>
      <c r="I755" s="2205"/>
      <c r="J755" s="2204"/>
      <c r="K755" s="2204"/>
      <c r="L755" s="2204"/>
      <c r="M755" s="2204"/>
      <c r="N755" s="2204"/>
      <c r="O755" s="2204"/>
      <c r="P755" s="2204"/>
      <c r="Q755" s="2204"/>
      <c r="R755" s="2204"/>
      <c r="S755" s="2204"/>
      <c r="T755" s="2204"/>
    </row>
    <row r="756" spans="1:20">
      <c r="A756" s="2204"/>
      <c r="B756" s="2204"/>
      <c r="C756" s="2204"/>
      <c r="D756" s="2204"/>
      <c r="E756" s="2204"/>
      <c r="F756" s="2204"/>
      <c r="G756" s="2204"/>
      <c r="H756" s="2204"/>
      <c r="I756" s="2205"/>
      <c r="J756" s="2204"/>
      <c r="K756" s="2204"/>
      <c r="L756" s="2204"/>
      <c r="M756" s="2204"/>
      <c r="N756" s="2204"/>
      <c r="O756" s="2204"/>
      <c r="P756" s="2204"/>
      <c r="Q756" s="2204"/>
      <c r="R756" s="2204"/>
      <c r="S756" s="2204"/>
      <c r="T756" s="2204"/>
    </row>
    <row r="757" spans="1:20">
      <c r="A757" s="2204"/>
      <c r="B757" s="2204"/>
      <c r="C757" s="2204"/>
      <c r="D757" s="2204"/>
      <c r="E757" s="2204"/>
      <c r="F757" s="2204"/>
      <c r="G757" s="2204"/>
      <c r="H757" s="2204"/>
      <c r="I757" s="2205"/>
      <c r="J757" s="2204"/>
      <c r="K757" s="2204"/>
      <c r="L757" s="2204"/>
      <c r="M757" s="2204"/>
      <c r="N757" s="2204"/>
      <c r="O757" s="2204"/>
      <c r="P757" s="2204"/>
      <c r="Q757" s="2204"/>
      <c r="R757" s="2204"/>
      <c r="S757" s="2204"/>
      <c r="T757" s="2204"/>
    </row>
    <row r="758" spans="1:20">
      <c r="A758" s="2204"/>
      <c r="B758" s="2204"/>
      <c r="C758" s="2204"/>
      <c r="D758" s="2204"/>
      <c r="E758" s="2204"/>
      <c r="F758" s="2204"/>
      <c r="G758" s="2204"/>
      <c r="H758" s="2204"/>
      <c r="I758" s="2205"/>
      <c r="J758" s="2204"/>
      <c r="K758" s="2204"/>
      <c r="L758" s="2204"/>
      <c r="M758" s="2204"/>
      <c r="N758" s="2204"/>
      <c r="O758" s="2204"/>
      <c r="P758" s="2204"/>
      <c r="Q758" s="2204"/>
      <c r="R758" s="2204"/>
      <c r="S758" s="2204"/>
      <c r="T758" s="2204"/>
    </row>
    <row r="759" spans="1:20">
      <c r="A759" s="2204"/>
      <c r="B759" s="2204"/>
      <c r="C759" s="2204"/>
      <c r="D759" s="2204"/>
      <c r="E759" s="2204"/>
      <c r="F759" s="2204"/>
      <c r="G759" s="2204"/>
      <c r="H759" s="2204"/>
      <c r="I759" s="2205"/>
      <c r="J759" s="2204"/>
      <c r="K759" s="2204"/>
      <c r="L759" s="2204"/>
      <c r="M759" s="2204"/>
      <c r="N759" s="2204"/>
      <c r="O759" s="2204"/>
      <c r="P759" s="2204"/>
      <c r="Q759" s="2204"/>
      <c r="R759" s="2204"/>
      <c r="S759" s="2204"/>
      <c r="T759" s="2204"/>
    </row>
    <row r="760" spans="1:20">
      <c r="A760" s="2204"/>
      <c r="B760" s="2204"/>
      <c r="C760" s="2204"/>
      <c r="D760" s="2204"/>
      <c r="E760" s="2204"/>
      <c r="F760" s="2204"/>
      <c r="G760" s="2204"/>
      <c r="H760" s="2204"/>
      <c r="I760" s="2205"/>
      <c r="J760" s="2204"/>
      <c r="K760" s="2204"/>
      <c r="L760" s="2204"/>
      <c r="M760" s="2204"/>
      <c r="N760" s="2204"/>
      <c r="O760" s="2204"/>
      <c r="P760" s="2204"/>
      <c r="Q760" s="2204"/>
      <c r="R760" s="2204"/>
      <c r="S760" s="2204"/>
      <c r="T760" s="2204"/>
    </row>
    <row r="761" spans="1:20">
      <c r="A761" s="2204"/>
      <c r="B761" s="2204"/>
      <c r="C761" s="2204"/>
      <c r="D761" s="2204"/>
      <c r="E761" s="2204"/>
      <c r="F761" s="2204"/>
      <c r="G761" s="2204"/>
      <c r="H761" s="2204"/>
      <c r="I761" s="2205"/>
      <c r="J761" s="2204"/>
      <c r="K761" s="2204"/>
      <c r="L761" s="2204"/>
      <c r="M761" s="2204"/>
      <c r="N761" s="2204"/>
      <c r="O761" s="2204"/>
      <c r="P761" s="2204"/>
      <c r="Q761" s="2204"/>
      <c r="R761" s="2204"/>
      <c r="S761" s="2204"/>
      <c r="T761" s="2204"/>
    </row>
    <row r="762" spans="1:20">
      <c r="A762" s="2204"/>
      <c r="B762" s="2204"/>
      <c r="C762" s="2204"/>
      <c r="D762" s="2204"/>
      <c r="E762" s="2204"/>
      <c r="F762" s="2204"/>
      <c r="G762" s="2204"/>
      <c r="H762" s="2204"/>
      <c r="I762" s="2205"/>
      <c r="J762" s="2204"/>
      <c r="K762" s="2204"/>
      <c r="L762" s="2204"/>
      <c r="M762" s="2204"/>
      <c r="N762" s="2204"/>
      <c r="O762" s="2204"/>
      <c r="P762" s="2204"/>
      <c r="Q762" s="2204"/>
      <c r="R762" s="2204"/>
      <c r="S762" s="2204"/>
      <c r="T762" s="2204"/>
    </row>
    <row r="763" spans="1:20">
      <c r="A763" s="2204"/>
      <c r="B763" s="2204"/>
      <c r="C763" s="2204"/>
      <c r="D763" s="2204"/>
      <c r="E763" s="2204"/>
      <c r="F763" s="2204"/>
      <c r="G763" s="2204"/>
      <c r="H763" s="2204"/>
      <c r="I763" s="2205"/>
      <c r="J763" s="2204"/>
      <c r="K763" s="2204"/>
      <c r="L763" s="2204"/>
      <c r="M763" s="2204"/>
      <c r="N763" s="2204"/>
      <c r="O763" s="2204"/>
      <c r="P763" s="2204"/>
      <c r="Q763" s="2204"/>
      <c r="R763" s="2204"/>
      <c r="S763" s="2204"/>
      <c r="T763" s="2204"/>
    </row>
    <row r="764" spans="1:20">
      <c r="A764" s="2204"/>
      <c r="B764" s="2204"/>
      <c r="C764" s="2204"/>
      <c r="D764" s="2204"/>
      <c r="E764" s="2204"/>
      <c r="F764" s="2204"/>
      <c r="G764" s="2204"/>
      <c r="H764" s="2204"/>
      <c r="I764" s="2205"/>
      <c r="J764" s="2204"/>
      <c r="K764" s="2204"/>
      <c r="L764" s="2204"/>
      <c r="M764" s="2204"/>
      <c r="N764" s="2204"/>
      <c r="O764" s="2204"/>
      <c r="P764" s="2204"/>
      <c r="Q764" s="2204"/>
      <c r="R764" s="2204"/>
      <c r="S764" s="2204"/>
      <c r="T764" s="2204"/>
    </row>
    <row r="765" spans="1:20">
      <c r="A765" s="2204"/>
      <c r="B765" s="2204"/>
      <c r="C765" s="2204"/>
      <c r="D765" s="2204"/>
      <c r="E765" s="2204"/>
      <c r="F765" s="2204"/>
      <c r="G765" s="2204"/>
      <c r="H765" s="2204"/>
      <c r="I765" s="2205"/>
      <c r="J765" s="2204"/>
      <c r="K765" s="2204"/>
      <c r="L765" s="2204"/>
      <c r="M765" s="2204"/>
      <c r="N765" s="2204"/>
      <c r="O765" s="2204"/>
      <c r="P765" s="2204"/>
      <c r="Q765" s="2204"/>
      <c r="R765" s="2204"/>
      <c r="S765" s="2204"/>
      <c r="T765" s="2204"/>
    </row>
    <row r="766" spans="1:20">
      <c r="A766" s="2204"/>
      <c r="B766" s="2204"/>
      <c r="C766" s="2204"/>
      <c r="D766" s="2204"/>
      <c r="E766" s="2204"/>
      <c r="F766" s="2204"/>
      <c r="G766" s="2204"/>
      <c r="H766" s="2204"/>
      <c r="I766" s="2205"/>
      <c r="J766" s="2204"/>
      <c r="K766" s="2204"/>
      <c r="L766" s="2204"/>
      <c r="M766" s="2204"/>
      <c r="N766" s="2204"/>
      <c r="O766" s="2204"/>
      <c r="P766" s="2204"/>
      <c r="Q766" s="2204"/>
      <c r="R766" s="2204"/>
      <c r="S766" s="2204"/>
      <c r="T766" s="2204"/>
    </row>
    <row r="767" spans="1:20">
      <c r="A767" s="2204"/>
      <c r="B767" s="2204"/>
      <c r="C767" s="2204"/>
      <c r="D767" s="2204"/>
      <c r="E767" s="2204"/>
      <c r="F767" s="2204"/>
      <c r="G767" s="2204"/>
      <c r="H767" s="2204"/>
      <c r="I767" s="2205"/>
      <c r="J767" s="2204"/>
      <c r="K767" s="2204"/>
      <c r="L767" s="2204"/>
      <c r="M767" s="2204"/>
      <c r="N767" s="2204"/>
      <c r="O767" s="2204"/>
      <c r="P767" s="2204"/>
      <c r="Q767" s="2204"/>
      <c r="R767" s="2204"/>
      <c r="S767" s="2204"/>
      <c r="T767" s="2204"/>
    </row>
    <row r="768" spans="1:20">
      <c r="A768" s="2204"/>
      <c r="B768" s="2204"/>
      <c r="C768" s="2204"/>
      <c r="D768" s="2204"/>
      <c r="E768" s="2204"/>
      <c r="F768" s="2204"/>
      <c r="G768" s="2204"/>
      <c r="H768" s="2204"/>
      <c r="I768" s="2205"/>
      <c r="J768" s="2204"/>
      <c r="K768" s="2204"/>
      <c r="L768" s="2204"/>
      <c r="M768" s="2204"/>
      <c r="N768" s="2204"/>
      <c r="O768" s="2204"/>
      <c r="P768" s="2204"/>
      <c r="Q768" s="2204"/>
      <c r="R768" s="2204"/>
      <c r="S768" s="2204"/>
      <c r="T768" s="2204"/>
    </row>
    <row r="769" spans="1:20">
      <c r="A769" s="2204"/>
      <c r="B769" s="2204"/>
      <c r="C769" s="2204"/>
      <c r="D769" s="2204"/>
      <c r="E769" s="2204"/>
      <c r="F769" s="2204"/>
      <c r="G769" s="2204"/>
      <c r="H769" s="2204"/>
      <c r="I769" s="2205"/>
      <c r="J769" s="2204"/>
      <c r="K769" s="2204"/>
      <c r="L769" s="2204"/>
      <c r="M769" s="2204"/>
      <c r="N769" s="2204"/>
      <c r="O769" s="2204"/>
      <c r="P769" s="2204"/>
      <c r="Q769" s="2204"/>
      <c r="R769" s="2204"/>
      <c r="S769" s="2204"/>
      <c r="T769" s="2204"/>
    </row>
    <row r="770" spans="1:20">
      <c r="A770" s="2204"/>
      <c r="B770" s="2204"/>
      <c r="C770" s="2204"/>
      <c r="D770" s="2204"/>
      <c r="E770" s="2204"/>
      <c r="F770" s="2204"/>
      <c r="G770" s="2204"/>
      <c r="H770" s="2204"/>
      <c r="I770" s="2205"/>
      <c r="J770" s="2204"/>
      <c r="K770" s="2204"/>
      <c r="L770" s="2204"/>
      <c r="M770" s="2204"/>
      <c r="N770" s="2204"/>
      <c r="O770" s="2204"/>
      <c r="P770" s="2204"/>
      <c r="Q770" s="2204"/>
      <c r="R770" s="2204"/>
      <c r="S770" s="2204"/>
      <c r="T770" s="2204"/>
    </row>
    <row r="771" spans="1:20">
      <c r="A771" s="2204"/>
      <c r="B771" s="2204"/>
      <c r="C771" s="2204"/>
      <c r="D771" s="2204"/>
      <c r="E771" s="2204"/>
      <c r="F771" s="2204"/>
      <c r="G771" s="2204"/>
      <c r="H771" s="2204"/>
      <c r="I771" s="2205"/>
      <c r="J771" s="2204"/>
      <c r="K771" s="2204"/>
      <c r="L771" s="2204"/>
      <c r="M771" s="2204"/>
      <c r="N771" s="2204"/>
      <c r="O771" s="2204"/>
      <c r="P771" s="2204"/>
      <c r="Q771" s="2204"/>
      <c r="R771" s="2204"/>
      <c r="S771" s="2204"/>
      <c r="T771" s="2204"/>
    </row>
    <row r="772" spans="1:20">
      <c r="A772" s="2204"/>
      <c r="B772" s="2204"/>
      <c r="C772" s="2204"/>
      <c r="D772" s="2204"/>
      <c r="E772" s="2204"/>
      <c r="F772" s="2204"/>
      <c r="G772" s="2204"/>
      <c r="H772" s="2204"/>
      <c r="I772" s="2205"/>
      <c r="J772" s="2204"/>
      <c r="K772" s="2204"/>
      <c r="L772" s="2204"/>
      <c r="M772" s="2204"/>
      <c r="N772" s="2204"/>
      <c r="O772" s="2204"/>
      <c r="P772" s="2204"/>
      <c r="Q772" s="2204"/>
      <c r="R772" s="2204"/>
      <c r="S772" s="2204"/>
      <c r="T772" s="2204"/>
    </row>
    <row r="773" spans="1:20">
      <c r="A773" s="2204"/>
      <c r="B773" s="2204"/>
      <c r="C773" s="2204"/>
      <c r="D773" s="2204"/>
      <c r="E773" s="2204"/>
      <c r="F773" s="2204"/>
      <c r="G773" s="2204"/>
      <c r="H773" s="2204"/>
      <c r="I773" s="2205"/>
      <c r="J773" s="2204"/>
      <c r="K773" s="2204"/>
      <c r="L773" s="2204"/>
      <c r="M773" s="2204"/>
      <c r="N773" s="2204"/>
      <c r="O773" s="2204"/>
      <c r="P773" s="2204"/>
      <c r="Q773" s="2204"/>
      <c r="R773" s="2204"/>
      <c r="S773" s="2204"/>
      <c r="T773" s="2204"/>
    </row>
    <row r="774" spans="1:20">
      <c r="A774" s="2204"/>
      <c r="B774" s="2204"/>
      <c r="C774" s="2204"/>
      <c r="D774" s="2204"/>
      <c r="E774" s="2204"/>
      <c r="F774" s="2204"/>
      <c r="G774" s="2204"/>
      <c r="H774" s="2204"/>
      <c r="I774" s="2205"/>
      <c r="J774" s="2204"/>
      <c r="K774" s="2204"/>
      <c r="L774" s="2204"/>
      <c r="M774" s="2204"/>
      <c r="N774" s="2204"/>
      <c r="O774" s="2204"/>
      <c r="P774" s="2204"/>
      <c r="Q774" s="2204"/>
      <c r="R774" s="2204"/>
      <c r="S774" s="2204"/>
      <c r="T774" s="2204"/>
    </row>
    <row r="775" spans="1:20">
      <c r="A775" s="2204"/>
      <c r="B775" s="2204"/>
      <c r="C775" s="2204"/>
      <c r="D775" s="2204"/>
      <c r="E775" s="2204"/>
      <c r="F775" s="2204"/>
      <c r="G775" s="2204"/>
      <c r="H775" s="2204"/>
      <c r="I775" s="2205"/>
      <c r="J775" s="2204"/>
      <c r="K775" s="2204"/>
      <c r="L775" s="2204"/>
      <c r="M775" s="2204"/>
      <c r="N775" s="2204"/>
      <c r="O775" s="2204"/>
      <c r="P775" s="2204"/>
      <c r="Q775" s="2204"/>
      <c r="R775" s="2204"/>
      <c r="S775" s="2204"/>
      <c r="T775" s="2204"/>
    </row>
    <row r="776" spans="1:20">
      <c r="A776" s="2204"/>
      <c r="B776" s="2204"/>
      <c r="C776" s="2204"/>
      <c r="D776" s="2204"/>
      <c r="E776" s="2204"/>
      <c r="F776" s="2204"/>
      <c r="G776" s="2204"/>
      <c r="H776" s="2204"/>
      <c r="I776" s="2205"/>
      <c r="J776" s="2204"/>
      <c r="K776" s="2204"/>
      <c r="L776" s="2204"/>
      <c r="M776" s="2204"/>
      <c r="N776" s="2204"/>
      <c r="O776" s="2204"/>
      <c r="P776" s="2204"/>
      <c r="Q776" s="2204"/>
      <c r="R776" s="2204"/>
      <c r="S776" s="2204"/>
      <c r="T776" s="2204"/>
    </row>
    <row r="777" spans="1:20">
      <c r="A777" s="2204"/>
      <c r="B777" s="2204"/>
      <c r="C777" s="2204"/>
      <c r="D777" s="2204"/>
      <c r="E777" s="2204"/>
      <c r="F777" s="2204"/>
      <c r="G777" s="2204"/>
      <c r="H777" s="2204"/>
      <c r="I777" s="2205"/>
      <c r="J777" s="2204"/>
      <c r="K777" s="2204"/>
      <c r="L777" s="2204"/>
      <c r="M777" s="2204"/>
      <c r="N777" s="2204"/>
      <c r="O777" s="2204"/>
      <c r="P777" s="2204"/>
      <c r="Q777" s="2204"/>
      <c r="R777" s="2204"/>
      <c r="S777" s="2204"/>
      <c r="T777" s="2204"/>
    </row>
    <row r="778" spans="1:20">
      <c r="A778" s="2204"/>
      <c r="B778" s="2204"/>
      <c r="C778" s="2204"/>
      <c r="D778" s="2204"/>
      <c r="E778" s="2204"/>
      <c r="F778" s="2204"/>
      <c r="G778" s="2204"/>
      <c r="H778" s="2204"/>
      <c r="I778" s="2205"/>
      <c r="J778" s="2204"/>
      <c r="K778" s="2204"/>
      <c r="L778" s="2204"/>
      <c r="M778" s="2204"/>
      <c r="N778" s="2204"/>
      <c r="O778" s="2204"/>
      <c r="P778" s="2204"/>
      <c r="Q778" s="2204"/>
      <c r="R778" s="2204"/>
      <c r="S778" s="2204"/>
      <c r="T778" s="2204"/>
    </row>
    <row r="779" spans="1:20">
      <c r="A779" s="2204"/>
      <c r="B779" s="2204"/>
      <c r="C779" s="2204"/>
      <c r="D779" s="2204"/>
      <c r="E779" s="2204"/>
      <c r="F779" s="2204"/>
      <c r="G779" s="2204"/>
      <c r="H779" s="2204"/>
      <c r="I779" s="2205"/>
      <c r="J779" s="2204"/>
      <c r="K779" s="2204"/>
      <c r="L779" s="2204"/>
      <c r="M779" s="2204"/>
      <c r="N779" s="2204"/>
      <c r="O779" s="2204"/>
      <c r="P779" s="2204"/>
      <c r="Q779" s="2204"/>
      <c r="R779" s="2204"/>
      <c r="S779" s="2204"/>
      <c r="T779" s="2204"/>
    </row>
    <row r="780" spans="1:20">
      <c r="A780" s="2204"/>
      <c r="B780" s="2204"/>
      <c r="C780" s="2204"/>
      <c r="D780" s="2204"/>
      <c r="E780" s="2204"/>
      <c r="F780" s="2204"/>
      <c r="G780" s="2204"/>
      <c r="H780" s="2204"/>
      <c r="I780" s="2205"/>
      <c r="J780" s="2204"/>
      <c r="K780" s="2204"/>
      <c r="L780" s="2204"/>
      <c r="M780" s="2204"/>
      <c r="N780" s="2204"/>
      <c r="O780" s="2204"/>
      <c r="P780" s="2204"/>
      <c r="Q780" s="2204"/>
      <c r="R780" s="2204"/>
      <c r="S780" s="2204"/>
      <c r="T780" s="2204"/>
    </row>
    <row r="781" spans="1:20">
      <c r="A781" s="2204"/>
      <c r="B781" s="2204"/>
      <c r="C781" s="2204"/>
      <c r="D781" s="2204"/>
      <c r="E781" s="2204"/>
      <c r="F781" s="2204"/>
      <c r="G781" s="2204"/>
      <c r="H781" s="2204"/>
      <c r="I781" s="2205"/>
      <c r="J781" s="2204"/>
      <c r="K781" s="2204"/>
      <c r="L781" s="2204"/>
      <c r="M781" s="2204"/>
      <c r="N781" s="2204"/>
      <c r="O781" s="2204"/>
      <c r="P781" s="2204"/>
      <c r="Q781" s="2204"/>
      <c r="R781" s="2204"/>
      <c r="S781" s="2204"/>
      <c r="T781" s="2204"/>
    </row>
    <row r="782" spans="1:20">
      <c r="A782" s="2204"/>
      <c r="B782" s="2204"/>
      <c r="C782" s="2204"/>
      <c r="D782" s="2204"/>
      <c r="E782" s="2204"/>
      <c r="F782" s="2204"/>
      <c r="G782" s="2204"/>
      <c r="H782" s="2204"/>
      <c r="I782" s="2205"/>
      <c r="J782" s="2204"/>
      <c r="K782" s="2204"/>
      <c r="L782" s="2204"/>
      <c r="M782" s="2204"/>
      <c r="N782" s="2204"/>
      <c r="O782" s="2204"/>
      <c r="P782" s="2204"/>
      <c r="Q782" s="2204"/>
      <c r="R782" s="2204"/>
      <c r="S782" s="2204"/>
      <c r="T782" s="2204"/>
    </row>
    <row r="783" spans="1:20">
      <c r="A783" s="2204"/>
      <c r="B783" s="2204"/>
      <c r="C783" s="2204"/>
      <c r="D783" s="2204"/>
      <c r="E783" s="2204"/>
      <c r="F783" s="2204"/>
      <c r="G783" s="2204"/>
      <c r="H783" s="2204"/>
      <c r="I783" s="2205"/>
      <c r="J783" s="2204"/>
      <c r="K783" s="2204"/>
      <c r="L783" s="2204"/>
      <c r="M783" s="2204"/>
      <c r="N783" s="2204"/>
      <c r="O783" s="2204"/>
      <c r="P783" s="2204"/>
      <c r="Q783" s="2204"/>
      <c r="R783" s="2204"/>
      <c r="S783" s="2204"/>
      <c r="T783" s="2204"/>
    </row>
    <row r="784" spans="1:20">
      <c r="A784" s="2204"/>
      <c r="B784" s="2204"/>
      <c r="C784" s="2204"/>
      <c r="D784" s="2204"/>
      <c r="E784" s="2204"/>
      <c r="F784" s="2204"/>
      <c r="G784" s="2204"/>
      <c r="H784" s="2204"/>
      <c r="I784" s="2205"/>
      <c r="J784" s="2204"/>
      <c r="K784" s="2204"/>
      <c r="L784" s="2204"/>
      <c r="M784" s="2204"/>
      <c r="N784" s="2204"/>
      <c r="O784" s="2204"/>
      <c r="P784" s="2204"/>
      <c r="Q784" s="2204"/>
      <c r="R784" s="2204"/>
      <c r="S784" s="2204"/>
      <c r="T784" s="2204"/>
    </row>
    <row r="785" spans="1:20">
      <c r="A785" s="2204"/>
      <c r="B785" s="2204"/>
      <c r="C785" s="2204"/>
      <c r="D785" s="2204"/>
      <c r="E785" s="2204"/>
      <c r="F785" s="2204"/>
      <c r="G785" s="2204"/>
      <c r="H785" s="2204"/>
      <c r="I785" s="2205"/>
      <c r="J785" s="2204"/>
      <c r="K785" s="2204"/>
      <c r="L785" s="2204"/>
      <c r="M785" s="2204"/>
      <c r="N785" s="2204"/>
      <c r="O785" s="2204"/>
      <c r="P785" s="2204"/>
      <c r="Q785" s="2204"/>
      <c r="R785" s="2204"/>
      <c r="S785" s="2204"/>
      <c r="T785" s="2204"/>
    </row>
    <row r="786" spans="1:20">
      <c r="A786" s="2204"/>
      <c r="B786" s="2204"/>
      <c r="C786" s="2204"/>
      <c r="D786" s="2204"/>
      <c r="E786" s="2204"/>
      <c r="F786" s="2204"/>
      <c r="G786" s="2204"/>
      <c r="H786" s="2204"/>
      <c r="I786" s="2205"/>
      <c r="J786" s="2204"/>
      <c r="K786" s="2204"/>
      <c r="L786" s="2204"/>
      <c r="M786" s="2204"/>
      <c r="N786" s="2204"/>
      <c r="O786" s="2204"/>
      <c r="P786" s="2204"/>
      <c r="Q786" s="2204"/>
      <c r="R786" s="2204"/>
      <c r="S786" s="2204"/>
      <c r="T786" s="2204"/>
    </row>
    <row r="787" spans="1:20">
      <c r="A787" s="2204"/>
      <c r="B787" s="2204"/>
      <c r="C787" s="2204"/>
      <c r="D787" s="2204"/>
      <c r="E787" s="2204"/>
      <c r="F787" s="2204"/>
      <c r="G787" s="2204"/>
      <c r="H787" s="2204"/>
      <c r="I787" s="2205"/>
      <c r="J787" s="2204"/>
      <c r="K787" s="2204"/>
      <c r="L787" s="2204"/>
      <c r="M787" s="2204"/>
      <c r="N787" s="2204"/>
      <c r="O787" s="2204"/>
      <c r="P787" s="2204"/>
      <c r="Q787" s="2204"/>
      <c r="R787" s="2204"/>
      <c r="S787" s="2204"/>
      <c r="T787" s="2204"/>
    </row>
    <row r="788" spans="1:20">
      <c r="A788" s="2204"/>
      <c r="B788" s="2204"/>
      <c r="C788" s="2204"/>
      <c r="D788" s="2204"/>
      <c r="E788" s="2204"/>
      <c r="F788" s="2204"/>
      <c r="G788" s="2204"/>
      <c r="H788" s="2204"/>
      <c r="I788" s="2205"/>
      <c r="J788" s="2204"/>
      <c r="K788" s="2204"/>
      <c r="L788" s="2204"/>
      <c r="M788" s="2204"/>
      <c r="N788" s="2204"/>
      <c r="O788" s="2204"/>
      <c r="P788" s="2204"/>
      <c r="Q788" s="2204"/>
      <c r="R788" s="2204"/>
      <c r="S788" s="2204"/>
      <c r="T788" s="2204"/>
    </row>
    <row r="789" spans="1:20">
      <c r="A789" s="2204"/>
      <c r="B789" s="2204"/>
      <c r="C789" s="2204"/>
      <c r="D789" s="2204"/>
      <c r="E789" s="2204"/>
      <c r="F789" s="2204"/>
      <c r="G789" s="2204"/>
      <c r="H789" s="2204"/>
      <c r="I789" s="2205"/>
      <c r="J789" s="2204"/>
      <c r="K789" s="2204"/>
      <c r="L789" s="2204"/>
      <c r="M789" s="2204"/>
      <c r="N789" s="2204"/>
      <c r="O789" s="2204"/>
      <c r="P789" s="2204"/>
      <c r="Q789" s="2204"/>
      <c r="R789" s="2204"/>
      <c r="S789" s="2204"/>
      <c r="T789" s="2204"/>
    </row>
    <row r="790" spans="1:20">
      <c r="A790" s="2204"/>
      <c r="B790" s="2204"/>
      <c r="C790" s="2204"/>
      <c r="D790" s="2204"/>
      <c r="E790" s="2204"/>
      <c r="F790" s="2204"/>
      <c r="G790" s="2204"/>
      <c r="H790" s="2204"/>
      <c r="I790" s="2205"/>
      <c r="J790" s="2204"/>
      <c r="K790" s="2204"/>
      <c r="L790" s="2204"/>
      <c r="M790" s="2204"/>
      <c r="N790" s="2204"/>
      <c r="O790" s="2204"/>
      <c r="P790" s="2204"/>
      <c r="Q790" s="2204"/>
      <c r="R790" s="2204"/>
      <c r="S790" s="2204"/>
      <c r="T790" s="2204"/>
    </row>
    <row r="791" spans="1:20">
      <c r="A791" s="2204"/>
      <c r="B791" s="2204"/>
      <c r="C791" s="2204"/>
      <c r="D791" s="2204"/>
      <c r="E791" s="2204"/>
      <c r="F791" s="2204"/>
      <c r="G791" s="2204"/>
      <c r="H791" s="2204"/>
      <c r="I791" s="2205"/>
      <c r="J791" s="2204"/>
      <c r="K791" s="2204"/>
      <c r="L791" s="2204"/>
      <c r="M791" s="2204"/>
      <c r="N791" s="2204"/>
      <c r="O791" s="2204"/>
      <c r="P791" s="2204"/>
      <c r="Q791" s="2204"/>
      <c r="R791" s="2204"/>
      <c r="S791" s="2204"/>
      <c r="T791" s="2204"/>
    </row>
    <row r="792" spans="1:20">
      <c r="A792" s="2204"/>
      <c r="B792" s="2204"/>
      <c r="C792" s="2204"/>
      <c r="D792" s="2204"/>
      <c r="E792" s="2204"/>
      <c r="F792" s="2204"/>
      <c r="G792" s="2204"/>
      <c r="H792" s="2204"/>
      <c r="I792" s="2205"/>
      <c r="J792" s="2204"/>
      <c r="K792" s="2204"/>
      <c r="L792" s="2204"/>
      <c r="M792" s="2204"/>
      <c r="N792" s="2204"/>
      <c r="O792" s="2204"/>
      <c r="P792" s="2204"/>
      <c r="Q792" s="2204"/>
      <c r="R792" s="2204"/>
      <c r="S792" s="2204"/>
      <c r="T792" s="2204"/>
    </row>
    <row r="793" spans="1:20">
      <c r="A793" s="2204"/>
      <c r="B793" s="2204"/>
      <c r="C793" s="2204"/>
      <c r="D793" s="2204"/>
      <c r="E793" s="2204"/>
      <c r="F793" s="2204"/>
      <c r="G793" s="2204"/>
      <c r="H793" s="2204"/>
      <c r="I793" s="2205"/>
      <c r="J793" s="2204"/>
      <c r="K793" s="2204"/>
      <c r="L793" s="2204"/>
      <c r="M793" s="2204"/>
      <c r="N793" s="2204"/>
      <c r="O793" s="2204"/>
      <c r="P793" s="2204"/>
      <c r="Q793" s="2204"/>
      <c r="R793" s="2204"/>
      <c r="S793" s="2204"/>
      <c r="T793" s="2204"/>
    </row>
    <row r="794" spans="1:20">
      <c r="A794" s="2204"/>
      <c r="B794" s="2204"/>
      <c r="C794" s="2204"/>
      <c r="D794" s="2204"/>
      <c r="E794" s="2204"/>
      <c r="F794" s="2204"/>
      <c r="G794" s="2204"/>
      <c r="H794" s="2204"/>
      <c r="I794" s="2205"/>
      <c r="J794" s="2204"/>
      <c r="K794" s="2204"/>
      <c r="L794" s="2204"/>
      <c r="M794" s="2204"/>
      <c r="N794" s="2204"/>
      <c r="O794" s="2204"/>
      <c r="P794" s="2204"/>
      <c r="Q794" s="2204"/>
      <c r="R794" s="2204"/>
      <c r="S794" s="2204"/>
      <c r="T794" s="2204"/>
    </row>
    <row r="795" spans="1:20">
      <c r="A795" s="2204"/>
      <c r="B795" s="2204"/>
      <c r="C795" s="2204"/>
      <c r="D795" s="2204"/>
      <c r="E795" s="2204"/>
      <c r="F795" s="2204"/>
      <c r="G795" s="2204"/>
      <c r="H795" s="2204"/>
      <c r="I795" s="2205"/>
      <c r="J795" s="2204"/>
      <c r="K795" s="2204"/>
      <c r="L795" s="2204"/>
      <c r="M795" s="2204"/>
      <c r="N795" s="2204"/>
      <c r="O795" s="2204"/>
      <c r="P795" s="2204"/>
      <c r="Q795" s="2204"/>
      <c r="R795" s="2204"/>
      <c r="S795" s="2204"/>
      <c r="T795" s="2204"/>
    </row>
    <row r="796" spans="1:20">
      <c r="A796" s="2204"/>
      <c r="B796" s="2204"/>
      <c r="C796" s="2204"/>
      <c r="D796" s="2204"/>
      <c r="E796" s="2204"/>
      <c r="F796" s="2204"/>
      <c r="G796" s="2204"/>
      <c r="H796" s="2204"/>
      <c r="I796" s="2205"/>
      <c r="J796" s="2204"/>
      <c r="K796" s="2204"/>
      <c r="L796" s="2204"/>
      <c r="M796" s="2204"/>
      <c r="N796" s="2204"/>
      <c r="O796" s="2204"/>
      <c r="P796" s="2204"/>
      <c r="Q796" s="2204"/>
      <c r="R796" s="2204"/>
      <c r="S796" s="2204"/>
      <c r="T796" s="2204"/>
    </row>
    <row r="797" spans="1:20">
      <c r="A797" s="2204"/>
      <c r="B797" s="2204"/>
      <c r="C797" s="2204"/>
      <c r="D797" s="2204"/>
      <c r="E797" s="2204"/>
      <c r="F797" s="2204"/>
      <c r="G797" s="2204"/>
      <c r="H797" s="2204"/>
      <c r="I797" s="2205"/>
      <c r="J797" s="2204"/>
      <c r="K797" s="2204"/>
      <c r="L797" s="2204"/>
      <c r="M797" s="2204"/>
      <c r="N797" s="2204"/>
      <c r="O797" s="2204"/>
      <c r="P797" s="2204"/>
      <c r="Q797" s="2204"/>
      <c r="R797" s="2204"/>
      <c r="S797" s="2204"/>
      <c r="T797" s="2204"/>
    </row>
    <row r="798" spans="1:20">
      <c r="A798" s="2204"/>
      <c r="B798" s="2204"/>
      <c r="C798" s="2204"/>
      <c r="D798" s="2204"/>
      <c r="E798" s="2204"/>
      <c r="F798" s="2204"/>
      <c r="G798" s="2204"/>
      <c r="H798" s="2204"/>
      <c r="I798" s="2205"/>
      <c r="J798" s="2204"/>
      <c r="K798" s="2204"/>
      <c r="L798" s="2204"/>
      <c r="M798" s="2204"/>
      <c r="N798" s="2204"/>
      <c r="O798" s="2204"/>
      <c r="P798" s="2204"/>
      <c r="Q798" s="2204"/>
      <c r="R798" s="2204"/>
      <c r="S798" s="2204"/>
      <c r="T798" s="2204"/>
    </row>
    <row r="799" spans="1:20">
      <c r="A799" s="2204"/>
      <c r="B799" s="2204"/>
      <c r="C799" s="2204"/>
      <c r="D799" s="2204"/>
      <c r="E799" s="2204"/>
      <c r="F799" s="2204"/>
      <c r="G799" s="2204"/>
      <c r="H799" s="2204"/>
      <c r="I799" s="2205"/>
      <c r="J799" s="2204"/>
      <c r="K799" s="2204"/>
      <c r="L799" s="2204"/>
      <c r="M799" s="2204"/>
      <c r="N799" s="2204"/>
      <c r="O799" s="2204"/>
      <c r="P799" s="2204"/>
      <c r="Q799" s="2204"/>
      <c r="R799" s="2204"/>
      <c r="S799" s="2204"/>
      <c r="T799" s="2204"/>
    </row>
    <row r="800" spans="1:20">
      <c r="A800" s="2204"/>
      <c r="B800" s="2204"/>
      <c r="C800" s="2204"/>
      <c r="D800" s="2204"/>
      <c r="E800" s="2204"/>
      <c r="F800" s="2204"/>
      <c r="G800" s="2204"/>
      <c r="H800" s="2204"/>
      <c r="I800" s="2205"/>
      <c r="J800" s="2204"/>
      <c r="K800" s="2204"/>
      <c r="L800" s="2204"/>
      <c r="M800" s="2204"/>
      <c r="N800" s="2204"/>
      <c r="O800" s="2204"/>
      <c r="P800" s="2204"/>
      <c r="Q800" s="2204"/>
      <c r="R800" s="2204"/>
      <c r="S800" s="2204"/>
      <c r="T800" s="2204"/>
    </row>
    <row r="801" spans="1:20">
      <c r="A801" s="2204"/>
      <c r="B801" s="2204"/>
      <c r="C801" s="2204"/>
      <c r="D801" s="2204"/>
      <c r="E801" s="2204"/>
      <c r="F801" s="2204"/>
      <c r="G801" s="2204"/>
      <c r="H801" s="2204"/>
      <c r="I801" s="2205"/>
      <c r="J801" s="2204"/>
      <c r="K801" s="2204"/>
      <c r="L801" s="2204"/>
      <c r="M801" s="2204"/>
      <c r="N801" s="2204"/>
      <c r="O801" s="2204"/>
      <c r="P801" s="2204"/>
      <c r="Q801" s="2204"/>
      <c r="R801" s="2204"/>
      <c r="S801" s="2204"/>
      <c r="T801" s="2204"/>
    </row>
    <row r="802" spans="1:20">
      <c r="A802" s="2204"/>
      <c r="B802" s="2204"/>
      <c r="C802" s="2204"/>
      <c r="D802" s="2204"/>
      <c r="E802" s="2204"/>
      <c r="F802" s="2204"/>
      <c r="G802" s="2204"/>
      <c r="H802" s="2204"/>
      <c r="I802" s="2205"/>
      <c r="J802" s="2204"/>
      <c r="K802" s="2204"/>
      <c r="L802" s="2204"/>
      <c r="M802" s="2204"/>
      <c r="N802" s="2204"/>
      <c r="O802" s="2204"/>
      <c r="P802" s="2204"/>
      <c r="Q802" s="2204"/>
      <c r="R802" s="2204"/>
      <c r="S802" s="2204"/>
      <c r="T802" s="2204"/>
    </row>
    <row r="803" spans="1:20">
      <c r="A803" s="2204"/>
      <c r="B803" s="2204"/>
      <c r="C803" s="2204"/>
      <c r="D803" s="2204"/>
      <c r="E803" s="2204"/>
      <c r="F803" s="2204"/>
      <c r="G803" s="2204"/>
      <c r="H803" s="2204"/>
      <c r="I803" s="2205"/>
      <c r="J803" s="2204"/>
      <c r="K803" s="2204"/>
      <c r="L803" s="2204"/>
      <c r="M803" s="2204"/>
      <c r="N803" s="2204"/>
      <c r="O803" s="2204"/>
      <c r="P803" s="2204"/>
      <c r="Q803" s="2204"/>
      <c r="R803" s="2204"/>
      <c r="S803" s="2204"/>
      <c r="T803" s="2204"/>
    </row>
    <row r="804" spans="1:20">
      <c r="A804" s="2204"/>
      <c r="B804" s="2204"/>
      <c r="C804" s="2204"/>
      <c r="D804" s="2204"/>
      <c r="E804" s="2204"/>
      <c r="F804" s="2204"/>
      <c r="G804" s="2204"/>
      <c r="H804" s="2204"/>
      <c r="I804" s="2205"/>
      <c r="J804" s="2204"/>
      <c r="K804" s="2204"/>
      <c r="L804" s="2204"/>
      <c r="M804" s="2204"/>
      <c r="N804" s="2204"/>
      <c r="O804" s="2204"/>
      <c r="P804" s="2204"/>
      <c r="Q804" s="2204"/>
      <c r="R804" s="2204"/>
      <c r="S804" s="2204"/>
      <c r="T804" s="2204"/>
    </row>
    <row r="805" spans="1:20">
      <c r="A805" s="2204"/>
      <c r="B805" s="2204"/>
      <c r="C805" s="2204"/>
      <c r="D805" s="2204"/>
      <c r="E805" s="2204"/>
      <c r="F805" s="2204"/>
      <c r="G805" s="2204"/>
      <c r="H805" s="2204"/>
      <c r="I805" s="2205"/>
      <c r="J805" s="2204"/>
      <c r="K805" s="2204"/>
      <c r="L805" s="2204"/>
      <c r="M805" s="2204"/>
      <c r="N805" s="2204"/>
      <c r="O805" s="2204"/>
      <c r="P805" s="2204"/>
      <c r="Q805" s="2204"/>
      <c r="R805" s="2204"/>
      <c r="S805" s="2204"/>
      <c r="T805" s="2204"/>
    </row>
    <row r="806" spans="1:20">
      <c r="A806" s="2204"/>
      <c r="B806" s="2204"/>
      <c r="C806" s="2204"/>
      <c r="D806" s="2204"/>
      <c r="E806" s="2204"/>
      <c r="F806" s="2204"/>
      <c r="G806" s="2204"/>
      <c r="H806" s="2204"/>
      <c r="I806" s="2205"/>
      <c r="J806" s="2204"/>
      <c r="K806" s="2204"/>
      <c r="L806" s="2204"/>
      <c r="M806" s="2204"/>
      <c r="N806" s="2204"/>
      <c r="O806" s="2204"/>
      <c r="P806" s="2204"/>
      <c r="Q806" s="2204"/>
      <c r="R806" s="2204"/>
      <c r="S806" s="2204"/>
      <c r="T806" s="2204"/>
    </row>
    <row r="807" spans="1:20">
      <c r="A807" s="2204"/>
      <c r="B807" s="2204"/>
      <c r="C807" s="2204"/>
      <c r="D807" s="2204"/>
      <c r="E807" s="2204"/>
      <c r="F807" s="2204"/>
      <c r="G807" s="2204"/>
      <c r="H807" s="2204"/>
      <c r="I807" s="2205"/>
      <c r="J807" s="2204"/>
      <c r="K807" s="2204"/>
      <c r="L807" s="2204"/>
      <c r="M807" s="2204"/>
      <c r="N807" s="2204"/>
      <c r="O807" s="2204"/>
      <c r="P807" s="2204"/>
      <c r="Q807" s="2204"/>
      <c r="R807" s="2204"/>
      <c r="S807" s="2204"/>
      <c r="T807" s="2204"/>
    </row>
    <row r="808" spans="1:20">
      <c r="A808" s="2204"/>
      <c r="B808" s="2204"/>
      <c r="C808" s="2204"/>
      <c r="D808" s="2204"/>
      <c r="E808" s="2204"/>
      <c r="F808" s="2204"/>
      <c r="G808" s="2204"/>
      <c r="H808" s="2204"/>
      <c r="I808" s="2205"/>
      <c r="J808" s="2204"/>
      <c r="K808" s="2204"/>
      <c r="L808" s="2204"/>
      <c r="M808" s="2204"/>
      <c r="N808" s="2204"/>
      <c r="O808" s="2204"/>
      <c r="P808" s="2204"/>
      <c r="Q808" s="2204"/>
      <c r="R808" s="2204"/>
      <c r="S808" s="2204"/>
      <c r="T808" s="2204"/>
    </row>
    <row r="809" spans="1:20">
      <c r="A809" s="2204"/>
      <c r="B809" s="2204"/>
      <c r="C809" s="2204"/>
      <c r="D809" s="2204"/>
      <c r="E809" s="2204"/>
      <c r="F809" s="2204"/>
      <c r="G809" s="2204"/>
      <c r="H809" s="2204"/>
      <c r="I809" s="2205"/>
      <c r="J809" s="2204"/>
      <c r="K809" s="2204"/>
      <c r="L809" s="2204"/>
      <c r="M809" s="2204"/>
      <c r="N809" s="2204"/>
      <c r="O809" s="2204"/>
      <c r="P809" s="2204"/>
      <c r="Q809" s="2204"/>
      <c r="R809" s="2204"/>
      <c r="S809" s="2204"/>
      <c r="T809" s="2204"/>
    </row>
    <row r="810" spans="1:20">
      <c r="A810" s="2204"/>
      <c r="B810" s="2204"/>
      <c r="C810" s="2204"/>
      <c r="D810" s="2204"/>
      <c r="E810" s="2204"/>
      <c r="F810" s="2204"/>
      <c r="G810" s="2204"/>
      <c r="H810" s="2204"/>
      <c r="I810" s="2205"/>
      <c r="J810" s="2204"/>
      <c r="K810" s="2204"/>
      <c r="L810" s="2204"/>
      <c r="M810" s="2204"/>
      <c r="N810" s="2204"/>
      <c r="O810" s="2204"/>
      <c r="P810" s="2204"/>
      <c r="Q810" s="2204"/>
      <c r="R810" s="2204"/>
      <c r="S810" s="2204"/>
      <c r="T810" s="2204"/>
    </row>
    <row r="811" spans="1:20">
      <c r="A811" s="2204"/>
      <c r="B811" s="2204"/>
      <c r="C811" s="2204"/>
      <c r="D811" s="2204"/>
      <c r="E811" s="2204"/>
      <c r="F811" s="2204"/>
      <c r="G811" s="2204"/>
      <c r="H811" s="2204"/>
      <c r="I811" s="2205"/>
      <c r="J811" s="2204"/>
      <c r="K811" s="2204"/>
      <c r="L811" s="2204"/>
      <c r="M811" s="2204"/>
      <c r="N811" s="2204"/>
      <c r="O811" s="2204"/>
      <c r="P811" s="2204"/>
      <c r="Q811" s="2204"/>
      <c r="R811" s="2204"/>
      <c r="S811" s="2204"/>
      <c r="T811" s="2204"/>
    </row>
    <row r="812" spans="1:20">
      <c r="A812" s="2204"/>
      <c r="B812" s="2204"/>
      <c r="C812" s="2204"/>
      <c r="D812" s="2204"/>
      <c r="E812" s="2204"/>
      <c r="F812" s="2204"/>
      <c r="G812" s="2204"/>
      <c r="H812" s="2204"/>
      <c r="I812" s="2205"/>
      <c r="J812" s="2204"/>
      <c r="K812" s="2204"/>
      <c r="L812" s="2204"/>
      <c r="M812" s="2204"/>
      <c r="N812" s="2204"/>
      <c r="O812" s="2204"/>
      <c r="P812" s="2204"/>
      <c r="Q812" s="2204"/>
      <c r="R812" s="2204"/>
      <c r="S812" s="2204"/>
      <c r="T812" s="2204"/>
    </row>
    <row r="813" spans="1:20">
      <c r="A813" s="2204"/>
      <c r="B813" s="2204"/>
      <c r="C813" s="2204"/>
      <c r="D813" s="2204"/>
      <c r="E813" s="2204"/>
      <c r="F813" s="2204"/>
      <c r="G813" s="2204"/>
      <c r="H813" s="2204"/>
      <c r="I813" s="2205"/>
      <c r="J813" s="2204"/>
      <c r="K813" s="2204"/>
      <c r="L813" s="2204"/>
      <c r="M813" s="2204"/>
      <c r="N813" s="2204"/>
      <c r="O813" s="2204"/>
      <c r="P813" s="2204"/>
      <c r="Q813" s="2204"/>
      <c r="R813" s="2204"/>
      <c r="S813" s="2204"/>
      <c r="T813" s="2204"/>
    </row>
    <row r="814" spans="1:20">
      <c r="A814" s="2204"/>
      <c r="B814" s="2204"/>
      <c r="C814" s="2204"/>
      <c r="D814" s="2204"/>
      <c r="E814" s="2204"/>
      <c r="F814" s="2204"/>
      <c r="G814" s="2204"/>
      <c r="H814" s="2204"/>
      <c r="I814" s="2205"/>
      <c r="J814" s="2204"/>
      <c r="K814" s="2204"/>
      <c r="L814" s="2204"/>
      <c r="M814" s="2204"/>
      <c r="N814" s="2204"/>
      <c r="O814" s="2204"/>
      <c r="P814" s="2204"/>
      <c r="Q814" s="2204"/>
      <c r="R814" s="2204"/>
      <c r="S814" s="2204"/>
      <c r="T814" s="2204"/>
    </row>
    <row r="815" spans="1:20">
      <c r="A815" s="2204"/>
      <c r="B815" s="2204"/>
      <c r="C815" s="2204"/>
      <c r="D815" s="2204"/>
      <c r="E815" s="2204"/>
      <c r="F815" s="2204"/>
      <c r="G815" s="2204"/>
      <c r="H815" s="2204"/>
      <c r="I815" s="2205"/>
      <c r="J815" s="2204"/>
      <c r="K815" s="2204"/>
      <c r="L815" s="2204"/>
      <c r="M815" s="2204"/>
      <c r="N815" s="2204"/>
      <c r="O815" s="2204"/>
      <c r="P815" s="2204"/>
      <c r="Q815" s="2204"/>
      <c r="R815" s="2204"/>
      <c r="S815" s="2204"/>
      <c r="T815" s="2204"/>
    </row>
    <row r="816" spans="1:20">
      <c r="A816" s="2204"/>
      <c r="B816" s="2204"/>
      <c r="C816" s="2204"/>
      <c r="D816" s="2204"/>
      <c r="E816" s="2204"/>
      <c r="F816" s="2204"/>
      <c r="G816" s="2204"/>
      <c r="H816" s="2204"/>
      <c r="I816" s="2205"/>
      <c r="J816" s="2204"/>
      <c r="K816" s="2204"/>
      <c r="L816" s="2204"/>
      <c r="M816" s="2204"/>
      <c r="N816" s="2204"/>
      <c r="O816" s="2204"/>
      <c r="P816" s="2204"/>
      <c r="Q816" s="2204"/>
      <c r="R816" s="2204"/>
      <c r="S816" s="2204"/>
      <c r="T816" s="2204"/>
    </row>
    <row r="817" spans="1:20">
      <c r="A817" s="2204"/>
      <c r="B817" s="2204"/>
      <c r="C817" s="2204"/>
      <c r="D817" s="2204"/>
      <c r="E817" s="2204"/>
      <c r="F817" s="2204"/>
      <c r="G817" s="2204"/>
      <c r="H817" s="2204"/>
      <c r="I817" s="2205"/>
      <c r="J817" s="2204"/>
      <c r="K817" s="2204"/>
      <c r="L817" s="2204"/>
      <c r="M817" s="2204"/>
      <c r="N817" s="2204"/>
      <c r="O817" s="2204"/>
      <c r="P817" s="2204"/>
      <c r="Q817" s="2204"/>
      <c r="R817" s="2204"/>
      <c r="S817" s="2204"/>
      <c r="T817" s="2204"/>
    </row>
    <row r="818" spans="1:20">
      <c r="A818" s="2204"/>
      <c r="B818" s="2204"/>
      <c r="C818" s="2204"/>
      <c r="D818" s="2204"/>
      <c r="E818" s="2204"/>
      <c r="F818" s="2204"/>
      <c r="G818" s="2204"/>
      <c r="H818" s="2204"/>
      <c r="I818" s="2205"/>
      <c r="J818" s="2204"/>
      <c r="K818" s="2204"/>
      <c r="L818" s="2204"/>
      <c r="M818" s="2204"/>
      <c r="N818" s="2204"/>
      <c r="O818" s="2204"/>
      <c r="P818" s="2204"/>
      <c r="Q818" s="2204"/>
      <c r="R818" s="2204"/>
      <c r="S818" s="2204"/>
      <c r="T818" s="2204"/>
    </row>
    <row r="819" spans="1:20">
      <c r="A819" s="2204"/>
      <c r="B819" s="2204"/>
      <c r="C819" s="2204"/>
      <c r="D819" s="2204"/>
      <c r="E819" s="2204"/>
      <c r="F819" s="2204"/>
      <c r="G819" s="2204"/>
      <c r="H819" s="2204"/>
      <c r="I819" s="2205"/>
      <c r="J819" s="2204"/>
      <c r="K819" s="2204"/>
      <c r="L819" s="2204"/>
      <c r="M819" s="2204"/>
      <c r="N819" s="2204"/>
      <c r="O819" s="2204"/>
      <c r="P819" s="2204"/>
      <c r="Q819" s="2204"/>
      <c r="R819" s="2204"/>
      <c r="S819" s="2204"/>
      <c r="T819" s="2204"/>
    </row>
    <row r="820" spans="1:20">
      <c r="A820" s="2204"/>
      <c r="B820" s="2204"/>
      <c r="C820" s="2204"/>
      <c r="D820" s="2204"/>
      <c r="E820" s="2204"/>
      <c r="F820" s="2204"/>
      <c r="G820" s="2204"/>
      <c r="H820" s="2204"/>
      <c r="I820" s="2205"/>
      <c r="J820" s="2204"/>
      <c r="K820" s="2204"/>
      <c r="L820" s="2204"/>
      <c r="M820" s="2204"/>
      <c r="N820" s="2204"/>
      <c r="O820" s="2204"/>
      <c r="P820" s="2204"/>
      <c r="Q820" s="2204"/>
      <c r="R820" s="2204"/>
      <c r="S820" s="2204"/>
      <c r="T820" s="2204"/>
    </row>
    <row r="821" spans="1:20">
      <c r="A821" s="2204"/>
      <c r="B821" s="2204"/>
      <c r="C821" s="2204"/>
      <c r="D821" s="2204"/>
      <c r="E821" s="2204"/>
      <c r="F821" s="2204"/>
      <c r="G821" s="2204"/>
      <c r="H821" s="2204"/>
      <c r="I821" s="2205"/>
      <c r="J821" s="2204"/>
      <c r="K821" s="2204"/>
      <c r="L821" s="2204"/>
      <c r="M821" s="2204"/>
      <c r="N821" s="2204"/>
      <c r="O821" s="2204"/>
      <c r="P821" s="2204"/>
      <c r="Q821" s="2204"/>
      <c r="R821" s="2204"/>
      <c r="S821" s="2204"/>
      <c r="T821" s="2204"/>
    </row>
    <row r="822" spans="1:20">
      <c r="A822" s="2204"/>
      <c r="B822" s="2204"/>
      <c r="C822" s="2204"/>
      <c r="D822" s="2204"/>
      <c r="E822" s="2204"/>
      <c r="F822" s="2204"/>
      <c r="G822" s="2204"/>
      <c r="H822" s="2204"/>
      <c r="I822" s="2205"/>
      <c r="J822" s="2204"/>
      <c r="K822" s="2204"/>
      <c r="L822" s="2204"/>
      <c r="M822" s="2204"/>
      <c r="N822" s="2204"/>
      <c r="O822" s="2204"/>
      <c r="P822" s="2204"/>
      <c r="Q822" s="2204"/>
      <c r="R822" s="2204"/>
      <c r="S822" s="2204"/>
      <c r="T822" s="2204"/>
    </row>
    <row r="823" spans="1:20">
      <c r="A823" s="2204"/>
      <c r="B823" s="2204"/>
      <c r="C823" s="2204"/>
      <c r="D823" s="2204"/>
      <c r="E823" s="2204"/>
      <c r="F823" s="2204"/>
      <c r="G823" s="2204"/>
      <c r="H823" s="2204"/>
      <c r="I823" s="2205"/>
      <c r="J823" s="2204"/>
      <c r="K823" s="2204"/>
      <c r="L823" s="2204"/>
      <c r="M823" s="2204"/>
      <c r="N823" s="2204"/>
      <c r="O823" s="2204"/>
      <c r="P823" s="2204"/>
      <c r="Q823" s="2204"/>
      <c r="R823" s="2204"/>
      <c r="S823" s="2204"/>
      <c r="T823" s="2204"/>
    </row>
    <row r="824" spans="1:20">
      <c r="A824" s="2204"/>
      <c r="B824" s="2204"/>
      <c r="C824" s="2204"/>
      <c r="D824" s="2204"/>
      <c r="E824" s="2204"/>
      <c r="F824" s="2204"/>
      <c r="G824" s="2204"/>
      <c r="H824" s="2204"/>
      <c r="I824" s="2205"/>
      <c r="J824" s="2204"/>
      <c r="K824" s="2204"/>
      <c r="L824" s="2204"/>
      <c r="M824" s="2204"/>
      <c r="N824" s="2204"/>
      <c r="O824" s="2204"/>
      <c r="P824" s="2204"/>
      <c r="Q824" s="2204"/>
      <c r="R824" s="2204"/>
      <c r="S824" s="2204"/>
      <c r="T824" s="2204"/>
    </row>
    <row r="825" spans="1:20">
      <c r="A825" s="2204"/>
      <c r="B825" s="2204"/>
      <c r="C825" s="2204"/>
      <c r="D825" s="2204"/>
      <c r="E825" s="2204"/>
      <c r="F825" s="2204"/>
      <c r="G825" s="2204"/>
      <c r="H825" s="2204"/>
      <c r="I825" s="2205"/>
      <c r="J825" s="2204"/>
      <c r="K825" s="2204"/>
      <c r="L825" s="2204"/>
      <c r="M825" s="2204"/>
      <c r="N825" s="2204"/>
      <c r="O825" s="2204"/>
      <c r="P825" s="2204"/>
      <c r="Q825" s="2204"/>
      <c r="R825" s="2204"/>
      <c r="S825" s="2204"/>
      <c r="T825" s="2204"/>
    </row>
    <row r="826" spans="1:20">
      <c r="A826" s="2204"/>
      <c r="B826" s="2204"/>
      <c r="C826" s="2204"/>
      <c r="D826" s="2204"/>
      <c r="E826" s="2204"/>
      <c r="F826" s="2204"/>
      <c r="G826" s="2204"/>
      <c r="H826" s="2204"/>
      <c r="I826" s="2205"/>
      <c r="J826" s="2204"/>
      <c r="K826" s="2204"/>
      <c r="L826" s="2204"/>
      <c r="M826" s="2204"/>
      <c r="N826" s="2204"/>
      <c r="O826" s="2204"/>
      <c r="P826" s="2204"/>
      <c r="Q826" s="2204"/>
      <c r="R826" s="2204"/>
      <c r="S826" s="2204"/>
      <c r="T826" s="2204"/>
    </row>
    <row r="827" spans="1:20">
      <c r="A827" s="2204"/>
      <c r="B827" s="2204"/>
      <c r="C827" s="2204"/>
      <c r="D827" s="2204"/>
      <c r="E827" s="2204"/>
      <c r="F827" s="2204"/>
      <c r="G827" s="2204"/>
      <c r="H827" s="2204"/>
      <c r="I827" s="2205"/>
      <c r="J827" s="2204"/>
      <c r="K827" s="2204"/>
      <c r="L827" s="2204"/>
      <c r="M827" s="2204"/>
      <c r="N827" s="2204"/>
      <c r="O827" s="2204"/>
      <c r="P827" s="2204"/>
      <c r="Q827" s="2204"/>
      <c r="R827" s="2204"/>
      <c r="S827" s="2204"/>
      <c r="T827" s="2204"/>
    </row>
    <row r="828" spans="1:20">
      <c r="A828" s="2204"/>
      <c r="B828" s="2204"/>
      <c r="C828" s="2204"/>
      <c r="D828" s="2204"/>
      <c r="E828" s="2204"/>
      <c r="F828" s="2204"/>
      <c r="G828" s="2204"/>
      <c r="H828" s="2204"/>
      <c r="I828" s="2205"/>
      <c r="J828" s="2204"/>
      <c r="K828" s="2204"/>
      <c r="L828" s="2204"/>
      <c r="M828" s="2204"/>
      <c r="N828" s="2204"/>
      <c r="O828" s="2204"/>
      <c r="P828" s="2204"/>
      <c r="Q828" s="2204"/>
      <c r="R828" s="2204"/>
      <c r="S828" s="2204"/>
      <c r="T828" s="2204"/>
    </row>
    <row r="829" spans="1:20">
      <c r="A829" s="2204"/>
      <c r="B829" s="2204"/>
      <c r="C829" s="2204"/>
      <c r="D829" s="2204"/>
      <c r="E829" s="2204"/>
      <c r="F829" s="2204"/>
      <c r="G829" s="2204"/>
      <c r="H829" s="2204"/>
      <c r="I829" s="2205"/>
      <c r="J829" s="2204"/>
      <c r="K829" s="2204"/>
      <c r="L829" s="2204"/>
      <c r="M829" s="2204"/>
      <c r="N829" s="2204"/>
      <c r="O829" s="2204"/>
      <c r="P829" s="2204"/>
      <c r="Q829" s="2204"/>
      <c r="R829" s="2204"/>
      <c r="S829" s="2204"/>
      <c r="T829" s="2204"/>
    </row>
    <row r="830" spans="1:20">
      <c r="A830" s="2204"/>
      <c r="B830" s="2204"/>
      <c r="C830" s="2204"/>
      <c r="D830" s="2204"/>
      <c r="E830" s="2204"/>
      <c r="F830" s="2204"/>
      <c r="G830" s="2204"/>
      <c r="H830" s="2204"/>
      <c r="I830" s="2205"/>
      <c r="J830" s="2204"/>
      <c r="K830" s="2204"/>
      <c r="L830" s="2204"/>
      <c r="M830" s="2204"/>
      <c r="N830" s="2204"/>
      <c r="O830" s="2204"/>
      <c r="P830" s="2204"/>
      <c r="Q830" s="2204"/>
      <c r="R830" s="2204"/>
      <c r="S830" s="2204"/>
      <c r="T830" s="2204"/>
    </row>
    <row r="831" spans="1:20">
      <c r="A831" s="2204"/>
      <c r="B831" s="2204"/>
      <c r="C831" s="2204"/>
      <c r="D831" s="2204"/>
      <c r="E831" s="2204"/>
      <c r="F831" s="2204"/>
      <c r="G831" s="2204"/>
      <c r="H831" s="2204"/>
      <c r="I831" s="2205"/>
      <c r="J831" s="2204"/>
      <c r="K831" s="2204"/>
      <c r="L831" s="2204"/>
      <c r="M831" s="2204"/>
      <c r="N831" s="2204"/>
      <c r="O831" s="2204"/>
      <c r="P831" s="2204"/>
      <c r="Q831" s="2204"/>
      <c r="R831" s="2204"/>
      <c r="S831" s="2204"/>
      <c r="T831" s="2204"/>
    </row>
    <row r="832" spans="1:20">
      <c r="A832" s="2204"/>
      <c r="B832" s="2204"/>
      <c r="C832" s="2204"/>
      <c r="D832" s="2204"/>
      <c r="E832" s="2204"/>
      <c r="F832" s="2204"/>
      <c r="G832" s="2204"/>
      <c r="H832" s="2204"/>
      <c r="I832" s="2205"/>
      <c r="J832" s="2204"/>
      <c r="K832" s="2204"/>
      <c r="L832" s="2204"/>
      <c r="M832" s="2204"/>
      <c r="N832" s="2204"/>
      <c r="O832" s="2204"/>
      <c r="P832" s="2204"/>
      <c r="Q832" s="2204"/>
      <c r="R832" s="2204"/>
      <c r="S832" s="2204"/>
      <c r="T832" s="2204"/>
    </row>
    <row r="833" spans="1:20">
      <c r="A833" s="2204"/>
      <c r="B833" s="2204"/>
      <c r="C833" s="2204"/>
      <c r="D833" s="2204"/>
      <c r="E833" s="2204"/>
      <c r="F833" s="2204"/>
      <c r="G833" s="2204"/>
      <c r="H833" s="2204"/>
      <c r="I833" s="2205"/>
      <c r="J833" s="2204"/>
      <c r="K833" s="2204"/>
      <c r="L833" s="2204"/>
      <c r="M833" s="2204"/>
      <c r="N833" s="2204"/>
      <c r="O833" s="2204"/>
      <c r="P833" s="2204"/>
      <c r="Q833" s="2204"/>
      <c r="R833" s="2204"/>
      <c r="S833" s="2204"/>
      <c r="T833" s="2204"/>
    </row>
    <row r="834" spans="1:20">
      <c r="A834" s="2204"/>
      <c r="B834" s="2204"/>
      <c r="C834" s="2204"/>
      <c r="D834" s="2204"/>
      <c r="E834" s="2204"/>
      <c r="F834" s="2204"/>
      <c r="G834" s="2204"/>
      <c r="H834" s="2204"/>
      <c r="I834" s="2205"/>
      <c r="J834" s="2204"/>
      <c r="K834" s="2204"/>
      <c r="L834" s="2204"/>
      <c r="M834" s="2204"/>
      <c r="N834" s="2204"/>
      <c r="O834" s="2204"/>
      <c r="P834" s="2204"/>
      <c r="Q834" s="2204"/>
      <c r="R834" s="2204"/>
      <c r="S834" s="2204"/>
      <c r="T834" s="2204"/>
    </row>
    <row r="835" spans="1:20">
      <c r="A835" s="2204"/>
      <c r="B835" s="2204"/>
      <c r="C835" s="2204"/>
      <c r="D835" s="2204"/>
      <c r="E835" s="2204"/>
      <c r="F835" s="2204"/>
      <c r="G835" s="2204"/>
      <c r="H835" s="2204"/>
      <c r="I835" s="2205"/>
      <c r="J835" s="2204"/>
      <c r="K835" s="2204"/>
      <c r="L835" s="2204"/>
      <c r="M835" s="2204"/>
      <c r="N835" s="2204"/>
      <c r="O835" s="2204"/>
      <c r="P835" s="2204"/>
      <c r="Q835" s="2204"/>
      <c r="R835" s="2204"/>
      <c r="S835" s="2204"/>
      <c r="T835" s="2204"/>
    </row>
    <row r="836" spans="1:20">
      <c r="A836" s="2204"/>
      <c r="B836" s="2204"/>
      <c r="C836" s="2204"/>
      <c r="D836" s="2204"/>
      <c r="E836" s="2204"/>
      <c r="F836" s="2204"/>
      <c r="G836" s="2204"/>
      <c r="H836" s="2204"/>
      <c r="I836" s="2205"/>
      <c r="J836" s="2204"/>
      <c r="K836" s="2204"/>
      <c r="L836" s="2204"/>
      <c r="M836" s="2204"/>
      <c r="N836" s="2204"/>
      <c r="O836" s="2204"/>
      <c r="P836" s="2204"/>
      <c r="Q836" s="2204"/>
      <c r="R836" s="2204"/>
      <c r="S836" s="2204"/>
      <c r="T836" s="2204"/>
    </row>
    <row r="837" spans="1:20">
      <c r="A837" s="2204"/>
      <c r="B837" s="2204"/>
      <c r="C837" s="2204"/>
      <c r="D837" s="2204"/>
      <c r="E837" s="2204"/>
      <c r="F837" s="2204"/>
      <c r="G837" s="2204"/>
      <c r="H837" s="2204"/>
      <c r="I837" s="2205"/>
      <c r="J837" s="2204"/>
      <c r="K837" s="2204"/>
      <c r="L837" s="2204"/>
      <c r="M837" s="2204"/>
      <c r="N837" s="2204"/>
      <c r="O837" s="2204"/>
      <c r="P837" s="2204"/>
      <c r="Q837" s="2204"/>
      <c r="R837" s="2204"/>
      <c r="S837" s="2204"/>
      <c r="T837" s="2204"/>
    </row>
    <row r="838" spans="1:20">
      <c r="A838" s="2204"/>
      <c r="B838" s="2204"/>
      <c r="C838" s="2204"/>
      <c r="D838" s="2204"/>
      <c r="E838" s="2204"/>
      <c r="F838" s="2204"/>
      <c r="G838" s="2204"/>
      <c r="H838" s="2204"/>
      <c r="I838" s="2205"/>
      <c r="J838" s="2204"/>
      <c r="K838" s="2204"/>
      <c r="L838" s="2204"/>
      <c r="M838" s="2204"/>
      <c r="N838" s="2204"/>
      <c r="O838" s="2204"/>
      <c r="P838" s="2204"/>
      <c r="Q838" s="2204"/>
      <c r="R838" s="2204"/>
      <c r="S838" s="2204"/>
      <c r="T838" s="2204"/>
    </row>
    <row r="839" spans="1:20">
      <c r="A839" s="2204"/>
      <c r="B839" s="2204"/>
      <c r="C839" s="2204"/>
      <c r="D839" s="2204"/>
      <c r="E839" s="2204"/>
      <c r="F839" s="2204"/>
      <c r="G839" s="2204"/>
      <c r="H839" s="2204"/>
      <c r="I839" s="2205"/>
      <c r="J839" s="2204"/>
      <c r="K839" s="2204"/>
      <c r="L839" s="2204"/>
      <c r="M839" s="2204"/>
      <c r="N839" s="2204"/>
      <c r="O839" s="2204"/>
      <c r="P839" s="2204"/>
      <c r="Q839" s="2204"/>
      <c r="R839" s="2204"/>
      <c r="S839" s="2204"/>
      <c r="T839" s="2204"/>
    </row>
    <row r="840" spans="1:20">
      <c r="A840" s="2204"/>
      <c r="B840" s="2204"/>
      <c r="C840" s="2204"/>
      <c r="D840" s="2204"/>
      <c r="E840" s="2204"/>
      <c r="F840" s="2204"/>
      <c r="G840" s="2204"/>
      <c r="H840" s="2204"/>
      <c r="I840" s="2205"/>
      <c r="J840" s="2204"/>
      <c r="K840" s="2204"/>
      <c r="L840" s="2204"/>
      <c r="M840" s="2204"/>
      <c r="N840" s="2204"/>
      <c r="O840" s="2204"/>
      <c r="P840" s="2204"/>
      <c r="Q840" s="2204"/>
      <c r="R840" s="2204"/>
      <c r="S840" s="2204"/>
      <c r="T840" s="2204"/>
    </row>
    <row r="841" spans="1:20">
      <c r="A841" s="2204"/>
      <c r="B841" s="2204"/>
      <c r="C841" s="2204"/>
      <c r="D841" s="2204"/>
      <c r="E841" s="2204"/>
      <c r="F841" s="2204"/>
      <c r="G841" s="2204"/>
      <c r="H841" s="2204"/>
      <c r="I841" s="2205"/>
      <c r="J841" s="2204"/>
      <c r="K841" s="2204"/>
      <c r="L841" s="2204"/>
      <c r="M841" s="2204"/>
      <c r="N841" s="2204"/>
      <c r="O841" s="2204"/>
      <c r="P841" s="2204"/>
      <c r="Q841" s="2204"/>
      <c r="R841" s="2204"/>
      <c r="S841" s="2204"/>
      <c r="T841" s="2204"/>
    </row>
    <row r="842" spans="1:20">
      <c r="A842" s="2204"/>
      <c r="B842" s="2204"/>
      <c r="C842" s="2204"/>
      <c r="D842" s="2204"/>
      <c r="E842" s="2204"/>
      <c r="F842" s="2204"/>
      <c r="G842" s="2204"/>
      <c r="H842" s="2204"/>
      <c r="I842" s="2205"/>
      <c r="J842" s="2204"/>
      <c r="K842" s="2204"/>
      <c r="L842" s="2204"/>
      <c r="M842" s="2204"/>
      <c r="N842" s="2204"/>
      <c r="O842" s="2204"/>
      <c r="P842" s="2204"/>
      <c r="Q842" s="2204"/>
      <c r="R842" s="2204"/>
      <c r="S842" s="2204"/>
      <c r="T842" s="2204"/>
    </row>
    <row r="843" spans="1:20">
      <c r="A843" s="2204"/>
      <c r="B843" s="2204"/>
      <c r="C843" s="2204"/>
      <c r="D843" s="2204"/>
      <c r="E843" s="2204"/>
      <c r="F843" s="2204"/>
      <c r="G843" s="2204"/>
      <c r="H843" s="2204"/>
      <c r="I843" s="2205"/>
      <c r="J843" s="2204"/>
      <c r="K843" s="2204"/>
      <c r="L843" s="2204"/>
      <c r="M843" s="2204"/>
      <c r="N843" s="2204"/>
      <c r="O843" s="2204"/>
      <c r="P843" s="2204"/>
      <c r="Q843" s="2204"/>
      <c r="R843" s="2204"/>
      <c r="S843" s="2204"/>
      <c r="T843" s="2204"/>
    </row>
    <row r="844" spans="1:20">
      <c r="A844" s="2204"/>
      <c r="B844" s="2204"/>
      <c r="C844" s="2204"/>
      <c r="D844" s="2204"/>
      <c r="E844" s="2204"/>
      <c r="F844" s="2204"/>
      <c r="G844" s="2204"/>
      <c r="H844" s="2204"/>
      <c r="I844" s="2205"/>
      <c r="J844" s="2204"/>
      <c r="K844" s="2204"/>
      <c r="L844" s="2204"/>
      <c r="M844" s="2204"/>
      <c r="N844" s="2204"/>
      <c r="O844" s="2204"/>
      <c r="P844" s="2204"/>
      <c r="Q844" s="2204"/>
      <c r="R844" s="2204"/>
      <c r="S844" s="2204"/>
      <c r="T844" s="2204"/>
    </row>
    <row r="845" spans="1:20">
      <c r="A845" s="2204"/>
      <c r="B845" s="2204"/>
      <c r="C845" s="2204"/>
      <c r="D845" s="2204"/>
      <c r="E845" s="2204"/>
      <c r="F845" s="2204"/>
      <c r="G845" s="2204"/>
      <c r="H845" s="2204"/>
      <c r="I845" s="2205"/>
      <c r="J845" s="2204"/>
      <c r="K845" s="2204"/>
      <c r="L845" s="2204"/>
      <c r="M845" s="2204"/>
      <c r="N845" s="2204"/>
      <c r="O845" s="2204"/>
      <c r="P845" s="2204"/>
      <c r="Q845" s="2204"/>
      <c r="R845" s="2204"/>
      <c r="S845" s="2204"/>
      <c r="T845" s="2204"/>
    </row>
    <row r="846" spans="1:20">
      <c r="A846" s="2204"/>
      <c r="B846" s="2204"/>
      <c r="C846" s="2204"/>
      <c r="D846" s="2204"/>
      <c r="E846" s="2204"/>
      <c r="F846" s="2204"/>
      <c r="G846" s="2204"/>
      <c r="H846" s="2204"/>
      <c r="I846" s="2205"/>
      <c r="J846" s="2204"/>
      <c r="K846" s="2204"/>
      <c r="L846" s="2204"/>
      <c r="M846" s="2204"/>
      <c r="N846" s="2204"/>
      <c r="O846" s="2204"/>
      <c r="P846" s="2204"/>
      <c r="Q846" s="2204"/>
      <c r="R846" s="2204"/>
      <c r="S846" s="2204"/>
      <c r="T846" s="2204"/>
    </row>
    <row r="847" spans="1:20">
      <c r="A847" s="2204"/>
      <c r="B847" s="2204"/>
      <c r="C847" s="2204"/>
      <c r="D847" s="2204"/>
      <c r="E847" s="2204"/>
      <c r="F847" s="2204"/>
      <c r="G847" s="2204"/>
      <c r="H847" s="2204"/>
      <c r="I847" s="2205"/>
      <c r="J847" s="2204"/>
      <c r="K847" s="2204"/>
      <c r="L847" s="2204"/>
      <c r="M847" s="2204"/>
      <c r="N847" s="2204"/>
      <c r="O847" s="2204"/>
      <c r="P847" s="2204"/>
      <c r="Q847" s="2204"/>
      <c r="R847" s="2204"/>
      <c r="S847" s="2204"/>
      <c r="T847" s="2204"/>
    </row>
    <row r="848" spans="1:20">
      <c r="A848" s="2204"/>
      <c r="B848" s="2204"/>
      <c r="C848" s="2204"/>
      <c r="D848" s="2204"/>
      <c r="E848" s="2204"/>
      <c r="F848" s="2204"/>
      <c r="G848" s="2204"/>
      <c r="H848" s="2204"/>
      <c r="I848" s="2205"/>
      <c r="J848" s="2204"/>
      <c r="K848" s="2204"/>
      <c r="L848" s="2204"/>
      <c r="M848" s="2204"/>
      <c r="N848" s="2204"/>
      <c r="O848" s="2204"/>
      <c r="P848" s="2204"/>
      <c r="Q848" s="2204"/>
      <c r="R848" s="2204"/>
      <c r="S848" s="2204"/>
      <c r="T848" s="2204"/>
    </row>
    <row r="849" spans="1:20">
      <c r="A849" s="2204"/>
      <c r="B849" s="2204"/>
      <c r="C849" s="2204"/>
      <c r="D849" s="2204"/>
      <c r="E849" s="2204"/>
      <c r="F849" s="2204"/>
      <c r="G849" s="2204"/>
      <c r="H849" s="2204"/>
      <c r="I849" s="2205"/>
      <c r="J849" s="2204"/>
      <c r="K849" s="2204"/>
      <c r="L849" s="2204"/>
      <c r="M849" s="2204"/>
      <c r="N849" s="2204"/>
      <c r="O849" s="2204"/>
      <c r="P849" s="2204"/>
      <c r="Q849" s="2204"/>
      <c r="R849" s="2204"/>
      <c r="S849" s="2204"/>
      <c r="T849" s="2204"/>
    </row>
    <row r="850" spans="1:20">
      <c r="A850" s="2204"/>
      <c r="B850" s="2204"/>
      <c r="C850" s="2204"/>
      <c r="D850" s="2204"/>
      <c r="E850" s="2204"/>
      <c r="F850" s="2204"/>
      <c r="G850" s="2204"/>
      <c r="H850" s="2204"/>
      <c r="I850" s="2205"/>
      <c r="J850" s="2204"/>
      <c r="K850" s="2204"/>
      <c r="L850" s="2204"/>
      <c r="M850" s="2204"/>
      <c r="N850" s="2204"/>
      <c r="O850" s="2204"/>
      <c r="P850" s="2204"/>
      <c r="Q850" s="2204"/>
      <c r="R850" s="2204"/>
      <c r="S850" s="2204"/>
      <c r="T850" s="2204"/>
    </row>
    <row r="851" spans="1:20">
      <c r="A851" s="2204"/>
      <c r="B851" s="2204"/>
      <c r="C851" s="2204"/>
      <c r="D851" s="2204"/>
      <c r="E851" s="2204"/>
      <c r="F851" s="2204"/>
      <c r="G851" s="2204"/>
      <c r="H851" s="2204"/>
      <c r="I851" s="2205"/>
      <c r="J851" s="2204"/>
      <c r="K851" s="2204"/>
      <c r="L851" s="2204"/>
      <c r="M851" s="2204"/>
      <c r="N851" s="2204"/>
      <c r="O851" s="2204"/>
      <c r="P851" s="2204"/>
      <c r="Q851" s="2204"/>
      <c r="R851" s="2204"/>
      <c r="S851" s="2204"/>
      <c r="T851" s="2204"/>
    </row>
    <row r="852" spans="1:20">
      <c r="A852" s="2204"/>
      <c r="B852" s="2204"/>
      <c r="C852" s="2204"/>
      <c r="D852" s="2204"/>
      <c r="E852" s="2204"/>
      <c r="F852" s="2204"/>
      <c r="G852" s="2204"/>
      <c r="H852" s="2204"/>
      <c r="I852" s="2205"/>
      <c r="J852" s="2204"/>
      <c r="K852" s="2204"/>
      <c r="L852" s="2204"/>
      <c r="M852" s="2204"/>
      <c r="N852" s="2204"/>
      <c r="O852" s="2204"/>
      <c r="P852" s="2204"/>
      <c r="Q852" s="2204"/>
      <c r="R852" s="2204"/>
      <c r="S852" s="2204"/>
      <c r="T852" s="2204"/>
    </row>
    <row r="853" spans="1:20">
      <c r="A853" s="2204"/>
      <c r="B853" s="2204"/>
      <c r="C853" s="2204"/>
      <c r="D853" s="2204"/>
      <c r="E853" s="2204"/>
      <c r="F853" s="2204"/>
      <c r="G853" s="2204"/>
      <c r="H853" s="2204"/>
      <c r="I853" s="2205"/>
      <c r="J853" s="2204"/>
      <c r="K853" s="2204"/>
      <c r="L853" s="2204"/>
      <c r="M853" s="2204"/>
      <c r="N853" s="2204"/>
      <c r="O853" s="2204"/>
      <c r="P853" s="2204"/>
      <c r="Q853" s="2204"/>
      <c r="R853" s="2204"/>
      <c r="S853" s="2204"/>
      <c r="T853" s="2204"/>
    </row>
    <row r="854" spans="1:20">
      <c r="A854" s="2204"/>
      <c r="B854" s="2204"/>
      <c r="C854" s="2204"/>
      <c r="D854" s="2204"/>
      <c r="E854" s="2204"/>
      <c r="F854" s="2204"/>
      <c r="G854" s="2204"/>
      <c r="H854" s="2204"/>
      <c r="I854" s="2205"/>
      <c r="J854" s="2204"/>
      <c r="K854" s="2204"/>
      <c r="L854" s="2204"/>
      <c r="M854" s="2204"/>
      <c r="N854" s="2204"/>
      <c r="O854" s="2204"/>
      <c r="P854" s="2204"/>
      <c r="Q854" s="2204"/>
      <c r="R854" s="2204"/>
      <c r="S854" s="2204"/>
      <c r="T854" s="2204"/>
    </row>
    <row r="855" spans="1:20">
      <c r="A855" s="2204"/>
      <c r="B855" s="2204"/>
      <c r="C855" s="2204"/>
      <c r="D855" s="2204"/>
      <c r="E855" s="2204"/>
      <c r="F855" s="2204"/>
      <c r="G855" s="2204"/>
      <c r="H855" s="2204"/>
      <c r="I855" s="2205"/>
      <c r="J855" s="2204"/>
      <c r="K855" s="2204"/>
      <c r="L855" s="2204"/>
      <c r="M855" s="2204"/>
      <c r="N855" s="2204"/>
      <c r="O855" s="2204"/>
      <c r="P855" s="2204"/>
      <c r="Q855" s="2204"/>
      <c r="R855" s="2204"/>
      <c r="S855" s="2204"/>
      <c r="T855" s="2204"/>
    </row>
    <row r="856" spans="1:20">
      <c r="A856" s="2204"/>
      <c r="B856" s="2204"/>
      <c r="C856" s="2204"/>
      <c r="D856" s="2204"/>
      <c r="E856" s="2204"/>
      <c r="F856" s="2204"/>
      <c r="G856" s="2204"/>
      <c r="H856" s="2204"/>
      <c r="I856" s="2205"/>
      <c r="J856" s="2204"/>
      <c r="K856" s="2204"/>
      <c r="L856" s="2204"/>
      <c r="M856" s="2204"/>
      <c r="N856" s="2204"/>
      <c r="O856" s="2204"/>
      <c r="P856" s="2204"/>
      <c r="Q856" s="2204"/>
      <c r="R856" s="2204"/>
      <c r="S856" s="2204"/>
      <c r="T856" s="2204"/>
    </row>
    <row r="857" spans="1:20">
      <c r="A857" s="2204"/>
      <c r="B857" s="2204"/>
      <c r="C857" s="2204"/>
      <c r="D857" s="2204"/>
      <c r="E857" s="2204"/>
      <c r="F857" s="2204"/>
      <c r="G857" s="2204"/>
      <c r="H857" s="2204"/>
      <c r="I857" s="2205"/>
      <c r="J857" s="2204"/>
      <c r="K857" s="2204"/>
      <c r="L857" s="2204"/>
      <c r="M857" s="2204"/>
      <c r="N857" s="2204"/>
      <c r="O857" s="2204"/>
      <c r="P857" s="2204"/>
      <c r="Q857" s="2204"/>
      <c r="R857" s="2204"/>
      <c r="S857" s="2204"/>
      <c r="T857" s="2204"/>
    </row>
    <row r="858" spans="1:20">
      <c r="A858" s="2204"/>
      <c r="B858" s="2204"/>
      <c r="C858" s="2204"/>
      <c r="D858" s="2204"/>
      <c r="E858" s="2204"/>
      <c r="F858" s="2204"/>
      <c r="G858" s="2204"/>
      <c r="H858" s="2204"/>
      <c r="I858" s="2205"/>
      <c r="J858" s="2204"/>
      <c r="K858" s="2204"/>
      <c r="L858" s="2204"/>
      <c r="M858" s="2204"/>
      <c r="N858" s="2204"/>
      <c r="O858" s="2204"/>
      <c r="P858" s="2204"/>
      <c r="Q858" s="2204"/>
      <c r="R858" s="2204"/>
      <c r="S858" s="2204"/>
      <c r="T858" s="2204"/>
    </row>
    <row r="859" spans="1:20">
      <c r="A859" s="2204"/>
      <c r="B859" s="2204"/>
      <c r="C859" s="2204"/>
      <c r="D859" s="2204"/>
      <c r="E859" s="2204"/>
      <c r="F859" s="2204"/>
      <c r="G859" s="2204"/>
      <c r="H859" s="2204"/>
      <c r="I859" s="2205"/>
      <c r="J859" s="2204"/>
      <c r="K859" s="2204"/>
      <c r="L859" s="2204"/>
      <c r="M859" s="2204"/>
      <c r="N859" s="2204"/>
      <c r="O859" s="2204"/>
      <c r="P859" s="2204"/>
      <c r="Q859" s="2204"/>
      <c r="R859" s="2204"/>
      <c r="S859" s="2204"/>
      <c r="T859" s="2204"/>
    </row>
    <row r="860" spans="1:20">
      <c r="A860" s="2204"/>
      <c r="B860" s="2204"/>
      <c r="C860" s="2204"/>
      <c r="D860" s="2204"/>
      <c r="E860" s="2204"/>
      <c r="F860" s="2204"/>
      <c r="G860" s="2204"/>
      <c r="H860" s="2204"/>
      <c r="I860" s="2205"/>
      <c r="J860" s="2204"/>
      <c r="K860" s="2204"/>
      <c r="L860" s="2204"/>
      <c r="M860" s="2204"/>
      <c r="N860" s="2204"/>
      <c r="O860" s="2204"/>
      <c r="P860" s="2204"/>
      <c r="Q860" s="2204"/>
      <c r="R860" s="2204"/>
      <c r="S860" s="2204"/>
      <c r="T860" s="2204"/>
    </row>
    <row r="861" spans="1:20">
      <c r="A861" s="2204"/>
      <c r="B861" s="2204"/>
      <c r="C861" s="2204"/>
      <c r="D861" s="2204"/>
      <c r="E861" s="2204"/>
      <c r="F861" s="2204"/>
      <c r="G861" s="2204"/>
      <c r="H861" s="2204"/>
      <c r="I861" s="2205"/>
      <c r="J861" s="2204"/>
      <c r="K861" s="2204"/>
      <c r="L861" s="2204"/>
      <c r="M861" s="2204"/>
      <c r="N861" s="2204"/>
      <c r="O861" s="2204"/>
      <c r="P861" s="2204"/>
      <c r="Q861" s="2204"/>
      <c r="R861" s="2204"/>
      <c r="S861" s="2204"/>
      <c r="T861" s="2204"/>
    </row>
    <row r="862" spans="1:20">
      <c r="A862" s="2204"/>
      <c r="B862" s="2204"/>
      <c r="C862" s="2204"/>
      <c r="D862" s="2204"/>
      <c r="E862" s="2204"/>
      <c r="F862" s="2204"/>
      <c r="G862" s="2204"/>
      <c r="H862" s="2204"/>
      <c r="I862" s="2205"/>
      <c r="J862" s="2204"/>
      <c r="K862" s="2204"/>
      <c r="L862" s="2204"/>
      <c r="M862" s="2204"/>
      <c r="N862" s="2204"/>
      <c r="O862" s="2204"/>
      <c r="P862" s="2204"/>
      <c r="Q862" s="2204"/>
      <c r="R862" s="2204"/>
      <c r="S862" s="2204"/>
      <c r="T862" s="2204"/>
    </row>
    <row r="863" spans="1:20">
      <c r="A863" s="2204"/>
      <c r="B863" s="2204"/>
      <c r="C863" s="2204"/>
      <c r="D863" s="2204"/>
      <c r="E863" s="2204"/>
      <c r="F863" s="2204"/>
      <c r="G863" s="2204"/>
      <c r="H863" s="2204"/>
      <c r="I863" s="2205"/>
      <c r="J863" s="2204"/>
      <c r="K863" s="2204"/>
      <c r="L863" s="2204"/>
      <c r="M863" s="2204"/>
      <c r="N863" s="2204"/>
      <c r="O863" s="2204"/>
      <c r="P863" s="2204"/>
      <c r="Q863" s="2204"/>
      <c r="R863" s="2204"/>
      <c r="S863" s="2204"/>
      <c r="T863" s="2204"/>
    </row>
    <row r="864" spans="1:20">
      <c r="A864" s="2204"/>
      <c r="B864" s="2204"/>
      <c r="C864" s="2204"/>
      <c r="D864" s="2204"/>
      <c r="E864" s="2204"/>
      <c r="F864" s="2204"/>
      <c r="G864" s="2204"/>
      <c r="H864" s="2204"/>
      <c r="I864" s="2205"/>
      <c r="J864" s="2204"/>
      <c r="K864" s="2204"/>
      <c r="L864" s="2204"/>
      <c r="M864" s="2204"/>
      <c r="N864" s="2204"/>
      <c r="O864" s="2204"/>
      <c r="P864" s="2204"/>
      <c r="Q864" s="2204"/>
      <c r="R864" s="2204"/>
      <c r="S864" s="2204"/>
      <c r="T864" s="2204"/>
    </row>
    <row r="865" spans="1:20">
      <c r="A865" s="2204"/>
      <c r="B865" s="2204"/>
      <c r="C865" s="2204"/>
      <c r="D865" s="2204"/>
      <c r="E865" s="2204"/>
      <c r="F865" s="2204"/>
      <c r="G865" s="2204"/>
      <c r="H865" s="2204"/>
      <c r="I865" s="2205"/>
      <c r="J865" s="2204"/>
      <c r="K865" s="2204"/>
      <c r="L865" s="2204"/>
      <c r="M865" s="2204"/>
      <c r="N865" s="2204"/>
      <c r="O865" s="2204"/>
      <c r="P865" s="2204"/>
      <c r="Q865" s="2204"/>
      <c r="R865" s="2204"/>
      <c r="S865" s="2204"/>
      <c r="T865" s="2204"/>
    </row>
    <row r="866" spans="1:20">
      <c r="A866" s="2204"/>
      <c r="B866" s="2204"/>
      <c r="C866" s="2204"/>
      <c r="D866" s="2204"/>
      <c r="E866" s="2204"/>
      <c r="F866" s="2204"/>
      <c r="G866" s="2204"/>
      <c r="H866" s="2204"/>
      <c r="I866" s="2205"/>
      <c r="J866" s="2204"/>
      <c r="K866" s="2204"/>
      <c r="L866" s="2204"/>
      <c r="M866" s="2204"/>
      <c r="N866" s="2204"/>
      <c r="O866" s="2204"/>
      <c r="P866" s="2204"/>
      <c r="Q866" s="2204"/>
      <c r="R866" s="2204"/>
      <c r="S866" s="2204"/>
      <c r="T866" s="2204"/>
    </row>
    <row r="867" spans="1:20">
      <c r="A867" s="2204"/>
      <c r="B867" s="2204"/>
      <c r="C867" s="2204"/>
      <c r="D867" s="2204"/>
      <c r="E867" s="2204"/>
      <c r="F867" s="2204"/>
      <c r="G867" s="2204"/>
      <c r="H867" s="2204"/>
      <c r="I867" s="2205"/>
      <c r="J867" s="2204"/>
      <c r="K867" s="2204"/>
      <c r="L867" s="2204"/>
      <c r="M867" s="2204"/>
      <c r="N867" s="2204"/>
      <c r="O867" s="2204"/>
      <c r="P867" s="2204"/>
      <c r="Q867" s="2204"/>
      <c r="R867" s="2204"/>
      <c r="S867" s="2204"/>
      <c r="T867" s="2204"/>
    </row>
    <row r="868" spans="1:20">
      <c r="A868" s="2204"/>
      <c r="B868" s="2204"/>
      <c r="C868" s="2204"/>
      <c r="D868" s="2204"/>
      <c r="E868" s="2204"/>
      <c r="F868" s="2204"/>
      <c r="G868" s="2204"/>
      <c r="H868" s="2204"/>
      <c r="I868" s="2205"/>
      <c r="J868" s="2204"/>
      <c r="K868" s="2204"/>
      <c r="L868" s="2204"/>
      <c r="M868" s="2204"/>
      <c r="N868" s="2204"/>
      <c r="O868" s="2204"/>
      <c r="P868" s="2204"/>
      <c r="Q868" s="2204"/>
      <c r="R868" s="2204"/>
      <c r="S868" s="2204"/>
      <c r="T868" s="2204"/>
    </row>
    <row r="869" spans="1:20">
      <c r="A869" s="2204"/>
      <c r="B869" s="2204"/>
      <c r="C869" s="2204"/>
      <c r="D869" s="2204"/>
      <c r="E869" s="2204"/>
      <c r="F869" s="2204"/>
      <c r="G869" s="2204"/>
      <c r="H869" s="2204"/>
      <c r="I869" s="2205"/>
      <c r="J869" s="2204"/>
      <c r="K869" s="2204"/>
      <c r="L869" s="2204"/>
      <c r="M869" s="2204"/>
      <c r="N869" s="2204"/>
      <c r="O869" s="2204"/>
      <c r="P869" s="2204"/>
      <c r="Q869" s="2204"/>
      <c r="R869" s="2204"/>
      <c r="S869" s="2204"/>
      <c r="T869" s="2204"/>
    </row>
    <row r="870" spans="1:20">
      <c r="A870" s="2204"/>
      <c r="B870" s="2204"/>
      <c r="C870" s="2204"/>
      <c r="D870" s="2204"/>
      <c r="E870" s="2204"/>
      <c r="F870" s="2204"/>
      <c r="G870" s="2204"/>
      <c r="H870" s="2204"/>
      <c r="I870" s="2205"/>
      <c r="J870" s="2204"/>
      <c r="K870" s="2204"/>
      <c r="L870" s="2204"/>
      <c r="M870" s="2204"/>
      <c r="N870" s="2204"/>
      <c r="O870" s="2204"/>
      <c r="P870" s="2204"/>
      <c r="Q870" s="2204"/>
      <c r="R870" s="2204"/>
      <c r="S870" s="2204"/>
      <c r="T870" s="2204"/>
    </row>
    <row r="871" spans="1:20">
      <c r="A871" s="2204"/>
      <c r="B871" s="2204"/>
      <c r="C871" s="2204"/>
      <c r="D871" s="2204"/>
      <c r="E871" s="2204"/>
      <c r="F871" s="2204"/>
      <c r="G871" s="2204"/>
      <c r="H871" s="2204"/>
      <c r="I871" s="2205"/>
      <c r="J871" s="2204"/>
      <c r="K871" s="2204"/>
      <c r="L871" s="2204"/>
      <c r="M871" s="2204"/>
      <c r="N871" s="2204"/>
      <c r="O871" s="2204"/>
      <c r="P871" s="2204"/>
      <c r="Q871" s="2204"/>
      <c r="R871" s="2204"/>
      <c r="S871" s="2204"/>
      <c r="T871" s="2204"/>
    </row>
    <row r="872" spans="1:20">
      <c r="A872" s="2204"/>
      <c r="B872" s="2204"/>
      <c r="C872" s="2204"/>
      <c r="D872" s="2204"/>
      <c r="E872" s="2204"/>
      <c r="F872" s="2204"/>
      <c r="G872" s="2204"/>
      <c r="H872" s="2204"/>
      <c r="I872" s="2205"/>
      <c r="J872" s="2204"/>
      <c r="K872" s="2204"/>
      <c r="L872" s="2204"/>
      <c r="M872" s="2204"/>
      <c r="N872" s="2204"/>
      <c r="O872" s="2204"/>
      <c r="P872" s="2204"/>
      <c r="Q872" s="2204"/>
      <c r="R872" s="2204"/>
      <c r="S872" s="2204"/>
      <c r="T872" s="2204"/>
    </row>
    <row r="873" spans="1:20">
      <c r="A873" s="2204"/>
      <c r="B873" s="2204"/>
      <c r="C873" s="2204"/>
      <c r="D873" s="2204"/>
      <c r="E873" s="2204"/>
      <c r="F873" s="2204"/>
      <c r="G873" s="2204"/>
      <c r="H873" s="2204"/>
      <c r="I873" s="2205"/>
      <c r="J873" s="2204"/>
      <c r="K873" s="2204"/>
      <c r="L873" s="2204"/>
      <c r="M873" s="2204"/>
      <c r="N873" s="2204"/>
      <c r="O873" s="2204"/>
      <c r="P873" s="2204"/>
      <c r="Q873" s="2204"/>
      <c r="R873" s="2204"/>
      <c r="S873" s="2204"/>
      <c r="T873" s="2204"/>
    </row>
    <row r="874" spans="1:20">
      <c r="A874" s="2204"/>
      <c r="B874" s="2204"/>
      <c r="C874" s="2204"/>
      <c r="D874" s="2204"/>
      <c r="E874" s="2204"/>
      <c r="F874" s="2204"/>
      <c r="G874" s="2204"/>
      <c r="H874" s="2204"/>
      <c r="I874" s="2205"/>
      <c r="J874" s="2204"/>
      <c r="K874" s="2204"/>
      <c r="L874" s="2204"/>
      <c r="M874" s="2204"/>
      <c r="N874" s="2204"/>
      <c r="O874" s="2204"/>
      <c r="P874" s="2204"/>
      <c r="Q874" s="2204"/>
      <c r="R874" s="2204"/>
      <c r="S874" s="2204"/>
      <c r="T874" s="2204"/>
    </row>
    <row r="875" spans="1:20">
      <c r="A875" s="2204"/>
      <c r="B875" s="2204"/>
      <c r="C875" s="2204"/>
      <c r="D875" s="2204"/>
      <c r="E875" s="2204"/>
      <c r="F875" s="2204"/>
      <c r="G875" s="2204"/>
      <c r="H875" s="2204"/>
      <c r="I875" s="2205"/>
      <c r="J875" s="2204"/>
      <c r="K875" s="2204"/>
      <c r="L875" s="2204"/>
      <c r="M875" s="2204"/>
      <c r="N875" s="2204"/>
      <c r="O875" s="2204"/>
      <c r="P875" s="2204"/>
      <c r="Q875" s="2204"/>
      <c r="R875" s="2204"/>
      <c r="S875" s="2204"/>
      <c r="T875" s="2204"/>
    </row>
    <row r="876" spans="1:20">
      <c r="A876" s="2204"/>
      <c r="B876" s="2204"/>
      <c r="C876" s="2204"/>
      <c r="D876" s="2204"/>
      <c r="E876" s="2204"/>
      <c r="F876" s="2204"/>
      <c r="G876" s="2204"/>
      <c r="H876" s="2204"/>
      <c r="I876" s="2205"/>
      <c r="J876" s="2204"/>
      <c r="K876" s="2204"/>
      <c r="L876" s="2204"/>
      <c r="M876" s="2204"/>
      <c r="N876" s="2204"/>
      <c r="O876" s="2204"/>
      <c r="P876" s="2204"/>
      <c r="Q876" s="2204"/>
      <c r="R876" s="2204"/>
      <c r="S876" s="2204"/>
      <c r="T876" s="2204"/>
    </row>
    <row r="877" spans="1:20">
      <c r="A877" s="2204"/>
      <c r="B877" s="2204"/>
      <c r="C877" s="2204"/>
      <c r="D877" s="2204"/>
      <c r="E877" s="2204"/>
      <c r="F877" s="2204"/>
      <c r="G877" s="2204"/>
      <c r="H877" s="2204"/>
      <c r="I877" s="2205"/>
      <c r="J877" s="2204"/>
      <c r="K877" s="2204"/>
      <c r="L877" s="2204"/>
      <c r="M877" s="2204"/>
      <c r="N877" s="2204"/>
      <c r="O877" s="2204"/>
      <c r="P877" s="2204"/>
      <c r="Q877" s="2204"/>
      <c r="R877" s="2204"/>
      <c r="S877" s="2204"/>
      <c r="T877" s="2204"/>
    </row>
    <row r="878" spans="1:20">
      <c r="A878" s="2204"/>
      <c r="B878" s="2204"/>
      <c r="C878" s="2204"/>
      <c r="D878" s="2204"/>
      <c r="E878" s="2204"/>
      <c r="F878" s="2204"/>
      <c r="G878" s="2204"/>
      <c r="H878" s="2204"/>
      <c r="I878" s="2205"/>
      <c r="J878" s="2204"/>
      <c r="K878" s="2204"/>
      <c r="L878" s="2204"/>
      <c r="M878" s="2204"/>
      <c r="N878" s="2204"/>
      <c r="O878" s="2204"/>
      <c r="P878" s="2204"/>
      <c r="Q878" s="2204"/>
      <c r="R878" s="2204"/>
      <c r="S878" s="2204"/>
      <c r="T878" s="2204"/>
    </row>
    <row r="879" spans="1:20">
      <c r="A879" s="2204"/>
      <c r="B879" s="2204"/>
      <c r="C879" s="2204"/>
      <c r="D879" s="2204"/>
      <c r="E879" s="2204"/>
      <c r="F879" s="2204"/>
      <c r="G879" s="2204"/>
      <c r="H879" s="2204"/>
      <c r="I879" s="2205"/>
      <c r="J879" s="2204"/>
      <c r="K879" s="2204"/>
      <c r="L879" s="2204"/>
      <c r="M879" s="2204"/>
      <c r="N879" s="2204"/>
      <c r="O879" s="2204"/>
      <c r="P879" s="2204"/>
      <c r="Q879" s="2204"/>
      <c r="R879" s="2204"/>
      <c r="S879" s="2204"/>
      <c r="T879" s="2204"/>
    </row>
    <row r="880" spans="1:20">
      <c r="A880" s="2204"/>
      <c r="B880" s="2204"/>
      <c r="C880" s="2204"/>
      <c r="D880" s="2204"/>
      <c r="E880" s="2204"/>
      <c r="F880" s="2204"/>
      <c r="G880" s="2204"/>
      <c r="H880" s="2204"/>
      <c r="I880" s="2205"/>
      <c r="J880" s="2204"/>
      <c r="K880" s="2204"/>
      <c r="L880" s="2204"/>
      <c r="M880" s="2204"/>
      <c r="N880" s="2204"/>
      <c r="O880" s="2204"/>
      <c r="P880" s="2204"/>
      <c r="Q880" s="2204"/>
      <c r="R880" s="2204"/>
      <c r="S880" s="2204"/>
      <c r="T880" s="2204"/>
    </row>
    <row r="881" spans="1:20">
      <c r="A881" s="2204"/>
      <c r="B881" s="2204"/>
      <c r="C881" s="2204"/>
      <c r="D881" s="2204"/>
      <c r="E881" s="2204"/>
      <c r="F881" s="2204"/>
      <c r="G881" s="2204"/>
      <c r="H881" s="2204"/>
      <c r="I881" s="2205"/>
      <c r="J881" s="2204"/>
      <c r="K881" s="2204"/>
      <c r="L881" s="2204"/>
      <c r="M881" s="2204"/>
      <c r="N881" s="2204"/>
      <c r="O881" s="2204"/>
      <c r="P881" s="2204"/>
      <c r="Q881" s="2204"/>
      <c r="R881" s="2204"/>
      <c r="S881" s="2204"/>
      <c r="T881" s="2204"/>
    </row>
    <row r="882" spans="1:20">
      <c r="A882" s="2204"/>
      <c r="B882" s="2204"/>
      <c r="C882" s="2204"/>
      <c r="D882" s="2204"/>
      <c r="E882" s="2204"/>
      <c r="F882" s="2204"/>
      <c r="G882" s="2204"/>
      <c r="H882" s="2204"/>
      <c r="I882" s="2205"/>
      <c r="J882" s="2204"/>
      <c r="K882" s="2204"/>
      <c r="L882" s="2204"/>
      <c r="M882" s="2204"/>
      <c r="N882" s="2204"/>
      <c r="O882" s="2204"/>
      <c r="P882" s="2204"/>
      <c r="Q882" s="2204"/>
      <c r="R882" s="2204"/>
      <c r="S882" s="2204"/>
      <c r="T882" s="2204"/>
    </row>
    <row r="883" spans="1:20">
      <c r="A883" s="2204"/>
      <c r="B883" s="2204"/>
      <c r="C883" s="2204"/>
      <c r="D883" s="2204"/>
      <c r="E883" s="2204"/>
      <c r="F883" s="2204"/>
      <c r="G883" s="2204"/>
      <c r="H883" s="2204"/>
      <c r="I883" s="2205"/>
      <c r="J883" s="2204"/>
      <c r="K883" s="2204"/>
      <c r="L883" s="2204"/>
      <c r="M883" s="2204"/>
      <c r="N883" s="2204"/>
      <c r="O883" s="2204"/>
      <c r="P883" s="2204"/>
      <c r="Q883" s="2204"/>
      <c r="R883" s="2204"/>
      <c r="S883" s="2204"/>
      <c r="T883" s="2204"/>
    </row>
    <row r="884" spans="1:20">
      <c r="A884" s="2204"/>
      <c r="B884" s="2204"/>
      <c r="C884" s="2204"/>
      <c r="D884" s="2204"/>
      <c r="E884" s="2204"/>
      <c r="F884" s="2204"/>
      <c r="G884" s="2204"/>
      <c r="H884" s="2204"/>
      <c r="I884" s="2205"/>
      <c r="J884" s="2204"/>
      <c r="K884" s="2204"/>
      <c r="L884" s="2204"/>
      <c r="M884" s="2204"/>
      <c r="N884" s="2204"/>
      <c r="O884" s="2204"/>
      <c r="P884" s="2204"/>
      <c r="Q884" s="2204"/>
      <c r="R884" s="2204"/>
      <c r="S884" s="2204"/>
      <c r="T884" s="2204"/>
    </row>
    <row r="885" spans="1:20">
      <c r="A885" s="2204"/>
      <c r="B885" s="2204"/>
      <c r="C885" s="2204"/>
      <c r="D885" s="2204"/>
      <c r="E885" s="2204"/>
      <c r="F885" s="2204"/>
      <c r="G885" s="2204"/>
      <c r="H885" s="2204"/>
      <c r="I885" s="2205"/>
      <c r="J885" s="2204"/>
      <c r="K885" s="2204"/>
      <c r="L885" s="2204"/>
      <c r="M885" s="2204"/>
      <c r="N885" s="2204"/>
      <c r="O885" s="2204"/>
      <c r="P885" s="2204"/>
      <c r="Q885" s="2204"/>
      <c r="R885" s="2204"/>
      <c r="S885" s="2204"/>
      <c r="T885" s="2204"/>
    </row>
    <row r="886" spans="1:20">
      <c r="A886" s="2204"/>
      <c r="B886" s="2204"/>
      <c r="C886" s="2204"/>
      <c r="D886" s="2204"/>
      <c r="E886" s="2204"/>
      <c r="F886" s="2204"/>
      <c r="G886" s="2204"/>
      <c r="H886" s="2204"/>
      <c r="I886" s="2205"/>
      <c r="J886" s="2204"/>
      <c r="K886" s="2204"/>
      <c r="L886" s="2204"/>
      <c r="M886" s="2204"/>
      <c r="N886" s="2204"/>
      <c r="O886" s="2204"/>
      <c r="P886" s="2204"/>
      <c r="Q886" s="2204"/>
      <c r="R886" s="2204"/>
      <c r="S886" s="2204"/>
      <c r="T886" s="2204"/>
    </row>
    <row r="887" spans="1:20">
      <c r="A887" s="2204"/>
      <c r="B887" s="2204"/>
      <c r="C887" s="2204"/>
      <c r="D887" s="2204"/>
      <c r="E887" s="2204"/>
      <c r="F887" s="2204"/>
      <c r="G887" s="2204"/>
      <c r="H887" s="2204"/>
      <c r="I887" s="2205"/>
      <c r="J887" s="2204"/>
      <c r="K887" s="2204"/>
      <c r="L887" s="2204"/>
      <c r="M887" s="2204"/>
      <c r="N887" s="2204"/>
      <c r="O887" s="2204"/>
      <c r="P887" s="2204"/>
      <c r="Q887" s="2204"/>
      <c r="R887" s="2204"/>
      <c r="S887" s="2204"/>
      <c r="T887" s="2204"/>
    </row>
    <row r="888" spans="1:20">
      <c r="A888" s="2204"/>
      <c r="B888" s="2204"/>
      <c r="C888" s="2204"/>
      <c r="D888" s="2204"/>
      <c r="E888" s="2204"/>
      <c r="F888" s="2204"/>
      <c r="G888" s="2204"/>
      <c r="H888" s="2204"/>
      <c r="I888" s="2205"/>
      <c r="J888" s="2204"/>
      <c r="K888" s="2204"/>
      <c r="L888" s="2204"/>
      <c r="M888" s="2204"/>
      <c r="N888" s="2204"/>
      <c r="O888" s="2204"/>
      <c r="P888" s="2204"/>
      <c r="Q888" s="2204"/>
      <c r="R888" s="2204"/>
      <c r="S888" s="2204"/>
      <c r="T888" s="2204"/>
    </row>
    <row r="889" spans="1:20">
      <c r="A889" s="2204"/>
      <c r="B889" s="2204"/>
      <c r="C889" s="2204"/>
      <c r="D889" s="2204"/>
      <c r="E889" s="2204"/>
      <c r="F889" s="2204"/>
      <c r="G889" s="2204"/>
      <c r="H889" s="2204"/>
      <c r="I889" s="2205"/>
      <c r="J889" s="2204"/>
      <c r="K889" s="2204"/>
      <c r="L889" s="2204"/>
      <c r="M889" s="2204"/>
      <c r="N889" s="2204"/>
      <c r="O889" s="2204"/>
      <c r="P889" s="2204"/>
      <c r="Q889" s="2204"/>
      <c r="R889" s="2204"/>
      <c r="S889" s="2204"/>
      <c r="T889" s="2204"/>
    </row>
    <row r="890" spans="1:20">
      <c r="A890" s="2204"/>
      <c r="B890" s="2204"/>
      <c r="C890" s="2204"/>
      <c r="D890" s="2204"/>
      <c r="E890" s="2204"/>
      <c r="F890" s="2204"/>
      <c r="G890" s="2204"/>
      <c r="H890" s="2204"/>
      <c r="I890" s="2205"/>
      <c r="J890" s="2204"/>
      <c r="K890" s="2204"/>
      <c r="L890" s="2204"/>
      <c r="M890" s="2204"/>
      <c r="N890" s="2204"/>
      <c r="O890" s="2204"/>
      <c r="P890" s="2204"/>
      <c r="Q890" s="2204"/>
      <c r="R890" s="2204"/>
      <c r="S890" s="2204"/>
      <c r="T890" s="2204"/>
    </row>
    <row r="891" spans="1:20">
      <c r="A891" s="2204"/>
      <c r="B891" s="2204"/>
      <c r="C891" s="2204"/>
      <c r="D891" s="2204"/>
      <c r="E891" s="2204"/>
      <c r="F891" s="2204"/>
      <c r="G891" s="2204"/>
      <c r="H891" s="2204"/>
      <c r="I891" s="2205"/>
      <c r="J891" s="2204"/>
      <c r="K891" s="2204"/>
      <c r="L891" s="2204"/>
      <c r="M891" s="2204"/>
      <c r="N891" s="2204"/>
      <c r="O891" s="2204"/>
      <c r="P891" s="2204"/>
      <c r="Q891" s="2204"/>
      <c r="R891" s="2204"/>
      <c r="S891" s="2204"/>
      <c r="T891" s="2204"/>
    </row>
    <row r="892" spans="1:20">
      <c r="A892" s="2204"/>
      <c r="B892" s="2204"/>
      <c r="C892" s="2204"/>
      <c r="D892" s="2204"/>
      <c r="E892" s="2204"/>
      <c r="F892" s="2204"/>
      <c r="G892" s="2204"/>
      <c r="H892" s="2204"/>
      <c r="I892" s="2205"/>
      <c r="J892" s="2204"/>
      <c r="K892" s="2204"/>
      <c r="L892" s="2204"/>
      <c r="M892" s="2204"/>
      <c r="N892" s="2204"/>
      <c r="O892" s="2204"/>
      <c r="P892" s="2204"/>
      <c r="Q892" s="2204"/>
      <c r="R892" s="2204"/>
      <c r="S892" s="2204"/>
      <c r="T892" s="2204"/>
    </row>
    <row r="893" spans="1:20">
      <c r="A893" s="2204"/>
      <c r="B893" s="2204"/>
      <c r="C893" s="2204"/>
      <c r="D893" s="2204"/>
      <c r="E893" s="2204"/>
      <c r="F893" s="2204"/>
      <c r="G893" s="2204"/>
      <c r="H893" s="2204"/>
      <c r="I893" s="2205"/>
      <c r="J893" s="2204"/>
      <c r="K893" s="2204"/>
      <c r="L893" s="2204"/>
      <c r="M893" s="2204"/>
      <c r="N893" s="2204"/>
      <c r="O893" s="2204"/>
      <c r="P893" s="2204"/>
      <c r="Q893" s="2204"/>
      <c r="R893" s="2204"/>
      <c r="S893" s="2204"/>
      <c r="T893" s="2204"/>
    </row>
    <row r="894" spans="1:20">
      <c r="A894" s="2204"/>
      <c r="B894" s="2204"/>
      <c r="C894" s="2204"/>
      <c r="D894" s="2204"/>
      <c r="E894" s="2204"/>
      <c r="F894" s="2204"/>
      <c r="G894" s="2204"/>
      <c r="H894" s="2204"/>
      <c r="I894" s="2205"/>
      <c r="J894" s="2204"/>
      <c r="K894" s="2204"/>
      <c r="L894" s="2204"/>
      <c r="M894" s="2204"/>
      <c r="N894" s="2204"/>
      <c r="O894" s="2204"/>
      <c r="P894" s="2204"/>
      <c r="Q894" s="2204"/>
      <c r="R894" s="2204"/>
      <c r="S894" s="2204"/>
      <c r="T894" s="2204"/>
    </row>
    <row r="895" spans="1:20">
      <c r="A895" s="2204"/>
      <c r="B895" s="2204"/>
      <c r="C895" s="2204"/>
      <c r="D895" s="2204"/>
      <c r="E895" s="2204"/>
      <c r="F895" s="2204"/>
      <c r="G895" s="2204"/>
      <c r="H895" s="2204"/>
      <c r="I895" s="2205"/>
      <c r="J895" s="2204"/>
      <c r="K895" s="2204"/>
      <c r="L895" s="2204"/>
      <c r="M895" s="2204"/>
      <c r="N895" s="2204"/>
      <c r="O895" s="2204"/>
      <c r="P895" s="2204"/>
      <c r="Q895" s="2204"/>
      <c r="R895" s="2204"/>
      <c r="S895" s="2204"/>
      <c r="T895" s="2204"/>
    </row>
    <row r="896" spans="1:20">
      <c r="A896" s="2204"/>
      <c r="B896" s="2204"/>
      <c r="C896" s="2204"/>
      <c r="D896" s="2204"/>
      <c r="E896" s="2204"/>
      <c r="F896" s="2204"/>
      <c r="G896" s="2204"/>
      <c r="H896" s="2204"/>
      <c r="I896" s="2205"/>
      <c r="J896" s="2204"/>
      <c r="K896" s="2204"/>
      <c r="L896" s="2204"/>
      <c r="M896" s="2204"/>
      <c r="N896" s="2204"/>
      <c r="O896" s="2204"/>
      <c r="P896" s="2204"/>
      <c r="Q896" s="2204"/>
      <c r="R896" s="2204"/>
      <c r="S896" s="2204"/>
      <c r="T896" s="2204"/>
    </row>
    <row r="897" spans="1:20">
      <c r="A897" s="2204"/>
      <c r="B897" s="2204"/>
      <c r="C897" s="2204"/>
      <c r="D897" s="2204"/>
      <c r="E897" s="2204"/>
      <c r="F897" s="2204"/>
      <c r="G897" s="2204"/>
      <c r="H897" s="2204"/>
      <c r="I897" s="2205"/>
      <c r="J897" s="2204"/>
      <c r="K897" s="2204"/>
      <c r="L897" s="2204"/>
      <c r="M897" s="2204"/>
      <c r="N897" s="2204"/>
      <c r="O897" s="2204"/>
      <c r="P897" s="2204"/>
      <c r="Q897" s="2204"/>
      <c r="R897" s="2204"/>
      <c r="S897" s="2204"/>
      <c r="T897" s="2204"/>
    </row>
    <row r="898" spans="1:20">
      <c r="A898" s="2204"/>
      <c r="B898" s="2204"/>
      <c r="C898" s="2204"/>
      <c r="D898" s="2204"/>
      <c r="E898" s="2204"/>
      <c r="F898" s="2204"/>
      <c r="G898" s="2204"/>
      <c r="H898" s="2204"/>
      <c r="I898" s="2205"/>
      <c r="J898" s="2204"/>
      <c r="K898" s="2204"/>
      <c r="L898" s="2204"/>
      <c r="M898" s="2204"/>
      <c r="N898" s="2204"/>
      <c r="O898" s="2204"/>
      <c r="P898" s="2204"/>
      <c r="Q898" s="2204"/>
      <c r="R898" s="2204"/>
      <c r="S898" s="2204"/>
      <c r="T898" s="2204"/>
    </row>
    <row r="899" spans="1:20">
      <c r="A899" s="2204"/>
      <c r="B899" s="2204"/>
      <c r="C899" s="2204"/>
      <c r="D899" s="2204"/>
      <c r="E899" s="2204"/>
      <c r="F899" s="2204"/>
      <c r="G899" s="2204"/>
      <c r="H899" s="2204"/>
      <c r="I899" s="2205"/>
      <c r="J899" s="2204"/>
      <c r="K899" s="2204"/>
      <c r="L899" s="2204"/>
      <c r="M899" s="2204"/>
      <c r="N899" s="2204"/>
      <c r="O899" s="2204"/>
      <c r="P899" s="2204"/>
      <c r="Q899" s="2204"/>
      <c r="R899" s="2204"/>
      <c r="S899" s="2204"/>
      <c r="T899" s="2204"/>
    </row>
    <row r="900" spans="1:20">
      <c r="A900" s="2204"/>
      <c r="B900" s="2204"/>
      <c r="C900" s="2204"/>
      <c r="D900" s="2204"/>
      <c r="E900" s="2204"/>
      <c r="F900" s="2204"/>
      <c r="G900" s="2204"/>
      <c r="H900" s="2204"/>
      <c r="I900" s="2205"/>
      <c r="J900" s="2204"/>
      <c r="K900" s="2204"/>
      <c r="L900" s="2204"/>
      <c r="M900" s="2204"/>
      <c r="N900" s="2204"/>
      <c r="O900" s="2204"/>
      <c r="P900" s="2204"/>
      <c r="Q900" s="2204"/>
      <c r="R900" s="2204"/>
      <c r="S900" s="2204"/>
      <c r="T900" s="2204"/>
    </row>
    <row r="901" spans="1:20">
      <c r="A901" s="2204"/>
      <c r="B901" s="2204"/>
      <c r="C901" s="2204"/>
      <c r="D901" s="2204"/>
      <c r="E901" s="2204"/>
      <c r="F901" s="2204"/>
      <c r="G901" s="2204"/>
      <c r="H901" s="2204"/>
      <c r="I901" s="2205"/>
      <c r="J901" s="2204"/>
      <c r="K901" s="2204"/>
      <c r="L901" s="2204"/>
      <c r="M901" s="2204"/>
      <c r="N901" s="2204"/>
      <c r="O901" s="2204"/>
      <c r="P901" s="2204"/>
      <c r="Q901" s="2204"/>
      <c r="R901" s="2204"/>
      <c r="S901" s="2204"/>
      <c r="T901" s="2204"/>
    </row>
    <row r="902" spans="1:20">
      <c r="A902" s="2204"/>
      <c r="B902" s="2204"/>
      <c r="C902" s="2204"/>
      <c r="D902" s="2204"/>
      <c r="E902" s="2204"/>
      <c r="F902" s="2204"/>
      <c r="G902" s="2204"/>
      <c r="H902" s="2204"/>
      <c r="I902" s="2205"/>
      <c r="J902" s="2204"/>
      <c r="K902" s="2204"/>
      <c r="L902" s="2204"/>
      <c r="M902" s="2204"/>
      <c r="N902" s="2204"/>
      <c r="O902" s="2204"/>
      <c r="P902" s="2204"/>
      <c r="Q902" s="2204"/>
      <c r="R902" s="2204"/>
      <c r="S902" s="2204"/>
      <c r="T902" s="2204"/>
    </row>
    <row r="903" spans="1:20">
      <c r="A903" s="2204"/>
      <c r="B903" s="2204"/>
      <c r="C903" s="2204"/>
      <c r="D903" s="2204"/>
      <c r="E903" s="2204"/>
      <c r="F903" s="2204"/>
      <c r="G903" s="2204"/>
      <c r="H903" s="2204"/>
      <c r="I903" s="2205"/>
      <c r="J903" s="2204"/>
      <c r="K903" s="2204"/>
      <c r="L903" s="2204"/>
      <c r="M903" s="2204"/>
      <c r="N903" s="2204"/>
      <c r="O903" s="2204"/>
      <c r="P903" s="2204"/>
      <c r="Q903" s="2204"/>
      <c r="R903" s="2204"/>
      <c r="S903" s="2204"/>
      <c r="T903" s="2204"/>
    </row>
    <row r="904" spans="1:20">
      <c r="A904" s="2204"/>
      <c r="B904" s="2204"/>
      <c r="C904" s="2204"/>
      <c r="D904" s="2204"/>
      <c r="E904" s="2204"/>
      <c r="F904" s="2204"/>
      <c r="G904" s="2204"/>
      <c r="H904" s="2204"/>
      <c r="I904" s="2205"/>
      <c r="J904" s="2204"/>
      <c r="K904" s="2204"/>
      <c r="L904" s="2204"/>
      <c r="M904" s="2204"/>
      <c r="N904" s="2204"/>
      <c r="O904" s="2204"/>
      <c r="P904" s="2204"/>
      <c r="Q904" s="2204"/>
      <c r="R904" s="2204"/>
      <c r="S904" s="2204"/>
      <c r="T904" s="2204"/>
    </row>
    <row r="905" spans="1:20">
      <c r="A905" s="2204"/>
      <c r="B905" s="2204"/>
      <c r="C905" s="2204"/>
      <c r="D905" s="2204"/>
      <c r="E905" s="2204"/>
      <c r="F905" s="2204"/>
      <c r="G905" s="2204"/>
      <c r="H905" s="2204"/>
      <c r="I905" s="2205"/>
      <c r="J905" s="2204"/>
      <c r="K905" s="2204"/>
      <c r="L905" s="2204"/>
      <c r="M905" s="2204"/>
      <c r="N905" s="2204"/>
      <c r="O905" s="2204"/>
      <c r="P905" s="2204"/>
      <c r="Q905" s="2204"/>
      <c r="R905" s="2204"/>
      <c r="S905" s="2204"/>
      <c r="T905" s="2204"/>
    </row>
    <row r="906" spans="1:20">
      <c r="A906" s="2204"/>
      <c r="B906" s="2204"/>
      <c r="C906" s="2204"/>
      <c r="D906" s="2204"/>
      <c r="E906" s="2204"/>
      <c r="F906" s="2204"/>
      <c r="G906" s="2204"/>
      <c r="H906" s="2204"/>
      <c r="I906" s="2205"/>
      <c r="J906" s="2204"/>
      <c r="K906" s="2204"/>
      <c r="L906" s="2204"/>
      <c r="M906" s="2204"/>
      <c r="N906" s="2204"/>
      <c r="O906" s="2204"/>
      <c r="P906" s="2204"/>
      <c r="Q906" s="2204"/>
      <c r="R906" s="2204"/>
      <c r="S906" s="2204"/>
      <c r="T906" s="2204"/>
    </row>
    <row r="907" spans="1:20">
      <c r="A907" s="2204"/>
      <c r="B907" s="2204"/>
      <c r="C907" s="2204"/>
      <c r="D907" s="2204"/>
      <c r="E907" s="2204"/>
      <c r="F907" s="2204"/>
      <c r="G907" s="2204"/>
      <c r="H907" s="2204"/>
      <c r="I907" s="2205"/>
      <c r="J907" s="2204"/>
      <c r="K907" s="2204"/>
      <c r="L907" s="2204"/>
      <c r="M907" s="2204"/>
      <c r="N907" s="2204"/>
      <c r="O907" s="2204"/>
      <c r="P907" s="2204"/>
      <c r="Q907" s="2204"/>
      <c r="R907" s="2204"/>
      <c r="S907" s="2204"/>
      <c r="T907" s="2204"/>
    </row>
    <row r="908" spans="1:20">
      <c r="A908" s="2204"/>
      <c r="B908" s="2204"/>
      <c r="C908" s="2204"/>
      <c r="D908" s="2204"/>
      <c r="E908" s="2204"/>
      <c r="F908" s="2204"/>
      <c r="G908" s="2204"/>
      <c r="H908" s="2204"/>
      <c r="I908" s="2205"/>
      <c r="J908" s="2204"/>
      <c r="K908" s="2204"/>
      <c r="L908" s="2204"/>
      <c r="M908" s="2204"/>
      <c r="N908" s="2204"/>
      <c r="O908" s="2204"/>
      <c r="P908" s="2204"/>
      <c r="Q908" s="2204"/>
      <c r="R908" s="2204"/>
      <c r="S908" s="2204"/>
      <c r="T908" s="2204"/>
    </row>
    <row r="909" spans="1:20">
      <c r="A909" s="2204"/>
      <c r="B909" s="2204"/>
      <c r="C909" s="2204"/>
      <c r="D909" s="2204"/>
      <c r="E909" s="2204"/>
      <c r="F909" s="2204"/>
      <c r="G909" s="2204"/>
      <c r="H909" s="2204"/>
      <c r="I909" s="2205"/>
      <c r="J909" s="2204"/>
      <c r="K909" s="2204"/>
      <c r="L909" s="2204"/>
      <c r="M909" s="2204"/>
      <c r="N909" s="2204"/>
      <c r="O909" s="2204"/>
      <c r="P909" s="2204"/>
      <c r="Q909" s="2204"/>
      <c r="R909" s="2204"/>
      <c r="S909" s="2204"/>
      <c r="T909" s="2204"/>
    </row>
    <row r="910" spans="1:20">
      <c r="A910" s="2204"/>
      <c r="B910" s="2204"/>
      <c r="C910" s="2204"/>
      <c r="D910" s="2204"/>
      <c r="E910" s="2204"/>
      <c r="F910" s="2204"/>
      <c r="G910" s="2204"/>
      <c r="H910" s="2204"/>
      <c r="I910" s="2205"/>
      <c r="J910" s="2204"/>
      <c r="K910" s="2204"/>
      <c r="L910" s="2204"/>
      <c r="M910" s="2204"/>
      <c r="N910" s="2204"/>
      <c r="O910" s="2204"/>
      <c r="P910" s="2204"/>
      <c r="Q910" s="2204"/>
      <c r="R910" s="2204"/>
      <c r="S910" s="2204"/>
      <c r="T910" s="2204"/>
    </row>
    <row r="911" spans="1:20">
      <c r="A911" s="2204"/>
      <c r="B911" s="2204"/>
      <c r="C911" s="2204"/>
      <c r="D911" s="2204"/>
      <c r="E911" s="2204"/>
      <c r="F911" s="2204"/>
      <c r="G911" s="2204"/>
      <c r="H911" s="2204"/>
      <c r="I911" s="2205"/>
      <c r="J911" s="2204"/>
      <c r="K911" s="2204"/>
      <c r="L911" s="2204"/>
      <c r="M911" s="2204"/>
      <c r="N911" s="2204"/>
      <c r="O911" s="2204"/>
      <c r="P911" s="2204"/>
      <c r="Q911" s="2204"/>
      <c r="R911" s="2204"/>
      <c r="S911" s="2204"/>
      <c r="T911" s="2204"/>
    </row>
    <row r="912" spans="1:20">
      <c r="A912" s="2204"/>
      <c r="B912" s="2204"/>
      <c r="C912" s="2204"/>
      <c r="D912" s="2204"/>
      <c r="E912" s="2204"/>
      <c r="F912" s="2204"/>
      <c r="G912" s="2204"/>
      <c r="H912" s="2204"/>
      <c r="I912" s="2205"/>
      <c r="J912" s="2204"/>
      <c r="K912" s="2204"/>
      <c r="L912" s="2204"/>
      <c r="M912" s="2204"/>
      <c r="N912" s="2204"/>
      <c r="O912" s="2204"/>
      <c r="P912" s="2204"/>
      <c r="Q912" s="2204"/>
      <c r="R912" s="2204"/>
      <c r="S912" s="2204"/>
      <c r="T912" s="2204"/>
    </row>
    <row r="913" spans="1:20">
      <c r="A913" s="2204"/>
      <c r="B913" s="2204"/>
      <c r="C913" s="2204"/>
      <c r="D913" s="2204"/>
      <c r="E913" s="2204"/>
      <c r="F913" s="2204"/>
      <c r="G913" s="2204"/>
      <c r="H913" s="2204"/>
      <c r="I913" s="2205"/>
      <c r="J913" s="2204"/>
      <c r="K913" s="2204"/>
      <c r="L913" s="2204"/>
      <c r="M913" s="2204"/>
      <c r="N913" s="2204"/>
      <c r="O913" s="2204"/>
      <c r="P913" s="2204"/>
      <c r="Q913" s="2204"/>
      <c r="R913" s="2204"/>
      <c r="S913" s="2204"/>
      <c r="T913" s="2204"/>
    </row>
    <row r="914" spans="1:20">
      <c r="A914" s="2204"/>
      <c r="B914" s="2204"/>
      <c r="C914" s="2204"/>
      <c r="D914" s="2204"/>
      <c r="E914" s="2204"/>
      <c r="F914" s="2204"/>
      <c r="G914" s="2204"/>
      <c r="H914" s="2204"/>
      <c r="I914" s="2205"/>
      <c r="J914" s="2204"/>
      <c r="K914" s="2204"/>
      <c r="L914" s="2204"/>
      <c r="M914" s="2204"/>
      <c r="N914" s="2204"/>
      <c r="O914" s="2204"/>
      <c r="P914" s="2204"/>
      <c r="Q914" s="2204"/>
      <c r="R914" s="2204"/>
      <c r="S914" s="2204"/>
      <c r="T914" s="2204"/>
    </row>
    <row r="915" spans="1:20">
      <c r="A915" s="2204"/>
      <c r="B915" s="2204"/>
      <c r="C915" s="2204"/>
      <c r="D915" s="2204"/>
      <c r="E915" s="2204"/>
      <c r="F915" s="2204"/>
      <c r="G915" s="2204"/>
      <c r="H915" s="2204"/>
      <c r="I915" s="2205"/>
      <c r="J915" s="2204"/>
      <c r="K915" s="2204"/>
      <c r="L915" s="2204"/>
      <c r="M915" s="2204"/>
      <c r="N915" s="2204"/>
      <c r="O915" s="2204"/>
      <c r="P915" s="2204"/>
      <c r="Q915" s="2204"/>
      <c r="R915" s="2204"/>
      <c r="S915" s="2204"/>
      <c r="T915" s="2204"/>
    </row>
    <row r="916" spans="1:20">
      <c r="A916" s="2204"/>
      <c r="B916" s="2204"/>
      <c r="C916" s="2204"/>
      <c r="D916" s="2204"/>
      <c r="E916" s="2204"/>
      <c r="F916" s="2204"/>
      <c r="G916" s="2204"/>
      <c r="H916" s="2204"/>
      <c r="I916" s="2205"/>
      <c r="J916" s="2204"/>
      <c r="K916" s="2204"/>
      <c r="L916" s="2204"/>
      <c r="M916" s="2204"/>
      <c r="N916" s="2204"/>
      <c r="O916" s="2204"/>
      <c r="P916" s="2204"/>
      <c r="Q916" s="2204"/>
      <c r="R916" s="2204"/>
      <c r="S916" s="2204"/>
      <c r="T916" s="2204"/>
    </row>
    <row r="917" spans="1:20">
      <c r="A917" s="2204"/>
      <c r="B917" s="2204"/>
      <c r="C917" s="2204"/>
      <c r="D917" s="2204"/>
      <c r="E917" s="2204"/>
      <c r="F917" s="2204"/>
      <c r="G917" s="2204"/>
      <c r="H917" s="2204"/>
      <c r="I917" s="2205"/>
      <c r="J917" s="2204"/>
      <c r="K917" s="2204"/>
      <c r="L917" s="2204"/>
      <c r="M917" s="2204"/>
      <c r="N917" s="2204"/>
      <c r="O917" s="2204"/>
      <c r="P917" s="2204"/>
      <c r="Q917" s="2204"/>
      <c r="R917" s="2204"/>
      <c r="S917" s="2204"/>
      <c r="T917" s="2204"/>
    </row>
    <row r="918" spans="1:20">
      <c r="A918" s="2204"/>
      <c r="B918" s="2204"/>
      <c r="C918" s="2204"/>
      <c r="D918" s="2204"/>
      <c r="E918" s="2204"/>
      <c r="F918" s="2204"/>
      <c r="G918" s="2204"/>
      <c r="H918" s="2204"/>
      <c r="I918" s="2205"/>
      <c r="J918" s="2204"/>
      <c r="K918" s="2204"/>
      <c r="L918" s="2204"/>
      <c r="M918" s="2204"/>
      <c r="N918" s="2204"/>
      <c r="O918" s="2204"/>
      <c r="P918" s="2204"/>
      <c r="Q918" s="2204"/>
      <c r="R918" s="2204"/>
      <c r="S918" s="2204"/>
      <c r="T918" s="2204"/>
    </row>
    <row r="919" spans="1:20">
      <c r="A919" s="2204"/>
      <c r="B919" s="2204"/>
      <c r="C919" s="2204"/>
      <c r="D919" s="2204"/>
      <c r="E919" s="2204"/>
      <c r="F919" s="2204"/>
      <c r="G919" s="2204"/>
      <c r="H919" s="2204"/>
      <c r="I919" s="2205"/>
      <c r="J919" s="2204"/>
      <c r="K919" s="2204"/>
      <c r="L919" s="2204"/>
      <c r="M919" s="2204"/>
      <c r="N919" s="2204"/>
      <c r="O919" s="2204"/>
      <c r="P919" s="2204"/>
      <c r="Q919" s="2204"/>
      <c r="R919" s="2204"/>
      <c r="S919" s="2204"/>
      <c r="T919" s="2204"/>
    </row>
    <row r="920" spans="1:20">
      <c r="A920" s="2204"/>
      <c r="B920" s="2204"/>
      <c r="C920" s="2204"/>
      <c r="D920" s="2204"/>
      <c r="E920" s="2204"/>
      <c r="F920" s="2204"/>
      <c r="G920" s="2204"/>
      <c r="H920" s="2204"/>
      <c r="I920" s="2205"/>
      <c r="J920" s="2204"/>
      <c r="K920" s="2204"/>
      <c r="L920" s="2204"/>
      <c r="M920" s="2204"/>
      <c r="N920" s="2204"/>
      <c r="O920" s="2204"/>
      <c r="P920" s="2204"/>
      <c r="Q920" s="2204"/>
      <c r="R920" s="2204"/>
      <c r="S920" s="2204"/>
      <c r="T920" s="2204"/>
    </row>
    <row r="921" spans="1:20">
      <c r="A921" s="2204"/>
      <c r="B921" s="2204"/>
      <c r="C921" s="2204"/>
      <c r="D921" s="2204"/>
      <c r="E921" s="2204"/>
      <c r="F921" s="2204"/>
      <c r="G921" s="2204"/>
      <c r="H921" s="2204"/>
      <c r="I921" s="2205"/>
      <c r="J921" s="2204"/>
      <c r="K921" s="2204"/>
      <c r="L921" s="2204"/>
      <c r="M921" s="2204"/>
      <c r="N921" s="2204"/>
      <c r="O921" s="2204"/>
      <c r="P921" s="2204"/>
      <c r="Q921" s="2204"/>
      <c r="R921" s="2204"/>
      <c r="S921" s="2204"/>
      <c r="T921" s="2204"/>
    </row>
    <row r="922" spans="1:20">
      <c r="A922" s="2204"/>
      <c r="B922" s="2204"/>
      <c r="C922" s="2204"/>
      <c r="D922" s="2204"/>
      <c r="E922" s="2204"/>
      <c r="F922" s="2204"/>
      <c r="G922" s="2204"/>
      <c r="H922" s="2204"/>
      <c r="I922" s="2205"/>
      <c r="J922" s="2204"/>
      <c r="K922" s="2204"/>
      <c r="L922" s="2204"/>
      <c r="M922" s="2204"/>
      <c r="N922" s="2204"/>
      <c r="O922" s="2204"/>
      <c r="P922" s="2204"/>
      <c r="Q922" s="2204"/>
      <c r="R922" s="2204"/>
      <c r="S922" s="2204"/>
      <c r="T922" s="2204"/>
    </row>
    <row r="923" spans="1:20">
      <c r="A923" s="2204"/>
      <c r="B923" s="2204"/>
      <c r="C923" s="2204"/>
      <c r="D923" s="2204"/>
      <c r="E923" s="2204"/>
      <c r="F923" s="2204"/>
      <c r="G923" s="2204"/>
      <c r="H923" s="2204"/>
      <c r="I923" s="2205"/>
      <c r="J923" s="2204"/>
      <c r="K923" s="2204"/>
      <c r="L923" s="2204"/>
      <c r="M923" s="2204"/>
      <c r="N923" s="2204"/>
      <c r="O923" s="2204"/>
      <c r="P923" s="2204"/>
      <c r="Q923" s="2204"/>
      <c r="R923" s="2204"/>
      <c r="S923" s="2204"/>
      <c r="T923" s="2204"/>
    </row>
    <row r="924" spans="1:20">
      <c r="A924" s="2204"/>
      <c r="B924" s="2204"/>
      <c r="C924" s="2204"/>
      <c r="D924" s="2204"/>
      <c r="E924" s="2204"/>
      <c r="F924" s="2204"/>
      <c r="G924" s="2204"/>
      <c r="H924" s="2204"/>
      <c r="I924" s="2205"/>
      <c r="J924" s="2204"/>
      <c r="K924" s="2204"/>
      <c r="L924" s="2204"/>
      <c r="M924" s="2204"/>
      <c r="N924" s="2204"/>
      <c r="O924" s="2204"/>
      <c r="P924" s="2204"/>
      <c r="Q924" s="2204"/>
      <c r="R924" s="2204"/>
      <c r="S924" s="2204"/>
      <c r="T924" s="2204"/>
    </row>
    <row r="925" spans="1:20">
      <c r="A925" s="2204"/>
      <c r="B925" s="2204"/>
      <c r="C925" s="2204"/>
      <c r="D925" s="2204"/>
      <c r="E925" s="2204"/>
      <c r="F925" s="2204"/>
      <c r="G925" s="2204"/>
      <c r="H925" s="2204"/>
      <c r="I925" s="2205"/>
      <c r="J925" s="2204"/>
      <c r="K925" s="2204"/>
      <c r="L925" s="2204"/>
      <c r="M925" s="2204"/>
      <c r="N925" s="2204"/>
      <c r="O925" s="2204"/>
      <c r="P925" s="2204"/>
      <c r="Q925" s="2204"/>
      <c r="R925" s="2204"/>
      <c r="S925" s="2204"/>
      <c r="T925" s="2204"/>
    </row>
    <row r="926" spans="1:20">
      <c r="A926" s="2204"/>
      <c r="B926" s="2204"/>
      <c r="C926" s="2204"/>
      <c r="D926" s="2204"/>
      <c r="E926" s="2204"/>
      <c r="F926" s="2204"/>
      <c r="G926" s="2204"/>
      <c r="H926" s="2204"/>
      <c r="I926" s="2205"/>
      <c r="J926" s="2204"/>
      <c r="K926" s="2204"/>
      <c r="L926" s="2204"/>
      <c r="M926" s="2204"/>
      <c r="N926" s="2204"/>
      <c r="O926" s="2204"/>
      <c r="P926" s="2204"/>
      <c r="Q926" s="2204"/>
      <c r="R926" s="2204"/>
      <c r="S926" s="2204"/>
      <c r="T926" s="2204"/>
    </row>
    <row r="927" spans="1:20">
      <c r="A927" s="2204"/>
      <c r="B927" s="2204"/>
      <c r="C927" s="2204"/>
      <c r="D927" s="2204"/>
      <c r="E927" s="2204"/>
      <c r="F927" s="2204"/>
      <c r="G927" s="2204"/>
      <c r="H927" s="2204"/>
      <c r="I927" s="2205"/>
      <c r="J927" s="2204"/>
      <c r="K927" s="2204"/>
      <c r="L927" s="2204"/>
      <c r="M927" s="2204"/>
      <c r="N927" s="2204"/>
      <c r="O927" s="2204"/>
      <c r="P927" s="2204"/>
      <c r="Q927" s="2204"/>
      <c r="R927" s="2204"/>
      <c r="S927" s="2204"/>
      <c r="T927" s="2204"/>
    </row>
    <row r="928" spans="1:20">
      <c r="A928" s="2204"/>
      <c r="B928" s="2204"/>
      <c r="C928" s="2204"/>
      <c r="D928" s="2204"/>
      <c r="E928" s="2204"/>
      <c r="F928" s="2204"/>
      <c r="G928" s="2204"/>
      <c r="H928" s="2204"/>
      <c r="I928" s="2205"/>
      <c r="J928" s="2204"/>
      <c r="K928" s="2204"/>
      <c r="L928" s="2204"/>
      <c r="M928" s="2204"/>
      <c r="N928" s="2204"/>
      <c r="O928" s="2204"/>
      <c r="P928" s="2204"/>
      <c r="Q928" s="2204"/>
      <c r="R928" s="2204"/>
      <c r="S928" s="2204"/>
      <c r="T928" s="2204"/>
    </row>
    <row r="929" spans="1:20">
      <c r="A929" s="2204"/>
      <c r="B929" s="2204"/>
      <c r="C929" s="2204"/>
      <c r="D929" s="2204"/>
      <c r="E929" s="2204"/>
      <c r="F929" s="2204"/>
      <c r="G929" s="2204"/>
      <c r="H929" s="2204"/>
      <c r="I929" s="2205"/>
      <c r="J929" s="2204"/>
      <c r="K929" s="2204"/>
      <c r="L929" s="2204"/>
      <c r="M929" s="2204"/>
      <c r="N929" s="2204"/>
      <c r="O929" s="2204"/>
      <c r="P929" s="2204"/>
      <c r="Q929" s="2204"/>
      <c r="R929" s="2204"/>
      <c r="S929" s="2204"/>
      <c r="T929" s="2204"/>
    </row>
    <row r="930" spans="1:20">
      <c r="A930" s="2204"/>
      <c r="B930" s="2204"/>
      <c r="C930" s="2204"/>
      <c r="D930" s="2204"/>
      <c r="E930" s="2204"/>
      <c r="F930" s="2204"/>
      <c r="G930" s="2204"/>
      <c r="H930" s="2204"/>
      <c r="I930" s="2205"/>
      <c r="J930" s="2204"/>
      <c r="K930" s="2204"/>
      <c r="L930" s="2204"/>
      <c r="M930" s="2204"/>
      <c r="N930" s="2204"/>
      <c r="O930" s="2204"/>
      <c r="P930" s="2204"/>
      <c r="Q930" s="2204"/>
      <c r="R930" s="2204"/>
      <c r="S930" s="2204"/>
      <c r="T930" s="2204"/>
    </row>
    <row r="931" spans="1:20">
      <c r="A931" s="2204"/>
      <c r="B931" s="2204"/>
      <c r="C931" s="2204"/>
      <c r="D931" s="2204"/>
      <c r="E931" s="2204"/>
      <c r="F931" s="2204"/>
      <c r="G931" s="2204"/>
      <c r="H931" s="2204"/>
      <c r="I931" s="2205"/>
      <c r="J931" s="2204"/>
      <c r="K931" s="2204"/>
      <c r="L931" s="2204"/>
      <c r="M931" s="2204"/>
      <c r="N931" s="2204"/>
      <c r="O931" s="2204"/>
      <c r="P931" s="2204"/>
      <c r="Q931" s="2204"/>
      <c r="R931" s="2204"/>
      <c r="S931" s="2204"/>
      <c r="T931" s="2204"/>
    </row>
    <row r="932" spans="1:20">
      <c r="A932" s="2204"/>
      <c r="B932" s="2204"/>
      <c r="C932" s="2204"/>
      <c r="D932" s="2204"/>
      <c r="E932" s="2204"/>
      <c r="F932" s="2204"/>
      <c r="G932" s="2204"/>
      <c r="H932" s="2204"/>
      <c r="I932" s="2205"/>
      <c r="J932" s="2204"/>
      <c r="K932" s="2204"/>
      <c r="L932" s="2204"/>
      <c r="M932" s="2204"/>
      <c r="N932" s="2204"/>
      <c r="O932" s="2204"/>
      <c r="P932" s="2204"/>
      <c r="Q932" s="2204"/>
      <c r="R932" s="2204"/>
      <c r="S932" s="2204"/>
      <c r="T932" s="2204"/>
    </row>
    <row r="933" spans="1:20">
      <c r="A933" s="2204"/>
      <c r="B933" s="2204"/>
      <c r="C933" s="2204"/>
      <c r="D933" s="2204"/>
      <c r="E933" s="2204"/>
      <c r="F933" s="2204"/>
      <c r="G933" s="2204"/>
      <c r="H933" s="2204"/>
      <c r="I933" s="2205"/>
      <c r="J933" s="2204"/>
      <c r="K933" s="2204"/>
      <c r="L933" s="2204"/>
      <c r="M933" s="2204"/>
      <c r="N933" s="2204"/>
      <c r="O933" s="2204"/>
      <c r="P933" s="2204"/>
      <c r="Q933" s="2204"/>
      <c r="R933" s="2204"/>
      <c r="S933" s="2204"/>
      <c r="T933" s="2204"/>
    </row>
    <row r="934" spans="1:20">
      <c r="A934" s="2204"/>
      <c r="B934" s="2204"/>
      <c r="C934" s="2204"/>
      <c r="D934" s="2204"/>
      <c r="E934" s="2204"/>
      <c r="F934" s="2204"/>
      <c r="G934" s="2204"/>
      <c r="H934" s="2204"/>
      <c r="I934" s="2205"/>
      <c r="J934" s="2204"/>
      <c r="K934" s="2204"/>
      <c r="L934" s="2204"/>
      <c r="M934" s="2204"/>
      <c r="N934" s="2204"/>
      <c r="O934" s="2204"/>
      <c r="P934" s="2204"/>
      <c r="Q934" s="2204"/>
      <c r="R934" s="2204"/>
      <c r="S934" s="2204"/>
      <c r="T934" s="2204"/>
    </row>
    <row r="935" spans="1:20">
      <c r="A935" s="2204"/>
      <c r="B935" s="2204"/>
      <c r="C935" s="2204"/>
      <c r="D935" s="2204"/>
      <c r="E935" s="2204"/>
      <c r="F935" s="2204"/>
      <c r="G935" s="2204"/>
      <c r="H935" s="2204"/>
      <c r="I935" s="2205"/>
      <c r="J935" s="2204"/>
      <c r="K935" s="2204"/>
      <c r="L935" s="2204"/>
      <c r="M935" s="2204"/>
      <c r="N935" s="2204"/>
      <c r="O935" s="2204"/>
      <c r="P935" s="2204"/>
      <c r="Q935" s="2204"/>
      <c r="R935" s="2204"/>
      <c r="S935" s="2204"/>
      <c r="T935" s="2204"/>
    </row>
    <row r="936" spans="1:20">
      <c r="A936" s="2204"/>
      <c r="B936" s="2204"/>
      <c r="C936" s="2204"/>
      <c r="D936" s="2204"/>
      <c r="E936" s="2204"/>
      <c r="F936" s="2204"/>
      <c r="G936" s="2204"/>
      <c r="H936" s="2204"/>
      <c r="I936" s="2205"/>
      <c r="J936" s="2204"/>
      <c r="K936" s="2204"/>
      <c r="L936" s="2204"/>
      <c r="M936" s="2204"/>
      <c r="N936" s="2204"/>
      <c r="O936" s="2204"/>
      <c r="P936" s="2204"/>
      <c r="Q936" s="2204"/>
      <c r="R936" s="2204"/>
      <c r="S936" s="2204"/>
      <c r="T936" s="2204"/>
    </row>
    <row r="937" spans="1:20">
      <c r="A937" s="2204"/>
      <c r="B937" s="2204"/>
      <c r="C937" s="2204"/>
      <c r="D937" s="2204"/>
      <c r="E937" s="2204"/>
      <c r="F937" s="2204"/>
      <c r="G937" s="2204"/>
      <c r="H937" s="2204"/>
      <c r="I937" s="2205"/>
      <c r="J937" s="2204"/>
      <c r="K937" s="2204"/>
      <c r="L937" s="2204"/>
      <c r="M937" s="2204"/>
      <c r="N937" s="2204"/>
      <c r="O937" s="2204"/>
      <c r="P937" s="2204"/>
      <c r="Q937" s="2204"/>
      <c r="R937" s="2204"/>
      <c r="S937" s="2204"/>
      <c r="T937" s="2204"/>
    </row>
    <row r="938" spans="1:20">
      <c r="A938" s="2204"/>
      <c r="B938" s="2204"/>
      <c r="C938" s="2204"/>
      <c r="D938" s="2204"/>
      <c r="E938" s="2204"/>
      <c r="F938" s="2204"/>
      <c r="G938" s="2204"/>
      <c r="H938" s="2204"/>
      <c r="I938" s="2205"/>
      <c r="J938" s="2204"/>
      <c r="K938" s="2204"/>
      <c r="L938" s="2204"/>
      <c r="M938" s="2204"/>
      <c r="N938" s="2204"/>
      <c r="O938" s="2204"/>
      <c r="P938" s="2204"/>
      <c r="Q938" s="2204"/>
      <c r="R938" s="2204"/>
      <c r="S938" s="2204"/>
      <c r="T938" s="2204"/>
    </row>
    <row r="939" spans="1:20">
      <c r="A939" s="2204"/>
      <c r="B939" s="2204"/>
      <c r="C939" s="2204"/>
      <c r="D939" s="2204"/>
      <c r="E939" s="2204"/>
      <c r="F939" s="2204"/>
      <c r="G939" s="2204"/>
      <c r="H939" s="2204"/>
      <c r="I939" s="2205"/>
      <c r="J939" s="2204"/>
      <c r="K939" s="2204"/>
      <c r="L939" s="2204"/>
      <c r="M939" s="2204"/>
      <c r="N939" s="2204"/>
      <c r="O939" s="2204"/>
      <c r="P939" s="2204"/>
      <c r="Q939" s="2204"/>
      <c r="R939" s="2204"/>
      <c r="S939" s="2204"/>
      <c r="T939" s="2204"/>
    </row>
    <row r="940" spans="1:20">
      <c r="A940" s="2204"/>
      <c r="B940" s="2204"/>
      <c r="C940" s="2204"/>
      <c r="D940" s="2204"/>
      <c r="E940" s="2204"/>
      <c r="F940" s="2204"/>
      <c r="G940" s="2204"/>
      <c r="H940" s="2204"/>
      <c r="I940" s="2205"/>
      <c r="J940" s="2204"/>
      <c r="K940" s="2204"/>
      <c r="L940" s="2204"/>
      <c r="M940" s="2204"/>
      <c r="N940" s="2204"/>
      <c r="O940" s="2204"/>
      <c r="P940" s="2204"/>
      <c r="Q940" s="2204"/>
      <c r="R940" s="2204"/>
      <c r="S940" s="2204"/>
      <c r="T940" s="2204"/>
    </row>
    <row r="941" spans="1:20">
      <c r="A941" s="2204"/>
      <c r="B941" s="2204"/>
      <c r="C941" s="2204"/>
      <c r="D941" s="2204"/>
      <c r="E941" s="2204"/>
      <c r="F941" s="2204"/>
      <c r="G941" s="2204"/>
      <c r="H941" s="2204"/>
      <c r="I941" s="2205"/>
      <c r="J941" s="2204"/>
      <c r="K941" s="2204"/>
      <c r="L941" s="2204"/>
      <c r="M941" s="2204"/>
      <c r="N941" s="2204"/>
      <c r="O941" s="2204"/>
      <c r="P941" s="2204"/>
      <c r="Q941" s="2204"/>
      <c r="R941" s="2204"/>
      <c r="S941" s="2204"/>
      <c r="T941" s="2204"/>
    </row>
    <row r="942" spans="1:20">
      <c r="A942" s="2204"/>
      <c r="B942" s="2204"/>
      <c r="C942" s="2204"/>
      <c r="D942" s="2204"/>
      <c r="E942" s="2204"/>
      <c r="F942" s="2204"/>
      <c r="G942" s="2204"/>
      <c r="H942" s="2204"/>
      <c r="I942" s="2205"/>
      <c r="J942" s="2204"/>
      <c r="K942" s="2204"/>
      <c r="L942" s="2204"/>
      <c r="M942" s="2204"/>
      <c r="N942" s="2204"/>
      <c r="O942" s="2204"/>
      <c r="P942" s="2204"/>
      <c r="Q942" s="2204"/>
      <c r="R942" s="2204"/>
      <c r="S942" s="2204"/>
      <c r="T942" s="2204"/>
    </row>
    <row r="943" spans="1:20">
      <c r="A943" s="2204"/>
      <c r="B943" s="2204"/>
      <c r="C943" s="2204"/>
      <c r="D943" s="2204"/>
      <c r="E943" s="2204"/>
      <c r="F943" s="2204"/>
      <c r="G943" s="2204"/>
      <c r="H943" s="2204"/>
      <c r="I943" s="2205"/>
      <c r="J943" s="2204"/>
      <c r="K943" s="2204"/>
      <c r="L943" s="2204"/>
      <c r="M943" s="2204"/>
      <c r="N943" s="2204"/>
      <c r="O943" s="2204"/>
      <c r="P943" s="2204"/>
      <c r="Q943" s="2204"/>
      <c r="R943" s="2204"/>
      <c r="S943" s="2204"/>
      <c r="T943" s="2204"/>
    </row>
    <row r="944" spans="1:20">
      <c r="A944" s="2204"/>
      <c r="B944" s="2204"/>
      <c r="C944" s="2204"/>
      <c r="D944" s="2204"/>
      <c r="E944" s="2204"/>
      <c r="F944" s="2204"/>
      <c r="G944" s="2204"/>
      <c r="H944" s="2204"/>
      <c r="I944" s="2205"/>
      <c r="J944" s="2204"/>
      <c r="K944" s="2204"/>
      <c r="L944" s="2204"/>
      <c r="M944" s="2204"/>
      <c r="N944" s="2204"/>
      <c r="O944" s="2204"/>
      <c r="P944" s="2204"/>
      <c r="Q944" s="2204"/>
      <c r="R944" s="2204"/>
      <c r="S944" s="2204"/>
      <c r="T944" s="2204"/>
    </row>
    <row r="945" spans="1:20">
      <c r="A945" s="2204"/>
      <c r="B945" s="2204"/>
      <c r="C945" s="2204"/>
      <c r="D945" s="2204"/>
      <c r="E945" s="2204"/>
      <c r="F945" s="2204"/>
      <c r="G945" s="2204"/>
      <c r="H945" s="2204"/>
      <c r="I945" s="2205"/>
      <c r="J945" s="2204"/>
      <c r="K945" s="2204"/>
      <c r="L945" s="2204"/>
      <c r="M945" s="2204"/>
      <c r="N945" s="2204"/>
      <c r="O945" s="2204"/>
      <c r="P945" s="2204"/>
      <c r="Q945" s="2204"/>
      <c r="R945" s="2204"/>
      <c r="S945" s="2204"/>
      <c r="T945" s="2204"/>
    </row>
    <row r="946" spans="1:20">
      <c r="A946" s="2204"/>
      <c r="B946" s="2204"/>
      <c r="C946" s="2204"/>
      <c r="D946" s="2204"/>
      <c r="E946" s="2204"/>
      <c r="F946" s="2204"/>
      <c r="G946" s="2204"/>
      <c r="H946" s="2204"/>
      <c r="I946" s="2205"/>
      <c r="J946" s="2204"/>
      <c r="K946" s="2204"/>
      <c r="L946" s="2204"/>
      <c r="M946" s="2204"/>
      <c r="N946" s="2204"/>
      <c r="O946" s="2204"/>
      <c r="P946" s="2204"/>
      <c r="Q946" s="2204"/>
      <c r="R946" s="2204"/>
      <c r="S946" s="2204"/>
      <c r="T946" s="2204"/>
    </row>
    <row r="947" spans="1:20">
      <c r="A947" s="2204"/>
      <c r="B947" s="2204"/>
      <c r="C947" s="2204"/>
      <c r="D947" s="2204"/>
      <c r="E947" s="2204"/>
      <c r="F947" s="2204"/>
      <c r="G947" s="2204"/>
      <c r="H947" s="2204"/>
      <c r="I947" s="2205"/>
      <c r="J947" s="2204"/>
      <c r="K947" s="2204"/>
      <c r="L947" s="2204"/>
      <c r="M947" s="2204"/>
      <c r="N947" s="2204"/>
      <c r="O947" s="2204"/>
      <c r="P947" s="2204"/>
      <c r="Q947" s="2204"/>
      <c r="R947" s="2204"/>
      <c r="S947" s="2204"/>
      <c r="T947" s="2204"/>
    </row>
    <row r="948" spans="1:20">
      <c r="A948" s="2204"/>
      <c r="B948" s="2204"/>
      <c r="C948" s="2204"/>
      <c r="D948" s="2204"/>
      <c r="E948" s="2204"/>
      <c r="F948" s="2204"/>
      <c r="G948" s="2204"/>
      <c r="H948" s="2204"/>
      <c r="I948" s="2205"/>
      <c r="J948" s="2204"/>
      <c r="K948" s="2204"/>
      <c r="L948" s="2204"/>
      <c r="M948" s="2204"/>
      <c r="N948" s="2204"/>
      <c r="O948" s="2204"/>
      <c r="P948" s="2204"/>
      <c r="Q948" s="2204"/>
      <c r="R948" s="2204"/>
      <c r="S948" s="2204"/>
      <c r="T948" s="2204"/>
    </row>
    <row r="949" spans="1:20">
      <c r="A949" s="2204"/>
      <c r="B949" s="2204"/>
      <c r="C949" s="2204"/>
      <c r="D949" s="2204"/>
      <c r="E949" s="2204"/>
      <c r="F949" s="2204"/>
      <c r="G949" s="2204"/>
      <c r="H949" s="2204"/>
      <c r="I949" s="2205"/>
      <c r="J949" s="2204"/>
      <c r="K949" s="2204"/>
      <c r="L949" s="2204"/>
      <c r="M949" s="2204"/>
      <c r="N949" s="2204"/>
      <c r="O949" s="2204"/>
      <c r="P949" s="2204"/>
      <c r="Q949" s="2204"/>
      <c r="R949" s="2204"/>
      <c r="S949" s="2204"/>
      <c r="T949" s="2204"/>
    </row>
    <row r="950" spans="1:20">
      <c r="A950" s="2204"/>
      <c r="B950" s="2204"/>
      <c r="C950" s="2204"/>
      <c r="D950" s="2204"/>
      <c r="E950" s="2204"/>
      <c r="F950" s="2204"/>
      <c r="G950" s="2204"/>
      <c r="H950" s="2204"/>
      <c r="I950" s="2205"/>
      <c r="J950" s="2204"/>
      <c r="K950" s="2204"/>
      <c r="L950" s="2204"/>
      <c r="M950" s="2204"/>
      <c r="N950" s="2204"/>
      <c r="O950" s="2204"/>
      <c r="P950" s="2204"/>
      <c r="Q950" s="2204"/>
      <c r="R950" s="2204"/>
      <c r="S950" s="2204"/>
      <c r="T950" s="2204"/>
    </row>
    <row r="951" spans="1:20">
      <c r="A951" s="2204"/>
      <c r="B951" s="2204"/>
      <c r="C951" s="2204"/>
      <c r="D951" s="2204"/>
      <c r="E951" s="2204"/>
      <c r="F951" s="2204"/>
      <c r="G951" s="2204"/>
      <c r="H951" s="2204"/>
      <c r="I951" s="2205"/>
      <c r="J951" s="2204"/>
      <c r="K951" s="2204"/>
      <c r="L951" s="2204"/>
      <c r="M951" s="2204"/>
      <c r="N951" s="2204"/>
      <c r="O951" s="2204"/>
      <c r="P951" s="2204"/>
      <c r="Q951" s="2204"/>
      <c r="R951" s="2204"/>
      <c r="S951" s="2204"/>
      <c r="T951" s="2204"/>
    </row>
    <row r="952" spans="1:20">
      <c r="A952" s="2204"/>
      <c r="B952" s="2204"/>
      <c r="C952" s="2204"/>
      <c r="D952" s="2204"/>
      <c r="E952" s="2204"/>
      <c r="F952" s="2204"/>
      <c r="G952" s="2204"/>
      <c r="H952" s="2204"/>
      <c r="I952" s="2205"/>
      <c r="J952" s="2204"/>
      <c r="K952" s="2204"/>
      <c r="L952" s="2204"/>
      <c r="M952" s="2204"/>
      <c r="N952" s="2204"/>
      <c r="O952" s="2204"/>
      <c r="P952" s="2204"/>
      <c r="Q952" s="2204"/>
      <c r="R952" s="2204"/>
      <c r="S952" s="2204"/>
      <c r="T952" s="2204"/>
    </row>
    <row r="953" spans="1:20">
      <c r="A953" s="2204"/>
      <c r="B953" s="2204"/>
      <c r="C953" s="2204"/>
      <c r="D953" s="2204"/>
      <c r="E953" s="2204"/>
      <c r="F953" s="2204"/>
      <c r="G953" s="2204"/>
      <c r="H953" s="2204"/>
      <c r="I953" s="2205"/>
      <c r="J953" s="2204"/>
      <c r="K953" s="2204"/>
      <c r="L953" s="2204"/>
      <c r="M953" s="2204"/>
      <c r="N953" s="2204"/>
      <c r="O953" s="2204"/>
      <c r="P953" s="2204"/>
      <c r="Q953" s="2204"/>
      <c r="R953" s="2204"/>
      <c r="S953" s="2204"/>
      <c r="T953" s="2204"/>
    </row>
    <row r="954" spans="1:20">
      <c r="A954" s="2204"/>
      <c r="B954" s="2204"/>
      <c r="C954" s="2204"/>
      <c r="D954" s="2204"/>
      <c r="E954" s="2204"/>
      <c r="F954" s="2204"/>
      <c r="G954" s="2204"/>
      <c r="H954" s="2204"/>
      <c r="I954" s="2205"/>
      <c r="J954" s="2204"/>
      <c r="K954" s="2204"/>
      <c r="L954" s="2204"/>
      <c r="M954" s="2204"/>
      <c r="N954" s="2204"/>
      <c r="O954" s="2204"/>
      <c r="P954" s="2204"/>
      <c r="Q954" s="2204"/>
      <c r="R954" s="2204"/>
      <c r="S954" s="2204"/>
      <c r="T954" s="2204"/>
    </row>
    <row r="955" spans="1:20">
      <c r="A955" s="2204"/>
      <c r="B955" s="2204"/>
      <c r="C955" s="2204"/>
      <c r="D955" s="2204"/>
      <c r="E955" s="2204"/>
      <c r="F955" s="2204"/>
      <c r="G955" s="2204"/>
      <c r="H955" s="2204"/>
      <c r="I955" s="2205"/>
      <c r="J955" s="2204"/>
      <c r="K955" s="2204"/>
      <c r="L955" s="2204"/>
      <c r="M955" s="2204"/>
      <c r="N955" s="2204"/>
      <c r="O955" s="2204"/>
      <c r="P955" s="2204"/>
      <c r="Q955" s="2204"/>
      <c r="R955" s="2204"/>
      <c r="S955" s="2204"/>
      <c r="T955" s="2204"/>
    </row>
    <row r="956" spans="1:20">
      <c r="A956" s="2204"/>
      <c r="B956" s="2204"/>
      <c r="C956" s="2204"/>
      <c r="D956" s="2204"/>
      <c r="E956" s="2204"/>
      <c r="F956" s="2204"/>
      <c r="G956" s="2204"/>
      <c r="H956" s="2204"/>
      <c r="I956" s="2205"/>
      <c r="J956" s="2204"/>
      <c r="K956" s="2204"/>
      <c r="L956" s="2204"/>
      <c r="M956" s="2204"/>
      <c r="N956" s="2204"/>
      <c r="O956" s="2204"/>
      <c r="P956" s="2204"/>
      <c r="Q956" s="2204"/>
      <c r="R956" s="2204"/>
      <c r="S956" s="2204"/>
      <c r="T956" s="2204"/>
    </row>
    <row r="957" spans="1:20">
      <c r="A957" s="2204"/>
      <c r="B957" s="2204"/>
      <c r="C957" s="2204"/>
      <c r="D957" s="2204"/>
      <c r="E957" s="2204"/>
      <c r="F957" s="2204"/>
      <c r="G957" s="2204"/>
      <c r="H957" s="2204"/>
      <c r="I957" s="2205"/>
      <c r="J957" s="2204"/>
      <c r="K957" s="2204"/>
      <c r="L957" s="2204"/>
      <c r="M957" s="2204"/>
      <c r="N957" s="2204"/>
      <c r="O957" s="2204"/>
      <c r="P957" s="2204"/>
      <c r="Q957" s="2204"/>
      <c r="R957" s="2204"/>
      <c r="S957" s="2204"/>
      <c r="T957" s="2204"/>
    </row>
    <row r="958" spans="1:20">
      <c r="A958" s="2204"/>
      <c r="B958" s="2204"/>
      <c r="C958" s="2204"/>
      <c r="D958" s="2204"/>
      <c r="E958" s="2204"/>
      <c r="F958" s="2204"/>
      <c r="G958" s="2204"/>
      <c r="H958" s="2204"/>
      <c r="I958" s="2205"/>
      <c r="J958" s="2204"/>
      <c r="K958" s="2204"/>
      <c r="L958" s="2204"/>
      <c r="M958" s="2204"/>
      <c r="N958" s="2204"/>
      <c r="O958" s="2204"/>
      <c r="P958" s="2204"/>
      <c r="Q958" s="2204"/>
      <c r="R958" s="2204"/>
      <c r="S958" s="2204"/>
      <c r="T958" s="2204"/>
    </row>
    <row r="959" spans="1:20">
      <c r="A959" s="2204"/>
      <c r="B959" s="2204"/>
      <c r="C959" s="2204"/>
      <c r="D959" s="2204"/>
      <c r="E959" s="2204"/>
      <c r="F959" s="2204"/>
      <c r="G959" s="2204"/>
      <c r="H959" s="2204"/>
      <c r="I959" s="2205"/>
      <c r="J959" s="2204"/>
      <c r="K959" s="2204"/>
      <c r="L959" s="2204"/>
      <c r="M959" s="2204"/>
      <c r="N959" s="2204"/>
      <c r="O959" s="2204"/>
      <c r="P959" s="2204"/>
      <c r="Q959" s="2204"/>
      <c r="R959" s="2204"/>
      <c r="S959" s="2204"/>
      <c r="T959" s="2204"/>
    </row>
    <row r="960" spans="1:20">
      <c r="A960" s="2204"/>
      <c r="B960" s="2204"/>
      <c r="C960" s="2204"/>
      <c r="D960" s="2204"/>
      <c r="E960" s="2204"/>
      <c r="F960" s="2204"/>
      <c r="G960" s="2204"/>
      <c r="H960" s="2204"/>
      <c r="I960" s="2205"/>
      <c r="J960" s="2204"/>
      <c r="K960" s="2204"/>
      <c r="L960" s="2204"/>
      <c r="M960" s="2204"/>
      <c r="N960" s="2204"/>
      <c r="O960" s="2204"/>
      <c r="P960" s="2204"/>
      <c r="Q960" s="2204"/>
      <c r="R960" s="2204"/>
      <c r="S960" s="2204"/>
      <c r="T960" s="2204"/>
    </row>
    <row r="961" spans="1:20">
      <c r="A961" s="2204"/>
      <c r="B961" s="2204"/>
      <c r="C961" s="2204"/>
      <c r="D961" s="2204"/>
      <c r="E961" s="2204"/>
      <c r="F961" s="2204"/>
      <c r="G961" s="2204"/>
      <c r="H961" s="2204"/>
      <c r="I961" s="2205"/>
      <c r="J961" s="2204"/>
      <c r="K961" s="2204"/>
      <c r="L961" s="2204"/>
      <c r="M961" s="2204"/>
      <c r="N961" s="2204"/>
      <c r="O961" s="2204"/>
      <c r="P961" s="2204"/>
      <c r="Q961" s="2204"/>
      <c r="R961" s="2204"/>
      <c r="S961" s="2204"/>
      <c r="T961" s="2204"/>
    </row>
    <row r="962" spans="1:20">
      <c r="A962" s="2204"/>
      <c r="B962" s="2204"/>
      <c r="C962" s="2204"/>
      <c r="D962" s="2204"/>
      <c r="E962" s="2204"/>
      <c r="F962" s="2204"/>
      <c r="G962" s="2204"/>
      <c r="H962" s="2204"/>
      <c r="I962" s="2205"/>
      <c r="J962" s="2204"/>
      <c r="K962" s="2204"/>
      <c r="L962" s="2204"/>
      <c r="M962" s="2204"/>
      <c r="N962" s="2204"/>
      <c r="O962" s="2204"/>
      <c r="P962" s="2204"/>
      <c r="Q962" s="2204"/>
      <c r="R962" s="2204"/>
      <c r="S962" s="2204"/>
      <c r="T962" s="2204"/>
    </row>
    <row r="963" spans="1:20">
      <c r="A963" s="2204"/>
      <c r="B963" s="2204"/>
      <c r="C963" s="2204"/>
      <c r="D963" s="2204"/>
      <c r="E963" s="2204"/>
      <c r="F963" s="2204"/>
      <c r="G963" s="2204"/>
      <c r="H963" s="2204"/>
      <c r="I963" s="2205"/>
      <c r="J963" s="2204"/>
      <c r="K963" s="2204"/>
      <c r="L963" s="2204"/>
      <c r="M963" s="2204"/>
      <c r="N963" s="2204"/>
      <c r="O963" s="2204"/>
      <c r="P963" s="2204"/>
      <c r="Q963" s="2204"/>
      <c r="R963" s="2204"/>
      <c r="S963" s="2204"/>
      <c r="T963" s="2204"/>
    </row>
    <row r="964" spans="1:20">
      <c r="A964" s="2204"/>
      <c r="B964" s="2204"/>
      <c r="C964" s="2204"/>
      <c r="D964" s="2204"/>
      <c r="E964" s="2204"/>
      <c r="F964" s="2204"/>
      <c r="G964" s="2204"/>
      <c r="H964" s="2204"/>
      <c r="I964" s="2205"/>
      <c r="J964" s="2204"/>
      <c r="K964" s="2204"/>
      <c r="L964" s="2204"/>
      <c r="M964" s="2204"/>
      <c r="N964" s="2204"/>
      <c r="O964" s="2204"/>
      <c r="P964" s="2204"/>
      <c r="Q964" s="2204"/>
      <c r="R964" s="2204"/>
      <c r="S964" s="2204"/>
      <c r="T964" s="2204"/>
    </row>
    <row r="965" spans="1:20">
      <c r="A965" s="2204"/>
      <c r="B965" s="2204"/>
      <c r="C965" s="2204"/>
      <c r="D965" s="2204"/>
      <c r="E965" s="2204"/>
      <c r="F965" s="2204"/>
      <c r="G965" s="2204"/>
      <c r="H965" s="2204"/>
      <c r="I965" s="2205"/>
      <c r="J965" s="2204"/>
      <c r="K965" s="2204"/>
      <c r="L965" s="2204"/>
      <c r="M965" s="2204"/>
      <c r="N965" s="2204"/>
      <c r="O965" s="2204"/>
      <c r="P965" s="2204"/>
      <c r="Q965" s="2204"/>
      <c r="R965" s="2204"/>
      <c r="S965" s="2204"/>
      <c r="T965" s="2204"/>
    </row>
    <row r="966" spans="1:20">
      <c r="A966" s="2204"/>
      <c r="B966" s="2204"/>
      <c r="C966" s="2204"/>
      <c r="D966" s="2204"/>
      <c r="E966" s="2204"/>
      <c r="F966" s="2204"/>
      <c r="G966" s="2204"/>
      <c r="H966" s="2204"/>
      <c r="I966" s="2205"/>
      <c r="J966" s="2204"/>
      <c r="K966" s="2204"/>
      <c r="L966" s="2204"/>
      <c r="M966" s="2204"/>
      <c r="N966" s="2204"/>
      <c r="O966" s="2204"/>
      <c r="P966" s="2204"/>
      <c r="Q966" s="2204"/>
      <c r="R966" s="2204"/>
      <c r="S966" s="2204"/>
      <c r="T966" s="2204"/>
    </row>
    <row r="967" spans="1:20">
      <c r="A967" s="2204"/>
      <c r="B967" s="2204"/>
      <c r="C967" s="2204"/>
      <c r="D967" s="2204"/>
      <c r="E967" s="2204"/>
      <c r="F967" s="2204"/>
      <c r="G967" s="2204"/>
      <c r="H967" s="2204"/>
      <c r="I967" s="2205"/>
      <c r="J967" s="2204"/>
      <c r="K967" s="2204"/>
      <c r="L967" s="2204"/>
      <c r="M967" s="2204"/>
      <c r="N967" s="2204"/>
      <c r="O967" s="2204"/>
      <c r="P967" s="2204"/>
      <c r="Q967" s="2204"/>
      <c r="R967" s="2204"/>
      <c r="S967" s="2204"/>
      <c r="T967" s="2204"/>
    </row>
    <row r="968" spans="1:20">
      <c r="A968" s="2204"/>
      <c r="B968" s="2204"/>
      <c r="C968" s="2204"/>
      <c r="D968" s="2204"/>
      <c r="E968" s="2204"/>
      <c r="F968" s="2204"/>
      <c r="G968" s="2204"/>
      <c r="H968" s="2204"/>
      <c r="I968" s="2205"/>
      <c r="J968" s="2204"/>
      <c r="K968" s="2204"/>
      <c r="L968" s="2204"/>
      <c r="M968" s="2204"/>
      <c r="N968" s="2204"/>
      <c r="O968" s="2204"/>
      <c r="P968" s="2204"/>
      <c r="Q968" s="2204"/>
      <c r="R968" s="2204"/>
      <c r="S968" s="2204"/>
      <c r="T968" s="2204"/>
    </row>
    <row r="969" spans="1:20">
      <c r="A969" s="2204"/>
      <c r="B969" s="2204"/>
      <c r="C969" s="2204"/>
      <c r="D969" s="2204"/>
      <c r="E969" s="2204"/>
      <c r="F969" s="2204"/>
      <c r="G969" s="2204"/>
      <c r="H969" s="2204"/>
      <c r="I969" s="2205"/>
      <c r="J969" s="2204"/>
      <c r="K969" s="2204"/>
      <c r="L969" s="2204"/>
      <c r="M969" s="2204"/>
      <c r="N969" s="2204"/>
      <c r="O969" s="2204"/>
      <c r="P969" s="2204"/>
      <c r="Q969" s="2204"/>
      <c r="R969" s="2204"/>
      <c r="S969" s="2204"/>
      <c r="T969" s="2204"/>
    </row>
    <row r="970" spans="1:20">
      <c r="A970" s="2204"/>
      <c r="B970" s="2204"/>
      <c r="C970" s="2204"/>
      <c r="D970" s="2204"/>
      <c r="E970" s="2204"/>
      <c r="F970" s="2204"/>
      <c r="G970" s="2204"/>
      <c r="H970" s="2204"/>
      <c r="I970" s="2205"/>
      <c r="J970" s="2204"/>
      <c r="K970" s="2204"/>
      <c r="L970" s="2204"/>
      <c r="M970" s="2204"/>
      <c r="N970" s="2204"/>
      <c r="O970" s="2204"/>
      <c r="P970" s="2204"/>
      <c r="Q970" s="2204"/>
      <c r="R970" s="2204"/>
      <c r="S970" s="2204"/>
      <c r="T970" s="2204"/>
    </row>
    <row r="971" spans="1:20">
      <c r="A971" s="2204"/>
      <c r="B971" s="2204"/>
      <c r="C971" s="2204"/>
      <c r="D971" s="2204"/>
      <c r="E971" s="2204"/>
      <c r="F971" s="2204"/>
      <c r="G971" s="2204"/>
      <c r="H971" s="2204"/>
      <c r="I971" s="2205"/>
      <c r="J971" s="2204"/>
      <c r="K971" s="2204"/>
      <c r="L971" s="2204"/>
      <c r="M971" s="2204"/>
      <c r="N971" s="2204"/>
      <c r="O971" s="2204"/>
      <c r="P971" s="2204"/>
      <c r="Q971" s="2204"/>
      <c r="R971" s="2204"/>
      <c r="S971" s="2204"/>
      <c r="T971" s="2204"/>
    </row>
    <row r="972" spans="1:20">
      <c r="A972" s="2204"/>
      <c r="B972" s="2204"/>
      <c r="C972" s="2204"/>
      <c r="D972" s="2204"/>
      <c r="E972" s="2204"/>
      <c r="F972" s="2204"/>
      <c r="G972" s="2204"/>
      <c r="H972" s="2204"/>
      <c r="I972" s="2205"/>
      <c r="J972" s="2204"/>
      <c r="K972" s="2204"/>
      <c r="L972" s="2204"/>
      <c r="M972" s="2204"/>
      <c r="N972" s="2204"/>
      <c r="O972" s="2204"/>
      <c r="P972" s="2204"/>
      <c r="Q972" s="2204"/>
      <c r="R972" s="2204"/>
      <c r="S972" s="2204"/>
      <c r="T972" s="2204"/>
    </row>
    <row r="973" spans="1:20">
      <c r="A973" s="2204"/>
      <c r="B973" s="2204"/>
      <c r="C973" s="2204"/>
      <c r="D973" s="2204"/>
      <c r="E973" s="2204"/>
      <c r="F973" s="2204"/>
      <c r="G973" s="2204"/>
      <c r="H973" s="2204"/>
      <c r="I973" s="2205"/>
      <c r="J973" s="2204"/>
      <c r="K973" s="2204"/>
      <c r="L973" s="2204"/>
      <c r="M973" s="2204"/>
      <c r="N973" s="2204"/>
      <c r="O973" s="2204"/>
      <c r="P973" s="2204"/>
      <c r="Q973" s="2204"/>
      <c r="R973" s="2204"/>
      <c r="S973" s="2204"/>
      <c r="T973" s="2204"/>
    </row>
    <row r="974" spans="1:20">
      <c r="A974" s="2204"/>
      <c r="B974" s="2204"/>
      <c r="C974" s="2204"/>
      <c r="D974" s="2204"/>
      <c r="E974" s="2204"/>
      <c r="F974" s="2204"/>
      <c r="G974" s="2204"/>
      <c r="H974" s="2204"/>
      <c r="I974" s="2205"/>
      <c r="J974" s="2204"/>
      <c r="K974" s="2204"/>
      <c r="L974" s="2204"/>
      <c r="M974" s="2204"/>
      <c r="N974" s="2204"/>
      <c r="O974" s="2204"/>
      <c r="P974" s="2204"/>
      <c r="Q974" s="2204"/>
      <c r="R974" s="2204"/>
      <c r="S974" s="2204"/>
      <c r="T974" s="2204"/>
    </row>
    <row r="975" spans="1:20">
      <c r="A975" s="2204"/>
      <c r="B975" s="2204"/>
      <c r="C975" s="2204"/>
      <c r="D975" s="2204"/>
      <c r="E975" s="2204"/>
      <c r="F975" s="2204"/>
      <c r="G975" s="2204"/>
      <c r="H975" s="2204"/>
      <c r="I975" s="2205"/>
      <c r="J975" s="2204"/>
      <c r="K975" s="2204"/>
      <c r="L975" s="2204"/>
      <c r="M975" s="2204"/>
      <c r="N975" s="2204"/>
      <c r="O975" s="2204"/>
      <c r="P975" s="2204"/>
      <c r="Q975" s="2204"/>
      <c r="R975" s="2204"/>
      <c r="S975" s="2204"/>
      <c r="T975" s="2204"/>
    </row>
    <row r="976" spans="1:20">
      <c r="A976" s="2204"/>
      <c r="B976" s="2204"/>
      <c r="C976" s="2204"/>
      <c r="D976" s="2204"/>
      <c r="E976" s="2204"/>
      <c r="F976" s="2204"/>
      <c r="G976" s="2204"/>
      <c r="H976" s="2204"/>
      <c r="I976" s="2205"/>
      <c r="J976" s="2204"/>
      <c r="K976" s="2204"/>
      <c r="L976" s="2204"/>
      <c r="M976" s="2204"/>
      <c r="N976" s="2204"/>
      <c r="O976" s="2204"/>
      <c r="P976" s="2204"/>
      <c r="Q976" s="2204"/>
      <c r="R976" s="2204"/>
      <c r="S976" s="2204"/>
      <c r="T976" s="2204"/>
    </row>
    <row r="977" spans="1:20">
      <c r="A977" s="2204"/>
      <c r="B977" s="2204"/>
      <c r="C977" s="2204"/>
      <c r="D977" s="2204"/>
      <c r="E977" s="2204"/>
      <c r="F977" s="2204"/>
      <c r="G977" s="2204"/>
      <c r="H977" s="2204"/>
      <c r="I977" s="2205"/>
      <c r="J977" s="2204"/>
      <c r="K977" s="2204"/>
      <c r="L977" s="2204"/>
      <c r="M977" s="2204"/>
      <c r="N977" s="2204"/>
      <c r="O977" s="2204"/>
      <c r="P977" s="2204"/>
      <c r="Q977" s="2204"/>
      <c r="R977" s="2204"/>
      <c r="S977" s="2204"/>
      <c r="T977" s="2204"/>
    </row>
    <row r="978" spans="1:20">
      <c r="A978" s="2204"/>
      <c r="B978" s="2204"/>
      <c r="C978" s="2204"/>
      <c r="D978" s="2204"/>
      <c r="E978" s="2204"/>
      <c r="F978" s="2204"/>
      <c r="G978" s="2204"/>
      <c r="H978" s="2204"/>
      <c r="I978" s="2205"/>
      <c r="J978" s="2204"/>
      <c r="K978" s="2204"/>
      <c r="L978" s="2204"/>
      <c r="M978" s="2204"/>
      <c r="N978" s="2204"/>
      <c r="O978" s="2204"/>
      <c r="P978" s="2204"/>
      <c r="Q978" s="2204"/>
      <c r="R978" s="2204"/>
      <c r="S978" s="2204"/>
      <c r="T978" s="2204"/>
    </row>
    <row r="979" spans="1:20">
      <c r="A979" s="2204"/>
      <c r="B979" s="2204"/>
      <c r="C979" s="2204"/>
      <c r="D979" s="2204"/>
      <c r="E979" s="2204"/>
      <c r="F979" s="2204"/>
      <c r="G979" s="2204"/>
      <c r="H979" s="2204"/>
      <c r="I979" s="2205"/>
      <c r="J979" s="2204"/>
      <c r="K979" s="2204"/>
      <c r="L979" s="2204"/>
      <c r="M979" s="2204"/>
      <c r="N979" s="2204"/>
      <c r="O979" s="2204"/>
      <c r="P979" s="2204"/>
      <c r="Q979" s="2204"/>
      <c r="R979" s="2204"/>
      <c r="S979" s="2204"/>
      <c r="T979" s="2204"/>
    </row>
    <row r="980" spans="1:20">
      <c r="A980" s="2204"/>
      <c r="B980" s="2204"/>
      <c r="C980" s="2204"/>
      <c r="D980" s="2204"/>
      <c r="E980" s="2204"/>
      <c r="F980" s="2204"/>
      <c r="G980" s="2204"/>
      <c r="H980" s="2204"/>
      <c r="I980" s="2205"/>
      <c r="J980" s="2204"/>
      <c r="K980" s="2204"/>
      <c r="L980" s="2204"/>
      <c r="M980" s="2204"/>
      <c r="N980" s="2204"/>
      <c r="O980" s="2204"/>
      <c r="P980" s="2204"/>
      <c r="Q980" s="2204"/>
      <c r="R980" s="2204"/>
      <c r="S980" s="2204"/>
      <c r="T980" s="2204"/>
    </row>
    <row r="981" spans="1:20">
      <c r="A981" s="2204"/>
      <c r="B981" s="2204"/>
      <c r="C981" s="2204"/>
      <c r="D981" s="2204"/>
      <c r="E981" s="2204"/>
      <c r="F981" s="2204"/>
      <c r="G981" s="2204"/>
      <c r="H981" s="2204"/>
      <c r="I981" s="2205"/>
      <c r="J981" s="2204"/>
      <c r="K981" s="2204"/>
      <c r="L981" s="2204"/>
      <c r="M981" s="2204"/>
      <c r="N981" s="2204"/>
      <c r="O981" s="2204"/>
      <c r="P981" s="2204"/>
      <c r="Q981" s="2204"/>
      <c r="R981" s="2204"/>
      <c r="S981" s="2204"/>
      <c r="T981" s="2204"/>
    </row>
    <row r="982" spans="1:20">
      <c r="A982" s="2204"/>
      <c r="B982" s="2204"/>
      <c r="C982" s="2204"/>
      <c r="D982" s="2204"/>
      <c r="E982" s="2204"/>
      <c r="F982" s="2204"/>
      <c r="G982" s="2204"/>
      <c r="H982" s="2204"/>
      <c r="I982" s="2205"/>
      <c r="J982" s="2204"/>
      <c r="K982" s="2204"/>
      <c r="L982" s="2204"/>
      <c r="M982" s="2204"/>
      <c r="N982" s="2204"/>
      <c r="O982" s="2204"/>
      <c r="P982" s="2204"/>
      <c r="Q982" s="2204"/>
      <c r="R982" s="2204"/>
      <c r="S982" s="2204"/>
      <c r="T982" s="2204"/>
    </row>
    <row r="983" spans="1:20">
      <c r="A983" s="2204"/>
      <c r="B983" s="2204"/>
      <c r="C983" s="2204"/>
      <c r="D983" s="2204"/>
      <c r="E983" s="2204"/>
      <c r="F983" s="2204"/>
      <c r="G983" s="2204"/>
      <c r="H983" s="2204"/>
      <c r="I983" s="2205"/>
      <c r="J983" s="2204"/>
      <c r="K983" s="2204"/>
      <c r="L983" s="2204"/>
      <c r="M983" s="2204"/>
      <c r="N983" s="2204"/>
      <c r="O983" s="2204"/>
      <c r="P983" s="2204"/>
      <c r="Q983" s="2204"/>
      <c r="R983" s="2204"/>
      <c r="S983" s="2204"/>
      <c r="T983" s="2204"/>
    </row>
    <row r="984" spans="1:20">
      <c r="A984" s="2204"/>
      <c r="B984" s="2204"/>
      <c r="C984" s="2204"/>
      <c r="D984" s="2204"/>
      <c r="E984" s="2204"/>
      <c r="F984" s="2204"/>
      <c r="G984" s="2204"/>
      <c r="H984" s="2204"/>
      <c r="I984" s="2205"/>
      <c r="J984" s="2204"/>
      <c r="K984" s="2204"/>
      <c r="L984" s="2204"/>
      <c r="M984" s="2204"/>
      <c r="N984" s="2204"/>
      <c r="O984" s="2204"/>
      <c r="P984" s="2204"/>
      <c r="Q984" s="2204"/>
      <c r="R984" s="2204"/>
      <c r="S984" s="2204"/>
      <c r="T984" s="2204"/>
    </row>
    <row r="985" spans="1:20">
      <c r="A985" s="2204"/>
      <c r="B985" s="2204"/>
      <c r="C985" s="2204"/>
      <c r="D985" s="2204"/>
      <c r="E985" s="2204"/>
      <c r="F985" s="2204"/>
      <c r="G985" s="2204"/>
      <c r="H985" s="2204"/>
      <c r="I985" s="2205"/>
      <c r="J985" s="2204"/>
      <c r="K985" s="2204"/>
      <c r="L985" s="2204"/>
      <c r="M985" s="2204"/>
      <c r="N985" s="2204"/>
      <c r="O985" s="2204"/>
      <c r="P985" s="2204"/>
      <c r="Q985" s="2204"/>
      <c r="R985" s="2204"/>
      <c r="S985" s="2204"/>
      <c r="T985" s="2204"/>
    </row>
    <row r="986" spans="1:20">
      <c r="A986" s="2204"/>
      <c r="B986" s="2204"/>
      <c r="C986" s="2204"/>
      <c r="D986" s="2204"/>
      <c r="E986" s="2204"/>
      <c r="F986" s="2204"/>
      <c r="G986" s="2204"/>
      <c r="H986" s="2204"/>
      <c r="I986" s="2205"/>
      <c r="J986" s="2204"/>
      <c r="K986" s="2204"/>
      <c r="L986" s="2204"/>
      <c r="M986" s="2204"/>
      <c r="N986" s="2204"/>
      <c r="O986" s="2204"/>
      <c r="P986" s="2204"/>
      <c r="Q986" s="2204"/>
      <c r="R986" s="2204"/>
      <c r="S986" s="2204"/>
      <c r="T986" s="2204"/>
    </row>
    <row r="987" spans="1:20">
      <c r="A987" s="2204"/>
      <c r="B987" s="2204"/>
      <c r="C987" s="2204"/>
      <c r="D987" s="2204"/>
      <c r="E987" s="2204"/>
      <c r="F987" s="2204"/>
      <c r="G987" s="2204"/>
      <c r="H987" s="2204"/>
      <c r="I987" s="2205"/>
      <c r="J987" s="2204"/>
      <c r="K987" s="2204"/>
      <c r="L987" s="2204"/>
      <c r="M987" s="2204"/>
      <c r="N987" s="2204"/>
      <c r="O987" s="2204"/>
      <c r="P987" s="2204"/>
      <c r="Q987" s="2204"/>
      <c r="R987" s="2204"/>
      <c r="S987" s="2204"/>
      <c r="T987" s="2204"/>
    </row>
    <row r="988" spans="1:20">
      <c r="A988" s="2204"/>
      <c r="B988" s="2204"/>
      <c r="C988" s="2204"/>
      <c r="D988" s="2204"/>
      <c r="E988" s="2204"/>
      <c r="F988" s="2204"/>
      <c r="G988" s="2204"/>
      <c r="H988" s="2204"/>
      <c r="I988" s="2205"/>
      <c r="J988" s="2204"/>
      <c r="K988" s="2204"/>
      <c r="L988" s="2204"/>
      <c r="M988" s="2204"/>
      <c r="N988" s="2204"/>
      <c r="O988" s="2204"/>
      <c r="P988" s="2204"/>
      <c r="Q988" s="2204"/>
      <c r="R988" s="2204"/>
      <c r="S988" s="2204"/>
      <c r="T988" s="2204"/>
    </row>
    <row r="989" spans="1:20">
      <c r="A989" s="2204"/>
      <c r="B989" s="2204"/>
      <c r="C989" s="2204"/>
      <c r="D989" s="2204"/>
      <c r="E989" s="2204"/>
      <c r="F989" s="2204"/>
      <c r="G989" s="2204"/>
      <c r="H989" s="2204"/>
      <c r="I989" s="2205"/>
      <c r="J989" s="2204"/>
      <c r="K989" s="2204"/>
      <c r="L989" s="2204"/>
      <c r="M989" s="2204"/>
      <c r="N989" s="2204"/>
      <c r="O989" s="2204"/>
      <c r="P989" s="2204"/>
      <c r="Q989" s="2204"/>
      <c r="R989" s="2204"/>
      <c r="S989" s="2204"/>
      <c r="T989" s="2204"/>
    </row>
    <row r="990" spans="1:20">
      <c r="A990" s="2204"/>
      <c r="B990" s="2204"/>
      <c r="C990" s="2204"/>
      <c r="D990" s="2204"/>
      <c r="E990" s="2204"/>
      <c r="F990" s="2204"/>
      <c r="G990" s="2204"/>
      <c r="H990" s="2204"/>
      <c r="I990" s="2205"/>
      <c r="J990" s="2204"/>
      <c r="K990" s="2204"/>
      <c r="L990" s="2204"/>
      <c r="M990" s="2204"/>
      <c r="N990" s="2204"/>
      <c r="O990" s="2204"/>
      <c r="P990" s="2204"/>
      <c r="Q990" s="2204"/>
      <c r="R990" s="2204"/>
      <c r="S990" s="2204"/>
      <c r="T990" s="2204"/>
    </row>
    <row r="991" spans="1:20">
      <c r="A991" s="2204"/>
      <c r="B991" s="2204"/>
      <c r="C991" s="2204"/>
      <c r="D991" s="2204"/>
      <c r="E991" s="2204"/>
      <c r="F991" s="2204"/>
      <c r="G991" s="2204"/>
      <c r="H991" s="2204"/>
      <c r="I991" s="2205"/>
      <c r="J991" s="2204"/>
      <c r="K991" s="2204"/>
      <c r="L991" s="2204"/>
      <c r="M991" s="2204"/>
      <c r="N991" s="2204"/>
      <c r="O991" s="2204"/>
      <c r="P991" s="2204"/>
      <c r="Q991" s="2204"/>
      <c r="R991" s="2204"/>
      <c r="S991" s="2204"/>
      <c r="T991" s="2204"/>
    </row>
    <row r="992" spans="1:20">
      <c r="A992" s="2204"/>
      <c r="B992" s="2204"/>
      <c r="C992" s="2204"/>
      <c r="D992" s="2204"/>
      <c r="E992" s="2204"/>
      <c r="F992" s="2204"/>
      <c r="G992" s="2204"/>
      <c r="H992" s="2204"/>
      <c r="I992" s="2205"/>
      <c r="J992" s="2204"/>
      <c r="K992" s="2204"/>
      <c r="L992" s="2204"/>
      <c r="M992" s="2204"/>
      <c r="N992" s="2204"/>
      <c r="O992" s="2204"/>
      <c r="P992" s="2204"/>
      <c r="Q992" s="2204"/>
      <c r="R992" s="2204"/>
      <c r="S992" s="2204"/>
      <c r="T992" s="2204"/>
    </row>
    <row r="993" spans="1:20">
      <c r="A993" s="2204"/>
      <c r="B993" s="2204"/>
      <c r="C993" s="2204"/>
      <c r="D993" s="2204"/>
      <c r="E993" s="2204"/>
      <c r="F993" s="2204"/>
      <c r="G993" s="2204"/>
      <c r="H993" s="2204"/>
      <c r="I993" s="2205"/>
      <c r="J993" s="2204"/>
      <c r="K993" s="2204"/>
      <c r="L993" s="2204"/>
      <c r="M993" s="2204"/>
      <c r="N993" s="2204"/>
      <c r="O993" s="2204"/>
      <c r="P993" s="2204"/>
      <c r="Q993" s="2204"/>
      <c r="R993" s="2204"/>
      <c r="S993" s="2204"/>
      <c r="T993" s="2204"/>
    </row>
    <row r="994" spans="1:20">
      <c r="A994" s="2204"/>
      <c r="B994" s="2204"/>
      <c r="C994" s="2204"/>
      <c r="D994" s="2204"/>
      <c r="E994" s="2204"/>
      <c r="F994" s="2204"/>
      <c r="G994" s="2204"/>
      <c r="H994" s="2204"/>
      <c r="I994" s="2205"/>
      <c r="J994" s="2204"/>
      <c r="K994" s="2204"/>
      <c r="L994" s="2204"/>
      <c r="M994" s="2204"/>
      <c r="N994" s="2204"/>
      <c r="O994" s="2204"/>
      <c r="P994" s="2204"/>
      <c r="Q994" s="2204"/>
      <c r="R994" s="2204"/>
      <c r="S994" s="2204"/>
      <c r="T994" s="2204"/>
    </row>
    <row r="995" spans="1:20">
      <c r="A995" s="2204"/>
      <c r="B995" s="2204"/>
      <c r="C995" s="2204"/>
      <c r="D995" s="2204"/>
      <c r="E995" s="2204"/>
      <c r="F995" s="2204"/>
      <c r="G995" s="2204"/>
      <c r="H995" s="2204"/>
      <c r="I995" s="2205"/>
      <c r="J995" s="2204"/>
      <c r="K995" s="2204"/>
      <c r="L995" s="2204"/>
      <c r="M995" s="2204"/>
      <c r="N995" s="2204"/>
      <c r="O995" s="2204"/>
      <c r="P995" s="2204"/>
      <c r="Q995" s="2204"/>
      <c r="R995" s="2204"/>
      <c r="S995" s="2204"/>
      <c r="T995" s="2204"/>
    </row>
    <row r="996" spans="1:20">
      <c r="A996" s="2204"/>
      <c r="B996" s="2204"/>
      <c r="C996" s="2204"/>
      <c r="D996" s="2204"/>
      <c r="E996" s="2204"/>
      <c r="F996" s="2204"/>
      <c r="G996" s="2204"/>
      <c r="H996" s="2204"/>
      <c r="I996" s="2205"/>
      <c r="J996" s="2204"/>
      <c r="K996" s="2204"/>
      <c r="L996" s="2204"/>
      <c r="M996" s="2204"/>
      <c r="N996" s="2204"/>
      <c r="O996" s="2204"/>
      <c r="P996" s="2204"/>
      <c r="Q996" s="2204"/>
      <c r="R996" s="2204"/>
      <c r="S996" s="2204"/>
      <c r="T996" s="2204"/>
    </row>
    <row r="997" spans="1:20">
      <c r="A997" s="2204"/>
      <c r="B997" s="2204"/>
      <c r="C997" s="2204"/>
      <c r="D997" s="2204"/>
      <c r="E997" s="2204"/>
      <c r="F997" s="2204"/>
      <c r="G997" s="2204"/>
      <c r="H997" s="2204"/>
      <c r="I997" s="2205"/>
      <c r="J997" s="2204"/>
      <c r="K997" s="2204"/>
      <c r="L997" s="2204"/>
      <c r="M997" s="2204"/>
      <c r="N997" s="2204"/>
      <c r="O997" s="2204"/>
      <c r="P997" s="2204"/>
      <c r="Q997" s="2204"/>
      <c r="R997" s="2204"/>
      <c r="S997" s="2204"/>
      <c r="T997" s="2204"/>
    </row>
    <row r="998" spans="1:20">
      <c r="A998" s="2204"/>
      <c r="B998" s="2204"/>
      <c r="C998" s="2204"/>
      <c r="D998" s="2204"/>
      <c r="E998" s="2204"/>
      <c r="F998" s="2204"/>
      <c r="G998" s="2204"/>
      <c r="H998" s="2204"/>
      <c r="I998" s="2205"/>
      <c r="J998" s="2204"/>
      <c r="K998" s="2204"/>
      <c r="L998" s="2204"/>
      <c r="M998" s="2204"/>
      <c r="N998" s="2204"/>
      <c r="O998" s="2204"/>
      <c r="P998" s="2204"/>
      <c r="Q998" s="2204"/>
      <c r="R998" s="2204"/>
      <c r="S998" s="2204"/>
      <c r="T998" s="2204"/>
    </row>
    <row r="999" spans="1:20">
      <c r="A999" s="2204"/>
      <c r="B999" s="2204"/>
      <c r="C999" s="2204"/>
      <c r="D999" s="2204"/>
      <c r="E999" s="2204"/>
      <c r="F999" s="2204"/>
      <c r="G999" s="2204"/>
      <c r="H999" s="2204"/>
      <c r="I999" s="2205"/>
      <c r="J999" s="2204"/>
      <c r="K999" s="2204"/>
      <c r="L999" s="2204"/>
      <c r="M999" s="2204"/>
      <c r="N999" s="2204"/>
      <c r="O999" s="2204"/>
      <c r="P999" s="2204"/>
      <c r="Q999" s="2204"/>
      <c r="R999" s="2204"/>
      <c r="S999" s="2204"/>
      <c r="T999" s="2204"/>
    </row>
    <row r="1000" spans="1:20">
      <c r="A1000" s="2204"/>
      <c r="B1000" s="2204"/>
      <c r="C1000" s="2204"/>
      <c r="D1000" s="2204"/>
      <c r="E1000" s="2204"/>
      <c r="F1000" s="2204"/>
      <c r="G1000" s="2204"/>
      <c r="H1000" s="2204"/>
      <c r="I1000" s="2205"/>
      <c r="J1000" s="2204"/>
      <c r="K1000" s="2204"/>
      <c r="L1000" s="2204"/>
      <c r="M1000" s="2204"/>
      <c r="N1000" s="2204"/>
      <c r="O1000" s="2204"/>
      <c r="P1000" s="2204"/>
      <c r="Q1000" s="2204"/>
      <c r="R1000" s="2204"/>
      <c r="S1000" s="2204"/>
      <c r="T1000" s="2204"/>
    </row>
    <row r="1001" spans="1:20">
      <c r="A1001" s="2204"/>
      <c r="B1001" s="2204"/>
      <c r="C1001" s="2204"/>
      <c r="D1001" s="2204"/>
      <c r="E1001" s="2204"/>
      <c r="F1001" s="2204"/>
      <c r="G1001" s="2204"/>
      <c r="H1001" s="2204"/>
      <c r="I1001" s="2205"/>
      <c r="J1001" s="2204"/>
      <c r="K1001" s="2204"/>
      <c r="L1001" s="2204"/>
      <c r="M1001" s="2204"/>
      <c r="N1001" s="2204"/>
      <c r="O1001" s="2204"/>
      <c r="P1001" s="2204"/>
      <c r="Q1001" s="2204"/>
      <c r="R1001" s="2204"/>
      <c r="S1001" s="2204"/>
      <c r="T1001" s="2204"/>
    </row>
    <row r="1002" spans="1:20">
      <c r="A1002" s="2204"/>
      <c r="B1002" s="2204"/>
      <c r="C1002" s="2204"/>
      <c r="D1002" s="2204"/>
      <c r="E1002" s="2204"/>
      <c r="F1002" s="2204"/>
      <c r="G1002" s="2204"/>
      <c r="H1002" s="2204"/>
      <c r="I1002" s="2205"/>
      <c r="J1002" s="2204"/>
      <c r="K1002" s="2204"/>
      <c r="L1002" s="2204"/>
      <c r="M1002" s="2204"/>
      <c r="N1002" s="2204"/>
      <c r="O1002" s="2204"/>
      <c r="P1002" s="2204"/>
      <c r="Q1002" s="2204"/>
      <c r="R1002" s="2204"/>
      <c r="S1002" s="2204"/>
      <c r="T1002" s="2204"/>
    </row>
    <row r="1003" spans="1:20">
      <c r="A1003" s="2204"/>
      <c r="B1003" s="2204"/>
      <c r="C1003" s="2204"/>
      <c r="D1003" s="2204"/>
      <c r="E1003" s="2204"/>
      <c r="F1003" s="2204"/>
      <c r="G1003" s="2204"/>
      <c r="H1003" s="2204"/>
      <c r="I1003" s="2205"/>
      <c r="J1003" s="2204"/>
      <c r="K1003" s="2204"/>
      <c r="L1003" s="2204"/>
      <c r="M1003" s="2204"/>
      <c r="N1003" s="2204"/>
      <c r="O1003" s="2204"/>
      <c r="P1003" s="2204"/>
      <c r="Q1003" s="2204"/>
      <c r="R1003" s="2204"/>
      <c r="S1003" s="2204"/>
      <c r="T1003" s="2204"/>
    </row>
    <row r="1004" spans="1:20">
      <c r="A1004" s="2204"/>
      <c r="B1004" s="2204"/>
      <c r="C1004" s="2204"/>
      <c r="D1004" s="2204"/>
      <c r="E1004" s="2204"/>
      <c r="F1004" s="2204"/>
      <c r="G1004" s="2204"/>
      <c r="H1004" s="2204"/>
      <c r="I1004" s="2205"/>
      <c r="J1004" s="2204"/>
      <c r="K1004" s="2204"/>
      <c r="L1004" s="2204"/>
      <c r="M1004" s="2204"/>
      <c r="N1004" s="2204"/>
      <c r="O1004" s="2204"/>
      <c r="P1004" s="2204"/>
      <c r="Q1004" s="2204"/>
      <c r="R1004" s="2204"/>
      <c r="S1004" s="2204"/>
      <c r="T1004" s="2204"/>
    </row>
    <row r="1005" spans="1:20">
      <c r="A1005" s="2204"/>
      <c r="B1005" s="2204"/>
      <c r="C1005" s="2204"/>
      <c r="D1005" s="2204"/>
      <c r="E1005" s="2204"/>
      <c r="F1005" s="2204"/>
      <c r="G1005" s="2204"/>
      <c r="H1005" s="2204"/>
      <c r="I1005" s="2205"/>
      <c r="J1005" s="2204"/>
      <c r="K1005" s="2204"/>
      <c r="L1005" s="2204"/>
      <c r="M1005" s="2204"/>
      <c r="N1005" s="2204"/>
      <c r="O1005" s="2204"/>
      <c r="P1005" s="2204"/>
      <c r="Q1005" s="2204"/>
      <c r="R1005" s="2204"/>
      <c r="S1005" s="2204"/>
      <c r="T1005" s="2204"/>
    </row>
    <row r="1006" spans="1:20">
      <c r="A1006" s="2204"/>
      <c r="B1006" s="2204"/>
      <c r="C1006" s="2204"/>
      <c r="D1006" s="2204"/>
      <c r="E1006" s="2204"/>
      <c r="F1006" s="2204"/>
      <c r="G1006" s="2204"/>
      <c r="H1006" s="2204"/>
      <c r="I1006" s="2205"/>
      <c r="J1006" s="2204"/>
      <c r="K1006" s="2204"/>
      <c r="L1006" s="2204"/>
      <c r="M1006" s="2204"/>
      <c r="N1006" s="2204"/>
      <c r="O1006" s="2204"/>
      <c r="P1006" s="2204"/>
      <c r="Q1006" s="2204"/>
      <c r="R1006" s="2204"/>
      <c r="S1006" s="2204"/>
      <c r="T1006" s="2204"/>
    </row>
    <row r="1007" spans="1:20">
      <c r="A1007" s="2204"/>
      <c r="B1007" s="2204"/>
      <c r="C1007" s="2204"/>
      <c r="D1007" s="2204"/>
      <c r="E1007" s="2204"/>
      <c r="F1007" s="2204"/>
      <c r="G1007" s="2204"/>
      <c r="H1007" s="2204"/>
      <c r="I1007" s="2205"/>
      <c r="J1007" s="2204"/>
      <c r="K1007" s="2204"/>
      <c r="L1007" s="2204"/>
      <c r="M1007" s="2204"/>
      <c r="N1007" s="2204"/>
      <c r="O1007" s="2204"/>
      <c r="P1007" s="2204"/>
      <c r="Q1007" s="2204"/>
      <c r="R1007" s="2204"/>
      <c r="S1007" s="2204"/>
      <c r="T1007" s="2204"/>
    </row>
    <row r="1008" spans="1:20">
      <c r="A1008" s="2204"/>
      <c r="B1008" s="2204"/>
      <c r="C1008" s="2204"/>
      <c r="D1008" s="2204"/>
      <c r="E1008" s="2204"/>
      <c r="F1008" s="2204"/>
      <c r="G1008" s="2204"/>
      <c r="H1008" s="2204"/>
      <c r="I1008" s="2205"/>
      <c r="J1008" s="2204"/>
      <c r="K1008" s="2204"/>
      <c r="L1008" s="2204"/>
      <c r="M1008" s="2204"/>
      <c r="N1008" s="2204"/>
      <c r="O1008" s="2204"/>
      <c r="P1008" s="2204"/>
      <c r="Q1008" s="2204"/>
      <c r="R1008" s="2204"/>
      <c r="S1008" s="2204"/>
      <c r="T1008" s="2204"/>
    </row>
    <row r="1009" spans="1:20">
      <c r="A1009" s="2204"/>
      <c r="B1009" s="2204"/>
      <c r="C1009" s="2204"/>
      <c r="D1009" s="2204"/>
      <c r="E1009" s="2204"/>
      <c r="F1009" s="2204"/>
      <c r="G1009" s="2204"/>
      <c r="H1009" s="2204"/>
      <c r="I1009" s="2205"/>
      <c r="J1009" s="2204"/>
      <c r="K1009" s="2204"/>
      <c r="L1009" s="2204"/>
      <c r="M1009" s="2204"/>
      <c r="N1009" s="2204"/>
      <c r="O1009" s="2204"/>
      <c r="P1009" s="2204"/>
      <c r="Q1009" s="2204"/>
      <c r="R1009" s="2204"/>
      <c r="S1009" s="2204"/>
      <c r="T1009" s="2204"/>
    </row>
    <row r="1010" spans="1:20">
      <c r="A1010" s="2204"/>
      <c r="B1010" s="2204"/>
      <c r="C1010" s="2204"/>
      <c r="D1010" s="2204"/>
      <c r="E1010" s="2204"/>
      <c r="F1010" s="2204"/>
      <c r="G1010" s="2204"/>
      <c r="H1010" s="2204"/>
      <c r="I1010" s="2205"/>
      <c r="J1010" s="2204"/>
      <c r="K1010" s="2204"/>
      <c r="L1010" s="2204"/>
      <c r="M1010" s="2204"/>
      <c r="N1010" s="2204"/>
      <c r="O1010" s="2204"/>
      <c r="P1010" s="2204"/>
      <c r="Q1010" s="2204"/>
      <c r="R1010" s="2204"/>
      <c r="S1010" s="2204"/>
      <c r="T1010" s="2204"/>
    </row>
    <row r="1011" spans="1:20">
      <c r="A1011" s="2204"/>
      <c r="B1011" s="2204"/>
      <c r="C1011" s="2204"/>
      <c r="D1011" s="2204"/>
      <c r="E1011" s="2204"/>
      <c r="F1011" s="2204"/>
      <c r="G1011" s="2204"/>
      <c r="H1011" s="2204"/>
      <c r="I1011" s="2205"/>
      <c r="J1011" s="2204"/>
      <c r="K1011" s="2204"/>
      <c r="L1011" s="2204"/>
      <c r="M1011" s="2204"/>
      <c r="N1011" s="2204"/>
      <c r="O1011" s="2204"/>
      <c r="P1011" s="2204"/>
      <c r="Q1011" s="2204"/>
      <c r="R1011" s="2204"/>
      <c r="S1011" s="2204"/>
      <c r="T1011" s="2204"/>
    </row>
    <row r="1012" spans="1:20">
      <c r="A1012" s="2204"/>
      <c r="B1012" s="2204"/>
      <c r="C1012" s="2204"/>
      <c r="D1012" s="2204"/>
      <c r="E1012" s="2204"/>
      <c r="F1012" s="2204"/>
      <c r="G1012" s="2204"/>
      <c r="H1012" s="2204"/>
      <c r="I1012" s="2205"/>
      <c r="J1012" s="2204"/>
      <c r="K1012" s="2204"/>
      <c r="L1012" s="2204"/>
      <c r="M1012" s="2204"/>
      <c r="N1012" s="2204"/>
      <c r="O1012" s="2204"/>
      <c r="P1012" s="2204"/>
      <c r="Q1012" s="2204"/>
      <c r="R1012" s="2204"/>
      <c r="S1012" s="2204"/>
      <c r="T1012" s="2204"/>
    </row>
    <row r="1013" spans="1:20">
      <c r="A1013" s="2204"/>
      <c r="B1013" s="2204"/>
      <c r="C1013" s="2204"/>
      <c r="D1013" s="2204"/>
      <c r="E1013" s="2204"/>
      <c r="F1013" s="2204"/>
      <c r="G1013" s="2204"/>
      <c r="H1013" s="2204"/>
      <c r="I1013" s="2205"/>
      <c r="J1013" s="2204"/>
      <c r="K1013" s="2204"/>
      <c r="L1013" s="2204"/>
      <c r="M1013" s="2204"/>
      <c r="N1013" s="2204"/>
      <c r="O1013" s="2204"/>
      <c r="P1013" s="2204"/>
      <c r="Q1013" s="2204"/>
      <c r="R1013" s="2204"/>
      <c r="S1013" s="2204"/>
      <c r="T1013" s="2204"/>
    </row>
    <row r="1014" spans="1:20">
      <c r="A1014" s="2204"/>
      <c r="B1014" s="2204"/>
      <c r="C1014" s="2204"/>
      <c r="D1014" s="2204"/>
      <c r="E1014" s="2204"/>
      <c r="F1014" s="2204"/>
      <c r="G1014" s="2204"/>
      <c r="H1014" s="2204"/>
      <c r="I1014" s="2205"/>
      <c r="J1014" s="2204"/>
      <c r="K1014" s="2204"/>
      <c r="L1014" s="2204"/>
      <c r="M1014" s="2204"/>
      <c r="N1014" s="2204"/>
      <c r="O1014" s="2204"/>
      <c r="P1014" s="2204"/>
      <c r="Q1014" s="2204"/>
      <c r="R1014" s="2204"/>
      <c r="S1014" s="2204"/>
      <c r="T1014" s="2204"/>
    </row>
    <row r="1015" spans="1:20">
      <c r="A1015" s="2204"/>
      <c r="B1015" s="2204"/>
      <c r="C1015" s="2204"/>
      <c r="D1015" s="2204"/>
      <c r="E1015" s="2204"/>
      <c r="F1015" s="2204"/>
      <c r="G1015" s="2204"/>
      <c r="H1015" s="2204"/>
      <c r="I1015" s="2205"/>
      <c r="J1015" s="2204"/>
      <c r="K1015" s="2204"/>
      <c r="L1015" s="2204"/>
      <c r="M1015" s="2204"/>
      <c r="N1015" s="2204"/>
      <c r="O1015" s="2204"/>
      <c r="P1015" s="2204"/>
      <c r="Q1015" s="2204"/>
      <c r="R1015" s="2204"/>
      <c r="S1015" s="2204"/>
      <c r="T1015" s="2204"/>
    </row>
    <row r="1016" spans="1:20">
      <c r="A1016" s="2204"/>
      <c r="B1016" s="2204"/>
      <c r="C1016" s="2204"/>
      <c r="D1016" s="2204"/>
      <c r="E1016" s="2204"/>
      <c r="F1016" s="2204"/>
      <c r="G1016" s="2204"/>
      <c r="H1016" s="2204"/>
      <c r="I1016" s="2205"/>
      <c r="J1016" s="2204"/>
      <c r="K1016" s="2204"/>
      <c r="L1016" s="2204"/>
      <c r="M1016" s="2204"/>
      <c r="N1016" s="2204"/>
      <c r="O1016" s="2204"/>
      <c r="P1016" s="2204"/>
      <c r="Q1016" s="2204"/>
      <c r="R1016" s="2204"/>
      <c r="S1016" s="2204"/>
      <c r="T1016" s="2204"/>
    </row>
    <row r="1017" spans="1:20">
      <c r="A1017" s="2204"/>
      <c r="B1017" s="2204"/>
      <c r="C1017" s="2204"/>
      <c r="D1017" s="2204"/>
      <c r="E1017" s="2204"/>
      <c r="F1017" s="2204"/>
      <c r="G1017" s="2204"/>
      <c r="H1017" s="2204"/>
      <c r="I1017" s="2205"/>
      <c r="J1017" s="2204"/>
      <c r="K1017" s="2204"/>
      <c r="L1017" s="2204"/>
      <c r="M1017" s="2204"/>
      <c r="N1017" s="2204"/>
      <c r="O1017" s="2204"/>
      <c r="P1017" s="2204"/>
      <c r="Q1017" s="2204"/>
      <c r="R1017" s="2204"/>
      <c r="S1017" s="2204"/>
      <c r="T1017" s="2204"/>
    </row>
    <row r="1018" spans="1:20">
      <c r="A1018" s="2204"/>
      <c r="B1018" s="2204"/>
      <c r="C1018" s="2204"/>
      <c r="D1018" s="2204"/>
      <c r="E1018" s="2204"/>
      <c r="F1018" s="2204"/>
      <c r="G1018" s="2204"/>
      <c r="H1018" s="2204"/>
      <c r="I1018" s="2205"/>
      <c r="J1018" s="2204"/>
      <c r="K1018" s="2204"/>
      <c r="L1018" s="2204"/>
      <c r="M1018" s="2204"/>
      <c r="N1018" s="2204"/>
      <c r="O1018" s="2204"/>
      <c r="P1018" s="2204"/>
      <c r="Q1018" s="2204"/>
      <c r="R1018" s="2204"/>
      <c r="S1018" s="2204"/>
      <c r="T1018" s="2204"/>
    </row>
    <row r="1019" spans="1:20">
      <c r="A1019" s="2204"/>
      <c r="B1019" s="2204"/>
      <c r="C1019" s="2204"/>
      <c r="D1019" s="2204"/>
      <c r="E1019" s="2204"/>
      <c r="F1019" s="2204"/>
      <c r="G1019" s="2204"/>
      <c r="H1019" s="2204"/>
      <c r="I1019" s="2205"/>
      <c r="J1019" s="2204"/>
      <c r="K1019" s="2204"/>
      <c r="L1019" s="2204"/>
      <c r="M1019" s="2204"/>
      <c r="N1019" s="2204"/>
      <c r="O1019" s="2204"/>
      <c r="P1019" s="2204"/>
      <c r="Q1019" s="2204"/>
      <c r="R1019" s="2204"/>
      <c r="S1019" s="2204"/>
      <c r="T1019" s="2204"/>
    </row>
    <row r="1020" spans="1:20">
      <c r="A1020" s="2204"/>
      <c r="B1020" s="2204"/>
      <c r="C1020" s="2204"/>
      <c r="D1020" s="2204"/>
      <c r="E1020" s="2204"/>
      <c r="F1020" s="2204"/>
      <c r="G1020" s="2204"/>
      <c r="H1020" s="2204"/>
      <c r="I1020" s="2205"/>
      <c r="J1020" s="2204"/>
      <c r="K1020" s="2204"/>
      <c r="L1020" s="2204"/>
      <c r="M1020" s="2204"/>
      <c r="N1020" s="2204"/>
      <c r="O1020" s="2204"/>
      <c r="P1020" s="2204"/>
      <c r="Q1020" s="2204"/>
      <c r="R1020" s="2204"/>
      <c r="S1020" s="2204"/>
      <c r="T1020" s="2204"/>
    </row>
    <row r="1021" spans="1:20">
      <c r="A1021" s="2204"/>
      <c r="B1021" s="2204"/>
      <c r="C1021" s="2204"/>
      <c r="D1021" s="2204"/>
      <c r="E1021" s="2204"/>
      <c r="F1021" s="2204"/>
      <c r="G1021" s="2204"/>
      <c r="H1021" s="2204"/>
      <c r="I1021" s="2205"/>
      <c r="J1021" s="2204"/>
      <c r="K1021" s="2204"/>
      <c r="L1021" s="2204"/>
      <c r="M1021" s="2204"/>
      <c r="N1021" s="2204"/>
      <c r="O1021" s="2204"/>
      <c r="P1021" s="2204"/>
      <c r="Q1021" s="2204"/>
      <c r="R1021" s="2204"/>
      <c r="S1021" s="2204"/>
      <c r="T1021" s="2204"/>
    </row>
    <row r="1022" spans="1:20">
      <c r="A1022" s="2204"/>
      <c r="B1022" s="2204"/>
      <c r="C1022" s="2204"/>
      <c r="D1022" s="2204"/>
      <c r="E1022" s="2204"/>
      <c r="F1022" s="2204"/>
      <c r="G1022" s="2204"/>
      <c r="H1022" s="2204"/>
      <c r="I1022" s="2205"/>
      <c r="J1022" s="2204"/>
      <c r="K1022" s="2204"/>
      <c r="L1022" s="2204"/>
      <c r="M1022" s="2204"/>
      <c r="N1022" s="2204"/>
      <c r="O1022" s="2204"/>
      <c r="P1022" s="2204"/>
      <c r="Q1022" s="2204"/>
      <c r="R1022" s="2204"/>
      <c r="S1022" s="2204"/>
      <c r="T1022" s="2204"/>
    </row>
    <row r="1023" spans="1:20">
      <c r="A1023" s="2204"/>
      <c r="B1023" s="2204"/>
      <c r="C1023" s="2204"/>
      <c r="D1023" s="2204"/>
      <c r="E1023" s="2204"/>
      <c r="F1023" s="2204"/>
      <c r="G1023" s="2204"/>
      <c r="H1023" s="2204"/>
      <c r="I1023" s="2205"/>
      <c r="J1023" s="2204"/>
      <c r="K1023" s="2204"/>
      <c r="L1023" s="2204"/>
      <c r="M1023" s="2204"/>
      <c r="N1023" s="2204"/>
      <c r="O1023" s="2204"/>
      <c r="P1023" s="2204"/>
      <c r="Q1023" s="2204"/>
      <c r="R1023" s="2204"/>
      <c r="S1023" s="2204"/>
      <c r="T1023" s="2204"/>
    </row>
    <row r="1024" spans="1:20">
      <c r="A1024" s="2204"/>
      <c r="B1024" s="2204"/>
      <c r="C1024" s="2204"/>
      <c r="D1024" s="2204"/>
      <c r="E1024" s="2204"/>
      <c r="F1024" s="2204"/>
      <c r="G1024" s="2204"/>
      <c r="H1024" s="2204"/>
      <c r="I1024" s="2205"/>
      <c r="J1024" s="2204"/>
      <c r="K1024" s="2204"/>
      <c r="L1024" s="2204"/>
      <c r="M1024" s="2204"/>
      <c r="N1024" s="2204"/>
      <c r="O1024" s="2204"/>
      <c r="P1024" s="2204"/>
      <c r="Q1024" s="2204"/>
      <c r="R1024" s="2204"/>
      <c r="S1024" s="2204"/>
      <c r="T1024" s="2204"/>
    </row>
  </sheetData>
  <mergeCells count="12">
    <mergeCell ref="A103:B103"/>
    <mergeCell ref="C103:E103"/>
    <mergeCell ref="A104:B104"/>
    <mergeCell ref="C104:E104"/>
    <mergeCell ref="A105:B105"/>
    <mergeCell ref="C105:E105"/>
    <mergeCell ref="B107:E107"/>
    <mergeCell ref="G107:H107"/>
    <mergeCell ref="A109:E109"/>
    <mergeCell ref="A107:A108"/>
    <mergeCell ref="F107:F108"/>
    <mergeCell ref="I107:I108"/>
  </mergeCells>
  <conditionalFormatting sqref="B106">
    <cfRule type="cellIs" dxfId="5" priority="2" stopIfTrue="1" operator="equal">
      <formula>$C$408</formula>
    </cfRule>
  </conditionalFormatting>
  <conditionalFormatting sqref="A109:E109">
    <cfRule type="cellIs" dxfId="2" priority="1" stopIfTrue="1" operator="equal">
      <formula>"调整金额借贷不等,请检查!差额为:"</formula>
    </cfRule>
  </conditionalFormatting>
  <dataValidations count="3">
    <dataValidation type="list" allowBlank="1" showInputMessage="1" showErrorMessage="1" sqref="C110:C154">
      <formula1>$C$1:$C$91</formula1>
    </dataValidation>
    <dataValidation type="list" allowBlank="1" showInputMessage="1" showErrorMessage="1" sqref="I110:I154">
      <formula1>$I$1:$I$3</formula1>
    </dataValidation>
    <dataValidation type="decimal" operator="between" allowBlank="1" showInputMessage="1" showErrorMessage="1" errorTitle="输入有误" error="抱歉，此处已限定只能输入数字。" sqref="G110:H154" errorStyle="warning">
      <formula1>-99999999999999900000</formula1>
      <formula2>99999999999999900000</formula2>
    </dataValidation>
  </dataValidations>
  <printOptions horizontalCentered="1"/>
  <pageMargins left="0.393700787401575" right="0.354330708661417" top="0.551181102362205" bottom="0.433070866141732" header="0.236220472440945" footer="0.236220472440945"/>
  <pageSetup paperSize="9" orientation="portrait" blackAndWhite="1"/>
  <headerFooter alignWithMargins="0"/>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pageSetUpPr fitToPage="1"/>
  </sheetPr>
  <dimension ref="A1:J49"/>
  <sheetViews>
    <sheetView showGridLines="0" showZeros="0" workbookViewId="0">
      <selection activeCell="C15" sqref="C15"/>
    </sheetView>
  </sheetViews>
  <sheetFormatPr defaultColWidth="9" defaultRowHeight="12.75"/>
  <cols>
    <col min="1" max="1" width="36.875" style="2012" customWidth="1"/>
    <col min="2" max="2" width="5.375" style="2010" customWidth="1"/>
    <col min="3" max="4" width="11.125" style="2013" customWidth="1"/>
    <col min="5" max="5" width="36.875" style="2012" customWidth="1"/>
    <col min="6" max="6" width="5.375" style="2010" customWidth="1"/>
    <col min="7" max="8" width="11.125" style="2013" customWidth="1"/>
    <col min="9" max="9" width="9" style="2012"/>
    <col min="10" max="10" width="9" style="2012" hidden="1" customWidth="1"/>
    <col min="11" max="16384" width="9" style="2012"/>
  </cols>
  <sheetData>
    <row r="1" ht="27.75" customHeight="1" spans="1:10">
      <c r="A1" s="1777" t="s">
        <v>189</v>
      </c>
      <c r="B1" s="1878"/>
      <c r="C1" s="1878"/>
      <c r="D1" s="1878"/>
      <c r="E1" s="1878"/>
      <c r="F1" s="1878"/>
      <c r="G1" s="1878"/>
      <c r="H1" s="1878"/>
      <c r="J1" s="2030"/>
    </row>
    <row r="2" ht="15" customHeight="1" spans="1:10">
      <c r="A2" s="1879" t="str">
        <f>IF(OR(ROUND(C48-G48,2)&lt;&gt;0,ROUND(D48-H48,2)&lt;&gt;0),"对应期间报表数不平，相差：","")</f>
        <v/>
      </c>
      <c r="B2" s="1879"/>
      <c r="C2" s="1779">
        <f>ROUND(C48-G48,2)</f>
        <v>0</v>
      </c>
      <c r="D2" s="1779">
        <f>ROUND(D48-H48,2)</f>
        <v>0</v>
      </c>
      <c r="E2" s="1782"/>
      <c r="F2" s="1810"/>
      <c r="G2" s="1880"/>
      <c r="H2" s="1881" t="s">
        <v>190</v>
      </c>
      <c r="J2" s="2200" t="s">
        <v>1472</v>
      </c>
    </row>
    <row r="3" ht="15" customHeight="1" spans="1:10">
      <c r="A3" s="1882" t="str">
        <f>"编制单位："&amp;参数表!C3</f>
        <v>编制单位：石嘴山市深阳蓝光市政工程有限公司</v>
      </c>
      <c r="B3" s="1882"/>
      <c r="C3" s="1882"/>
      <c r="D3" s="1882"/>
      <c r="E3" s="1883">
        <f>参数表!G7</f>
        <v>42735</v>
      </c>
      <c r="F3" s="1810"/>
      <c r="G3" s="1880"/>
      <c r="H3" s="1884" t="str">
        <f>"金额单位："&amp;参数表!F11</f>
        <v>金额单位：人民币元</v>
      </c>
      <c r="J3" s="2200" t="s">
        <v>1473</v>
      </c>
    </row>
    <row r="4" s="2009" customFormat="1" ht="16.5" customHeight="1" spans="1:10">
      <c r="A4" s="1885" t="s">
        <v>191</v>
      </c>
      <c r="B4" s="1886" t="s">
        <v>61</v>
      </c>
      <c r="C4" s="1887" t="str">
        <f>未审资负表!C4</f>
        <v>年末余额</v>
      </c>
      <c r="D4" s="1887" t="str">
        <f>未审资负表!D4</f>
        <v>年初余额</v>
      </c>
      <c r="E4" s="1886" t="s">
        <v>192</v>
      </c>
      <c r="F4" s="1886" t="s">
        <v>61</v>
      </c>
      <c r="G4" s="1887" t="str">
        <f>C4</f>
        <v>年末余额</v>
      </c>
      <c r="H4" s="1888" t="str">
        <f>D4</f>
        <v>年初余额</v>
      </c>
      <c r="J4" s="2201" t="s">
        <v>515</v>
      </c>
    </row>
    <row r="5" s="2009" customFormat="1" ht="16.5" customHeight="1" spans="1:10">
      <c r="A5" s="1889"/>
      <c r="B5" s="1890"/>
      <c r="C5" s="1891"/>
      <c r="D5" s="1891"/>
      <c r="E5" s="1890"/>
      <c r="F5" s="1890"/>
      <c r="G5" s="1891"/>
      <c r="H5" s="1892"/>
      <c r="J5" s="2201" t="s">
        <v>670</v>
      </c>
    </row>
    <row r="6" s="2010" customFormat="1" ht="16.5" customHeight="1" spans="1:8">
      <c r="A6" s="1893" t="s">
        <v>193</v>
      </c>
      <c r="B6" s="1894"/>
      <c r="C6" s="1895"/>
      <c r="D6" s="1896"/>
      <c r="E6" s="1897" t="s">
        <v>194</v>
      </c>
      <c r="F6" s="1897"/>
      <c r="G6" s="2022"/>
      <c r="H6" s="2033"/>
    </row>
    <row r="7" s="2010" customFormat="1" ht="16.5" customHeight="1" spans="1:8">
      <c r="A7" s="1900" t="s">
        <v>195</v>
      </c>
      <c r="B7" s="1901" t="s">
        <v>1474</v>
      </c>
      <c r="C7" s="1896">
        <f t="array" ref="C7">ROUND(SUM(IF(资负表及利润表调整分录!$C$175:$C$207=A7,IF(资负表及利润表调整分录!$I$175:$I$207="y",资负表及利润表调整分录!$G$175:$G$207,0)))-SUM(IF(资负表及利润表调整分录!$C$175:$C$207=A7,IF(资负表及利润表调整分录!$I$175:$I$207="y",资负表及利润表调整分录!$H$175:$H$207,0)))+未审资负表!C7,2)</f>
        <v>0</v>
      </c>
      <c r="D7" s="1896">
        <f t="array" ref="D7">ROUND(SUM(IF(资负表及利润表调整分录!$C$175:$C$207="年初"&amp;A7,IF(资负表及利润表调整分录!$I$175:$I$207="y",资负表及利润表调整分录!$G$175:$G$207,0)))-SUM(IF(资负表及利润表调整分录!$C$175:$C$207="年初"&amp;A7,IF(资负表及利润表调整分录!$I$175:$I$207="y",资负表及利润表调整分录!$H$175:$H$207,0)))+未审资负表!D7,2)</f>
        <v>0</v>
      </c>
      <c r="E7" s="1902" t="s">
        <v>196</v>
      </c>
      <c r="F7" s="1901" t="s">
        <v>1475</v>
      </c>
      <c r="G7" s="1896">
        <f t="array" ref="G7">ROUND(SUM(IF(资负表及利润表调整分录!$C$175:$C$207=E7,IF(资负表及利润表调整分录!$I$175:$I$207="y",资负表及利润表调整分录!$H$175:$H$207,0)))-SUM(IF(资负表及利润表调整分录!$C$175:$C$207=E7,IF(资负表及利润表调整分录!$I$175:$I$207="y",资负表及利润表调整分录!$G$175:$G$207,0)))+未审资负表!G7,2)</f>
        <v>0</v>
      </c>
      <c r="H7" s="1903">
        <f t="array" ref="H7">ROUND(SUM(IF(资负表及利润表调整分录!$C$175:$C$207="年初"&amp;E7,IF(资负表及利润表调整分录!$I$175:$I$207="y",资负表及利润表调整分录!$H$175:$H$207,0)))-SUM(IF(资负表及利润表调整分录!$C$175:$C$207="年初"&amp;E7,IF(资负表及利润表调整分录!$I$175:$I$207="y",资负表及利润表调整分录!$G$175:$G$207,0)))+未审资负表!H7,2)</f>
        <v>0</v>
      </c>
    </row>
    <row r="8" s="2010" customFormat="1" ht="16.5" customHeight="1" spans="1:8">
      <c r="A8" s="1900" t="s">
        <v>197</v>
      </c>
      <c r="B8" s="1901" t="s">
        <v>1476</v>
      </c>
      <c r="C8" s="1896">
        <f t="array" ref="C8">ROUND(SUM(IF(资负表及利润表调整分录!$C$175:$C$207=A8,IF(资负表及利润表调整分录!$I$175:$I$207="y",资负表及利润表调整分录!$G$175:$G$207,0)))-SUM(IF(资负表及利润表调整分录!$C$175:$C$207=A8,IF(资负表及利润表调整分录!$I$175:$I$207="y",资负表及利润表调整分录!$H$175:$H$207,0)))+未审资负表!C8,2)</f>
        <v>0</v>
      </c>
      <c r="D8" s="1896">
        <f t="array" ref="D8">ROUND(SUM(IF(资负表及利润表调整分录!$C$175:$C$207="年初"&amp;A8,IF(资负表及利润表调整分录!$I$175:$I$207="y",资负表及利润表调整分录!$G$175:$G$207,0)))-SUM(IF(资负表及利润表调整分录!$C$175:$C$207="年初"&amp;A8,IF(资负表及利润表调整分录!$I$175:$I$207="y",资负表及利润表调整分录!$H$175:$H$207,0)))+未审资负表!D8,2)</f>
        <v>0</v>
      </c>
      <c r="E8" s="1902" t="s">
        <v>198</v>
      </c>
      <c r="F8" s="1901" t="s">
        <v>1477</v>
      </c>
      <c r="G8" s="1896">
        <f t="array" ref="G8">ROUND(SUM(IF(资负表及利润表调整分录!$C$175:$C$207=E8,IF(资负表及利润表调整分录!$I$175:$I$207="y",资负表及利润表调整分录!$H$175:$H$207,0)))-SUM(IF(资负表及利润表调整分录!$C$175:$C$207=E8,IF(资负表及利润表调整分录!$I$175:$I$207="y",资负表及利润表调整分录!$G$175:$G$207,0)))+未审资负表!G8,2)</f>
        <v>0</v>
      </c>
      <c r="H8" s="1903">
        <f t="array" ref="H8">ROUND(SUM(IF(资负表及利润表调整分录!$C$175:$C$207="年初"&amp;E8,IF(资负表及利润表调整分录!$I$175:$I$207="y",资负表及利润表调整分录!$H$175:$H$207,0)))-SUM(IF(资负表及利润表调整分录!$C$175:$C$207="年初"&amp;E8,IF(资负表及利润表调整分录!$I$175:$I$207="y",资负表及利润表调整分录!$G$175:$G$207,0)))+未审资负表!H8,2)</f>
        <v>0</v>
      </c>
    </row>
    <row r="9" s="2010" customFormat="1" ht="16.5" customHeight="1" spans="1:8">
      <c r="A9" s="1900" t="s">
        <v>199</v>
      </c>
      <c r="B9" s="1901" t="s">
        <v>1478</v>
      </c>
      <c r="C9" s="1896">
        <f t="array" ref="C9">ROUND(SUM(IF(资负表及利润表调整分录!$C$175:$C$207=A9,IF(资负表及利润表调整分录!$I$175:$I$207="y",资负表及利润表调整分录!$G$175:$G$207,0)))-SUM(IF(资负表及利润表调整分录!$C$175:$C$207=A9,IF(资负表及利润表调整分录!$I$175:$I$207="y",资负表及利润表调整分录!$H$175:$H$207,0)))+未审资负表!C9,2)</f>
        <v>0</v>
      </c>
      <c r="D9" s="1896">
        <f t="array" ref="D9">ROUND(SUM(IF(资负表及利润表调整分录!$C$175:$C$207="年初"&amp;A9,IF(资负表及利润表调整分录!$I$175:$I$207="y",资负表及利润表调整分录!$G$175:$G$207,0)))-SUM(IF(资负表及利润表调整分录!$C$175:$C$207="年初"&amp;A9,IF(资负表及利润表调整分录!$I$175:$I$207="y",资负表及利润表调整分录!$H$175:$H$207,0)))+未审资负表!D9,2)</f>
        <v>0</v>
      </c>
      <c r="E9" s="1902" t="s">
        <v>200</v>
      </c>
      <c r="F9" s="1901" t="s">
        <v>1479</v>
      </c>
      <c r="G9" s="1896">
        <f t="array" ref="G9">ROUND(SUM(IF(资负表及利润表调整分录!$C$175:$C$207=E9,IF(资负表及利润表调整分录!$I$175:$I$207="y",资负表及利润表调整分录!$H$175:$H$207,0)))-SUM(IF(资负表及利润表调整分录!$C$175:$C$207=E9,IF(资负表及利润表调整分录!$I$175:$I$207="y",资负表及利润表调整分录!$G$175:$G$207,0)))+未审资负表!G9,2)</f>
        <v>0</v>
      </c>
      <c r="H9" s="1903">
        <f t="array" ref="H9">ROUND(SUM(IF(资负表及利润表调整分录!$C$175:$C$207="年初"&amp;E9,IF(资负表及利润表调整分录!$I$175:$I$207="y",资负表及利润表调整分录!$H$175:$H$207,0)))-SUM(IF(资负表及利润表调整分录!$C$175:$C$207="年初"&amp;E9,IF(资负表及利润表调整分录!$I$175:$I$207="y",资负表及利润表调整分录!$G$175:$G$207,0)))+未审资负表!H9,2)</f>
        <v>0</v>
      </c>
    </row>
    <row r="10" s="2010" customFormat="1" ht="16.5" customHeight="1" spans="1:8">
      <c r="A10" s="1900" t="s">
        <v>201</v>
      </c>
      <c r="B10" s="1901" t="s">
        <v>1480</v>
      </c>
      <c r="C10" s="1896">
        <f t="array" ref="C10">ROUND(SUM(IF(资负表及利润表调整分录!$C$175:$C$207=A10,IF(资负表及利润表调整分录!$I$175:$I$207="y",资负表及利润表调整分录!$G$175:$G$207,0)))-SUM(IF(资负表及利润表调整分录!$C$175:$C$207=A10,IF(资负表及利润表调整分录!$I$175:$I$207="y",资负表及利润表调整分录!$H$175:$H$207,0)))+未审资负表!C10,2)</f>
        <v>0</v>
      </c>
      <c r="D10" s="1896">
        <f t="array" ref="D10">ROUND(SUM(IF(资负表及利润表调整分录!$C$175:$C$207="年初"&amp;A10,IF(资负表及利润表调整分录!$I$175:$I$207="y",资负表及利润表调整分录!$G$175:$G$207,0)))-SUM(IF(资负表及利润表调整分录!$C$175:$C$207="年初"&amp;A10,IF(资负表及利润表调整分录!$I$175:$I$207="y",资负表及利润表调整分录!$H$175:$H$207,0)))+未审资负表!D10,2)</f>
        <v>0</v>
      </c>
      <c r="E10" s="1902" t="s">
        <v>202</v>
      </c>
      <c r="F10" s="1901" t="s">
        <v>1481</v>
      </c>
      <c r="G10" s="1896">
        <f t="array" ref="G10">ROUND(SUM(IF(资负表及利润表调整分录!$C$175:$C$207=E10,IF(资负表及利润表调整分录!$I$175:$I$207="y",资负表及利润表调整分录!$H$175:$H$207,0)))-SUM(IF(资负表及利润表调整分录!$C$175:$C$207=E10,IF(资负表及利润表调整分录!$I$175:$I$207="y",资负表及利润表调整分录!$G$175:$G$207,0)))+未审资负表!G10,2)</f>
        <v>0</v>
      </c>
      <c r="H10" s="1903">
        <f t="array" ref="H10">ROUND(SUM(IF(资负表及利润表调整分录!$C$175:$C$207="年初"&amp;E10,IF(资负表及利润表调整分录!$I$175:$I$207="y",资负表及利润表调整分录!$H$175:$H$207,0)))-SUM(IF(资负表及利润表调整分录!$C$175:$C$207="年初"&amp;E10,IF(资负表及利润表调整分录!$I$175:$I$207="y",资负表及利润表调整分录!$G$175:$G$207,0)))+未审资负表!H10,2)</f>
        <v>0</v>
      </c>
    </row>
    <row r="11" s="2010" customFormat="1" ht="16.5" customHeight="1" spans="1:8">
      <c r="A11" s="1900" t="s">
        <v>203</v>
      </c>
      <c r="B11" s="1901" t="s">
        <v>1482</v>
      </c>
      <c r="C11" s="1896">
        <f t="array" ref="C11">ROUND(SUM(IF(资负表及利润表调整分录!$C$175:$C$207=A11,IF(资负表及利润表调整分录!$I$175:$I$207="y",资负表及利润表调整分录!$G$175:$G$207,0)))-SUM(IF(资负表及利润表调整分录!$C$175:$C$207=A11,IF(资负表及利润表调整分录!$I$175:$I$207="y",资负表及利润表调整分录!$H$175:$H$207,0)))+未审资负表!C11,2)</f>
        <v>0</v>
      </c>
      <c r="D11" s="1896">
        <f t="array" ref="D11">ROUND(SUM(IF(资负表及利润表调整分录!$C$175:$C$207="年初"&amp;A11,IF(资负表及利润表调整分录!$I$175:$I$207="y",资负表及利润表调整分录!$G$175:$G$207,0)))-SUM(IF(资负表及利润表调整分录!$C$175:$C$207="年初"&amp;A11,IF(资负表及利润表调整分录!$I$175:$I$207="y",资负表及利润表调整分录!$H$175:$H$207,0)))+未审资负表!D11,2)</f>
        <v>0</v>
      </c>
      <c r="E11" s="1902" t="s">
        <v>204</v>
      </c>
      <c r="F11" s="1901" t="s">
        <v>1483</v>
      </c>
      <c r="G11" s="1896">
        <f t="array" ref="G11">ROUND(SUM(IF(资负表及利润表调整分录!$C$175:$C$207=E11,IF(资负表及利润表调整分录!$I$175:$I$207="y",资负表及利润表调整分录!$H$175:$H$207,0)))-SUM(IF(资负表及利润表调整分录!$C$175:$C$207=E11,IF(资负表及利润表调整分录!$I$175:$I$207="y",资负表及利润表调整分录!$G$175:$G$207,0)))+未审资负表!G11,2)</f>
        <v>0</v>
      </c>
      <c r="H11" s="1903">
        <f t="array" ref="H11">ROUND(SUM(IF(资负表及利润表调整分录!$C$175:$C$207="年初"&amp;E11,IF(资负表及利润表调整分录!$I$175:$I$207="y",资负表及利润表调整分录!$H$175:$H$207,0)))-SUM(IF(资负表及利润表调整分录!$C$175:$C$207="年初"&amp;E11,IF(资负表及利润表调整分录!$I$175:$I$207="y",资负表及利润表调整分录!$G$175:$G$207,0)))+未审资负表!H11,2)</f>
        <v>0</v>
      </c>
    </row>
    <row r="12" s="2010" customFormat="1" ht="16.5" customHeight="1" spans="1:8">
      <c r="A12" s="1900" t="s">
        <v>205</v>
      </c>
      <c r="B12" s="1901" t="s">
        <v>1484</v>
      </c>
      <c r="C12" s="1896">
        <f t="array" ref="C12">ROUND(SUM(IF(资负表及利润表调整分录!$C$175:$C$207=A12,IF(资负表及利润表调整分录!$I$175:$I$207="y",资负表及利润表调整分录!$G$175:$G$207,0)))-SUM(IF(资负表及利润表调整分录!$C$175:$C$207=A12,IF(资负表及利润表调整分录!$I$175:$I$207="y",资负表及利润表调整分录!$H$175:$H$207,0)))+未审资负表!C12,2)</f>
        <v>0</v>
      </c>
      <c r="D12" s="1896">
        <f t="array" ref="D12">ROUND(SUM(IF(资负表及利润表调整分录!$C$175:$C$207="年初"&amp;A12,IF(资负表及利润表调整分录!$I$175:$I$207="y",资负表及利润表调整分录!$G$175:$G$207,0)))-SUM(IF(资负表及利润表调整分录!$C$175:$C$207="年初"&amp;A12,IF(资负表及利润表调整分录!$I$175:$I$207="y",资负表及利润表调整分录!$H$175:$H$207,0)))+未审资负表!D12,2)</f>
        <v>0</v>
      </c>
      <c r="E12" s="1902" t="s">
        <v>206</v>
      </c>
      <c r="F12" s="1901" t="s">
        <v>1485</v>
      </c>
      <c r="G12" s="1896">
        <f t="array" ref="G12">ROUND(SUM(IF(资负表及利润表调整分录!$C$175:$C$207=E12,IF(资负表及利润表调整分录!$I$175:$I$207="y",资负表及利润表调整分录!$H$175:$H$207,0)))-SUM(IF(资负表及利润表调整分录!$C$175:$C$207=E12,IF(资负表及利润表调整分录!$I$175:$I$207="y",资负表及利润表调整分录!$G$175:$G$207,0)))+未审资负表!G12,2)</f>
        <v>0</v>
      </c>
      <c r="H12" s="1903">
        <f t="array" ref="H12">ROUND(SUM(IF(资负表及利润表调整分录!$C$175:$C$207="年初"&amp;E12,IF(资负表及利润表调整分录!$I$175:$I$207="y",资负表及利润表调整分录!$H$175:$H$207,0)))-SUM(IF(资负表及利润表调整分录!$C$175:$C$207="年初"&amp;E12,IF(资负表及利润表调整分录!$I$175:$I$207="y",资负表及利润表调整分录!$G$175:$G$207,0)))+未审资负表!H12,2)</f>
        <v>0</v>
      </c>
    </row>
    <row r="13" s="2010" customFormat="1" ht="16.5" customHeight="1" spans="1:8">
      <c r="A13" s="1900" t="s">
        <v>207</v>
      </c>
      <c r="B13" s="1901" t="s">
        <v>1486</v>
      </c>
      <c r="C13" s="1896">
        <f t="array" ref="C13">ROUND(SUM(IF(资负表及利润表调整分录!$C$175:$C$207=A13,IF(资负表及利润表调整分录!$I$175:$I$207="y",资负表及利润表调整分录!$G$175:$G$207,0)))-SUM(IF(资负表及利润表调整分录!$C$175:$C$207=A13,IF(资负表及利润表调整分录!$I$175:$I$207="y",资负表及利润表调整分录!$H$175:$H$207,0)))+未审资负表!C13,2)</f>
        <v>0</v>
      </c>
      <c r="D13" s="1896">
        <f t="array" ref="D13">ROUND(SUM(IF(资负表及利润表调整分录!$C$175:$C$207="年初"&amp;A13,IF(资负表及利润表调整分录!$I$175:$I$207="y",资负表及利润表调整分录!$G$175:$G$207,0)))-SUM(IF(资负表及利润表调整分录!$C$175:$C$207="年初"&amp;A13,IF(资负表及利润表调整分录!$I$175:$I$207="y",资负表及利润表调整分录!$H$175:$H$207,0)))+未审资负表!D13,2)</f>
        <v>0</v>
      </c>
      <c r="E13" s="1902" t="s">
        <v>208</v>
      </c>
      <c r="F13" s="1901" t="s">
        <v>1487</v>
      </c>
      <c r="G13" s="1896">
        <f t="array" ref="G13">ROUND(SUM(IF(资负表及利润表调整分录!$C$175:$C$207=E13,IF(资负表及利润表调整分录!$I$175:$I$207="y",资负表及利润表调整分录!$H$175:$H$207,0)))-SUM(IF(资负表及利润表调整分录!$C$175:$C$207=E13,IF(资负表及利润表调整分录!$I$175:$I$207="y",资负表及利润表调整分录!$G$175:$G$207,0)))+未审资负表!G13,2)</f>
        <v>0</v>
      </c>
      <c r="H13" s="1903">
        <f t="array" ref="H13">ROUND(SUM(IF(资负表及利润表调整分录!$C$175:$C$207="年初"&amp;E13,IF(资负表及利润表调整分录!$I$175:$I$207="y",资负表及利润表调整分录!$H$175:$H$207,0)))-SUM(IF(资负表及利润表调整分录!$C$175:$C$207="年初"&amp;E13,IF(资负表及利润表调整分录!$I$175:$I$207="y",资负表及利润表调整分录!$G$175:$G$207,0)))+未审资负表!H13,2)</f>
        <v>0</v>
      </c>
    </row>
    <row r="14" s="2010" customFormat="1" ht="16.5" customHeight="1" spans="1:8">
      <c r="A14" s="1900" t="s">
        <v>209</v>
      </c>
      <c r="B14" s="1901" t="s">
        <v>1488</v>
      </c>
      <c r="C14" s="1896">
        <f t="array" ref="C14">ROUND(SUM(IF(资负表及利润表调整分录!$C$175:$C$207=A14,IF(资负表及利润表调整分录!$I$175:$I$207="y",资负表及利润表调整分录!$G$175:$G$207,0)))-SUM(IF(资负表及利润表调整分录!$C$175:$C$207=A14,IF(资负表及利润表调整分录!$I$175:$I$207="y",资负表及利润表调整分录!$H$175:$H$207,0)))+未审资负表!C14,2)</f>
        <v>0</v>
      </c>
      <c r="D14" s="1896">
        <f t="array" ref="D14">ROUND(SUM(IF(资负表及利润表调整分录!$C$175:$C$207="年初"&amp;A14,IF(资负表及利润表调整分录!$I$175:$I$207="y",资负表及利润表调整分录!$G$175:$G$207,0)))-SUM(IF(资负表及利润表调整分录!$C$175:$C$207="年初"&amp;A14,IF(资负表及利润表调整分录!$I$175:$I$207="y",资负表及利润表调整分录!$H$175:$H$207,0)))+未审资负表!D14,2)</f>
        <v>0</v>
      </c>
      <c r="E14" s="1902" t="s">
        <v>210</v>
      </c>
      <c r="F14" s="1901" t="s">
        <v>1489</v>
      </c>
      <c r="G14" s="1896">
        <f t="array" ref="G14">ROUND(SUM(IF(资负表及利润表调整分录!$C$175:$C$207=E14,IF(资负表及利润表调整分录!$I$175:$I$207="y",资负表及利润表调整分录!$H$175:$H$207,0)))-SUM(IF(资负表及利润表调整分录!$C$175:$C$207=E14,IF(资负表及利润表调整分录!$I$175:$I$207="y",资负表及利润表调整分录!$G$175:$G$207,0)))+未审资负表!G14,2)</f>
        <v>0</v>
      </c>
      <c r="H14" s="1903">
        <f t="array" ref="H14">ROUND(SUM(IF(资负表及利润表调整分录!$C$175:$C$207="年初"&amp;E14,IF(资负表及利润表调整分录!$I$175:$I$207="y",资负表及利润表调整分录!$H$175:$H$207,0)))-SUM(IF(资负表及利润表调整分录!$C$175:$C$207="年初"&amp;E14,IF(资负表及利润表调整分录!$I$175:$I$207="y",资负表及利润表调整分录!$G$175:$G$207,0)))+未审资负表!H14,2)</f>
        <v>0</v>
      </c>
    </row>
    <row r="15" s="2010" customFormat="1" ht="16.5" customHeight="1" spans="1:8">
      <c r="A15" s="1900" t="s">
        <v>211</v>
      </c>
      <c r="B15" s="1901" t="s">
        <v>1490</v>
      </c>
      <c r="C15" s="1896">
        <f t="array" ref="C15">ROUND(SUM(IF(资负表及利润表调整分录!$C$175:$C$207=A15,IF(资负表及利润表调整分录!$I$175:$I$207="y",资负表及利润表调整分录!$G$175:$G$207,0)))-SUM(IF(资负表及利润表调整分录!$C$175:$C$207=A15,IF(资负表及利润表调整分录!$I$175:$I$207="y",资负表及利润表调整分录!$H$175:$H$207,0)))+未审资负表!C15,2)</f>
        <v>56453052.95</v>
      </c>
      <c r="D15" s="1896">
        <f t="array" ref="D15">ROUND(SUM(IF(资负表及利润表调整分录!$C$175:$C$207="年初"&amp;A15,IF(资负表及利润表调整分录!$I$175:$I$207="y",资负表及利润表调整分录!$G$175:$G$207,0)))-SUM(IF(资负表及利润表调整分录!$C$175:$C$207="年初"&amp;A15,IF(资负表及利润表调整分录!$I$175:$I$207="y",资负表及利润表调整分录!$H$175:$H$207,0)))+未审资负表!D15,2)</f>
        <v>0</v>
      </c>
      <c r="E15" s="1902" t="s">
        <v>212</v>
      </c>
      <c r="F15" s="1901" t="s">
        <v>1491</v>
      </c>
      <c r="G15" s="1896">
        <f t="array" ref="G15">ROUND(SUM(IF(资负表及利润表调整分录!$C$175:$C$207=E15,IF(资负表及利润表调整分录!$I$175:$I$207="y",资负表及利润表调整分录!$H$175:$H$207,0)))-SUM(IF(资负表及利润表调整分录!$C$175:$C$207=E15,IF(资负表及利润表调整分录!$I$175:$I$207="y",资负表及利润表调整分录!$G$175:$G$207,0)))+未审资负表!G15,2)</f>
        <v>0</v>
      </c>
      <c r="H15" s="1903">
        <f t="array" ref="H15">ROUND(SUM(IF(资负表及利润表调整分录!$C$175:$C$207="年初"&amp;E15,IF(资负表及利润表调整分录!$I$175:$I$207="y",资负表及利润表调整分录!$H$175:$H$207,0)))-SUM(IF(资负表及利润表调整分录!$C$175:$C$207="年初"&amp;E15,IF(资负表及利润表调整分录!$I$175:$I$207="y",资负表及利润表调整分录!$G$175:$G$207,0)))+未审资负表!H15,2)</f>
        <v>0</v>
      </c>
    </row>
    <row r="16" s="2010" customFormat="1" ht="16.5" customHeight="1" spans="1:8">
      <c r="A16" s="1900" t="s">
        <v>213</v>
      </c>
      <c r="B16" s="2182" t="s">
        <v>1492</v>
      </c>
      <c r="C16" s="1896">
        <f t="array" ref="C16">ROUND(SUM(IF(资负表及利润表调整分录!$C$175:$C$207=A16,IF(资负表及利润表调整分录!$I$175:$I$207="y",资负表及利润表调整分录!$G$175:$G$207,0)))-SUM(IF(资负表及利润表调整分录!$C$175:$C$207=A16,IF(资负表及利润表调整分录!$I$175:$I$207="y",资负表及利润表调整分录!$H$175:$H$207,0)))+未审资负表!C16,2)</f>
        <v>0</v>
      </c>
      <c r="D16" s="1896">
        <f t="array" ref="D16">ROUND(SUM(IF(资负表及利润表调整分录!$C$175:$C$207="年初"&amp;A16,IF(资负表及利润表调整分录!$I$175:$I$207="y",资负表及利润表调整分录!$G$175:$G$207,0)))-SUM(IF(资负表及利润表调整分录!$C$175:$C$207="年初"&amp;A16,IF(资负表及利润表调整分录!$I$175:$I$207="y",资负表及利润表调整分录!$H$175:$H$207,0)))+未审资负表!D16,2)</f>
        <v>0</v>
      </c>
      <c r="E16" s="1902" t="s">
        <v>214</v>
      </c>
      <c r="F16" s="1901" t="s">
        <v>1493</v>
      </c>
      <c r="G16" s="1896">
        <f t="array" ref="G16">ROUND(SUM(IF(资负表及利润表调整分录!$C$175:$C$207=E16,IF(资负表及利润表调整分录!$I$175:$I$207="y",资负表及利润表调整分录!$H$175:$H$207,0)))-SUM(IF(资负表及利润表调整分录!$C$175:$C$207=E16,IF(资负表及利润表调整分录!$I$175:$I$207="y",资负表及利润表调整分录!$G$175:$G$207,0)))+未审资负表!G16,2)</f>
        <v>0</v>
      </c>
      <c r="H16" s="1903">
        <f t="array" ref="H16">ROUND(SUM(IF(资负表及利润表调整分录!$C$175:$C$207="年初"&amp;E16,IF(资负表及利润表调整分录!$I$175:$I$207="y",资负表及利润表调整分录!$H$175:$H$207,0)))-SUM(IF(资负表及利润表调整分录!$C$175:$C$207="年初"&amp;E16,IF(资负表及利润表调整分录!$I$175:$I$207="y",资负表及利润表调整分录!$G$175:$G$207,0)))+未审资负表!H16,2)</f>
        <v>0</v>
      </c>
    </row>
    <row r="17" s="2010" customFormat="1" ht="16.5" customHeight="1" spans="1:8">
      <c r="A17" s="1900" t="s">
        <v>215</v>
      </c>
      <c r="B17" s="1901" t="s">
        <v>1494</v>
      </c>
      <c r="C17" s="1896">
        <f t="array" ref="C17">ROUND(SUM(IF(资负表及利润表调整分录!$C$175:$C$207=A17,IF(资负表及利润表调整分录!$I$175:$I$207="y",资负表及利润表调整分录!$G$175:$G$207,0)))-SUM(IF(资负表及利润表调整分录!$C$175:$C$207=A17,IF(资负表及利润表调整分录!$I$175:$I$207="y",资负表及利润表调整分录!$H$175:$H$207,0)))+未审资负表!C17,2)</f>
        <v>0</v>
      </c>
      <c r="D17" s="1896">
        <f t="array" ref="D17">ROUND(SUM(IF(资负表及利润表调整分录!$C$175:$C$207="年初"&amp;A17,IF(资负表及利润表调整分录!$I$175:$I$207="y",资负表及利润表调整分录!$G$175:$G$207,0)))-SUM(IF(资负表及利润表调整分录!$C$175:$C$207="年初"&amp;A17,IF(资负表及利润表调整分录!$I$175:$I$207="y",资负表及利润表调整分录!$H$175:$H$207,0)))+未审资负表!D17,2)</f>
        <v>0</v>
      </c>
      <c r="E17" s="1902" t="s">
        <v>216</v>
      </c>
      <c r="F17" s="1901" t="s">
        <v>1495</v>
      </c>
      <c r="G17" s="1896">
        <f t="array" ref="G17">ROUND(SUM(IF(资负表及利润表调整分录!$C$175:$C$207=E17,IF(资负表及利润表调整分录!$I$175:$I$207="y",资负表及利润表调整分录!$H$175:$H$207,0)))-SUM(IF(资负表及利润表调整分录!$C$175:$C$207=E17,IF(资负表及利润表调整分录!$I$175:$I$207="y",资负表及利润表调整分录!$G$175:$G$207,0)))+未审资负表!G17,2)</f>
        <v>6935621.62</v>
      </c>
      <c r="H17" s="1903">
        <f t="array" ref="H17">ROUND(SUM(IF(资负表及利润表调整分录!$C$175:$C$207="年初"&amp;E17,IF(资负表及利润表调整分录!$I$175:$I$207="y",资负表及利润表调整分录!$H$175:$H$207,0)))-SUM(IF(资负表及利润表调整分录!$C$175:$C$207="年初"&amp;E17,IF(资负表及利润表调整分录!$I$175:$I$207="y",资负表及利润表调整分录!$G$175:$G$207,0)))+未审资负表!H17,2)</f>
        <v>0</v>
      </c>
    </row>
    <row r="18" s="2010" customFormat="1" ht="16.5" customHeight="1" spans="1:8">
      <c r="A18" s="1900" t="str">
        <f>IF(未审资负表!A18="","",未审资负表!A18)</f>
        <v>持有待售资产</v>
      </c>
      <c r="B18" s="2182" t="s">
        <v>1496</v>
      </c>
      <c r="C18" s="1896">
        <f t="array" ref="C18">ROUND(SUM(IF(资负表及利润表调整分录!$C$175:$C$207=A18,IF(资负表及利润表调整分录!$I$175:$I$207="y",资负表及利润表调整分录!$G$175:$G$207,0)))-SUM(IF(资负表及利润表调整分录!$C$175:$C$207=A18,IF(资负表及利润表调整分录!$I$175:$I$207="y",资负表及利润表调整分录!$H$175:$H$207,0)))+未审资负表!C18,2)</f>
        <v>0</v>
      </c>
      <c r="D18" s="1896">
        <f t="array" ref="D18">ROUND(SUM(IF(资负表及利润表调整分录!$C$175:$C$207="年初"&amp;A18,IF(资负表及利润表调整分录!$I$175:$I$207="y",资负表及利润表调整分录!$G$175:$G$207,0)))-SUM(IF(资负表及利润表调整分录!$C$175:$C$207="年初"&amp;A18,IF(资负表及利润表调整分录!$I$175:$I$207="y",资负表及利润表调整分录!$H$175:$H$207,0)))+未审资负表!D18,2)</f>
        <v>0</v>
      </c>
      <c r="E18" s="1902" t="s">
        <v>218</v>
      </c>
      <c r="F18" s="1901" t="s">
        <v>1497</v>
      </c>
      <c r="G18" s="1896">
        <f t="array" ref="G18">ROUND(SUM(IF(资负表及利润表调整分录!$C$175:$C$207=E18,IF(资负表及利润表调整分录!$I$175:$I$207="y",资负表及利润表调整分录!$H$175:$H$207,0)))-SUM(IF(资负表及利润表调整分录!$C$175:$C$207=E18,IF(资负表及利润表调整分录!$I$175:$I$207="y",资负表及利润表调整分录!$G$175:$G$207,0)))+未审资负表!G18,2)</f>
        <v>0</v>
      </c>
      <c r="H18" s="1903">
        <f t="array" ref="H18">ROUND(SUM(IF(资负表及利润表调整分录!$C$175:$C$207="年初"&amp;E18,IF(资负表及利润表调整分录!$I$175:$I$207="y",资负表及利润表调整分录!$H$175:$H$207,0)))-SUM(IF(资负表及利润表调整分录!$C$175:$C$207="年初"&amp;E18,IF(资负表及利润表调整分录!$I$175:$I$207="y",资负表及利润表调整分录!$G$175:$G$207,0)))+未审资负表!H18,2)</f>
        <v>0</v>
      </c>
    </row>
    <row r="19" s="2010" customFormat="1" ht="16.5" customHeight="1" spans="1:8">
      <c r="A19" s="1905" t="s">
        <v>219</v>
      </c>
      <c r="B19" s="1906"/>
      <c r="C19" s="2023">
        <f>ROUND(SUM(C7:C18),2)</f>
        <v>56453052.95</v>
      </c>
      <c r="D19" s="2043">
        <f>ROUND(SUM(D7:D18),2)</f>
        <v>0</v>
      </c>
      <c r="E19" s="1902" t="str">
        <f>IF(未审资负表!E19="","",未审资负表!E19)</f>
        <v>持有待售负债</v>
      </c>
      <c r="F19" s="2182" t="s">
        <v>1498</v>
      </c>
      <c r="G19" s="1896">
        <f t="array" ref="G19">ROUND(SUM(IF(资负表及利润表调整分录!$C$175:$C$207=E19,IF(资负表及利润表调整分录!$I$175:$I$207="y",资负表及利润表调整分录!$H$175:$H$207,0)))-SUM(IF(资负表及利润表调整分录!$C$175:$C$207=E19,IF(资负表及利润表调整分录!$I$175:$I$207="y",资负表及利润表调整分录!$G$175:$G$207,0)))+未审资负表!G19,2)</f>
        <v>0</v>
      </c>
      <c r="H19" s="1903">
        <f t="array" ref="H19">ROUND(SUM(IF(资负表及利润表调整分录!$C$175:$C$207="年初"&amp;E19,IF(资负表及利润表调整分录!$I$175:$I$207="y",资负表及利润表调整分录!$H$175:$H$207,0)))-SUM(IF(资负表及利润表调整分录!$C$175:$C$207="年初"&amp;E19,IF(资负表及利润表调整分录!$I$175:$I$207="y",资负表及利润表调整分录!$G$175:$G$207,0)))+未审资负表!H19,2)</f>
        <v>0</v>
      </c>
    </row>
    <row r="20" s="2010" customFormat="1" ht="16.5" customHeight="1" spans="1:8">
      <c r="A20" s="1907"/>
      <c r="B20" s="1908"/>
      <c r="C20" s="1896"/>
      <c r="D20" s="2029"/>
      <c r="E20" s="1909" t="s">
        <v>221</v>
      </c>
      <c r="F20" s="1906"/>
      <c r="G20" s="2023">
        <f>ROUND(SUM(G7:G19),2)</f>
        <v>6935621.62</v>
      </c>
      <c r="H20" s="2036">
        <f>ROUND(SUM(H7:H19),2)</f>
        <v>0</v>
      </c>
    </row>
    <row r="21" s="2010" customFormat="1" ht="16.5" customHeight="1" spans="1:8">
      <c r="A21" s="1893" t="s">
        <v>222</v>
      </c>
      <c r="B21" s="1901"/>
      <c r="C21" s="1896"/>
      <c r="D21" s="2029"/>
      <c r="E21" s="1912"/>
      <c r="F21" s="1912"/>
      <c r="G21" s="1913"/>
      <c r="H21" s="1903"/>
    </row>
    <row r="22" s="2010" customFormat="1" ht="16.5" customHeight="1" spans="1:8">
      <c r="A22" s="1900" t="s">
        <v>223</v>
      </c>
      <c r="B22" s="1901" t="s">
        <v>1499</v>
      </c>
      <c r="C22" s="1896">
        <f t="array" ref="C22">ROUND(SUM(IF(资负表及利润表调整分录!$C$175:$C$207=A22,IF(资负表及利润表调整分录!$I$175:$I$207="y",资负表及利润表调整分录!$G$175:$G$207,0)))-SUM(IF(资负表及利润表调整分录!$C$175:$C$207=A22,IF(资负表及利润表调整分录!$I$175:$I$207="y",资负表及利润表调整分录!$H$175:$H$207,0)))+未审资负表!C22,2)</f>
        <v>0</v>
      </c>
      <c r="D22" s="1896">
        <f t="array" ref="D22">ROUND(SUM(IF(资负表及利润表调整分录!$C$175:$C$207="年初"&amp;A22,IF(资负表及利润表调整分录!$I$175:$I$207="y",资负表及利润表调整分录!$G$175:$G$207,0)))-SUM(IF(资负表及利润表调整分录!$C$175:$C$207="年初"&amp;A22,IF(资负表及利润表调整分录!$I$175:$I$207="y",资负表及利润表调整分录!$H$175:$H$207,0)))+未审资负表!D22,2)</f>
        <v>0</v>
      </c>
      <c r="E22" s="1897" t="s">
        <v>224</v>
      </c>
      <c r="F22" s="1912"/>
      <c r="G22" s="1914"/>
      <c r="H22" s="1903"/>
    </row>
    <row r="23" s="2010" customFormat="1" ht="16.5" customHeight="1" spans="1:8">
      <c r="A23" s="1900" t="s">
        <v>225</v>
      </c>
      <c r="B23" s="1901" t="s">
        <v>1500</v>
      </c>
      <c r="C23" s="1896">
        <f t="array" ref="C23">ROUND(SUM(IF(资负表及利润表调整分录!$C$175:$C$207=A23,IF(资负表及利润表调整分录!$I$175:$I$207="y",资负表及利润表调整分录!$G$175:$G$207,0)))-SUM(IF(资负表及利润表调整分录!$C$175:$C$207=A23,IF(资负表及利润表调整分录!$I$175:$I$207="y",资负表及利润表调整分录!$H$175:$H$207,0)))+未审资负表!C23,2)</f>
        <v>0</v>
      </c>
      <c r="D23" s="1896">
        <f t="array" ref="D23">ROUND(SUM(IF(资负表及利润表调整分录!$C$175:$C$207="年初"&amp;A23,IF(资负表及利润表调整分录!$I$175:$I$207="y",资负表及利润表调整分录!$G$175:$G$207,0)))-SUM(IF(资负表及利润表调整分录!$C$175:$C$207="年初"&amp;A23,IF(资负表及利润表调整分录!$I$175:$I$207="y",资负表及利润表调整分录!$H$175:$H$207,0)))+未审资负表!D23,2)</f>
        <v>0</v>
      </c>
      <c r="E23" s="1902" t="s">
        <v>226</v>
      </c>
      <c r="F23" s="1901" t="s">
        <v>1501</v>
      </c>
      <c r="G23" s="1896">
        <f t="array" ref="G23">ROUND(SUM(IF(资负表及利润表调整分录!$C$175:$C$207=E23,IF(资负表及利润表调整分录!$I$175:$I$207="y",资负表及利润表调整分录!$H$175:$H$207,0)))-SUM(IF(资负表及利润表调整分录!$C$175:$C$207=E23,IF(资负表及利润表调整分录!$I$175:$I$207="y",资负表及利润表调整分录!$G$175:$G$207,0)))+未审资负表!G23,2)</f>
        <v>0</v>
      </c>
      <c r="H23" s="1903">
        <f t="array" ref="H23">ROUND(SUM(IF(资负表及利润表调整分录!$C$175:$C$207="年初"&amp;E23,IF(资负表及利润表调整分录!$I$175:$I$207="y",资负表及利润表调整分录!$H$175:$H$207,0)))-SUM(IF(资负表及利润表调整分录!$C$175:$C$207="年初"&amp;E23,IF(资负表及利润表调整分录!$I$175:$I$207="y",资负表及利润表调整分录!$G$175:$G$207,0)))+未审资负表!H23,2)</f>
        <v>0</v>
      </c>
    </row>
    <row r="24" s="2010" customFormat="1" ht="16.5" customHeight="1" spans="1:8">
      <c r="A24" s="1900" t="s">
        <v>227</v>
      </c>
      <c r="B24" s="1901" t="s">
        <v>1502</v>
      </c>
      <c r="C24" s="1896">
        <f t="array" ref="C24">ROUND(SUM(IF(资负表及利润表调整分录!$C$175:$C$207=A24,IF(资负表及利润表调整分录!$I$175:$I$207="y",资负表及利润表调整分录!$G$175:$G$207,0)))-SUM(IF(资负表及利润表调整分录!$C$175:$C$207=A24,IF(资负表及利润表调整分录!$I$175:$I$207="y",资负表及利润表调整分录!$H$175:$H$207,0)))+未审资负表!C24,2)</f>
        <v>0</v>
      </c>
      <c r="D24" s="1896">
        <f t="array" ref="D24">ROUND(SUM(IF(资负表及利润表调整分录!$C$175:$C$207="年初"&amp;A24,IF(资负表及利润表调整分录!$I$175:$I$207="y",资负表及利润表调整分录!$G$175:$G$207,0)))-SUM(IF(资负表及利润表调整分录!$C$175:$C$207="年初"&amp;A24,IF(资负表及利润表调整分录!$I$175:$I$207="y",资负表及利润表调整分录!$H$175:$H$207,0)))+未审资负表!D24,2)</f>
        <v>0</v>
      </c>
      <c r="E24" s="1902" t="s">
        <v>228</v>
      </c>
      <c r="F24" s="1901" t="s">
        <v>1503</v>
      </c>
      <c r="G24" s="1896">
        <f t="array" ref="G24">ROUND(SUM(IF(资负表及利润表调整分录!$C$175:$C$207=E24,IF(资负表及利润表调整分录!$I$175:$I$207="y",资负表及利润表调整分录!$H$175:$H$207,0)))-SUM(IF(资负表及利润表调整分录!$C$175:$C$207=E24,IF(资负表及利润表调整分录!$I$175:$I$207="y",资负表及利润表调整分录!$G$175:$G$207,0)))+未审资负表!G24,2)</f>
        <v>0</v>
      </c>
      <c r="H24" s="1903">
        <f t="array" ref="H24">ROUND(SUM(IF(资负表及利润表调整分录!$C$175:$C$207="年初"&amp;E24,IF(资负表及利润表调整分录!$I$175:$I$207="y",资负表及利润表调整分录!$H$175:$H$207,0)))-SUM(IF(资负表及利润表调整分录!$C$175:$C$207="年初"&amp;E24,IF(资负表及利润表调整分录!$I$175:$I$207="y",资负表及利润表调整分录!$G$175:$G$207,0)))+未审资负表!H24,2)</f>
        <v>0</v>
      </c>
    </row>
    <row r="25" s="2010" customFormat="1" ht="16.5" customHeight="1" spans="1:8">
      <c r="A25" s="1900" t="s">
        <v>229</v>
      </c>
      <c r="B25" s="1901" t="s">
        <v>1504</v>
      </c>
      <c r="C25" s="1896">
        <f t="array" ref="C25">ROUND(SUM(IF(资负表及利润表调整分录!$C$175:$C$207=A25,IF(资负表及利润表调整分录!$I$175:$I$207="y",资负表及利润表调整分录!$G$175:$G$207,0)))-SUM(IF(资负表及利润表调整分录!$C$175:$C$207=A25,IF(资负表及利润表调整分录!$I$175:$I$207="y",资负表及利润表调整分录!$H$175:$H$207,0)))+未审资负表!C25,2)</f>
        <v>0</v>
      </c>
      <c r="D25" s="1896">
        <f t="array" ref="D25">ROUND(SUM(IF(资负表及利润表调整分录!$C$175:$C$207="年初"&amp;A25,IF(资负表及利润表调整分录!$I$175:$I$207="y",资负表及利润表调整分录!$G$175:$G$207,0)))-SUM(IF(资负表及利润表调整分录!$C$175:$C$207="年初"&amp;A25,IF(资负表及利润表调整分录!$I$175:$I$207="y",资负表及利润表调整分录!$H$175:$H$207,0)))+未审资负表!D25,2)</f>
        <v>0</v>
      </c>
      <c r="E25" s="1902" t="s">
        <v>230</v>
      </c>
      <c r="F25" s="1901" t="s">
        <v>1505</v>
      </c>
      <c r="G25" s="1896">
        <f t="array" ref="G25">ROUND(SUM(IF(资负表及利润表调整分录!$C$175:$C$207=E25,IF(资负表及利润表调整分录!$I$175:$I$207="y",资负表及利润表调整分录!$H$175:$H$207,0)))-SUM(IF(资负表及利润表调整分录!$C$175:$C$207=E25,IF(资负表及利润表调整分录!$I$175:$I$207="y",资负表及利润表调整分录!$G$175:$G$207,0)))+未审资负表!G25,2)</f>
        <v>49517431.33</v>
      </c>
      <c r="H25" s="1903">
        <f t="array" ref="H25">ROUND(SUM(IF(资负表及利润表调整分录!$C$175:$C$207="年初"&amp;E25,IF(资负表及利润表调整分录!$I$175:$I$207="y",资负表及利润表调整分录!$H$175:$H$207,0)))-SUM(IF(资负表及利润表调整分录!$C$175:$C$207="年初"&amp;E25,IF(资负表及利润表调整分录!$I$175:$I$207="y",资负表及利润表调整分录!$G$175:$G$207,0)))+未审资负表!H25,2)</f>
        <v>0</v>
      </c>
    </row>
    <row r="26" s="2010" customFormat="1" ht="16.5" customHeight="1" spans="1:8">
      <c r="A26" s="1900" t="s">
        <v>231</v>
      </c>
      <c r="B26" s="1901" t="s">
        <v>1506</v>
      </c>
      <c r="C26" s="1896">
        <f t="array" ref="C26">ROUND(SUM(IF(资负表及利润表调整分录!$C$175:$C$207=A26,IF(资负表及利润表调整分录!$I$175:$I$207="y",资负表及利润表调整分录!$G$175:$G$207,0)))-SUM(IF(资负表及利润表调整分录!$C$175:$C$207=A26,IF(资负表及利润表调整分录!$I$175:$I$207="y",资负表及利润表调整分录!$H$175:$H$207,0)))+未审资负表!C26,2)</f>
        <v>0</v>
      </c>
      <c r="D26" s="1896">
        <f t="array" ref="D26">ROUND(SUM(IF(资负表及利润表调整分录!$C$175:$C$207="年初"&amp;A26,IF(资负表及利润表调整分录!$I$175:$I$207="y",资负表及利润表调整分录!$G$175:$G$207,0)))-SUM(IF(资负表及利润表调整分录!$C$175:$C$207="年初"&amp;A26,IF(资负表及利润表调整分录!$I$175:$I$207="y",资负表及利润表调整分录!$H$175:$H$207,0)))+未审资负表!D26,2)</f>
        <v>0</v>
      </c>
      <c r="E26" s="1902" t="s">
        <v>232</v>
      </c>
      <c r="F26" s="1901" t="s">
        <v>1507</v>
      </c>
      <c r="G26" s="1896">
        <f t="array" ref="G26">ROUND(SUM(IF(资负表及利润表调整分录!$C$175:$C$207=E26,IF(资负表及利润表调整分录!$I$175:$I$207="y",资负表及利润表调整分录!$H$175:$H$207,0)))-SUM(IF(资负表及利润表调整分录!$C$175:$C$207=E26,IF(资负表及利润表调整分录!$I$175:$I$207="y",资负表及利润表调整分录!$G$175:$G$207,0)))+未审资负表!G26,2)</f>
        <v>0</v>
      </c>
      <c r="H26" s="1903">
        <f t="array" ref="H26">ROUND(SUM(IF(资负表及利润表调整分录!$C$175:$C$207="年初"&amp;E26,IF(资负表及利润表调整分录!$I$175:$I$207="y",资负表及利润表调整分录!$H$175:$H$207,0)))-SUM(IF(资负表及利润表调整分录!$C$175:$C$207="年初"&amp;E26,IF(资负表及利润表调整分录!$I$175:$I$207="y",资负表及利润表调整分录!$G$175:$G$207,0)))+未审资负表!H26,2)</f>
        <v>0</v>
      </c>
    </row>
    <row r="27" s="2010" customFormat="1" ht="16.5" customHeight="1" spans="1:8">
      <c r="A27" s="1900" t="s">
        <v>233</v>
      </c>
      <c r="B27" s="1901" t="s">
        <v>1508</v>
      </c>
      <c r="C27" s="1896">
        <f t="array" ref="C27">ROUND(SUM(IF(资负表及利润表调整分录!$C$175:$C$207=A27,IF(资负表及利润表调整分录!$I$175:$I$207="y",资负表及利润表调整分录!$G$175:$G$207,0)))-SUM(IF(资负表及利润表调整分录!$C$175:$C$207=A27,IF(资负表及利润表调整分录!$I$175:$I$207="y",资负表及利润表调整分录!$H$175:$H$207,0)))+未审资负表!C27,2)</f>
        <v>0</v>
      </c>
      <c r="D27" s="1896">
        <f t="array" ref="D27">ROUND(SUM(IF(资负表及利润表调整分录!$C$175:$C$207="年初"&amp;A27,IF(资负表及利润表调整分录!$I$175:$I$207="y",资负表及利润表调整分录!$G$175:$G$207,0)))-SUM(IF(资负表及利润表调整分录!$C$175:$C$207="年初"&amp;A27,IF(资负表及利润表调整分录!$I$175:$I$207="y",资负表及利润表调整分录!$H$175:$H$207,0)))+未审资负表!D27,2)</f>
        <v>0</v>
      </c>
      <c r="E27" s="1902" t="s">
        <v>234</v>
      </c>
      <c r="F27" s="1901" t="s">
        <v>1509</v>
      </c>
      <c r="G27" s="1896">
        <f t="array" ref="G27">ROUND(SUM(IF(资负表及利润表调整分录!$C$175:$C$207=E27,IF(资负表及利润表调整分录!$I$175:$I$207="y",资负表及利润表调整分录!$H$175:$H$207,0)))-SUM(IF(资负表及利润表调整分录!$C$175:$C$207=E27,IF(资负表及利润表调整分录!$I$175:$I$207="y",资负表及利润表调整分录!$G$175:$G$207,0)))+未审资负表!G27,2)</f>
        <v>0</v>
      </c>
      <c r="H27" s="1903">
        <f t="array" ref="H27">ROUND(SUM(IF(资负表及利润表调整分录!$C$175:$C$207="年初"&amp;E27,IF(资负表及利润表调整分录!$I$175:$I$207="y",资负表及利润表调整分录!$H$175:$H$207,0)))-SUM(IF(资负表及利润表调整分录!$C$175:$C$207="年初"&amp;E27,IF(资负表及利润表调整分录!$I$175:$I$207="y",资负表及利润表调整分录!$G$175:$G$207,0)))+未审资负表!H27,2)</f>
        <v>0</v>
      </c>
    </row>
    <row r="28" s="2010" customFormat="1" ht="16.5" customHeight="1" spans="1:8">
      <c r="A28" s="1900" t="s">
        <v>235</v>
      </c>
      <c r="B28" s="1901" t="s">
        <v>1510</v>
      </c>
      <c r="C28" s="1896">
        <f t="array" ref="C28">ROUND(SUM(IF(资负表及利润表调整分录!$C$175:$C$207=A28,IF(资负表及利润表调整分录!$I$175:$I$207="y",资负表及利润表调整分录!$G$175:$G$207,0)))-SUM(IF(资负表及利润表调整分录!$C$175:$C$207=A28,IF(资负表及利润表调整分录!$I$175:$I$207="y",资负表及利润表调整分录!$H$175:$H$207,0)))+未审资负表!C28,2)</f>
        <v>0</v>
      </c>
      <c r="D28" s="1896">
        <f t="array" ref="D28">ROUND(SUM(IF(资负表及利润表调整分录!$C$175:$C$207="年初"&amp;A28,IF(资负表及利润表调整分录!$I$175:$I$207="y",资负表及利润表调整分录!$G$175:$G$207,0)))-SUM(IF(资负表及利润表调整分录!$C$175:$C$207="年初"&amp;A28,IF(资负表及利润表调整分录!$I$175:$I$207="y",资负表及利润表调整分录!$H$175:$H$207,0)))+未审资负表!D28,2)</f>
        <v>0</v>
      </c>
      <c r="E28" s="1902" t="s">
        <v>236</v>
      </c>
      <c r="F28" s="1901" t="s">
        <v>1511</v>
      </c>
      <c r="G28" s="1896">
        <f t="array" ref="G28">ROUND(SUM(IF(资负表及利润表调整分录!$C$175:$C$207=E28,IF(资负表及利润表调整分录!$I$175:$I$207="y",资负表及利润表调整分录!$H$175:$H$207,0)))-SUM(IF(资负表及利润表调整分录!$C$175:$C$207=E28,IF(资负表及利润表调整分录!$I$175:$I$207="y",资负表及利润表调整分录!$G$175:$G$207,0)))+未审资负表!G28,2)</f>
        <v>0</v>
      </c>
      <c r="H28" s="1903">
        <f t="array" ref="H28">ROUND(SUM(IF(资负表及利润表调整分录!$C$175:$C$207="年初"&amp;E28,IF(资负表及利润表调整分录!$I$175:$I$207="y",资负表及利润表调整分录!$H$175:$H$207,0)))-SUM(IF(资负表及利润表调整分录!$C$175:$C$207="年初"&amp;E28,IF(资负表及利润表调整分录!$I$175:$I$207="y",资负表及利润表调整分录!$G$175:$G$207,0)))+未审资负表!H28,2)</f>
        <v>0</v>
      </c>
    </row>
    <row r="29" s="2010" customFormat="1" ht="16.5" customHeight="1" spans="1:8">
      <c r="A29" s="1900" t="s">
        <v>237</v>
      </c>
      <c r="B29" s="1901" t="s">
        <v>1512</v>
      </c>
      <c r="C29" s="1896">
        <f t="array" ref="C29">ROUND(SUM(IF(资负表及利润表调整分录!$C$175:$C$207=A29,IF(资负表及利润表调整分录!$I$175:$I$207="y",资负表及利润表调整分录!$G$175:$G$207,0)))-SUM(IF(资负表及利润表调整分录!$C$175:$C$207=A29,IF(资负表及利润表调整分录!$I$175:$I$207="y",资负表及利润表调整分录!$H$175:$H$207,0)))+未审资负表!C29,2)</f>
        <v>0</v>
      </c>
      <c r="D29" s="1896">
        <f t="array" ref="D29">ROUND(SUM(IF(资负表及利润表调整分录!$C$175:$C$207="年初"&amp;A29,IF(资负表及利润表调整分录!$I$175:$I$207="y",资负表及利润表调整分录!$G$175:$G$207,0)))-SUM(IF(资负表及利润表调整分录!$C$175:$C$207="年初"&amp;A29,IF(资负表及利润表调整分录!$I$175:$I$207="y",资负表及利润表调整分录!$H$175:$H$207,0)))+未审资负表!D29,2)</f>
        <v>0</v>
      </c>
      <c r="E29" s="1902" t="s">
        <v>238</v>
      </c>
      <c r="F29" s="1901" t="s">
        <v>1513</v>
      </c>
      <c r="G29" s="1896">
        <f t="array" ref="G29">ROUND(SUM(IF(资负表及利润表调整分录!$C$175:$C$207=E29,IF(资负表及利润表调整分录!$I$175:$I$207="y",资负表及利润表调整分录!$H$175:$H$207,0)))-SUM(IF(资负表及利润表调整分录!$C$175:$C$207=E29,IF(资负表及利润表调整分录!$I$175:$I$207="y",资负表及利润表调整分录!$G$175:$G$207,0)))+未审资负表!G29,2)</f>
        <v>0</v>
      </c>
      <c r="H29" s="1903">
        <f t="array" ref="H29">ROUND(SUM(IF(资负表及利润表调整分录!$C$175:$C$207="年初"&amp;E29,IF(资负表及利润表调整分录!$I$175:$I$207="y",资负表及利润表调整分录!$H$175:$H$207,0)))-SUM(IF(资负表及利润表调整分录!$C$175:$C$207="年初"&amp;E29,IF(资负表及利润表调整分录!$I$175:$I$207="y",资负表及利润表调整分录!$G$175:$G$207,0)))+未审资负表!H29,2)</f>
        <v>0</v>
      </c>
    </row>
    <row r="30" s="2010" customFormat="1" ht="16.5" customHeight="1" spans="1:8">
      <c r="A30" s="1900" t="s">
        <v>239</v>
      </c>
      <c r="B30" s="1901" t="s">
        <v>1514</v>
      </c>
      <c r="C30" s="1896">
        <f t="array" ref="C30">ROUND(SUM(IF(资负表及利润表调整分录!$C$175:$C$207=A30,IF(资负表及利润表调整分录!$I$175:$I$207="y",资负表及利润表调整分录!$G$175:$G$207,0)))-SUM(IF(资负表及利润表调整分录!$C$175:$C$207=A30,IF(资负表及利润表调整分录!$I$175:$I$207="y",资负表及利润表调整分录!$H$175:$H$207,0)))+未审资负表!C30,2)</f>
        <v>0</v>
      </c>
      <c r="D30" s="1896">
        <f t="array" ref="D30">ROUND(SUM(IF(资负表及利润表调整分录!$C$175:$C$207="年初"&amp;A30,IF(资负表及利润表调整分录!$I$175:$I$207="y",资负表及利润表调整分录!$G$175:$G$207,0)))-SUM(IF(资负表及利润表调整分录!$C$175:$C$207="年初"&amp;A30,IF(资负表及利润表调整分录!$I$175:$I$207="y",资负表及利润表调整分录!$H$175:$H$207,0)))+未审资负表!D30,2)</f>
        <v>0</v>
      </c>
      <c r="E30" s="1902" t="str">
        <f>IF(未审资负表!E30="","",未审资负表!E30)</f>
        <v>递延收益</v>
      </c>
      <c r="F30" s="1901" t="s">
        <v>77</v>
      </c>
      <c r="G30" s="1896">
        <f t="array" ref="G30">ROUND(SUM(IF(资负表及利润表调整分录!$C$175:$C$207=E30,IF(资负表及利润表调整分录!$I$175:$I$207="y",资负表及利润表调整分录!$H$175:$H$207,0)))-SUM(IF(资负表及利润表调整分录!$C$175:$C$207=E30,IF(资负表及利润表调整分录!$I$175:$I$207="y",资负表及利润表调整分录!$G$175:$G$207,0)))+未审资负表!G30,2)</f>
        <v>0</v>
      </c>
      <c r="H30" s="1903">
        <f t="array" ref="H30">ROUND(SUM(IF(资负表及利润表调整分录!$C$175:$C$207="年初"&amp;E30,IF(资负表及利润表调整分录!$I$175:$I$207="y",资负表及利润表调整分录!$H$175:$H$207,0)))-SUM(IF(资负表及利润表调整分录!$C$175:$C$207="年初"&amp;E30,IF(资负表及利润表调整分录!$I$175:$I$207="y",资负表及利润表调整分录!$G$175:$G$207,0)))+未审资负表!H30,2)</f>
        <v>0</v>
      </c>
    </row>
    <row r="31" s="2010" customFormat="1" ht="16.5" customHeight="1" spans="1:8">
      <c r="A31" s="1900" t="s">
        <v>241</v>
      </c>
      <c r="B31" s="1901" t="s">
        <v>1515</v>
      </c>
      <c r="C31" s="1896">
        <f t="array" ref="C31">ROUND(SUM(IF(资负表及利润表调整分录!$C$175:$C$207=A31,IF(资负表及利润表调整分录!$I$175:$I$207="y",资负表及利润表调整分录!$G$175:$G$207,0)))-SUM(IF(资负表及利润表调整分录!$C$175:$C$207=A31,IF(资负表及利润表调整分录!$I$175:$I$207="y",资负表及利润表调整分录!$H$175:$H$207,0)))+未审资负表!C31,2)</f>
        <v>0</v>
      </c>
      <c r="D31" s="1896">
        <f t="array" ref="D31">ROUND(SUM(IF(资负表及利润表调整分录!$C$175:$C$207="年初"&amp;A31,IF(资负表及利润表调整分录!$I$175:$I$207="y",资负表及利润表调整分录!$G$175:$G$207,0)))-SUM(IF(资负表及利润表调整分录!$C$175:$C$207="年初"&amp;A31,IF(资负表及利润表调整分录!$I$175:$I$207="y",资负表及利润表调整分录!$H$175:$H$207,0)))+未审资负表!D31,2)</f>
        <v>0</v>
      </c>
      <c r="E31" s="1915" t="s">
        <v>242</v>
      </c>
      <c r="F31" s="1912"/>
      <c r="G31" s="2023">
        <f>ROUND(SUM(G23:G30),2)</f>
        <v>49517431.33</v>
      </c>
      <c r="H31" s="2036">
        <f>ROUND(SUM(H23:H30),2)</f>
        <v>0</v>
      </c>
    </row>
    <row r="32" s="2010" customFormat="1" ht="16.5" customHeight="1" spans="1:8">
      <c r="A32" s="1900" t="s">
        <v>243</v>
      </c>
      <c r="B32" s="1901" t="s">
        <v>1516</v>
      </c>
      <c r="C32" s="1896">
        <f t="array" ref="C32">ROUND(SUM(IF(资负表及利润表调整分录!$C$175:$C$207=A32,IF(资负表及利润表调整分录!$I$175:$I$207="y",资负表及利润表调整分录!$G$175:$G$207,0)))-SUM(IF(资负表及利润表调整分录!$C$175:$C$207=A32,IF(资负表及利润表调整分录!$I$175:$I$207="y",资负表及利润表调整分录!$H$175:$H$207,0)))+未审资负表!C32,2)</f>
        <v>0</v>
      </c>
      <c r="D32" s="1896">
        <f t="array" ref="D32">ROUND(SUM(IF(资负表及利润表调整分录!$C$175:$C$207="年初"&amp;A32,IF(资负表及利润表调整分录!$I$175:$I$207="y",资负表及利润表调整分录!$G$175:$G$207,0)))-SUM(IF(资负表及利润表调整分录!$C$175:$C$207="年初"&amp;A32,IF(资负表及利润表调整分录!$I$175:$I$207="y",资负表及利润表调整分录!$H$175:$H$207,0)))+未审资负表!D32,2)</f>
        <v>0</v>
      </c>
      <c r="E32" s="1912"/>
      <c r="F32" s="1912"/>
      <c r="G32" s="1913"/>
      <c r="H32" s="1903"/>
    </row>
    <row r="33" s="2010" customFormat="1" ht="16.5" customHeight="1" spans="1:8">
      <c r="A33" s="1900" t="s">
        <v>244</v>
      </c>
      <c r="B33" s="1901" t="s">
        <v>1517</v>
      </c>
      <c r="C33" s="1896">
        <f t="array" ref="C33">ROUND(SUM(IF(资负表及利润表调整分录!$C$175:$C$207=A33,IF(资负表及利润表调整分录!$I$175:$I$207="y",资负表及利润表调整分录!$G$175:$G$207,0)))-SUM(IF(资负表及利润表调整分录!$C$175:$C$207=A33,IF(资负表及利润表调整分录!$I$175:$I$207="y",资负表及利润表调整分录!$H$175:$H$207,0)))+未审资负表!C33,2)</f>
        <v>0</v>
      </c>
      <c r="D33" s="1896">
        <f t="array" ref="D33">ROUND(SUM(IF(资负表及利润表调整分录!$C$175:$C$207="年初"&amp;A33,IF(资负表及利润表调整分录!$I$175:$I$207="y",资负表及利润表调整分录!$G$175:$G$207,0)))-SUM(IF(资负表及利润表调整分录!$C$175:$C$207="年初"&amp;A33,IF(资负表及利润表调整分录!$I$175:$I$207="y",资负表及利润表调整分录!$H$175:$H$207,0)))+未审资负表!D33,2)</f>
        <v>0</v>
      </c>
      <c r="E33" s="1915" t="s">
        <v>245</v>
      </c>
      <c r="F33" s="1912"/>
      <c r="G33" s="2023">
        <f>ROUND(G20+G31,2)</f>
        <v>56453052.95</v>
      </c>
      <c r="H33" s="2036">
        <f>ROUND(H20+H31,2)</f>
        <v>0</v>
      </c>
    </row>
    <row r="34" s="2010" customFormat="1" ht="16.5" customHeight="1" spans="1:8">
      <c r="A34" s="1900" t="s">
        <v>246</v>
      </c>
      <c r="B34" s="1901" t="s">
        <v>1517</v>
      </c>
      <c r="C34" s="1896">
        <f t="array" ref="C34">ROUND(SUM(IF(资负表及利润表调整分录!$C$175:$C$207=A34,IF(资负表及利润表调整分录!$I$175:$I$207="y",资负表及利润表调整分录!$G$175:$G$207,0)))-SUM(IF(资负表及利润表调整分录!$C$175:$C$207=A34,IF(资负表及利润表调整分录!$I$175:$I$207="y",资负表及利润表调整分录!$H$175:$H$207,0)))+未审资负表!C34,2)</f>
        <v>0</v>
      </c>
      <c r="D34" s="1896">
        <f t="array" ref="D34">ROUND(SUM(IF(资负表及利润表调整分录!$C$175:$C$207="年初"&amp;A34,IF(资负表及利润表调整分录!$I$175:$I$207="y",资负表及利润表调整分录!$G$175:$G$207,0)))-SUM(IF(资负表及利润表调整分录!$C$175:$C$207="年初"&amp;A34,IF(资负表及利润表调整分录!$I$175:$I$207="y",资负表及利润表调整分录!$H$175:$H$207,0)))+未审资负表!D34,2)</f>
        <v>0</v>
      </c>
      <c r="E34" s="1912"/>
      <c r="F34" s="1912"/>
      <c r="G34" s="1896"/>
      <c r="H34" s="1903"/>
    </row>
    <row r="35" s="2010" customFormat="1" ht="16.5" customHeight="1" spans="1:8">
      <c r="A35" s="1900" t="s">
        <v>247</v>
      </c>
      <c r="B35" s="1901" t="s">
        <v>1518</v>
      </c>
      <c r="C35" s="1896">
        <f t="array" ref="C35">ROUND(SUM(IF(资负表及利润表调整分录!$C$175:$C$207=A35,IF(资负表及利润表调整分录!$I$175:$I$207="y",资负表及利润表调整分录!$G$175:$G$207,0)))-SUM(IF(资负表及利润表调整分录!$C$175:$C$207=A35,IF(资负表及利润表调整分录!$I$175:$I$207="y",资负表及利润表调整分录!$H$175:$H$207,0)))+未审资负表!C35,2)</f>
        <v>0</v>
      </c>
      <c r="D35" s="1896">
        <f t="array" ref="D35">ROUND(SUM(IF(资负表及利润表调整分录!$C$175:$C$207="年初"&amp;A35,IF(资负表及利润表调整分录!$I$175:$I$207="y",资负表及利润表调整分录!$G$175:$G$207,0)))-SUM(IF(资负表及利润表调整分录!$C$175:$C$207="年初"&amp;A35,IF(资负表及利润表调整分录!$I$175:$I$207="y",资负表及利润表调整分录!$H$175:$H$207,0)))+未审资负表!D35,2)</f>
        <v>0</v>
      </c>
      <c r="E35" s="1916" t="s">
        <v>248</v>
      </c>
      <c r="F35" s="1912"/>
      <c r="G35" s="1896"/>
      <c r="H35" s="1903"/>
    </row>
    <row r="36" s="2010" customFormat="1" ht="16.5" customHeight="1" spans="1:8">
      <c r="A36" s="1900" t="s">
        <v>249</v>
      </c>
      <c r="B36" s="1901" t="s">
        <v>1519</v>
      </c>
      <c r="C36" s="1896">
        <f t="array" ref="C36">ROUND(SUM(IF(资负表及利润表调整分录!$C$175:$C$207=A36,IF(资负表及利润表调整分录!$I$175:$I$207="y",资负表及利润表调整分录!$G$175:$G$207,0)))-SUM(IF(资负表及利润表调整分录!$C$175:$C$207=A36,IF(资负表及利润表调整分录!$I$175:$I$207="y",资负表及利润表调整分录!$H$175:$H$207,0)))+未审资负表!C36,2)</f>
        <v>0</v>
      </c>
      <c r="D36" s="1896">
        <f t="array" ref="D36">ROUND(SUM(IF(资负表及利润表调整分录!$C$175:$C$207="年初"&amp;A36,IF(资负表及利润表调整分录!$I$175:$I$207="y",资负表及利润表调整分录!$G$175:$G$207,0)))-SUM(IF(资负表及利润表调整分录!$C$175:$C$207="年初"&amp;A36,IF(资负表及利润表调整分录!$I$175:$I$207="y",资负表及利润表调整分录!$H$175:$H$207,0)))+未审资负表!D36,2)</f>
        <v>0</v>
      </c>
      <c r="E36" s="1902" t="s">
        <v>250</v>
      </c>
      <c r="F36" s="1901" t="s">
        <v>1520</v>
      </c>
      <c r="G36" s="1896">
        <f t="array" ref="G36">ROUND(SUM(IF(资负表及利润表调整分录!$C$175:$C$207=E36,IF(资负表及利润表调整分录!$I$175:$I$207="y",资负表及利润表调整分录!$H$175:$H$207,0)))-SUM(IF(资负表及利润表调整分录!$C$175:$C$207=E36,IF(资负表及利润表调整分录!$I$175:$I$207="y",资负表及利润表调整分录!$G$175:$G$207,0)))+未审资负表!G36,2)</f>
        <v>0</v>
      </c>
      <c r="H36" s="1903">
        <f t="array" ref="H36">ROUND(SUM(IF(资负表及利润表调整分录!$C$175:$C$207="年初"&amp;E36,IF(资负表及利润表调整分录!$I$175:$I$207="y",资负表及利润表调整分录!$H$175:$H$207,0)))-SUM(IF(资负表及利润表调整分录!$C$175:$C$207="年初"&amp;E36,IF(资负表及利润表调整分录!$I$175:$I$207="y",资负表及利润表调整分录!$G$175:$G$207,0)))+未审资负表!H36,2)</f>
        <v>0</v>
      </c>
    </row>
    <row r="37" s="2010" customFormat="1" ht="16.5" customHeight="1" spans="1:8">
      <c r="A37" s="1900" t="s">
        <v>251</v>
      </c>
      <c r="B37" s="1901" t="s">
        <v>1511</v>
      </c>
      <c r="C37" s="1896">
        <f t="array" ref="C37">ROUND(SUM(IF(资负表及利润表调整分录!$C$175:$C$207=A37,IF(资负表及利润表调整分录!$I$175:$I$207="y",资负表及利润表调整分录!$G$175:$G$207,0)))-SUM(IF(资负表及利润表调整分录!$C$175:$C$207=A37,IF(资负表及利润表调整分录!$I$175:$I$207="y",资负表及利润表调整分录!$H$175:$H$207,0)))+未审资负表!C37,2)</f>
        <v>0</v>
      </c>
      <c r="D37" s="1896">
        <f t="array" ref="D37">ROUND(SUM(IF(资负表及利润表调整分录!$C$175:$C$207="年初"&amp;A37,IF(资负表及利润表调整分录!$I$175:$I$207="y",资负表及利润表调整分录!$G$175:$G$207,0)))-SUM(IF(资负表及利润表调整分录!$C$175:$C$207="年初"&amp;A37,IF(资负表及利润表调整分录!$I$175:$I$207="y",资负表及利润表调整分录!$H$175:$H$207,0)))+未审资负表!D37,2)</f>
        <v>0</v>
      </c>
      <c r="E37" s="1902" t="s">
        <v>252</v>
      </c>
      <c r="F37" s="1901" t="s">
        <v>1521</v>
      </c>
      <c r="G37" s="1896">
        <f t="array" ref="G37">ROUND(SUM(IF(资负表及利润表调整分录!$C$175:$C$207=E37,IF(资负表及利润表调整分录!$I$175:$I$207="y",资负表及利润表调整分录!$H$175:$H$207,0)))-SUM(IF(资负表及利润表调整分录!$C$175:$C$207=E37,IF(资负表及利润表调整分录!$I$175:$I$207="y",资负表及利润表调整分录!$G$175:$G$207,0)))+未审资负表!G37,2)</f>
        <v>0</v>
      </c>
      <c r="H37" s="1903">
        <f t="array" ref="H37">ROUND(SUM(IF(资负表及利润表调整分录!$C$175:$C$207="年初"&amp;E37,IF(资负表及利润表调整分录!$I$175:$I$207="y",资负表及利润表调整分录!$H$175:$H$207,0)))-SUM(IF(资负表及利润表调整分录!$C$175:$C$207="年初"&amp;E37,IF(资负表及利润表调整分录!$I$175:$I$207="y",资负表及利润表调整分录!$G$175:$G$207,0)))+未审资负表!H37,2)</f>
        <v>0</v>
      </c>
    </row>
    <row r="38" s="2010" customFormat="1" ht="16.5" customHeight="1" spans="1:8">
      <c r="A38" s="1900" t="s">
        <v>253</v>
      </c>
      <c r="B38" s="1901" t="s">
        <v>1522</v>
      </c>
      <c r="C38" s="1896">
        <f t="array" ref="C38">ROUND(SUM(IF(资负表及利润表调整分录!$C$175:$C$207=A38,IF(资负表及利润表调整分录!$I$175:$I$207="y",资负表及利润表调整分录!$G$175:$G$207,0)))-SUM(IF(资负表及利润表调整分录!$C$175:$C$207=A38,IF(资负表及利润表调整分录!$I$175:$I$207="y",资负表及利润表调整分录!$H$175:$H$207,0)))+未审资负表!C38,2)</f>
        <v>0</v>
      </c>
      <c r="D38" s="1896">
        <f t="array" ref="D38">ROUND(SUM(IF(资负表及利润表调整分录!$C$175:$C$207="年初"&amp;A38,IF(资负表及利润表调整分录!$I$175:$I$207="y",资负表及利润表调整分录!$G$175:$G$207,0)))-SUM(IF(资负表及利润表调整分录!$C$175:$C$207="年初"&amp;A38,IF(资负表及利润表调整分录!$I$175:$I$207="y",资负表及利润表调整分录!$H$175:$H$207,0)))+未审资负表!D38,2)</f>
        <v>0</v>
      </c>
      <c r="E38" s="1902" t="s">
        <v>254</v>
      </c>
      <c r="F38" s="1901" t="s">
        <v>1523</v>
      </c>
      <c r="G38" s="1896">
        <f t="array" ref="G38">ROUND(SUM(IF(资负表及利润表调整分录!$C$175:$C$207="库存股",IF(资负表及利润表调整分录!$I$175:$I$207="y",资负表及利润表调整分录!$G$175:$G$207,0)))-SUM(IF(资负表及利润表调整分录!$C$175:$C$207="库存股",IF(资负表及利润表调整分录!$I$175:$I$207="y",资负表及利润表调整分录!$H$175:$H$207,0)))+未审资负表!G38,2)</f>
        <v>0</v>
      </c>
      <c r="H38" s="1903">
        <f t="array" ref="H38">ROUND(SUM(IF(资负表及利润表调整分录!$C$175:$C$207="年初"&amp;"库存股",IF(资负表及利润表调整分录!$I$175:$I$207="y",资负表及利润表调整分录!$G$175:$G$207,0)))-SUM(IF(资负表及利润表调整分录!$C$175:$C$207="年初"&amp;"库存股",IF(资负表及利润表调整分录!$I$175:$I$207="y",资负表及利润表调整分录!$H$175:$H$207,0)))+未审资负表!H38,2)</f>
        <v>0</v>
      </c>
    </row>
    <row r="39" s="2010" customFormat="1" ht="16.5" customHeight="1" spans="1:8">
      <c r="A39" s="1900" t="str">
        <f>IF(未审资负表!A39="","",未审资负表!A39)</f>
        <v/>
      </c>
      <c r="B39" s="1901"/>
      <c r="C39" s="1896">
        <f t="array" ref="C39">ROUND(SUM(IF(资负表及利润表调整分录!$C$175:$C$207=A39,IF(资负表及利润表调整分录!$I$175:$I$207="y",资负表及利润表调整分录!$G$175:$G$207,0)))-SUM(IF(资负表及利润表调整分录!$C$175:$C$207=A39,IF(资负表及利润表调整分录!$I$175:$I$207="y",资负表及利润表调整分录!$H$175:$H$207,0)))+未审资负表!C39,2)</f>
        <v>0</v>
      </c>
      <c r="D39" s="1896">
        <f t="array" ref="D39">ROUND(SUM(IF(资负表及利润表调整分录!$C$175:$C$207="年初"&amp;A39,IF(资负表及利润表调整分录!$I$175:$I$207="y",资负表及利润表调整分录!$G$175:$G$207,0)))-SUM(IF(资负表及利润表调整分录!$C$175:$C$207="年初"&amp;A39,IF(资负表及利润表调整分录!$I$175:$I$207="y",资负表及利润表调整分录!$H$175:$H$207,0)))+未审资负表!D39,2)</f>
        <v>0</v>
      </c>
      <c r="E39" s="1902" t="s">
        <v>255</v>
      </c>
      <c r="F39" s="1901" t="s">
        <v>1524</v>
      </c>
      <c r="G39" s="1896">
        <f t="array" ref="G39">ROUND(SUM(IF(资负表及利润表调整分录!$C$175:$C$207=E39,IF(资负表及利润表调整分录!$I$175:$I$207="y",资负表及利润表调整分录!$H$175:$H$207,0)))-SUM(IF(资负表及利润表调整分录!$C$175:$C$207=E39,IF(资负表及利润表调整分录!$I$175:$I$207="y",资负表及利润表调整分录!$G$175:$G$207,0)))+未审资负表!G39,2)</f>
        <v>0</v>
      </c>
      <c r="H39" s="1903">
        <f t="array" ref="H39">ROUND(SUM(IF(资负表及利润表调整分录!$C$175:$C$207="年初"&amp;E39,IF(资负表及利润表调整分录!$I$175:$I$207="y",资负表及利润表调整分录!$H$175:$H$207,0)))-SUM(IF(资负表及利润表调整分录!$C$175:$C$207="年初"&amp;E39,IF(资负表及利润表调整分录!$I$175:$I$207="y",资负表及利润表调整分录!$G$175:$G$207,0)))+未审资负表!H39,2)</f>
        <v>0</v>
      </c>
    </row>
    <row r="40" s="2010" customFormat="1" ht="16.5" customHeight="1" spans="1:8">
      <c r="A40" s="1905" t="s">
        <v>256</v>
      </c>
      <c r="B40" s="1908"/>
      <c r="C40" s="2023">
        <f>ROUND(SUM(C22:C39),2)</f>
        <v>0</v>
      </c>
      <c r="D40" s="2043">
        <f>ROUND(SUM(D22:D39),2)</f>
        <v>0</v>
      </c>
      <c r="E40" s="1902" t="s">
        <v>257</v>
      </c>
      <c r="F40" s="1901" t="s">
        <v>1525</v>
      </c>
      <c r="G40" s="1896">
        <f>ROUND(审定利润表!C39,2)</f>
        <v>0</v>
      </c>
      <c r="H40" s="1903">
        <f>ROUND(审定利润表!D39,2)</f>
        <v>0</v>
      </c>
    </row>
    <row r="41" s="2010" customFormat="1" ht="16.5" customHeight="1" spans="1:8">
      <c r="A41" s="1917"/>
      <c r="B41" s="1908"/>
      <c r="C41" s="1896"/>
      <c r="D41" s="2029"/>
      <c r="E41" s="1902" t="s">
        <v>258</v>
      </c>
      <c r="F41" s="2182"/>
      <c r="G41" s="1896">
        <f t="array" ref="G41">ROUND(SUM(IF(资负表及利润表调整分录!$C$175:$C$207=E41,IF(资负表及利润表调整分录!$I$175:$I$207="y",资负表及利润表调整分录!$H$175:$H$207,0)))-SUM(IF(资负表及利润表调整分录!$C$175:$C$207=E41,IF(资负表及利润表调整分录!$I$175:$I$207="y",资负表及利润表调整分录!$G$175:$G$207,0)))+未审资负表!G41,2)</f>
        <v>0</v>
      </c>
      <c r="H41" s="1903">
        <f t="array" ref="H41">ROUND(SUM(IF(资负表及利润表调整分录!$C$175:$C$207="年初"&amp;E41,IF(资负表及利润表调整分录!$I$175:$I$207="y",资负表及利润表调整分录!$H$175:$H$207,0)))-SUM(IF(资负表及利润表调整分录!$C$175:$C$207="年初"&amp;E41,IF(资负表及利润表调整分录!$I$175:$I$207="y",资负表及利润表调整分录!$G$175:$G$207,0)))+未审资负表!H41,2)</f>
        <v>0</v>
      </c>
    </row>
    <row r="42" s="2010" customFormat="1" ht="16.5" customHeight="1" spans="1:8">
      <c r="A42" s="1917"/>
      <c r="B42" s="1908"/>
      <c r="C42" s="1896"/>
      <c r="D42" s="2029"/>
      <c r="E42" s="1902" t="str">
        <f>IF(未审资负表!E42="","",未审资负表!E42)</f>
        <v>其他综合收益</v>
      </c>
      <c r="F42" s="2182" t="s">
        <v>1526</v>
      </c>
      <c r="G42" s="1896">
        <f t="array" ref="G42">ROUND(SUM(IF(资负表及利润表调整分录!$C$175:$C$207=E42,IF(资负表及利润表调整分录!$I$175:$I$207="y",资负表及利润表调整分录!$H$175:$H$207,0)))-SUM(IF(资负表及利润表调整分录!$C$175:$C$207=E42,IF(资负表及利润表调整分录!$I$175:$I$207="y",资负表及利润表调整分录!$G$175:$G$207,0)))+未审资负表!G42,2)</f>
        <v>0</v>
      </c>
      <c r="H42" s="1903">
        <f t="array" ref="H42">ROUND(SUM(IF(资负表及利润表调整分录!$C$175:$C$207="年初"&amp;E42,IF(资负表及利润表调整分录!$I$175:$I$207="y",资负表及利润表调整分录!$H$175:$H$207,0)))-SUM(IF(资负表及利润表调整分录!$C$175:$C$207="年初"&amp;E42,IF(资负表及利润表调整分录!$I$175:$I$207="y",资负表及利润表调整分录!$G$175:$G$207,0)))+未审资负表!H42,2)</f>
        <v>0</v>
      </c>
    </row>
    <row r="43" s="2010" customFormat="1" ht="17.25" hidden="1" customHeight="1" spans="1:8">
      <c r="A43" s="1917"/>
      <c r="B43" s="1906"/>
      <c r="C43" s="1896"/>
      <c r="D43" s="1896"/>
      <c r="E43" s="1915" t="s">
        <v>260</v>
      </c>
      <c r="F43" s="1915"/>
      <c r="G43" s="2023">
        <f>ROUND(SUM(G36:G42)-2*G38,2)</f>
        <v>0</v>
      </c>
      <c r="H43" s="2036">
        <f>ROUND(SUM(H36:H42)-2*H38,2)</f>
        <v>0</v>
      </c>
    </row>
    <row r="44" s="2010" customFormat="1" ht="17.25" hidden="1" customHeight="1" spans="1:8">
      <c r="A44" s="1917"/>
      <c r="B44" s="1908"/>
      <c r="C44" s="1896"/>
      <c r="D44" s="1896"/>
      <c r="E44" s="1912"/>
      <c r="F44" s="1912"/>
      <c r="G44" s="1913"/>
      <c r="H44" s="1903"/>
    </row>
    <row r="45" ht="17.25" hidden="1" customHeight="1" spans="1:8">
      <c r="A45" s="1917"/>
      <c r="B45" s="1908"/>
      <c r="C45" s="1896"/>
      <c r="D45" s="1896"/>
      <c r="E45" s="1902" t="s">
        <v>261</v>
      </c>
      <c r="F45" s="1918"/>
      <c r="G45" s="1919"/>
      <c r="H45" s="1920"/>
    </row>
    <row r="46" ht="16.5" customHeight="1" spans="1:8">
      <c r="A46" s="1917"/>
      <c r="B46" s="1908"/>
      <c r="C46" s="1896"/>
      <c r="D46" s="1896"/>
      <c r="E46" s="1915" t="s">
        <v>262</v>
      </c>
      <c r="F46" s="1915"/>
      <c r="G46" s="2023">
        <f>ROUND(G43+G45,2)</f>
        <v>0</v>
      </c>
      <c r="H46" s="2036">
        <f>ROUND(H43+H45,2)</f>
        <v>0</v>
      </c>
    </row>
    <row r="47" ht="16.5" customHeight="1" spans="1:8">
      <c r="A47" s="1917"/>
      <c r="B47" s="1908"/>
      <c r="C47" s="1896"/>
      <c r="D47" s="1896"/>
      <c r="E47" s="1912"/>
      <c r="F47" s="1912"/>
      <c r="G47" s="1896"/>
      <c r="H47" s="1903"/>
    </row>
    <row r="48" ht="16.5" customHeight="1" spans="1:8">
      <c r="A48" s="1921" t="s">
        <v>263</v>
      </c>
      <c r="B48" s="1922"/>
      <c r="C48" s="2024">
        <f>ROUND(C19+C40,2)</f>
        <v>56453052.95</v>
      </c>
      <c r="D48" s="2024">
        <f>ROUND(D19+D40,2)</f>
        <v>0</v>
      </c>
      <c r="E48" s="1924" t="s">
        <v>264</v>
      </c>
      <c r="F48" s="1924"/>
      <c r="G48" s="2024">
        <f>ROUND(G33+G46,2)</f>
        <v>56453052.95</v>
      </c>
      <c r="H48" s="2061">
        <f>ROUND(H33+H46,2)</f>
        <v>0</v>
      </c>
    </row>
    <row r="49" ht="13.5"/>
  </sheetData>
  <mergeCells count="11">
    <mergeCell ref="A1:H1"/>
    <mergeCell ref="A2:B2"/>
    <mergeCell ref="A3:D3"/>
    <mergeCell ref="A4:A5"/>
    <mergeCell ref="B4:B5"/>
    <mergeCell ref="C4:C5"/>
    <mergeCell ref="D4:D5"/>
    <mergeCell ref="E4:E5"/>
    <mergeCell ref="F4:F5"/>
    <mergeCell ref="G4:G5"/>
    <mergeCell ref="H4:H5"/>
  </mergeCells>
  <conditionalFormatting sqref="A2:B2">
    <cfRule type="cellIs" dxfId="1" priority="2" stopIfTrue="1" operator="notEqual">
      <formula>""</formula>
    </cfRule>
  </conditionalFormatting>
  <conditionalFormatting sqref="C2:D2">
    <cfRule type="cellIs" dxfId="1" priority="3" stopIfTrue="1" operator="notEqual">
      <formula>0</formula>
    </cfRule>
  </conditionalFormatting>
  <hyperlinks>
    <hyperlink ref="B7" location="报表附注!E2" display="（一）"/>
    <hyperlink ref="B8" location="报表附注!E46" display="（二）"/>
    <hyperlink ref="B9" location="报表附注!E71" display="(三)"/>
    <hyperlink ref="B10" location="报表附注!E196" display="(六)"/>
    <hyperlink ref="B13" location="报表附注!E124" display="(四)"/>
    <hyperlink ref="B12" location="报表附注!E155" display="（五）"/>
    <hyperlink ref="B11" location="报表附注!E500" display="（七）"/>
    <hyperlink ref="B14" location="报表附注!E562" display="（八）"/>
    <hyperlink ref="B15" location="报表附注!E847" display="（九）"/>
    <hyperlink ref="B17" location="报表附注!E943" display="（十）"/>
    <hyperlink ref="B22" location="报表附注!E961" display="（十一）"/>
    <hyperlink ref="B23" location="报表附注!E986" display="（十二）"/>
    <hyperlink ref="B24" location="报表附注!E1014" display="（十三）"/>
    <hyperlink ref="B25" location="报表附注!E1052" display="（十五）"/>
    <hyperlink ref="B26" location="报表附注!E1101" display="（十六）"/>
    <hyperlink ref="B27" location="报表附注!F1142" display="（十七）"/>
    <hyperlink ref="B28" location="报表附注!E1226" display="（十八）"/>
    <hyperlink ref="B29" location="报表附注!E1334" display="（十九）"/>
    <hyperlink ref="B30" location="报表附注!E1351" display="（二十）"/>
    <hyperlink ref="B31" location="报表附注!E1365" display="（二十一）"/>
    <hyperlink ref="B32" location="报表附注!E1393" display="（二十二）"/>
    <hyperlink ref="B33" location="报表附注!E1418" display="（二十三）"/>
    <hyperlink ref="B34" location="报表附注!E1485" display="（二十三）"/>
    <hyperlink ref="B35" location="报表附注!E1557" display="（二十五）"/>
    <hyperlink ref="B36" location="报表附注!E1520" display="（二十四）"/>
    <hyperlink ref="B38" location="报表附注!E1582" display="（二十六）"/>
    <hyperlink ref="B37" location="报表附注!E1597" display="（二十七）"/>
    <hyperlink ref="F7" location="报表附注!E1770" display="（三十）"/>
    <hyperlink ref="F8" location="报表附注!E1796" display="（三十一）"/>
    <hyperlink ref="F9" location="报表附注!E1809" display="（三十二）"/>
    <hyperlink ref="F10" location="报表附注!E1824" display="（三十三）"/>
    <hyperlink ref="F11" location="报表附注!E1890" display="（三十四）"/>
    <hyperlink ref="F12" location="报表附注!E1952" display="(三十五)"/>
    <hyperlink ref="F13" location="报表附注!E1991" display="（三十六）"/>
    <hyperlink ref="F14" location="报表附注!E2025" display="（三十七）"/>
    <hyperlink ref="F15" location="报表附注!E2037" display="（三十八）"/>
    <hyperlink ref="F16" location="报表附注!E2062" display="（三十九）"/>
    <hyperlink ref="F17" location="报表附注!E2173" display="（四十一）"/>
    <hyperlink ref="F18" location="报表附注!E2251" display="（四十二）"/>
    <hyperlink ref="F23" location="报表附注!E2272" display="（四十三）"/>
    <hyperlink ref="F24" location="报表附注!E2313" display="（四十四）"/>
    <hyperlink ref="F25" location="报表附注!E2333" display="（四十五）"/>
    <hyperlink ref="F26" location="报表附注!E2368" display="（四十六）"/>
    <hyperlink ref="F27" location="报表附注!E2157" display="（四十）"/>
    <hyperlink ref="F29" location="报表附注!E2385" display="（四十七）"/>
    <hyperlink ref="F28" location="报表附注!E1597" display="（二十七）"/>
    <hyperlink ref="F30" location="报表附注!E3903" display="（五十四）"/>
    <hyperlink ref="F36" location="报表附注!E2401" display="（四十八）"/>
    <hyperlink ref="F37" location="报表附注!E2470" display="（五十一）"/>
    <hyperlink ref="F38" location="报表附注!E2444" display="（四十九）"/>
    <hyperlink ref="F39" location="报表附注!E2481" display="（五十二）"/>
    <hyperlink ref="F40" location="报表附注!E2493" display="（五十三）"/>
    <hyperlink ref="B18" location="报表附注!E4059" display="（六十五）"/>
    <hyperlink ref="F19" location="报表附注!E4074" display="（六十六）"/>
    <hyperlink ref="B16" location="报表附注!E4089" display="（六十七）"/>
    <hyperlink ref="F42" location="报表附注!E4038" display="（六十四）"/>
  </hyperlinks>
  <printOptions horizontalCentered="1"/>
  <pageMargins left="0.590551181102362" right="0.590551181102362" top="0.748031496062992" bottom="0.748031496062992" header="0.31496062992126" footer="0.62992125984252"/>
  <pageSetup paperSize="9" scale="93" fitToHeight="0" orientation="portrait" blackAndWhite="1"/>
  <headerFooter alignWithMargins="0">
    <oddFooter>&amp;L&amp;10企业负责人：&amp;C&amp;10会计机构负责人：&amp;R&amp;10制表人：</oddFooter>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D40"/>
  <sheetViews>
    <sheetView showGridLines="0" showZeros="0" tabSelected="1" workbookViewId="0">
      <selection activeCell="F10" sqref="F10"/>
    </sheetView>
  </sheetViews>
  <sheetFormatPr defaultColWidth="9" defaultRowHeight="15.75" outlineLevelCol="3"/>
  <cols>
    <col min="1" max="1" width="38.625" style="2011" customWidth="1"/>
    <col min="2" max="2" width="9" style="2011"/>
    <col min="3" max="4" width="17" style="2011" customWidth="1"/>
    <col min="5" max="16384" width="9" style="2011"/>
  </cols>
  <sheetData>
    <row r="1" ht="25.5" spans="1:4">
      <c r="A1" s="1808" t="s">
        <v>59</v>
      </c>
      <c r="B1" s="1808"/>
      <c r="C1" s="1808"/>
      <c r="D1" s="1808"/>
    </row>
    <row r="2" ht="21" customHeight="1" spans="1:4">
      <c r="A2" s="1844"/>
      <c r="B2" s="1845"/>
      <c r="C2" s="1845"/>
      <c r="D2" s="2065" t="s">
        <v>1527</v>
      </c>
    </row>
    <row r="3" ht="21" customHeight="1" spans="1:4">
      <c r="A3" s="1781" t="str">
        <f>"编制单位："&amp;参数表!C3</f>
        <v>编制单位：石嘴山市深阳蓝光市政工程有限公司</v>
      </c>
      <c r="B3" s="1782" t="str">
        <f>参数表!D7</f>
        <v>2016年度</v>
      </c>
      <c r="C3" s="1810"/>
      <c r="D3" s="2172" t="str">
        <f>"金额单位："&amp;参数表!F11</f>
        <v>金额单位：人民币元</v>
      </c>
    </row>
    <row r="4" ht="15" spans="1:4">
      <c r="A4" s="1815" t="s">
        <v>60</v>
      </c>
      <c r="B4" s="1816" t="s">
        <v>61</v>
      </c>
      <c r="C4" s="1816" t="str">
        <f>未审利润表!C4</f>
        <v>本年金额</v>
      </c>
      <c r="D4" s="2067" t="str">
        <f>未审利润表!D4</f>
        <v>上年金额</v>
      </c>
    </row>
    <row r="5" ht="14.25" spans="1:4">
      <c r="A5" s="1819"/>
      <c r="B5" s="1820"/>
      <c r="C5" s="1820"/>
      <c r="D5" s="2173"/>
    </row>
    <row r="6" ht="21" customHeight="1" spans="1:4">
      <c r="A6" s="1793" t="s">
        <v>76</v>
      </c>
      <c r="B6" s="2068" t="s">
        <v>77</v>
      </c>
      <c r="C6" s="1797">
        <f t="array" ref="C6">ROUND(SUM(IF(资负表及利润表调整分录!$C$175:$C$207="营业收入",IF(资负表及利润表调整分录!$I$175:$I$207="y",资负表及利润表调整分录!$H$175:$H$207,0)))-SUM(IF(资负表及利润表调整分录!$C$175:$C$207="营业收入",IF(资负表及利润表调整分录!$I$175:$I$207="y",资负表及利润表调整分录!$G$175:$G$207,0)))+未审利润表!$C$6,2)</f>
        <v>0</v>
      </c>
      <c r="D6" s="2174">
        <f t="array" ref="D6">ROUND(SUM(IF(资负表及利润表调整分录!$C$175:$C$207="上年营业收入",IF(资负表及利润表调整分录!$I$175:$I$207="y",资负表及利润表调整分录!$H$175:$H$207,0)))-SUM(IF(资负表及利润表调整分录!$C$175:$C$207="上年营业收入",IF(资负表及利润表调整分录!$I$175:$I$207="y",资负表及利润表调整分录!$G$175:$G$207,0)))+未审利润表!$D$6,2)</f>
        <v>0</v>
      </c>
    </row>
    <row r="7" ht="21" customHeight="1" spans="1:4">
      <c r="A7" s="1796" t="s">
        <v>78</v>
      </c>
      <c r="B7" s="2068" t="s">
        <v>77</v>
      </c>
      <c r="C7" s="1797">
        <f t="array" ref="C7">ROUND(SUM(IF(资负表及利润表调整分录!$C$175:$C$207="营业成本",IF(资负表及利润表调整分录!$I$175:$I$207="y",资负表及利润表调整分录!$G$175:$G$207,0)))-SUM(IF(资负表及利润表调整分录!$C$175:$C$207="营业成本",IF(资负表及利润表调整分录!$I$175:$I$207="y",资负表及利润表调整分录!$H$175:$H$207,0)))+未审利润表!$C$7,2)</f>
        <v>0</v>
      </c>
      <c r="D7" s="2174">
        <f t="array" ref="D7">ROUND(SUM(IF(资负表及利润表调整分录!$C$175:$C$207="上年营业成本",IF(资负表及利润表调整分录!$I$175:$I$207="y",资负表及利润表调整分录!$G$175:$G$207,0)))-SUM(IF(资负表及利润表调整分录!$C$175:$C$207="上年营业成本",IF(资负表及利润表调整分录!$I$175:$I$207="y",资负表及利润表调整分录!$H$175:$H$207,0)))+未审利润表!$D$7,2)</f>
        <v>0</v>
      </c>
    </row>
    <row r="8" ht="21" customHeight="1" spans="1:4">
      <c r="A8" s="1796" t="s">
        <v>79</v>
      </c>
      <c r="B8" s="2068" t="s">
        <v>80</v>
      </c>
      <c r="C8" s="1797">
        <f t="array" ref="C8">ROUND(SUM(IF(资负表及利润表调整分录!$C$175:$C$207=TRIM(A8),IF(资负表及利润表调整分录!$I$175:$I$207="y",资负表及利润表调整分录!$G$175:$G$207,0)))-SUM(IF(资负表及利润表调整分录!$C$175:$C$207=TRIM(A8),IF(资负表及利润表调整分录!$I$175:$I$207="y",资负表及利润表调整分录!$H$175:$H$207,0)))+未审利润表!$C8,2)</f>
        <v>0</v>
      </c>
      <c r="D8" s="2174">
        <f t="array" ref="D8">ROUND(SUM(IF(资负表及利润表调整分录!$C$175:$C$207="上年"&amp;TRIM(A8),IF(资负表及利润表调整分录!$I$175:$I$207="y",资负表及利润表调整分录!$G$175:$G$207,0)))-SUM(IF(资负表及利润表调整分录!$C$175:$C$207="上年"&amp;TRIM(A8),IF(资负表及利润表调整分录!$I$175:$I$207="y",资负表及利润表调整分录!$H$175:$H$207,0)))+未审利润表!$D8,2)</f>
        <v>0</v>
      </c>
    </row>
    <row r="9" ht="21" customHeight="1" spans="1:4">
      <c r="A9" s="1796" t="s">
        <v>81</v>
      </c>
      <c r="B9" s="2068" t="s">
        <v>82</v>
      </c>
      <c r="C9" s="1797">
        <f t="array" ref="C9">ROUND(SUM(IF(资负表及利润表调整分录!$C$175:$C$207=TRIM(A9),IF(资负表及利润表调整分录!$I$175:$I$207="y",资负表及利润表调整分录!$G$175:$G$207,0)))-SUM(IF(资负表及利润表调整分录!$C$175:$C$207=TRIM(A9),IF(资负表及利润表调整分录!$I$175:$I$207="y",资负表及利润表调整分录!$H$175:$H$207,0)))+未审利润表!$C9,2)</f>
        <v>0</v>
      </c>
      <c r="D9" s="2174">
        <f t="array" ref="D9">ROUND(SUM(IF(资负表及利润表调整分录!$C$175:$C$207="上年"&amp;TRIM(A9),IF(资负表及利润表调整分录!$I$175:$I$207="y",资负表及利润表调整分录!$G$175:$G$207,0)))-SUM(IF(资负表及利润表调整分录!$C$175:$C$207="上年"&amp;TRIM(A9),IF(资负表及利润表调整分录!$I$175:$I$207="y",资负表及利润表调整分录!$H$175:$H$207,0)))+未审利润表!$D9,2)</f>
        <v>0</v>
      </c>
    </row>
    <row r="10" ht="21" customHeight="1" spans="1:4">
      <c r="A10" s="1796" t="s">
        <v>83</v>
      </c>
      <c r="B10" s="2068" t="s">
        <v>82</v>
      </c>
      <c r="C10" s="1797">
        <f t="array" ref="C10">ROUND(SUM(IF(资负表及利润表调整分录!$C$175:$C$207=TRIM(A10),IF(资负表及利润表调整分录!$I$175:$I$207="y",资负表及利润表调整分录!$G$175:$G$207,0)))-SUM(IF(资负表及利润表调整分录!$C$175:$C$207=TRIM(A10),IF(资负表及利润表调整分录!$I$175:$I$207="y",资负表及利润表调整分录!$H$175:$H$207,0)))+未审利润表!$C10,2)</f>
        <v>0</v>
      </c>
      <c r="D10" s="2174">
        <f t="array" ref="D10">ROUND(SUM(IF(资负表及利润表调整分录!$C$175:$C$207="上年"&amp;TRIM(A10),IF(资负表及利润表调整分录!$I$175:$I$207="y",资负表及利润表调整分录!$G$175:$G$207,0)))-SUM(IF(资负表及利润表调整分录!$C$175:$C$207="上年"&amp;TRIM(A10),IF(资负表及利润表调整分录!$I$175:$I$207="y",资负表及利润表调整分录!$H$175:$H$207,0)))+未审利润表!$D10,2)</f>
        <v>0</v>
      </c>
    </row>
    <row r="11" ht="21" customHeight="1" spans="1:4">
      <c r="A11" s="1796" t="s">
        <v>84</v>
      </c>
      <c r="B11" s="2068" t="s">
        <v>82</v>
      </c>
      <c r="C11" s="1797">
        <f t="array" ref="C11">ROUND(SUM(IF(资负表及利润表调整分录!$C$175:$C$207=TRIM(A11),IF(资负表及利润表调整分录!$I$175:$I$207="y",资负表及利润表调整分录!$G$175:$G$207,0)))-SUM(IF(资负表及利润表调整分录!$C$175:$C$207=TRIM(A11),IF(资负表及利润表调整分录!$I$175:$I$207="y",资负表及利润表调整分录!$H$175:$H$207,0)))+未审利润表!$C11,2)</f>
        <v>0</v>
      </c>
      <c r="D11" s="2174">
        <f t="array" ref="D11">ROUND(SUM(IF(资负表及利润表调整分录!$C$175:$C$207="上年"&amp;TRIM(A11),IF(资负表及利润表调整分录!$I$175:$I$207="y",资负表及利润表调整分录!$G$175:$G$207,0)))-SUM(IF(资负表及利润表调整分录!$C$175:$C$207="上年"&amp;TRIM(A11),IF(资负表及利润表调整分录!$I$175:$I$207="y",资负表及利润表调整分录!$H$175:$H$207,0)))+未审利润表!$D11,2)</f>
        <v>0</v>
      </c>
    </row>
    <row r="12" ht="21" customHeight="1" spans="1:4">
      <c r="A12" s="1796" t="s">
        <v>85</v>
      </c>
      <c r="B12" s="2068" t="s">
        <v>86</v>
      </c>
      <c r="C12" s="1797">
        <f t="array" ref="C12">ROUND(SUM(IF(资负表及利润表调整分录!$C$175:$C$207=TRIM(A12),IF(资负表及利润表调整分录!$I$175:$I$207="y",资负表及利润表调整分录!$G$175:$G$207,0)))-SUM(IF(资负表及利润表调整分录!$C$175:$C$207=TRIM(A12),IF(资负表及利润表调整分录!$I$175:$I$207="y",资负表及利润表调整分录!$H$175:$H$207,0)))+未审利润表!$C12,2)</f>
        <v>0</v>
      </c>
      <c r="D12" s="2174">
        <f t="array" ref="D12">ROUND(SUM(IF(资负表及利润表调整分录!$C$175:$C$207="上年"&amp;TRIM(A12),IF(资负表及利润表调整分录!$I$175:$I$207="y",资负表及利润表调整分录!$G$175:$G$207,0)))-SUM(IF(资负表及利润表调整分录!$C$175:$C$207="上年"&amp;TRIM(A12),IF(资负表及利润表调整分录!$I$175:$I$207="y",资负表及利润表调整分录!$H$175:$H$207,0)))+未审利润表!$D12,2)</f>
        <v>0</v>
      </c>
    </row>
    <row r="13" ht="21" customHeight="1" spans="1:4">
      <c r="A13" s="1796" t="s">
        <v>87</v>
      </c>
      <c r="B13" s="2068" t="s">
        <v>88</v>
      </c>
      <c r="C13" s="1797">
        <f t="array" ref="C13">ROUND(SUM(IF(资负表及利润表调整分录!$C$175:$C$207="公允价值变动收益",IF(资负表及利润表调整分录!$I$175:$I$207="y",资负表及利润表调整分录!$H$175:$H$207,0)))-SUM(IF(资负表及利润表调整分录!$C$175:$C$207="公允价值变动收益",IF(资负表及利润表调整分录!$I$175:$I$207="y",资负表及利润表调整分录!$G$175:$G$207,0)))+未审利润表!$C$13,2)</f>
        <v>0</v>
      </c>
      <c r="D13" s="2174">
        <f t="array" ref="D13">ROUND(SUM(IF(资负表及利润表调整分录!$C$175:$C$207="上年公允价值变动收益",IF(资负表及利润表调整分录!$I$175:$I$207="y",资负表及利润表调整分录!$H$175:$H$207,0)))-SUM(IF(资负表及利润表调整分录!$C$175:$C$207="上年公允价值变动收益",IF(资负表及利润表调整分录!$I$175:$I$207="y",资负表及利润表调整分录!$G$175:$G$207,0)))+未审利润表!$D$13,2)</f>
        <v>0</v>
      </c>
    </row>
    <row r="14" ht="21" customHeight="1" spans="1:4">
      <c r="A14" s="1796" t="s">
        <v>89</v>
      </c>
      <c r="B14" s="2068" t="s">
        <v>90</v>
      </c>
      <c r="C14" s="1797">
        <f t="array" ref="C14">ROUND(SUM(IF(资负表及利润表调整分录!$C$175:$C$207=TRIM(A14),IF(资负表及利润表调整分录!$I$175:$I$207="y",资负表及利润表调整分录!$H$175:$H$207,0)))-SUM(IF(资负表及利润表调整分录!$C$175:$C$207=TRIM(A14),IF(资负表及利润表调整分录!$I$175:$I$207="y",资负表及利润表调整分录!$G$175:$G$207,0)))+未审利润表!$C14,2)</f>
        <v>0</v>
      </c>
      <c r="D14" s="2174">
        <f t="array" ref="D14">ROUND(SUM(IF(资负表及利润表调整分录!$C$175:$C$207="上年"&amp;TRIM(A14),IF(资负表及利润表调整分录!$I$175:$I$207="y",资负表及利润表调整分录!$H$175:$H$207,0)))-SUM(IF(资负表及利润表调整分录!$C$175:$C$207="上年"&amp;TRIM(A14),IF(资负表及利润表调整分录!$I$175:$I$207="y",资负表及利润表调整分录!$G$175:$G$207,0)))+未审利润表!$D14,2)</f>
        <v>0</v>
      </c>
    </row>
    <row r="15" ht="21" customHeight="1" spans="1:4">
      <c r="A15" s="1796" t="s">
        <v>91</v>
      </c>
      <c r="B15" s="2068"/>
      <c r="C15" s="2168">
        <f>ROUND(未审利润表!C15,2)</f>
        <v>0</v>
      </c>
      <c r="D15" s="2169">
        <f>ROUND(未审利润表!D15,2)</f>
        <v>0</v>
      </c>
    </row>
    <row r="16" ht="21" customHeight="1" spans="1:4">
      <c r="A16" s="1796" t="s">
        <v>1528</v>
      </c>
      <c r="B16" s="2175" t="s">
        <v>1529</v>
      </c>
      <c r="C16" s="1797">
        <f t="array" ref="C16">ROUND(SUM(IF(资负表及利润表调整分录!$C$175:$C$207=TRIM(A16),IF(资负表及利润表调整分录!$I$175:$I$207="y",资负表及利润表调整分录!$H$175:$H$207,0)))-SUM(IF(资负表及利润表调整分录!$C$175:$C$207=TRIM(A16),IF(资负表及利润表调整分录!$I$175:$I$207="y",资负表及利润表调整分录!$G$175:$G$207,0)))+未审利润表!$C16,2)</f>
        <v>0</v>
      </c>
      <c r="D16" s="2174">
        <f t="array" ref="D16">ROUND(SUM(IF(资负表及利润表调整分录!$C$175:$C$207="上年"&amp;TRIM(A16),IF(资负表及利润表调整分录!$I$175:$I$207="y",资负表及利润表调整分录!$H$175:$H$207,0)))-SUM(IF(资负表及利润表调整分录!$C$175:$C$207="上年"&amp;TRIM(A16),IF(资负表及利润表调整分录!$I$175:$I$207="y",资负表及利润表调整分录!$G$175:$G$207,0)))+未审利润表!$D16,2)</f>
        <v>0</v>
      </c>
    </row>
    <row r="17" ht="21" customHeight="1" spans="1:4">
      <c r="A17" s="1796" t="s">
        <v>92</v>
      </c>
      <c r="B17" s="2068"/>
      <c r="C17" s="1797">
        <f t="array" ref="C17">ROUND(SUM(IF(资负表及利润表调整分录!$C$175:$C$207=TRIM(A17),IF(资负表及利润表调整分录!$I$175:$I$207="y",资负表及利润表调整分录!$H$175:$H$207,0)))-SUM(IF(资负表及利润表调整分录!$C$175:$C$207=TRIM(A17),IF(资负表及利润表调整分录!$I$175:$I$207="y",资负表及利润表调整分录!$G$175:$G$207,0)))+未审利润表!$C17,2)</f>
        <v>0</v>
      </c>
      <c r="D17" s="2174">
        <f t="array" ref="D17">ROUND(SUM(IF(资负表及利润表调整分录!$C$175:$C$207="上年"&amp;TRIM(A17),IF(资负表及利润表调整分录!$I$175:$I$207="y",资负表及利润表调整分录!$H$175:$H$207,0)))-SUM(IF(资负表及利润表调整分录!$C$175:$C$207="上年"&amp;TRIM(A17),IF(资负表及利润表调整分录!$I$175:$I$207="y",资负表及利润表调整分录!$G$175:$G$207,0)))+未审利润表!$D17,2)</f>
        <v>0</v>
      </c>
    </row>
    <row r="18" ht="21" customHeight="1" spans="1:4">
      <c r="A18" s="1796" t="str">
        <f>未审利润表!A18</f>
        <v>    其他收益</v>
      </c>
      <c r="B18" s="2175" t="s">
        <v>1530</v>
      </c>
      <c r="C18" s="1797">
        <f t="array" ref="C18">ROUND(SUM(IF(资负表及利润表调整分录!$C$175:$C$207=TRIM(A18),IF(资负表及利润表调整分录!$I$175:$I$207="y",资负表及利润表调整分录!$H$175:$H$207,0)))-SUM(IF(资负表及利润表调整分录!$C$175:$C$207=TRIM(A18),IF(资负表及利润表调整分录!$I$175:$I$207="y",资负表及利润表调整分录!$G$175:$G$207,0)))+未审利润表!$C18,2)</f>
        <v>0</v>
      </c>
      <c r="D18" s="2174">
        <f t="array" ref="D18">ROUND(SUM(IF(资负表及利润表调整分录!$C$175:$C$207="上年"&amp;TRIM(A18),IF(资负表及利润表调整分录!$I$175:$I$207="y",资负表及利润表调整分录!$H$175:$H$207,0)))-SUM(IF(资负表及利润表调整分录!$C$175:$C$207="上年"&amp;TRIM(A18),IF(资负表及利润表调整分录!$I$175:$I$207="y",资负表及利润表调整分录!$G$175:$G$207,0)))+未审利润表!$D18,2)</f>
        <v>0</v>
      </c>
    </row>
    <row r="19" ht="21" customHeight="1" spans="1:4">
      <c r="A19" s="1793" t="s">
        <v>93</v>
      </c>
      <c r="B19" s="1824"/>
      <c r="C19" s="2048">
        <f>ROUND(C6-SUM(C7:C12)+SUM(C13:C14)+C16+C17+C18,2)</f>
        <v>0</v>
      </c>
      <c r="D19" s="2176">
        <f>ROUND(D6-SUM(D7:D12)+SUM(D13:D14)+D16+D17+D18,2)</f>
        <v>0</v>
      </c>
    </row>
    <row r="20" ht="21" customHeight="1" spans="1:4">
      <c r="A20" s="1796" t="s">
        <v>94</v>
      </c>
      <c r="B20" s="2068" t="s">
        <v>95</v>
      </c>
      <c r="C20" s="1797">
        <f t="array" ref="C20">ROUND(SUM(IF(资负表及利润表调整分录!$C$175:$C$207="营业外收入",IF(资负表及利润表调整分录!$I$175:$I$207="y",资负表及利润表调整分录!$H$175:$H$207,0)))-SUM(IF(资负表及利润表调整分录!$C$175:$C$207="营业外收入",IF(资负表及利润表调整分录!$I$175:$I$207="y",资负表及利润表调整分录!$G$175:$G$207,0)))+未审利润表!$C$20,2)</f>
        <v>0</v>
      </c>
      <c r="D20" s="2174">
        <f t="array" ref="D20">ROUND(SUM(IF(资负表及利润表调整分录!$C$175:$C$207="上年营业外收入",IF(资负表及利润表调整分录!$I$175:$I$207="y",资负表及利润表调整分录!$H$175:$H$207,0)))-SUM(IF(资负表及利润表调整分录!$C$175:$C$207="上年营业外收入",IF(资负表及利润表调整分录!$I$175:$I$207="y",资负表及利润表调整分录!$G$175:$G$207,0)))+未审利润表!$D$20,2)</f>
        <v>0</v>
      </c>
    </row>
    <row r="21" ht="21" customHeight="1" spans="1:4">
      <c r="A21" s="1796" t="s">
        <v>96</v>
      </c>
      <c r="B21" s="2068" t="s">
        <v>97</v>
      </c>
      <c r="C21" s="1797">
        <f t="array" ref="C21">ROUND(SUM(IF(资负表及利润表调整分录!$C$175:$C$207="营业外支出",IF(资负表及利润表调整分录!$I$175:$I$207="y",资负表及利润表调整分录!$G$175:$G$207,0)))-SUM(IF(资负表及利润表调整分录!$C$175:$C$207="营业外支出",IF(资负表及利润表调整分录!$I$175:$I$207="y",资负表及利润表调整分录!$H$175:$H$207,0)))+未审利润表!$C$21,2)</f>
        <v>0</v>
      </c>
      <c r="D21" s="2174">
        <f t="array" ref="D21">ROUND(SUM(IF(资负表及利润表调整分录!$C$175:$C$207="上年营业外支出",IF(资负表及利润表调整分录!$I$175:$I$207="y",资负表及利润表调整分录!$G$175:$G$207,0)))-SUM(IF(资负表及利润表调整分录!$C$175:$C$207="上年营业外支出",IF(资负表及利润表调整分录!$I$175:$I$207="y",资负表及利润表调整分录!$H$175:$H$207,0)))+未审利润表!$D$21,2)</f>
        <v>0</v>
      </c>
    </row>
    <row r="22" ht="21" customHeight="1" spans="1:4">
      <c r="A22" s="1793" t="s">
        <v>99</v>
      </c>
      <c r="B22" s="2068"/>
      <c r="C22" s="2048">
        <f>ROUND(C19+C20-C21,2)</f>
        <v>0</v>
      </c>
      <c r="D22" s="2176">
        <f>ROUND(D19+D20-D21,2)</f>
        <v>0</v>
      </c>
    </row>
    <row r="23" ht="21" customHeight="1" spans="1:4">
      <c r="A23" s="1796" t="s">
        <v>100</v>
      </c>
      <c r="B23" s="2068" t="s">
        <v>101</v>
      </c>
      <c r="C23" s="1797">
        <f t="array" ref="C23">ROUND(SUM(IF(资负表及利润表调整分录!$C$175:$C$207="所得税费用",IF(资负表及利润表调整分录!$I$175:$I$207="y",资负表及利润表调整分录!$G$175:$G$207,0)))-SUM(IF(资负表及利润表调整分录!$C$175:$C$207="所得税费用",IF(资负表及利润表调整分录!$I$175:$I$207="y",资负表及利润表调整分录!$H$175:$H$207,0)))+未审利润表!$C$23,2)</f>
        <v>0</v>
      </c>
      <c r="D23" s="2174">
        <f t="array" ref="D23">ROUND(SUM(IF(资负表及利润表调整分录!$C$175:$C$207="上年所得税费用",IF(资负表及利润表调整分录!$I$175:$I$207="y",资负表及利润表调整分录!$G$175:$G$207,0)))-SUM(IF(资负表及利润表调整分录!$C$175:$C$207="上年所得税费用",IF(资负表及利润表调整分录!$I$175:$I$207="y",资负表及利润表调整分录!$H$175:$H$207,0)))+未审利润表!$D$23,2)</f>
        <v>0</v>
      </c>
    </row>
    <row r="24" ht="21" customHeight="1" spans="1:4">
      <c r="A24" s="1793" t="s">
        <v>102</v>
      </c>
      <c r="B24" s="2068"/>
      <c r="C24" s="2048">
        <f>ROUND(C22-C23,2)</f>
        <v>0</v>
      </c>
      <c r="D24" s="2069">
        <f>ROUND(D22-D23,2)</f>
        <v>0</v>
      </c>
    </row>
    <row r="25" ht="21" customHeight="1" spans="1:4">
      <c r="A25" s="1796" t="s">
        <v>103</v>
      </c>
      <c r="B25" s="2068"/>
      <c r="C25" s="2177">
        <f>ROUND(C24-C26,2)</f>
        <v>0</v>
      </c>
      <c r="D25" s="2178">
        <f>ROUND(D24-D26,2)</f>
        <v>0</v>
      </c>
    </row>
    <row r="26" ht="21" customHeight="1" spans="1:4">
      <c r="A26" s="1796" t="s">
        <v>104</v>
      </c>
      <c r="B26" s="2179"/>
      <c r="C26" s="2180"/>
      <c r="D26" s="2181"/>
    </row>
    <row r="27" ht="21" customHeight="1" spans="1:4">
      <c r="A27" s="1796" t="s">
        <v>268</v>
      </c>
      <c r="B27" s="2068"/>
      <c r="C27" s="2177">
        <f>C24-C28</f>
        <v>0</v>
      </c>
      <c r="D27" s="2174">
        <f>D24-D28</f>
        <v>0</v>
      </c>
    </row>
    <row r="28" ht="21" customHeight="1" spans="1:4">
      <c r="A28" s="1796" t="s">
        <v>269</v>
      </c>
      <c r="B28" s="2180"/>
      <c r="C28" s="2180"/>
      <c r="D28" s="2181">
        <f t="array" ref="D28">ROUND(SUM(IF(资负表及利润表调整分录!$C$175:$C$207="上年"&amp;TRIM(A28),IF(资负表及利润表调整分录!$I$175:$I$207="y",资负表及利润表调整分录!$H$175:$H$207,0)))-SUM(IF(资负表及利润表调整分录!$C$175:$C$207="上年"&amp;TRIM(A28),IF(资负表及利润表调整分录!$I$175:$I$207="y",资负表及利润表调整分录!$G$175:$G$207,0)))+未审利润表!$D28,2)</f>
        <v>0</v>
      </c>
    </row>
    <row r="29" ht="21" customHeight="1" spans="1:4">
      <c r="A29" s="1793" t="s">
        <v>270</v>
      </c>
      <c r="B29" s="2182" t="s">
        <v>1526</v>
      </c>
      <c r="C29" s="1797">
        <f>未审利润表!C29</f>
        <v>0</v>
      </c>
      <c r="D29" s="2174">
        <f>未审利润表!D29</f>
        <v>0</v>
      </c>
    </row>
    <row r="30" ht="21" customHeight="1" spans="1:4">
      <c r="A30" s="1793" t="s">
        <v>271</v>
      </c>
      <c r="B30" s="1824"/>
      <c r="C30" s="2049">
        <f>C29+C24</f>
        <v>0</v>
      </c>
      <c r="D30" s="2183">
        <f>D24+D29</f>
        <v>0</v>
      </c>
    </row>
    <row r="31" ht="21" customHeight="1" spans="1:4">
      <c r="A31" s="1793" t="s">
        <v>272</v>
      </c>
      <c r="B31" s="1824"/>
      <c r="C31" s="1825"/>
      <c r="D31" s="1826"/>
    </row>
    <row r="32" ht="21" customHeight="1" spans="1:4">
      <c r="A32" s="1796" t="s">
        <v>106</v>
      </c>
      <c r="B32" s="1828"/>
      <c r="C32" s="2184"/>
      <c r="D32" s="1835"/>
    </row>
    <row r="33" ht="21" customHeight="1" spans="1:4">
      <c r="A33" s="2070" t="s">
        <v>107</v>
      </c>
      <c r="B33" s="2185"/>
      <c r="C33" s="2186"/>
      <c r="D33" s="2187"/>
    </row>
    <row r="34" ht="16.5" spans="1:4">
      <c r="A34" s="1845"/>
      <c r="B34" s="1845"/>
      <c r="C34" s="1845"/>
      <c r="D34" s="1845"/>
    </row>
    <row r="35" ht="21" customHeight="1" spans="1:4">
      <c r="A35" s="2188" t="s">
        <v>108</v>
      </c>
      <c r="B35" s="1845"/>
      <c r="C35" s="1845"/>
      <c r="D35" s="1845"/>
    </row>
    <row r="36" ht="21" customHeight="1" spans="1:4">
      <c r="A36" s="2189" t="s">
        <v>109</v>
      </c>
      <c r="B36" s="2190"/>
      <c r="C36" s="2191">
        <f>ROUND(C24,2)</f>
        <v>0</v>
      </c>
      <c r="D36" s="2192">
        <f>ROUND(D24,2)</f>
        <v>0</v>
      </c>
    </row>
    <row r="37" ht="21" customHeight="1" spans="1:4">
      <c r="A37" s="2193" t="s">
        <v>110</v>
      </c>
      <c r="B37" s="1863"/>
      <c r="C37" s="1864">
        <f>ROUND(D39,2)</f>
        <v>0</v>
      </c>
      <c r="D37" s="2194">
        <f t="array" ref="D37">ROUND(SUM(IF(资负表及利润表调整分录!$C$175:$C$207="上年年初未分配利润",IF(资负表及利润表调整分录!$I$175:$I$207="y",资负表及利润表调整分录!$H$175:$H$207,0)))-SUM(IF(资负表及利润表调整分录!$C$175:$C$207="上年年初未分配利润",IF(资负表及利润表调整分录!$I$175:$I$207="y",资负表及利润表调整分录!$G$175:$G$207,0)))+未审利润表!$D$37,2)</f>
        <v>0</v>
      </c>
    </row>
    <row r="38" ht="21" customHeight="1" spans="1:4">
      <c r="A38" s="2193" t="s">
        <v>111</v>
      </c>
      <c r="B38" s="1863"/>
      <c r="C38" s="2195">
        <f t="array" ref="C38">ROUND(SUM(IF(资负表及利润表调整分录!$C$175:$C$207="利润分配",IF(资负表及利润表调整分录!$I$175:$I$207="y",资负表及利润表调整分录!$G$175:$G$207,0)))-SUM(IF(资负表及利润表调整分录!$C$175:$C$207="利润分配",IF(资负表及利润表调整分录!$I$175:$I$207="y",资负表及利润表调整分录!$H$175:$H$207,0)))+未审利润表!$C$38,2)</f>
        <v>0</v>
      </c>
      <c r="D38" s="2194">
        <f t="array" ref="D38">ROUND(SUM(IF(资负表及利润表调整分录!$C$175:$C$207="上年利润分配",IF(资负表及利润表调整分录!$I$175:$I$207="y",资负表及利润表调整分录!$G$175:$G$207,0)))-SUM(IF(资负表及利润表调整分录!$C$175:$C$207="上年利润分配",IF(资负表及利润表调整分录!$I$175:$I$207="y",资负表及利润表调整分录!$H$175:$H$207,0)))+未审利润表!$D$38,2)</f>
        <v>0</v>
      </c>
    </row>
    <row r="39" ht="21" customHeight="1" spans="1:4">
      <c r="A39" s="2196" t="s">
        <v>112</v>
      </c>
      <c r="B39" s="2197"/>
      <c r="C39" s="2198">
        <f>ROUND(C36+C37-C38,2)</f>
        <v>0</v>
      </c>
      <c r="D39" s="2199">
        <f>ROUND(D36+D37-D38,2)</f>
        <v>0</v>
      </c>
    </row>
    <row r="40" ht="21" customHeight="1" spans="1:4">
      <c r="A40" s="2188" t="s">
        <v>274</v>
      </c>
      <c r="B40" s="1845"/>
      <c r="C40" s="1845"/>
      <c r="D40" s="1845"/>
    </row>
  </sheetData>
  <sheetProtection password="CF6E" sheet="1" objects="1" scenarios="1"/>
  <mergeCells count="5">
    <mergeCell ref="A1:D1"/>
    <mergeCell ref="A4:A5"/>
    <mergeCell ref="B4:B5"/>
    <mergeCell ref="C4:C5"/>
    <mergeCell ref="D4:D5"/>
  </mergeCells>
  <hyperlinks>
    <hyperlink ref="B6" location="报表附注!E2527" display="（五十四）"/>
    <hyperlink ref="B7" location="报表附注!E2527" display="（五十四）"/>
    <hyperlink ref="B8" location="报表附注!E2621" display="（五十六）"/>
    <hyperlink ref="B13" location="报表附注!E2637" display="（五十七）"/>
    <hyperlink ref="B14" location="报表附注!E2658" display="（五十八）"/>
    <hyperlink ref="B12" location="报表附注!E2710" display="（五十九）"/>
    <hyperlink ref="B10" location="报表附注!E2752" display="（六十）"/>
    <hyperlink ref="B9" location="报表附注!E2823" display="（六十）"/>
    <hyperlink ref="B11" location="报表附注!E2732" display="（六十）"/>
    <hyperlink ref="B20" location="报表附注!E2913" display="（六十一）"/>
    <hyperlink ref="B21" location="报表附注!E2979" display="（六十二）"/>
    <hyperlink ref="B23" location="报表附注!E2998" display="（六十三）"/>
    <hyperlink ref="B16" location="报表附注!E4104" display="（六十八）"/>
    <hyperlink ref="B18" location="报表附注!E4119" display="（六十九）"/>
    <hyperlink ref="B29" location="报表附注!E4038" display="（六十四）"/>
  </hyperlinks>
  <printOptions horizontalCentered="1"/>
  <pageMargins left="0.393700787401575" right="0.433070866141732" top="0.984251968503937" bottom="1.5748031496063" header="0.511811023622047" footer="1.42"/>
  <pageSetup paperSize="9" orientation="portrait" blackAndWhite="1"/>
  <headerFooter alignWithMargins="0">
    <oddFooter>&amp;L&amp;10企业负责人：&amp;C&amp;10会计机构负责人：&amp;R&amp;10制表人：</oddFooter>
  </headerFooter>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D85"/>
  <sheetViews>
    <sheetView showGridLines="0" showZeros="0" workbookViewId="0">
      <pane xSplit="1" ySplit="5" topLeftCell="B12" activePane="bottomRight" state="frozen"/>
      <selection/>
      <selection pane="topRight"/>
      <selection pane="bottomLeft"/>
      <selection pane="bottomRight" activeCell="G28" sqref="G28"/>
    </sheetView>
  </sheetViews>
  <sheetFormatPr defaultColWidth="9" defaultRowHeight="12.75" outlineLevelCol="3"/>
  <cols>
    <col min="1" max="1" width="47.625" style="2010" customWidth="1"/>
    <col min="2" max="2" width="6" style="2010" customWidth="1"/>
    <col min="3" max="4" width="15.625" style="2013" customWidth="1"/>
    <col min="5" max="16384" width="9" style="2010"/>
  </cols>
  <sheetData>
    <row r="1" ht="25.5" spans="1:4">
      <c r="A1" s="1808" t="s">
        <v>114</v>
      </c>
      <c r="B1" s="1809"/>
      <c r="C1" s="1809"/>
      <c r="D1" s="1809"/>
    </row>
    <row r="2" ht="15" customHeight="1" spans="1:4">
      <c r="A2" s="1778" t="str">
        <f>IF(OR(C2&lt;&gt;0,D2&lt;&gt;"会企03表"),"对应列“期末现金及现金等价物余额”与资产负债表不符，相差：","")</f>
        <v/>
      </c>
      <c r="B2" s="1810"/>
      <c r="C2" s="1779">
        <f>ROUND(C49-审定资负表!C7,2)</f>
        <v>0</v>
      </c>
      <c r="D2" s="1811" t="str">
        <f>IF(ROUND(D49-审定资负表!D7,2)=0,"会企03表",ROUND(D49-审定资负表!D7,2))</f>
        <v>会企03表</v>
      </c>
    </row>
    <row r="3" ht="15" customHeight="1" spans="1:4">
      <c r="A3" s="1781" t="str">
        <f>"编制单位："&amp;参数表!C3</f>
        <v>编制单位：石嘴山市深阳蓝光市政工程有限公司</v>
      </c>
      <c r="B3" s="1782" t="str">
        <f>参数表!D7</f>
        <v>2016年度</v>
      </c>
      <c r="C3" s="1880"/>
      <c r="D3" s="1814" t="str">
        <f>"金额单位："&amp;参数表!F11</f>
        <v>金额单位：人民币元</v>
      </c>
    </row>
    <row r="4" ht="13.5" spans="1:4">
      <c r="A4" s="1815" t="s">
        <v>60</v>
      </c>
      <c r="B4" s="1816" t="s">
        <v>61</v>
      </c>
      <c r="C4" s="1817" t="str">
        <f>审定利润表!C4</f>
        <v>本年金额</v>
      </c>
      <c r="D4" s="1818" t="str">
        <f>审定利润表!D4</f>
        <v>上年金额</v>
      </c>
    </row>
    <row r="5" spans="1:4">
      <c r="A5" s="1819"/>
      <c r="B5" s="1820"/>
      <c r="C5" s="1821"/>
      <c r="D5" s="1822"/>
    </row>
    <row r="6" ht="15" customHeight="1" spans="1:4">
      <c r="A6" s="1823" t="s">
        <v>115</v>
      </c>
      <c r="B6" s="1824"/>
      <c r="C6" s="1825"/>
      <c r="D6" s="1826"/>
    </row>
    <row r="7" ht="15" customHeight="1" spans="1:4">
      <c r="A7" s="1827" t="s">
        <v>116</v>
      </c>
      <c r="B7" s="1828"/>
      <c r="C7" s="1825">
        <f t="array" ref="C7">ROUND(SUM(IF(现流表调整分录!$C$110:$C$154=TRIM(A7),IF(现流表调整分录!$I$110:$I$154="y",现流表调整分录!$G$110:$G$154,0)))-SUM(IF(现流表调整分录!$C$110:$C$154=TRIM(A7),IF(现流表调整分录!$I$110:$I$154="y",现流表调整分录!$H$110:$H$154,0)))+未审现流表!C7,2)</f>
        <v>0</v>
      </c>
      <c r="D7" s="1826">
        <f t="array" ref="D7">ROUND(SUM(IF(现流表调整分录!$C$110:$C$154="上年"&amp;TRIM(A7),IF(现流表调整分录!$I$110:$I$154="y",现流表调整分录!$G$110:$G$154,0)))-SUM(IF(现流表调整分录!$C$110:$C$154="上年"&amp;TRIM(A7),IF(现流表调整分录!$I$110:$I$154="y",现流表调整分录!$H$110:$H$154,0)))+未审现流表!D7,2)</f>
        <v>0</v>
      </c>
    </row>
    <row r="8" ht="15" customHeight="1" spans="1:4">
      <c r="A8" s="1827" t="s">
        <v>117</v>
      </c>
      <c r="B8" s="1828"/>
      <c r="C8" s="1825">
        <f t="array" ref="C8">ROUND(SUM(IF(现流表调整分录!$C$110:$C$154=TRIM(A8),IF(现流表调整分录!$I$110:$I$154="y",现流表调整分录!$G$110:$G$154,0)))-SUM(IF(现流表调整分录!$C$110:$C$154=TRIM(A8),IF(现流表调整分录!$I$110:$I$154="y",现流表调整分录!$H$110:$H$154,0)))+未审现流表!C8,2)</f>
        <v>0</v>
      </c>
      <c r="D8" s="1826">
        <f t="array" ref="D8">ROUND(SUM(IF(现流表调整分录!$C$110:$C$154="上年"&amp;TRIM(A8),IF(现流表调整分录!$I$110:$I$154="y",现流表调整分录!$G$110:$G$154,0)))-SUM(IF(现流表调整分录!$C$110:$C$154="上年"&amp;TRIM(A8),IF(现流表调整分录!$I$110:$I$154="y",现流表调整分录!$H$110:$H$154,0)))+未审现流表!D8,2)</f>
        <v>0</v>
      </c>
    </row>
    <row r="9" ht="15" customHeight="1" spans="1:4">
      <c r="A9" s="1827" t="s">
        <v>118</v>
      </c>
      <c r="B9" s="1773" t="s">
        <v>119</v>
      </c>
      <c r="C9" s="1825">
        <f t="array" ref="C9">ROUND(SUM(IF(现流表调整分录!$C$110:$C$154=TRIM(A9),IF(现流表调整分录!$I$110:$I$154="y",现流表调整分录!$G$110:$G$154,0)))-SUM(IF(现流表调整分录!$C$110:$C$154=TRIM(A9),IF(现流表调整分录!$I$110:$I$154="y",现流表调整分录!$H$110:$H$154,0)))+未审现流表!C9,2)</f>
        <v>0</v>
      </c>
      <c r="D9" s="1826">
        <f t="array" ref="D9">ROUND(SUM(IF(现流表调整分录!$C$110:$C$154="上年"&amp;TRIM(A9),IF(现流表调整分录!$I$110:$I$154="y",现流表调整分录!$G$110:$G$154,0)))-SUM(IF(现流表调整分录!$C$110:$C$154="上年"&amp;TRIM(A9),IF(现流表调整分录!$I$110:$I$154="y",现流表调整分录!$H$110:$H$154,0)))+未审现流表!D9,2)</f>
        <v>0</v>
      </c>
    </row>
    <row r="10" ht="15" customHeight="1" spans="1:4">
      <c r="A10" s="1829" t="s">
        <v>120</v>
      </c>
      <c r="B10" s="1824"/>
      <c r="C10" s="2048">
        <f>ROUND(SUM(C7:C9),2)</f>
        <v>0</v>
      </c>
      <c r="D10" s="2069">
        <f>ROUND(SUM(D7:D9),2)</f>
        <v>0</v>
      </c>
    </row>
    <row r="11" ht="15" customHeight="1" spans="1:4">
      <c r="A11" s="1827" t="s">
        <v>121</v>
      </c>
      <c r="B11" s="1828"/>
      <c r="C11" s="1825">
        <f t="array" ref="C11">ROUND(SUM(IF(现流表调整分录!$C$110:$C$154=TRIM(A11),IF(现流表调整分录!$I$110:$I$154="y",现流表调整分录!$H$110:$H$154,0)))-SUM(IF(现流表调整分录!$C$110:$C$154=TRIM(A11),IF(现流表调整分录!$I$110:$I$154="y",现流表调整分录!$G$110:$G$154,0)))+未审现流表!C11,2)</f>
        <v>0</v>
      </c>
      <c r="D11" s="1826">
        <f t="array" ref="D11">ROUND(SUM(IF(现流表调整分录!$C$110:$C$154="上年"&amp;TRIM(A11),IF(现流表调整分录!$I$110:$I$154="y",现流表调整分录!$H$110:$H$154,0)))-SUM(IF(现流表调整分录!$C$110:$C$154="上年"&amp;TRIM(A11),IF(现流表调整分录!$I$110:$I$154="y",现流表调整分录!$G$110:$G$154,0)))+未审现流表!D11,2)</f>
        <v>0</v>
      </c>
    </row>
    <row r="12" ht="15" customHeight="1" spans="1:4">
      <c r="A12" s="1827" t="s">
        <v>122</v>
      </c>
      <c r="B12" s="1828"/>
      <c r="C12" s="1825">
        <f t="array" ref="C12">ROUND(SUM(IF(现流表调整分录!$C$110:$C$154=TRIM(A12),IF(现流表调整分录!$I$110:$I$154="y",现流表调整分录!$H$110:$H$154,0)))-SUM(IF(现流表调整分录!$C$110:$C$154=TRIM(A12),IF(现流表调整分录!$I$110:$I$154="y",现流表调整分录!$G$110:$G$154,0)))+未审现流表!C12,2)</f>
        <v>0</v>
      </c>
      <c r="D12" s="1826">
        <f t="array" ref="D12">ROUND(SUM(IF(现流表调整分录!$C$110:$C$154="上年"&amp;TRIM(A12),IF(现流表调整分录!$I$110:$I$154="y",现流表调整分录!$H$110:$H$154,0)))-SUM(IF(现流表调整分录!$C$110:$C$154="上年"&amp;TRIM(A12),IF(现流表调整分录!$I$110:$I$154="y",现流表调整分录!$G$110:$G$154,0)))+未审现流表!D12,2)</f>
        <v>0</v>
      </c>
    </row>
    <row r="13" ht="15" customHeight="1" spans="1:4">
      <c r="A13" s="1827" t="s">
        <v>123</v>
      </c>
      <c r="B13" s="1828"/>
      <c r="C13" s="1825">
        <f t="array" ref="C13">ROUND(SUM(IF(现流表调整分录!$C$110:$C$154=TRIM(A13),IF(现流表调整分录!$I$110:$I$154="y",现流表调整分录!$H$110:$H$154,0)))-SUM(IF(现流表调整分录!$C$110:$C$154=TRIM(A13),IF(现流表调整分录!$I$110:$I$154="y",现流表调整分录!$G$110:$G$154,0)))+未审现流表!C13,2)</f>
        <v>0</v>
      </c>
      <c r="D13" s="1826">
        <f t="array" ref="D13">ROUND(SUM(IF(现流表调整分录!$C$110:$C$154="上年"&amp;TRIM(A13),IF(现流表调整分录!$I$110:$I$154="y",现流表调整分录!$H$110:$H$154,0)))-SUM(IF(现流表调整分录!$C$110:$C$154="上年"&amp;TRIM(A13),IF(现流表调整分录!$I$110:$I$154="y",现流表调整分录!$G$110:$G$154,0)))+未审现流表!D13,2)</f>
        <v>0</v>
      </c>
    </row>
    <row r="14" ht="15" customHeight="1" spans="1:4">
      <c r="A14" s="1827" t="s">
        <v>124</v>
      </c>
      <c r="B14" s="1773" t="s">
        <v>119</v>
      </c>
      <c r="C14" s="1825">
        <f t="array" ref="C14">ROUND(SUM(IF(现流表调整分录!$C$110:$C$154=TRIM(A14),IF(现流表调整分录!$I$110:$I$154="y",现流表调整分录!$H$110:$H$154,0)))-SUM(IF(现流表调整分录!$C$110:$C$154=TRIM(A14),IF(现流表调整分录!$I$110:$I$154="y",现流表调整分录!$G$110:$G$154,0)))+未审现流表!C14,2)</f>
        <v>0</v>
      </c>
      <c r="D14" s="1826">
        <f t="array" ref="D14">ROUND(SUM(IF(现流表调整分录!$C$110:$C$154="上年"&amp;TRIM(A14),IF(现流表调整分录!$I$110:$I$154="y",现流表调整分录!$H$110:$H$154,0)))-SUM(IF(现流表调整分录!$C$110:$C$154="上年"&amp;TRIM(A14),IF(现流表调整分录!$I$110:$I$154="y",现流表调整分录!$G$110:$G$154,0)))+未审现流表!D14,2)</f>
        <v>0</v>
      </c>
    </row>
    <row r="15" ht="15" customHeight="1" spans="1:4">
      <c r="A15" s="1829" t="s">
        <v>125</v>
      </c>
      <c r="B15" s="1824"/>
      <c r="C15" s="2048">
        <f>ROUND(SUM(C11:C14),2)</f>
        <v>0</v>
      </c>
      <c r="D15" s="2069">
        <f>ROUND(SUM(D11:D14),2)</f>
        <v>0</v>
      </c>
    </row>
    <row r="16" ht="15" customHeight="1" spans="1:4">
      <c r="A16" s="1829" t="s">
        <v>126</v>
      </c>
      <c r="B16" s="1824"/>
      <c r="C16" s="2048">
        <f>ROUND(C10-C15,2)</f>
        <v>0</v>
      </c>
      <c r="D16" s="2069">
        <f>ROUND(D10-D15,2)</f>
        <v>0</v>
      </c>
    </row>
    <row r="17" ht="15" customHeight="1" spans="1:4">
      <c r="A17" s="1832"/>
      <c r="B17" s="1824"/>
      <c r="C17" s="1825"/>
      <c r="D17" s="1826"/>
    </row>
    <row r="18" ht="15" customHeight="1" spans="1:4">
      <c r="A18" s="1823" t="s">
        <v>127</v>
      </c>
      <c r="B18" s="1824"/>
      <c r="C18" s="1825"/>
      <c r="D18" s="1826"/>
    </row>
    <row r="19" ht="15" customHeight="1" spans="1:4">
      <c r="A19" s="1827" t="s">
        <v>128</v>
      </c>
      <c r="B19" s="1828"/>
      <c r="C19" s="1825">
        <f t="array" ref="C19">ROUND(SUM(IF(现流表调整分录!$C$110:$C$154=TRIM(A19),IF(现流表调整分录!$I$110:$I$154="y",现流表调整分录!$G$110:$G$154,0)))-SUM(IF(现流表调整分录!$C$110:$C$154=TRIM(A19),IF(现流表调整分录!$I$110:$I$154="y",现流表调整分录!$H$110:$H$154,0)))+未审现流表!C19,2)</f>
        <v>0</v>
      </c>
      <c r="D19" s="1826">
        <f t="array" ref="D19">ROUND(SUM(IF(现流表调整分录!$C$110:$C$154="上年"&amp;TRIM(A19),IF(现流表调整分录!$I$110:$I$154="y",现流表调整分录!$G$110:$G$154,0)))-SUM(IF(现流表调整分录!$C$110:$C$154="上年"&amp;TRIM(A19),IF(现流表调整分录!$I$110:$I$154="y",现流表调整分录!$H$110:$H$154,0)))+未审现流表!D19,2)</f>
        <v>0</v>
      </c>
    </row>
    <row r="20" ht="15" customHeight="1" spans="1:4">
      <c r="A20" s="1827" t="s">
        <v>129</v>
      </c>
      <c r="B20" s="1828"/>
      <c r="C20" s="1825">
        <f t="array" ref="C20">ROUND(SUM(IF(现流表调整分录!$C$110:$C$154=TRIM(A20),IF(现流表调整分录!$I$110:$I$154="y",现流表调整分录!$G$110:$G$154,0)))-SUM(IF(现流表调整分录!$C$110:$C$154=TRIM(A20),IF(现流表调整分录!$I$110:$I$154="y",现流表调整分录!$H$110:$H$154,0)))+未审现流表!C20,2)</f>
        <v>0</v>
      </c>
      <c r="D20" s="1826">
        <f t="array" ref="D20">ROUND(SUM(IF(现流表调整分录!$C$110:$C$154="上年"&amp;TRIM(A20),IF(现流表调整分录!$I$110:$I$154="y",现流表调整分录!$G$110:$G$154,0)))-SUM(IF(现流表调整分录!$C$110:$C$154="上年"&amp;TRIM(A20),IF(现流表调整分录!$I$110:$I$154="y",现流表调整分录!$H$110:$H$154,0)))+未审现流表!D20,2)</f>
        <v>0</v>
      </c>
    </row>
    <row r="21" ht="15" customHeight="1" spans="1:4">
      <c r="A21" s="1827" t="s">
        <v>130</v>
      </c>
      <c r="B21" s="1828"/>
      <c r="C21" s="1825">
        <f t="array" ref="C21">ROUND(SUM(IF(现流表调整分录!$C$110:$C$154=TRIM(A21),IF(现流表调整分录!$I$110:$I$154="y",现流表调整分录!$G$110:$G$154,0)))-SUM(IF(现流表调整分录!$C$110:$C$154=TRIM(A21),IF(现流表调整分录!$I$110:$I$154="y",现流表调整分录!$H$110:$H$154,0)))+未审现流表!C21,2)</f>
        <v>0</v>
      </c>
      <c r="D21" s="1826">
        <f t="array" ref="D21">ROUND(SUM(IF(现流表调整分录!$C$110:$C$154="上年"&amp;TRIM(A21),IF(现流表调整分录!$I$110:$I$154="y",现流表调整分录!$G$110:$G$154,0)))-SUM(IF(现流表调整分录!$C$110:$C$154="上年"&amp;TRIM(A21),IF(现流表调整分录!$I$110:$I$154="y",现流表调整分录!$H$110:$H$154,0)))+未审现流表!D21,2)</f>
        <v>0</v>
      </c>
    </row>
    <row r="22" ht="15" customHeight="1" spans="1:4">
      <c r="A22" s="1827" t="s">
        <v>131</v>
      </c>
      <c r="B22" s="1828"/>
      <c r="C22" s="1825">
        <f t="array" ref="C22">ROUND(SUM(IF(现流表调整分录!$C$110:$C$154=TRIM(A22),IF(现流表调整分录!$I$110:$I$154="y",现流表调整分录!$G$110:$G$154,0)))-SUM(IF(现流表调整分录!$C$110:$C$154=TRIM(A22),IF(现流表调整分录!$I$110:$I$154="y",现流表调整分录!$H$110:$H$154,0)))+未审现流表!C22,2)</f>
        <v>0</v>
      </c>
      <c r="D22" s="1826">
        <f t="array" ref="D22">ROUND(SUM(IF(现流表调整分录!$C$110:$C$154="上年"&amp;TRIM(A22),IF(现流表调整分录!$I$110:$I$154="y",现流表调整分录!$G$110:$G$154,0)))-SUM(IF(现流表调整分录!$C$110:$C$154="上年"&amp;TRIM(A22),IF(现流表调整分录!$I$110:$I$154="y",现流表调整分录!$H$110:$H$154,0)))+未审现流表!D22,2)</f>
        <v>0</v>
      </c>
    </row>
    <row r="23" ht="15" customHeight="1" spans="1:4">
      <c r="A23" s="1827" t="s">
        <v>132</v>
      </c>
      <c r="B23" s="1833" t="s">
        <v>133</v>
      </c>
      <c r="C23" s="1825">
        <f t="array" ref="C23">ROUND(SUM(IF(现流表调整分录!$C$110:$C$154=TRIM(A23),IF(现流表调整分录!$I$110:$I$154="y",现流表调整分录!$G$110:$G$154,0)))-SUM(IF(现流表调整分录!$C$110:$C$154=TRIM(A23),IF(现流表调整分录!$I$110:$I$154="y",现流表调整分录!$H$110:$H$154,0)))+未审现流表!C23,2)</f>
        <v>0</v>
      </c>
      <c r="D23" s="1826">
        <f t="array" ref="D23">ROUND(SUM(IF(现流表调整分录!$C$110:$C$154="上年"&amp;TRIM(A23),IF(现流表调整分录!$I$110:$I$154="y",现流表调整分录!$G$110:$G$154,0)))-SUM(IF(现流表调整分录!$C$110:$C$154="上年"&amp;TRIM(A23),IF(现流表调整分录!$I$110:$I$154="y",现流表调整分录!$H$110:$H$154,0)))+未审现流表!D23,2)</f>
        <v>0</v>
      </c>
    </row>
    <row r="24" ht="15" customHeight="1" spans="1:4">
      <c r="A24" s="1829" t="s">
        <v>134</v>
      </c>
      <c r="B24" s="1824"/>
      <c r="C24" s="2048">
        <f>ROUND(SUM(C19:C23),2)</f>
        <v>0</v>
      </c>
      <c r="D24" s="2069">
        <f>ROUND(SUM(D19:D23),2)</f>
        <v>0</v>
      </c>
    </row>
    <row r="25" ht="15" customHeight="1" spans="1:4">
      <c r="A25" s="1827" t="s">
        <v>135</v>
      </c>
      <c r="B25" s="1828"/>
      <c r="C25" s="1825">
        <f t="array" ref="C25">ROUND(SUM(IF(现流表调整分录!$C$110:$C$154=TRIM(A25),IF(现流表调整分录!$I$110:$I$154="y",现流表调整分录!$H$110:$H$154,0)))-SUM(IF(现流表调整分录!$C$110:$C$154=TRIM(A25),IF(现流表调整分录!$I$110:$I$154="y",现流表调整分录!$G$110:$G$154,0)))+未审现流表!C25,2)</f>
        <v>0</v>
      </c>
      <c r="D25" s="1826">
        <f t="array" ref="D25">ROUND(SUM(IF(现流表调整分录!$C$110:$C$154="上年"&amp;TRIM(A25),IF(现流表调整分录!$I$110:$I$154="y",现流表调整分录!$H$110:$H$154,0)))-SUM(IF(现流表调整分录!$C$110:$C$154="上年"&amp;TRIM(A25),IF(现流表调整分录!$I$110:$I$154="y",现流表调整分录!$G$110:$G$154,0)))+未审现流表!D25,2)</f>
        <v>0</v>
      </c>
    </row>
    <row r="26" ht="15" customHeight="1" spans="1:4">
      <c r="A26" s="1827" t="s">
        <v>136</v>
      </c>
      <c r="B26" s="1828"/>
      <c r="C26" s="1825">
        <f t="array" ref="C26">ROUND(SUM(IF(现流表调整分录!$C$110:$C$154=TRIM(A26),IF(现流表调整分录!$I$110:$I$154="y",现流表调整分录!$H$110:$H$154,0)))-SUM(IF(现流表调整分录!$C$110:$C$154=TRIM(A26),IF(现流表调整分录!$I$110:$I$154="y",现流表调整分录!$G$110:$G$154,0)))+未审现流表!C26,2)</f>
        <v>0</v>
      </c>
      <c r="D26" s="1826">
        <f t="array" ref="D26">ROUND(SUM(IF(现流表调整分录!$C$110:$C$154="上年"&amp;TRIM(A26),IF(现流表调整分录!$I$110:$I$154="y",现流表调整分录!$H$110:$H$154,0)))-SUM(IF(现流表调整分录!$C$110:$C$154="上年"&amp;TRIM(A26),IF(现流表调整分录!$I$110:$I$154="y",现流表调整分录!$G$110:$G$154,0)))+未审现流表!D26,2)</f>
        <v>0</v>
      </c>
    </row>
    <row r="27" ht="15" customHeight="1" spans="1:4">
      <c r="A27" s="1827" t="s">
        <v>137</v>
      </c>
      <c r="B27" s="1828"/>
      <c r="C27" s="1825">
        <f t="array" ref="C27">ROUND(SUM(IF(现流表调整分录!$C$110:$C$154=TRIM(A27),IF(现流表调整分录!$I$110:$I$154="y",现流表调整分录!$H$110:$H$154,0)))-SUM(IF(现流表调整分录!$C$110:$C$154=TRIM(A27),IF(现流表调整分录!$I$110:$I$154="y",现流表调整分录!$G$110:$G$154,0)))+未审现流表!C27,2)</f>
        <v>0</v>
      </c>
      <c r="D27" s="1826">
        <f t="array" ref="D27">ROUND(SUM(IF(现流表调整分录!$C$110:$C$154="上年"&amp;TRIM(A27),IF(现流表调整分录!$I$110:$I$154="y",现流表调整分录!$H$110:$H$154,0)))-SUM(IF(现流表调整分录!$C$110:$C$154="上年"&amp;TRIM(A27),IF(现流表调整分录!$I$110:$I$154="y",现流表调整分录!$G$110:$G$154,0)))+未审现流表!D27,2)</f>
        <v>0</v>
      </c>
    </row>
    <row r="28" ht="15" customHeight="1" spans="1:4">
      <c r="A28" s="1827" t="s">
        <v>138</v>
      </c>
      <c r="B28" s="1833" t="s">
        <v>133</v>
      </c>
      <c r="C28" s="1825">
        <f t="array" ref="C28">ROUND(SUM(IF(现流表调整分录!$C$110:$C$154=TRIM(A28),IF(现流表调整分录!$I$110:$I$154="y",现流表调整分录!$H$110:$H$154,0)))-SUM(IF(现流表调整分录!$C$110:$C$154=TRIM(A28),IF(现流表调整分录!$I$110:$I$154="y",现流表调整分录!$G$110:$G$154,0)))+未审现流表!C28,2)</f>
        <v>0</v>
      </c>
      <c r="D28" s="1826">
        <f t="array" ref="D28">ROUND(SUM(IF(现流表调整分录!$C$110:$C$154="上年"&amp;TRIM(A28),IF(现流表调整分录!$I$110:$I$154="y",现流表调整分录!$H$110:$H$154,0)))-SUM(IF(现流表调整分录!$C$110:$C$154="上年"&amp;TRIM(A28),IF(现流表调整分录!$I$110:$I$154="y",现流表调整分录!$G$110:$G$154,0)))+未审现流表!D28,2)</f>
        <v>0</v>
      </c>
    </row>
    <row r="29" ht="15" customHeight="1" spans="1:4">
      <c r="A29" s="1829" t="s">
        <v>139</v>
      </c>
      <c r="B29" s="1824"/>
      <c r="C29" s="2048">
        <f>ROUND(SUM(C25:C28),2)</f>
        <v>0</v>
      </c>
      <c r="D29" s="2069">
        <f>ROUND(SUM(D25:D28),2)</f>
        <v>0</v>
      </c>
    </row>
    <row r="30" ht="15" customHeight="1" spans="1:4">
      <c r="A30" s="1829" t="s">
        <v>140</v>
      </c>
      <c r="B30" s="1824"/>
      <c r="C30" s="2048">
        <f>ROUND(C24-C29,2)</f>
        <v>0</v>
      </c>
      <c r="D30" s="2069">
        <f>ROUND(D24-D29,2)</f>
        <v>0</v>
      </c>
    </row>
    <row r="31" ht="15" customHeight="1" spans="1:4">
      <c r="A31" s="1834"/>
      <c r="B31" s="1824"/>
      <c r="C31" s="1825"/>
      <c r="D31" s="1826"/>
    </row>
    <row r="32" ht="15" customHeight="1" spans="1:4">
      <c r="A32" s="1823" t="s">
        <v>141</v>
      </c>
      <c r="B32" s="1824"/>
      <c r="C32" s="1825"/>
      <c r="D32" s="1826"/>
    </row>
    <row r="33" ht="15" customHeight="1" spans="1:4">
      <c r="A33" s="1827" t="s">
        <v>142</v>
      </c>
      <c r="B33" s="1828"/>
      <c r="C33" s="1825">
        <f t="array" ref="C33">ROUND(SUM(IF(现流表调整分录!$C$110:$C$154=TRIM(A33),IF(现流表调整分录!$I$110:$I$154="y",现流表调整分录!$G$110:$G$154,0)))-SUM(IF(现流表调整分录!$C$110:$C$154=TRIM(A33),IF(现流表调整分录!$I$110:$I$154="y",现流表调整分录!$H$110:$H$154,0)))+未审现流表!C33,2)</f>
        <v>0</v>
      </c>
      <c r="D33" s="1826">
        <f t="array" ref="D33">ROUND(SUM(IF(现流表调整分录!$C$110:$C$154="上年"&amp;TRIM(A33),IF(现流表调整分录!$I$110:$I$154="y",现流表调整分录!$G$110:$G$154,0)))-SUM(IF(现流表调整分录!$C$110:$C$154="上年"&amp;TRIM(A33),IF(现流表调整分录!$I$110:$I$154="y",现流表调整分录!$H$110:$H$154,0)))+未审现流表!D33,2)</f>
        <v>0</v>
      </c>
    </row>
    <row r="34" ht="15" hidden="1" customHeight="1" spans="1:4">
      <c r="A34" s="1827" t="s">
        <v>143</v>
      </c>
      <c r="B34" s="1828"/>
      <c r="C34" s="1825">
        <f t="array" ref="C34">ROUND(SUM(IF(现流表调整分录!$C$110:$C$154=TRIM(A34),IF(现流表调整分录!$I$110:$I$154="y",现流表调整分录!$G$110:$G$154,0)))-SUM(IF(现流表调整分录!$C$110:$C$154=TRIM(A34),IF(现流表调整分录!$I$110:$I$154="y",现流表调整分录!$H$110:$H$154,0)))+未审现流表!C34,2)</f>
        <v>0</v>
      </c>
      <c r="D34" s="1826">
        <f t="array" ref="D34">ROUND(SUM(IF(现流表调整分录!$C$110:$C$154="上年"&amp;TRIM(A34),IF(现流表调整分录!$I$110:$I$154="y",现流表调整分录!$G$110:$G$154,0)))-SUM(IF(现流表调整分录!$C$110:$C$154="上年"&amp;TRIM(A34),IF(现流表调整分录!$I$110:$I$154="y",现流表调整分录!$H$110:$H$154,0)))+未审现流表!D34,2)</f>
        <v>0</v>
      </c>
    </row>
    <row r="35" ht="15" customHeight="1" spans="1:4">
      <c r="A35" s="1827" t="s">
        <v>144</v>
      </c>
      <c r="B35" s="1828"/>
      <c r="C35" s="1825">
        <f t="array" ref="C35">ROUND(SUM(IF(现流表调整分录!$C$110:$C$154=TRIM(A35),IF(现流表调整分录!$I$110:$I$154="y",现流表调整分录!$G$110:$G$154,0)))-SUM(IF(现流表调整分录!$C$110:$C$154=TRIM(A35),IF(现流表调整分录!$I$110:$I$154="y",现流表调整分录!$H$110:$H$154,0)))+未审现流表!C35,2)</f>
        <v>0</v>
      </c>
      <c r="D35" s="1826">
        <f t="array" ref="D35">ROUND(SUM(IF(现流表调整分录!$C$110:$C$154="上年"&amp;TRIM(A35),IF(现流表调整分录!$I$110:$I$154="y",现流表调整分录!$G$110:$G$154,0)))-SUM(IF(现流表调整分录!$C$110:$C$154="上年"&amp;TRIM(A35),IF(现流表调整分录!$I$110:$I$154="y",现流表调整分录!$H$110:$H$154,0)))+未审现流表!D35,2)</f>
        <v>0</v>
      </c>
    </row>
    <row r="36" ht="15" customHeight="1" spans="1:4">
      <c r="A36" s="1827" t="s">
        <v>145</v>
      </c>
      <c r="B36" s="1828"/>
      <c r="C36" s="1825">
        <f t="array" ref="C36">ROUND(SUM(IF(现流表调整分录!$C$110:$C$154=TRIM(A36),IF(现流表调整分录!$I$110:$I$154="y",现流表调整分录!$G$110:$G$154,0)))-SUM(IF(现流表调整分录!$C$110:$C$154=TRIM(A36),IF(现流表调整分录!$I$110:$I$154="y",现流表调整分录!$H$110:$H$154,0)))+未审现流表!C36,2)</f>
        <v>0</v>
      </c>
      <c r="D36" s="1826">
        <f t="array" ref="D36">ROUND(SUM(IF(现流表调整分录!$C$110:$C$154="上年"&amp;TRIM(A36),IF(现流表调整分录!$I$110:$I$154="y",现流表调整分录!$G$110:$G$154,0)))-SUM(IF(现流表调整分录!$C$110:$C$154="上年"&amp;TRIM(A36),IF(现流表调整分录!$I$110:$I$154="y",现流表调整分录!$H$110:$H$154,0)))+未审现流表!D36,2)</f>
        <v>0</v>
      </c>
    </row>
    <row r="37" ht="15" customHeight="1" spans="1:4">
      <c r="A37" s="1827" t="s">
        <v>146</v>
      </c>
      <c r="B37" s="1833" t="s">
        <v>147</v>
      </c>
      <c r="C37" s="1825">
        <f t="array" ref="C37">ROUND(SUM(IF(现流表调整分录!$C$110:$C$154=TRIM(A37),IF(现流表调整分录!$I$110:$I$154="y",现流表调整分录!$G$110:$G$154,0)))-SUM(IF(现流表调整分录!$C$110:$C$154=TRIM(A37),IF(现流表调整分录!$I$110:$I$154="y",现流表调整分录!$H$110:$H$154,0)))+未审现流表!C37,2)</f>
        <v>0</v>
      </c>
      <c r="D37" s="1826">
        <f t="array" ref="D37">ROUND(SUM(IF(现流表调整分录!$C$110:$C$154="上年"&amp;TRIM(A37),IF(现流表调整分录!$I$110:$I$154="y",现流表调整分录!$G$110:$G$154,0)))-SUM(IF(现流表调整分录!$C$110:$C$154="上年"&amp;TRIM(A37),IF(现流表调整分录!$I$110:$I$154="y",现流表调整分录!$H$110:$H$154,0)))+未审现流表!D37,2)</f>
        <v>0</v>
      </c>
    </row>
    <row r="38" ht="15" customHeight="1" spans="1:4">
      <c r="A38" s="1829" t="s">
        <v>148</v>
      </c>
      <c r="B38" s="1824"/>
      <c r="C38" s="2048">
        <f>ROUND(SUM(C33:C37)-C34,2)</f>
        <v>0</v>
      </c>
      <c r="D38" s="2069">
        <f>ROUND(SUM(D33:D37)-D34,2)</f>
        <v>0</v>
      </c>
    </row>
    <row r="39" ht="15" customHeight="1" spans="1:4">
      <c r="A39" s="1827" t="s">
        <v>149</v>
      </c>
      <c r="B39" s="1828"/>
      <c r="C39" s="1825">
        <f t="array" ref="C39">ROUND(SUM(IF(现流表调整分录!$C$110:$C$154=TRIM(A39),IF(现流表调整分录!$I$110:$I$154="y",现流表调整分录!$H$110:$H$154,0)))-SUM(IF(现流表调整分录!$C$110:$C$154=TRIM(A39),IF(现流表调整分录!$I$110:$I$154="y",现流表调整分录!$G$110:$G$154,0)))+未审现流表!C39,2)</f>
        <v>0</v>
      </c>
      <c r="D39" s="1826">
        <f t="array" ref="D39">ROUND(SUM(IF(现流表调整分录!$C$110:$C$154="上年"&amp;TRIM(A39),IF(现流表调整分录!$I$110:$I$154="y",现流表调整分录!$H$110:$H$154,0)))-SUM(IF(现流表调整分录!$C$110:$C$154="上年"&amp;TRIM(A39),IF(现流表调整分录!$I$110:$I$154="y",现流表调整分录!$G$110:$G$154,0)))+未审现流表!D39,2)</f>
        <v>0</v>
      </c>
    </row>
    <row r="40" ht="15" customHeight="1" spans="1:4">
      <c r="A40" s="1827" t="s">
        <v>150</v>
      </c>
      <c r="B40" s="1828"/>
      <c r="C40" s="1825">
        <f t="array" ref="C40">ROUND(SUM(IF(现流表调整分录!$C$110:$C$154=TRIM(A40),IF(现流表调整分录!$I$110:$I$154="y",现流表调整分录!$H$110:$H$154,0)))-SUM(IF(现流表调整分录!$C$110:$C$154=TRIM(A40),IF(现流表调整分录!$I$110:$I$154="y",现流表调整分录!$G$110:$G$154,0)))+未审现流表!C40,2)</f>
        <v>0</v>
      </c>
      <c r="D40" s="1826">
        <f t="array" ref="D40">ROUND(SUM(IF(现流表调整分录!$C$110:$C$154="上年"&amp;TRIM(A40),IF(现流表调整分录!$I$110:$I$154="y",现流表调整分录!$H$110:$H$154,0)))-SUM(IF(现流表调整分录!$C$110:$C$154="上年"&amp;TRIM(A40),IF(现流表调整分录!$I$110:$I$154="y",现流表调整分录!$G$110:$G$154,0)))+未审现流表!D40,2)</f>
        <v>0</v>
      </c>
    </row>
    <row r="41" ht="15" hidden="1" customHeight="1" spans="1:4">
      <c r="A41" s="1827" t="s">
        <v>151</v>
      </c>
      <c r="B41" s="1828"/>
      <c r="C41" s="1825">
        <f t="array" ref="C41">ROUND(SUM(IF(现流表调整分录!$C$110:$C$154=TRIM(A41),IF(现流表调整分录!$I$110:$I$154="y",现流表调整分录!$H$110:$H$154,0)))-SUM(IF(现流表调整分录!$C$110:$C$154=TRIM(A41),IF(现流表调整分录!$I$110:$I$154="y",现流表调整分录!$G$110:$G$154,0)))+未审现流表!C41,2)</f>
        <v>0</v>
      </c>
      <c r="D41" s="1826">
        <f t="array" ref="D41">ROUND(SUM(IF(现流表调整分录!$C$110:$C$154="上年"&amp;TRIM(A41),IF(现流表调整分录!$I$110:$I$154="y",现流表调整分录!$H$110:$H$154,0)))-SUM(IF(现流表调整分录!$C$110:$C$154="上年"&amp;TRIM(A41),IF(现流表调整分录!$I$110:$I$154="y",现流表调整分录!$G$110:$G$154,0)))+未审现流表!D41,2)</f>
        <v>0</v>
      </c>
    </row>
    <row r="42" ht="15" customHeight="1" spans="1:4">
      <c r="A42" s="1827" t="s">
        <v>152</v>
      </c>
      <c r="B42" s="1833" t="s">
        <v>147</v>
      </c>
      <c r="C42" s="1825">
        <f t="array" ref="C42">ROUND(SUM(IF(现流表调整分录!$C$110:$C$154=TRIM(A42),IF(现流表调整分录!$I$110:$I$154="y",现流表调整分录!$H$110:$H$154,0)))-SUM(IF(现流表调整分录!$C$110:$C$154=TRIM(A42),IF(现流表调整分录!$I$110:$I$154="y",现流表调整分录!$G$110:$G$154,0)))+未审现流表!C42,2)</f>
        <v>0</v>
      </c>
      <c r="D42" s="1826">
        <f t="array" ref="D42">ROUND(SUM(IF(现流表调整分录!$C$110:$C$154="上年"&amp;TRIM(A42),IF(现流表调整分录!$I$110:$I$154="y",现流表调整分录!$H$110:$H$154,0)))-SUM(IF(现流表调整分录!$C$110:$C$154="上年"&amp;TRIM(A42),IF(现流表调整分录!$I$110:$I$154="y",现流表调整分录!$G$110:$G$154,0)))+未审现流表!D42,2)</f>
        <v>0</v>
      </c>
    </row>
    <row r="43" ht="15" customHeight="1" spans="1:4">
      <c r="A43" s="1829" t="s">
        <v>153</v>
      </c>
      <c r="B43" s="1824"/>
      <c r="C43" s="2048">
        <f>ROUND(SUM(C39:C42)-C41,2)</f>
        <v>0</v>
      </c>
      <c r="D43" s="2069">
        <f>ROUND(SUM(D39:D42)-D41,2)</f>
        <v>0</v>
      </c>
    </row>
    <row r="44" ht="15" customHeight="1" spans="1:4">
      <c r="A44" s="1829" t="s">
        <v>154</v>
      </c>
      <c r="B44" s="1824"/>
      <c r="C44" s="2048">
        <f>ROUND(C38-C43,2)</f>
        <v>0</v>
      </c>
      <c r="D44" s="2069">
        <f>ROUND(D38-D43,2)</f>
        <v>0</v>
      </c>
    </row>
    <row r="45" ht="15" customHeight="1" spans="1:4">
      <c r="A45" s="1834"/>
      <c r="B45" s="1824"/>
      <c r="C45" s="1825"/>
      <c r="D45" s="1826"/>
    </row>
    <row r="46" ht="15" customHeight="1" spans="1:4">
      <c r="A46" s="1823" t="s">
        <v>155</v>
      </c>
      <c r="B46" s="1828"/>
      <c r="C46" s="1825">
        <f t="array" ref="C46">ROUND(SUM(IF(现流表调整分录!$C$110:$C$154=TRIM(A46),IF(现流表调整分录!$I$110:$I$154="y",现流表调整分录!$G$110:$G$154,0)))-SUM(IF(现流表调整分录!$C$110:$C$154=TRIM(A46),IF(现流表调整分录!$I$110:$I$154="y",现流表调整分录!$H$110:$H$154,0)))+未审现流表!C46,2)</f>
        <v>0</v>
      </c>
      <c r="D46" s="1826">
        <f t="array" ref="D46">ROUND(SUM(IF(现流表调整分录!$C$110:$C$154="上年"&amp;TRIM(A46),IF(现流表调整分录!$I$110:$I$154="y",现流表调整分录!$G$110:$G$154,0)))-SUM(IF(现流表调整分录!$C$110:$C$154="上年"&amp;TRIM(A46),IF(现流表调整分录!$I$110:$I$154="y",现流表调整分录!$H$110:$H$154,0)))+未审现流表!D46,2)</f>
        <v>0</v>
      </c>
    </row>
    <row r="47" ht="15" customHeight="1" spans="1:4">
      <c r="A47" s="1823" t="s">
        <v>156</v>
      </c>
      <c r="B47" s="1824"/>
      <c r="C47" s="2048">
        <f>ROUND(C16+C30+C44+C46,2)</f>
        <v>0</v>
      </c>
      <c r="D47" s="2069">
        <f>ROUND(D16+D30+D44+D46,2)</f>
        <v>0</v>
      </c>
    </row>
    <row r="48" ht="15" customHeight="1" spans="1:4">
      <c r="A48" s="1827" t="s">
        <v>157</v>
      </c>
      <c r="B48" s="1824"/>
      <c r="C48" s="1825">
        <f>ROUND(D49,2)</f>
        <v>0</v>
      </c>
      <c r="D48" s="1835">
        <f>ROUND(未审现流表!D48,2)</f>
        <v>0</v>
      </c>
    </row>
    <row r="49" ht="15" customHeight="1" spans="1:4">
      <c r="A49" s="1836" t="s">
        <v>158</v>
      </c>
      <c r="B49" s="1837"/>
      <c r="C49" s="2052">
        <f>ROUND(C47+C48,2)</f>
        <v>0</v>
      </c>
      <c r="D49" s="2158">
        <f>ROUND(D47+D48,2)</f>
        <v>0</v>
      </c>
    </row>
    <row r="50" ht="13.5" spans="1:4">
      <c r="A50" s="1810"/>
      <c r="B50" s="1810"/>
      <c r="C50" s="1880"/>
      <c r="D50" s="1880"/>
    </row>
    <row r="51" spans="1:4">
      <c r="A51" s="1778" t="str">
        <f>IF(OR(C51&lt;&gt;0,D51&lt;&gt;0),"主表的经营活动现金产生的流量净额与附表不符，相差：","")</f>
        <v/>
      </c>
      <c r="B51" s="1810"/>
      <c r="C51" s="1779">
        <f>ROUND(C16-C72,2)</f>
        <v>0</v>
      </c>
      <c r="D51" s="1779">
        <f>ROUND(D16-D72,2)</f>
        <v>0</v>
      </c>
    </row>
    <row r="52" ht="15" customHeight="1" spans="1:4">
      <c r="A52" s="2159" t="s">
        <v>1531</v>
      </c>
      <c r="B52" s="1810"/>
      <c r="C52" s="1880"/>
      <c r="D52" s="1880"/>
    </row>
    <row r="53" ht="15" customHeight="1" spans="1:4">
      <c r="A53" s="2160" t="s">
        <v>159</v>
      </c>
      <c r="B53" s="1810"/>
      <c r="C53" s="1880"/>
      <c r="D53" s="1880"/>
    </row>
    <row r="54" ht="15" customHeight="1" spans="1:4">
      <c r="A54" s="2161" t="s">
        <v>160</v>
      </c>
      <c r="B54" s="1816" t="s">
        <v>161</v>
      </c>
      <c r="C54" s="2162" t="str">
        <f>C4</f>
        <v>本年金额</v>
      </c>
      <c r="D54" s="2163" t="str">
        <f>D4</f>
        <v>上年金额</v>
      </c>
    </row>
    <row r="55" ht="15" customHeight="1" spans="1:4">
      <c r="A55" s="2164" t="s">
        <v>163</v>
      </c>
      <c r="B55" s="1824"/>
      <c r="C55" s="1825"/>
      <c r="D55" s="1826"/>
    </row>
    <row r="56" ht="15" customHeight="1" spans="1:4">
      <c r="A56" s="2165" t="s">
        <v>109</v>
      </c>
      <c r="B56" s="2098"/>
      <c r="C56" s="1825">
        <f>ROUND(审定利润表!C24,2)</f>
        <v>0</v>
      </c>
      <c r="D56" s="1826">
        <f>ROUND(审定利润表!D24,2)</f>
        <v>0</v>
      </c>
    </row>
    <row r="57" ht="15" customHeight="1" spans="1:4">
      <c r="A57" s="1827" t="s">
        <v>164</v>
      </c>
      <c r="B57" s="2098"/>
      <c r="C57" s="1825">
        <f t="array" ref="C57">ROUND(SUM(IF(现流表调整分录!$C$110:$C$154="计提的资产减值准备",IF(现流表调整分录!$I$110:$I$154="y",现流表调整分录!$G$110:$G$154,0)))-SUM(IF(现流表调整分录!$C$110:$C$154="计提的资产减值准备",IF(现流表调整分录!$I$110:$I$154="y",现流表调整分录!$H$110:$H$154,0)))+未审现流表!C57,2)</f>
        <v>0</v>
      </c>
      <c r="D57" s="1826">
        <f t="array" ref="D57">ROUND(SUM(IF(现流表调整分录!$C$110:$C$154="上年计提的资产减值准备",IF(现流表调整分录!$I$110:$I$154="y",现流表调整分录!$G$110:$G$154,0)))-SUM(IF(现流表调整分录!$C$110:$C$154="上年计提的资产减值准备",IF(现流表调整分录!$I$110:$I$154="y",现流表调整分录!$H$110:$H$154,0)))+未审现流表!D57,2)</f>
        <v>0</v>
      </c>
    </row>
    <row r="58" ht="15" customHeight="1" spans="1:4">
      <c r="A58" s="2165" t="s">
        <v>165</v>
      </c>
      <c r="B58" s="2098"/>
      <c r="C58" s="1825">
        <f t="array" ref="C58">ROUND(SUM(IF(现流表调整分录!$C$110:$C$154=TRIM(A58),IF(现流表调整分录!$I$110:$I$154="y",现流表调整分录!$G$110:$G$154,0)))-SUM(IF(现流表调整分录!$C$110:$C$154=TRIM(A58),IF(现流表调整分录!$I$110:$I$154="y",现流表调整分录!$H$110:$H$154,0)))+未审现流表!C58,2)</f>
        <v>0</v>
      </c>
      <c r="D58" s="1826">
        <f t="array" ref="D58">ROUND(SUM(IF(现流表调整分录!$C$110:$C$154="上年"&amp;TRIM(A58),IF(现流表调整分录!$I$110:$I$154="y",现流表调整分录!$G$110:$G$154,0)))-SUM(IF(现流表调整分录!$C$110:$C$154="上年"&amp;TRIM(A58),IF(现流表调整分录!$I$110:$I$154="y",现流表调整分录!$H$110:$H$154,0)))+未审现流表!D58,2)</f>
        <v>0</v>
      </c>
    </row>
    <row r="59" ht="15" customHeight="1" spans="1:4">
      <c r="A59" s="2165" t="s">
        <v>166</v>
      </c>
      <c r="B59" s="2098"/>
      <c r="C59" s="1825">
        <f t="array" ref="C59">ROUND(SUM(IF(现流表调整分录!$C$110:$C$154=TRIM(A59),IF(现流表调整分录!$I$110:$I$154="y",现流表调整分录!$G$110:$G$154,0)))-SUM(IF(现流表调整分录!$C$110:$C$154=TRIM(A59),IF(现流表调整分录!$I$110:$I$154="y",现流表调整分录!$H$110:$H$154,0)))+未审现流表!C59,2)</f>
        <v>0</v>
      </c>
      <c r="D59" s="1826">
        <f t="array" ref="D59">ROUND(SUM(IF(现流表调整分录!$C$110:$C$154="上年"&amp;TRIM(A59),IF(现流表调整分录!$I$110:$I$154="y",现流表调整分录!$G$110:$G$154,0)))-SUM(IF(现流表调整分录!$C$110:$C$154="上年"&amp;TRIM(A59),IF(现流表调整分录!$I$110:$I$154="y",现流表调整分录!$H$110:$H$154,0)))+未审现流表!D59,2)</f>
        <v>0</v>
      </c>
    </row>
    <row r="60" ht="15" customHeight="1" spans="1:4">
      <c r="A60" s="2165" t="s">
        <v>167</v>
      </c>
      <c r="B60" s="2098"/>
      <c r="C60" s="1825">
        <f t="array" ref="C60">ROUND(SUM(IF(现流表调整分录!$C$110:$C$154=TRIM(A60),IF(现流表调整分录!$I$110:$I$154="y",现流表调整分录!$G$110:$G$154,0)))-SUM(IF(现流表调整分录!$C$110:$C$154=TRIM(A60),IF(现流表调整分录!$I$110:$I$154="y",现流表调整分录!$H$110:$H$154,0)))+未审现流表!C60,2)</f>
        <v>0</v>
      </c>
      <c r="D60" s="1826">
        <f t="array" ref="D60">ROUND(SUM(IF(现流表调整分录!$C$110:$C$154="上年"&amp;TRIM(A60),IF(现流表调整分录!$I$110:$I$154="y",现流表调整分录!$G$110:$G$154,0)))-SUM(IF(现流表调整分录!$C$110:$C$154="上年"&amp;TRIM(A60),IF(现流表调整分录!$I$110:$I$154="y",现流表调整分录!$H$110:$H$154,0)))+未审现流表!D60,2)</f>
        <v>0</v>
      </c>
    </row>
    <row r="61" ht="15" customHeight="1" spans="1:4">
      <c r="A61" s="2165" t="s">
        <v>168</v>
      </c>
      <c r="B61" s="2098"/>
      <c r="C61" s="1825">
        <f t="array" ref="C61">ROUND(SUM(IF(现流表调整分录!$C$110:$C$154=TRIM(A61),IF(现流表调整分录!$I$110:$I$154="y",现流表调整分录!$G$110:$G$154,0)))-SUM(IF(现流表调整分录!$C$110:$C$154=TRIM(A61),IF(现流表调整分录!$I$110:$I$154="y",现流表调整分录!$H$110:$H$154,0)))+未审现流表!C61,2)</f>
        <v>0</v>
      </c>
      <c r="D61" s="1826">
        <f t="array" ref="D61">ROUND(SUM(IF(现流表调整分录!$C$110:$C$154="上年"&amp;TRIM(A61),IF(现流表调整分录!$I$110:$I$154="y",现流表调整分录!$G$110:$G$154,0)))-SUM(IF(现流表调整分录!$C$110:$C$154="上年"&amp;TRIM(A61),IF(现流表调整分录!$I$110:$I$154="y",现流表调整分录!$H$110:$H$154,0)))+未审现流表!D61,2)</f>
        <v>0</v>
      </c>
    </row>
    <row r="62" ht="15" customHeight="1" spans="1:4">
      <c r="A62" s="2165" t="s">
        <v>169</v>
      </c>
      <c r="B62" s="2098"/>
      <c r="C62" s="1825">
        <f t="array" ref="C62">ROUND(SUM(IF(现流表调整分录!$C$110:$C$154=TRIM(A62),IF(现流表调整分录!$I$110:$I$154="y",现流表调整分录!$G$110:$G$154,0)))-SUM(IF(现流表调整分录!$C$110:$C$154=TRIM(A62),IF(现流表调整分录!$I$110:$I$154="y",现流表调整分录!$H$110:$H$154,0)))+未审现流表!C62,2)</f>
        <v>0</v>
      </c>
      <c r="D62" s="1826">
        <f t="array" ref="D62">ROUND(SUM(IF(现流表调整分录!$C$110:$C$154="上年"&amp;TRIM(A62),IF(现流表调整分录!$I$110:$I$154="y",现流表调整分录!$G$110:$G$154,0)))-SUM(IF(现流表调整分录!$C$110:$C$154="上年"&amp;TRIM(A62),IF(现流表调整分录!$I$110:$I$154="y",现流表调整分录!$H$110:$H$154,0)))+未审现流表!D62,2)</f>
        <v>0</v>
      </c>
    </row>
    <row r="63" ht="15" customHeight="1" spans="1:4">
      <c r="A63" s="2165" t="s">
        <v>170</v>
      </c>
      <c r="B63" s="2098"/>
      <c r="C63" s="1825">
        <f t="array" ref="C63">ROUND(SUM(IF(现流表调整分录!$C$110:$C$154=TRIM(A63),IF(现流表调整分录!$I$110:$I$154="y",现流表调整分录!$G$110:$G$154,0)))-SUM(IF(现流表调整分录!$C$110:$C$154=TRIM(A63),IF(现流表调整分录!$I$110:$I$154="y",现流表调整分录!$H$110:$H$154,0)))+未审现流表!C63,2)</f>
        <v>0</v>
      </c>
      <c r="D63" s="1826">
        <f t="array" ref="D63">ROUND(SUM(IF(现流表调整分录!$C$110:$C$154="上年"&amp;TRIM(A63),IF(现流表调整分录!$I$110:$I$154="y",现流表调整分录!$G$110:$G$154,0)))-SUM(IF(现流表调整分录!$C$110:$C$154="上年"&amp;TRIM(A63),IF(现流表调整分录!$I$110:$I$154="y",现流表调整分录!$H$110:$H$154,0)))+未审现流表!D63,2)</f>
        <v>0</v>
      </c>
    </row>
    <row r="64" ht="15" customHeight="1" spans="1:4">
      <c r="A64" s="2165" t="s">
        <v>84</v>
      </c>
      <c r="B64" s="2098"/>
      <c r="C64" s="1825">
        <f t="array" ref="C64">ROUND(SUM(IF(现流表调整分录!$C$110:$C$154=TRIM(A64),IF(现流表调整分录!$I$110:$I$154="y",现流表调整分录!$G$110:$G$154,0)))-SUM(IF(现流表调整分录!$C$110:$C$154=TRIM(A64),IF(现流表调整分录!$I$110:$I$154="y",现流表调整分录!$H$110:$H$154,0)))+未审现流表!C64,2)</f>
        <v>0</v>
      </c>
      <c r="D64" s="1826">
        <f t="array" ref="D64">ROUND(SUM(IF(现流表调整分录!$C$110:$C$154="上年"&amp;TRIM(A64),IF(现流表调整分录!$I$110:$I$154="y",现流表调整分录!$G$110:$G$154,0)))-SUM(IF(现流表调整分录!$C$110:$C$154="上年"&amp;TRIM(A64),IF(现流表调整分录!$I$110:$I$154="y",现流表调整分录!$H$110:$H$154,0)))+未审现流表!D64,2)</f>
        <v>0</v>
      </c>
    </row>
    <row r="65" ht="15" customHeight="1" spans="1:4">
      <c r="A65" s="2165" t="s">
        <v>171</v>
      </c>
      <c r="B65" s="2098"/>
      <c r="C65" s="1825">
        <f t="array" ref="C65">ROUND(SUM(IF(现流表调整分录!$C$110:$C$154=TRIM(A65),IF(现流表调整分录!$I$110:$I$154="y",现流表调整分录!$G$110:$G$154,0)))-SUM(IF(现流表调整分录!$C$110:$C$154=TRIM(A65),IF(现流表调整分录!$I$110:$I$154="y",现流表调整分录!$H$110:$H$154,0)))+未审现流表!C65,2)</f>
        <v>0</v>
      </c>
      <c r="D65" s="1826">
        <f t="array" ref="D65">ROUND(SUM(IF(现流表调整分录!$C$110:$C$154="上年"&amp;TRIM(A65),IF(现流表调整分录!$I$110:$I$154="y",现流表调整分录!$G$110:$G$154,0)))-SUM(IF(现流表调整分录!$C$110:$C$154="上年"&amp;TRIM(A65),IF(现流表调整分录!$I$110:$I$154="y",现流表调整分录!$H$110:$H$154,0)))+未审现流表!D65,2)</f>
        <v>0</v>
      </c>
    </row>
    <row r="66" ht="15" customHeight="1" spans="1:4">
      <c r="A66" s="2165" t="s">
        <v>172</v>
      </c>
      <c r="B66" s="2098"/>
      <c r="C66" s="1825">
        <f t="array" ref="C66">ROUND(SUM(IF(现流表调整分录!$C$110:$C$154=TRIM(A66),IF(现流表调整分录!$I$110:$I$154="y",现流表调整分录!$G$110:$G$154,0)))-SUM(IF(现流表调整分录!$C$110:$C$154=TRIM(A66),IF(现流表调整分录!$I$110:$I$154="y",现流表调整分录!$H$110:$H$154,0)))+未审现流表!C66,2)</f>
        <v>0</v>
      </c>
      <c r="D66" s="1826">
        <f t="array" ref="D66">ROUND(SUM(IF(现流表调整分录!$C$110:$C$154="上年"&amp;TRIM(A66),IF(现流表调整分录!$I$110:$I$154="y",现流表调整分录!$G$110:$G$154,0)))-SUM(IF(现流表调整分录!$C$110:$C$154="上年"&amp;TRIM(A66),IF(现流表调整分录!$I$110:$I$154="y",现流表调整分录!$H$110:$H$154,0)))+未审现流表!D66,2)</f>
        <v>0</v>
      </c>
    </row>
    <row r="67" ht="15" customHeight="1" spans="1:4">
      <c r="A67" s="2165" t="s">
        <v>173</v>
      </c>
      <c r="B67" s="2098"/>
      <c r="C67" s="1825">
        <f t="array" ref="C67">ROUND(SUM(IF(现流表调整分录!$C$110:$C$154=TRIM(A67),IF(现流表调整分录!$I$110:$I$154="y",现流表调整分录!$G$110:$G$154,0)))-SUM(IF(现流表调整分录!$C$110:$C$154=TRIM(A67),IF(现流表调整分录!$I$110:$I$154="y",现流表调整分录!$H$110:$H$154,0)))+未审现流表!C67,2)</f>
        <v>0</v>
      </c>
      <c r="D67" s="1826">
        <f t="array" ref="D67">ROUND(SUM(IF(现流表调整分录!$C$110:$C$154="上年"&amp;TRIM(A67),IF(现流表调整分录!$I$110:$I$154="y",现流表调整分录!$G$110:$G$154,0)))-SUM(IF(现流表调整分录!$C$110:$C$154="上年"&amp;TRIM(A67),IF(现流表调整分录!$I$110:$I$154="y",现流表调整分录!$H$110:$H$154,0)))+未审现流表!D67,2)</f>
        <v>0</v>
      </c>
    </row>
    <row r="68" ht="15" customHeight="1" spans="1:4">
      <c r="A68" s="2165" t="s">
        <v>174</v>
      </c>
      <c r="B68" s="2098"/>
      <c r="C68" s="1825">
        <f t="array" ref="C68">ROUND(SUM(IF(现流表调整分录!$C$110:$C$154=TRIM(A68),IF(现流表调整分录!$I$110:$I$154="y",现流表调整分录!$G$110:$G$154,0)))-SUM(IF(现流表调整分录!$C$110:$C$154=TRIM(A68),IF(现流表调整分录!$I$110:$I$154="y",现流表调整分录!$H$110:$H$154,0)))+未审现流表!C68,2)</f>
        <v>0</v>
      </c>
      <c r="D68" s="1826">
        <f t="array" ref="D68">ROUND(SUM(IF(现流表调整分录!$C$110:$C$154="上年"&amp;TRIM(A68),IF(现流表调整分录!$I$110:$I$154="y",现流表调整分录!$G$110:$G$154,0)))-SUM(IF(现流表调整分录!$C$110:$C$154="上年"&amp;TRIM(A68),IF(现流表调整分录!$I$110:$I$154="y",现流表调整分录!$H$110:$H$154,0)))+未审现流表!D68,2)</f>
        <v>0</v>
      </c>
    </row>
    <row r="69" ht="15" customHeight="1" spans="1:4">
      <c r="A69" s="2165" t="s">
        <v>175</v>
      </c>
      <c r="B69" s="2098"/>
      <c r="C69" s="1825">
        <f t="array" ref="C69">ROUND(SUM(IF(现流表调整分录!$C$110:$C$154=TRIM(A69),IF(现流表调整分录!$I$110:$I$154="y",现流表调整分录!$G$110:$G$154,0)))-SUM(IF(现流表调整分录!$C$110:$C$154=TRIM(A69),IF(现流表调整分录!$I$110:$I$154="y",现流表调整分录!$H$110:$H$154,0)))+未审现流表!C69,2)</f>
        <v>0</v>
      </c>
      <c r="D69" s="1826">
        <f t="array" ref="D69">ROUND(SUM(IF(现流表调整分录!$C$110:$C$154="上年"&amp;TRIM(A69),IF(现流表调整分录!$I$110:$I$154="y",现流表调整分录!$G$110:$G$154,0)))-SUM(IF(现流表调整分录!$C$110:$C$154="上年"&amp;TRIM(A69),IF(现流表调整分录!$I$110:$I$154="y",现流表调整分录!$H$110:$H$154,0)))+未审现流表!D69,2)</f>
        <v>0</v>
      </c>
    </row>
    <row r="70" ht="15" customHeight="1" spans="1:4">
      <c r="A70" s="2165" t="s">
        <v>176</v>
      </c>
      <c r="B70" s="2098"/>
      <c r="C70" s="1825">
        <f t="array" ref="C70">ROUND(SUM(IF(现流表调整分录!$C$110:$C$154=TRIM(A70),IF(现流表调整分录!$I$110:$I$154="y",现流表调整分录!$G$110:$G$154,0)))-SUM(IF(现流表调整分录!$C$110:$C$154=TRIM(A70),IF(现流表调整分录!$I$110:$I$154="y",现流表调整分录!$H$110:$H$154,0)))+未审现流表!C70,2)</f>
        <v>0</v>
      </c>
      <c r="D70" s="1826">
        <f t="array" ref="D70">ROUND(SUM(IF(现流表调整分录!$C$110:$C$154="上年"&amp;TRIM(A70),IF(现流表调整分录!$I$110:$I$154="y",现流表调整分录!$G$110:$G$154,0)))-SUM(IF(现流表调整分录!$C$110:$C$154="上年"&amp;TRIM(A70),IF(现流表调整分录!$I$110:$I$154="y",现流表调整分录!$H$110:$H$154,0)))+未审现流表!D70,2)</f>
        <v>0</v>
      </c>
    </row>
    <row r="71" ht="15" customHeight="1" spans="1:4">
      <c r="A71" s="2165" t="s">
        <v>177</v>
      </c>
      <c r="B71" s="2098"/>
      <c r="C71" s="1825">
        <f t="array" ref="C71">ROUND(SUM(IF(现流表调整分录!$C$110:$C$154=TRIM(A71),IF(现流表调整分录!$I$110:$I$154="y",现流表调整分录!$G$110:$G$154,0)))-SUM(IF(现流表调整分录!$C$110:$C$154=TRIM(A71),IF(现流表调整分录!$I$110:$I$154="y",现流表调整分录!$H$110:$H$154,0)))+未审现流表!C71,2)</f>
        <v>0</v>
      </c>
      <c r="D71" s="1826">
        <f t="array" ref="D71">ROUND(SUM(IF(现流表调整分录!$C$110:$C$154="上年"&amp;TRIM(A71),IF(现流表调整分录!$I$110:$I$154="y",现流表调整分录!$G$110:$G$154,0)))-SUM(IF(现流表调整分录!$C$110:$C$154="上年"&amp;TRIM(A71),IF(现流表调整分录!$I$110:$I$154="y",现流表调整分录!$H$110:$H$154,0)))+未审现流表!D71,2)</f>
        <v>0</v>
      </c>
    </row>
    <row r="72" ht="15" customHeight="1" spans="1:4">
      <c r="A72" s="2166" t="s">
        <v>178</v>
      </c>
      <c r="B72" s="2098"/>
      <c r="C72" s="2048">
        <f>ROUND(SUM(C56:C71),2)</f>
        <v>0</v>
      </c>
      <c r="D72" s="2069">
        <f>ROUND(SUM(D56:D71),2)</f>
        <v>0</v>
      </c>
    </row>
    <row r="73" ht="15" customHeight="1" spans="1:4">
      <c r="A73" s="2165"/>
      <c r="B73" s="2098"/>
      <c r="C73" s="2098"/>
      <c r="D73" s="2167"/>
    </row>
    <row r="74" ht="15" customHeight="1" spans="1:4">
      <c r="A74" s="2166" t="s">
        <v>179</v>
      </c>
      <c r="B74" s="2098"/>
      <c r="C74" s="2098"/>
      <c r="D74" s="2167"/>
    </row>
    <row r="75" ht="15" customHeight="1" spans="1:4">
      <c r="A75" s="2165" t="s">
        <v>180</v>
      </c>
      <c r="B75" s="2098"/>
      <c r="C75" s="2168">
        <f>ROUND(未审现流表!C75,2)</f>
        <v>0</v>
      </c>
      <c r="D75" s="2169">
        <f>ROUND(未审现流表!D75,2)</f>
        <v>0</v>
      </c>
    </row>
    <row r="76" ht="15" customHeight="1" spans="1:4">
      <c r="A76" s="2165" t="s">
        <v>181</v>
      </c>
      <c r="B76" s="2098"/>
      <c r="C76" s="2168">
        <f>ROUND(未审现流表!C76,2)</f>
        <v>0</v>
      </c>
      <c r="D76" s="2169">
        <f>ROUND(未审现流表!D76,2)</f>
        <v>0</v>
      </c>
    </row>
    <row r="77" ht="15" customHeight="1" spans="1:4">
      <c r="A77" s="2165" t="s">
        <v>182</v>
      </c>
      <c r="B77" s="2098"/>
      <c r="C77" s="2168">
        <f>ROUND(未审现流表!C77,2)</f>
        <v>0</v>
      </c>
      <c r="D77" s="2169">
        <f>ROUND(未审现流表!D77,2)</f>
        <v>0</v>
      </c>
    </row>
    <row r="78" ht="15" customHeight="1" spans="1:4">
      <c r="A78" s="2165"/>
      <c r="B78" s="2098"/>
      <c r="C78" s="2098"/>
      <c r="D78" s="2167"/>
    </row>
    <row r="79" ht="15" customHeight="1" spans="1:4">
      <c r="A79" s="2166" t="s">
        <v>183</v>
      </c>
      <c r="B79" s="2098"/>
      <c r="C79" s="2098"/>
      <c r="D79" s="2167"/>
    </row>
    <row r="80" ht="15" customHeight="1" spans="1:4">
      <c r="A80" s="2165" t="s">
        <v>184</v>
      </c>
      <c r="B80" s="2098"/>
      <c r="C80" s="1825">
        <f>ROUND(审定资负表!C7,2)</f>
        <v>0</v>
      </c>
      <c r="D80" s="1826">
        <f>ROUND(审定资负表!D7,2)</f>
        <v>0</v>
      </c>
    </row>
    <row r="81" ht="15" customHeight="1" spans="1:4">
      <c r="A81" s="2165" t="s">
        <v>185</v>
      </c>
      <c r="B81" s="2098"/>
      <c r="C81" s="1825">
        <f>ROUND(审定资负表!D7,2)</f>
        <v>0</v>
      </c>
      <c r="D81" s="1826">
        <f>ROUND(D48,2)</f>
        <v>0</v>
      </c>
    </row>
    <row r="82" ht="15" customHeight="1" spans="1:4">
      <c r="A82" s="2165" t="s">
        <v>186</v>
      </c>
      <c r="B82" s="2098"/>
      <c r="C82" s="2168">
        <f>ROUND(未审现流表!C82,2)</f>
        <v>0</v>
      </c>
      <c r="D82" s="2169">
        <f>ROUND(未审现流表!D82,2)</f>
        <v>0</v>
      </c>
    </row>
    <row r="83" ht="15" customHeight="1" spans="1:4">
      <c r="A83" s="2165" t="s">
        <v>187</v>
      </c>
      <c r="B83" s="2098"/>
      <c r="C83" s="2168">
        <f>ROUND(未审现流表!C83,2)</f>
        <v>0</v>
      </c>
      <c r="D83" s="2169">
        <f>ROUND(未审现流表!D83,2)</f>
        <v>0</v>
      </c>
    </row>
    <row r="84" ht="15" customHeight="1" spans="1:4">
      <c r="A84" s="2170" t="s">
        <v>188</v>
      </c>
      <c r="B84" s="2171"/>
      <c r="C84" s="2052">
        <f>ROUND(C80-C81+C82-C83,2)</f>
        <v>0</v>
      </c>
      <c r="D84" s="2158">
        <f>ROUND(D80-D81+D82-D83,2)</f>
        <v>0</v>
      </c>
    </row>
    <row r="85" ht="13.5"/>
  </sheetData>
  <sheetProtection password="CF6E" sheet="1" objects="1" scenarios="1"/>
  <mergeCells count="5">
    <mergeCell ref="A1:D1"/>
    <mergeCell ref="A4:A5"/>
    <mergeCell ref="B4:B5"/>
    <mergeCell ref="C4:C5"/>
    <mergeCell ref="D4:D5"/>
  </mergeCells>
  <conditionalFormatting sqref="D2">
    <cfRule type="cellIs" dxfId="2" priority="3" stopIfTrue="1" operator="notEqual">
      <formula>"会企03表"</formula>
    </cfRule>
  </conditionalFormatting>
  <conditionalFormatting sqref="A2 A51">
    <cfRule type="cellIs" dxfId="1" priority="1" stopIfTrue="1" operator="notEqual">
      <formula>""</formula>
    </cfRule>
  </conditionalFormatting>
  <conditionalFormatting sqref="C2 C51:D51">
    <cfRule type="cellIs" dxfId="1" priority="2" stopIfTrue="1" operator="notEqual">
      <formula>0</formula>
    </cfRule>
  </conditionalFormatting>
  <hyperlinks>
    <hyperlink ref="B9" location="报表附注!E3121" display="六十六"/>
    <hyperlink ref="B14" location="报表附注!E3121" display="六十六"/>
    <hyperlink ref="B23" location="报表附注!E3163" display="六十七"/>
    <hyperlink ref="B28" location="报表附注!E3163" display="六十七"/>
    <hyperlink ref="B37" location="报表附注!E3199" display="六十八"/>
    <hyperlink ref="B42" location="报表附注!E3199" display="六十八"/>
  </hyperlinks>
  <printOptions horizontalCentered="1"/>
  <pageMargins left="0.393700787401575" right="0.393700787401575" top="0.78740157480315" bottom="0.511811023622047" header="0.511811023622047" footer="0.47244094488189"/>
  <pageSetup paperSize="9" orientation="portrait" blackAndWhite="1"/>
  <headerFooter alignWithMargins="0">
    <oddFooter>&amp;L&amp;10企业负责人：&amp;C&amp;10会计机构负责人：&amp;R&amp;10制表人：</oddFooter>
  </headerFooter>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pageSetUpPr fitToPage="1"/>
  </sheetPr>
  <dimension ref="A1:H65"/>
  <sheetViews>
    <sheetView showGridLines="0" showZeros="0" workbookViewId="0">
      <pane xSplit="1" ySplit="6" topLeftCell="B7" activePane="bottomRight" state="frozen"/>
      <selection/>
      <selection pane="topRight"/>
      <selection pane="bottomLeft"/>
      <selection pane="bottomRight" activeCell="C7" sqref="C7"/>
    </sheetView>
  </sheetViews>
  <sheetFormatPr defaultColWidth="9" defaultRowHeight="12.75" outlineLevelCol="7"/>
  <cols>
    <col min="1" max="1" width="38.375" style="2012" customWidth="1"/>
    <col min="2" max="8" width="13.375" style="2012" customWidth="1"/>
    <col min="9" max="16384" width="9" style="2012"/>
  </cols>
  <sheetData>
    <row r="1" ht="25.5" spans="1:8">
      <c r="A1" s="1777" t="s">
        <v>276</v>
      </c>
      <c r="B1" s="1777"/>
      <c r="C1" s="1777"/>
      <c r="D1" s="1777"/>
      <c r="E1" s="1777"/>
      <c r="F1" s="1777"/>
      <c r="G1" s="1777"/>
      <c r="H1" s="1777"/>
    </row>
    <row r="2" ht="15" customHeight="1" spans="1:8">
      <c r="A2" s="1778" t="str">
        <f>IF(OR(ABS(B2)&lt;&gt;0,ABS(C2)&lt;&gt;0,ABS(D2)&lt;&gt;0,ABS(E2)&lt;&gt;0,ABS(F2)&lt;&gt;0,ABS(G2)&lt;&gt;0),"本期期末余额与资产负债表不符，相差：","")</f>
        <v/>
      </c>
      <c r="B2" s="1779">
        <f>ROUND(B32-审定资负表!$G$36,2)</f>
        <v>0</v>
      </c>
      <c r="C2" s="1779">
        <f>ROUND(C32-审定资负表!$G$37,2)</f>
        <v>0</v>
      </c>
      <c r="D2" s="1779">
        <f>ROUND(D32-审定资负表!$G$38,2)</f>
        <v>0</v>
      </c>
      <c r="E2" s="1779">
        <f>ROUND(E32-审定资负表!$G$39,2)</f>
        <v>0</v>
      </c>
      <c r="F2" s="1779">
        <f>ROUND(F32-审定资负表!$G$40,2)</f>
        <v>0</v>
      </c>
      <c r="G2" s="1779">
        <f>ROUND(G32-审定资负表!$G$41-审定资负表!$G$42,2)</f>
        <v>0</v>
      </c>
      <c r="H2" s="1780" t="s">
        <v>277</v>
      </c>
    </row>
    <row r="3" ht="15" customHeight="1" spans="1:8">
      <c r="A3" s="1781" t="str">
        <f>"编制单位："&amp;参数表!C3</f>
        <v>编制单位：石嘴山市深阳蓝光市政工程有限公司</v>
      </c>
      <c r="B3" s="1782"/>
      <c r="C3" s="1782"/>
      <c r="D3" s="1782" t="str">
        <f>参数表!D7</f>
        <v>2016年度</v>
      </c>
      <c r="E3" s="1782"/>
      <c r="F3" s="1782"/>
      <c r="G3" s="1782"/>
      <c r="H3" s="1780" t="str">
        <f>"金额单位："&amp;参数表!F11</f>
        <v>金额单位：人民币元</v>
      </c>
    </row>
    <row r="4" s="2157" customFormat="1" ht="13.5" spans="1:8">
      <c r="A4" s="1783" t="s">
        <v>60</v>
      </c>
      <c r="B4" s="1802" t="str">
        <f>审定利润表!C4</f>
        <v>本年金额</v>
      </c>
      <c r="C4" s="1803"/>
      <c r="D4" s="1803"/>
      <c r="E4" s="1803"/>
      <c r="F4" s="1803"/>
      <c r="G4" s="1803"/>
      <c r="H4" s="1804"/>
    </row>
    <row r="5" s="2157" customFormat="1" spans="1:8">
      <c r="A5" s="1787"/>
      <c r="B5" s="1805"/>
      <c r="C5" s="1806"/>
      <c r="D5" s="1806"/>
      <c r="E5" s="1806"/>
      <c r="F5" s="1806"/>
      <c r="G5" s="1806"/>
      <c r="H5" s="1807"/>
    </row>
    <row r="6" s="2157" customFormat="1" ht="15" customHeight="1" spans="1:8">
      <c r="A6" s="1787"/>
      <c r="B6" s="1791" t="s">
        <v>278</v>
      </c>
      <c r="C6" s="1791" t="s">
        <v>252</v>
      </c>
      <c r="D6" s="1791" t="s">
        <v>254</v>
      </c>
      <c r="E6" s="1791" t="s">
        <v>255</v>
      </c>
      <c r="F6" s="1791" t="s">
        <v>257</v>
      </c>
      <c r="G6" s="1791" t="s">
        <v>279</v>
      </c>
      <c r="H6" s="1792" t="s">
        <v>262</v>
      </c>
    </row>
    <row r="7" ht="15" customHeight="1" spans="1:8">
      <c r="A7" s="1793" t="s">
        <v>280</v>
      </c>
      <c r="B7" s="1794">
        <f>ROUND(未审权益表!B7,2)</f>
        <v>0</v>
      </c>
      <c r="C7" s="1794">
        <f>ROUND(未审权益表!C7,2)</f>
        <v>0</v>
      </c>
      <c r="D7" s="1794">
        <f>ROUND(未审权益表!D7,2)</f>
        <v>0</v>
      </c>
      <c r="E7" s="1794">
        <f>ROUND(未审权益表!E7,2)</f>
        <v>0</v>
      </c>
      <c r="F7" s="1794">
        <f>ROUND(未审权益表!F7,2)</f>
        <v>0</v>
      </c>
      <c r="G7" s="1794">
        <f>ROUND(未审权益表!G7,2)</f>
        <v>0</v>
      </c>
      <c r="H7" s="1795">
        <f>ROUND(SUM(B7:G7)-2*D7,2)</f>
        <v>0</v>
      </c>
    </row>
    <row r="8" ht="15" customHeight="1" spans="1:8">
      <c r="A8" s="1796" t="s">
        <v>281</v>
      </c>
      <c r="B8" s="1794">
        <f>ROUND(未审权益表!B8,2)</f>
        <v>0</v>
      </c>
      <c r="C8" s="1794">
        <f>ROUND(未审权益表!C8,2)</f>
        <v>0</v>
      </c>
      <c r="D8" s="1794">
        <f>ROUND(未审权益表!D8,2)</f>
        <v>0</v>
      </c>
      <c r="E8" s="1794">
        <f>ROUND(未审权益表!E8,2)</f>
        <v>0</v>
      </c>
      <c r="F8" s="1794">
        <f>ROUND(未审权益表!F8,2)</f>
        <v>0</v>
      </c>
      <c r="G8" s="1794">
        <f>ROUND(未审权益表!G8,2)</f>
        <v>0</v>
      </c>
      <c r="H8" s="1795">
        <f t="shared" ref="H8:H32" si="0">ROUND(SUM(B8:G8)-2*D8,2)</f>
        <v>0</v>
      </c>
    </row>
    <row r="9" ht="15" customHeight="1" spans="1:8">
      <c r="A9" s="1796" t="s">
        <v>282</v>
      </c>
      <c r="B9" s="1797">
        <f t="shared" ref="B9:G9" si="1">ROUND(B10-B7-B8,2)</f>
        <v>0</v>
      </c>
      <c r="C9" s="1797">
        <f t="shared" si="1"/>
        <v>0</v>
      </c>
      <c r="D9" s="1797">
        <f t="shared" si="1"/>
        <v>0</v>
      </c>
      <c r="E9" s="1797">
        <f t="shared" si="1"/>
        <v>0</v>
      </c>
      <c r="F9" s="1797">
        <f t="shared" si="1"/>
        <v>0</v>
      </c>
      <c r="G9" s="1797">
        <f t="shared" si="1"/>
        <v>0</v>
      </c>
      <c r="H9" s="1795">
        <f t="shared" si="0"/>
        <v>0</v>
      </c>
    </row>
    <row r="10" ht="15" customHeight="1" spans="1:8">
      <c r="A10" s="1793" t="s">
        <v>283</v>
      </c>
      <c r="B10" s="1797">
        <f t="shared" ref="B10:G10" si="2">ROUND(B64,2)</f>
        <v>0</v>
      </c>
      <c r="C10" s="1797">
        <f t="shared" si="2"/>
        <v>0</v>
      </c>
      <c r="D10" s="1797">
        <f t="shared" si="2"/>
        <v>0</v>
      </c>
      <c r="E10" s="1797">
        <f t="shared" si="2"/>
        <v>0</v>
      </c>
      <c r="F10" s="1797">
        <f t="shared" si="2"/>
        <v>0</v>
      </c>
      <c r="G10" s="1797">
        <f t="shared" si="2"/>
        <v>0</v>
      </c>
      <c r="H10" s="1795">
        <f t="shared" si="0"/>
        <v>0</v>
      </c>
    </row>
    <row r="11" ht="15" customHeight="1" spans="1:8">
      <c r="A11" s="1793" t="s">
        <v>284</v>
      </c>
      <c r="B11" s="1797">
        <f t="shared" ref="B11:G11" si="3">ROUND(B18+B19+B23+B27,2)</f>
        <v>0</v>
      </c>
      <c r="C11" s="1797">
        <f t="shared" si="3"/>
        <v>0</v>
      </c>
      <c r="D11" s="1797">
        <f t="shared" si="3"/>
        <v>0</v>
      </c>
      <c r="E11" s="1797">
        <f t="shared" si="3"/>
        <v>0</v>
      </c>
      <c r="F11" s="1797">
        <f t="shared" si="3"/>
        <v>0</v>
      </c>
      <c r="G11" s="1797">
        <f t="shared" si="3"/>
        <v>0</v>
      </c>
      <c r="H11" s="1795">
        <f t="shared" si="0"/>
        <v>0</v>
      </c>
    </row>
    <row r="12" ht="15" customHeight="1" spans="1:8">
      <c r="A12" s="1793" t="s">
        <v>285</v>
      </c>
      <c r="B12" s="1797"/>
      <c r="C12" s="1797"/>
      <c r="D12" s="1797"/>
      <c r="E12" s="1797"/>
      <c r="F12" s="1797">
        <f>ROUND(审定利润表!C24,2)</f>
        <v>0</v>
      </c>
      <c r="G12" s="1797"/>
      <c r="H12" s="1795">
        <f t="shared" si="0"/>
        <v>0</v>
      </c>
    </row>
    <row r="13" ht="15" customHeight="1" spans="1:8">
      <c r="A13" s="1793" t="s">
        <v>286</v>
      </c>
      <c r="B13" s="1797">
        <f t="shared" ref="B13:G13" si="4">ROUND(B14+B15+B16+B17,2)</f>
        <v>0</v>
      </c>
      <c r="C13" s="1797">
        <f t="shared" si="4"/>
        <v>0</v>
      </c>
      <c r="D13" s="1797">
        <f t="shared" si="4"/>
        <v>0</v>
      </c>
      <c r="E13" s="1797">
        <f t="shared" si="4"/>
        <v>0</v>
      </c>
      <c r="F13" s="1797">
        <f t="shared" si="4"/>
        <v>0</v>
      </c>
      <c r="G13" s="1797">
        <f t="shared" si="4"/>
        <v>0</v>
      </c>
      <c r="H13" s="1795">
        <f t="shared" si="0"/>
        <v>0</v>
      </c>
    </row>
    <row r="14" ht="15" customHeight="1" spans="1:8">
      <c r="A14" s="1798" t="s">
        <v>287</v>
      </c>
      <c r="B14" s="1794">
        <f>ROUND(未审权益表!B14,2)</f>
        <v>0</v>
      </c>
      <c r="C14" s="1794">
        <f>ROUND(未审权益表!C14,2)</f>
        <v>0</v>
      </c>
      <c r="D14" s="1794">
        <f>ROUND(未审权益表!D14,2)</f>
        <v>0</v>
      </c>
      <c r="E14" s="1794">
        <f>ROUND(未审权益表!E14,2)</f>
        <v>0</v>
      </c>
      <c r="F14" s="1794">
        <f>ROUND(未审权益表!F14,2)</f>
        <v>0</v>
      </c>
      <c r="G14" s="1794">
        <f>ROUND(未审权益表!G14,2)</f>
        <v>0</v>
      </c>
      <c r="H14" s="1795">
        <f t="shared" si="0"/>
        <v>0</v>
      </c>
    </row>
    <row r="15" ht="15" customHeight="1" spans="1:8">
      <c r="A15" s="1798" t="s">
        <v>288</v>
      </c>
      <c r="B15" s="1794">
        <f>ROUND(未审权益表!B15,2)</f>
        <v>0</v>
      </c>
      <c r="C15" s="1794">
        <f>ROUND(未审权益表!C15,2)</f>
        <v>0</v>
      </c>
      <c r="D15" s="1794">
        <f>ROUND(未审权益表!D15,2)</f>
        <v>0</v>
      </c>
      <c r="E15" s="1794">
        <f>ROUND(未审权益表!E15,2)</f>
        <v>0</v>
      </c>
      <c r="F15" s="1794">
        <f>ROUND(未审权益表!F15,2)</f>
        <v>0</v>
      </c>
      <c r="G15" s="1794">
        <f>ROUND(未审权益表!G15,2)</f>
        <v>0</v>
      </c>
      <c r="H15" s="1795">
        <f t="shared" si="0"/>
        <v>0</v>
      </c>
    </row>
    <row r="16" ht="15" customHeight="1" spans="1:8">
      <c r="A16" s="1798" t="s">
        <v>289</v>
      </c>
      <c r="B16" s="1794">
        <f>ROUND(未审权益表!B16,2)</f>
        <v>0</v>
      </c>
      <c r="C16" s="1794">
        <f>ROUND(未审权益表!C16,2)</f>
        <v>0</v>
      </c>
      <c r="D16" s="1794">
        <f>ROUND(未审权益表!D16,2)</f>
        <v>0</v>
      </c>
      <c r="E16" s="1794">
        <f>ROUND(未审权益表!E16,2)</f>
        <v>0</v>
      </c>
      <c r="F16" s="1794">
        <f>ROUND(未审权益表!F16,2)</f>
        <v>0</v>
      </c>
      <c r="G16" s="1794">
        <f>ROUND(未审权益表!G16,2)</f>
        <v>0</v>
      </c>
      <c r="H16" s="1795">
        <f t="shared" si="0"/>
        <v>0</v>
      </c>
    </row>
    <row r="17" ht="15" customHeight="1" spans="1:8">
      <c r="A17" s="1798" t="s">
        <v>290</v>
      </c>
      <c r="B17" s="1794">
        <f>ROUND(未审权益表!B17,2)</f>
        <v>0</v>
      </c>
      <c r="C17" s="1794">
        <f>ROUND(未审权益表!C17,2)</f>
        <v>0</v>
      </c>
      <c r="D17" s="1794">
        <f>ROUND(未审权益表!D17,2)</f>
        <v>0</v>
      </c>
      <c r="E17" s="1794">
        <f>ROUND(未审权益表!E17,2)</f>
        <v>0</v>
      </c>
      <c r="F17" s="1794">
        <f>ROUND(未审权益表!F17,2)</f>
        <v>0</v>
      </c>
      <c r="G17" s="1794">
        <f>ROUND(未审权益表!G17,2)</f>
        <v>0</v>
      </c>
      <c r="H17" s="1795">
        <f t="shared" si="0"/>
        <v>0</v>
      </c>
    </row>
    <row r="18" ht="15" customHeight="1" spans="1:8">
      <c r="A18" s="1793" t="s">
        <v>291</v>
      </c>
      <c r="B18" s="1797">
        <f t="shared" ref="B18:G18" si="5">ROUND(B12+B13,2)</f>
        <v>0</v>
      </c>
      <c r="C18" s="1797">
        <f t="shared" si="5"/>
        <v>0</v>
      </c>
      <c r="D18" s="1797">
        <f t="shared" si="5"/>
        <v>0</v>
      </c>
      <c r="E18" s="1797">
        <f t="shared" si="5"/>
        <v>0</v>
      </c>
      <c r="F18" s="1797">
        <f t="shared" si="5"/>
        <v>0</v>
      </c>
      <c r="G18" s="1797">
        <f t="shared" si="5"/>
        <v>0</v>
      </c>
      <c r="H18" s="1795">
        <f t="shared" si="0"/>
        <v>0</v>
      </c>
    </row>
    <row r="19" ht="15" customHeight="1" spans="1:8">
      <c r="A19" s="1793" t="s">
        <v>292</v>
      </c>
      <c r="B19" s="1797">
        <f t="shared" ref="B19:G19" si="6">ROUND(B20+B21+B22,2)</f>
        <v>0</v>
      </c>
      <c r="C19" s="1797">
        <f t="shared" si="6"/>
        <v>0</v>
      </c>
      <c r="D19" s="1797">
        <f t="shared" si="6"/>
        <v>0</v>
      </c>
      <c r="E19" s="1797">
        <f t="shared" si="6"/>
        <v>0</v>
      </c>
      <c r="F19" s="1797">
        <f t="shared" si="6"/>
        <v>0</v>
      </c>
      <c r="G19" s="1797">
        <f t="shared" si="6"/>
        <v>0</v>
      </c>
      <c r="H19" s="1795">
        <f t="shared" si="0"/>
        <v>0</v>
      </c>
    </row>
    <row r="20" ht="15" customHeight="1" spans="1:8">
      <c r="A20" s="1798" t="s">
        <v>293</v>
      </c>
      <c r="B20" s="1794">
        <f>ROUND(未审权益表!B20,2)</f>
        <v>0</v>
      </c>
      <c r="C20" s="1794">
        <f>ROUND(未审权益表!C20,2)</f>
        <v>0</v>
      </c>
      <c r="D20" s="1794">
        <f>ROUND(未审权益表!D20,2)</f>
        <v>0</v>
      </c>
      <c r="E20" s="1794">
        <f>ROUND(未审权益表!E20,2)</f>
        <v>0</v>
      </c>
      <c r="F20" s="1794">
        <f>ROUND(未审权益表!F20,2)</f>
        <v>0</v>
      </c>
      <c r="G20" s="1794">
        <f>ROUND(未审权益表!G20,2)</f>
        <v>0</v>
      </c>
      <c r="H20" s="1795">
        <f t="shared" si="0"/>
        <v>0</v>
      </c>
    </row>
    <row r="21" ht="15" customHeight="1" spans="1:8">
      <c r="A21" s="1798" t="s">
        <v>294</v>
      </c>
      <c r="B21" s="1794">
        <f>ROUND(未审权益表!B21,2)</f>
        <v>0</v>
      </c>
      <c r="C21" s="1794">
        <f>ROUND(未审权益表!C21,2)</f>
        <v>0</v>
      </c>
      <c r="D21" s="1794">
        <f>ROUND(未审权益表!D21,2)</f>
        <v>0</v>
      </c>
      <c r="E21" s="1794">
        <f>ROUND(未审权益表!E21,2)</f>
        <v>0</v>
      </c>
      <c r="F21" s="1794">
        <f>ROUND(未审权益表!F21,2)</f>
        <v>0</v>
      </c>
      <c r="G21" s="1794">
        <f>ROUND(未审权益表!G21,2)</f>
        <v>0</v>
      </c>
      <c r="H21" s="1795">
        <f t="shared" si="0"/>
        <v>0</v>
      </c>
    </row>
    <row r="22" ht="15" customHeight="1" spans="1:8">
      <c r="A22" s="1798" t="s">
        <v>295</v>
      </c>
      <c r="B22" s="1794">
        <f>ROUND(未审权益表!B22,2)</f>
        <v>0</v>
      </c>
      <c r="C22" s="1794">
        <f>ROUND(未审权益表!C22,2)</f>
        <v>0</v>
      </c>
      <c r="D22" s="1794">
        <f>ROUND(未审权益表!D22,2)</f>
        <v>0</v>
      </c>
      <c r="E22" s="1794">
        <f>ROUND(未审权益表!E22,2)</f>
        <v>0</v>
      </c>
      <c r="F22" s="1794">
        <f>ROUND(未审权益表!F22,2)</f>
        <v>0</v>
      </c>
      <c r="G22" s="1794">
        <f>ROUND(未审权益表!G22,2)</f>
        <v>0</v>
      </c>
      <c r="H22" s="1795">
        <f t="shared" si="0"/>
        <v>0</v>
      </c>
    </row>
    <row r="23" ht="15" customHeight="1" spans="1:8">
      <c r="A23" s="1793" t="s">
        <v>296</v>
      </c>
      <c r="B23" s="1797">
        <f t="shared" ref="B23:G23" si="7">ROUND(B24+B25+B26,2)</f>
        <v>0</v>
      </c>
      <c r="C23" s="1797">
        <f t="shared" si="7"/>
        <v>0</v>
      </c>
      <c r="D23" s="1797">
        <f t="shared" si="7"/>
        <v>0</v>
      </c>
      <c r="E23" s="1797">
        <f t="shared" si="7"/>
        <v>0</v>
      </c>
      <c r="F23" s="1797">
        <f t="shared" si="7"/>
        <v>0</v>
      </c>
      <c r="G23" s="1797">
        <f t="shared" si="7"/>
        <v>0</v>
      </c>
      <c r="H23" s="1795">
        <f t="shared" si="0"/>
        <v>0</v>
      </c>
    </row>
    <row r="24" ht="15" customHeight="1" spans="1:8">
      <c r="A24" s="1798" t="s">
        <v>297</v>
      </c>
      <c r="B24" s="1794">
        <f>ROUND(未审权益表!B24,2)</f>
        <v>0</v>
      </c>
      <c r="C24" s="1794">
        <f>ROUND(未审权益表!C24,2)</f>
        <v>0</v>
      </c>
      <c r="D24" s="1794">
        <f>ROUND(未审权益表!D24,2)</f>
        <v>0</v>
      </c>
      <c r="E24" s="1794">
        <f>ROUND(未审权益表!E24,2)</f>
        <v>0</v>
      </c>
      <c r="F24" s="1794">
        <f>ROUND(未审权益表!F24,2)</f>
        <v>0</v>
      </c>
      <c r="G24" s="1794">
        <f>ROUND(未审权益表!G24,2)</f>
        <v>0</v>
      </c>
      <c r="H24" s="1795">
        <f t="shared" si="0"/>
        <v>0</v>
      </c>
    </row>
    <row r="25" ht="15" customHeight="1" spans="1:8">
      <c r="A25" s="1798" t="s">
        <v>298</v>
      </c>
      <c r="B25" s="1794">
        <f>ROUND(未审权益表!B25,2)</f>
        <v>0</v>
      </c>
      <c r="C25" s="1794">
        <f>ROUND(未审权益表!C25,2)</f>
        <v>0</v>
      </c>
      <c r="D25" s="1794">
        <f>ROUND(未审权益表!D25,2)</f>
        <v>0</v>
      </c>
      <c r="E25" s="1794">
        <f>ROUND(未审权益表!E25,2)</f>
        <v>0</v>
      </c>
      <c r="F25" s="1794">
        <f>ROUND(未审权益表!F25,2)</f>
        <v>0</v>
      </c>
      <c r="G25" s="1794">
        <f>ROUND(未审权益表!G25,2)</f>
        <v>0</v>
      </c>
      <c r="H25" s="1795">
        <f t="shared" si="0"/>
        <v>0</v>
      </c>
    </row>
    <row r="26" ht="15" customHeight="1" spans="1:8">
      <c r="A26" s="1798" t="s">
        <v>295</v>
      </c>
      <c r="B26" s="1794">
        <f>ROUND(未审权益表!B26,2)</f>
        <v>0</v>
      </c>
      <c r="C26" s="1794">
        <f>ROUND(未审权益表!C26,2)</f>
        <v>0</v>
      </c>
      <c r="D26" s="1794">
        <f>ROUND(未审权益表!D26,2)</f>
        <v>0</v>
      </c>
      <c r="E26" s="1794">
        <f>ROUND(未审权益表!E26,2)</f>
        <v>0</v>
      </c>
      <c r="F26" s="1794">
        <f>ROUND(未审权益表!F26,2)</f>
        <v>0</v>
      </c>
      <c r="G26" s="1794">
        <f>ROUND(未审权益表!G26,2)</f>
        <v>0</v>
      </c>
      <c r="H26" s="1795">
        <f t="shared" si="0"/>
        <v>0</v>
      </c>
    </row>
    <row r="27" ht="15" customHeight="1" spans="1:8">
      <c r="A27" s="1793" t="s">
        <v>299</v>
      </c>
      <c r="B27" s="1797">
        <f t="shared" ref="B27:G27" si="8">ROUND(B28+B29+B30+B31,2)</f>
        <v>0</v>
      </c>
      <c r="C27" s="1797">
        <f t="shared" si="8"/>
        <v>0</v>
      </c>
      <c r="D27" s="1797">
        <f t="shared" si="8"/>
        <v>0</v>
      </c>
      <c r="E27" s="1797">
        <f t="shared" si="8"/>
        <v>0</v>
      </c>
      <c r="F27" s="1797">
        <f t="shared" si="8"/>
        <v>0</v>
      </c>
      <c r="G27" s="1797">
        <f t="shared" si="8"/>
        <v>0</v>
      </c>
      <c r="H27" s="1795">
        <f t="shared" si="0"/>
        <v>0</v>
      </c>
    </row>
    <row r="28" ht="15" customHeight="1" spans="1:8">
      <c r="A28" s="1798" t="s">
        <v>300</v>
      </c>
      <c r="B28" s="1794">
        <f>ROUND(未审权益表!B28,2)</f>
        <v>0</v>
      </c>
      <c r="C28" s="1794">
        <f>ROUND(未审权益表!C28,2)</f>
        <v>0</v>
      </c>
      <c r="D28" s="1794">
        <f>ROUND(未审权益表!D28,2)</f>
        <v>0</v>
      </c>
      <c r="E28" s="1794">
        <f>ROUND(未审权益表!E28,2)</f>
        <v>0</v>
      </c>
      <c r="F28" s="1794">
        <f>ROUND(未审权益表!F28,2)</f>
        <v>0</v>
      </c>
      <c r="G28" s="1794">
        <f>ROUND(未审权益表!G28,2)</f>
        <v>0</v>
      </c>
      <c r="H28" s="1795">
        <f t="shared" si="0"/>
        <v>0</v>
      </c>
    </row>
    <row r="29" ht="15" customHeight="1" spans="1:8">
      <c r="A29" s="1798" t="s">
        <v>301</v>
      </c>
      <c r="B29" s="1794">
        <f>ROUND(未审权益表!B29,2)</f>
        <v>0</v>
      </c>
      <c r="C29" s="1794">
        <f>ROUND(未审权益表!C29,2)</f>
        <v>0</v>
      </c>
      <c r="D29" s="1794">
        <f>ROUND(未审权益表!D29,2)</f>
        <v>0</v>
      </c>
      <c r="E29" s="1794">
        <f>ROUND(未审权益表!E29,2)</f>
        <v>0</v>
      </c>
      <c r="F29" s="1794">
        <f>ROUND(未审权益表!F29,2)</f>
        <v>0</v>
      </c>
      <c r="G29" s="1794">
        <f>ROUND(未审权益表!G29,2)</f>
        <v>0</v>
      </c>
      <c r="H29" s="1795">
        <f t="shared" si="0"/>
        <v>0</v>
      </c>
    </row>
    <row r="30" ht="15" customHeight="1" spans="1:8">
      <c r="A30" s="1798" t="s">
        <v>302</v>
      </c>
      <c r="B30" s="1794">
        <f>ROUND(未审权益表!B30,2)</f>
        <v>0</v>
      </c>
      <c r="C30" s="1794">
        <f>ROUND(未审权益表!C30,2)</f>
        <v>0</v>
      </c>
      <c r="D30" s="1794">
        <f>ROUND(未审权益表!D30,2)</f>
        <v>0</v>
      </c>
      <c r="E30" s="1794">
        <f>ROUND(未审权益表!E30,2)</f>
        <v>0</v>
      </c>
      <c r="F30" s="1794">
        <f>ROUND(未审权益表!F30,2)</f>
        <v>0</v>
      </c>
      <c r="G30" s="1794">
        <f>ROUND(未审权益表!G30,2)</f>
        <v>0</v>
      </c>
      <c r="H30" s="1795">
        <f t="shared" si="0"/>
        <v>0</v>
      </c>
    </row>
    <row r="31" ht="15" customHeight="1" spans="1:8">
      <c r="A31" s="1798" t="s">
        <v>290</v>
      </c>
      <c r="B31" s="1794">
        <f>ROUND(未审权益表!B31,2)</f>
        <v>0</v>
      </c>
      <c r="C31" s="1794">
        <f>ROUND(未审权益表!C31,2)</f>
        <v>0</v>
      </c>
      <c r="D31" s="1794">
        <f>ROUND(未审权益表!D31,2)</f>
        <v>0</v>
      </c>
      <c r="E31" s="1794">
        <f>ROUND(未审权益表!E31,2)</f>
        <v>0</v>
      </c>
      <c r="F31" s="1794">
        <f>ROUND(未审权益表!F31,2)</f>
        <v>0</v>
      </c>
      <c r="G31" s="1794">
        <f>ROUND(未审权益表!G31,2)</f>
        <v>0</v>
      </c>
      <c r="H31" s="1795">
        <f t="shared" si="0"/>
        <v>0</v>
      </c>
    </row>
    <row r="32" ht="15" customHeight="1" spans="1:8">
      <c r="A32" s="1799" t="s">
        <v>303</v>
      </c>
      <c r="B32" s="1800">
        <f t="shared" ref="B32:G32" si="9">ROUND(B10+B11,2)</f>
        <v>0</v>
      </c>
      <c r="C32" s="1800">
        <f t="shared" si="9"/>
        <v>0</v>
      </c>
      <c r="D32" s="1800">
        <f t="shared" si="9"/>
        <v>0</v>
      </c>
      <c r="E32" s="1800">
        <f t="shared" si="9"/>
        <v>0</v>
      </c>
      <c r="F32" s="1800">
        <f t="shared" si="9"/>
        <v>0</v>
      </c>
      <c r="G32" s="1800">
        <f t="shared" si="9"/>
        <v>0</v>
      </c>
      <c r="H32" s="1801">
        <f t="shared" si="0"/>
        <v>0</v>
      </c>
    </row>
    <row r="33" ht="26.25" spans="1:8">
      <c r="A33" s="1777" t="s">
        <v>276</v>
      </c>
      <c r="B33" s="1777"/>
      <c r="C33" s="1777"/>
      <c r="D33" s="1777"/>
      <c r="E33" s="1777"/>
      <c r="F33" s="1777"/>
      <c r="G33" s="1777"/>
      <c r="H33" s="1777"/>
    </row>
    <row r="34" ht="15" customHeight="1" spans="1:8">
      <c r="A34" s="1778" t="str">
        <f>IF(OR(ABS(B34)&lt;&gt;0,ABS(C34)&lt;&gt;0,ABS(D34)&lt;&gt;0,ABS(E34)&lt;&gt;0,ABS(F34)&lt;&gt;0,ABS(G34)&lt;&gt;0),"上期期末余额与资产负债表不符，相差：","")</f>
        <v/>
      </c>
      <c r="B34" s="1779">
        <f>ROUND(B64-审定资负表!$H$36,2)</f>
        <v>0</v>
      </c>
      <c r="C34" s="1779">
        <f>ROUND(C64-审定资负表!$H$37,2)</f>
        <v>0</v>
      </c>
      <c r="D34" s="1779">
        <f>ROUND(D64-审定资负表!$H$38,2)</f>
        <v>0</v>
      </c>
      <c r="E34" s="1779">
        <f>ROUND(E64-审定资负表!$H$39,2)</f>
        <v>0</v>
      </c>
      <c r="F34" s="1779">
        <f>ROUND(F64-审定资负表!$H$40,2)</f>
        <v>0</v>
      </c>
      <c r="G34" s="1779">
        <f>ROUND(G64-审定资负表!$H$41-审定资负表!$H$42,2)</f>
        <v>0</v>
      </c>
      <c r="H34" s="1780" t="s">
        <v>304</v>
      </c>
    </row>
    <row r="35" ht="15" customHeight="1" spans="1:8">
      <c r="A35" s="1781" t="str">
        <f>"编制单位："&amp;参数表!C3</f>
        <v>编制单位：石嘴山市深阳蓝光市政工程有限公司</v>
      </c>
      <c r="B35" s="1782"/>
      <c r="C35" s="1782"/>
      <c r="D35" s="1782" t="str">
        <f>参数表!D7</f>
        <v>2016年度</v>
      </c>
      <c r="E35" s="1782"/>
      <c r="F35" s="1782"/>
      <c r="G35" s="1782"/>
      <c r="H35" s="1780" t="str">
        <f>"金额单位："&amp;参数表!F11</f>
        <v>金额单位：人民币元</v>
      </c>
    </row>
    <row r="36" s="2157" customFormat="1" ht="13.5" spans="1:8">
      <c r="A36" s="1783" t="s">
        <v>60</v>
      </c>
      <c r="B36" s="1802" t="str">
        <f>审定利润表!D4</f>
        <v>上年金额</v>
      </c>
      <c r="C36" s="1803"/>
      <c r="D36" s="1803"/>
      <c r="E36" s="1803"/>
      <c r="F36" s="1803"/>
      <c r="G36" s="1803"/>
      <c r="H36" s="1804"/>
    </row>
    <row r="37" s="2157" customFormat="1" spans="1:8">
      <c r="A37" s="1787"/>
      <c r="B37" s="1805"/>
      <c r="C37" s="1806"/>
      <c r="D37" s="1806"/>
      <c r="E37" s="1806"/>
      <c r="F37" s="1806"/>
      <c r="G37" s="1806"/>
      <c r="H37" s="1807"/>
    </row>
    <row r="38" s="2157" customFormat="1" ht="15" customHeight="1" spans="1:8">
      <c r="A38" s="1787"/>
      <c r="B38" s="1791" t="s">
        <v>278</v>
      </c>
      <c r="C38" s="1791" t="s">
        <v>252</v>
      </c>
      <c r="D38" s="1791" t="s">
        <v>254</v>
      </c>
      <c r="E38" s="1791" t="s">
        <v>255</v>
      </c>
      <c r="F38" s="1791" t="s">
        <v>257</v>
      </c>
      <c r="G38" s="1791" t="s">
        <v>279</v>
      </c>
      <c r="H38" s="1792" t="s">
        <v>262</v>
      </c>
    </row>
    <row r="39" ht="15" customHeight="1" spans="1:8">
      <c r="A39" s="1793" t="s">
        <v>280</v>
      </c>
      <c r="B39" s="1794">
        <f>ROUND(未审权益表!B39,2)</f>
        <v>0</v>
      </c>
      <c r="C39" s="1794">
        <f>ROUND(未审权益表!C39,2)</f>
        <v>0</v>
      </c>
      <c r="D39" s="1794">
        <f>ROUND(未审权益表!D39,2)</f>
        <v>0</v>
      </c>
      <c r="E39" s="1794">
        <f>ROUND(未审权益表!E39,2)</f>
        <v>0</v>
      </c>
      <c r="F39" s="1794">
        <f>ROUND(未审权益表!F39,2)</f>
        <v>0</v>
      </c>
      <c r="G39" s="1794">
        <f>ROUND(未审权益表!G39,2)</f>
        <v>0</v>
      </c>
      <c r="H39" s="1795">
        <f t="shared" ref="H39:H64" si="10">ROUND(SUM(B39:G39)-2*D39,2)</f>
        <v>0</v>
      </c>
    </row>
    <row r="40" ht="15" customHeight="1" spans="1:8">
      <c r="A40" s="1796" t="s">
        <v>281</v>
      </c>
      <c r="B40" s="1794">
        <f>ROUND(未审权益表!B40,2)</f>
        <v>0</v>
      </c>
      <c r="C40" s="1794">
        <f>ROUND(未审权益表!C40,2)</f>
        <v>0</v>
      </c>
      <c r="D40" s="1794">
        <f>ROUND(未审权益表!D40,2)</f>
        <v>0</v>
      </c>
      <c r="E40" s="1794">
        <f>ROUND(未审权益表!E40,2)</f>
        <v>0</v>
      </c>
      <c r="F40" s="1794">
        <f>ROUND(未审权益表!F40,2)</f>
        <v>0</v>
      </c>
      <c r="G40" s="1794">
        <f>ROUND(未审权益表!G40,2)</f>
        <v>0</v>
      </c>
      <c r="H40" s="1795">
        <f t="shared" si="10"/>
        <v>0</v>
      </c>
    </row>
    <row r="41" ht="15" customHeight="1" spans="1:8">
      <c r="A41" s="1796" t="s">
        <v>282</v>
      </c>
      <c r="B41" s="1794">
        <f>ROUND(未审权益表!B41,2)</f>
        <v>0</v>
      </c>
      <c r="C41" s="1794">
        <f>ROUND(未审权益表!C41,2)</f>
        <v>0</v>
      </c>
      <c r="D41" s="1794">
        <f>ROUND(未审权益表!D41,2)</f>
        <v>0</v>
      </c>
      <c r="E41" s="1794">
        <f>ROUND(未审权益表!E41,2)</f>
        <v>0</v>
      </c>
      <c r="F41" s="1797">
        <f>ROUND(F42-F39-F40,2)</f>
        <v>0</v>
      </c>
      <c r="G41" s="1794">
        <f>ROUND(未审权益表!G41,2)</f>
        <v>0</v>
      </c>
      <c r="H41" s="1795">
        <f t="shared" si="10"/>
        <v>0</v>
      </c>
    </row>
    <row r="42" ht="15" customHeight="1" spans="1:8">
      <c r="A42" s="1793" t="s">
        <v>283</v>
      </c>
      <c r="B42" s="1797">
        <f t="shared" ref="B42:G42" si="11">ROUND(B39+B40+B41,2)</f>
        <v>0</v>
      </c>
      <c r="C42" s="1797">
        <f t="shared" si="11"/>
        <v>0</v>
      </c>
      <c r="D42" s="1797">
        <f t="shared" si="11"/>
        <v>0</v>
      </c>
      <c r="E42" s="1797">
        <f t="shared" si="11"/>
        <v>0</v>
      </c>
      <c r="F42" s="1797">
        <f>ROUND(审定利润表!D37,2)</f>
        <v>0</v>
      </c>
      <c r="G42" s="1797">
        <f t="shared" si="11"/>
        <v>0</v>
      </c>
      <c r="H42" s="1795">
        <f t="shared" si="10"/>
        <v>0</v>
      </c>
    </row>
    <row r="43" ht="15" customHeight="1" spans="1:8">
      <c r="A43" s="1793" t="s">
        <v>284</v>
      </c>
      <c r="B43" s="1797">
        <f t="shared" ref="B43:G43" si="12">ROUND(B50+B51+B55+B59,2)</f>
        <v>0</v>
      </c>
      <c r="C43" s="1797">
        <f t="shared" si="12"/>
        <v>0</v>
      </c>
      <c r="D43" s="1797">
        <f t="shared" si="12"/>
        <v>0</v>
      </c>
      <c r="E43" s="1797">
        <f t="shared" si="12"/>
        <v>0</v>
      </c>
      <c r="F43" s="1797">
        <f t="shared" si="12"/>
        <v>0</v>
      </c>
      <c r="G43" s="1797">
        <f t="shared" si="12"/>
        <v>0</v>
      </c>
      <c r="H43" s="1795">
        <f t="shared" si="10"/>
        <v>0</v>
      </c>
    </row>
    <row r="44" ht="15" customHeight="1" spans="1:8">
      <c r="A44" s="1793" t="s">
        <v>285</v>
      </c>
      <c r="B44" s="1797"/>
      <c r="C44" s="1797"/>
      <c r="D44" s="1797"/>
      <c r="E44" s="1797"/>
      <c r="F44" s="1797">
        <f>ROUND(审定利润表!D24,2)</f>
        <v>0</v>
      </c>
      <c r="G44" s="1797"/>
      <c r="H44" s="1795">
        <f t="shared" si="10"/>
        <v>0</v>
      </c>
    </row>
    <row r="45" ht="15" customHeight="1" spans="1:8">
      <c r="A45" s="1793" t="s">
        <v>286</v>
      </c>
      <c r="B45" s="1797">
        <f t="shared" ref="B45:G45" si="13">ROUND(B46+B47+B48+B49,2)</f>
        <v>0</v>
      </c>
      <c r="C45" s="1797">
        <f t="shared" si="13"/>
        <v>0</v>
      </c>
      <c r="D45" s="1797">
        <f t="shared" si="13"/>
        <v>0</v>
      </c>
      <c r="E45" s="1797">
        <f t="shared" si="13"/>
        <v>0</v>
      </c>
      <c r="F45" s="1797">
        <f t="shared" si="13"/>
        <v>0</v>
      </c>
      <c r="G45" s="1797">
        <f t="shared" si="13"/>
        <v>0</v>
      </c>
      <c r="H45" s="1795">
        <f t="shared" si="10"/>
        <v>0</v>
      </c>
    </row>
    <row r="46" ht="15" customHeight="1" spans="1:8">
      <c r="A46" s="1798" t="s">
        <v>287</v>
      </c>
      <c r="B46" s="1794">
        <f>ROUND(未审权益表!B46,2)</f>
        <v>0</v>
      </c>
      <c r="C46" s="1794">
        <f>ROUND(未审权益表!C46,2)</f>
        <v>0</v>
      </c>
      <c r="D46" s="1794">
        <f>ROUND(未审权益表!D46,2)</f>
        <v>0</v>
      </c>
      <c r="E46" s="1794">
        <f>ROUND(未审权益表!E46,2)</f>
        <v>0</v>
      </c>
      <c r="F46" s="1794">
        <f>ROUND(未审权益表!F46,2)</f>
        <v>0</v>
      </c>
      <c r="G46" s="1794">
        <f>ROUND(未审权益表!G46,2)</f>
        <v>0</v>
      </c>
      <c r="H46" s="1795">
        <f t="shared" si="10"/>
        <v>0</v>
      </c>
    </row>
    <row r="47" ht="15" customHeight="1" spans="1:8">
      <c r="A47" s="1798" t="s">
        <v>288</v>
      </c>
      <c r="B47" s="1794">
        <f>ROUND(未审权益表!B47,2)</f>
        <v>0</v>
      </c>
      <c r="C47" s="1794">
        <f>ROUND(未审权益表!C47,2)</f>
        <v>0</v>
      </c>
      <c r="D47" s="1794">
        <f>ROUND(未审权益表!D47,2)</f>
        <v>0</v>
      </c>
      <c r="E47" s="1794">
        <f>ROUND(未审权益表!E47,2)</f>
        <v>0</v>
      </c>
      <c r="F47" s="1794">
        <f>ROUND(未审权益表!F47,2)</f>
        <v>0</v>
      </c>
      <c r="G47" s="1794">
        <f>ROUND(未审权益表!G47,2)</f>
        <v>0</v>
      </c>
      <c r="H47" s="1795">
        <f t="shared" si="10"/>
        <v>0</v>
      </c>
    </row>
    <row r="48" ht="15" customHeight="1" spans="1:8">
      <c r="A48" s="1798" t="s">
        <v>289</v>
      </c>
      <c r="B48" s="1794">
        <f>ROUND(未审权益表!B48,2)</f>
        <v>0</v>
      </c>
      <c r="C48" s="1794">
        <f>ROUND(未审权益表!C48,2)</f>
        <v>0</v>
      </c>
      <c r="D48" s="1794">
        <f>ROUND(未审权益表!D48,2)</f>
        <v>0</v>
      </c>
      <c r="E48" s="1794">
        <f>ROUND(未审权益表!E48,2)</f>
        <v>0</v>
      </c>
      <c r="F48" s="1794">
        <f>ROUND(未审权益表!F48,2)</f>
        <v>0</v>
      </c>
      <c r="G48" s="1794">
        <f>ROUND(未审权益表!G48,2)</f>
        <v>0</v>
      </c>
      <c r="H48" s="1795">
        <f t="shared" si="10"/>
        <v>0</v>
      </c>
    </row>
    <row r="49" ht="15" customHeight="1" spans="1:8">
      <c r="A49" s="1798" t="s">
        <v>290</v>
      </c>
      <c r="B49" s="1794">
        <f>ROUND(未审权益表!B49,2)</f>
        <v>0</v>
      </c>
      <c r="C49" s="1794">
        <f>ROUND(未审权益表!C49,2)</f>
        <v>0</v>
      </c>
      <c r="D49" s="1794">
        <f>ROUND(未审权益表!D49,2)</f>
        <v>0</v>
      </c>
      <c r="E49" s="1794">
        <f>ROUND(未审权益表!E49,2)</f>
        <v>0</v>
      </c>
      <c r="F49" s="1794">
        <f>ROUND(未审权益表!F49,2)</f>
        <v>0</v>
      </c>
      <c r="G49" s="1794">
        <f>ROUND(未审权益表!G49,2)</f>
        <v>0</v>
      </c>
      <c r="H49" s="1795">
        <f t="shared" si="10"/>
        <v>0</v>
      </c>
    </row>
    <row r="50" ht="15" customHeight="1" spans="1:8">
      <c r="A50" s="1793" t="s">
        <v>291</v>
      </c>
      <c r="B50" s="1797">
        <f t="shared" ref="B50:G50" si="14">ROUND(B44+B45,2)</f>
        <v>0</v>
      </c>
      <c r="C50" s="1797">
        <f t="shared" si="14"/>
        <v>0</v>
      </c>
      <c r="D50" s="1797">
        <f t="shared" si="14"/>
        <v>0</v>
      </c>
      <c r="E50" s="1797">
        <f t="shared" si="14"/>
        <v>0</v>
      </c>
      <c r="F50" s="1797">
        <f t="shared" si="14"/>
        <v>0</v>
      </c>
      <c r="G50" s="1797">
        <f t="shared" si="14"/>
        <v>0</v>
      </c>
      <c r="H50" s="1795">
        <f t="shared" si="10"/>
        <v>0</v>
      </c>
    </row>
    <row r="51" ht="15" customHeight="1" spans="1:8">
      <c r="A51" s="1793" t="s">
        <v>292</v>
      </c>
      <c r="B51" s="1797">
        <f t="shared" ref="B51:G51" si="15">ROUND(B52+B53+B54,2)</f>
        <v>0</v>
      </c>
      <c r="C51" s="1797">
        <f t="shared" si="15"/>
        <v>0</v>
      </c>
      <c r="D51" s="1797">
        <f t="shared" si="15"/>
        <v>0</v>
      </c>
      <c r="E51" s="1797">
        <f t="shared" si="15"/>
        <v>0</v>
      </c>
      <c r="F51" s="1797">
        <f t="shared" si="15"/>
        <v>0</v>
      </c>
      <c r="G51" s="1797">
        <f t="shared" si="15"/>
        <v>0</v>
      </c>
      <c r="H51" s="1795">
        <f t="shared" si="10"/>
        <v>0</v>
      </c>
    </row>
    <row r="52" ht="15" customHeight="1" spans="1:8">
      <c r="A52" s="1798" t="s">
        <v>293</v>
      </c>
      <c r="B52" s="1794">
        <f>ROUND(未审权益表!B52,2)</f>
        <v>0</v>
      </c>
      <c r="C52" s="1794">
        <f>ROUND(未审权益表!C52,2)</f>
        <v>0</v>
      </c>
      <c r="D52" s="1794">
        <f>ROUND(未审权益表!D52,2)</f>
        <v>0</v>
      </c>
      <c r="E52" s="1794">
        <f>ROUND(未审权益表!E52,2)</f>
        <v>0</v>
      </c>
      <c r="F52" s="1794">
        <f>ROUND(未审权益表!F52,2)</f>
        <v>0</v>
      </c>
      <c r="G52" s="1794">
        <f>ROUND(未审权益表!G52,2)</f>
        <v>0</v>
      </c>
      <c r="H52" s="1795">
        <f t="shared" si="10"/>
        <v>0</v>
      </c>
    </row>
    <row r="53" ht="15" customHeight="1" spans="1:8">
      <c r="A53" s="1798" t="s">
        <v>294</v>
      </c>
      <c r="B53" s="1794">
        <f>ROUND(未审权益表!B53,2)</f>
        <v>0</v>
      </c>
      <c r="C53" s="1794">
        <f>ROUND(未审权益表!C53,2)</f>
        <v>0</v>
      </c>
      <c r="D53" s="1794">
        <f>ROUND(未审权益表!D53,2)</f>
        <v>0</v>
      </c>
      <c r="E53" s="1794">
        <f>ROUND(未审权益表!E53,2)</f>
        <v>0</v>
      </c>
      <c r="F53" s="1794">
        <f>ROUND(未审权益表!F53,2)</f>
        <v>0</v>
      </c>
      <c r="G53" s="1794">
        <f>ROUND(未审权益表!G53,2)</f>
        <v>0</v>
      </c>
      <c r="H53" s="1795">
        <f t="shared" si="10"/>
        <v>0</v>
      </c>
    </row>
    <row r="54" ht="15" customHeight="1" spans="1:8">
      <c r="A54" s="1798" t="s">
        <v>295</v>
      </c>
      <c r="B54" s="1794">
        <f>ROUND(未审权益表!B54,2)</f>
        <v>0</v>
      </c>
      <c r="C54" s="1794">
        <f>ROUND(未审权益表!C54,2)</f>
        <v>0</v>
      </c>
      <c r="D54" s="1794">
        <f>ROUND(未审权益表!D54,2)</f>
        <v>0</v>
      </c>
      <c r="E54" s="1794">
        <f>ROUND(未审权益表!E54,2)</f>
        <v>0</v>
      </c>
      <c r="F54" s="1794">
        <f>ROUND(未审权益表!F54,2)</f>
        <v>0</v>
      </c>
      <c r="G54" s="1794">
        <f>ROUND(未审权益表!G54,2)</f>
        <v>0</v>
      </c>
      <c r="H54" s="1795">
        <f t="shared" si="10"/>
        <v>0</v>
      </c>
    </row>
    <row r="55" ht="15" customHeight="1" spans="1:8">
      <c r="A55" s="1793" t="s">
        <v>296</v>
      </c>
      <c r="B55" s="1797">
        <f t="shared" ref="B55:G55" si="16">ROUND(B56+B57+B58,2)</f>
        <v>0</v>
      </c>
      <c r="C55" s="1797">
        <f t="shared" si="16"/>
        <v>0</v>
      </c>
      <c r="D55" s="1797">
        <f t="shared" si="16"/>
        <v>0</v>
      </c>
      <c r="E55" s="1797">
        <f t="shared" si="16"/>
        <v>0</v>
      </c>
      <c r="F55" s="1797">
        <f t="shared" si="16"/>
        <v>0</v>
      </c>
      <c r="G55" s="1797">
        <f t="shared" si="16"/>
        <v>0</v>
      </c>
      <c r="H55" s="1795">
        <f t="shared" si="10"/>
        <v>0</v>
      </c>
    </row>
    <row r="56" ht="15" customHeight="1" spans="1:8">
      <c r="A56" s="1798" t="s">
        <v>297</v>
      </c>
      <c r="B56" s="1794">
        <f>ROUND(未审权益表!B56,2)</f>
        <v>0</v>
      </c>
      <c r="C56" s="1794">
        <f>ROUND(未审权益表!C56,2)</f>
        <v>0</v>
      </c>
      <c r="D56" s="1794">
        <f>ROUND(未审权益表!D56,2)</f>
        <v>0</v>
      </c>
      <c r="E56" s="1794">
        <f>ROUND(未审权益表!E56,2)</f>
        <v>0</v>
      </c>
      <c r="F56" s="1794">
        <f>ROUND(未审权益表!F56,2)</f>
        <v>0</v>
      </c>
      <c r="G56" s="1794">
        <f>ROUND(未审权益表!G56,2)</f>
        <v>0</v>
      </c>
      <c r="H56" s="1795">
        <f t="shared" si="10"/>
        <v>0</v>
      </c>
    </row>
    <row r="57" ht="15" customHeight="1" spans="1:8">
      <c r="A57" s="1798" t="s">
        <v>298</v>
      </c>
      <c r="B57" s="1794">
        <f>ROUND(未审权益表!B57,2)</f>
        <v>0</v>
      </c>
      <c r="C57" s="1794">
        <f>ROUND(未审权益表!C57,2)</f>
        <v>0</v>
      </c>
      <c r="D57" s="1794">
        <f>ROUND(未审权益表!D57,2)</f>
        <v>0</v>
      </c>
      <c r="E57" s="1794">
        <f>ROUND(未审权益表!E57,2)</f>
        <v>0</v>
      </c>
      <c r="F57" s="1794">
        <f>ROUND(未审权益表!F57,2)</f>
        <v>0</v>
      </c>
      <c r="G57" s="1794">
        <f>ROUND(未审权益表!G57,2)</f>
        <v>0</v>
      </c>
      <c r="H57" s="1795">
        <f t="shared" si="10"/>
        <v>0</v>
      </c>
    </row>
    <row r="58" ht="15" customHeight="1" spans="1:8">
      <c r="A58" s="1798" t="s">
        <v>295</v>
      </c>
      <c r="B58" s="1794">
        <f>ROUND(未审权益表!B58,2)</f>
        <v>0</v>
      </c>
      <c r="C58" s="1794">
        <f>ROUND(未审权益表!C58,2)</f>
        <v>0</v>
      </c>
      <c r="D58" s="1794">
        <f>ROUND(未审权益表!D58,2)</f>
        <v>0</v>
      </c>
      <c r="E58" s="1794">
        <f>ROUND(未审权益表!E58,2)</f>
        <v>0</v>
      </c>
      <c r="F58" s="1794">
        <f>ROUND(未审权益表!F58,2)</f>
        <v>0</v>
      </c>
      <c r="G58" s="1794">
        <f>ROUND(未审权益表!G58,2)</f>
        <v>0</v>
      </c>
      <c r="H58" s="1795">
        <f t="shared" si="10"/>
        <v>0</v>
      </c>
    </row>
    <row r="59" ht="15" customHeight="1" spans="1:8">
      <c r="A59" s="1793" t="s">
        <v>299</v>
      </c>
      <c r="B59" s="1797">
        <f t="shared" ref="B59:G59" si="17">ROUND(B60+B61+B62+B63,2)</f>
        <v>0</v>
      </c>
      <c r="C59" s="1797">
        <f t="shared" si="17"/>
        <v>0</v>
      </c>
      <c r="D59" s="1797">
        <f t="shared" si="17"/>
        <v>0</v>
      </c>
      <c r="E59" s="1797">
        <f t="shared" si="17"/>
        <v>0</v>
      </c>
      <c r="F59" s="1797">
        <f t="shared" si="17"/>
        <v>0</v>
      </c>
      <c r="G59" s="1797">
        <f t="shared" si="17"/>
        <v>0</v>
      </c>
      <c r="H59" s="1795">
        <f t="shared" si="10"/>
        <v>0</v>
      </c>
    </row>
    <row r="60" ht="15" customHeight="1" spans="1:8">
      <c r="A60" s="1798" t="s">
        <v>300</v>
      </c>
      <c r="B60" s="1794">
        <f>ROUND(未审权益表!B60,2)</f>
        <v>0</v>
      </c>
      <c r="C60" s="1794">
        <f>ROUND(未审权益表!C60,2)</f>
        <v>0</v>
      </c>
      <c r="D60" s="1794">
        <f>ROUND(未审权益表!D60,2)</f>
        <v>0</v>
      </c>
      <c r="E60" s="1794">
        <f>ROUND(未审权益表!E60,2)</f>
        <v>0</v>
      </c>
      <c r="F60" s="1794">
        <f>ROUND(未审权益表!F60,2)</f>
        <v>0</v>
      </c>
      <c r="G60" s="1794">
        <f>ROUND(未审权益表!G60,2)</f>
        <v>0</v>
      </c>
      <c r="H60" s="1795">
        <f t="shared" si="10"/>
        <v>0</v>
      </c>
    </row>
    <row r="61" ht="15" customHeight="1" spans="1:8">
      <c r="A61" s="1798" t="s">
        <v>301</v>
      </c>
      <c r="B61" s="1794">
        <f>ROUND(未审权益表!B61,2)</f>
        <v>0</v>
      </c>
      <c r="C61" s="1794">
        <f>ROUND(未审权益表!C61,2)</f>
        <v>0</v>
      </c>
      <c r="D61" s="1794">
        <f>ROUND(未审权益表!D61,2)</f>
        <v>0</v>
      </c>
      <c r="E61" s="1794">
        <f>ROUND(未审权益表!E61,2)</f>
        <v>0</v>
      </c>
      <c r="F61" s="1794">
        <f>ROUND(未审权益表!F61,2)</f>
        <v>0</v>
      </c>
      <c r="G61" s="1794">
        <f>ROUND(未审权益表!G61,2)</f>
        <v>0</v>
      </c>
      <c r="H61" s="1795">
        <f t="shared" si="10"/>
        <v>0</v>
      </c>
    </row>
    <row r="62" ht="15" customHeight="1" spans="1:8">
      <c r="A62" s="1798" t="s">
        <v>302</v>
      </c>
      <c r="B62" s="1794">
        <f>ROUND(未审权益表!B62,2)</f>
        <v>0</v>
      </c>
      <c r="C62" s="1794">
        <f>ROUND(未审权益表!C62,2)</f>
        <v>0</v>
      </c>
      <c r="D62" s="1794">
        <f>ROUND(未审权益表!D62,2)</f>
        <v>0</v>
      </c>
      <c r="E62" s="1794">
        <f>ROUND(未审权益表!E62,2)</f>
        <v>0</v>
      </c>
      <c r="F62" s="1794">
        <f>ROUND(未审权益表!F62,2)</f>
        <v>0</v>
      </c>
      <c r="G62" s="1794">
        <f>ROUND(未审权益表!G62,2)</f>
        <v>0</v>
      </c>
      <c r="H62" s="1795">
        <f t="shared" si="10"/>
        <v>0</v>
      </c>
    </row>
    <row r="63" ht="15" customHeight="1" spans="1:8">
      <c r="A63" s="1798" t="s">
        <v>290</v>
      </c>
      <c r="B63" s="1794">
        <f>ROUND(未审权益表!B63,2)</f>
        <v>0</v>
      </c>
      <c r="C63" s="1794">
        <f>ROUND(未审权益表!C63,2)</f>
        <v>0</v>
      </c>
      <c r="D63" s="1794">
        <f>ROUND(未审权益表!D63,2)</f>
        <v>0</v>
      </c>
      <c r="E63" s="1794">
        <f>ROUND(未审权益表!E63,2)</f>
        <v>0</v>
      </c>
      <c r="F63" s="1794">
        <f>ROUND(未审权益表!F63,2)</f>
        <v>0</v>
      </c>
      <c r="G63" s="1794">
        <f>ROUND(未审权益表!G63,2)</f>
        <v>0</v>
      </c>
      <c r="H63" s="1795">
        <f t="shared" si="10"/>
        <v>0</v>
      </c>
    </row>
    <row r="64" ht="15" customHeight="1" spans="1:8">
      <c r="A64" s="1799" t="s">
        <v>303</v>
      </c>
      <c r="B64" s="1800">
        <f t="shared" ref="B64:G64" si="18">ROUND(B42+B43,2)</f>
        <v>0</v>
      </c>
      <c r="C64" s="1800">
        <f t="shared" si="18"/>
        <v>0</v>
      </c>
      <c r="D64" s="1800">
        <f t="shared" si="18"/>
        <v>0</v>
      </c>
      <c r="E64" s="1800">
        <f t="shared" si="18"/>
        <v>0</v>
      </c>
      <c r="F64" s="1800">
        <f t="shared" si="18"/>
        <v>0</v>
      </c>
      <c r="G64" s="1800">
        <f t="shared" si="18"/>
        <v>0</v>
      </c>
      <c r="H64" s="1801">
        <f t="shared" si="10"/>
        <v>0</v>
      </c>
    </row>
    <row r="65" ht="13.5"/>
  </sheetData>
  <sheetProtection password="CF6E" sheet="1" objects="1" scenarios="1"/>
  <mergeCells count="6">
    <mergeCell ref="A1:H1"/>
    <mergeCell ref="A33:H33"/>
    <mergeCell ref="A4:A6"/>
    <mergeCell ref="A36:A38"/>
    <mergeCell ref="B4:H5"/>
    <mergeCell ref="B36:H37"/>
  </mergeCells>
  <conditionalFormatting sqref="B9:G9">
    <cfRule type="cellIs" dxfId="3" priority="3" stopIfTrue="1" operator="notEqual">
      <formula>0</formula>
    </cfRule>
  </conditionalFormatting>
  <conditionalFormatting sqref="A2 A34">
    <cfRule type="cellIs" dxfId="1" priority="1" stopIfTrue="1" operator="notEqual">
      <formula>""</formula>
    </cfRule>
  </conditionalFormatting>
  <conditionalFormatting sqref="B2:G2 B34:G34">
    <cfRule type="cellIs" dxfId="1" priority="2" stopIfTrue="1" operator="notEqual">
      <formula>0</formula>
    </cfRule>
  </conditionalFormatting>
  <printOptions horizontalCentered="1"/>
  <pageMargins left="0.590551181102362" right="0.590551181102362" top="0.590551181102362" bottom="0.93" header="0.275590551181102" footer="0.71"/>
  <pageSetup paperSize="9" scale="95" fitToHeight="0" orientation="landscape" blackAndWhite="1"/>
  <headerFooter alignWithMargins="0">
    <oddFooter>&amp;L&amp;10企业负责人:&amp;C&amp;10会计机构负责人：&amp;R&amp;10制表人：</oddFooter>
  </headerFooter>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36"/>
  <sheetViews>
    <sheetView showGridLines="0" showZeros="0" zoomScale="105" zoomScaleNormal="105" workbookViewId="0">
      <pane xSplit="1" ySplit="1" topLeftCell="B2" activePane="bottomRight" state="frozen"/>
      <selection/>
      <selection pane="topRight"/>
      <selection pane="bottomLeft"/>
      <selection pane="bottomRight" activeCell="C8" sqref="C8"/>
    </sheetView>
  </sheetViews>
  <sheetFormatPr defaultColWidth="9" defaultRowHeight="12.75"/>
  <cols>
    <col min="1" max="1" width="37.75" style="2075" customWidth="1"/>
    <col min="2" max="9" width="12.25" style="2075" customWidth="1"/>
    <col min="10" max="10" width="26.75" style="2141" hidden="1" customWidth="1"/>
    <col min="11" max="11" width="16.25" style="2075" customWidth="1"/>
    <col min="12" max="16384" width="9" style="2075"/>
  </cols>
  <sheetData>
    <row r="1" ht="25.5" spans="1:9">
      <c r="A1" s="2077" t="s">
        <v>1532</v>
      </c>
      <c r="B1" s="2077"/>
      <c r="C1" s="2077"/>
      <c r="D1" s="2077"/>
      <c r="E1" s="2077"/>
      <c r="F1" s="2077"/>
      <c r="G1" s="2077"/>
      <c r="H1" s="2077"/>
      <c r="I1" s="2077"/>
    </row>
    <row r="2" spans="1:9">
      <c r="A2" s="2079" t="s">
        <v>312</v>
      </c>
      <c r="B2" s="2146"/>
      <c r="C2" s="2146"/>
      <c r="D2" s="2146"/>
      <c r="E2" s="2146"/>
      <c r="F2" s="2146"/>
      <c r="G2" s="2146"/>
      <c r="H2" s="2146"/>
      <c r="I2" s="2146"/>
    </row>
    <row r="3" spans="1:9">
      <c r="A3" s="2081" t="s">
        <v>313</v>
      </c>
      <c r="B3" s="2146"/>
      <c r="C3" s="2146"/>
      <c r="D3" s="2146"/>
      <c r="E3" s="2146"/>
      <c r="F3" s="2146"/>
      <c r="G3" s="2146"/>
      <c r="H3" s="2146"/>
      <c r="I3" s="2146"/>
    </row>
    <row r="4" spans="1:9">
      <c r="A4" s="2147" t="s">
        <v>314</v>
      </c>
      <c r="B4" s="2108" t="s">
        <v>315</v>
      </c>
      <c r="C4" s="2108"/>
      <c r="D4" s="2108"/>
      <c r="E4" s="2108" t="s">
        <v>316</v>
      </c>
      <c r="F4" s="2108"/>
      <c r="G4" s="2108"/>
      <c r="H4" s="2128"/>
      <c r="I4" s="2128"/>
    </row>
    <row r="5" spans="1:9">
      <c r="A5" s="2148"/>
      <c r="B5" s="2108" t="s">
        <v>317</v>
      </c>
      <c r="C5" s="2108" t="s">
        <v>318</v>
      </c>
      <c r="D5" s="2108" t="s">
        <v>319</v>
      </c>
      <c r="E5" s="2108" t="s">
        <v>317</v>
      </c>
      <c r="F5" s="2108" t="s">
        <v>318</v>
      </c>
      <c r="G5" s="2108" t="s">
        <v>319</v>
      </c>
      <c r="H5" s="2128"/>
      <c r="I5" s="2128"/>
    </row>
    <row r="6" spans="1:10">
      <c r="A6" s="2109" t="s">
        <v>320</v>
      </c>
      <c r="B6" s="1824"/>
      <c r="C6" s="2149"/>
      <c r="D6" s="2048">
        <f>ROUND(SUM(D7:D11),2)</f>
        <v>0</v>
      </c>
      <c r="E6" s="1824"/>
      <c r="F6" s="2149"/>
      <c r="G6" s="2048">
        <f>ROUND(SUM(G7:G11),2)</f>
        <v>0</v>
      </c>
      <c r="H6" s="2100"/>
      <c r="I6" s="2100"/>
      <c r="J6" s="2118" t="s">
        <v>321</v>
      </c>
    </row>
    <row r="7" spans="1:10">
      <c r="A7" s="2109" t="s">
        <v>322</v>
      </c>
      <c r="B7" s="1824"/>
      <c r="C7" s="2149"/>
      <c r="D7" s="2150">
        <f>IF(未审附注之流动资产!D7="",0,未审附注之流动资产!D7)</f>
        <v>0</v>
      </c>
      <c r="E7" s="1824"/>
      <c r="F7" s="2149"/>
      <c r="G7" s="2150">
        <f>IF(未审附注之流动资产!G7="",0,未审附注之流动资产!G7)</f>
        <v>0</v>
      </c>
      <c r="H7" s="2100"/>
      <c r="I7" s="2100"/>
      <c r="J7" s="2118" t="s">
        <v>323</v>
      </c>
    </row>
    <row r="8" spans="1:10">
      <c r="A8" s="2151" t="s">
        <v>324</v>
      </c>
      <c r="B8" s="1797" t="str">
        <f>IF(C8=0,"",ROUND(D8/C8,2))</f>
        <v/>
      </c>
      <c r="C8" s="2152">
        <f>IF(未审附注之流动资产!C8="",0,未审附注之流动资产!C8)</f>
        <v>0</v>
      </c>
      <c r="D8" s="2150">
        <f>IF(未审附注之流动资产!D8="",0,未审附注之流动资产!D8)</f>
        <v>0</v>
      </c>
      <c r="E8" s="1797" t="str">
        <f>IF(F8=0,"",ROUND(G8/F8,2))</f>
        <v/>
      </c>
      <c r="F8" s="2152">
        <f>IF(未审附注之流动资产!F8="",0,未审附注之流动资产!F8)</f>
        <v>0</v>
      </c>
      <c r="G8" s="2150">
        <f>IF(未审附注之流动资产!G8="",0,未审附注之流动资产!G8)</f>
        <v>0</v>
      </c>
      <c r="H8" s="2100"/>
      <c r="I8" s="2100"/>
      <c r="J8" s="2118" t="s">
        <v>325</v>
      </c>
    </row>
    <row r="9" spans="1:10">
      <c r="A9" s="2151" t="s">
        <v>326</v>
      </c>
      <c r="B9" s="1797" t="str">
        <f>IF(C9=0,"",ROUND(D9/C9,2))</f>
        <v/>
      </c>
      <c r="C9" s="2152">
        <f>IF(未审附注之流动资产!C9="",0,未审附注之流动资产!C9)</f>
        <v>0</v>
      </c>
      <c r="D9" s="2150">
        <f>IF(未审附注之流动资产!D9="",0,未审附注之流动资产!D9)</f>
        <v>0</v>
      </c>
      <c r="E9" s="1797" t="str">
        <f>IF(F9=0,"",ROUND(G9/F9,2))</f>
        <v/>
      </c>
      <c r="F9" s="2152">
        <f>IF(未审附注之流动资产!F9="",0,未审附注之流动资产!F9)</f>
        <v>0</v>
      </c>
      <c r="G9" s="2150">
        <f>IF(未审附注之流动资产!G9="",0,未审附注之流动资产!G9)</f>
        <v>0</v>
      </c>
      <c r="H9" s="2100"/>
      <c r="I9" s="2100"/>
      <c r="J9" s="2118" t="s">
        <v>327</v>
      </c>
    </row>
    <row r="10" spans="1:10">
      <c r="A10" s="2151" t="s">
        <v>328</v>
      </c>
      <c r="B10" s="1797" t="str">
        <f>IF(C10=0,"",ROUND(D10/C10,2))</f>
        <v/>
      </c>
      <c r="C10" s="2152">
        <f>IF(未审附注之流动资产!C10="",0,未审附注之流动资产!C10)</f>
        <v>0</v>
      </c>
      <c r="D10" s="2150">
        <f>IF(未审附注之流动资产!D10="",0,未审附注之流动资产!D10)</f>
        <v>0</v>
      </c>
      <c r="E10" s="1797" t="str">
        <f>IF(F10=0,"",ROUND(G10/F10,2))</f>
        <v/>
      </c>
      <c r="F10" s="2152">
        <f>IF(未审附注之流动资产!F10="",0,未审附注之流动资产!F10)</f>
        <v>0</v>
      </c>
      <c r="G10" s="2150">
        <f>IF(未审附注之流动资产!G10="",0,未审附注之流动资产!G10)</f>
        <v>0</v>
      </c>
      <c r="H10" s="2100"/>
      <c r="I10" s="2100"/>
      <c r="J10" s="2118" t="s">
        <v>329</v>
      </c>
    </row>
    <row r="11" spans="1:10">
      <c r="A11" s="2151" t="s">
        <v>330</v>
      </c>
      <c r="B11" s="1797" t="str">
        <f>IF(C11=0,"",ROUND(D11/C11,2))</f>
        <v/>
      </c>
      <c r="C11" s="2152">
        <f>IF(未审附注之流动资产!C11="",0,未审附注之流动资产!C11)</f>
        <v>0</v>
      </c>
      <c r="D11" s="2150">
        <f>IF(未审附注之流动资产!D11="",0,未审附注之流动资产!D11)</f>
        <v>0</v>
      </c>
      <c r="E11" s="1797" t="str">
        <f>IF(F11=0,"",ROUND(G11/F11,2))</f>
        <v/>
      </c>
      <c r="F11" s="2152">
        <f>IF(未审附注之流动资产!F11="",0,未审附注之流动资产!F11)</f>
        <v>0</v>
      </c>
      <c r="G11" s="2150">
        <f>IF(未审附注之流动资产!G11="",0,未审附注之流动资产!G11)</f>
        <v>0</v>
      </c>
      <c r="H11" s="2100"/>
      <c r="I11" s="2100"/>
      <c r="J11" s="2118" t="s">
        <v>331</v>
      </c>
    </row>
    <row r="12" spans="1:10">
      <c r="A12" s="2109" t="s">
        <v>332</v>
      </c>
      <c r="B12" s="2098"/>
      <c r="C12" s="2149"/>
      <c r="D12" s="2048">
        <f>ROUND(SUM(D13:D17),2)</f>
        <v>0</v>
      </c>
      <c r="E12" s="2098"/>
      <c r="F12" s="2149"/>
      <c r="G12" s="2048">
        <f>ROUND(SUM(G13:G17),2)</f>
        <v>0</v>
      </c>
      <c r="H12" s="2100"/>
      <c r="I12" s="2100"/>
      <c r="J12" s="2118" t="s">
        <v>333</v>
      </c>
    </row>
    <row r="13" spans="1:10">
      <c r="A13" s="2109" t="s">
        <v>322</v>
      </c>
      <c r="B13" s="2098"/>
      <c r="C13" s="2149"/>
      <c r="D13" s="2150">
        <f>IF(未审附注之流动资产!D13="",0,未审附注之流动资产!D13)</f>
        <v>0</v>
      </c>
      <c r="E13" s="2098"/>
      <c r="F13" s="2149"/>
      <c r="G13" s="2150">
        <f>IF(未审附注之流动资产!G13="",0,未审附注之流动资产!G13)</f>
        <v>0</v>
      </c>
      <c r="H13" s="2100"/>
      <c r="I13" s="2100"/>
      <c r="J13" s="2118" t="s">
        <v>334</v>
      </c>
    </row>
    <row r="14" spans="1:10">
      <c r="A14" s="2151" t="s">
        <v>324</v>
      </c>
      <c r="B14" s="1797" t="str">
        <f>IF(C14=0,"",ROUND(D14/C14,2))</f>
        <v/>
      </c>
      <c r="C14" s="2152">
        <f>IF(未审附注之流动资产!C14="",0,未审附注之流动资产!C14)</f>
        <v>0</v>
      </c>
      <c r="D14" s="2150">
        <f>IF(未审附注之流动资产!D14="",0,未审附注之流动资产!D14)</f>
        <v>0</v>
      </c>
      <c r="E14" s="1797" t="str">
        <f>IF(F14=0,"",ROUND(G14/F14,2))</f>
        <v/>
      </c>
      <c r="F14" s="2152">
        <f>IF(未审附注之流动资产!F14="",0,未审附注之流动资产!F14)</f>
        <v>0</v>
      </c>
      <c r="G14" s="2150">
        <f>IF(未审附注之流动资产!G14="",0,未审附注之流动资产!G14)</f>
        <v>0</v>
      </c>
      <c r="H14" s="2100"/>
      <c r="I14" s="2100"/>
      <c r="J14" s="2118" t="s">
        <v>335</v>
      </c>
    </row>
    <row r="15" spans="1:10">
      <c r="A15" s="2151" t="s">
        <v>326</v>
      </c>
      <c r="B15" s="1797" t="str">
        <f>IF(C15=0,"",ROUND(D15/C15,2))</f>
        <v/>
      </c>
      <c r="C15" s="2152">
        <f>IF(未审附注之流动资产!C15="",0,未审附注之流动资产!C15)</f>
        <v>0</v>
      </c>
      <c r="D15" s="2150">
        <f>IF(未审附注之流动资产!D15="",0,未审附注之流动资产!D15)</f>
        <v>0</v>
      </c>
      <c r="E15" s="1797" t="str">
        <f>IF(F15=0,"",ROUND(G15/F15,2))</f>
        <v/>
      </c>
      <c r="F15" s="2152">
        <f>IF(未审附注之流动资产!F15="",0,未审附注之流动资产!F15)</f>
        <v>0</v>
      </c>
      <c r="G15" s="2150">
        <f>IF(未审附注之流动资产!G15="",0,未审附注之流动资产!G15)</f>
        <v>0</v>
      </c>
      <c r="H15" s="2100"/>
      <c r="I15" s="2100"/>
      <c r="J15" s="2118" t="s">
        <v>336</v>
      </c>
    </row>
    <row r="16" spans="1:10">
      <c r="A16" s="2151" t="s">
        <v>328</v>
      </c>
      <c r="B16" s="1797" t="str">
        <f>IF(C16=0,"",ROUND(D16/C16,2))</f>
        <v/>
      </c>
      <c r="C16" s="2152">
        <f>IF(未审附注之流动资产!C16="",0,未审附注之流动资产!C16)</f>
        <v>0</v>
      </c>
      <c r="D16" s="2150">
        <f>IF(未审附注之流动资产!D16="",0,未审附注之流动资产!D16)</f>
        <v>0</v>
      </c>
      <c r="E16" s="1797" t="str">
        <f>IF(F16=0,"",ROUND(G16/F16,2))</f>
        <v/>
      </c>
      <c r="F16" s="2152">
        <f>IF(未审附注之流动资产!F16="",0,未审附注之流动资产!F16)</f>
        <v>0</v>
      </c>
      <c r="G16" s="2150">
        <f>IF(未审附注之流动资产!G16="",0,未审附注之流动资产!G16)</f>
        <v>0</v>
      </c>
      <c r="H16" s="2100"/>
      <c r="I16" s="2100"/>
      <c r="J16" s="2118" t="s">
        <v>337</v>
      </c>
    </row>
    <row r="17" spans="1:10">
      <c r="A17" s="2151" t="s">
        <v>330</v>
      </c>
      <c r="B17" s="1797" t="str">
        <f>IF(C17=0,"",ROUND(D17/C17,2))</f>
        <v/>
      </c>
      <c r="C17" s="2152">
        <f>IF(未审附注之流动资产!C17="",0,未审附注之流动资产!C17)</f>
        <v>0</v>
      </c>
      <c r="D17" s="2150">
        <f>IF(未审附注之流动资产!D17="",0,未审附注之流动资产!D17)</f>
        <v>0</v>
      </c>
      <c r="E17" s="1797" t="str">
        <f>IF(F17=0,"",ROUND(G17/F17,2))</f>
        <v/>
      </c>
      <c r="F17" s="2152">
        <f>IF(未审附注之流动资产!F17="",0,未审附注之流动资产!F17)</f>
        <v>0</v>
      </c>
      <c r="G17" s="2150">
        <f>IF(未审附注之流动资产!G17="",0,未审附注之流动资产!G17)</f>
        <v>0</v>
      </c>
      <c r="H17" s="2100"/>
      <c r="I17" s="2100"/>
      <c r="J17" s="2118" t="s">
        <v>338</v>
      </c>
    </row>
    <row r="18" spans="1:10">
      <c r="A18" s="2109" t="s">
        <v>339</v>
      </c>
      <c r="B18" s="2098"/>
      <c r="C18" s="2149"/>
      <c r="D18" s="2048">
        <f>ROUND(SUM(D19:D23),2)</f>
        <v>0</v>
      </c>
      <c r="E18" s="2098"/>
      <c r="F18" s="2149"/>
      <c r="G18" s="2048">
        <f>ROUND(SUM(G19:G23),2)</f>
        <v>0</v>
      </c>
      <c r="H18" s="2100"/>
      <c r="I18" s="2100"/>
      <c r="J18" s="2118" t="s">
        <v>340</v>
      </c>
    </row>
    <row r="19" spans="1:10">
      <c r="A19" s="2109" t="s">
        <v>322</v>
      </c>
      <c r="B19" s="2098"/>
      <c r="C19" s="2149"/>
      <c r="D19" s="2150">
        <f>IF(未审附注之流动资产!D19="",0,未审附注之流动资产!D19)</f>
        <v>0</v>
      </c>
      <c r="E19" s="2098"/>
      <c r="F19" s="2149"/>
      <c r="G19" s="2150">
        <f>IF(未审附注之流动资产!G19="",0,未审附注之流动资产!G19)</f>
        <v>0</v>
      </c>
      <c r="H19" s="2100"/>
      <c r="I19" s="2100"/>
      <c r="J19" s="2118" t="s">
        <v>341</v>
      </c>
    </row>
    <row r="20" spans="1:10">
      <c r="A20" s="2151" t="s">
        <v>324</v>
      </c>
      <c r="B20" s="1797" t="str">
        <f>IF(C20=0,"",ROUND(D20/C20,2))</f>
        <v/>
      </c>
      <c r="C20" s="2152">
        <f>IF(未审附注之流动资产!C20="",0,未审附注之流动资产!C20)</f>
        <v>0</v>
      </c>
      <c r="D20" s="2150">
        <f>IF(未审附注之流动资产!D20="",0,未审附注之流动资产!D20)</f>
        <v>0</v>
      </c>
      <c r="E20" s="1797" t="str">
        <f>IF(F20=0,"",ROUND(G20/F20,2))</f>
        <v/>
      </c>
      <c r="F20" s="2152">
        <f>IF(未审附注之流动资产!F20="",0,未审附注之流动资产!F20)</f>
        <v>0</v>
      </c>
      <c r="G20" s="2150">
        <f>IF(未审附注之流动资产!G20="",0,未审附注之流动资产!G20)</f>
        <v>0</v>
      </c>
      <c r="H20" s="2100"/>
      <c r="I20" s="2100"/>
      <c r="J20" s="2118" t="s">
        <v>342</v>
      </c>
    </row>
    <row r="21" spans="1:10">
      <c r="A21" s="2151" t="s">
        <v>326</v>
      </c>
      <c r="B21" s="1797" t="str">
        <f>IF(C21=0,"",ROUND(D21/C21,2))</f>
        <v/>
      </c>
      <c r="C21" s="2152">
        <f>IF(未审附注之流动资产!C21="",0,未审附注之流动资产!C21)</f>
        <v>0</v>
      </c>
      <c r="D21" s="2150">
        <f>IF(未审附注之流动资产!D21="",0,未审附注之流动资产!D21)</f>
        <v>0</v>
      </c>
      <c r="E21" s="1797" t="str">
        <f>IF(F21=0,"",ROUND(G21/F21,2))</f>
        <v/>
      </c>
      <c r="F21" s="2152">
        <f>IF(未审附注之流动资产!F21="",0,未审附注之流动资产!F21)</f>
        <v>0</v>
      </c>
      <c r="G21" s="2150">
        <f>IF(未审附注之流动资产!G21="",0,未审附注之流动资产!G21)</f>
        <v>0</v>
      </c>
      <c r="H21" s="2100"/>
      <c r="I21" s="2100"/>
      <c r="J21" s="2118" t="s">
        <v>343</v>
      </c>
    </row>
    <row r="22" spans="1:10">
      <c r="A22" s="2151" t="s">
        <v>328</v>
      </c>
      <c r="B22" s="1797" t="str">
        <f>IF(C22=0,"",ROUND(D22/C22,2))</f>
        <v/>
      </c>
      <c r="C22" s="2152">
        <f>IF(未审附注之流动资产!C22="",0,未审附注之流动资产!C22)</f>
        <v>0</v>
      </c>
      <c r="D22" s="2150">
        <f>IF(未审附注之流动资产!D22="",0,未审附注之流动资产!D22)</f>
        <v>0</v>
      </c>
      <c r="E22" s="1797" t="str">
        <f>IF(F22=0,"",ROUND(G22/F22,2))</f>
        <v/>
      </c>
      <c r="F22" s="2152">
        <f>IF(未审附注之流动资产!F22="",0,未审附注之流动资产!F22)</f>
        <v>0</v>
      </c>
      <c r="G22" s="2150">
        <f>IF(未审附注之流动资产!G22="",0,未审附注之流动资产!G22)</f>
        <v>0</v>
      </c>
      <c r="H22" s="2100"/>
      <c r="I22" s="2100"/>
      <c r="J22" s="2118" t="s">
        <v>344</v>
      </c>
    </row>
    <row r="23" spans="1:10">
      <c r="A23" s="2151" t="s">
        <v>330</v>
      </c>
      <c r="B23" s="1797" t="str">
        <f>IF(C23=0,"",ROUND(D23/C23,2))</f>
        <v/>
      </c>
      <c r="C23" s="2152">
        <f>IF(未审附注之流动资产!C23="",0,未审附注之流动资产!C23)</f>
        <v>0</v>
      </c>
      <c r="D23" s="2150">
        <f>IF(未审附注之流动资产!D23="",0,未审附注之流动资产!D23)</f>
        <v>0</v>
      </c>
      <c r="E23" s="1797" t="str">
        <f>IF(F23=0,"",ROUND(G23/F23,2))</f>
        <v/>
      </c>
      <c r="F23" s="2152">
        <f>IF(未审附注之流动资产!F23="",0,未审附注之流动资产!F23)</f>
        <v>0</v>
      </c>
      <c r="G23" s="2150">
        <f>IF(未审附注之流动资产!G23="",0,未审附注之流动资产!G23)</f>
        <v>0</v>
      </c>
      <c r="H23" s="2100"/>
      <c r="I23" s="2100"/>
      <c r="J23" s="2118" t="s">
        <v>345</v>
      </c>
    </row>
    <row r="24" spans="1:10">
      <c r="A24" s="2082" t="s">
        <v>346</v>
      </c>
      <c r="B24" s="1824"/>
      <c r="C24" s="2149"/>
      <c r="D24" s="2048">
        <f>ROUND(D6+D12+D18,2)</f>
        <v>0</v>
      </c>
      <c r="E24" s="1824"/>
      <c r="F24" s="2149"/>
      <c r="G24" s="2048">
        <f>ROUND(G6+G12+G18,2)</f>
        <v>0</v>
      </c>
      <c r="H24" s="2100"/>
      <c r="I24" s="2100"/>
      <c r="J24" s="2118" t="s">
        <v>347</v>
      </c>
    </row>
    <row r="25" spans="1:9">
      <c r="A25" s="2101"/>
      <c r="B25" s="2101"/>
      <c r="C25" s="2101"/>
      <c r="D25" s="2101"/>
      <c r="E25" s="2101"/>
      <c r="F25" s="2101"/>
      <c r="G25" s="2101"/>
      <c r="H25" s="2100"/>
      <c r="I25" s="2100"/>
    </row>
    <row r="26" spans="1:9">
      <c r="A26" s="2104" t="s">
        <v>348</v>
      </c>
      <c r="B26" s="2101"/>
      <c r="C26" s="2101"/>
      <c r="D26" s="2101"/>
      <c r="E26" s="2101"/>
      <c r="F26" s="2101"/>
      <c r="G26" s="2101"/>
      <c r="H26" s="2100"/>
      <c r="I26" s="2100"/>
    </row>
    <row r="27" spans="1:9">
      <c r="A27" s="2082" t="s">
        <v>349</v>
      </c>
      <c r="B27" s="2082" t="s">
        <v>350</v>
      </c>
      <c r="C27" s="2082" t="s">
        <v>351</v>
      </c>
      <c r="D27" s="2082" t="s">
        <v>352</v>
      </c>
      <c r="E27" s="2082" t="s">
        <v>353</v>
      </c>
      <c r="F27" s="2101"/>
      <c r="G27" s="2128"/>
      <c r="H27" s="2128"/>
      <c r="I27" s="2128"/>
    </row>
    <row r="28" spans="1:10">
      <c r="A28" s="2092">
        <f>IF(未审附注之流动资产!A28="",0,未审附注之流动资产!A28)</f>
        <v>0</v>
      </c>
      <c r="B28" s="2085">
        <f>IF(未审附注之流动资产!B28="",0,未审附注之流动资产!B28)</f>
        <v>0</v>
      </c>
      <c r="C28" s="2092">
        <f>IF(未审附注之流动资产!C28="",0,未审附注之流动资产!C28)</f>
        <v>0</v>
      </c>
      <c r="D28" s="2092">
        <f>IF(未审附注之流动资产!D28="",0,未审附注之流动资产!D28)</f>
        <v>0</v>
      </c>
      <c r="E28" s="2153">
        <f>IF(未审附注之流动资产!E28="",0,未审附注之流动资产!E28)</f>
        <v>0</v>
      </c>
      <c r="F28" s="2101"/>
      <c r="G28" s="2128"/>
      <c r="H28" s="2128"/>
      <c r="I28" s="2128"/>
      <c r="J28" s="2118" t="s">
        <v>354</v>
      </c>
    </row>
    <row r="29" spans="1:10">
      <c r="A29" s="2092">
        <f>IF(未审附注之流动资产!A29="",0,未审附注之流动资产!A29)</f>
        <v>0</v>
      </c>
      <c r="B29" s="2085">
        <f>IF(未审附注之流动资产!B29="",0,未审附注之流动资产!B29)</f>
        <v>0</v>
      </c>
      <c r="C29" s="2092">
        <f>IF(未审附注之流动资产!C29="",0,未审附注之流动资产!C29)</f>
        <v>0</v>
      </c>
      <c r="D29" s="2092">
        <f>IF(未审附注之流动资产!D29="",0,未审附注之流动资产!D29)</f>
        <v>0</v>
      </c>
      <c r="E29" s="2153">
        <f>IF(未审附注之流动资产!E29="",0,未审附注之流动资产!E29)</f>
        <v>0</v>
      </c>
      <c r="F29" s="2101"/>
      <c r="G29" s="2128"/>
      <c r="H29" s="2128"/>
      <c r="I29" s="2128"/>
      <c r="J29" s="2118" t="s">
        <v>354</v>
      </c>
    </row>
    <row r="30" spans="1:10">
      <c r="A30" s="2092">
        <f>IF(未审附注之流动资产!A30="",0,未审附注之流动资产!A30)</f>
        <v>0</v>
      </c>
      <c r="B30" s="2085">
        <f>IF(未审附注之流动资产!B30="",0,未审附注之流动资产!B30)</f>
        <v>0</v>
      </c>
      <c r="C30" s="2092">
        <f>IF(未审附注之流动资产!C30="",0,未审附注之流动资产!C30)</f>
        <v>0</v>
      </c>
      <c r="D30" s="2092">
        <f>IF(未审附注之流动资产!D30="",0,未审附注之流动资产!D30)</f>
        <v>0</v>
      </c>
      <c r="E30" s="2153">
        <f>IF(未审附注之流动资产!E30="",0,未审附注之流动资产!E30)</f>
        <v>0</v>
      </c>
      <c r="F30" s="2101"/>
      <c r="G30" s="2128"/>
      <c r="H30" s="2128"/>
      <c r="I30" s="2128"/>
      <c r="J30" s="2118" t="s">
        <v>354</v>
      </c>
    </row>
    <row r="31" spans="1:10">
      <c r="A31" s="2092">
        <f>IF(未审附注之流动资产!A31="",0,未审附注之流动资产!A31)</f>
        <v>0</v>
      </c>
      <c r="B31" s="2085">
        <f>IF(未审附注之流动资产!B31="",0,未审附注之流动资产!B31)</f>
        <v>0</v>
      </c>
      <c r="C31" s="2092">
        <f>IF(未审附注之流动资产!C31="",0,未审附注之流动资产!C31)</f>
        <v>0</v>
      </c>
      <c r="D31" s="2092">
        <f>IF(未审附注之流动资产!D31="",0,未审附注之流动资产!D31)</f>
        <v>0</v>
      </c>
      <c r="E31" s="2153">
        <f>IF(未审附注之流动资产!E31="",0,未审附注之流动资产!E31)</f>
        <v>0</v>
      </c>
      <c r="F31" s="2101"/>
      <c r="G31" s="2128"/>
      <c r="H31" s="2128"/>
      <c r="I31" s="2128"/>
      <c r="J31" s="2118" t="s">
        <v>354</v>
      </c>
    </row>
    <row r="32" spans="1:10">
      <c r="A32" s="2092">
        <f>IF(未审附注之流动资产!A32="",0,未审附注之流动资产!A32)</f>
        <v>0</v>
      </c>
      <c r="B32" s="2085">
        <f>IF(未审附注之流动资产!B32="",0,未审附注之流动资产!B32)</f>
        <v>0</v>
      </c>
      <c r="C32" s="2092">
        <f>IF(未审附注之流动资产!C32="",0,未审附注之流动资产!C32)</f>
        <v>0</v>
      </c>
      <c r="D32" s="2092">
        <f>IF(未审附注之流动资产!D32="",0,未审附注之流动资产!D32)</f>
        <v>0</v>
      </c>
      <c r="E32" s="2153">
        <f>IF(未审附注之流动资产!E32="",0,未审附注之流动资产!E32)</f>
        <v>0</v>
      </c>
      <c r="F32" s="2101"/>
      <c r="G32" s="2128"/>
      <c r="H32" s="2128"/>
      <c r="I32" s="2128"/>
      <c r="J32" s="2118" t="s">
        <v>354</v>
      </c>
    </row>
    <row r="33" spans="1:10">
      <c r="A33" s="2092">
        <f>IF(未审附注之流动资产!A33="",0,未审附注之流动资产!A33)</f>
        <v>0</v>
      </c>
      <c r="B33" s="2085">
        <f>IF(未审附注之流动资产!B33="",0,未审附注之流动资产!B33)</f>
        <v>0</v>
      </c>
      <c r="C33" s="2092">
        <f>IF(未审附注之流动资产!C33="",0,未审附注之流动资产!C33)</f>
        <v>0</v>
      </c>
      <c r="D33" s="2092">
        <f>IF(未审附注之流动资产!D33="",0,未审附注之流动资产!D33)</f>
        <v>0</v>
      </c>
      <c r="E33" s="2153">
        <f>IF(未审附注之流动资产!E33="",0,未审附注之流动资产!E33)</f>
        <v>0</v>
      </c>
      <c r="F33" s="2101"/>
      <c r="G33" s="2128"/>
      <c r="H33" s="2128"/>
      <c r="I33" s="2128"/>
      <c r="J33" s="2118" t="s">
        <v>354</v>
      </c>
    </row>
    <row r="34" spans="1:10">
      <c r="A34" s="2092">
        <f>IF(未审附注之流动资产!A34="",0,未审附注之流动资产!A34)</f>
        <v>0</v>
      </c>
      <c r="B34" s="2085">
        <f>IF(未审附注之流动资产!B34="",0,未审附注之流动资产!B34)</f>
        <v>0</v>
      </c>
      <c r="C34" s="2092">
        <f>IF(未审附注之流动资产!C34="",0,未审附注之流动资产!C34)</f>
        <v>0</v>
      </c>
      <c r="D34" s="2092">
        <f>IF(未审附注之流动资产!D34="",0,未审附注之流动资产!D34)</f>
        <v>0</v>
      </c>
      <c r="E34" s="2153">
        <f>IF(未审附注之流动资产!E34="",0,未审附注之流动资产!E34)</f>
        <v>0</v>
      </c>
      <c r="F34" s="2101"/>
      <c r="G34" s="2128"/>
      <c r="H34" s="2128"/>
      <c r="I34" s="2128"/>
      <c r="J34" s="2118" t="s">
        <v>354</v>
      </c>
    </row>
    <row r="35" spans="1:10">
      <c r="A35" s="2092">
        <f>IF(未审附注之流动资产!A35="",0,未审附注之流动资产!A35)</f>
        <v>0</v>
      </c>
      <c r="B35" s="2085">
        <f>IF(未审附注之流动资产!B35="",0,未审附注之流动资产!B35)</f>
        <v>0</v>
      </c>
      <c r="C35" s="2092">
        <f>IF(未审附注之流动资产!C35="",0,未审附注之流动资产!C35)</f>
        <v>0</v>
      </c>
      <c r="D35" s="2092">
        <f>IF(未审附注之流动资产!D35="",0,未审附注之流动资产!D35)</f>
        <v>0</v>
      </c>
      <c r="E35" s="2153">
        <f>IF(未审附注之流动资产!E35="",0,未审附注之流动资产!E35)</f>
        <v>0</v>
      </c>
      <c r="F35" s="2101"/>
      <c r="G35" s="2128"/>
      <c r="H35" s="2128"/>
      <c r="I35" s="2128"/>
      <c r="J35" s="2118" t="s">
        <v>354</v>
      </c>
    </row>
    <row r="36" spans="1:10">
      <c r="A36" s="2092">
        <f>IF(未审附注之流动资产!A36="",0,未审附注之流动资产!A36)</f>
        <v>0</v>
      </c>
      <c r="B36" s="2085">
        <f>IF(未审附注之流动资产!B36="",0,未审附注之流动资产!B36)</f>
        <v>0</v>
      </c>
      <c r="C36" s="2092">
        <f>IF(未审附注之流动资产!C36="",0,未审附注之流动资产!C36)</f>
        <v>0</v>
      </c>
      <c r="D36" s="2092">
        <f>IF(未审附注之流动资产!D36="",0,未审附注之流动资产!D36)</f>
        <v>0</v>
      </c>
      <c r="E36" s="2153">
        <f>IF(未审附注之流动资产!E36="",0,未审附注之流动资产!E36)</f>
        <v>0</v>
      </c>
      <c r="F36" s="2101"/>
      <c r="G36" s="2128"/>
      <c r="H36" s="2128"/>
      <c r="I36" s="2128"/>
      <c r="J36" s="2118" t="s">
        <v>354</v>
      </c>
    </row>
    <row r="37" spans="1:10">
      <c r="A37" s="2092">
        <f>IF(未审附注之流动资产!A37="",0,未审附注之流动资产!A37)</f>
        <v>0</v>
      </c>
      <c r="B37" s="2085">
        <f>IF(未审附注之流动资产!B37="",0,未审附注之流动资产!B37)</f>
        <v>0</v>
      </c>
      <c r="C37" s="2092">
        <f>IF(未审附注之流动资产!C37="",0,未审附注之流动资产!C37)</f>
        <v>0</v>
      </c>
      <c r="D37" s="2092">
        <f>IF(未审附注之流动资产!D37="",0,未审附注之流动资产!D37)</f>
        <v>0</v>
      </c>
      <c r="E37" s="2153">
        <f>IF(未审附注之流动资产!E37="",0,未审附注之流动资产!E37)</f>
        <v>0</v>
      </c>
      <c r="F37" s="2101"/>
      <c r="G37" s="2128"/>
      <c r="H37" s="2128"/>
      <c r="I37" s="2128"/>
      <c r="J37" s="2118" t="s">
        <v>354</v>
      </c>
    </row>
    <row r="38" spans="1:10">
      <c r="A38" s="2082" t="s">
        <v>346</v>
      </c>
      <c r="B38" s="2048">
        <f>ROUND(SUM(B28:B37),2)</f>
        <v>0</v>
      </c>
      <c r="C38" s="2048"/>
      <c r="D38" s="2048"/>
      <c r="E38" s="2048"/>
      <c r="F38" s="2101"/>
      <c r="G38" s="2128"/>
      <c r="H38" s="2128"/>
      <c r="I38" s="2128"/>
      <c r="J38" s="2118" t="s">
        <v>355</v>
      </c>
    </row>
    <row r="39" spans="1:9">
      <c r="A39" s="2101"/>
      <c r="B39" s="2101"/>
      <c r="C39" s="2101"/>
      <c r="D39" s="2101"/>
      <c r="E39" s="2101"/>
      <c r="F39" s="2101"/>
      <c r="G39" s="2101"/>
      <c r="H39" s="2101"/>
      <c r="I39" s="2101"/>
    </row>
    <row r="40" spans="1:9">
      <c r="A40" s="2104" t="s">
        <v>356</v>
      </c>
      <c r="B40" s="2101"/>
      <c r="C40" s="2101"/>
      <c r="D40" s="2101"/>
      <c r="E40" s="2101"/>
      <c r="F40" s="2101"/>
      <c r="G40" s="2101"/>
      <c r="H40" s="2101"/>
      <c r="I40" s="2101"/>
    </row>
    <row r="41" spans="1:9">
      <c r="A41" s="2082" t="s">
        <v>357</v>
      </c>
      <c r="B41" s="2084" t="s">
        <v>358</v>
      </c>
      <c r="C41" s="2082" t="s">
        <v>359</v>
      </c>
      <c r="D41" s="2082" t="s">
        <v>360</v>
      </c>
      <c r="E41" s="2101"/>
      <c r="F41" s="2101"/>
      <c r="G41" s="2128"/>
      <c r="H41" s="2128"/>
      <c r="I41" s="2128"/>
    </row>
    <row r="42" spans="1:10">
      <c r="A42" s="2092">
        <f>IF(未审附注之流动资产!A42="",0,未审附注之流动资产!A42)</f>
        <v>0</v>
      </c>
      <c r="B42" s="2092">
        <f>IF(未审附注之流动资产!B42="",0,未审附注之流动资产!B42)</f>
        <v>0</v>
      </c>
      <c r="C42" s="2085">
        <f>IF(未审附注之流动资产!C42="",0,未审附注之流动资产!C42)</f>
        <v>0</v>
      </c>
      <c r="D42" s="2092">
        <f>IF(未审附注之流动资产!D42="",0,未审附注之流动资产!D42)</f>
        <v>0</v>
      </c>
      <c r="E42" s="2101"/>
      <c r="F42" s="2101"/>
      <c r="G42" s="2128"/>
      <c r="H42" s="2128"/>
      <c r="I42" s="2128"/>
      <c r="J42" s="2118" t="s">
        <v>361</v>
      </c>
    </row>
    <row r="43" spans="1:10">
      <c r="A43" s="2092">
        <f>IF(未审附注之流动资产!A43="",0,未审附注之流动资产!A43)</f>
        <v>0</v>
      </c>
      <c r="B43" s="2092">
        <f>IF(未审附注之流动资产!B43="",0,未审附注之流动资产!B43)</f>
        <v>0</v>
      </c>
      <c r="C43" s="2085">
        <f>IF(未审附注之流动资产!C43="",0,未审附注之流动资产!C43)</f>
        <v>0</v>
      </c>
      <c r="D43" s="2092">
        <f>IF(未审附注之流动资产!D43="",0,未审附注之流动资产!D43)</f>
        <v>0</v>
      </c>
      <c r="E43" s="2101"/>
      <c r="F43" s="2101"/>
      <c r="G43" s="2128"/>
      <c r="H43" s="2128"/>
      <c r="I43" s="2128"/>
      <c r="J43" s="2118" t="s">
        <v>361</v>
      </c>
    </row>
    <row r="44" spans="1:10">
      <c r="A44" s="2092">
        <f>IF(未审附注之流动资产!A44="",0,未审附注之流动资产!A44)</f>
        <v>0</v>
      </c>
      <c r="B44" s="2092">
        <f>IF(未审附注之流动资产!B44="",0,未审附注之流动资产!B44)</f>
        <v>0</v>
      </c>
      <c r="C44" s="2085">
        <f>IF(未审附注之流动资产!C44="",0,未审附注之流动资产!C44)</f>
        <v>0</v>
      </c>
      <c r="D44" s="2092">
        <f>IF(未审附注之流动资产!D44="",0,未审附注之流动资产!D44)</f>
        <v>0</v>
      </c>
      <c r="E44" s="2101"/>
      <c r="F44" s="2101"/>
      <c r="G44" s="2128"/>
      <c r="H44" s="2128"/>
      <c r="I44" s="2128"/>
      <c r="J44" s="2118" t="s">
        <v>361</v>
      </c>
    </row>
    <row r="45" spans="1:10">
      <c r="A45" s="2092">
        <f>IF(未审附注之流动资产!A45="",0,未审附注之流动资产!A45)</f>
        <v>0</v>
      </c>
      <c r="B45" s="2092">
        <f>IF(未审附注之流动资产!B45="",0,未审附注之流动资产!B45)</f>
        <v>0</v>
      </c>
      <c r="C45" s="2085">
        <f>IF(未审附注之流动资产!C45="",0,未审附注之流动资产!C45)</f>
        <v>0</v>
      </c>
      <c r="D45" s="2092">
        <f>IF(未审附注之流动资产!D45="",0,未审附注之流动资产!D45)</f>
        <v>0</v>
      </c>
      <c r="E45" s="2101"/>
      <c r="F45" s="2101"/>
      <c r="G45" s="2128"/>
      <c r="H45" s="2128"/>
      <c r="I45" s="2128"/>
      <c r="J45" s="2118" t="s">
        <v>361</v>
      </c>
    </row>
    <row r="46" spans="1:10">
      <c r="A46" s="2092">
        <f>IF(未审附注之流动资产!A46="",0,未审附注之流动资产!A46)</f>
        <v>0</v>
      </c>
      <c r="B46" s="2092">
        <f>IF(未审附注之流动资产!B46="",0,未审附注之流动资产!B46)</f>
        <v>0</v>
      </c>
      <c r="C46" s="2085">
        <f>IF(未审附注之流动资产!C46="",0,未审附注之流动资产!C46)</f>
        <v>0</v>
      </c>
      <c r="D46" s="2092">
        <f>IF(未审附注之流动资产!D46="",0,未审附注之流动资产!D46)</f>
        <v>0</v>
      </c>
      <c r="E46" s="2101"/>
      <c r="F46" s="2101"/>
      <c r="G46" s="2128"/>
      <c r="H46" s="2128"/>
      <c r="I46" s="2128"/>
      <c r="J46" s="2118" t="s">
        <v>361</v>
      </c>
    </row>
    <row r="47" spans="1:10">
      <c r="A47" s="2092">
        <f>IF(未审附注之流动资产!A47="",0,未审附注之流动资产!A47)</f>
        <v>0</v>
      </c>
      <c r="B47" s="2092">
        <f>IF(未审附注之流动资产!B47="",0,未审附注之流动资产!B47)</f>
        <v>0</v>
      </c>
      <c r="C47" s="2085">
        <f>IF(未审附注之流动资产!C47="",0,未审附注之流动资产!C47)</f>
        <v>0</v>
      </c>
      <c r="D47" s="2092">
        <f>IF(未审附注之流动资产!D47="",0,未审附注之流动资产!D47)</f>
        <v>0</v>
      </c>
      <c r="E47" s="2101"/>
      <c r="F47" s="2101"/>
      <c r="G47" s="2128"/>
      <c r="H47" s="2128"/>
      <c r="I47" s="2128"/>
      <c r="J47" s="2118" t="s">
        <v>361</v>
      </c>
    </row>
    <row r="48" spans="1:10">
      <c r="A48" s="2092">
        <f>IF(未审附注之流动资产!A48="",0,未审附注之流动资产!A48)</f>
        <v>0</v>
      </c>
      <c r="B48" s="2092">
        <f>IF(未审附注之流动资产!B48="",0,未审附注之流动资产!B48)</f>
        <v>0</v>
      </c>
      <c r="C48" s="2085">
        <f>IF(未审附注之流动资产!C48="",0,未审附注之流动资产!C48)</f>
        <v>0</v>
      </c>
      <c r="D48" s="2092">
        <f>IF(未审附注之流动资产!D48="",0,未审附注之流动资产!D48)</f>
        <v>0</v>
      </c>
      <c r="E48" s="2101"/>
      <c r="F48" s="2101"/>
      <c r="G48" s="2128"/>
      <c r="H48" s="2128"/>
      <c r="I48" s="2128"/>
      <c r="J48" s="2118" t="s">
        <v>361</v>
      </c>
    </row>
    <row r="49" spans="1:10">
      <c r="A49" s="2092">
        <f>IF(未审附注之流动资产!A49="",0,未审附注之流动资产!A49)</f>
        <v>0</v>
      </c>
      <c r="B49" s="2092">
        <f>IF(未审附注之流动资产!B49="",0,未审附注之流动资产!B49)</f>
        <v>0</v>
      </c>
      <c r="C49" s="2085">
        <f>IF(未审附注之流动资产!C49="",0,未审附注之流动资产!C49)</f>
        <v>0</v>
      </c>
      <c r="D49" s="2092">
        <f>IF(未审附注之流动资产!D49="",0,未审附注之流动资产!D49)</f>
        <v>0</v>
      </c>
      <c r="E49" s="2101"/>
      <c r="F49" s="2101"/>
      <c r="G49" s="2128"/>
      <c r="H49" s="2128"/>
      <c r="I49" s="2128"/>
      <c r="J49" s="2118" t="s">
        <v>361</v>
      </c>
    </row>
    <row r="50" spans="1:10">
      <c r="A50" s="2092">
        <f>IF(未审附注之流动资产!A50="",0,未审附注之流动资产!A50)</f>
        <v>0</v>
      </c>
      <c r="B50" s="2092">
        <f>IF(未审附注之流动资产!B50="",0,未审附注之流动资产!B50)</f>
        <v>0</v>
      </c>
      <c r="C50" s="2085">
        <f>IF(未审附注之流动资产!C50="",0,未审附注之流动资产!C50)</f>
        <v>0</v>
      </c>
      <c r="D50" s="2092">
        <f>IF(未审附注之流动资产!D50="",0,未审附注之流动资产!D50)</f>
        <v>0</v>
      </c>
      <c r="E50" s="2101"/>
      <c r="F50" s="2101"/>
      <c r="G50" s="2128"/>
      <c r="H50" s="2128"/>
      <c r="I50" s="2128"/>
      <c r="J50" s="2118" t="s">
        <v>361</v>
      </c>
    </row>
    <row r="51" spans="1:10">
      <c r="A51" s="2092">
        <f>IF(未审附注之流动资产!A51="",0,未审附注之流动资产!A51)</f>
        <v>0</v>
      </c>
      <c r="B51" s="2092">
        <f>IF(未审附注之流动资产!B51="",0,未审附注之流动资产!B51)</f>
        <v>0</v>
      </c>
      <c r="C51" s="2085">
        <f>IF(未审附注之流动资产!C51="",0,未审附注之流动资产!C51)</f>
        <v>0</v>
      </c>
      <c r="D51" s="2092">
        <f>IF(未审附注之流动资产!D51="",0,未审附注之流动资产!D51)</f>
        <v>0</v>
      </c>
      <c r="E51" s="2101"/>
      <c r="F51" s="2101"/>
      <c r="G51" s="2128"/>
      <c r="H51" s="2128"/>
      <c r="I51" s="2128"/>
      <c r="J51" s="2118" t="s">
        <v>361</v>
      </c>
    </row>
    <row r="52" spans="1:10">
      <c r="A52" s="2082" t="s">
        <v>346</v>
      </c>
      <c r="B52" s="2048"/>
      <c r="C52" s="2048">
        <f>ROUND(SUM(C42:C51),2)</f>
        <v>0</v>
      </c>
      <c r="D52" s="2048">
        <f>ROUND(SUM(D42:D51),2)</f>
        <v>0</v>
      </c>
      <c r="E52" s="2101"/>
      <c r="F52" s="2101"/>
      <c r="G52" s="2128"/>
      <c r="H52" s="2128"/>
      <c r="I52" s="2128"/>
      <c r="J52" s="2118" t="s">
        <v>362</v>
      </c>
    </row>
    <row r="53" spans="1:9">
      <c r="A53" s="2101"/>
      <c r="B53" s="2101"/>
      <c r="C53" s="2101"/>
      <c r="D53" s="2101"/>
      <c r="E53" s="2101"/>
      <c r="F53" s="2101"/>
      <c r="G53" s="2101"/>
      <c r="H53" s="2101"/>
      <c r="I53" s="2101"/>
    </row>
    <row r="54" spans="1:9">
      <c r="A54" s="2104" t="s">
        <v>363</v>
      </c>
      <c r="B54" s="2101"/>
      <c r="C54" s="2101"/>
      <c r="D54" s="2101"/>
      <c r="E54" s="2101"/>
      <c r="F54" s="2101"/>
      <c r="G54" s="2101"/>
      <c r="H54" s="2101"/>
      <c r="I54" s="2101"/>
    </row>
    <row r="55" spans="1:9">
      <c r="A55" s="2082" t="s">
        <v>364</v>
      </c>
      <c r="B55" s="2082" t="s">
        <v>365</v>
      </c>
      <c r="C55" s="2082" t="s">
        <v>366</v>
      </c>
      <c r="D55" s="2082" t="s">
        <v>367</v>
      </c>
      <c r="E55" s="2082" t="s">
        <v>368</v>
      </c>
      <c r="F55" s="2101"/>
      <c r="G55" s="2128"/>
      <c r="H55" s="2128"/>
      <c r="I55" s="2128"/>
    </row>
    <row r="56" spans="1:10">
      <c r="A56" s="2092">
        <f>IF(未审附注之流动资产!A56="",0,未审附注之流动资产!A56)</f>
        <v>0</v>
      </c>
      <c r="B56" s="2085">
        <f>IF(未审附注之流动资产!B56="",0,未审附注之流动资产!B56)</f>
        <v>0</v>
      </c>
      <c r="C56" s="2085">
        <f>IF(未审附注之流动资产!C56="",0,未审附注之流动资产!C56)</f>
        <v>0</v>
      </c>
      <c r="D56" s="2092">
        <f>IF(未审附注之流动资产!D56="",0,未审附注之流动资产!D56)</f>
        <v>0</v>
      </c>
      <c r="E56" s="2092">
        <f>IF(未审附注之流动资产!E56="",0,未审附注之流动资产!E56)</f>
        <v>0</v>
      </c>
      <c r="F56" s="2101"/>
      <c r="G56" s="2128"/>
      <c r="H56" s="2128"/>
      <c r="I56" s="2128"/>
      <c r="J56" s="2118" t="s">
        <v>369</v>
      </c>
    </row>
    <row r="57" spans="1:10">
      <c r="A57" s="2092">
        <f>IF(未审附注之流动资产!A57="",0,未审附注之流动资产!A57)</f>
        <v>0</v>
      </c>
      <c r="B57" s="2085">
        <f>IF(未审附注之流动资产!B57="",0,未审附注之流动资产!B57)</f>
        <v>0</v>
      </c>
      <c r="C57" s="2085">
        <f>IF(未审附注之流动资产!C57="",0,未审附注之流动资产!C57)</f>
        <v>0</v>
      </c>
      <c r="D57" s="2092">
        <f>IF(未审附注之流动资产!D57="",0,未审附注之流动资产!D57)</f>
        <v>0</v>
      </c>
      <c r="E57" s="2092">
        <f>IF(未审附注之流动资产!E57="",0,未审附注之流动资产!E57)</f>
        <v>0</v>
      </c>
      <c r="F57" s="2101"/>
      <c r="G57" s="2128"/>
      <c r="H57" s="2128"/>
      <c r="I57" s="2128"/>
      <c r="J57" s="2118" t="s">
        <v>369</v>
      </c>
    </row>
    <row r="58" spans="1:10">
      <c r="A58" s="2092">
        <f>IF(未审附注之流动资产!A58="",0,未审附注之流动资产!A58)</f>
        <v>0</v>
      </c>
      <c r="B58" s="2085">
        <f>IF(未审附注之流动资产!B58="",0,未审附注之流动资产!B58)</f>
        <v>0</v>
      </c>
      <c r="C58" s="2085">
        <f>IF(未审附注之流动资产!C58="",0,未审附注之流动资产!C58)</f>
        <v>0</v>
      </c>
      <c r="D58" s="2092">
        <f>IF(未审附注之流动资产!D58="",0,未审附注之流动资产!D58)</f>
        <v>0</v>
      </c>
      <c r="E58" s="2092">
        <f>IF(未审附注之流动资产!E58="",0,未审附注之流动资产!E58)</f>
        <v>0</v>
      </c>
      <c r="F58" s="2101"/>
      <c r="G58" s="2128"/>
      <c r="H58" s="2128"/>
      <c r="I58" s="2128"/>
      <c r="J58" s="2118" t="s">
        <v>369</v>
      </c>
    </row>
    <row r="59" spans="1:10">
      <c r="A59" s="2092">
        <f>IF(未审附注之流动资产!A59="",0,未审附注之流动资产!A59)</f>
        <v>0</v>
      </c>
      <c r="B59" s="2085">
        <f>IF(未审附注之流动资产!B59="",0,未审附注之流动资产!B59)</f>
        <v>0</v>
      </c>
      <c r="C59" s="2085">
        <f>IF(未审附注之流动资产!C59="",0,未审附注之流动资产!C59)</f>
        <v>0</v>
      </c>
      <c r="D59" s="2092">
        <f>IF(未审附注之流动资产!D59="",0,未审附注之流动资产!D59)</f>
        <v>0</v>
      </c>
      <c r="E59" s="2092">
        <f>IF(未审附注之流动资产!E59="",0,未审附注之流动资产!E59)</f>
        <v>0</v>
      </c>
      <c r="F59" s="2101"/>
      <c r="G59" s="2128"/>
      <c r="H59" s="2128"/>
      <c r="I59" s="2128"/>
      <c r="J59" s="2118" t="s">
        <v>369</v>
      </c>
    </row>
    <row r="60" spans="1:10">
      <c r="A60" s="2092">
        <f>IF(未审附注之流动资产!A60="",0,未审附注之流动资产!A60)</f>
        <v>0</v>
      </c>
      <c r="B60" s="2085">
        <f>IF(未审附注之流动资产!B60="",0,未审附注之流动资产!B60)</f>
        <v>0</v>
      </c>
      <c r="C60" s="2085">
        <f>IF(未审附注之流动资产!C60="",0,未审附注之流动资产!C60)</f>
        <v>0</v>
      </c>
      <c r="D60" s="2092">
        <f>IF(未审附注之流动资产!D60="",0,未审附注之流动资产!D60)</f>
        <v>0</v>
      </c>
      <c r="E60" s="2092">
        <f>IF(未审附注之流动资产!E60="",0,未审附注之流动资产!E60)</f>
        <v>0</v>
      </c>
      <c r="F60" s="2101"/>
      <c r="G60" s="2128"/>
      <c r="H60" s="2128"/>
      <c r="I60" s="2128"/>
      <c r="J60" s="2118" t="s">
        <v>369</v>
      </c>
    </row>
    <row r="61" spans="1:10">
      <c r="A61" s="2092">
        <f>IF(未审附注之流动资产!A61="",0,未审附注之流动资产!A61)</f>
        <v>0</v>
      </c>
      <c r="B61" s="2085">
        <f>IF(未审附注之流动资产!B61="",0,未审附注之流动资产!B61)</f>
        <v>0</v>
      </c>
      <c r="C61" s="2085">
        <f>IF(未审附注之流动资产!C61="",0,未审附注之流动资产!C61)</f>
        <v>0</v>
      </c>
      <c r="D61" s="2092">
        <f>IF(未审附注之流动资产!D61="",0,未审附注之流动资产!D61)</f>
        <v>0</v>
      </c>
      <c r="E61" s="2092">
        <f>IF(未审附注之流动资产!E61="",0,未审附注之流动资产!E61)</f>
        <v>0</v>
      </c>
      <c r="F61" s="2101"/>
      <c r="G61" s="2128"/>
      <c r="H61" s="2128"/>
      <c r="I61" s="2128"/>
      <c r="J61" s="2118" t="s">
        <v>369</v>
      </c>
    </row>
    <row r="62" spans="1:10">
      <c r="A62" s="2092">
        <f>IF(未审附注之流动资产!A62="",0,未审附注之流动资产!A62)</f>
        <v>0</v>
      </c>
      <c r="B62" s="2085">
        <f>IF(未审附注之流动资产!B62="",0,未审附注之流动资产!B62)</f>
        <v>0</v>
      </c>
      <c r="C62" s="2085">
        <f>IF(未审附注之流动资产!C62="",0,未审附注之流动资产!C62)</f>
        <v>0</v>
      </c>
      <c r="D62" s="2092">
        <f>IF(未审附注之流动资产!D62="",0,未审附注之流动资产!D62)</f>
        <v>0</v>
      </c>
      <c r="E62" s="2092">
        <f>IF(未审附注之流动资产!E62="",0,未审附注之流动资产!E62)</f>
        <v>0</v>
      </c>
      <c r="F62" s="2101"/>
      <c r="G62" s="2128"/>
      <c r="H62" s="2128"/>
      <c r="I62" s="2128"/>
      <c r="J62" s="2118" t="s">
        <v>369</v>
      </c>
    </row>
    <row r="63" spans="1:10">
      <c r="A63" s="2092">
        <f>IF(未审附注之流动资产!A63="",0,未审附注之流动资产!A63)</f>
        <v>0</v>
      </c>
      <c r="B63" s="2085">
        <f>IF(未审附注之流动资产!B63="",0,未审附注之流动资产!B63)</f>
        <v>0</v>
      </c>
      <c r="C63" s="2085">
        <f>IF(未审附注之流动资产!C63="",0,未审附注之流动资产!C63)</f>
        <v>0</v>
      </c>
      <c r="D63" s="2092">
        <f>IF(未审附注之流动资产!D63="",0,未审附注之流动资产!D63)</f>
        <v>0</v>
      </c>
      <c r="E63" s="2092">
        <f>IF(未审附注之流动资产!E63="",0,未审附注之流动资产!E63)</f>
        <v>0</v>
      </c>
      <c r="F63" s="2101"/>
      <c r="G63" s="2128"/>
      <c r="H63" s="2128"/>
      <c r="I63" s="2128"/>
      <c r="J63" s="2118" t="s">
        <v>369</v>
      </c>
    </row>
    <row r="64" spans="1:10">
      <c r="A64" s="2092">
        <f>IF(未审附注之流动资产!A64="",0,未审附注之流动资产!A64)</f>
        <v>0</v>
      </c>
      <c r="B64" s="2085">
        <f>IF(未审附注之流动资产!B64="",0,未审附注之流动资产!B64)</f>
        <v>0</v>
      </c>
      <c r="C64" s="2085">
        <f>IF(未审附注之流动资产!C64="",0,未审附注之流动资产!C64)</f>
        <v>0</v>
      </c>
      <c r="D64" s="2092">
        <f>IF(未审附注之流动资产!D64="",0,未审附注之流动资产!D64)</f>
        <v>0</v>
      </c>
      <c r="E64" s="2092">
        <f>IF(未审附注之流动资产!E64="",0,未审附注之流动资产!E64)</f>
        <v>0</v>
      </c>
      <c r="F64" s="2101"/>
      <c r="G64" s="2128"/>
      <c r="H64" s="2128"/>
      <c r="I64" s="2128"/>
      <c r="J64" s="2118" t="s">
        <v>369</v>
      </c>
    </row>
    <row r="65" spans="1:10">
      <c r="A65" s="2092">
        <f>IF(未审附注之流动资产!A65="",0,未审附注之流动资产!A65)</f>
        <v>0</v>
      </c>
      <c r="B65" s="2085">
        <f>IF(未审附注之流动资产!B65="",0,未审附注之流动资产!B65)</f>
        <v>0</v>
      </c>
      <c r="C65" s="2085">
        <f>IF(未审附注之流动资产!C65="",0,未审附注之流动资产!C65)</f>
        <v>0</v>
      </c>
      <c r="D65" s="2092">
        <f>IF(未审附注之流动资产!D65="",0,未审附注之流动资产!D65)</f>
        <v>0</v>
      </c>
      <c r="E65" s="2092">
        <f>IF(未审附注之流动资产!E65="",0,未审附注之流动资产!E65)</f>
        <v>0</v>
      </c>
      <c r="F65" s="2101"/>
      <c r="G65" s="2128"/>
      <c r="H65" s="2128"/>
      <c r="I65" s="2128"/>
      <c r="J65" s="2118" t="s">
        <v>369</v>
      </c>
    </row>
    <row r="66" spans="1:10">
      <c r="A66" s="2082" t="s">
        <v>346</v>
      </c>
      <c r="B66" s="2048">
        <f>ROUND(SUM(B56:B65),2)</f>
        <v>0</v>
      </c>
      <c r="C66" s="2048">
        <f>ROUND(SUM(C56:C65),2)</f>
        <v>0</v>
      </c>
      <c r="D66" s="2048"/>
      <c r="E66" s="2048"/>
      <c r="F66" s="2101"/>
      <c r="G66" s="2128"/>
      <c r="H66" s="2128"/>
      <c r="I66" s="2128"/>
      <c r="J66" s="2118" t="s">
        <v>370</v>
      </c>
    </row>
    <row r="67" spans="1:9">
      <c r="A67" s="2101"/>
      <c r="B67" s="2101"/>
      <c r="C67" s="2101"/>
      <c r="D67" s="2101"/>
      <c r="E67" s="2101"/>
      <c r="F67" s="2101"/>
      <c r="G67" s="2101"/>
      <c r="H67" s="2101"/>
      <c r="I67" s="2101"/>
    </row>
    <row r="68" spans="1:9">
      <c r="A68" s="2101"/>
      <c r="B68" s="2101"/>
      <c r="C68" s="2101"/>
      <c r="D68" s="2101"/>
      <c r="E68" s="2101"/>
      <c r="F68" s="2101"/>
      <c r="G68" s="2101"/>
      <c r="H68" s="2101"/>
      <c r="I68" s="2101"/>
    </row>
    <row r="69" spans="1:9">
      <c r="A69" s="2079" t="s">
        <v>371</v>
      </c>
      <c r="B69" s="2080"/>
      <c r="C69" s="2080"/>
      <c r="D69" s="2080"/>
      <c r="E69" s="2080"/>
      <c r="F69" s="2080"/>
      <c r="G69" s="2080"/>
      <c r="H69" s="2080"/>
      <c r="I69" s="2080"/>
    </row>
    <row r="70" spans="1:9">
      <c r="A70" s="2081" t="s">
        <v>313</v>
      </c>
      <c r="B70" s="2080"/>
      <c r="C70" s="2080"/>
      <c r="D70" s="2080"/>
      <c r="E70" s="2080"/>
      <c r="F70" s="2080"/>
      <c r="G70" s="2080"/>
      <c r="H70" s="2080"/>
      <c r="I70" s="2080"/>
    </row>
    <row r="71" spans="1:9">
      <c r="A71" s="2082" t="s">
        <v>372</v>
      </c>
      <c r="B71" s="2082" t="s">
        <v>373</v>
      </c>
      <c r="C71" s="2082" t="s">
        <v>374</v>
      </c>
      <c r="D71" s="2080"/>
      <c r="E71" s="2080"/>
      <c r="F71" s="2080"/>
      <c r="G71" s="2080"/>
      <c r="H71" s="2080"/>
      <c r="I71" s="2080"/>
    </row>
    <row r="72" spans="1:10">
      <c r="A72" s="2084" t="s">
        <v>375</v>
      </c>
      <c r="B72" s="2085">
        <f>IF(未审附注之流动资产!B72="",0,未审附注之流动资产!B72)</f>
        <v>0</v>
      </c>
      <c r="C72" s="2085">
        <f>IF(未审附注之流动资产!C72="",0,未审附注之流动资产!C72)</f>
        <v>0</v>
      </c>
      <c r="D72" s="2080"/>
      <c r="E72" s="2080"/>
      <c r="F72" s="2080"/>
      <c r="G72" s="2080"/>
      <c r="H72" s="2080"/>
      <c r="I72" s="2080"/>
      <c r="J72" s="2118" t="s">
        <v>376</v>
      </c>
    </row>
    <row r="73" spans="1:10">
      <c r="A73" s="2084" t="s">
        <v>377</v>
      </c>
      <c r="B73" s="2085">
        <f>IF(未审附注之流动资产!B73="",0,未审附注之流动资产!B73)</f>
        <v>0</v>
      </c>
      <c r="C73" s="2085">
        <f>IF(未审附注之流动资产!C73="",0,未审附注之流动资产!C73)</f>
        <v>0</v>
      </c>
      <c r="D73" s="2080"/>
      <c r="E73" s="2080"/>
      <c r="F73" s="2080"/>
      <c r="G73" s="2080"/>
      <c r="H73" s="2080"/>
      <c r="I73" s="2080"/>
      <c r="J73" s="2118" t="s">
        <v>378</v>
      </c>
    </row>
    <row r="74" spans="1:10">
      <c r="A74" s="2084" t="s">
        <v>379</v>
      </c>
      <c r="B74" s="2085">
        <f>IF(未审附注之流动资产!B74="",0,未审附注之流动资产!B74)</f>
        <v>0</v>
      </c>
      <c r="C74" s="2085">
        <f>IF(未审附注之流动资产!C74="",0,未审附注之流动资产!C74)</f>
        <v>0</v>
      </c>
      <c r="D74" s="2080"/>
      <c r="E74" s="2080"/>
      <c r="F74" s="2080"/>
      <c r="G74" s="2080"/>
      <c r="H74" s="2080"/>
      <c r="I74" s="2080"/>
      <c r="J74" s="2118" t="s">
        <v>380</v>
      </c>
    </row>
    <row r="75" spans="1:10">
      <c r="A75" s="2084" t="s">
        <v>381</v>
      </c>
      <c r="B75" s="2085">
        <f>IF(未审附注之流动资产!B75="",0,未审附注之流动资产!B75)</f>
        <v>0</v>
      </c>
      <c r="C75" s="2085">
        <f>IF(未审附注之流动资产!C75="",0,未审附注之流动资产!C75)</f>
        <v>0</v>
      </c>
      <c r="D75" s="2080"/>
      <c r="E75" s="2080"/>
      <c r="F75" s="2080"/>
      <c r="G75" s="2080"/>
      <c r="H75" s="2080"/>
      <c r="I75" s="2080"/>
      <c r="J75" s="2118" t="s">
        <v>382</v>
      </c>
    </row>
    <row r="76" spans="1:10">
      <c r="A76" s="2084" t="s">
        <v>279</v>
      </c>
      <c r="B76" s="2085">
        <f>IF(未审附注之流动资产!B76="",0,未审附注之流动资产!B76)</f>
        <v>0</v>
      </c>
      <c r="C76" s="2085">
        <f>IF(未审附注之流动资产!C76="",0,未审附注之流动资产!C76)</f>
        <v>0</v>
      </c>
      <c r="D76" s="2080"/>
      <c r="E76" s="2080"/>
      <c r="F76" s="2080"/>
      <c r="G76" s="2080"/>
      <c r="H76" s="2080"/>
      <c r="I76" s="2080"/>
      <c r="J76" s="2118" t="s">
        <v>383</v>
      </c>
    </row>
    <row r="77" spans="1:10">
      <c r="A77" s="2082" t="s">
        <v>384</v>
      </c>
      <c r="B77" s="2048">
        <f>ROUND(SUM(B72:B76),2)</f>
        <v>0</v>
      </c>
      <c r="C77" s="2048">
        <f>ROUND(SUM(C72:C76),2)</f>
        <v>0</v>
      </c>
      <c r="D77" s="2080"/>
      <c r="E77" s="2080"/>
      <c r="F77" s="2080"/>
      <c r="G77" s="2080"/>
      <c r="H77" s="2080"/>
      <c r="I77" s="2080"/>
      <c r="J77" s="2118" t="s">
        <v>385</v>
      </c>
    </row>
    <row r="78" spans="1:9">
      <c r="A78" s="2080"/>
      <c r="B78" s="2080"/>
      <c r="C78" s="2080"/>
      <c r="D78" s="2080"/>
      <c r="E78" s="2080"/>
      <c r="F78" s="2080"/>
      <c r="G78" s="2080"/>
      <c r="H78" s="2080"/>
      <c r="I78" s="2080"/>
    </row>
    <row r="79" spans="1:9">
      <c r="A79" s="2104" t="s">
        <v>386</v>
      </c>
      <c r="B79" s="2101"/>
      <c r="C79" s="2101"/>
      <c r="D79" s="2101"/>
      <c r="E79" s="2101"/>
      <c r="F79" s="2101"/>
      <c r="G79" s="2101"/>
      <c r="H79" s="2101"/>
      <c r="I79" s="2101"/>
    </row>
    <row r="80" spans="1:9">
      <c r="A80" s="2082" t="s">
        <v>349</v>
      </c>
      <c r="B80" s="2082" t="s">
        <v>350</v>
      </c>
      <c r="C80" s="2082" t="s">
        <v>367</v>
      </c>
      <c r="D80" s="2082" t="s">
        <v>353</v>
      </c>
      <c r="E80" s="2101"/>
      <c r="F80" s="2101"/>
      <c r="G80" s="2128"/>
      <c r="H80" s="2128"/>
      <c r="I80" s="2128"/>
    </row>
    <row r="81" spans="1:10">
      <c r="A81" s="2092">
        <f>IF(未审附注之流动资产!A81="",0,未审附注之流动资产!A81)</f>
        <v>0</v>
      </c>
      <c r="B81" s="2085">
        <f>IF(未审附注之流动资产!B81="",0,未审附注之流动资产!B81)</f>
        <v>0</v>
      </c>
      <c r="C81" s="2092">
        <f>IF(未审附注之流动资产!C81="",0,未审附注之流动资产!C81)</f>
        <v>0</v>
      </c>
      <c r="D81" s="2092">
        <f>IF(未审附注之流动资产!D81="",0,未审附注之流动资产!D81)</f>
        <v>0</v>
      </c>
      <c r="E81" s="2101"/>
      <c r="F81" s="2101"/>
      <c r="G81" s="2128"/>
      <c r="H81" s="2128"/>
      <c r="I81" s="2128"/>
      <c r="J81" s="2118" t="s">
        <v>387</v>
      </c>
    </row>
    <row r="82" spans="1:10">
      <c r="A82" s="2092">
        <f>IF(未审附注之流动资产!A82="",0,未审附注之流动资产!A82)</f>
        <v>0</v>
      </c>
      <c r="B82" s="2085">
        <f>IF(未审附注之流动资产!B82="",0,未审附注之流动资产!B82)</f>
        <v>0</v>
      </c>
      <c r="C82" s="2092">
        <f>IF(未审附注之流动资产!C82="",0,未审附注之流动资产!C82)</f>
        <v>0</v>
      </c>
      <c r="D82" s="2092">
        <f>IF(未审附注之流动资产!D82="",0,未审附注之流动资产!D82)</f>
        <v>0</v>
      </c>
      <c r="E82" s="2101"/>
      <c r="F82" s="2101"/>
      <c r="G82" s="2128"/>
      <c r="H82" s="2128"/>
      <c r="I82" s="2128"/>
      <c r="J82" s="2118" t="s">
        <v>387</v>
      </c>
    </row>
    <row r="83" spans="1:10">
      <c r="A83" s="2092">
        <f>IF(未审附注之流动资产!A83="",0,未审附注之流动资产!A83)</f>
        <v>0</v>
      </c>
      <c r="B83" s="2085">
        <f>IF(未审附注之流动资产!B83="",0,未审附注之流动资产!B83)</f>
        <v>0</v>
      </c>
      <c r="C83" s="2092">
        <f>IF(未审附注之流动资产!C83="",0,未审附注之流动资产!C83)</f>
        <v>0</v>
      </c>
      <c r="D83" s="2092">
        <f>IF(未审附注之流动资产!D83="",0,未审附注之流动资产!D83)</f>
        <v>0</v>
      </c>
      <c r="E83" s="2101"/>
      <c r="F83" s="2101"/>
      <c r="G83" s="2128"/>
      <c r="H83" s="2128"/>
      <c r="I83" s="2128"/>
      <c r="J83" s="2118" t="s">
        <v>387</v>
      </c>
    </row>
    <row r="84" spans="1:10">
      <c r="A84" s="2092">
        <f>IF(未审附注之流动资产!A84="",0,未审附注之流动资产!A84)</f>
        <v>0</v>
      </c>
      <c r="B84" s="2085">
        <f>IF(未审附注之流动资产!B84="",0,未审附注之流动资产!B84)</f>
        <v>0</v>
      </c>
      <c r="C84" s="2092">
        <f>IF(未审附注之流动资产!C84="",0,未审附注之流动资产!C84)</f>
        <v>0</v>
      </c>
      <c r="D84" s="2092">
        <f>IF(未审附注之流动资产!D84="",0,未审附注之流动资产!D84)</f>
        <v>0</v>
      </c>
      <c r="E84" s="2101"/>
      <c r="F84" s="2101"/>
      <c r="G84" s="2128"/>
      <c r="H84" s="2128"/>
      <c r="I84" s="2128"/>
      <c r="J84" s="2118" t="s">
        <v>387</v>
      </c>
    </row>
    <row r="85" spans="1:10">
      <c r="A85" s="2092">
        <f>IF(未审附注之流动资产!A85="",0,未审附注之流动资产!A85)</f>
        <v>0</v>
      </c>
      <c r="B85" s="2085">
        <f>IF(未审附注之流动资产!B85="",0,未审附注之流动资产!B85)</f>
        <v>0</v>
      </c>
      <c r="C85" s="2092">
        <f>IF(未审附注之流动资产!C85="",0,未审附注之流动资产!C85)</f>
        <v>0</v>
      </c>
      <c r="D85" s="2092">
        <f>IF(未审附注之流动资产!D85="",0,未审附注之流动资产!D85)</f>
        <v>0</v>
      </c>
      <c r="E85" s="2101"/>
      <c r="F85" s="2101"/>
      <c r="G85" s="2128"/>
      <c r="H85" s="2128"/>
      <c r="I85" s="2128"/>
      <c r="J85" s="2118" t="s">
        <v>387</v>
      </c>
    </row>
    <row r="86" spans="1:10">
      <c r="A86" s="2092">
        <f>IF(未审附注之流动资产!A86="",0,未审附注之流动资产!A86)</f>
        <v>0</v>
      </c>
      <c r="B86" s="2085">
        <f>IF(未审附注之流动资产!B86="",0,未审附注之流动资产!B86)</f>
        <v>0</v>
      </c>
      <c r="C86" s="2092">
        <f>IF(未审附注之流动资产!C86="",0,未审附注之流动资产!C86)</f>
        <v>0</v>
      </c>
      <c r="D86" s="2092">
        <f>IF(未审附注之流动资产!D86="",0,未审附注之流动资产!D86)</f>
        <v>0</v>
      </c>
      <c r="E86" s="2101"/>
      <c r="F86" s="2101"/>
      <c r="G86" s="2128"/>
      <c r="H86" s="2128"/>
      <c r="I86" s="2128"/>
      <c r="J86" s="2118" t="s">
        <v>387</v>
      </c>
    </row>
    <row r="87" spans="1:10">
      <c r="A87" s="2092">
        <f>IF(未审附注之流动资产!A87="",0,未审附注之流动资产!A87)</f>
        <v>0</v>
      </c>
      <c r="B87" s="2085">
        <f>IF(未审附注之流动资产!B87="",0,未审附注之流动资产!B87)</f>
        <v>0</v>
      </c>
      <c r="C87" s="2092">
        <f>IF(未审附注之流动资产!C87="",0,未审附注之流动资产!C87)</f>
        <v>0</v>
      </c>
      <c r="D87" s="2092">
        <f>IF(未审附注之流动资产!D87="",0,未审附注之流动资产!D87)</f>
        <v>0</v>
      </c>
      <c r="E87" s="2101"/>
      <c r="F87" s="2101"/>
      <c r="G87" s="2128"/>
      <c r="H87" s="2128"/>
      <c r="I87" s="2128"/>
      <c r="J87" s="2118" t="s">
        <v>387</v>
      </c>
    </row>
    <row r="88" spans="1:10">
      <c r="A88" s="2092">
        <f>IF(未审附注之流动资产!A88="",0,未审附注之流动资产!A88)</f>
        <v>0</v>
      </c>
      <c r="B88" s="2085">
        <f>IF(未审附注之流动资产!B88="",0,未审附注之流动资产!B88)</f>
        <v>0</v>
      </c>
      <c r="C88" s="2092">
        <f>IF(未审附注之流动资产!C88="",0,未审附注之流动资产!C88)</f>
        <v>0</v>
      </c>
      <c r="D88" s="2092">
        <f>IF(未审附注之流动资产!D88="",0,未审附注之流动资产!D88)</f>
        <v>0</v>
      </c>
      <c r="E88" s="2101"/>
      <c r="F88" s="2101"/>
      <c r="G88" s="2128"/>
      <c r="H88" s="2128"/>
      <c r="I88" s="2128"/>
      <c r="J88" s="2118" t="s">
        <v>387</v>
      </c>
    </row>
    <row r="89" spans="1:10">
      <c r="A89" s="2092">
        <f>IF(未审附注之流动资产!A89="",0,未审附注之流动资产!A89)</f>
        <v>0</v>
      </c>
      <c r="B89" s="2085">
        <f>IF(未审附注之流动资产!B89="",0,未审附注之流动资产!B89)</f>
        <v>0</v>
      </c>
      <c r="C89" s="2092">
        <f>IF(未审附注之流动资产!C89="",0,未审附注之流动资产!C89)</f>
        <v>0</v>
      </c>
      <c r="D89" s="2092">
        <f>IF(未审附注之流动资产!D89="",0,未审附注之流动资产!D89)</f>
        <v>0</v>
      </c>
      <c r="E89" s="2101"/>
      <c r="F89" s="2101"/>
      <c r="G89" s="2128"/>
      <c r="H89" s="2128"/>
      <c r="I89" s="2128"/>
      <c r="J89" s="2118" t="s">
        <v>387</v>
      </c>
    </row>
    <row r="90" spans="1:10">
      <c r="A90" s="2092">
        <f>IF(未审附注之流动资产!A90="",0,未审附注之流动资产!A90)</f>
        <v>0</v>
      </c>
      <c r="B90" s="2085">
        <f>IF(未审附注之流动资产!B90="",0,未审附注之流动资产!B90)</f>
        <v>0</v>
      </c>
      <c r="C90" s="2092">
        <f>IF(未审附注之流动资产!C90="",0,未审附注之流动资产!C90)</f>
        <v>0</v>
      </c>
      <c r="D90" s="2092">
        <f>IF(未审附注之流动资产!D90="",0,未审附注之流动资产!D90)</f>
        <v>0</v>
      </c>
      <c r="E90" s="2101"/>
      <c r="F90" s="2101"/>
      <c r="G90" s="2128"/>
      <c r="H90" s="2128"/>
      <c r="I90" s="2128"/>
      <c r="J90" s="2118" t="s">
        <v>387</v>
      </c>
    </row>
    <row r="91" spans="1:10">
      <c r="A91" s="2082" t="s">
        <v>346</v>
      </c>
      <c r="B91" s="2048">
        <f>ROUND(SUM(B81:B90),2)</f>
        <v>0</v>
      </c>
      <c r="C91" s="2048"/>
      <c r="D91" s="2048"/>
      <c r="E91" s="2101"/>
      <c r="F91" s="2101"/>
      <c r="G91" s="2128"/>
      <c r="H91" s="2128"/>
      <c r="I91" s="2128"/>
      <c r="J91" s="2118" t="s">
        <v>388</v>
      </c>
    </row>
    <row r="92" spans="1:10">
      <c r="A92" s="2099"/>
      <c r="B92" s="2100"/>
      <c r="C92" s="2100"/>
      <c r="D92" s="2100"/>
      <c r="E92" s="2100"/>
      <c r="F92" s="2101"/>
      <c r="G92" s="2128"/>
      <c r="H92" s="2128"/>
      <c r="I92" s="2128"/>
      <c r="J92" s="2118"/>
    </row>
    <row r="93" spans="1:9">
      <c r="A93" s="2103"/>
      <c r="B93" s="2080"/>
      <c r="C93" s="2080"/>
      <c r="D93" s="2080"/>
      <c r="E93" s="2080"/>
      <c r="F93" s="2080"/>
      <c r="G93" s="2080"/>
      <c r="H93" s="2080"/>
      <c r="I93" s="2080"/>
    </row>
    <row r="94" spans="1:9">
      <c r="A94" s="2079" t="s">
        <v>389</v>
      </c>
      <c r="B94" s="2080"/>
      <c r="C94" s="2080"/>
      <c r="D94" s="2080"/>
      <c r="E94" s="2080"/>
      <c r="F94" s="2080"/>
      <c r="G94" s="2080"/>
      <c r="H94" s="2080"/>
      <c r="I94" s="2080"/>
    </row>
    <row r="95" spans="1:9">
      <c r="A95" s="2081" t="s">
        <v>313</v>
      </c>
      <c r="B95" s="2080"/>
      <c r="C95" s="2080"/>
      <c r="D95" s="2080"/>
      <c r="E95" s="2080"/>
      <c r="F95" s="2080"/>
      <c r="G95" s="2080"/>
      <c r="H95" s="2080"/>
      <c r="I95" s="2080"/>
    </row>
    <row r="96" spans="1:9">
      <c r="A96" s="2083" t="s">
        <v>390</v>
      </c>
      <c r="B96" s="2082" t="s">
        <v>315</v>
      </c>
      <c r="C96" s="2082" t="s">
        <v>316</v>
      </c>
      <c r="D96" s="2080"/>
      <c r="E96" s="2080"/>
      <c r="F96" s="2080"/>
      <c r="G96" s="2080"/>
      <c r="H96" s="2080"/>
      <c r="I96" s="2080"/>
    </row>
    <row r="97" spans="1:10">
      <c r="A97" s="2087" t="s">
        <v>391</v>
      </c>
      <c r="B97" s="2085">
        <f>IF(未审附注之流动资产!B97="",0,未审附注之流动资产!B97)</f>
        <v>0</v>
      </c>
      <c r="C97" s="2085">
        <f>IF(未审附注之流动资产!C97="",0,未审附注之流动资产!C97)</f>
        <v>0</v>
      </c>
      <c r="D97" s="2080"/>
      <c r="E97" s="2080"/>
      <c r="F97" s="2080"/>
      <c r="G97" s="2080"/>
      <c r="H97" s="2080"/>
      <c r="I97" s="2080"/>
      <c r="J97" s="2118" t="s">
        <v>392</v>
      </c>
    </row>
    <row r="98" spans="1:10">
      <c r="A98" s="2087" t="s">
        <v>393</v>
      </c>
      <c r="B98" s="2085">
        <f>IF(未审附注之流动资产!B98="",0,未审附注之流动资产!B98)</f>
        <v>0</v>
      </c>
      <c r="C98" s="2085">
        <f>IF(未审附注之流动资产!C98="",0,未审附注之流动资产!C98)</f>
        <v>0</v>
      </c>
      <c r="D98" s="2080"/>
      <c r="E98" s="2080"/>
      <c r="F98" s="2080"/>
      <c r="G98" s="2080"/>
      <c r="H98" s="2080"/>
      <c r="I98" s="2080"/>
      <c r="J98" s="2118" t="s">
        <v>394</v>
      </c>
    </row>
    <row r="99" spans="1:10">
      <c r="A99" s="2082" t="s">
        <v>346</v>
      </c>
      <c r="B99" s="2048">
        <f>ROUND(SUM(B97:B98),2)</f>
        <v>0</v>
      </c>
      <c r="C99" s="2048">
        <f>ROUND(SUM(C97:C98),2)</f>
        <v>0</v>
      </c>
      <c r="D99" s="2080"/>
      <c r="E99" s="2080"/>
      <c r="F99" s="2080"/>
      <c r="G99" s="2080"/>
      <c r="H99" s="2080"/>
      <c r="I99" s="2080"/>
      <c r="J99" s="2118" t="s">
        <v>395</v>
      </c>
    </row>
    <row r="100" spans="1:9">
      <c r="A100" s="2103"/>
      <c r="B100" s="2080"/>
      <c r="C100" s="2080"/>
      <c r="D100" s="2080"/>
      <c r="E100" s="2080"/>
      <c r="F100" s="2080"/>
      <c r="G100" s="2080"/>
      <c r="H100" s="2080"/>
      <c r="I100" s="2080"/>
    </row>
    <row r="101" spans="1:9">
      <c r="A101" s="2081" t="s">
        <v>396</v>
      </c>
      <c r="B101" s="2080"/>
      <c r="C101" s="2080"/>
      <c r="D101" s="2080"/>
      <c r="E101" s="2080"/>
      <c r="F101" s="2080"/>
      <c r="G101" s="2080"/>
      <c r="H101" s="2080"/>
      <c r="I101" s="2080"/>
    </row>
    <row r="102" spans="1:9">
      <c r="A102" s="2083" t="s">
        <v>397</v>
      </c>
      <c r="B102" s="2108" t="s">
        <v>398</v>
      </c>
      <c r="C102" s="2124" t="s">
        <v>399</v>
      </c>
      <c r="D102" s="2108" t="s">
        <v>365</v>
      </c>
      <c r="E102" s="2124" t="s">
        <v>400</v>
      </c>
      <c r="F102" s="2080"/>
      <c r="G102" s="2080"/>
      <c r="H102" s="2080"/>
      <c r="I102" s="2080"/>
    </row>
    <row r="103" spans="1:10">
      <c r="A103" s="2092">
        <f>IF(未审附注之流动资产!A103="",0,未审附注之流动资产!A103)</f>
        <v>0</v>
      </c>
      <c r="B103" s="2113">
        <f>IF(未审附注之流动资产!B103="",0,未审附注之流动资产!B103)</f>
        <v>0</v>
      </c>
      <c r="C103" s="2113">
        <f>IF(未审附注之流动资产!C103="",0,未审附注之流动资产!C103)</f>
        <v>0</v>
      </c>
      <c r="D103" s="2085">
        <f>IF(未审附注之流动资产!D103="",0,未审附注之流动资产!D103)</f>
        <v>0</v>
      </c>
      <c r="E103" s="2092">
        <f>IF(未审附注之流动资产!E103="",0,未审附注之流动资产!E103)</f>
        <v>0</v>
      </c>
      <c r="F103" s="2080"/>
      <c r="G103" s="2080"/>
      <c r="H103" s="2080"/>
      <c r="I103" s="2080"/>
      <c r="J103" s="2118" t="s">
        <v>401</v>
      </c>
    </row>
    <row r="104" spans="1:10">
      <c r="A104" s="2092">
        <f>IF(未审附注之流动资产!A104="",0,未审附注之流动资产!A104)</f>
        <v>0</v>
      </c>
      <c r="B104" s="2113">
        <f>IF(未审附注之流动资产!B104="",0,未审附注之流动资产!B104)</f>
        <v>0</v>
      </c>
      <c r="C104" s="2113">
        <f>IF(未审附注之流动资产!C104="",0,未审附注之流动资产!C104)</f>
        <v>0</v>
      </c>
      <c r="D104" s="2085">
        <f>IF(未审附注之流动资产!D104="",0,未审附注之流动资产!D104)</f>
        <v>0</v>
      </c>
      <c r="E104" s="2092">
        <f>IF(未审附注之流动资产!E104="",0,未审附注之流动资产!E104)</f>
        <v>0</v>
      </c>
      <c r="F104" s="2080"/>
      <c r="G104" s="2080"/>
      <c r="H104" s="2080"/>
      <c r="I104" s="2080"/>
      <c r="J104" s="2118" t="s">
        <v>401</v>
      </c>
    </row>
    <row r="105" spans="1:10">
      <c r="A105" s="2092">
        <f>IF(未审附注之流动资产!A105="",0,未审附注之流动资产!A105)</f>
        <v>0</v>
      </c>
      <c r="B105" s="2113">
        <f>IF(未审附注之流动资产!B105="",0,未审附注之流动资产!B105)</f>
        <v>0</v>
      </c>
      <c r="C105" s="2113">
        <f>IF(未审附注之流动资产!C105="",0,未审附注之流动资产!C105)</f>
        <v>0</v>
      </c>
      <c r="D105" s="2085">
        <f>IF(未审附注之流动资产!D105="",0,未审附注之流动资产!D105)</f>
        <v>0</v>
      </c>
      <c r="E105" s="2092">
        <f>IF(未审附注之流动资产!E105="",0,未审附注之流动资产!E105)</f>
        <v>0</v>
      </c>
      <c r="F105" s="2080"/>
      <c r="G105" s="2080"/>
      <c r="H105" s="2080"/>
      <c r="I105" s="2080"/>
      <c r="J105" s="2118" t="s">
        <v>401</v>
      </c>
    </row>
    <row r="106" spans="1:10">
      <c r="A106" s="2092">
        <f>IF(未审附注之流动资产!A106="",0,未审附注之流动资产!A106)</f>
        <v>0</v>
      </c>
      <c r="B106" s="2113">
        <f>IF(未审附注之流动资产!B106="",0,未审附注之流动资产!B106)</f>
        <v>0</v>
      </c>
      <c r="C106" s="2113">
        <f>IF(未审附注之流动资产!C106="",0,未审附注之流动资产!C106)</f>
        <v>0</v>
      </c>
      <c r="D106" s="2085">
        <f>IF(未审附注之流动资产!D106="",0,未审附注之流动资产!D106)</f>
        <v>0</v>
      </c>
      <c r="E106" s="2092">
        <f>IF(未审附注之流动资产!E106="",0,未审附注之流动资产!E106)</f>
        <v>0</v>
      </c>
      <c r="F106" s="2080"/>
      <c r="G106" s="2080"/>
      <c r="H106" s="2080"/>
      <c r="I106" s="2080"/>
      <c r="J106" s="2118" t="s">
        <v>401</v>
      </c>
    </row>
    <row r="107" spans="1:10">
      <c r="A107" s="2092">
        <f>IF(未审附注之流动资产!A107="",0,未审附注之流动资产!A107)</f>
        <v>0</v>
      </c>
      <c r="B107" s="2113">
        <f>IF(未审附注之流动资产!B107="",0,未审附注之流动资产!B107)</f>
        <v>0</v>
      </c>
      <c r="C107" s="2113">
        <f>IF(未审附注之流动资产!C107="",0,未审附注之流动资产!C107)</f>
        <v>0</v>
      </c>
      <c r="D107" s="2085">
        <f>IF(未审附注之流动资产!D107="",0,未审附注之流动资产!D107)</f>
        <v>0</v>
      </c>
      <c r="E107" s="2092">
        <f>IF(未审附注之流动资产!E107="",0,未审附注之流动资产!E107)</f>
        <v>0</v>
      </c>
      <c r="F107" s="2080"/>
      <c r="G107" s="2080"/>
      <c r="H107" s="2080"/>
      <c r="I107" s="2080"/>
      <c r="J107" s="2118" t="s">
        <v>401</v>
      </c>
    </row>
    <row r="108" spans="1:10">
      <c r="A108" s="2092">
        <f>IF(未审附注之流动资产!A108="",0,未审附注之流动资产!A108)</f>
        <v>0</v>
      </c>
      <c r="B108" s="2113">
        <f>IF(未审附注之流动资产!B108="",0,未审附注之流动资产!B108)</f>
        <v>0</v>
      </c>
      <c r="C108" s="2113">
        <f>IF(未审附注之流动资产!C108="",0,未审附注之流动资产!C108)</f>
        <v>0</v>
      </c>
      <c r="D108" s="2085">
        <f>IF(未审附注之流动资产!D108="",0,未审附注之流动资产!D108)</f>
        <v>0</v>
      </c>
      <c r="E108" s="2092">
        <f>IF(未审附注之流动资产!E108="",0,未审附注之流动资产!E108)</f>
        <v>0</v>
      </c>
      <c r="F108" s="2080"/>
      <c r="G108" s="2080"/>
      <c r="H108" s="2080"/>
      <c r="I108" s="2080"/>
      <c r="J108" s="2118" t="s">
        <v>401</v>
      </c>
    </row>
    <row r="109" spans="1:10">
      <c r="A109" s="2092">
        <f>IF(未审附注之流动资产!A109="",0,未审附注之流动资产!A109)</f>
        <v>0</v>
      </c>
      <c r="B109" s="2113">
        <f>IF(未审附注之流动资产!B109="",0,未审附注之流动资产!B109)</f>
        <v>0</v>
      </c>
      <c r="C109" s="2113">
        <f>IF(未审附注之流动资产!C109="",0,未审附注之流动资产!C109)</f>
        <v>0</v>
      </c>
      <c r="D109" s="2085">
        <f>IF(未审附注之流动资产!D109="",0,未审附注之流动资产!D109)</f>
        <v>0</v>
      </c>
      <c r="E109" s="2092">
        <f>IF(未审附注之流动资产!E109="",0,未审附注之流动资产!E109)</f>
        <v>0</v>
      </c>
      <c r="F109" s="2080"/>
      <c r="G109" s="2080"/>
      <c r="H109" s="2080"/>
      <c r="I109" s="2080"/>
      <c r="J109" s="2118" t="s">
        <v>401</v>
      </c>
    </row>
    <row r="110" spans="1:10">
      <c r="A110" s="2092">
        <f>IF(未审附注之流动资产!A110="",0,未审附注之流动资产!A110)</f>
        <v>0</v>
      </c>
      <c r="B110" s="2113">
        <f>IF(未审附注之流动资产!B110="",0,未审附注之流动资产!B110)</f>
        <v>0</v>
      </c>
      <c r="C110" s="2113">
        <f>IF(未审附注之流动资产!C110="",0,未审附注之流动资产!C110)</f>
        <v>0</v>
      </c>
      <c r="D110" s="2085">
        <f>IF(未审附注之流动资产!D110="",0,未审附注之流动资产!D110)</f>
        <v>0</v>
      </c>
      <c r="E110" s="2092">
        <f>IF(未审附注之流动资产!E110="",0,未审附注之流动资产!E110)</f>
        <v>0</v>
      </c>
      <c r="F110" s="2080"/>
      <c r="G110" s="2080"/>
      <c r="H110" s="2080"/>
      <c r="I110" s="2080"/>
      <c r="J110" s="2118" t="s">
        <v>401</v>
      </c>
    </row>
    <row r="111" spans="1:10">
      <c r="A111" s="2092">
        <f>IF(未审附注之流动资产!A111="",0,未审附注之流动资产!A111)</f>
        <v>0</v>
      </c>
      <c r="B111" s="2113">
        <f>IF(未审附注之流动资产!B111="",0,未审附注之流动资产!B111)</f>
        <v>0</v>
      </c>
      <c r="C111" s="2113">
        <f>IF(未审附注之流动资产!C111="",0,未审附注之流动资产!C111)</f>
        <v>0</v>
      </c>
      <c r="D111" s="2085">
        <f>IF(未审附注之流动资产!D111="",0,未审附注之流动资产!D111)</f>
        <v>0</v>
      </c>
      <c r="E111" s="2092">
        <f>IF(未审附注之流动资产!E111="",0,未审附注之流动资产!E111)</f>
        <v>0</v>
      </c>
      <c r="F111" s="2080"/>
      <c r="G111" s="2080"/>
      <c r="H111" s="2080"/>
      <c r="I111" s="2080"/>
      <c r="J111" s="2118" t="s">
        <v>401</v>
      </c>
    </row>
    <row r="112" spans="1:10">
      <c r="A112" s="2092">
        <f>IF(未审附注之流动资产!A112="",0,未审附注之流动资产!A112)</f>
        <v>0</v>
      </c>
      <c r="B112" s="2113">
        <f>IF(未审附注之流动资产!B112="",0,未审附注之流动资产!B112)</f>
        <v>0</v>
      </c>
      <c r="C112" s="2113">
        <f>IF(未审附注之流动资产!C112="",0,未审附注之流动资产!C112)</f>
        <v>0</v>
      </c>
      <c r="D112" s="2085">
        <f>IF(未审附注之流动资产!D112="",0,未审附注之流动资产!D112)</f>
        <v>0</v>
      </c>
      <c r="E112" s="2092">
        <f>IF(未审附注之流动资产!E112="",0,未审附注之流动资产!E112)</f>
        <v>0</v>
      </c>
      <c r="F112" s="2080"/>
      <c r="G112" s="2080"/>
      <c r="H112" s="2080"/>
      <c r="I112" s="2080"/>
      <c r="J112" s="2118" t="s">
        <v>401</v>
      </c>
    </row>
    <row r="113" spans="1:10">
      <c r="A113" s="2082" t="s">
        <v>346</v>
      </c>
      <c r="B113" s="2098"/>
      <c r="C113" s="2098"/>
      <c r="D113" s="2048">
        <f>ROUND(SUM(D103:D112),2)</f>
        <v>0</v>
      </c>
      <c r="E113" s="2098"/>
      <c r="F113" s="2080"/>
      <c r="G113" s="2080"/>
      <c r="H113" s="2080"/>
      <c r="I113" s="2080"/>
      <c r="J113" s="2118" t="s">
        <v>402</v>
      </c>
    </row>
    <row r="114" spans="1:9">
      <c r="A114" s="2103"/>
      <c r="B114" s="2080"/>
      <c r="C114" s="2080"/>
      <c r="D114" s="2080"/>
      <c r="E114" s="2080"/>
      <c r="F114" s="2080"/>
      <c r="G114" s="2080"/>
      <c r="H114" s="2080"/>
      <c r="I114" s="2080"/>
    </row>
    <row r="115" spans="1:9">
      <c r="A115" s="2081" t="s">
        <v>403</v>
      </c>
      <c r="B115" s="2080"/>
      <c r="C115" s="2080"/>
      <c r="D115" s="2080"/>
      <c r="E115" s="2080"/>
      <c r="F115" s="2080"/>
      <c r="G115" s="2080"/>
      <c r="H115" s="2080"/>
      <c r="I115" s="2080"/>
    </row>
    <row r="116" spans="1:9">
      <c r="A116" s="2083" t="s">
        <v>397</v>
      </c>
      <c r="B116" s="2108" t="s">
        <v>398</v>
      </c>
      <c r="C116" s="2124" t="s">
        <v>399</v>
      </c>
      <c r="D116" s="2108" t="s">
        <v>365</v>
      </c>
      <c r="E116" s="2108" t="s">
        <v>404</v>
      </c>
      <c r="F116" s="2108" t="s">
        <v>405</v>
      </c>
      <c r="G116" s="2080"/>
      <c r="H116" s="2080"/>
      <c r="I116" s="2080"/>
    </row>
    <row r="117" spans="1:10">
      <c r="A117" s="2092">
        <f>IF(未审附注之流动资产!A117="",0,未审附注之流动资产!A117)</f>
        <v>0</v>
      </c>
      <c r="B117" s="2113">
        <f>IF(未审附注之流动资产!B117="",0,未审附注之流动资产!B117)</f>
        <v>0</v>
      </c>
      <c r="C117" s="2113">
        <f>IF(未审附注之流动资产!C117="",0,未审附注之流动资产!C117)</f>
        <v>0</v>
      </c>
      <c r="D117" s="2085">
        <f>IF(未审附注之流动资产!D117="",0,未审附注之流动资产!D117)</f>
        <v>0</v>
      </c>
      <c r="E117" s="2113">
        <f>IF(未审附注之流动资产!E117="",0,未审附注之流动资产!E117)</f>
        <v>0</v>
      </c>
      <c r="F117" s="2085">
        <f>IF(未审附注之流动资产!F117="",0,未审附注之流动资产!F117)</f>
        <v>0</v>
      </c>
      <c r="G117" s="2080"/>
      <c r="H117" s="2080"/>
      <c r="I117" s="2080"/>
      <c r="J117" s="2118" t="s">
        <v>406</v>
      </c>
    </row>
    <row r="118" spans="1:10">
      <c r="A118" s="2092">
        <f>IF(未审附注之流动资产!A118="",0,未审附注之流动资产!A118)</f>
        <v>0</v>
      </c>
      <c r="B118" s="2113">
        <f>IF(未审附注之流动资产!B118="",0,未审附注之流动资产!B118)</f>
        <v>0</v>
      </c>
      <c r="C118" s="2113">
        <f>IF(未审附注之流动资产!C118="",0,未审附注之流动资产!C118)</f>
        <v>0</v>
      </c>
      <c r="D118" s="2085">
        <f>IF(未审附注之流动资产!D118="",0,未审附注之流动资产!D118)</f>
        <v>0</v>
      </c>
      <c r="E118" s="2113">
        <f>IF(未审附注之流动资产!E118="",0,未审附注之流动资产!E118)</f>
        <v>0</v>
      </c>
      <c r="F118" s="2085">
        <f>IF(未审附注之流动资产!F118="",0,未审附注之流动资产!F118)</f>
        <v>0</v>
      </c>
      <c r="G118" s="2080"/>
      <c r="H118" s="2080"/>
      <c r="I118" s="2080"/>
      <c r="J118" s="2118" t="s">
        <v>406</v>
      </c>
    </row>
    <row r="119" spans="1:10">
      <c r="A119" s="2092">
        <f>IF(未审附注之流动资产!A119="",0,未审附注之流动资产!A119)</f>
        <v>0</v>
      </c>
      <c r="B119" s="2113">
        <f>IF(未审附注之流动资产!B119="",0,未审附注之流动资产!B119)</f>
        <v>0</v>
      </c>
      <c r="C119" s="2113">
        <f>IF(未审附注之流动资产!C119="",0,未审附注之流动资产!C119)</f>
        <v>0</v>
      </c>
      <c r="D119" s="2085">
        <f>IF(未审附注之流动资产!D119="",0,未审附注之流动资产!D119)</f>
        <v>0</v>
      </c>
      <c r="E119" s="2113">
        <f>IF(未审附注之流动资产!E119="",0,未审附注之流动资产!E119)</f>
        <v>0</v>
      </c>
      <c r="F119" s="2085">
        <f>IF(未审附注之流动资产!F119="",0,未审附注之流动资产!F119)</f>
        <v>0</v>
      </c>
      <c r="G119" s="2080"/>
      <c r="H119" s="2080"/>
      <c r="I119" s="2080"/>
      <c r="J119" s="2118" t="s">
        <v>406</v>
      </c>
    </row>
    <row r="120" spans="1:10">
      <c r="A120" s="2092">
        <f>IF(未审附注之流动资产!A120="",0,未审附注之流动资产!A120)</f>
        <v>0</v>
      </c>
      <c r="B120" s="2113">
        <f>IF(未审附注之流动资产!B120="",0,未审附注之流动资产!B120)</f>
        <v>0</v>
      </c>
      <c r="C120" s="2113">
        <f>IF(未审附注之流动资产!C120="",0,未审附注之流动资产!C120)</f>
        <v>0</v>
      </c>
      <c r="D120" s="2085">
        <f>IF(未审附注之流动资产!D120="",0,未审附注之流动资产!D120)</f>
        <v>0</v>
      </c>
      <c r="E120" s="2113">
        <f>IF(未审附注之流动资产!E120="",0,未审附注之流动资产!E120)</f>
        <v>0</v>
      </c>
      <c r="F120" s="2085">
        <f>IF(未审附注之流动资产!F120="",0,未审附注之流动资产!F120)</f>
        <v>0</v>
      </c>
      <c r="G120" s="2080"/>
      <c r="H120" s="2080"/>
      <c r="I120" s="2080"/>
      <c r="J120" s="2118" t="s">
        <v>406</v>
      </c>
    </row>
    <row r="121" spans="1:10">
      <c r="A121" s="2092">
        <f>IF(未审附注之流动资产!A121="",0,未审附注之流动资产!A121)</f>
        <v>0</v>
      </c>
      <c r="B121" s="2113">
        <f>IF(未审附注之流动资产!B121="",0,未审附注之流动资产!B121)</f>
        <v>0</v>
      </c>
      <c r="C121" s="2113">
        <f>IF(未审附注之流动资产!C121="",0,未审附注之流动资产!C121)</f>
        <v>0</v>
      </c>
      <c r="D121" s="2085">
        <f>IF(未审附注之流动资产!D121="",0,未审附注之流动资产!D121)</f>
        <v>0</v>
      </c>
      <c r="E121" s="2113">
        <f>IF(未审附注之流动资产!E121="",0,未审附注之流动资产!E121)</f>
        <v>0</v>
      </c>
      <c r="F121" s="2085">
        <f>IF(未审附注之流动资产!F121="",0,未审附注之流动资产!F121)</f>
        <v>0</v>
      </c>
      <c r="G121" s="2080"/>
      <c r="H121" s="2080"/>
      <c r="I121" s="2080"/>
      <c r="J121" s="2118" t="s">
        <v>406</v>
      </c>
    </row>
    <row r="122" spans="1:10">
      <c r="A122" s="2092">
        <f>IF(未审附注之流动资产!A122="",0,未审附注之流动资产!A122)</f>
        <v>0</v>
      </c>
      <c r="B122" s="2113">
        <f>IF(未审附注之流动资产!B122="",0,未审附注之流动资产!B122)</f>
        <v>0</v>
      </c>
      <c r="C122" s="2113">
        <f>IF(未审附注之流动资产!C122="",0,未审附注之流动资产!C122)</f>
        <v>0</v>
      </c>
      <c r="D122" s="2085">
        <f>IF(未审附注之流动资产!D122="",0,未审附注之流动资产!D122)</f>
        <v>0</v>
      </c>
      <c r="E122" s="2113">
        <f>IF(未审附注之流动资产!E122="",0,未审附注之流动资产!E122)</f>
        <v>0</v>
      </c>
      <c r="F122" s="2085">
        <f>IF(未审附注之流动资产!F122="",0,未审附注之流动资产!F122)</f>
        <v>0</v>
      </c>
      <c r="G122" s="2080"/>
      <c r="H122" s="2080"/>
      <c r="I122" s="2080"/>
      <c r="J122" s="2118" t="s">
        <v>406</v>
      </c>
    </row>
    <row r="123" spans="1:10">
      <c r="A123" s="2092">
        <f>IF(未审附注之流动资产!A123="",0,未审附注之流动资产!A123)</f>
        <v>0</v>
      </c>
      <c r="B123" s="2113">
        <f>IF(未审附注之流动资产!B123="",0,未审附注之流动资产!B123)</f>
        <v>0</v>
      </c>
      <c r="C123" s="2113">
        <f>IF(未审附注之流动资产!C123="",0,未审附注之流动资产!C123)</f>
        <v>0</v>
      </c>
      <c r="D123" s="2085">
        <f>IF(未审附注之流动资产!D123="",0,未审附注之流动资产!D123)</f>
        <v>0</v>
      </c>
      <c r="E123" s="2113">
        <f>IF(未审附注之流动资产!E123="",0,未审附注之流动资产!E123)</f>
        <v>0</v>
      </c>
      <c r="F123" s="2085">
        <f>IF(未审附注之流动资产!F123="",0,未审附注之流动资产!F123)</f>
        <v>0</v>
      </c>
      <c r="G123" s="2080"/>
      <c r="H123" s="2080"/>
      <c r="I123" s="2080"/>
      <c r="J123" s="2118" t="s">
        <v>406</v>
      </c>
    </row>
    <row r="124" spans="1:10">
      <c r="A124" s="2092">
        <f>IF(未审附注之流动资产!A124="",0,未审附注之流动资产!A124)</f>
        <v>0</v>
      </c>
      <c r="B124" s="2113">
        <f>IF(未审附注之流动资产!B124="",0,未审附注之流动资产!B124)</f>
        <v>0</v>
      </c>
      <c r="C124" s="2113">
        <f>IF(未审附注之流动资产!C124="",0,未审附注之流动资产!C124)</f>
        <v>0</v>
      </c>
      <c r="D124" s="2085">
        <f>IF(未审附注之流动资产!D124="",0,未审附注之流动资产!D124)</f>
        <v>0</v>
      </c>
      <c r="E124" s="2113">
        <f>IF(未审附注之流动资产!E124="",0,未审附注之流动资产!E124)</f>
        <v>0</v>
      </c>
      <c r="F124" s="2085">
        <f>IF(未审附注之流动资产!F124="",0,未审附注之流动资产!F124)</f>
        <v>0</v>
      </c>
      <c r="G124" s="2080"/>
      <c r="H124" s="2080"/>
      <c r="I124" s="2080"/>
      <c r="J124" s="2118" t="s">
        <v>406</v>
      </c>
    </row>
    <row r="125" spans="1:10">
      <c r="A125" s="2092">
        <f>IF(未审附注之流动资产!A125="",0,未审附注之流动资产!A125)</f>
        <v>0</v>
      </c>
      <c r="B125" s="2113">
        <f>IF(未审附注之流动资产!B125="",0,未审附注之流动资产!B125)</f>
        <v>0</v>
      </c>
      <c r="C125" s="2113">
        <f>IF(未审附注之流动资产!C125="",0,未审附注之流动资产!C125)</f>
        <v>0</v>
      </c>
      <c r="D125" s="2085">
        <f>IF(未审附注之流动资产!D125="",0,未审附注之流动资产!D125)</f>
        <v>0</v>
      </c>
      <c r="E125" s="2113">
        <f>IF(未审附注之流动资产!E125="",0,未审附注之流动资产!E125)</f>
        <v>0</v>
      </c>
      <c r="F125" s="2085">
        <f>IF(未审附注之流动资产!F125="",0,未审附注之流动资产!F125)</f>
        <v>0</v>
      </c>
      <c r="G125" s="2080"/>
      <c r="H125" s="2080"/>
      <c r="I125" s="2080"/>
      <c r="J125" s="2118" t="s">
        <v>406</v>
      </c>
    </row>
    <row r="126" spans="1:10">
      <c r="A126" s="2092">
        <f>IF(未审附注之流动资产!A126="",0,未审附注之流动资产!A126)</f>
        <v>0</v>
      </c>
      <c r="B126" s="2113">
        <f>IF(未审附注之流动资产!B126="",0,未审附注之流动资产!B126)</f>
        <v>0</v>
      </c>
      <c r="C126" s="2113">
        <f>IF(未审附注之流动资产!C126="",0,未审附注之流动资产!C126)</f>
        <v>0</v>
      </c>
      <c r="D126" s="2085">
        <f>IF(未审附注之流动资产!D126="",0,未审附注之流动资产!D126)</f>
        <v>0</v>
      </c>
      <c r="E126" s="2113">
        <f>IF(未审附注之流动资产!E126="",0,未审附注之流动资产!E126)</f>
        <v>0</v>
      </c>
      <c r="F126" s="2085">
        <f>IF(未审附注之流动资产!F126="",0,未审附注之流动资产!F126)</f>
        <v>0</v>
      </c>
      <c r="G126" s="2080"/>
      <c r="H126" s="2080"/>
      <c r="I126" s="2080"/>
      <c r="J126" s="2118" t="s">
        <v>406</v>
      </c>
    </row>
    <row r="127" spans="1:10">
      <c r="A127" s="2082" t="s">
        <v>346</v>
      </c>
      <c r="B127" s="2098"/>
      <c r="C127" s="2098"/>
      <c r="D127" s="2048">
        <f>ROUND(SUM(D117:D126),2)</f>
        <v>0</v>
      </c>
      <c r="E127" s="2098"/>
      <c r="F127" s="2048">
        <f>ROUND(SUM(F117:F126),2)</f>
        <v>0</v>
      </c>
      <c r="G127" s="2080"/>
      <c r="H127" s="2080"/>
      <c r="I127" s="2080"/>
      <c r="J127" s="2118" t="s">
        <v>407</v>
      </c>
    </row>
    <row r="128" spans="1:9">
      <c r="A128" s="2103"/>
      <c r="B128" s="2080"/>
      <c r="C128" s="2080"/>
      <c r="D128" s="2080"/>
      <c r="E128" s="2080"/>
      <c r="F128" s="2080"/>
      <c r="G128" s="2080"/>
      <c r="H128" s="2080"/>
      <c r="I128" s="2080"/>
    </row>
    <row r="129" spans="1:9">
      <c r="A129" s="2081" t="s">
        <v>408</v>
      </c>
      <c r="B129" s="2080"/>
      <c r="C129" s="2080"/>
      <c r="D129" s="2080"/>
      <c r="E129" s="2080"/>
      <c r="F129" s="2080"/>
      <c r="G129" s="2080"/>
      <c r="H129" s="2080"/>
      <c r="I129" s="2080"/>
    </row>
    <row r="130" spans="1:9">
      <c r="A130" s="2083" t="s">
        <v>397</v>
      </c>
      <c r="B130" s="2108" t="s">
        <v>398</v>
      </c>
      <c r="C130" s="2124" t="s">
        <v>399</v>
      </c>
      <c r="D130" s="2108" t="s">
        <v>365</v>
      </c>
      <c r="E130" s="2108" t="s">
        <v>409</v>
      </c>
      <c r="F130" s="2080"/>
      <c r="G130" s="2080"/>
      <c r="H130" s="2080"/>
      <c r="I130" s="2080"/>
    </row>
    <row r="131" spans="1:10">
      <c r="A131" s="2092">
        <f>IF(未审附注之流动资产!A131="",0,未审附注之流动资产!A131)</f>
        <v>0</v>
      </c>
      <c r="B131" s="2113">
        <f>IF(未审附注之流动资产!B131="",0,未审附注之流动资产!B131)</f>
        <v>0</v>
      </c>
      <c r="C131" s="2113">
        <f>IF(未审附注之流动资产!C131="",0,未审附注之流动资产!C131)</f>
        <v>0</v>
      </c>
      <c r="D131" s="2085">
        <f>IF(未审附注之流动资产!D131="",0,未审附注之流动资产!D131)</f>
        <v>0</v>
      </c>
      <c r="E131" s="2092">
        <f>IF(未审附注之流动资产!E131="",0,未审附注之流动资产!E131)</f>
        <v>0</v>
      </c>
      <c r="F131" s="2080"/>
      <c r="G131" s="2080"/>
      <c r="H131" s="2080"/>
      <c r="I131" s="2080"/>
      <c r="J131" s="2118" t="s">
        <v>410</v>
      </c>
    </row>
    <row r="132" spans="1:10">
      <c r="A132" s="2092">
        <f>IF(未审附注之流动资产!A132="",0,未审附注之流动资产!A132)</f>
        <v>0</v>
      </c>
      <c r="B132" s="2113">
        <f>IF(未审附注之流动资产!B132="",0,未审附注之流动资产!B132)</f>
        <v>0</v>
      </c>
      <c r="C132" s="2113">
        <f>IF(未审附注之流动资产!C132="",0,未审附注之流动资产!C132)</f>
        <v>0</v>
      </c>
      <c r="D132" s="2085">
        <f>IF(未审附注之流动资产!D132="",0,未审附注之流动资产!D132)</f>
        <v>0</v>
      </c>
      <c r="E132" s="2092">
        <f>IF(未审附注之流动资产!E132="",0,未审附注之流动资产!E132)</f>
        <v>0</v>
      </c>
      <c r="F132" s="2080"/>
      <c r="G132" s="2080"/>
      <c r="H132" s="2080"/>
      <c r="I132" s="2080"/>
      <c r="J132" s="2118" t="s">
        <v>410</v>
      </c>
    </row>
    <row r="133" spans="1:10">
      <c r="A133" s="2092">
        <f>IF(未审附注之流动资产!A133="",0,未审附注之流动资产!A133)</f>
        <v>0</v>
      </c>
      <c r="B133" s="2113">
        <f>IF(未审附注之流动资产!B133="",0,未审附注之流动资产!B133)</f>
        <v>0</v>
      </c>
      <c r="C133" s="2113">
        <f>IF(未审附注之流动资产!C133="",0,未审附注之流动资产!C133)</f>
        <v>0</v>
      </c>
      <c r="D133" s="2085">
        <f>IF(未审附注之流动资产!D133="",0,未审附注之流动资产!D133)</f>
        <v>0</v>
      </c>
      <c r="E133" s="2092">
        <f>IF(未审附注之流动资产!E133="",0,未审附注之流动资产!E133)</f>
        <v>0</v>
      </c>
      <c r="F133" s="2080"/>
      <c r="G133" s="2080"/>
      <c r="H133" s="2080"/>
      <c r="I133" s="2080"/>
      <c r="J133" s="2118" t="s">
        <v>410</v>
      </c>
    </row>
    <row r="134" spans="1:10">
      <c r="A134" s="2092">
        <f>IF(未审附注之流动资产!A134="",0,未审附注之流动资产!A134)</f>
        <v>0</v>
      </c>
      <c r="B134" s="2113">
        <f>IF(未审附注之流动资产!B134="",0,未审附注之流动资产!B134)</f>
        <v>0</v>
      </c>
      <c r="C134" s="2113">
        <f>IF(未审附注之流动资产!C134="",0,未审附注之流动资产!C134)</f>
        <v>0</v>
      </c>
      <c r="D134" s="2085">
        <f>IF(未审附注之流动资产!D134="",0,未审附注之流动资产!D134)</f>
        <v>0</v>
      </c>
      <c r="E134" s="2092">
        <f>IF(未审附注之流动资产!E134="",0,未审附注之流动资产!E134)</f>
        <v>0</v>
      </c>
      <c r="F134" s="2080"/>
      <c r="G134" s="2080"/>
      <c r="H134" s="2080"/>
      <c r="I134" s="2080"/>
      <c r="J134" s="2118" t="s">
        <v>410</v>
      </c>
    </row>
    <row r="135" spans="1:10">
      <c r="A135" s="2092">
        <f>IF(未审附注之流动资产!A135="",0,未审附注之流动资产!A135)</f>
        <v>0</v>
      </c>
      <c r="B135" s="2113">
        <f>IF(未审附注之流动资产!B135="",0,未审附注之流动资产!B135)</f>
        <v>0</v>
      </c>
      <c r="C135" s="2113">
        <f>IF(未审附注之流动资产!C135="",0,未审附注之流动资产!C135)</f>
        <v>0</v>
      </c>
      <c r="D135" s="2085">
        <f>IF(未审附注之流动资产!D135="",0,未审附注之流动资产!D135)</f>
        <v>0</v>
      </c>
      <c r="E135" s="2092">
        <f>IF(未审附注之流动资产!E135="",0,未审附注之流动资产!E135)</f>
        <v>0</v>
      </c>
      <c r="F135" s="2080"/>
      <c r="G135" s="2080"/>
      <c r="H135" s="2080"/>
      <c r="I135" s="2080"/>
      <c r="J135" s="2118" t="s">
        <v>410</v>
      </c>
    </row>
    <row r="136" spans="1:10">
      <c r="A136" s="2092">
        <f>IF(未审附注之流动资产!A136="",0,未审附注之流动资产!A136)</f>
        <v>0</v>
      </c>
      <c r="B136" s="2113">
        <f>IF(未审附注之流动资产!B136="",0,未审附注之流动资产!B136)</f>
        <v>0</v>
      </c>
      <c r="C136" s="2113">
        <f>IF(未审附注之流动资产!C136="",0,未审附注之流动资产!C136)</f>
        <v>0</v>
      </c>
      <c r="D136" s="2085">
        <f>IF(未审附注之流动资产!D136="",0,未审附注之流动资产!D136)</f>
        <v>0</v>
      </c>
      <c r="E136" s="2092">
        <f>IF(未审附注之流动资产!E136="",0,未审附注之流动资产!E136)</f>
        <v>0</v>
      </c>
      <c r="F136" s="2080"/>
      <c r="G136" s="2080"/>
      <c r="H136" s="2080"/>
      <c r="I136" s="2080"/>
      <c r="J136" s="2118" t="s">
        <v>410</v>
      </c>
    </row>
    <row r="137" spans="1:10">
      <c r="A137" s="2092">
        <f>IF(未审附注之流动资产!A137="",0,未审附注之流动资产!A137)</f>
        <v>0</v>
      </c>
      <c r="B137" s="2113">
        <f>IF(未审附注之流动资产!B137="",0,未审附注之流动资产!B137)</f>
        <v>0</v>
      </c>
      <c r="C137" s="2113">
        <f>IF(未审附注之流动资产!C137="",0,未审附注之流动资产!C137)</f>
        <v>0</v>
      </c>
      <c r="D137" s="2085">
        <f>IF(未审附注之流动资产!D137="",0,未审附注之流动资产!D137)</f>
        <v>0</v>
      </c>
      <c r="E137" s="2092">
        <f>IF(未审附注之流动资产!E137="",0,未审附注之流动资产!E137)</f>
        <v>0</v>
      </c>
      <c r="F137" s="2080"/>
      <c r="G137" s="2080"/>
      <c r="H137" s="2080"/>
      <c r="I137" s="2080"/>
      <c r="J137" s="2118" t="s">
        <v>410</v>
      </c>
    </row>
    <row r="138" spans="1:10">
      <c r="A138" s="2092">
        <f>IF(未审附注之流动资产!A138="",0,未审附注之流动资产!A138)</f>
        <v>0</v>
      </c>
      <c r="B138" s="2113">
        <f>IF(未审附注之流动资产!B138="",0,未审附注之流动资产!B138)</f>
        <v>0</v>
      </c>
      <c r="C138" s="2113">
        <f>IF(未审附注之流动资产!C138="",0,未审附注之流动资产!C138)</f>
        <v>0</v>
      </c>
      <c r="D138" s="2085">
        <f>IF(未审附注之流动资产!D138="",0,未审附注之流动资产!D138)</f>
        <v>0</v>
      </c>
      <c r="E138" s="2092">
        <f>IF(未审附注之流动资产!E138="",0,未审附注之流动资产!E138)</f>
        <v>0</v>
      </c>
      <c r="F138" s="2080"/>
      <c r="G138" s="2080"/>
      <c r="H138" s="2080"/>
      <c r="I138" s="2080"/>
      <c r="J138" s="2118" t="s">
        <v>410</v>
      </c>
    </row>
    <row r="139" spans="1:10">
      <c r="A139" s="2092">
        <f>IF(未审附注之流动资产!A139="",0,未审附注之流动资产!A139)</f>
        <v>0</v>
      </c>
      <c r="B139" s="2113">
        <f>IF(未审附注之流动资产!B139="",0,未审附注之流动资产!B139)</f>
        <v>0</v>
      </c>
      <c r="C139" s="2113">
        <f>IF(未审附注之流动资产!C139="",0,未审附注之流动资产!C139)</f>
        <v>0</v>
      </c>
      <c r="D139" s="2085">
        <f>IF(未审附注之流动资产!D139="",0,未审附注之流动资产!D139)</f>
        <v>0</v>
      </c>
      <c r="E139" s="2092">
        <f>IF(未审附注之流动资产!E139="",0,未审附注之流动资产!E139)</f>
        <v>0</v>
      </c>
      <c r="F139" s="2080"/>
      <c r="G139" s="2080"/>
      <c r="H139" s="2080"/>
      <c r="I139" s="2080"/>
      <c r="J139" s="2118" t="s">
        <v>410</v>
      </c>
    </row>
    <row r="140" spans="1:10">
      <c r="A140" s="2092">
        <f>IF(未审附注之流动资产!A140="",0,未审附注之流动资产!A140)</f>
        <v>0</v>
      </c>
      <c r="B140" s="2113">
        <f>IF(未审附注之流动资产!B140="",0,未审附注之流动资产!B140)</f>
        <v>0</v>
      </c>
      <c r="C140" s="2113">
        <f>IF(未审附注之流动资产!C140="",0,未审附注之流动资产!C140)</f>
        <v>0</v>
      </c>
      <c r="D140" s="2085">
        <f>IF(未审附注之流动资产!D140="",0,未审附注之流动资产!D140)</f>
        <v>0</v>
      </c>
      <c r="E140" s="2092">
        <f>IF(未审附注之流动资产!E140="",0,未审附注之流动资产!E140)</f>
        <v>0</v>
      </c>
      <c r="F140" s="2080"/>
      <c r="G140" s="2080"/>
      <c r="H140" s="2080"/>
      <c r="I140" s="2080"/>
      <c r="J140" s="2118" t="s">
        <v>410</v>
      </c>
    </row>
    <row r="141" spans="1:10">
      <c r="A141" s="2082" t="s">
        <v>346</v>
      </c>
      <c r="B141" s="2098"/>
      <c r="C141" s="2098"/>
      <c r="D141" s="2048">
        <f>ROUND(SUM(D131:D140),2)</f>
        <v>0</v>
      </c>
      <c r="E141" s="2098"/>
      <c r="F141" s="2080"/>
      <c r="G141" s="2080"/>
      <c r="H141" s="2080"/>
      <c r="I141" s="2080"/>
      <c r="J141" s="2118" t="s">
        <v>411</v>
      </c>
    </row>
    <row r="142" spans="1:9">
      <c r="A142" s="2103"/>
      <c r="B142" s="2080"/>
      <c r="C142" s="2080"/>
      <c r="D142" s="2080"/>
      <c r="E142" s="2080"/>
      <c r="F142" s="2080"/>
      <c r="G142" s="2080"/>
      <c r="H142" s="2080"/>
      <c r="I142" s="2080"/>
    </row>
    <row r="143" spans="1:9">
      <c r="A143" s="2081" t="s">
        <v>412</v>
      </c>
      <c r="B143" s="2080"/>
      <c r="C143" s="2080"/>
      <c r="D143" s="2080"/>
      <c r="E143" s="2080"/>
      <c r="F143" s="2080"/>
      <c r="G143" s="2080"/>
      <c r="H143" s="2080"/>
      <c r="I143" s="2080"/>
    </row>
    <row r="144" spans="1:9">
      <c r="A144" s="2083" t="s">
        <v>397</v>
      </c>
      <c r="B144" s="2108" t="s">
        <v>398</v>
      </c>
      <c r="C144" s="2124" t="s">
        <v>399</v>
      </c>
      <c r="D144" s="2108" t="s">
        <v>365</v>
      </c>
      <c r="E144" s="2080"/>
      <c r="F144" s="2080"/>
      <c r="G144" s="2080"/>
      <c r="H144" s="2080"/>
      <c r="I144" s="2080"/>
    </row>
    <row r="145" spans="1:10">
      <c r="A145" s="2092">
        <f>IF(未审附注之流动资产!A145="",0,未审附注之流动资产!A145)</f>
        <v>0</v>
      </c>
      <c r="B145" s="2113">
        <f>IF(未审附注之流动资产!B145="",0,未审附注之流动资产!B145)</f>
        <v>0</v>
      </c>
      <c r="C145" s="2113">
        <f>IF(未审附注之流动资产!C145="",0,未审附注之流动资产!C145)</f>
        <v>0</v>
      </c>
      <c r="D145" s="2085">
        <f>IF(未审附注之流动资产!D145="",0,未审附注之流动资产!D145)</f>
        <v>0</v>
      </c>
      <c r="E145" s="2080"/>
      <c r="F145" s="2080"/>
      <c r="G145" s="2080"/>
      <c r="H145" s="2080"/>
      <c r="I145" s="2080"/>
      <c r="J145" s="2118" t="s">
        <v>413</v>
      </c>
    </row>
    <row r="146" spans="1:10">
      <c r="A146" s="2092">
        <f>IF(未审附注之流动资产!A146="",0,未审附注之流动资产!A146)</f>
        <v>0</v>
      </c>
      <c r="B146" s="2113">
        <f>IF(未审附注之流动资产!B146="",0,未审附注之流动资产!B146)</f>
        <v>0</v>
      </c>
      <c r="C146" s="2113">
        <f>IF(未审附注之流动资产!C146="",0,未审附注之流动资产!C146)</f>
        <v>0</v>
      </c>
      <c r="D146" s="2085">
        <f>IF(未审附注之流动资产!D146="",0,未审附注之流动资产!D146)</f>
        <v>0</v>
      </c>
      <c r="E146" s="2080"/>
      <c r="F146" s="2080"/>
      <c r="G146" s="2080"/>
      <c r="H146" s="2080"/>
      <c r="I146" s="2080"/>
      <c r="J146" s="2118" t="s">
        <v>413</v>
      </c>
    </row>
    <row r="147" spans="1:10">
      <c r="A147" s="2092">
        <f>IF(未审附注之流动资产!A147="",0,未审附注之流动资产!A147)</f>
        <v>0</v>
      </c>
      <c r="B147" s="2113">
        <f>IF(未审附注之流动资产!B147="",0,未审附注之流动资产!B147)</f>
        <v>0</v>
      </c>
      <c r="C147" s="2113">
        <f>IF(未审附注之流动资产!C147="",0,未审附注之流动资产!C147)</f>
        <v>0</v>
      </c>
      <c r="D147" s="2085">
        <f>IF(未审附注之流动资产!D147="",0,未审附注之流动资产!D147)</f>
        <v>0</v>
      </c>
      <c r="E147" s="2080"/>
      <c r="F147" s="2080"/>
      <c r="G147" s="2080"/>
      <c r="H147" s="2080"/>
      <c r="I147" s="2080"/>
      <c r="J147" s="2118" t="s">
        <v>413</v>
      </c>
    </row>
    <row r="148" spans="1:10">
      <c r="A148" s="2092">
        <f>IF(未审附注之流动资产!A148="",0,未审附注之流动资产!A148)</f>
        <v>0</v>
      </c>
      <c r="B148" s="2113">
        <f>IF(未审附注之流动资产!B148="",0,未审附注之流动资产!B148)</f>
        <v>0</v>
      </c>
      <c r="C148" s="2113">
        <f>IF(未审附注之流动资产!C148="",0,未审附注之流动资产!C148)</f>
        <v>0</v>
      </c>
      <c r="D148" s="2085">
        <f>IF(未审附注之流动资产!D148="",0,未审附注之流动资产!D148)</f>
        <v>0</v>
      </c>
      <c r="E148" s="2080"/>
      <c r="F148" s="2080"/>
      <c r="G148" s="2080"/>
      <c r="H148" s="2080"/>
      <c r="I148" s="2080"/>
      <c r="J148" s="2118" t="s">
        <v>413</v>
      </c>
    </row>
    <row r="149" spans="1:10">
      <c r="A149" s="2092">
        <f>IF(未审附注之流动资产!A149="",0,未审附注之流动资产!A149)</f>
        <v>0</v>
      </c>
      <c r="B149" s="2113">
        <f>IF(未审附注之流动资产!B149="",0,未审附注之流动资产!B149)</f>
        <v>0</v>
      </c>
      <c r="C149" s="2113">
        <f>IF(未审附注之流动资产!C149="",0,未审附注之流动资产!C149)</f>
        <v>0</v>
      </c>
      <c r="D149" s="2085">
        <f>IF(未审附注之流动资产!D149="",0,未审附注之流动资产!D149)</f>
        <v>0</v>
      </c>
      <c r="E149" s="2080"/>
      <c r="F149" s="2080"/>
      <c r="G149" s="2080"/>
      <c r="H149" s="2080"/>
      <c r="I149" s="2080"/>
      <c r="J149" s="2118" t="s">
        <v>413</v>
      </c>
    </row>
    <row r="150" spans="1:10">
      <c r="A150" s="2092">
        <f>IF(未审附注之流动资产!A150="",0,未审附注之流动资产!A150)</f>
        <v>0</v>
      </c>
      <c r="B150" s="2113">
        <f>IF(未审附注之流动资产!B150="",0,未审附注之流动资产!B150)</f>
        <v>0</v>
      </c>
      <c r="C150" s="2113">
        <f>IF(未审附注之流动资产!C150="",0,未审附注之流动资产!C150)</f>
        <v>0</v>
      </c>
      <c r="D150" s="2085">
        <f>IF(未审附注之流动资产!D150="",0,未审附注之流动资产!D150)</f>
        <v>0</v>
      </c>
      <c r="E150" s="2080"/>
      <c r="F150" s="2080"/>
      <c r="G150" s="2080"/>
      <c r="H150" s="2080"/>
      <c r="I150" s="2080"/>
      <c r="J150" s="2118" t="s">
        <v>413</v>
      </c>
    </row>
    <row r="151" spans="1:10">
      <c r="A151" s="2092">
        <f>IF(未审附注之流动资产!A151="",0,未审附注之流动资产!A151)</f>
        <v>0</v>
      </c>
      <c r="B151" s="2113">
        <f>IF(未审附注之流动资产!B151="",0,未审附注之流动资产!B151)</f>
        <v>0</v>
      </c>
      <c r="C151" s="2113">
        <f>IF(未审附注之流动资产!C151="",0,未审附注之流动资产!C151)</f>
        <v>0</v>
      </c>
      <c r="D151" s="2085">
        <f>IF(未审附注之流动资产!D151="",0,未审附注之流动资产!D151)</f>
        <v>0</v>
      </c>
      <c r="E151" s="2080"/>
      <c r="F151" s="2080"/>
      <c r="G151" s="2080"/>
      <c r="H151" s="2080"/>
      <c r="I151" s="2080"/>
      <c r="J151" s="2118" t="s">
        <v>413</v>
      </c>
    </row>
    <row r="152" spans="1:10">
      <c r="A152" s="2092">
        <f>IF(未审附注之流动资产!A152="",0,未审附注之流动资产!A152)</f>
        <v>0</v>
      </c>
      <c r="B152" s="2113">
        <f>IF(未审附注之流动资产!B152="",0,未审附注之流动资产!B152)</f>
        <v>0</v>
      </c>
      <c r="C152" s="2113">
        <f>IF(未审附注之流动资产!C152="",0,未审附注之流动资产!C152)</f>
        <v>0</v>
      </c>
      <c r="D152" s="2085">
        <f>IF(未审附注之流动资产!D152="",0,未审附注之流动资产!D152)</f>
        <v>0</v>
      </c>
      <c r="E152" s="2080"/>
      <c r="F152" s="2080"/>
      <c r="G152" s="2080"/>
      <c r="H152" s="2080"/>
      <c r="I152" s="2080"/>
      <c r="J152" s="2118" t="s">
        <v>413</v>
      </c>
    </row>
    <row r="153" spans="1:10">
      <c r="A153" s="2092">
        <f>IF(未审附注之流动资产!A153="",0,未审附注之流动资产!A153)</f>
        <v>0</v>
      </c>
      <c r="B153" s="2113">
        <f>IF(未审附注之流动资产!B153="",0,未审附注之流动资产!B153)</f>
        <v>0</v>
      </c>
      <c r="C153" s="2113">
        <f>IF(未审附注之流动资产!C153="",0,未审附注之流动资产!C153)</f>
        <v>0</v>
      </c>
      <c r="D153" s="2085">
        <f>IF(未审附注之流动资产!D153="",0,未审附注之流动资产!D153)</f>
        <v>0</v>
      </c>
      <c r="E153" s="2080"/>
      <c r="F153" s="2080"/>
      <c r="G153" s="2080"/>
      <c r="H153" s="2080"/>
      <c r="I153" s="2080"/>
      <c r="J153" s="2118" t="s">
        <v>413</v>
      </c>
    </row>
    <row r="154" spans="1:10">
      <c r="A154" s="2092">
        <f>IF(未审附注之流动资产!A154="",0,未审附注之流动资产!A154)</f>
        <v>0</v>
      </c>
      <c r="B154" s="2113">
        <f>IF(未审附注之流动资产!B154="",0,未审附注之流动资产!B154)</f>
        <v>0</v>
      </c>
      <c r="C154" s="2113">
        <f>IF(未审附注之流动资产!C154="",0,未审附注之流动资产!C154)</f>
        <v>0</v>
      </c>
      <c r="D154" s="2085">
        <f>IF(未审附注之流动资产!D154="",0,未审附注之流动资产!D154)</f>
        <v>0</v>
      </c>
      <c r="E154" s="2080"/>
      <c r="F154" s="2080"/>
      <c r="G154" s="2080"/>
      <c r="H154" s="2080"/>
      <c r="I154" s="2080"/>
      <c r="J154" s="2118" t="s">
        <v>413</v>
      </c>
    </row>
    <row r="155" spans="1:10">
      <c r="A155" s="2082" t="s">
        <v>346</v>
      </c>
      <c r="B155" s="2098"/>
      <c r="C155" s="2098"/>
      <c r="D155" s="2048">
        <f>ROUND(SUM(D145:D154),2)</f>
        <v>0</v>
      </c>
      <c r="E155" s="2080"/>
      <c r="F155" s="2080"/>
      <c r="G155" s="2080"/>
      <c r="H155" s="2080"/>
      <c r="I155" s="2080"/>
      <c r="J155" s="2118" t="s">
        <v>414</v>
      </c>
    </row>
    <row r="156" spans="1:9">
      <c r="A156" s="2103"/>
      <c r="B156" s="2080"/>
      <c r="C156" s="2080"/>
      <c r="D156" s="2080"/>
      <c r="E156" s="2080"/>
      <c r="F156" s="2080"/>
      <c r="G156" s="2080"/>
      <c r="H156" s="2080"/>
      <c r="I156" s="2080"/>
    </row>
    <row r="157" spans="1:9">
      <c r="A157" s="2096" t="s">
        <v>415</v>
      </c>
      <c r="B157" s="2080"/>
      <c r="C157" s="2080"/>
      <c r="D157" s="2080"/>
      <c r="E157" s="2080"/>
      <c r="F157" s="2080"/>
      <c r="G157" s="2080"/>
      <c r="H157" s="2080"/>
      <c r="I157" s="2080"/>
    </row>
    <row r="158" spans="1:9">
      <c r="A158" s="2083" t="s">
        <v>397</v>
      </c>
      <c r="B158" s="2108" t="s">
        <v>398</v>
      </c>
      <c r="C158" s="2124" t="s">
        <v>399</v>
      </c>
      <c r="D158" s="2108" t="s">
        <v>365</v>
      </c>
      <c r="E158" s="2108" t="s">
        <v>404</v>
      </c>
      <c r="F158" s="2108" t="s">
        <v>405</v>
      </c>
      <c r="G158" s="2080"/>
      <c r="H158" s="2080"/>
      <c r="I158" s="2080"/>
    </row>
    <row r="159" spans="1:10">
      <c r="A159" s="2092">
        <f>IF(未审附注之流动资产!A159="",0,未审附注之流动资产!A159)</f>
        <v>0</v>
      </c>
      <c r="B159" s="2113">
        <f>IF(未审附注之流动资产!B159="",0,未审附注之流动资产!B159)</f>
        <v>0</v>
      </c>
      <c r="C159" s="2113">
        <f>IF(未审附注之流动资产!C159="",0,未审附注之流动资产!C159)</f>
        <v>0</v>
      </c>
      <c r="D159" s="2085">
        <f>IF(未审附注之流动资产!D159="",0,未审附注之流动资产!D159)</f>
        <v>0</v>
      </c>
      <c r="E159" s="2113">
        <f>IF(未审附注之流动资产!E159="",0,未审附注之流动资产!E159)</f>
        <v>0</v>
      </c>
      <c r="F159" s="2085">
        <f>IF(未审附注之流动资产!F159="",0,未审附注之流动资产!F159)</f>
        <v>0</v>
      </c>
      <c r="G159" s="2080"/>
      <c r="H159" s="2080"/>
      <c r="I159" s="2080"/>
      <c r="J159" s="2118" t="s">
        <v>416</v>
      </c>
    </row>
    <row r="160" spans="1:10">
      <c r="A160" s="2092">
        <f>IF(未审附注之流动资产!A160="",0,未审附注之流动资产!A160)</f>
        <v>0</v>
      </c>
      <c r="B160" s="2113">
        <f>IF(未审附注之流动资产!B160="",0,未审附注之流动资产!B160)</f>
        <v>0</v>
      </c>
      <c r="C160" s="2113">
        <f>IF(未审附注之流动资产!C160="",0,未审附注之流动资产!C160)</f>
        <v>0</v>
      </c>
      <c r="D160" s="2085">
        <f>IF(未审附注之流动资产!D160="",0,未审附注之流动资产!D160)</f>
        <v>0</v>
      </c>
      <c r="E160" s="2113">
        <f>IF(未审附注之流动资产!E160="",0,未审附注之流动资产!E160)</f>
        <v>0</v>
      </c>
      <c r="F160" s="2085">
        <f>IF(未审附注之流动资产!F160="",0,未审附注之流动资产!F160)</f>
        <v>0</v>
      </c>
      <c r="G160" s="2080"/>
      <c r="H160" s="2080"/>
      <c r="I160" s="2080"/>
      <c r="J160" s="2118" t="s">
        <v>416</v>
      </c>
    </row>
    <row r="161" spans="1:10">
      <c r="A161" s="2092">
        <f>IF(未审附注之流动资产!A161="",0,未审附注之流动资产!A161)</f>
        <v>0</v>
      </c>
      <c r="B161" s="2113">
        <f>IF(未审附注之流动资产!B161="",0,未审附注之流动资产!B161)</f>
        <v>0</v>
      </c>
      <c r="C161" s="2113">
        <f>IF(未审附注之流动资产!C161="",0,未审附注之流动资产!C161)</f>
        <v>0</v>
      </c>
      <c r="D161" s="2085">
        <f>IF(未审附注之流动资产!D161="",0,未审附注之流动资产!D161)</f>
        <v>0</v>
      </c>
      <c r="E161" s="2113">
        <f>IF(未审附注之流动资产!E161="",0,未审附注之流动资产!E161)</f>
        <v>0</v>
      </c>
      <c r="F161" s="2085">
        <f>IF(未审附注之流动资产!F161="",0,未审附注之流动资产!F161)</f>
        <v>0</v>
      </c>
      <c r="G161" s="2080"/>
      <c r="H161" s="2080"/>
      <c r="I161" s="2080"/>
      <c r="J161" s="2118" t="s">
        <v>416</v>
      </c>
    </row>
    <row r="162" spans="1:10">
      <c r="A162" s="2092">
        <f>IF(未审附注之流动资产!A162="",0,未审附注之流动资产!A162)</f>
        <v>0</v>
      </c>
      <c r="B162" s="2113">
        <f>IF(未审附注之流动资产!B162="",0,未审附注之流动资产!B162)</f>
        <v>0</v>
      </c>
      <c r="C162" s="2113">
        <f>IF(未审附注之流动资产!C162="",0,未审附注之流动资产!C162)</f>
        <v>0</v>
      </c>
      <c r="D162" s="2085">
        <f>IF(未审附注之流动资产!D162="",0,未审附注之流动资产!D162)</f>
        <v>0</v>
      </c>
      <c r="E162" s="2113">
        <f>IF(未审附注之流动资产!E162="",0,未审附注之流动资产!E162)</f>
        <v>0</v>
      </c>
      <c r="F162" s="2085">
        <f>IF(未审附注之流动资产!F162="",0,未审附注之流动资产!F162)</f>
        <v>0</v>
      </c>
      <c r="G162" s="2080"/>
      <c r="H162" s="2080"/>
      <c r="I162" s="2080"/>
      <c r="J162" s="2118" t="s">
        <v>416</v>
      </c>
    </row>
    <row r="163" spans="1:10">
      <c r="A163" s="2092">
        <f>IF(未审附注之流动资产!A163="",0,未审附注之流动资产!A163)</f>
        <v>0</v>
      </c>
      <c r="B163" s="2113">
        <f>IF(未审附注之流动资产!B163="",0,未审附注之流动资产!B163)</f>
        <v>0</v>
      </c>
      <c r="C163" s="2113">
        <f>IF(未审附注之流动资产!C163="",0,未审附注之流动资产!C163)</f>
        <v>0</v>
      </c>
      <c r="D163" s="2085">
        <f>IF(未审附注之流动资产!D163="",0,未审附注之流动资产!D163)</f>
        <v>0</v>
      </c>
      <c r="E163" s="2113">
        <f>IF(未审附注之流动资产!E163="",0,未审附注之流动资产!E163)</f>
        <v>0</v>
      </c>
      <c r="F163" s="2085">
        <f>IF(未审附注之流动资产!F163="",0,未审附注之流动资产!F163)</f>
        <v>0</v>
      </c>
      <c r="G163" s="2080"/>
      <c r="H163" s="2080"/>
      <c r="I163" s="2080"/>
      <c r="J163" s="2118" t="s">
        <v>416</v>
      </c>
    </row>
    <row r="164" spans="1:10">
      <c r="A164" s="2092">
        <f>IF(未审附注之流动资产!A164="",0,未审附注之流动资产!A164)</f>
        <v>0</v>
      </c>
      <c r="B164" s="2113">
        <f>IF(未审附注之流动资产!B164="",0,未审附注之流动资产!B164)</f>
        <v>0</v>
      </c>
      <c r="C164" s="2113">
        <f>IF(未审附注之流动资产!C164="",0,未审附注之流动资产!C164)</f>
        <v>0</v>
      </c>
      <c r="D164" s="2085">
        <f>IF(未审附注之流动资产!D164="",0,未审附注之流动资产!D164)</f>
        <v>0</v>
      </c>
      <c r="E164" s="2113">
        <f>IF(未审附注之流动资产!E164="",0,未审附注之流动资产!E164)</f>
        <v>0</v>
      </c>
      <c r="F164" s="2085">
        <f>IF(未审附注之流动资产!F164="",0,未审附注之流动资产!F164)</f>
        <v>0</v>
      </c>
      <c r="G164" s="2080"/>
      <c r="H164" s="2080"/>
      <c r="I164" s="2080"/>
      <c r="J164" s="2118" t="s">
        <v>416</v>
      </c>
    </row>
    <row r="165" spans="1:10">
      <c r="A165" s="2092">
        <f>IF(未审附注之流动资产!A165="",0,未审附注之流动资产!A165)</f>
        <v>0</v>
      </c>
      <c r="B165" s="2113">
        <f>IF(未审附注之流动资产!B165="",0,未审附注之流动资产!B165)</f>
        <v>0</v>
      </c>
      <c r="C165" s="2113">
        <f>IF(未审附注之流动资产!C165="",0,未审附注之流动资产!C165)</f>
        <v>0</v>
      </c>
      <c r="D165" s="2085">
        <f>IF(未审附注之流动资产!D165="",0,未审附注之流动资产!D165)</f>
        <v>0</v>
      </c>
      <c r="E165" s="2113">
        <f>IF(未审附注之流动资产!E165="",0,未审附注之流动资产!E165)</f>
        <v>0</v>
      </c>
      <c r="F165" s="2085">
        <f>IF(未审附注之流动资产!F165="",0,未审附注之流动资产!F165)</f>
        <v>0</v>
      </c>
      <c r="G165" s="2080"/>
      <c r="H165" s="2080"/>
      <c r="I165" s="2080"/>
      <c r="J165" s="2118" t="s">
        <v>416</v>
      </c>
    </row>
    <row r="166" spans="1:10">
      <c r="A166" s="2092">
        <f>IF(未审附注之流动资产!A166="",0,未审附注之流动资产!A166)</f>
        <v>0</v>
      </c>
      <c r="B166" s="2113">
        <f>IF(未审附注之流动资产!B166="",0,未审附注之流动资产!B166)</f>
        <v>0</v>
      </c>
      <c r="C166" s="2113">
        <f>IF(未审附注之流动资产!C166="",0,未审附注之流动资产!C166)</f>
        <v>0</v>
      </c>
      <c r="D166" s="2085">
        <f>IF(未审附注之流动资产!D166="",0,未审附注之流动资产!D166)</f>
        <v>0</v>
      </c>
      <c r="E166" s="2113">
        <f>IF(未审附注之流动资产!E166="",0,未审附注之流动资产!E166)</f>
        <v>0</v>
      </c>
      <c r="F166" s="2085">
        <f>IF(未审附注之流动资产!F166="",0,未审附注之流动资产!F166)</f>
        <v>0</v>
      </c>
      <c r="G166" s="2080"/>
      <c r="H166" s="2080"/>
      <c r="I166" s="2080"/>
      <c r="J166" s="2118" t="s">
        <v>416</v>
      </c>
    </row>
    <row r="167" spans="1:10">
      <c r="A167" s="2092">
        <f>IF(未审附注之流动资产!A167="",0,未审附注之流动资产!A167)</f>
        <v>0</v>
      </c>
      <c r="B167" s="2113">
        <f>IF(未审附注之流动资产!B167="",0,未审附注之流动资产!B167)</f>
        <v>0</v>
      </c>
      <c r="C167" s="2113">
        <f>IF(未审附注之流动资产!C167="",0,未审附注之流动资产!C167)</f>
        <v>0</v>
      </c>
      <c r="D167" s="2085">
        <f>IF(未审附注之流动资产!D167="",0,未审附注之流动资产!D167)</f>
        <v>0</v>
      </c>
      <c r="E167" s="2113">
        <f>IF(未审附注之流动资产!E167="",0,未审附注之流动资产!E167)</f>
        <v>0</v>
      </c>
      <c r="F167" s="2085">
        <f>IF(未审附注之流动资产!F167="",0,未审附注之流动资产!F167)</f>
        <v>0</v>
      </c>
      <c r="G167" s="2080"/>
      <c r="H167" s="2080"/>
      <c r="I167" s="2080"/>
      <c r="J167" s="2118" t="s">
        <v>416</v>
      </c>
    </row>
    <row r="168" spans="1:10">
      <c r="A168" s="2092">
        <f>IF(未审附注之流动资产!A168="",0,未审附注之流动资产!A168)</f>
        <v>0</v>
      </c>
      <c r="B168" s="2113">
        <f>IF(未审附注之流动资产!B168="",0,未审附注之流动资产!B168)</f>
        <v>0</v>
      </c>
      <c r="C168" s="2113">
        <f>IF(未审附注之流动资产!C168="",0,未审附注之流动资产!C168)</f>
        <v>0</v>
      </c>
      <c r="D168" s="2085">
        <f>IF(未审附注之流动资产!D168="",0,未审附注之流动资产!D168)</f>
        <v>0</v>
      </c>
      <c r="E168" s="2113">
        <f>IF(未审附注之流动资产!E168="",0,未审附注之流动资产!E168)</f>
        <v>0</v>
      </c>
      <c r="F168" s="2085">
        <f>IF(未审附注之流动资产!F168="",0,未审附注之流动资产!F168)</f>
        <v>0</v>
      </c>
      <c r="G168" s="2080"/>
      <c r="H168" s="2080"/>
      <c r="I168" s="2080"/>
      <c r="J168" s="2118" t="s">
        <v>416</v>
      </c>
    </row>
    <row r="169" spans="1:10">
      <c r="A169" s="2082" t="s">
        <v>346</v>
      </c>
      <c r="B169" s="2098"/>
      <c r="C169" s="2098"/>
      <c r="D169" s="2048">
        <f>ROUND(SUM(D159:D168),2)</f>
        <v>0</v>
      </c>
      <c r="E169" s="2098"/>
      <c r="F169" s="2048">
        <f>ROUND(SUM(F159:F168),2)</f>
        <v>0</v>
      </c>
      <c r="G169" s="2080"/>
      <c r="H169" s="2080"/>
      <c r="I169" s="2080"/>
      <c r="J169" s="2118" t="s">
        <v>417</v>
      </c>
    </row>
    <row r="170" spans="1:9">
      <c r="A170" s="2103"/>
      <c r="B170" s="2080"/>
      <c r="C170" s="2080"/>
      <c r="D170" s="2080"/>
      <c r="E170" s="2080"/>
      <c r="F170" s="2080"/>
      <c r="G170" s="2080"/>
      <c r="H170" s="2080"/>
      <c r="I170" s="2080"/>
    </row>
    <row r="171" spans="1:9">
      <c r="A171" s="2103"/>
      <c r="B171" s="2080"/>
      <c r="C171" s="2080"/>
      <c r="D171" s="2080"/>
      <c r="E171" s="2080"/>
      <c r="F171" s="2080"/>
      <c r="G171" s="2080"/>
      <c r="H171" s="2080"/>
      <c r="I171" s="2080"/>
    </row>
    <row r="172" spans="1:9">
      <c r="A172" s="2081" t="s">
        <v>418</v>
      </c>
      <c r="B172" s="2080"/>
      <c r="C172" s="2080"/>
      <c r="D172" s="2080"/>
      <c r="E172" s="2080"/>
      <c r="F172" s="2080"/>
      <c r="G172" s="2080"/>
      <c r="H172" s="2080"/>
      <c r="I172" s="2080"/>
    </row>
    <row r="173" spans="1:9">
      <c r="A173" s="2082" t="s">
        <v>419</v>
      </c>
      <c r="B173" s="2082" t="s">
        <v>315</v>
      </c>
      <c r="C173" s="2082" t="s">
        <v>316</v>
      </c>
      <c r="D173" s="2108" t="s">
        <v>420</v>
      </c>
      <c r="E173" s="2108" t="s">
        <v>421</v>
      </c>
      <c r="F173" s="2108" t="s">
        <v>422</v>
      </c>
      <c r="G173" s="2080"/>
      <c r="H173" s="2080"/>
      <c r="I173" s="2080"/>
    </row>
    <row r="174" spans="1:9">
      <c r="A174" s="2129" t="s">
        <v>423</v>
      </c>
      <c r="B174" s="2082"/>
      <c r="C174" s="2082"/>
      <c r="D174" s="2124"/>
      <c r="E174" s="2108"/>
      <c r="F174" s="2082"/>
      <c r="G174" s="2080"/>
      <c r="H174" s="2080"/>
      <c r="I174" s="2080"/>
    </row>
    <row r="175" spans="1:10">
      <c r="A175" s="2092">
        <f>IF(未审附注之流动资产!A175="",0,未审附注之流动资产!A175)</f>
        <v>0</v>
      </c>
      <c r="B175" s="2085">
        <f>IF(未审附注之流动资产!B175="",0,未审附注之流动资产!B175)</f>
        <v>0</v>
      </c>
      <c r="C175" s="2085">
        <f>IF(未审附注之流动资产!C175="",0,未审附注之流动资产!C175)</f>
        <v>0</v>
      </c>
      <c r="D175" s="2092">
        <f>IF(未审附注之流动资产!D175="",0,未审附注之流动资产!D175)</f>
        <v>0</v>
      </c>
      <c r="E175" s="2092">
        <f>IF(未审附注之流动资产!E175="",0,未审附注之流动资产!E175)</f>
        <v>0</v>
      </c>
      <c r="F175" s="2085">
        <f>IF(未审附注之流动资产!F175="",0,未审附注之流动资产!F175)</f>
        <v>0</v>
      </c>
      <c r="G175" s="2080"/>
      <c r="H175" s="2080"/>
      <c r="I175" s="2080"/>
      <c r="J175" s="2118" t="s">
        <v>424</v>
      </c>
    </row>
    <row r="176" spans="1:10">
      <c r="A176" s="2092">
        <f>IF(未审附注之流动资产!A176="",0,未审附注之流动资产!A176)</f>
        <v>0</v>
      </c>
      <c r="B176" s="2085">
        <f>IF(未审附注之流动资产!B176="",0,未审附注之流动资产!B176)</f>
        <v>0</v>
      </c>
      <c r="C176" s="2085">
        <f>IF(未审附注之流动资产!C176="",0,未审附注之流动资产!C176)</f>
        <v>0</v>
      </c>
      <c r="D176" s="2092">
        <f>IF(未审附注之流动资产!D176="",0,未审附注之流动资产!D176)</f>
        <v>0</v>
      </c>
      <c r="E176" s="2092">
        <f>IF(未审附注之流动资产!E176="",0,未审附注之流动资产!E176)</f>
        <v>0</v>
      </c>
      <c r="F176" s="2085">
        <f>IF(未审附注之流动资产!F176="",0,未审附注之流动资产!F176)</f>
        <v>0</v>
      </c>
      <c r="G176" s="2080"/>
      <c r="H176" s="2080"/>
      <c r="I176" s="2080"/>
      <c r="J176" s="2118" t="s">
        <v>424</v>
      </c>
    </row>
    <row r="177" spans="1:10">
      <c r="A177" s="2092">
        <f>IF(未审附注之流动资产!A177="",0,未审附注之流动资产!A177)</f>
        <v>0</v>
      </c>
      <c r="B177" s="2085">
        <f>IF(未审附注之流动资产!B177="",0,未审附注之流动资产!B177)</f>
        <v>0</v>
      </c>
      <c r="C177" s="2085">
        <f>IF(未审附注之流动资产!C177="",0,未审附注之流动资产!C177)</f>
        <v>0</v>
      </c>
      <c r="D177" s="2092">
        <f>IF(未审附注之流动资产!D177="",0,未审附注之流动资产!D177)</f>
        <v>0</v>
      </c>
      <c r="E177" s="2092">
        <f>IF(未审附注之流动资产!E177="",0,未审附注之流动资产!E177)</f>
        <v>0</v>
      </c>
      <c r="F177" s="2085">
        <f>IF(未审附注之流动资产!F177="",0,未审附注之流动资产!F177)</f>
        <v>0</v>
      </c>
      <c r="G177" s="2080"/>
      <c r="H177" s="2080"/>
      <c r="I177" s="2080"/>
      <c r="J177" s="2118" t="s">
        <v>424</v>
      </c>
    </row>
    <row r="178" spans="1:10">
      <c r="A178" s="2092">
        <f>IF(未审附注之流动资产!A178="",0,未审附注之流动资产!A178)</f>
        <v>0</v>
      </c>
      <c r="B178" s="2085">
        <f>IF(未审附注之流动资产!B178="",0,未审附注之流动资产!B178)</f>
        <v>0</v>
      </c>
      <c r="C178" s="2085">
        <f>IF(未审附注之流动资产!C178="",0,未审附注之流动资产!C178)</f>
        <v>0</v>
      </c>
      <c r="D178" s="2092">
        <f>IF(未审附注之流动资产!D178="",0,未审附注之流动资产!D178)</f>
        <v>0</v>
      </c>
      <c r="E178" s="2092">
        <f>IF(未审附注之流动资产!E178="",0,未审附注之流动资产!E178)</f>
        <v>0</v>
      </c>
      <c r="F178" s="2085">
        <f>IF(未审附注之流动资产!F178="",0,未审附注之流动资产!F178)</f>
        <v>0</v>
      </c>
      <c r="G178" s="2080"/>
      <c r="H178" s="2080"/>
      <c r="I178" s="2080"/>
      <c r="J178" s="2118" t="s">
        <v>424</v>
      </c>
    </row>
    <row r="179" spans="1:10">
      <c r="A179" s="2092">
        <f>IF(未审附注之流动资产!A179="",0,未审附注之流动资产!A179)</f>
        <v>0</v>
      </c>
      <c r="B179" s="2085">
        <f>IF(未审附注之流动资产!B179="",0,未审附注之流动资产!B179)</f>
        <v>0</v>
      </c>
      <c r="C179" s="2085">
        <f>IF(未审附注之流动资产!C179="",0,未审附注之流动资产!C179)</f>
        <v>0</v>
      </c>
      <c r="D179" s="2092">
        <f>IF(未审附注之流动资产!D179="",0,未审附注之流动资产!D179)</f>
        <v>0</v>
      </c>
      <c r="E179" s="2092">
        <f>IF(未审附注之流动资产!E179="",0,未审附注之流动资产!E179)</f>
        <v>0</v>
      </c>
      <c r="F179" s="2085">
        <f>IF(未审附注之流动资产!F179="",0,未审附注之流动资产!F179)</f>
        <v>0</v>
      </c>
      <c r="G179" s="2080"/>
      <c r="H179" s="2080"/>
      <c r="I179" s="2080"/>
      <c r="J179" s="2118" t="s">
        <v>424</v>
      </c>
    </row>
    <row r="180" spans="1:10">
      <c r="A180" s="2092">
        <f>IF(未审附注之流动资产!A180="",0,未审附注之流动资产!A180)</f>
        <v>0</v>
      </c>
      <c r="B180" s="2085">
        <f>IF(未审附注之流动资产!B180="",0,未审附注之流动资产!B180)</f>
        <v>0</v>
      </c>
      <c r="C180" s="2085">
        <f>IF(未审附注之流动资产!C180="",0,未审附注之流动资产!C180)</f>
        <v>0</v>
      </c>
      <c r="D180" s="2092">
        <f>IF(未审附注之流动资产!D180="",0,未审附注之流动资产!D180)</f>
        <v>0</v>
      </c>
      <c r="E180" s="2092">
        <f>IF(未审附注之流动资产!E180="",0,未审附注之流动资产!E180)</f>
        <v>0</v>
      </c>
      <c r="F180" s="2085">
        <f>IF(未审附注之流动资产!F180="",0,未审附注之流动资产!F180)</f>
        <v>0</v>
      </c>
      <c r="G180" s="2080"/>
      <c r="H180" s="2080"/>
      <c r="I180" s="2080"/>
      <c r="J180" s="2118" t="s">
        <v>424</v>
      </c>
    </row>
    <row r="181" spans="1:10">
      <c r="A181" s="2092">
        <f>IF(未审附注之流动资产!A181="",0,未审附注之流动资产!A181)</f>
        <v>0</v>
      </c>
      <c r="B181" s="2085">
        <f>IF(未审附注之流动资产!B181="",0,未审附注之流动资产!B181)</f>
        <v>0</v>
      </c>
      <c r="C181" s="2085">
        <f>IF(未审附注之流动资产!C181="",0,未审附注之流动资产!C181)</f>
        <v>0</v>
      </c>
      <c r="D181" s="2092">
        <f>IF(未审附注之流动资产!D181="",0,未审附注之流动资产!D181)</f>
        <v>0</v>
      </c>
      <c r="E181" s="2092">
        <f>IF(未审附注之流动资产!E181="",0,未审附注之流动资产!E181)</f>
        <v>0</v>
      </c>
      <c r="F181" s="2085">
        <f>IF(未审附注之流动资产!F181="",0,未审附注之流动资产!F181)</f>
        <v>0</v>
      </c>
      <c r="G181" s="2080"/>
      <c r="H181" s="2080"/>
      <c r="I181" s="2080"/>
      <c r="J181" s="2118" t="s">
        <v>424</v>
      </c>
    </row>
    <row r="182" spans="1:10">
      <c r="A182" s="2092">
        <f>IF(未审附注之流动资产!A182="",0,未审附注之流动资产!A182)</f>
        <v>0</v>
      </c>
      <c r="B182" s="2085">
        <f>IF(未审附注之流动资产!B182="",0,未审附注之流动资产!B182)</f>
        <v>0</v>
      </c>
      <c r="C182" s="2085">
        <f>IF(未审附注之流动资产!C182="",0,未审附注之流动资产!C182)</f>
        <v>0</v>
      </c>
      <c r="D182" s="2092">
        <f>IF(未审附注之流动资产!D182="",0,未审附注之流动资产!D182)</f>
        <v>0</v>
      </c>
      <c r="E182" s="2092">
        <f>IF(未审附注之流动资产!E182="",0,未审附注之流动资产!E182)</f>
        <v>0</v>
      </c>
      <c r="F182" s="2085">
        <f>IF(未审附注之流动资产!F182="",0,未审附注之流动资产!F182)</f>
        <v>0</v>
      </c>
      <c r="G182" s="2080"/>
      <c r="H182" s="2080"/>
      <c r="I182" s="2080"/>
      <c r="J182" s="2118" t="s">
        <v>424</v>
      </c>
    </row>
    <row r="183" spans="1:10">
      <c r="A183" s="2092">
        <f>IF(未审附注之流动资产!A183="",0,未审附注之流动资产!A183)</f>
        <v>0</v>
      </c>
      <c r="B183" s="2085">
        <f>IF(未审附注之流动资产!B183="",0,未审附注之流动资产!B183)</f>
        <v>0</v>
      </c>
      <c r="C183" s="2085">
        <f>IF(未审附注之流动资产!C183="",0,未审附注之流动资产!C183)</f>
        <v>0</v>
      </c>
      <c r="D183" s="2092">
        <f>IF(未审附注之流动资产!D183="",0,未审附注之流动资产!D183)</f>
        <v>0</v>
      </c>
      <c r="E183" s="2092">
        <f>IF(未审附注之流动资产!E183="",0,未审附注之流动资产!E183)</f>
        <v>0</v>
      </c>
      <c r="F183" s="2085">
        <f>IF(未审附注之流动资产!F183="",0,未审附注之流动资产!F183)</f>
        <v>0</v>
      </c>
      <c r="G183" s="2080"/>
      <c r="H183" s="2080"/>
      <c r="I183" s="2080"/>
      <c r="J183" s="2118" t="s">
        <v>424</v>
      </c>
    </row>
    <row r="184" spans="1:10">
      <c r="A184" s="2092">
        <f>IF(未审附注之流动资产!A184="",0,未审附注之流动资产!A184)</f>
        <v>0</v>
      </c>
      <c r="B184" s="2085">
        <f>IF(未审附注之流动资产!B184="",0,未审附注之流动资产!B184)</f>
        <v>0</v>
      </c>
      <c r="C184" s="2085">
        <f>IF(未审附注之流动资产!C184="",0,未审附注之流动资产!C184)</f>
        <v>0</v>
      </c>
      <c r="D184" s="2092">
        <f>IF(未审附注之流动资产!D184="",0,未审附注之流动资产!D184)</f>
        <v>0</v>
      </c>
      <c r="E184" s="2092">
        <f>IF(未审附注之流动资产!E184="",0,未审附注之流动资产!E184)</f>
        <v>0</v>
      </c>
      <c r="F184" s="2085">
        <f>IF(未审附注之流动资产!F184="",0,未审附注之流动资产!F184)</f>
        <v>0</v>
      </c>
      <c r="G184" s="2080"/>
      <c r="H184" s="2080"/>
      <c r="I184" s="2080"/>
      <c r="J184" s="2118" t="s">
        <v>424</v>
      </c>
    </row>
    <row r="185" spans="1:10">
      <c r="A185" s="2082" t="s">
        <v>425</v>
      </c>
      <c r="B185" s="2048">
        <f>ROUND(SUM(B175:B184),2)</f>
        <v>0</v>
      </c>
      <c r="C185" s="2048">
        <f>ROUND(SUM(C175:C184),2)</f>
        <v>0</v>
      </c>
      <c r="D185" s="2098"/>
      <c r="E185" s="2048"/>
      <c r="F185" s="2048">
        <f>ROUND(SUM(F175:F184),2)</f>
        <v>0</v>
      </c>
      <c r="G185" s="2080"/>
      <c r="H185" s="2080"/>
      <c r="I185" s="2080"/>
      <c r="J185" s="2118" t="s">
        <v>426</v>
      </c>
    </row>
    <row r="186" spans="1:9">
      <c r="A186" s="2087"/>
      <c r="B186" s="2098"/>
      <c r="C186" s="2098"/>
      <c r="D186" s="2098"/>
      <c r="E186" s="2098"/>
      <c r="F186" s="2098"/>
      <c r="G186" s="2080"/>
      <c r="H186" s="2080"/>
      <c r="I186" s="2080"/>
    </row>
    <row r="187" spans="1:9">
      <c r="A187" s="2129" t="s">
        <v>427</v>
      </c>
      <c r="B187" s="2082"/>
      <c r="C187" s="2082"/>
      <c r="D187" s="2124"/>
      <c r="E187" s="2108"/>
      <c r="F187" s="2124"/>
      <c r="G187" s="2080"/>
      <c r="H187" s="2080"/>
      <c r="I187" s="2080"/>
    </row>
    <row r="188" spans="1:10">
      <c r="A188" s="2092">
        <f>IF(未审附注之流动资产!A188="",0,未审附注之流动资产!A188)</f>
        <v>0</v>
      </c>
      <c r="B188" s="2085">
        <f>IF(未审附注之流动资产!B188="",0,未审附注之流动资产!B188)</f>
        <v>0</v>
      </c>
      <c r="C188" s="2085">
        <f>IF(未审附注之流动资产!C188="",0,未审附注之流动资产!C188)</f>
        <v>0</v>
      </c>
      <c r="D188" s="2092">
        <f>IF(未审附注之流动资产!D188="",0,未审附注之流动资产!D188)</f>
        <v>0</v>
      </c>
      <c r="E188" s="2092">
        <f>IF(未审附注之流动资产!E188="",0,未审附注之流动资产!E188)</f>
        <v>0</v>
      </c>
      <c r="F188" s="2085">
        <f>IF(未审附注之流动资产!F188="",0,未审附注之流动资产!F188)</f>
        <v>0</v>
      </c>
      <c r="G188" s="2080"/>
      <c r="H188" s="2080"/>
      <c r="I188" s="2080"/>
      <c r="J188" s="2118" t="s">
        <v>428</v>
      </c>
    </row>
    <row r="189" spans="1:10">
      <c r="A189" s="2092">
        <f>IF(未审附注之流动资产!A189="",0,未审附注之流动资产!A189)</f>
        <v>0</v>
      </c>
      <c r="B189" s="2085">
        <f>IF(未审附注之流动资产!B189="",0,未审附注之流动资产!B189)</f>
        <v>0</v>
      </c>
      <c r="C189" s="2085">
        <f>IF(未审附注之流动资产!C189="",0,未审附注之流动资产!C189)</f>
        <v>0</v>
      </c>
      <c r="D189" s="2092">
        <f>IF(未审附注之流动资产!D189="",0,未审附注之流动资产!D189)</f>
        <v>0</v>
      </c>
      <c r="E189" s="2092">
        <f>IF(未审附注之流动资产!E189="",0,未审附注之流动资产!E189)</f>
        <v>0</v>
      </c>
      <c r="F189" s="2085">
        <f>IF(未审附注之流动资产!F189="",0,未审附注之流动资产!F189)</f>
        <v>0</v>
      </c>
      <c r="G189" s="2080"/>
      <c r="H189" s="2080"/>
      <c r="I189" s="2080"/>
      <c r="J189" s="2118" t="s">
        <v>428</v>
      </c>
    </row>
    <row r="190" spans="1:10">
      <c r="A190" s="2092">
        <f>IF(未审附注之流动资产!A190="",0,未审附注之流动资产!A190)</f>
        <v>0</v>
      </c>
      <c r="B190" s="2085">
        <f>IF(未审附注之流动资产!B190="",0,未审附注之流动资产!B190)</f>
        <v>0</v>
      </c>
      <c r="C190" s="2085">
        <f>IF(未审附注之流动资产!C190="",0,未审附注之流动资产!C190)</f>
        <v>0</v>
      </c>
      <c r="D190" s="2092">
        <f>IF(未审附注之流动资产!D190="",0,未审附注之流动资产!D190)</f>
        <v>0</v>
      </c>
      <c r="E190" s="2092">
        <f>IF(未审附注之流动资产!E190="",0,未审附注之流动资产!E190)</f>
        <v>0</v>
      </c>
      <c r="F190" s="2085">
        <f>IF(未审附注之流动资产!F190="",0,未审附注之流动资产!F190)</f>
        <v>0</v>
      </c>
      <c r="G190" s="2080"/>
      <c r="H190" s="2080"/>
      <c r="I190" s="2080"/>
      <c r="J190" s="2118" t="s">
        <v>428</v>
      </c>
    </row>
    <row r="191" spans="1:10">
      <c r="A191" s="2092">
        <f>IF(未审附注之流动资产!A191="",0,未审附注之流动资产!A191)</f>
        <v>0</v>
      </c>
      <c r="B191" s="2085">
        <f>IF(未审附注之流动资产!B191="",0,未审附注之流动资产!B191)</f>
        <v>0</v>
      </c>
      <c r="C191" s="2085">
        <f>IF(未审附注之流动资产!C191="",0,未审附注之流动资产!C191)</f>
        <v>0</v>
      </c>
      <c r="D191" s="2092">
        <f>IF(未审附注之流动资产!D191="",0,未审附注之流动资产!D191)</f>
        <v>0</v>
      </c>
      <c r="E191" s="2092">
        <f>IF(未审附注之流动资产!E191="",0,未审附注之流动资产!E191)</f>
        <v>0</v>
      </c>
      <c r="F191" s="2085">
        <f>IF(未审附注之流动资产!F191="",0,未审附注之流动资产!F191)</f>
        <v>0</v>
      </c>
      <c r="G191" s="2080"/>
      <c r="H191" s="2080"/>
      <c r="I191" s="2080"/>
      <c r="J191" s="2118" t="s">
        <v>428</v>
      </c>
    </row>
    <row r="192" spans="1:10">
      <c r="A192" s="2092">
        <f>IF(未审附注之流动资产!A192="",0,未审附注之流动资产!A192)</f>
        <v>0</v>
      </c>
      <c r="B192" s="2085">
        <f>IF(未审附注之流动资产!B192="",0,未审附注之流动资产!B192)</f>
        <v>0</v>
      </c>
      <c r="C192" s="2085">
        <f>IF(未审附注之流动资产!C192="",0,未审附注之流动资产!C192)</f>
        <v>0</v>
      </c>
      <c r="D192" s="2092">
        <f>IF(未审附注之流动资产!D192="",0,未审附注之流动资产!D192)</f>
        <v>0</v>
      </c>
      <c r="E192" s="2092">
        <f>IF(未审附注之流动资产!E192="",0,未审附注之流动资产!E192)</f>
        <v>0</v>
      </c>
      <c r="F192" s="2085">
        <f>IF(未审附注之流动资产!F192="",0,未审附注之流动资产!F192)</f>
        <v>0</v>
      </c>
      <c r="G192" s="2080"/>
      <c r="H192" s="2080"/>
      <c r="I192" s="2080"/>
      <c r="J192" s="2118" t="s">
        <v>428</v>
      </c>
    </row>
    <row r="193" spans="1:10">
      <c r="A193" s="2092">
        <f>IF(未审附注之流动资产!A193="",0,未审附注之流动资产!A193)</f>
        <v>0</v>
      </c>
      <c r="B193" s="2085">
        <f>IF(未审附注之流动资产!B193="",0,未审附注之流动资产!B193)</f>
        <v>0</v>
      </c>
      <c r="C193" s="2085">
        <f>IF(未审附注之流动资产!C193="",0,未审附注之流动资产!C193)</f>
        <v>0</v>
      </c>
      <c r="D193" s="2092">
        <f>IF(未审附注之流动资产!D193="",0,未审附注之流动资产!D193)</f>
        <v>0</v>
      </c>
      <c r="E193" s="2092">
        <f>IF(未审附注之流动资产!E193="",0,未审附注之流动资产!E193)</f>
        <v>0</v>
      </c>
      <c r="F193" s="2085">
        <f>IF(未审附注之流动资产!F193="",0,未审附注之流动资产!F193)</f>
        <v>0</v>
      </c>
      <c r="G193" s="2080"/>
      <c r="H193" s="2080"/>
      <c r="I193" s="2080"/>
      <c r="J193" s="2118" t="s">
        <v>428</v>
      </c>
    </row>
    <row r="194" spans="1:10">
      <c r="A194" s="2092">
        <f>IF(未审附注之流动资产!A194="",0,未审附注之流动资产!A194)</f>
        <v>0</v>
      </c>
      <c r="B194" s="2085">
        <f>IF(未审附注之流动资产!B194="",0,未审附注之流动资产!B194)</f>
        <v>0</v>
      </c>
      <c r="C194" s="2085">
        <f>IF(未审附注之流动资产!C194="",0,未审附注之流动资产!C194)</f>
        <v>0</v>
      </c>
      <c r="D194" s="2092">
        <f>IF(未审附注之流动资产!D194="",0,未审附注之流动资产!D194)</f>
        <v>0</v>
      </c>
      <c r="E194" s="2092">
        <f>IF(未审附注之流动资产!E194="",0,未审附注之流动资产!E194)</f>
        <v>0</v>
      </c>
      <c r="F194" s="2085">
        <f>IF(未审附注之流动资产!F194="",0,未审附注之流动资产!F194)</f>
        <v>0</v>
      </c>
      <c r="G194" s="2080"/>
      <c r="H194" s="2080"/>
      <c r="I194" s="2080"/>
      <c r="J194" s="2118" t="s">
        <v>428</v>
      </c>
    </row>
    <row r="195" spans="1:10">
      <c r="A195" s="2092">
        <f>IF(未审附注之流动资产!A195="",0,未审附注之流动资产!A195)</f>
        <v>0</v>
      </c>
      <c r="B195" s="2085">
        <f>IF(未审附注之流动资产!B195="",0,未审附注之流动资产!B195)</f>
        <v>0</v>
      </c>
      <c r="C195" s="2085">
        <f>IF(未审附注之流动资产!C195="",0,未审附注之流动资产!C195)</f>
        <v>0</v>
      </c>
      <c r="D195" s="2092">
        <f>IF(未审附注之流动资产!D195="",0,未审附注之流动资产!D195)</f>
        <v>0</v>
      </c>
      <c r="E195" s="2092">
        <f>IF(未审附注之流动资产!E195="",0,未审附注之流动资产!E195)</f>
        <v>0</v>
      </c>
      <c r="F195" s="2085">
        <f>IF(未审附注之流动资产!F195="",0,未审附注之流动资产!F195)</f>
        <v>0</v>
      </c>
      <c r="G195" s="2080"/>
      <c r="H195" s="2080"/>
      <c r="I195" s="2080"/>
      <c r="J195" s="2118" t="s">
        <v>428</v>
      </c>
    </row>
    <row r="196" spans="1:10">
      <c r="A196" s="2092">
        <f>IF(未审附注之流动资产!A196="",0,未审附注之流动资产!A196)</f>
        <v>0</v>
      </c>
      <c r="B196" s="2085">
        <f>IF(未审附注之流动资产!B196="",0,未审附注之流动资产!B196)</f>
        <v>0</v>
      </c>
      <c r="C196" s="2085">
        <f>IF(未审附注之流动资产!C196="",0,未审附注之流动资产!C196)</f>
        <v>0</v>
      </c>
      <c r="D196" s="2092">
        <f>IF(未审附注之流动资产!D196="",0,未审附注之流动资产!D196)</f>
        <v>0</v>
      </c>
      <c r="E196" s="2092">
        <f>IF(未审附注之流动资产!E196="",0,未审附注之流动资产!E196)</f>
        <v>0</v>
      </c>
      <c r="F196" s="2085">
        <f>IF(未审附注之流动资产!F196="",0,未审附注之流动资产!F196)</f>
        <v>0</v>
      </c>
      <c r="G196" s="2080"/>
      <c r="H196" s="2080"/>
      <c r="I196" s="2080"/>
      <c r="J196" s="2118" t="s">
        <v>428</v>
      </c>
    </row>
    <row r="197" spans="1:10">
      <c r="A197" s="2092">
        <f>IF(未审附注之流动资产!A197="",0,未审附注之流动资产!A197)</f>
        <v>0</v>
      </c>
      <c r="B197" s="2085">
        <f>IF(未审附注之流动资产!B197="",0,未审附注之流动资产!B197)</f>
        <v>0</v>
      </c>
      <c r="C197" s="2085">
        <f>IF(未审附注之流动资产!C197="",0,未审附注之流动资产!C197)</f>
        <v>0</v>
      </c>
      <c r="D197" s="2092">
        <f>IF(未审附注之流动资产!D197="",0,未审附注之流动资产!D197)</f>
        <v>0</v>
      </c>
      <c r="E197" s="2092">
        <f>IF(未审附注之流动资产!E197="",0,未审附注之流动资产!E197)</f>
        <v>0</v>
      </c>
      <c r="F197" s="2085">
        <f>IF(未审附注之流动资产!F197="",0,未审附注之流动资产!F197)</f>
        <v>0</v>
      </c>
      <c r="G197" s="2080"/>
      <c r="H197" s="2080"/>
      <c r="I197" s="2080"/>
      <c r="J197" s="2118" t="s">
        <v>428</v>
      </c>
    </row>
    <row r="198" spans="1:10">
      <c r="A198" s="2082" t="s">
        <v>425</v>
      </c>
      <c r="B198" s="2048">
        <f>ROUND(SUM(B188:B197),2)</f>
        <v>0</v>
      </c>
      <c r="C198" s="2048">
        <f>ROUND(SUM(C188:C197),2)</f>
        <v>0</v>
      </c>
      <c r="D198" s="2098"/>
      <c r="E198" s="2048"/>
      <c r="F198" s="2048">
        <f>ROUND(SUM(F188:F197),2)</f>
        <v>0</v>
      </c>
      <c r="G198" s="2080"/>
      <c r="H198" s="2080"/>
      <c r="I198" s="2080"/>
      <c r="J198" s="2118" t="s">
        <v>429</v>
      </c>
    </row>
    <row r="199" spans="1:9">
      <c r="A199" s="2087"/>
      <c r="B199" s="2098"/>
      <c r="C199" s="2098"/>
      <c r="D199" s="2098"/>
      <c r="E199" s="2098"/>
      <c r="F199" s="2098"/>
      <c r="G199" s="2080"/>
      <c r="H199" s="2080"/>
      <c r="I199" s="2080"/>
    </row>
    <row r="200" spans="1:10">
      <c r="A200" s="2082" t="s">
        <v>346</v>
      </c>
      <c r="B200" s="2048">
        <f>ROUND(B185+B198,2)</f>
        <v>0</v>
      </c>
      <c r="C200" s="2048">
        <f>ROUND(C185+C198,2)</f>
        <v>0</v>
      </c>
      <c r="D200" s="2098"/>
      <c r="E200" s="2048"/>
      <c r="F200" s="2048">
        <f>ROUND(F185+F198,2)</f>
        <v>0</v>
      </c>
      <c r="G200" s="2080"/>
      <c r="H200" s="2080"/>
      <c r="I200" s="2080"/>
      <c r="J200" s="2118" t="s">
        <v>430</v>
      </c>
    </row>
    <row r="201" spans="1:9">
      <c r="A201" s="2103"/>
      <c r="B201" s="2080"/>
      <c r="C201" s="2080"/>
      <c r="D201" s="2080"/>
      <c r="E201" s="2080"/>
      <c r="F201" s="2080"/>
      <c r="G201" s="2080"/>
      <c r="H201" s="2080"/>
      <c r="I201" s="2080"/>
    </row>
    <row r="202" spans="1:9">
      <c r="A202" s="2103"/>
      <c r="B202" s="2080"/>
      <c r="C202" s="2080"/>
      <c r="D202" s="2080"/>
      <c r="E202" s="2080"/>
      <c r="F202" s="2080"/>
      <c r="G202" s="2080"/>
      <c r="H202" s="2080"/>
      <c r="I202" s="2080"/>
    </row>
    <row r="203" spans="1:9">
      <c r="A203" s="2081" t="s">
        <v>431</v>
      </c>
      <c r="B203" s="2080"/>
      <c r="C203" s="2080"/>
      <c r="D203" s="2080"/>
      <c r="E203" s="2080"/>
      <c r="F203" s="2080"/>
      <c r="G203" s="2080"/>
      <c r="H203" s="2080"/>
      <c r="I203" s="2080"/>
    </row>
    <row r="204" spans="1:9">
      <c r="A204" s="2082" t="s">
        <v>432</v>
      </c>
      <c r="B204" s="2082" t="s">
        <v>315</v>
      </c>
      <c r="C204" s="2082" t="s">
        <v>316</v>
      </c>
      <c r="D204" s="2108" t="s">
        <v>420</v>
      </c>
      <c r="E204" s="2108" t="s">
        <v>421</v>
      </c>
      <c r="F204" s="2108" t="s">
        <v>422</v>
      </c>
      <c r="G204" s="2080"/>
      <c r="H204" s="2080"/>
      <c r="I204" s="2080"/>
    </row>
    <row r="205" spans="1:9">
      <c r="A205" s="2129" t="s">
        <v>433</v>
      </c>
      <c r="B205" s="2082"/>
      <c r="C205" s="2082"/>
      <c r="D205" s="2124"/>
      <c r="E205" s="2108"/>
      <c r="F205" s="2082"/>
      <c r="G205" s="2080"/>
      <c r="H205" s="2080"/>
      <c r="I205" s="2080"/>
    </row>
    <row r="206" spans="1:10">
      <c r="A206" s="2092">
        <f>IF(未审附注之流动资产!A206="",0,未审附注之流动资产!A206)</f>
        <v>0</v>
      </c>
      <c r="B206" s="2085">
        <f>IF(未审附注之流动资产!B206="",0,未审附注之流动资产!B206)</f>
        <v>0</v>
      </c>
      <c r="C206" s="2085">
        <f>IF(未审附注之流动资产!C206="",0,未审附注之流动资产!C206)</f>
        <v>0</v>
      </c>
      <c r="D206" s="2092">
        <f>IF(未审附注之流动资产!D206="",0,未审附注之流动资产!D206)</f>
        <v>0</v>
      </c>
      <c r="E206" s="2092">
        <f>IF(未审附注之流动资产!E206="",0,未审附注之流动资产!E206)</f>
        <v>0</v>
      </c>
      <c r="F206" s="2085">
        <f>IF(未审附注之流动资产!F206="",0,未审附注之流动资产!F206)</f>
        <v>0</v>
      </c>
      <c r="G206" s="2080"/>
      <c r="H206" s="2080"/>
      <c r="I206" s="2080"/>
      <c r="J206" s="2118" t="s">
        <v>434</v>
      </c>
    </row>
    <row r="207" spans="1:10">
      <c r="A207" s="2092">
        <f>IF(未审附注之流动资产!A207="",0,未审附注之流动资产!A207)</f>
        <v>0</v>
      </c>
      <c r="B207" s="2085">
        <f>IF(未审附注之流动资产!B207="",0,未审附注之流动资产!B207)</f>
        <v>0</v>
      </c>
      <c r="C207" s="2085">
        <f>IF(未审附注之流动资产!C207="",0,未审附注之流动资产!C207)</f>
        <v>0</v>
      </c>
      <c r="D207" s="2092">
        <f>IF(未审附注之流动资产!D207="",0,未审附注之流动资产!D207)</f>
        <v>0</v>
      </c>
      <c r="E207" s="2092">
        <f>IF(未审附注之流动资产!E207="",0,未审附注之流动资产!E207)</f>
        <v>0</v>
      </c>
      <c r="F207" s="2085">
        <f>IF(未审附注之流动资产!F207="",0,未审附注之流动资产!F207)</f>
        <v>0</v>
      </c>
      <c r="G207" s="2080"/>
      <c r="H207" s="2080"/>
      <c r="I207" s="2080"/>
      <c r="J207" s="2118" t="s">
        <v>434</v>
      </c>
    </row>
    <row r="208" spans="1:10">
      <c r="A208" s="2092">
        <f>IF(未审附注之流动资产!A208="",0,未审附注之流动资产!A208)</f>
        <v>0</v>
      </c>
      <c r="B208" s="2085">
        <f>IF(未审附注之流动资产!B208="",0,未审附注之流动资产!B208)</f>
        <v>0</v>
      </c>
      <c r="C208" s="2085">
        <f>IF(未审附注之流动资产!C208="",0,未审附注之流动资产!C208)</f>
        <v>0</v>
      </c>
      <c r="D208" s="2092">
        <f>IF(未审附注之流动资产!D208="",0,未审附注之流动资产!D208)</f>
        <v>0</v>
      </c>
      <c r="E208" s="2092">
        <f>IF(未审附注之流动资产!E208="",0,未审附注之流动资产!E208)</f>
        <v>0</v>
      </c>
      <c r="F208" s="2085">
        <f>IF(未审附注之流动资产!F208="",0,未审附注之流动资产!F208)</f>
        <v>0</v>
      </c>
      <c r="G208" s="2080"/>
      <c r="H208" s="2080"/>
      <c r="I208" s="2080"/>
      <c r="J208" s="2118" t="s">
        <v>434</v>
      </c>
    </row>
    <row r="209" spans="1:10">
      <c r="A209" s="2092">
        <f>IF(未审附注之流动资产!A209="",0,未审附注之流动资产!A209)</f>
        <v>0</v>
      </c>
      <c r="B209" s="2085">
        <f>IF(未审附注之流动资产!B209="",0,未审附注之流动资产!B209)</f>
        <v>0</v>
      </c>
      <c r="C209" s="2085">
        <f>IF(未审附注之流动资产!C209="",0,未审附注之流动资产!C209)</f>
        <v>0</v>
      </c>
      <c r="D209" s="2092">
        <f>IF(未审附注之流动资产!D209="",0,未审附注之流动资产!D209)</f>
        <v>0</v>
      </c>
      <c r="E209" s="2092">
        <f>IF(未审附注之流动资产!E209="",0,未审附注之流动资产!E209)</f>
        <v>0</v>
      </c>
      <c r="F209" s="2085">
        <f>IF(未审附注之流动资产!F209="",0,未审附注之流动资产!F209)</f>
        <v>0</v>
      </c>
      <c r="G209" s="2080"/>
      <c r="H209" s="2080"/>
      <c r="I209" s="2080"/>
      <c r="J209" s="2118" t="s">
        <v>434</v>
      </c>
    </row>
    <row r="210" spans="1:10">
      <c r="A210" s="2092">
        <f>IF(未审附注之流动资产!A210="",0,未审附注之流动资产!A210)</f>
        <v>0</v>
      </c>
      <c r="B210" s="2085">
        <f>IF(未审附注之流动资产!B210="",0,未审附注之流动资产!B210)</f>
        <v>0</v>
      </c>
      <c r="C210" s="2085">
        <f>IF(未审附注之流动资产!C210="",0,未审附注之流动资产!C210)</f>
        <v>0</v>
      </c>
      <c r="D210" s="2092">
        <f>IF(未审附注之流动资产!D210="",0,未审附注之流动资产!D210)</f>
        <v>0</v>
      </c>
      <c r="E210" s="2092">
        <f>IF(未审附注之流动资产!E210="",0,未审附注之流动资产!E210)</f>
        <v>0</v>
      </c>
      <c r="F210" s="2085">
        <f>IF(未审附注之流动资产!F210="",0,未审附注之流动资产!F210)</f>
        <v>0</v>
      </c>
      <c r="G210" s="2080"/>
      <c r="H210" s="2080"/>
      <c r="I210" s="2080"/>
      <c r="J210" s="2118" t="s">
        <v>434</v>
      </c>
    </row>
    <row r="211" spans="1:10">
      <c r="A211" s="2092">
        <f>IF(未审附注之流动资产!A211="",0,未审附注之流动资产!A211)</f>
        <v>0</v>
      </c>
      <c r="B211" s="2085">
        <f>IF(未审附注之流动资产!B211="",0,未审附注之流动资产!B211)</f>
        <v>0</v>
      </c>
      <c r="C211" s="2085">
        <f>IF(未审附注之流动资产!C211="",0,未审附注之流动资产!C211)</f>
        <v>0</v>
      </c>
      <c r="D211" s="2092">
        <f>IF(未审附注之流动资产!D211="",0,未审附注之流动资产!D211)</f>
        <v>0</v>
      </c>
      <c r="E211" s="2092">
        <f>IF(未审附注之流动资产!E211="",0,未审附注之流动资产!E211)</f>
        <v>0</v>
      </c>
      <c r="F211" s="2085">
        <f>IF(未审附注之流动资产!F211="",0,未审附注之流动资产!F211)</f>
        <v>0</v>
      </c>
      <c r="G211" s="2080"/>
      <c r="H211" s="2080"/>
      <c r="I211" s="2080"/>
      <c r="J211" s="2118" t="s">
        <v>434</v>
      </c>
    </row>
    <row r="212" spans="1:10">
      <c r="A212" s="2092">
        <f>IF(未审附注之流动资产!A212="",0,未审附注之流动资产!A212)</f>
        <v>0</v>
      </c>
      <c r="B212" s="2085">
        <f>IF(未审附注之流动资产!B212="",0,未审附注之流动资产!B212)</f>
        <v>0</v>
      </c>
      <c r="C212" s="2085">
        <f>IF(未审附注之流动资产!C212="",0,未审附注之流动资产!C212)</f>
        <v>0</v>
      </c>
      <c r="D212" s="2092">
        <f>IF(未审附注之流动资产!D212="",0,未审附注之流动资产!D212)</f>
        <v>0</v>
      </c>
      <c r="E212" s="2092">
        <f>IF(未审附注之流动资产!E212="",0,未审附注之流动资产!E212)</f>
        <v>0</v>
      </c>
      <c r="F212" s="2085">
        <f>IF(未审附注之流动资产!F212="",0,未审附注之流动资产!F212)</f>
        <v>0</v>
      </c>
      <c r="G212" s="2080"/>
      <c r="H212" s="2080"/>
      <c r="I212" s="2080"/>
      <c r="J212" s="2118" t="s">
        <v>434</v>
      </c>
    </row>
    <row r="213" spans="1:10">
      <c r="A213" s="2092">
        <f>IF(未审附注之流动资产!A213="",0,未审附注之流动资产!A213)</f>
        <v>0</v>
      </c>
      <c r="B213" s="2085">
        <f>IF(未审附注之流动资产!B213="",0,未审附注之流动资产!B213)</f>
        <v>0</v>
      </c>
      <c r="C213" s="2085">
        <f>IF(未审附注之流动资产!C213="",0,未审附注之流动资产!C213)</f>
        <v>0</v>
      </c>
      <c r="D213" s="2092">
        <f>IF(未审附注之流动资产!D213="",0,未审附注之流动资产!D213)</f>
        <v>0</v>
      </c>
      <c r="E213" s="2092">
        <f>IF(未审附注之流动资产!E213="",0,未审附注之流动资产!E213)</f>
        <v>0</v>
      </c>
      <c r="F213" s="2085">
        <f>IF(未审附注之流动资产!F213="",0,未审附注之流动资产!F213)</f>
        <v>0</v>
      </c>
      <c r="G213" s="2080"/>
      <c r="H213" s="2080"/>
      <c r="I213" s="2080"/>
      <c r="J213" s="2118" t="s">
        <v>434</v>
      </c>
    </row>
    <row r="214" spans="1:10">
      <c r="A214" s="2092">
        <f>IF(未审附注之流动资产!A214="",0,未审附注之流动资产!A214)</f>
        <v>0</v>
      </c>
      <c r="B214" s="2085">
        <f>IF(未审附注之流动资产!B214="",0,未审附注之流动资产!B214)</f>
        <v>0</v>
      </c>
      <c r="C214" s="2085">
        <f>IF(未审附注之流动资产!C214="",0,未审附注之流动资产!C214)</f>
        <v>0</v>
      </c>
      <c r="D214" s="2092">
        <f>IF(未审附注之流动资产!D214="",0,未审附注之流动资产!D214)</f>
        <v>0</v>
      </c>
      <c r="E214" s="2092">
        <f>IF(未审附注之流动资产!E214="",0,未审附注之流动资产!E214)</f>
        <v>0</v>
      </c>
      <c r="F214" s="2085">
        <f>IF(未审附注之流动资产!F214="",0,未审附注之流动资产!F214)</f>
        <v>0</v>
      </c>
      <c r="G214" s="2080"/>
      <c r="H214" s="2080"/>
      <c r="I214" s="2080"/>
      <c r="J214" s="2118" t="s">
        <v>434</v>
      </c>
    </row>
    <row r="215" spans="1:10">
      <c r="A215" s="2092">
        <f>IF(未审附注之流动资产!A215="",0,未审附注之流动资产!A215)</f>
        <v>0</v>
      </c>
      <c r="B215" s="2085">
        <f>IF(未审附注之流动资产!B215="",0,未审附注之流动资产!B215)</f>
        <v>0</v>
      </c>
      <c r="C215" s="2085">
        <f>IF(未审附注之流动资产!C215="",0,未审附注之流动资产!C215)</f>
        <v>0</v>
      </c>
      <c r="D215" s="2092">
        <f>IF(未审附注之流动资产!D215="",0,未审附注之流动资产!D215)</f>
        <v>0</v>
      </c>
      <c r="E215" s="2092">
        <f>IF(未审附注之流动资产!E215="",0,未审附注之流动资产!E215)</f>
        <v>0</v>
      </c>
      <c r="F215" s="2085">
        <f>IF(未审附注之流动资产!F215="",0,未审附注之流动资产!F215)</f>
        <v>0</v>
      </c>
      <c r="G215" s="2080"/>
      <c r="H215" s="2080"/>
      <c r="I215" s="2080"/>
      <c r="J215" s="2118" t="s">
        <v>434</v>
      </c>
    </row>
    <row r="216" spans="1:10">
      <c r="A216" s="2082" t="s">
        <v>425</v>
      </c>
      <c r="B216" s="2048">
        <f>ROUND(SUM(B206:B215),2)</f>
        <v>0</v>
      </c>
      <c r="C216" s="2048">
        <f>ROUND(SUM(C206:C215),2)</f>
        <v>0</v>
      </c>
      <c r="D216" s="2098"/>
      <c r="E216" s="2048"/>
      <c r="F216" s="2048">
        <f>ROUND(SUM(F206:F215),2)</f>
        <v>0</v>
      </c>
      <c r="G216" s="2080"/>
      <c r="H216" s="2080"/>
      <c r="I216" s="2080"/>
      <c r="J216" s="2118" t="s">
        <v>435</v>
      </c>
    </row>
    <row r="217" spans="1:9">
      <c r="A217" s="2087"/>
      <c r="B217" s="2098"/>
      <c r="C217" s="2098"/>
      <c r="D217" s="2098"/>
      <c r="E217" s="2098"/>
      <c r="F217" s="2098"/>
      <c r="G217" s="2080"/>
      <c r="H217" s="2080"/>
      <c r="I217" s="2080"/>
    </row>
    <row r="218" spans="1:9">
      <c r="A218" s="2129" t="s">
        <v>436</v>
      </c>
      <c r="B218" s="2082"/>
      <c r="C218" s="2082"/>
      <c r="D218" s="2124"/>
      <c r="E218" s="2108"/>
      <c r="F218" s="2124"/>
      <c r="G218" s="2080"/>
      <c r="H218" s="2080"/>
      <c r="I218" s="2080"/>
    </row>
    <row r="219" spans="1:10">
      <c r="A219" s="2092">
        <f>IF(未审附注之流动资产!A219="",0,未审附注之流动资产!A219)</f>
        <v>0</v>
      </c>
      <c r="B219" s="2085">
        <f>IF(未审附注之流动资产!B219="",0,未审附注之流动资产!B219)</f>
        <v>0</v>
      </c>
      <c r="C219" s="2085">
        <f>IF(未审附注之流动资产!C219="",0,未审附注之流动资产!C219)</f>
        <v>0</v>
      </c>
      <c r="D219" s="2092">
        <f>IF(未审附注之流动资产!D219="",0,未审附注之流动资产!D219)</f>
        <v>0</v>
      </c>
      <c r="E219" s="2092">
        <f>IF(未审附注之流动资产!E219="",0,未审附注之流动资产!E219)</f>
        <v>0</v>
      </c>
      <c r="F219" s="2085">
        <f>IF(未审附注之流动资产!F219="",0,未审附注之流动资产!F219)</f>
        <v>0</v>
      </c>
      <c r="G219" s="2080"/>
      <c r="H219" s="2080"/>
      <c r="I219" s="2080"/>
      <c r="J219" s="2118" t="s">
        <v>437</v>
      </c>
    </row>
    <row r="220" spans="1:10">
      <c r="A220" s="2092">
        <f>IF(未审附注之流动资产!A220="",0,未审附注之流动资产!A220)</f>
        <v>0</v>
      </c>
      <c r="B220" s="2085">
        <f>IF(未审附注之流动资产!B220="",0,未审附注之流动资产!B220)</f>
        <v>0</v>
      </c>
      <c r="C220" s="2085">
        <f>IF(未审附注之流动资产!C220="",0,未审附注之流动资产!C220)</f>
        <v>0</v>
      </c>
      <c r="D220" s="2092">
        <f>IF(未审附注之流动资产!D220="",0,未审附注之流动资产!D220)</f>
        <v>0</v>
      </c>
      <c r="E220" s="2092">
        <f>IF(未审附注之流动资产!E220="",0,未审附注之流动资产!E220)</f>
        <v>0</v>
      </c>
      <c r="F220" s="2085">
        <f>IF(未审附注之流动资产!F220="",0,未审附注之流动资产!F220)</f>
        <v>0</v>
      </c>
      <c r="G220" s="2080"/>
      <c r="H220" s="2080"/>
      <c r="I220" s="2080"/>
      <c r="J220" s="2118" t="s">
        <v>437</v>
      </c>
    </row>
    <row r="221" spans="1:10">
      <c r="A221" s="2092">
        <f>IF(未审附注之流动资产!A221="",0,未审附注之流动资产!A221)</f>
        <v>0</v>
      </c>
      <c r="B221" s="2085">
        <f>IF(未审附注之流动资产!B221="",0,未审附注之流动资产!B221)</f>
        <v>0</v>
      </c>
      <c r="C221" s="2085">
        <f>IF(未审附注之流动资产!C221="",0,未审附注之流动资产!C221)</f>
        <v>0</v>
      </c>
      <c r="D221" s="2092">
        <f>IF(未审附注之流动资产!D221="",0,未审附注之流动资产!D221)</f>
        <v>0</v>
      </c>
      <c r="E221" s="2092">
        <f>IF(未审附注之流动资产!E221="",0,未审附注之流动资产!E221)</f>
        <v>0</v>
      </c>
      <c r="F221" s="2085">
        <f>IF(未审附注之流动资产!F221="",0,未审附注之流动资产!F221)</f>
        <v>0</v>
      </c>
      <c r="G221" s="2080"/>
      <c r="H221" s="2080"/>
      <c r="I221" s="2080"/>
      <c r="J221" s="2118" t="s">
        <v>437</v>
      </c>
    </row>
    <row r="222" spans="1:10">
      <c r="A222" s="2092">
        <f>IF(未审附注之流动资产!A222="",0,未审附注之流动资产!A222)</f>
        <v>0</v>
      </c>
      <c r="B222" s="2085">
        <f>IF(未审附注之流动资产!B222="",0,未审附注之流动资产!B222)</f>
        <v>0</v>
      </c>
      <c r="C222" s="2085">
        <f>IF(未审附注之流动资产!C222="",0,未审附注之流动资产!C222)</f>
        <v>0</v>
      </c>
      <c r="D222" s="2092">
        <f>IF(未审附注之流动资产!D222="",0,未审附注之流动资产!D222)</f>
        <v>0</v>
      </c>
      <c r="E222" s="2092">
        <f>IF(未审附注之流动资产!E222="",0,未审附注之流动资产!E222)</f>
        <v>0</v>
      </c>
      <c r="F222" s="2085">
        <f>IF(未审附注之流动资产!F222="",0,未审附注之流动资产!F222)</f>
        <v>0</v>
      </c>
      <c r="G222" s="2080"/>
      <c r="H222" s="2080"/>
      <c r="I222" s="2080"/>
      <c r="J222" s="2118" t="s">
        <v>437</v>
      </c>
    </row>
    <row r="223" spans="1:10">
      <c r="A223" s="2092">
        <f>IF(未审附注之流动资产!A223="",0,未审附注之流动资产!A223)</f>
        <v>0</v>
      </c>
      <c r="B223" s="2085">
        <f>IF(未审附注之流动资产!B223="",0,未审附注之流动资产!B223)</f>
        <v>0</v>
      </c>
      <c r="C223" s="2085">
        <f>IF(未审附注之流动资产!C223="",0,未审附注之流动资产!C223)</f>
        <v>0</v>
      </c>
      <c r="D223" s="2092">
        <f>IF(未审附注之流动资产!D223="",0,未审附注之流动资产!D223)</f>
        <v>0</v>
      </c>
      <c r="E223" s="2092">
        <f>IF(未审附注之流动资产!E223="",0,未审附注之流动资产!E223)</f>
        <v>0</v>
      </c>
      <c r="F223" s="2085">
        <f>IF(未审附注之流动资产!F223="",0,未审附注之流动资产!F223)</f>
        <v>0</v>
      </c>
      <c r="G223" s="2080"/>
      <c r="H223" s="2080"/>
      <c r="I223" s="2080"/>
      <c r="J223" s="2118" t="s">
        <v>437</v>
      </c>
    </row>
    <row r="224" spans="1:10">
      <c r="A224" s="2092">
        <f>IF(未审附注之流动资产!A224="",0,未审附注之流动资产!A224)</f>
        <v>0</v>
      </c>
      <c r="B224" s="2085">
        <f>IF(未审附注之流动资产!B224="",0,未审附注之流动资产!B224)</f>
        <v>0</v>
      </c>
      <c r="C224" s="2085">
        <f>IF(未审附注之流动资产!C224="",0,未审附注之流动资产!C224)</f>
        <v>0</v>
      </c>
      <c r="D224" s="2092">
        <f>IF(未审附注之流动资产!D224="",0,未审附注之流动资产!D224)</f>
        <v>0</v>
      </c>
      <c r="E224" s="2092">
        <f>IF(未审附注之流动资产!E224="",0,未审附注之流动资产!E224)</f>
        <v>0</v>
      </c>
      <c r="F224" s="2085">
        <f>IF(未审附注之流动资产!F224="",0,未审附注之流动资产!F224)</f>
        <v>0</v>
      </c>
      <c r="G224" s="2080"/>
      <c r="H224" s="2080"/>
      <c r="I224" s="2080"/>
      <c r="J224" s="2118" t="s">
        <v>437</v>
      </c>
    </row>
    <row r="225" spans="1:10">
      <c r="A225" s="2092">
        <f>IF(未审附注之流动资产!A225="",0,未审附注之流动资产!A225)</f>
        <v>0</v>
      </c>
      <c r="B225" s="2085">
        <f>IF(未审附注之流动资产!B225="",0,未审附注之流动资产!B225)</f>
        <v>0</v>
      </c>
      <c r="C225" s="2085">
        <f>IF(未审附注之流动资产!C225="",0,未审附注之流动资产!C225)</f>
        <v>0</v>
      </c>
      <c r="D225" s="2092">
        <f>IF(未审附注之流动资产!D225="",0,未审附注之流动资产!D225)</f>
        <v>0</v>
      </c>
      <c r="E225" s="2092">
        <f>IF(未审附注之流动资产!E225="",0,未审附注之流动资产!E225)</f>
        <v>0</v>
      </c>
      <c r="F225" s="2085">
        <f>IF(未审附注之流动资产!F225="",0,未审附注之流动资产!F225)</f>
        <v>0</v>
      </c>
      <c r="G225" s="2080"/>
      <c r="H225" s="2080"/>
      <c r="I225" s="2080"/>
      <c r="J225" s="2118" t="s">
        <v>437</v>
      </c>
    </row>
    <row r="226" spans="1:10">
      <c r="A226" s="2092">
        <f>IF(未审附注之流动资产!A226="",0,未审附注之流动资产!A226)</f>
        <v>0</v>
      </c>
      <c r="B226" s="2085">
        <f>IF(未审附注之流动资产!B226="",0,未审附注之流动资产!B226)</f>
        <v>0</v>
      </c>
      <c r="C226" s="2085">
        <f>IF(未审附注之流动资产!C226="",0,未审附注之流动资产!C226)</f>
        <v>0</v>
      </c>
      <c r="D226" s="2092">
        <f>IF(未审附注之流动资产!D226="",0,未审附注之流动资产!D226)</f>
        <v>0</v>
      </c>
      <c r="E226" s="2092">
        <f>IF(未审附注之流动资产!E226="",0,未审附注之流动资产!E226)</f>
        <v>0</v>
      </c>
      <c r="F226" s="2085">
        <f>IF(未审附注之流动资产!F226="",0,未审附注之流动资产!F226)</f>
        <v>0</v>
      </c>
      <c r="G226" s="2080"/>
      <c r="H226" s="2080"/>
      <c r="I226" s="2080"/>
      <c r="J226" s="2118" t="s">
        <v>437</v>
      </c>
    </row>
    <row r="227" spans="1:10">
      <c r="A227" s="2092">
        <f>IF(未审附注之流动资产!A227="",0,未审附注之流动资产!A227)</f>
        <v>0</v>
      </c>
      <c r="B227" s="2085">
        <f>IF(未审附注之流动资产!B227="",0,未审附注之流动资产!B227)</f>
        <v>0</v>
      </c>
      <c r="C227" s="2085">
        <f>IF(未审附注之流动资产!C227="",0,未审附注之流动资产!C227)</f>
        <v>0</v>
      </c>
      <c r="D227" s="2092">
        <f>IF(未审附注之流动资产!D227="",0,未审附注之流动资产!D227)</f>
        <v>0</v>
      </c>
      <c r="E227" s="2092">
        <f>IF(未审附注之流动资产!E227="",0,未审附注之流动资产!E227)</f>
        <v>0</v>
      </c>
      <c r="F227" s="2085">
        <f>IF(未审附注之流动资产!F227="",0,未审附注之流动资产!F227)</f>
        <v>0</v>
      </c>
      <c r="G227" s="2080"/>
      <c r="H227" s="2080"/>
      <c r="I227" s="2080"/>
      <c r="J227" s="2118" t="s">
        <v>437</v>
      </c>
    </row>
    <row r="228" spans="1:10">
      <c r="A228" s="2092">
        <f>IF(未审附注之流动资产!A228="",0,未审附注之流动资产!A228)</f>
        <v>0</v>
      </c>
      <c r="B228" s="2085">
        <f>IF(未审附注之流动资产!B228="",0,未审附注之流动资产!B228)</f>
        <v>0</v>
      </c>
      <c r="C228" s="2085">
        <f>IF(未审附注之流动资产!C228="",0,未审附注之流动资产!C228)</f>
        <v>0</v>
      </c>
      <c r="D228" s="2092">
        <f>IF(未审附注之流动资产!D228="",0,未审附注之流动资产!D228)</f>
        <v>0</v>
      </c>
      <c r="E228" s="2092">
        <f>IF(未审附注之流动资产!E228="",0,未审附注之流动资产!E228)</f>
        <v>0</v>
      </c>
      <c r="F228" s="2085">
        <f>IF(未审附注之流动资产!F228="",0,未审附注之流动资产!F228)</f>
        <v>0</v>
      </c>
      <c r="G228" s="2080"/>
      <c r="H228" s="2080"/>
      <c r="I228" s="2080"/>
      <c r="J228" s="2118" t="s">
        <v>437</v>
      </c>
    </row>
    <row r="229" spans="1:10">
      <c r="A229" s="2082" t="s">
        <v>425</v>
      </c>
      <c r="B229" s="2048">
        <f>ROUND(SUM(B219:B228),2)</f>
        <v>0</v>
      </c>
      <c r="C229" s="2048">
        <f>ROUND(SUM(C219:C228),2)</f>
        <v>0</v>
      </c>
      <c r="D229" s="2098"/>
      <c r="E229" s="2048"/>
      <c r="F229" s="2048">
        <f>ROUND(SUM(F219:F228),2)</f>
        <v>0</v>
      </c>
      <c r="G229" s="2080"/>
      <c r="H229" s="2080"/>
      <c r="I229" s="2080"/>
      <c r="J229" s="2118" t="s">
        <v>438</v>
      </c>
    </row>
    <row r="230" spans="1:9">
      <c r="A230" s="2087"/>
      <c r="B230" s="2098"/>
      <c r="C230" s="2098"/>
      <c r="D230" s="2098"/>
      <c r="E230" s="2098"/>
      <c r="F230" s="2098"/>
      <c r="G230" s="2080"/>
      <c r="H230" s="2080"/>
      <c r="I230" s="2080"/>
    </row>
    <row r="231" spans="1:10">
      <c r="A231" s="2082" t="s">
        <v>346</v>
      </c>
      <c r="B231" s="2048">
        <f>ROUND(B216+B229,2)</f>
        <v>0</v>
      </c>
      <c r="C231" s="2048">
        <f>ROUND(C216+C229,2)</f>
        <v>0</v>
      </c>
      <c r="D231" s="2098"/>
      <c r="E231" s="2048"/>
      <c r="F231" s="2048">
        <f>ROUND(F216+F229,2)</f>
        <v>0</v>
      </c>
      <c r="G231" s="2080"/>
      <c r="H231" s="2080"/>
      <c r="I231" s="2080"/>
      <c r="J231" s="2118" t="s">
        <v>439</v>
      </c>
    </row>
    <row r="232" spans="1:9">
      <c r="A232" s="2103"/>
      <c r="B232" s="2080"/>
      <c r="C232" s="2080"/>
      <c r="D232" s="2080"/>
      <c r="E232" s="2080"/>
      <c r="F232" s="2080"/>
      <c r="G232" s="2080"/>
      <c r="H232" s="2080"/>
      <c r="I232" s="2080"/>
    </row>
    <row r="233" spans="1:9">
      <c r="A233" s="2103"/>
      <c r="B233" s="2080"/>
      <c r="C233" s="2080"/>
      <c r="D233" s="2080"/>
      <c r="E233" s="2080"/>
      <c r="F233" s="2080"/>
      <c r="G233" s="2080"/>
      <c r="H233" s="2080"/>
      <c r="I233" s="2080"/>
    </row>
    <row r="234" spans="1:9">
      <c r="A234" s="2079" t="s">
        <v>440</v>
      </c>
      <c r="B234" s="2080"/>
      <c r="C234" s="2080"/>
      <c r="D234" s="2080"/>
      <c r="E234" s="2080"/>
      <c r="F234" s="2080"/>
      <c r="G234" s="2080"/>
      <c r="H234" s="2080"/>
      <c r="I234" s="2080"/>
    </row>
    <row r="235" spans="1:9">
      <c r="A235" s="2081" t="s">
        <v>441</v>
      </c>
      <c r="B235" s="2080"/>
      <c r="C235" s="2080"/>
      <c r="D235" s="2080"/>
      <c r="E235" s="2080"/>
      <c r="F235" s="2080"/>
      <c r="G235" s="2080"/>
      <c r="H235" s="2080"/>
      <c r="I235" s="2080"/>
    </row>
    <row r="236" spans="1:9">
      <c r="A236" s="2082" t="s">
        <v>442</v>
      </c>
      <c r="B236" s="2114" t="s">
        <v>315</v>
      </c>
      <c r="C236" s="2154"/>
      <c r="D236" s="2154"/>
      <c r="E236" s="2155"/>
      <c r="F236" s="2114" t="s">
        <v>316</v>
      </c>
      <c r="G236" s="2154"/>
      <c r="H236" s="2154"/>
      <c r="I236" s="2155"/>
    </row>
    <row r="237" spans="1:9">
      <c r="A237" s="2082"/>
      <c r="B237" s="2082" t="s">
        <v>443</v>
      </c>
      <c r="C237" s="2082" t="s">
        <v>444</v>
      </c>
      <c r="D237" s="2108" t="s">
        <v>445</v>
      </c>
      <c r="E237" s="2082" t="s">
        <v>446</v>
      </c>
      <c r="F237" s="2082" t="s">
        <v>443</v>
      </c>
      <c r="G237" s="2082" t="s">
        <v>444</v>
      </c>
      <c r="H237" s="2108" t="s">
        <v>445</v>
      </c>
      <c r="I237" s="2082" t="s">
        <v>446</v>
      </c>
    </row>
    <row r="238" spans="1:10">
      <c r="A238" s="2087" t="s">
        <v>447</v>
      </c>
      <c r="B238" s="2085">
        <f>IF(未审附注之流动资产!B238="",0,未审附注之流动资产!B238)</f>
        <v>0</v>
      </c>
      <c r="C238" s="2117">
        <f>IF(B238=0,0,1-C239-C240-C241-C242-C243)</f>
        <v>0</v>
      </c>
      <c r="D238" s="2085">
        <f>IF(未审附注之流动资产!D238="",0,未审附注之流动资产!D238)</f>
        <v>0</v>
      </c>
      <c r="E238" s="2117">
        <f t="shared" ref="E238:E244" si="0">IF(B238=0,0,ROUND(D238/B238,4))</f>
        <v>0</v>
      </c>
      <c r="F238" s="2085">
        <f>IF(未审附注之流动资产!F238="",0,未审附注之流动资产!F238)</f>
        <v>0</v>
      </c>
      <c r="G238" s="2117">
        <f>IF(F238=0,0,1-G239-G240-G241-G242-G243)</f>
        <v>0</v>
      </c>
      <c r="H238" s="2085">
        <f>IF(未审附注之流动资产!H238="",0,未审附注之流动资产!H238)</f>
        <v>0</v>
      </c>
      <c r="I238" s="2117">
        <f t="shared" ref="I238:I244" si="1">IF(F238=0,0,ROUND(H238/F238,4))</f>
        <v>0</v>
      </c>
      <c r="J238" s="2118" t="s">
        <v>448</v>
      </c>
    </row>
    <row r="239" spans="1:10">
      <c r="A239" s="2087" t="s">
        <v>449</v>
      </c>
      <c r="B239" s="2085">
        <f>IF(未审附注之流动资产!B239="",0,未审附注之流动资产!B239)</f>
        <v>0</v>
      </c>
      <c r="C239" s="2117">
        <f>IF(B239=0,0,IF(B238=0,ROUND(1-C240-C241-C242-C243,4),ROUND(B239/B244,4)))</f>
        <v>0</v>
      </c>
      <c r="D239" s="2085">
        <f>IF(未审附注之流动资产!D239="",0,未审附注之流动资产!D239)</f>
        <v>0</v>
      </c>
      <c r="E239" s="2117">
        <f t="shared" si="0"/>
        <v>0</v>
      </c>
      <c r="F239" s="2085">
        <f>IF(未审附注之流动资产!F239="",0,未审附注之流动资产!F239)</f>
        <v>0</v>
      </c>
      <c r="G239" s="2117">
        <f>IF(F239=0,0,IF(F238=0,ROUND(1-G240-G241-G242-G243,4),ROUND(F239/F244,4)))</f>
        <v>0</v>
      </c>
      <c r="H239" s="2085">
        <f>IF(未审附注之流动资产!H239="",0,未审附注之流动资产!H239)</f>
        <v>0</v>
      </c>
      <c r="I239" s="2117">
        <f t="shared" si="1"/>
        <v>0</v>
      </c>
      <c r="J239" s="2118" t="s">
        <v>450</v>
      </c>
    </row>
    <row r="240" spans="1:10">
      <c r="A240" s="2087" t="s">
        <v>451</v>
      </c>
      <c r="B240" s="2085">
        <f>IF(未审附注之流动资产!B240="",0,未审附注之流动资产!B240)</f>
        <v>0</v>
      </c>
      <c r="C240" s="2117">
        <f>IF(B240=0,0,IF(AND(B238=0,B239=0),ROUND(1-C241-C242-C243,4),ROUND(B240/B244,4)))</f>
        <v>0</v>
      </c>
      <c r="D240" s="2085">
        <f>IF(未审附注之流动资产!D240="",0,未审附注之流动资产!D240)</f>
        <v>0</v>
      </c>
      <c r="E240" s="2117">
        <f t="shared" si="0"/>
        <v>0</v>
      </c>
      <c r="F240" s="2085">
        <f>IF(未审附注之流动资产!F240="",0,未审附注之流动资产!F240)</f>
        <v>0</v>
      </c>
      <c r="G240" s="2117">
        <f>IF(F240=0,0,IF(AND(F238=0,F239=0),ROUND(1-G241-G242-G243,4),ROUND(F240/F244,4)))</f>
        <v>0</v>
      </c>
      <c r="H240" s="2085">
        <f>IF(未审附注之流动资产!H240="",0,未审附注之流动资产!H240)</f>
        <v>0</v>
      </c>
      <c r="I240" s="2117">
        <f t="shared" si="1"/>
        <v>0</v>
      </c>
      <c r="J240" s="2118" t="s">
        <v>452</v>
      </c>
    </row>
    <row r="241" spans="1:10">
      <c r="A241" s="2087" t="s">
        <v>453</v>
      </c>
      <c r="B241" s="2085">
        <f>IF(未审附注之流动资产!B241="",0,未审附注之流动资产!B241)</f>
        <v>0</v>
      </c>
      <c r="C241" s="2117">
        <f>IF(B241=0,0,IF(AND(B238=0,B239=0,B240=0),ROUND(1-C242-C243,4),ROUND(B241/B244,4)))</f>
        <v>0</v>
      </c>
      <c r="D241" s="2085">
        <f>IF(未审附注之流动资产!D241="",0,未审附注之流动资产!D241)</f>
        <v>0</v>
      </c>
      <c r="E241" s="2117">
        <f t="shared" si="0"/>
        <v>0</v>
      </c>
      <c r="F241" s="2085">
        <f>IF(未审附注之流动资产!F241="",0,未审附注之流动资产!F241)</f>
        <v>0</v>
      </c>
      <c r="G241" s="2117">
        <f>IF(F241=0,0,IF(AND(F238=0,F239=0,F240=0),ROUND(1-G242-G243,4),ROUND(F241/F244,4)))</f>
        <v>0</v>
      </c>
      <c r="H241" s="2085">
        <f>IF(未审附注之流动资产!H241="",0,未审附注之流动资产!H241)</f>
        <v>0</v>
      </c>
      <c r="I241" s="2117">
        <f t="shared" si="1"/>
        <v>0</v>
      </c>
      <c r="J241" s="2118" t="s">
        <v>454</v>
      </c>
    </row>
    <row r="242" spans="1:10">
      <c r="A242" s="2087" t="s">
        <v>455</v>
      </c>
      <c r="B242" s="2085">
        <f>IF(未审附注之流动资产!B242="",0,未审附注之流动资产!B242)</f>
        <v>0</v>
      </c>
      <c r="C242" s="2117">
        <f>IF(B242=0,0,IF(AND(B238=0,B239=0,B240=0,B241=0),ROUND(1-C243,4),ROUND(B242/B244,4)))</f>
        <v>0</v>
      </c>
      <c r="D242" s="2085">
        <f>IF(未审附注之流动资产!D242="",0,未审附注之流动资产!D242)</f>
        <v>0</v>
      </c>
      <c r="E242" s="2117">
        <f t="shared" si="0"/>
        <v>0</v>
      </c>
      <c r="F242" s="2085">
        <f>IF(未审附注之流动资产!F242="",0,未审附注之流动资产!F242)</f>
        <v>0</v>
      </c>
      <c r="G242" s="2117">
        <f>IF(F242=0,0,IF(AND(F238=0,F239=0,F240=0,F241=0),ROUND(1-G243,4),ROUND(F242/F244,4)))</f>
        <v>0</v>
      </c>
      <c r="H242" s="2085">
        <f>IF(未审附注之流动资产!H242="",0,未审附注之流动资产!H242)</f>
        <v>0</v>
      </c>
      <c r="I242" s="2117">
        <f t="shared" si="1"/>
        <v>0</v>
      </c>
      <c r="J242" s="2118" t="s">
        <v>456</v>
      </c>
    </row>
    <row r="243" spans="1:10">
      <c r="A243" s="2087" t="s">
        <v>457</v>
      </c>
      <c r="B243" s="2085">
        <f>IF(未审附注之流动资产!B243="",0,未审附注之流动资产!B243)</f>
        <v>0</v>
      </c>
      <c r="C243" s="2117">
        <f>IF(B243=0,0,ROUND(B243/B244,4))</f>
        <v>0</v>
      </c>
      <c r="D243" s="2085">
        <f>IF(未审附注之流动资产!D243="",0,未审附注之流动资产!D243)</f>
        <v>0</v>
      </c>
      <c r="E243" s="2117">
        <f t="shared" si="0"/>
        <v>0</v>
      </c>
      <c r="F243" s="2085">
        <f>IF(未审附注之流动资产!F243="",0,未审附注之流动资产!F243)</f>
        <v>0</v>
      </c>
      <c r="G243" s="2117">
        <f>IF(F243=0,0,ROUND(F243/F244,4))</f>
        <v>0</v>
      </c>
      <c r="H243" s="2085">
        <f>IF(未审附注之流动资产!H243="",0,未审附注之流动资产!H243)</f>
        <v>0</v>
      </c>
      <c r="I243" s="2117">
        <f t="shared" si="1"/>
        <v>0</v>
      </c>
      <c r="J243" s="2118" t="s">
        <v>458</v>
      </c>
    </row>
    <row r="244" spans="1:10">
      <c r="A244" s="2082" t="s">
        <v>384</v>
      </c>
      <c r="B244" s="2048">
        <f>ROUND(SUM(B238:B243),2)</f>
        <v>0</v>
      </c>
      <c r="C244" s="2093">
        <f>IF(B244=0,0,1)</f>
        <v>0</v>
      </c>
      <c r="D244" s="2048">
        <f>ROUND(SUM(D238:D243),2)</f>
        <v>0</v>
      </c>
      <c r="E244" s="2093">
        <f t="shared" si="0"/>
        <v>0</v>
      </c>
      <c r="F244" s="2048">
        <f>ROUND(SUM(F238:F243),2)</f>
        <v>0</v>
      </c>
      <c r="G244" s="2093">
        <f>IF(F244=0,0,1)</f>
        <v>0</v>
      </c>
      <c r="H244" s="2048">
        <f>ROUND(SUM(H238:H243),2)</f>
        <v>0</v>
      </c>
      <c r="I244" s="2093">
        <f t="shared" si="1"/>
        <v>0</v>
      </c>
      <c r="J244" s="2118" t="s">
        <v>459</v>
      </c>
    </row>
    <row r="245" spans="1:9">
      <c r="A245" s="2103"/>
      <c r="B245" s="2080"/>
      <c r="C245" s="2080"/>
      <c r="D245" s="2080"/>
      <c r="E245" s="2080"/>
      <c r="F245" s="2080"/>
      <c r="G245" s="2080"/>
      <c r="H245" s="2080"/>
      <c r="I245" s="2080"/>
    </row>
    <row r="246" spans="1:9">
      <c r="A246" s="2081" t="s">
        <v>460</v>
      </c>
      <c r="B246" s="2080"/>
      <c r="C246" s="2080"/>
      <c r="D246" s="2080"/>
      <c r="E246" s="2080"/>
      <c r="F246" s="2080"/>
      <c r="G246" s="2080"/>
      <c r="H246" s="2080"/>
      <c r="I246" s="2080"/>
    </row>
    <row r="247" spans="1:9">
      <c r="A247" s="2089" t="s">
        <v>372</v>
      </c>
      <c r="B247" s="2114" t="s">
        <v>315</v>
      </c>
      <c r="C247" s="2154"/>
      <c r="D247" s="2154"/>
      <c r="E247" s="2155"/>
      <c r="F247" s="2114" t="s">
        <v>316</v>
      </c>
      <c r="G247" s="2154"/>
      <c r="H247" s="2154"/>
      <c r="I247" s="2155"/>
    </row>
    <row r="248" spans="1:9">
      <c r="A248" s="2090"/>
      <c r="B248" s="2082" t="s">
        <v>443</v>
      </c>
      <c r="C248" s="2082" t="s">
        <v>444</v>
      </c>
      <c r="D248" s="2108" t="s">
        <v>445</v>
      </c>
      <c r="E248" s="2082" t="s">
        <v>446</v>
      </c>
      <c r="F248" s="2082" t="s">
        <v>443</v>
      </c>
      <c r="G248" s="2082" t="s">
        <v>444</v>
      </c>
      <c r="H248" s="2108" t="s">
        <v>445</v>
      </c>
      <c r="I248" s="2082" t="s">
        <v>446</v>
      </c>
    </row>
    <row r="249" spans="1:10">
      <c r="A249" s="2084" t="s">
        <v>461</v>
      </c>
      <c r="B249" s="2085">
        <f>IF(未审附注之流动资产!B249="",0,未审附注之流动资产!B249)</f>
        <v>0</v>
      </c>
      <c r="C249" s="2117">
        <f>IF(B249=0,0,1-C250-C251)</f>
        <v>0</v>
      </c>
      <c r="D249" s="2085">
        <f>IF(未审附注之流动资产!D249="",0,未审附注之流动资产!D249)</f>
        <v>0</v>
      </c>
      <c r="E249" s="2117">
        <f>IF(B249=0,0,ROUND(D249/B249,4))</f>
        <v>0</v>
      </c>
      <c r="F249" s="2085">
        <f>IF(未审附注之流动资产!F249="",0,未审附注之流动资产!F249)</f>
        <v>0</v>
      </c>
      <c r="G249" s="2117">
        <f>IF(F249=0,0,1-G250-G251)</f>
        <v>0</v>
      </c>
      <c r="H249" s="2085">
        <f>IF(未审附注之流动资产!H249="",0,未审附注之流动资产!H249)</f>
        <v>0</v>
      </c>
      <c r="I249" s="2117">
        <f>IF(F249=0,0,ROUND(H249/F249,4))</f>
        <v>0</v>
      </c>
      <c r="J249" s="2118" t="s">
        <v>462</v>
      </c>
    </row>
    <row r="250" spans="1:10">
      <c r="A250" s="2084" t="s">
        <v>463</v>
      </c>
      <c r="B250" s="2085">
        <f>IF(未审附注之流动资产!B250="",0,未审附注之流动资产!B250)</f>
        <v>0</v>
      </c>
      <c r="C250" s="2117">
        <f>IF(B250=0,0,IF(B249=0,ROUND(1-C251,4),ROUND(B250/B$252,4)))</f>
        <v>0</v>
      </c>
      <c r="D250" s="2085">
        <f>IF(未审附注之流动资产!D250="",0,未审附注之流动资产!D250)</f>
        <v>0</v>
      </c>
      <c r="E250" s="2117">
        <f>IF(B250=0,0,ROUND(D250/B250,4))</f>
        <v>0</v>
      </c>
      <c r="F250" s="2085">
        <f>IF(未审附注之流动资产!F250="",0,未审附注之流动资产!F250)</f>
        <v>0</v>
      </c>
      <c r="G250" s="2117">
        <f>IF(F250=0,0,IF(F249=0,ROUND(1-G251,4),ROUND(F250/F$252,4)))</f>
        <v>0</v>
      </c>
      <c r="H250" s="2085">
        <f>IF(未审附注之流动资产!H250="",0,未审附注之流动资产!H250)</f>
        <v>0</v>
      </c>
      <c r="I250" s="2117">
        <f>IF(F250=0,0,ROUND(H250/F250,4))</f>
        <v>0</v>
      </c>
      <c r="J250" s="2118" t="s">
        <v>464</v>
      </c>
    </row>
    <row r="251" spans="1:10">
      <c r="A251" s="2084" t="s">
        <v>465</v>
      </c>
      <c r="B251" s="2120">
        <f>ROUND(B252-B249-B250,2)</f>
        <v>0</v>
      </c>
      <c r="C251" s="2117">
        <f>IF(B251=0,0,ROUND(B251/B$252,4))</f>
        <v>0</v>
      </c>
      <c r="D251" s="2120">
        <f>ROUND(D252-D249-D250,2)</f>
        <v>0</v>
      </c>
      <c r="E251" s="2117">
        <f>IF(B251=0,0,ROUND(D251/B251,4))</f>
        <v>0</v>
      </c>
      <c r="F251" s="2120">
        <f>ROUND(F252-F249-F250,2)</f>
        <v>0</v>
      </c>
      <c r="G251" s="2117">
        <f>IF(F251=0,0,ROUND(F251/F$252,4))</f>
        <v>0</v>
      </c>
      <c r="H251" s="2120">
        <f>ROUND(H252-H249-H250,2)</f>
        <v>0</v>
      </c>
      <c r="I251" s="2117">
        <f>IF(F251=0,0,ROUND(H251/F251,4))</f>
        <v>0</v>
      </c>
      <c r="J251" s="2118" t="s">
        <v>466</v>
      </c>
    </row>
    <row r="252" spans="1:10">
      <c r="A252" s="2082" t="s">
        <v>384</v>
      </c>
      <c r="B252" s="2048">
        <f>B244</f>
        <v>0</v>
      </c>
      <c r="C252" s="2093">
        <f>IF(B252=0,0,1)</f>
        <v>0</v>
      </c>
      <c r="D252" s="2048">
        <f>D244</f>
        <v>0</v>
      </c>
      <c r="E252" s="2093">
        <f>IF(B252=0,0,ROUND(D252/B252,4))</f>
        <v>0</v>
      </c>
      <c r="F252" s="2048">
        <f>F244</f>
        <v>0</v>
      </c>
      <c r="G252" s="2093">
        <f>IF(F252=0,0,1)</f>
        <v>0</v>
      </c>
      <c r="H252" s="2048">
        <f>H244</f>
        <v>0</v>
      </c>
      <c r="I252" s="2093">
        <f>IF(F252=0,0,ROUND(H252/F252,4))</f>
        <v>0</v>
      </c>
      <c r="J252" s="2118" t="s">
        <v>467</v>
      </c>
    </row>
    <row r="253" spans="1:9">
      <c r="A253" s="2103"/>
      <c r="B253" s="2080"/>
      <c r="C253" s="2080"/>
      <c r="D253" s="2080"/>
      <c r="E253" s="2080"/>
      <c r="F253" s="2080"/>
      <c r="G253" s="2080"/>
      <c r="H253" s="2080"/>
      <c r="I253" s="2080"/>
    </row>
    <row r="254" spans="1:9">
      <c r="A254" s="2081" t="s">
        <v>468</v>
      </c>
      <c r="B254" s="2080"/>
      <c r="C254" s="2080"/>
      <c r="D254" s="2080"/>
      <c r="E254" s="2080"/>
      <c r="F254" s="2080"/>
      <c r="G254" s="2080"/>
      <c r="H254" s="2080"/>
      <c r="I254" s="2080"/>
    </row>
    <row r="255" spans="1:9">
      <c r="A255" s="2082" t="s">
        <v>469</v>
      </c>
      <c r="B255" s="2082" t="s">
        <v>315</v>
      </c>
      <c r="C255" s="2082" t="s">
        <v>470</v>
      </c>
      <c r="D255" s="2082" t="s">
        <v>446</v>
      </c>
      <c r="E255" s="2082" t="s">
        <v>471</v>
      </c>
      <c r="F255" s="2080"/>
      <c r="G255" s="2080"/>
      <c r="H255" s="2080"/>
      <c r="I255" s="2080"/>
    </row>
    <row r="256" spans="1:10">
      <c r="A256" s="2092">
        <f>IF(未审附注之流动资产!A256="",0,未审附注之流动资产!A256)</f>
        <v>0</v>
      </c>
      <c r="B256" s="2085">
        <f>IF(未审附注之流动资产!B256="",0,未审附注之流动资产!B256)</f>
        <v>0</v>
      </c>
      <c r="C256" s="2085">
        <f>IF(未审附注之流动资产!C256="",0,未审附注之流动资产!C256)</f>
        <v>0</v>
      </c>
      <c r="D256" s="2117">
        <f>IF(B256=0,0,ROUND(C256/B256,4))</f>
        <v>0</v>
      </c>
      <c r="E256" s="2092">
        <f>IF(未审附注之流动资产!E256="",0,未审附注之流动资产!E256)</f>
        <v>0</v>
      </c>
      <c r="F256" s="2080"/>
      <c r="G256" s="2080"/>
      <c r="H256" s="2080"/>
      <c r="I256" s="2080"/>
      <c r="J256" s="2118" t="s">
        <v>472</v>
      </c>
    </row>
    <row r="257" spans="1:10">
      <c r="A257" s="2092">
        <f>IF(未审附注之流动资产!A257="",0,未审附注之流动资产!A257)</f>
        <v>0</v>
      </c>
      <c r="B257" s="2085">
        <f>IF(未审附注之流动资产!B257="",0,未审附注之流动资产!B257)</f>
        <v>0</v>
      </c>
      <c r="C257" s="2085">
        <f>IF(未审附注之流动资产!C257="",0,未审附注之流动资产!C257)</f>
        <v>0</v>
      </c>
      <c r="D257" s="2117">
        <f t="shared" ref="D257:D266" si="2">IF(B257=0,0,ROUND(C257/B257,4))</f>
        <v>0</v>
      </c>
      <c r="E257" s="2092">
        <f>IF(未审附注之流动资产!E257="",0,未审附注之流动资产!E257)</f>
        <v>0</v>
      </c>
      <c r="F257" s="2080"/>
      <c r="G257" s="2080"/>
      <c r="H257" s="2080"/>
      <c r="I257" s="2080"/>
      <c r="J257" s="2118" t="s">
        <v>472</v>
      </c>
    </row>
    <row r="258" spans="1:10">
      <c r="A258" s="2092">
        <f>IF(未审附注之流动资产!A258="",0,未审附注之流动资产!A258)</f>
        <v>0</v>
      </c>
      <c r="B258" s="2085">
        <f>IF(未审附注之流动资产!B258="",0,未审附注之流动资产!B258)</f>
        <v>0</v>
      </c>
      <c r="C258" s="2085">
        <f>IF(未审附注之流动资产!C258="",0,未审附注之流动资产!C258)</f>
        <v>0</v>
      </c>
      <c r="D258" s="2117">
        <f t="shared" si="2"/>
        <v>0</v>
      </c>
      <c r="E258" s="2092">
        <f>IF(未审附注之流动资产!E258="",0,未审附注之流动资产!E258)</f>
        <v>0</v>
      </c>
      <c r="F258" s="2080"/>
      <c r="G258" s="2080"/>
      <c r="H258" s="2080"/>
      <c r="I258" s="2080"/>
      <c r="J258" s="2118" t="s">
        <v>472</v>
      </c>
    </row>
    <row r="259" spans="1:10">
      <c r="A259" s="2092">
        <f>IF(未审附注之流动资产!A259="",0,未审附注之流动资产!A259)</f>
        <v>0</v>
      </c>
      <c r="B259" s="2085">
        <f>IF(未审附注之流动资产!B259="",0,未审附注之流动资产!B259)</f>
        <v>0</v>
      </c>
      <c r="C259" s="2085">
        <f>IF(未审附注之流动资产!C259="",0,未审附注之流动资产!C259)</f>
        <v>0</v>
      </c>
      <c r="D259" s="2117">
        <f t="shared" si="2"/>
        <v>0</v>
      </c>
      <c r="E259" s="2092">
        <f>IF(未审附注之流动资产!E259="",0,未审附注之流动资产!E259)</f>
        <v>0</v>
      </c>
      <c r="F259" s="2080"/>
      <c r="G259" s="2080"/>
      <c r="H259" s="2080"/>
      <c r="I259" s="2080"/>
      <c r="J259" s="2118" t="s">
        <v>472</v>
      </c>
    </row>
    <row r="260" spans="1:10">
      <c r="A260" s="2092">
        <f>IF(未审附注之流动资产!A260="",0,未审附注之流动资产!A260)</f>
        <v>0</v>
      </c>
      <c r="B260" s="2085">
        <f>IF(未审附注之流动资产!B260="",0,未审附注之流动资产!B260)</f>
        <v>0</v>
      </c>
      <c r="C260" s="2085">
        <f>IF(未审附注之流动资产!C260="",0,未审附注之流动资产!C260)</f>
        <v>0</v>
      </c>
      <c r="D260" s="2117">
        <f t="shared" si="2"/>
        <v>0</v>
      </c>
      <c r="E260" s="2092">
        <f>IF(未审附注之流动资产!E260="",0,未审附注之流动资产!E260)</f>
        <v>0</v>
      </c>
      <c r="F260" s="2080"/>
      <c r="G260" s="2080"/>
      <c r="H260" s="2080"/>
      <c r="I260" s="2080"/>
      <c r="J260" s="2118" t="s">
        <v>472</v>
      </c>
    </row>
    <row r="261" spans="1:10">
      <c r="A261" s="2092">
        <f>IF(未审附注之流动资产!A261="",0,未审附注之流动资产!A261)</f>
        <v>0</v>
      </c>
      <c r="B261" s="2085">
        <f>IF(未审附注之流动资产!B261="",0,未审附注之流动资产!B261)</f>
        <v>0</v>
      </c>
      <c r="C261" s="2085">
        <f>IF(未审附注之流动资产!C261="",0,未审附注之流动资产!C261)</f>
        <v>0</v>
      </c>
      <c r="D261" s="2117">
        <f t="shared" si="2"/>
        <v>0</v>
      </c>
      <c r="E261" s="2092">
        <f>IF(未审附注之流动资产!E261="",0,未审附注之流动资产!E261)</f>
        <v>0</v>
      </c>
      <c r="F261" s="2080"/>
      <c r="G261" s="2080"/>
      <c r="H261" s="2080"/>
      <c r="I261" s="2080"/>
      <c r="J261" s="2118" t="s">
        <v>472</v>
      </c>
    </row>
    <row r="262" spans="1:10">
      <c r="A262" s="2092">
        <f>IF(未审附注之流动资产!A262="",0,未审附注之流动资产!A262)</f>
        <v>0</v>
      </c>
      <c r="B262" s="2085">
        <f>IF(未审附注之流动资产!B262="",0,未审附注之流动资产!B262)</f>
        <v>0</v>
      </c>
      <c r="C262" s="2085">
        <f>IF(未审附注之流动资产!C262="",0,未审附注之流动资产!C262)</f>
        <v>0</v>
      </c>
      <c r="D262" s="2117">
        <f t="shared" si="2"/>
        <v>0</v>
      </c>
      <c r="E262" s="2092">
        <f>IF(未审附注之流动资产!E262="",0,未审附注之流动资产!E262)</f>
        <v>0</v>
      </c>
      <c r="F262" s="2080"/>
      <c r="G262" s="2080"/>
      <c r="H262" s="2080"/>
      <c r="I262" s="2080"/>
      <c r="J262" s="2118" t="s">
        <v>472</v>
      </c>
    </row>
    <row r="263" spans="1:10">
      <c r="A263" s="2092">
        <f>IF(未审附注之流动资产!A263="",0,未审附注之流动资产!A263)</f>
        <v>0</v>
      </c>
      <c r="B263" s="2085">
        <f>IF(未审附注之流动资产!B263="",0,未审附注之流动资产!B263)</f>
        <v>0</v>
      </c>
      <c r="C263" s="2085">
        <f>IF(未审附注之流动资产!C263="",0,未审附注之流动资产!C263)</f>
        <v>0</v>
      </c>
      <c r="D263" s="2117">
        <f t="shared" si="2"/>
        <v>0</v>
      </c>
      <c r="E263" s="2092">
        <f>IF(未审附注之流动资产!E263="",0,未审附注之流动资产!E263)</f>
        <v>0</v>
      </c>
      <c r="F263" s="2080"/>
      <c r="G263" s="2080"/>
      <c r="H263" s="2080"/>
      <c r="I263" s="2080"/>
      <c r="J263" s="2118" t="s">
        <v>472</v>
      </c>
    </row>
    <row r="264" spans="1:10">
      <c r="A264" s="2092">
        <f>IF(未审附注之流动资产!A264="",0,未审附注之流动资产!A264)</f>
        <v>0</v>
      </c>
      <c r="B264" s="2085">
        <f>IF(未审附注之流动资产!B264="",0,未审附注之流动资产!B264)</f>
        <v>0</v>
      </c>
      <c r="C264" s="2085">
        <f>IF(未审附注之流动资产!C264="",0,未审附注之流动资产!C264)</f>
        <v>0</v>
      </c>
      <c r="D264" s="2117">
        <f t="shared" si="2"/>
        <v>0</v>
      </c>
      <c r="E264" s="2092">
        <f>IF(未审附注之流动资产!E264="",0,未审附注之流动资产!E264)</f>
        <v>0</v>
      </c>
      <c r="F264" s="2080"/>
      <c r="G264" s="2080"/>
      <c r="H264" s="2080"/>
      <c r="I264" s="2080"/>
      <c r="J264" s="2118" t="s">
        <v>472</v>
      </c>
    </row>
    <row r="265" spans="1:10">
      <c r="A265" s="2092">
        <f>IF(未审附注之流动资产!A265="",0,未审附注之流动资产!A265)</f>
        <v>0</v>
      </c>
      <c r="B265" s="2085">
        <f>IF(未审附注之流动资产!B265="",0,未审附注之流动资产!B265)</f>
        <v>0</v>
      </c>
      <c r="C265" s="2085">
        <f>IF(未审附注之流动资产!C265="",0,未审附注之流动资产!C265)</f>
        <v>0</v>
      </c>
      <c r="D265" s="2117">
        <f t="shared" si="2"/>
        <v>0</v>
      </c>
      <c r="E265" s="2092">
        <f>IF(未审附注之流动资产!E265="",0,未审附注之流动资产!E265)</f>
        <v>0</v>
      </c>
      <c r="F265" s="2080"/>
      <c r="G265" s="2080"/>
      <c r="H265" s="2080"/>
      <c r="I265" s="2080"/>
      <c r="J265" s="2118" t="s">
        <v>472</v>
      </c>
    </row>
    <row r="266" spans="1:10">
      <c r="A266" s="2082" t="s">
        <v>384</v>
      </c>
      <c r="B266" s="2048">
        <f>ROUND(SUM(B256:B265),2)</f>
        <v>0</v>
      </c>
      <c r="C266" s="2048">
        <f>ROUND(SUM(C256:C265),2)</f>
        <v>0</v>
      </c>
      <c r="D266" s="2093">
        <f t="shared" si="2"/>
        <v>0</v>
      </c>
      <c r="E266" s="2048"/>
      <c r="F266" s="2080"/>
      <c r="G266" s="2080"/>
      <c r="H266" s="2080"/>
      <c r="I266" s="2080"/>
      <c r="J266" s="2118" t="s">
        <v>473</v>
      </c>
    </row>
    <row r="267" spans="1:9">
      <c r="A267" s="2103"/>
      <c r="B267" s="2080"/>
      <c r="C267" s="2080"/>
      <c r="D267" s="2080"/>
      <c r="E267" s="2080"/>
      <c r="F267" s="2080"/>
      <c r="G267" s="2080"/>
      <c r="H267" s="2080"/>
      <c r="I267" s="2080"/>
    </row>
    <row r="268" spans="1:9">
      <c r="A268" s="2096" t="s">
        <v>474</v>
      </c>
      <c r="B268" s="2080"/>
      <c r="C268" s="2080"/>
      <c r="D268" s="2080"/>
      <c r="E268" s="2080"/>
      <c r="F268" s="2080"/>
      <c r="G268" s="2080"/>
      <c r="H268" s="2080"/>
      <c r="I268" s="2080"/>
    </row>
    <row r="269" spans="1:9">
      <c r="A269" s="2082" t="s">
        <v>314</v>
      </c>
      <c r="B269" s="2082" t="s">
        <v>315</v>
      </c>
      <c r="C269" s="2082" t="s">
        <v>475</v>
      </c>
      <c r="D269" s="2080"/>
      <c r="E269" s="2080"/>
      <c r="F269" s="2080"/>
      <c r="G269" s="2080"/>
      <c r="H269" s="2080"/>
      <c r="I269" s="2080"/>
    </row>
    <row r="270" spans="1:10">
      <c r="A270" s="2092">
        <f>IF(未审附注之流动资产!A270="",0,未审附注之流动资产!A270)</f>
        <v>0</v>
      </c>
      <c r="B270" s="2085">
        <f>IF(未审附注之流动资产!B270="",0,未审附注之流动资产!B270)</f>
        <v>0</v>
      </c>
      <c r="C270" s="2092">
        <f>IF(未审附注之流动资产!C270="",0,未审附注之流动资产!C270)</f>
        <v>0</v>
      </c>
      <c r="D270" s="2080"/>
      <c r="E270" s="2080"/>
      <c r="F270" s="2080"/>
      <c r="G270" s="2080"/>
      <c r="H270" s="2080"/>
      <c r="I270" s="2080"/>
      <c r="J270" s="2118" t="s">
        <v>476</v>
      </c>
    </row>
    <row r="271" spans="1:10">
      <c r="A271" s="2092">
        <f>IF(未审附注之流动资产!A271="",0,未审附注之流动资产!A271)</f>
        <v>0</v>
      </c>
      <c r="B271" s="2085">
        <f>IF(未审附注之流动资产!B271="",0,未审附注之流动资产!B271)</f>
        <v>0</v>
      </c>
      <c r="C271" s="2092">
        <f>IF(未审附注之流动资产!C271="",0,未审附注之流动资产!C271)</f>
        <v>0</v>
      </c>
      <c r="D271" s="2080"/>
      <c r="E271" s="2080"/>
      <c r="F271" s="2080"/>
      <c r="G271" s="2080"/>
      <c r="H271" s="2080"/>
      <c r="I271" s="2080"/>
      <c r="J271" s="2118" t="s">
        <v>476</v>
      </c>
    </row>
    <row r="272" spans="1:10">
      <c r="A272" s="2092">
        <f>IF(未审附注之流动资产!A272="",0,未审附注之流动资产!A272)</f>
        <v>0</v>
      </c>
      <c r="B272" s="2085">
        <f>IF(未审附注之流动资产!B272="",0,未审附注之流动资产!B272)</f>
        <v>0</v>
      </c>
      <c r="C272" s="2092">
        <f>IF(未审附注之流动资产!C272="",0,未审附注之流动资产!C272)</f>
        <v>0</v>
      </c>
      <c r="D272" s="2080"/>
      <c r="E272" s="2080"/>
      <c r="F272" s="2080"/>
      <c r="G272" s="2080"/>
      <c r="H272" s="2080"/>
      <c r="I272" s="2080"/>
      <c r="J272" s="2118" t="s">
        <v>476</v>
      </c>
    </row>
    <row r="273" spans="1:10">
      <c r="A273" s="2092">
        <f>IF(未审附注之流动资产!A273="",0,未审附注之流动资产!A273)</f>
        <v>0</v>
      </c>
      <c r="B273" s="2085">
        <f>IF(未审附注之流动资产!B273="",0,未审附注之流动资产!B273)</f>
        <v>0</v>
      </c>
      <c r="C273" s="2092">
        <f>IF(未审附注之流动资产!C273="",0,未审附注之流动资产!C273)</f>
        <v>0</v>
      </c>
      <c r="D273" s="2080"/>
      <c r="E273" s="2080"/>
      <c r="F273" s="2080"/>
      <c r="G273" s="2080"/>
      <c r="H273" s="2080"/>
      <c r="I273" s="2080"/>
      <c r="J273" s="2118" t="s">
        <v>476</v>
      </c>
    </row>
    <row r="274" spans="1:10">
      <c r="A274" s="2092">
        <f>IF(未审附注之流动资产!A274="",0,未审附注之流动资产!A274)</f>
        <v>0</v>
      </c>
      <c r="B274" s="2085">
        <f>IF(未审附注之流动资产!B274="",0,未审附注之流动资产!B274)</f>
        <v>0</v>
      </c>
      <c r="C274" s="2092">
        <f>IF(未审附注之流动资产!C274="",0,未审附注之流动资产!C274)</f>
        <v>0</v>
      </c>
      <c r="D274" s="2080"/>
      <c r="E274" s="2080"/>
      <c r="F274" s="2080"/>
      <c r="G274" s="2080"/>
      <c r="H274" s="2080"/>
      <c r="I274" s="2080"/>
      <c r="J274" s="2118" t="s">
        <v>476</v>
      </c>
    </row>
    <row r="275" spans="1:10">
      <c r="A275" s="2092">
        <f>IF(未审附注之流动资产!A275="",0,未审附注之流动资产!A275)</f>
        <v>0</v>
      </c>
      <c r="B275" s="2085">
        <f>IF(未审附注之流动资产!B275="",0,未审附注之流动资产!B275)</f>
        <v>0</v>
      </c>
      <c r="C275" s="2092">
        <f>IF(未审附注之流动资产!C275="",0,未审附注之流动资产!C275)</f>
        <v>0</v>
      </c>
      <c r="D275" s="2080"/>
      <c r="E275" s="2080"/>
      <c r="F275" s="2080"/>
      <c r="G275" s="2080"/>
      <c r="H275" s="2080"/>
      <c r="I275" s="2080"/>
      <c r="J275" s="2118" t="s">
        <v>476</v>
      </c>
    </row>
    <row r="276" spans="1:10">
      <c r="A276" s="2092">
        <f>IF(未审附注之流动资产!A276="",0,未审附注之流动资产!A276)</f>
        <v>0</v>
      </c>
      <c r="B276" s="2085">
        <f>IF(未审附注之流动资产!B276="",0,未审附注之流动资产!B276)</f>
        <v>0</v>
      </c>
      <c r="C276" s="2092">
        <f>IF(未审附注之流动资产!C276="",0,未审附注之流动资产!C276)</f>
        <v>0</v>
      </c>
      <c r="D276" s="2080"/>
      <c r="E276" s="2080"/>
      <c r="F276" s="2080"/>
      <c r="G276" s="2080"/>
      <c r="H276" s="2080"/>
      <c r="I276" s="2080"/>
      <c r="J276" s="2118" t="s">
        <v>476</v>
      </c>
    </row>
    <row r="277" spans="1:10">
      <c r="A277" s="2092">
        <f>IF(未审附注之流动资产!A277="",0,未审附注之流动资产!A277)</f>
        <v>0</v>
      </c>
      <c r="B277" s="2085">
        <f>IF(未审附注之流动资产!B277="",0,未审附注之流动资产!B277)</f>
        <v>0</v>
      </c>
      <c r="C277" s="2092">
        <f>IF(未审附注之流动资产!C277="",0,未审附注之流动资产!C277)</f>
        <v>0</v>
      </c>
      <c r="D277" s="2080"/>
      <c r="E277" s="2080"/>
      <c r="F277" s="2080"/>
      <c r="G277" s="2080"/>
      <c r="H277" s="2080"/>
      <c r="I277" s="2080"/>
      <c r="J277" s="2118" t="s">
        <v>476</v>
      </c>
    </row>
    <row r="278" spans="1:10">
      <c r="A278" s="2092">
        <f>IF(未审附注之流动资产!A278="",0,未审附注之流动资产!A278)</f>
        <v>0</v>
      </c>
      <c r="B278" s="2085">
        <f>IF(未审附注之流动资产!B278="",0,未审附注之流动资产!B278)</f>
        <v>0</v>
      </c>
      <c r="C278" s="2092">
        <f>IF(未审附注之流动资产!C278="",0,未审附注之流动资产!C278)</f>
        <v>0</v>
      </c>
      <c r="D278" s="2080"/>
      <c r="E278" s="2080"/>
      <c r="F278" s="2080"/>
      <c r="G278" s="2080"/>
      <c r="H278" s="2080"/>
      <c r="I278" s="2080"/>
      <c r="J278" s="2118" t="s">
        <v>476</v>
      </c>
    </row>
    <row r="279" spans="1:10">
      <c r="A279" s="2092">
        <f>IF(未审附注之流动资产!A279="",0,未审附注之流动资产!A279)</f>
        <v>0</v>
      </c>
      <c r="B279" s="2085">
        <f>IF(未审附注之流动资产!B279="",0,未审附注之流动资产!B279)</f>
        <v>0</v>
      </c>
      <c r="C279" s="2092">
        <f>IF(未审附注之流动资产!C279="",0,未审附注之流动资产!C279)</f>
        <v>0</v>
      </c>
      <c r="D279" s="2080"/>
      <c r="E279" s="2080"/>
      <c r="F279" s="2080"/>
      <c r="G279" s="2080"/>
      <c r="H279" s="2080"/>
      <c r="I279" s="2080"/>
      <c r="J279" s="2118" t="s">
        <v>476</v>
      </c>
    </row>
    <row r="280" spans="1:10">
      <c r="A280" s="2082" t="s">
        <v>384</v>
      </c>
      <c r="B280" s="2048">
        <f>ROUND(SUM(B270:B279),2)</f>
        <v>0</v>
      </c>
      <c r="C280" s="2048"/>
      <c r="D280" s="2080"/>
      <c r="E280" s="2080"/>
      <c r="F280" s="2080"/>
      <c r="G280" s="2080"/>
      <c r="H280" s="2080"/>
      <c r="I280" s="2080"/>
      <c r="J280" s="2118" t="s">
        <v>477</v>
      </c>
    </row>
    <row r="281" spans="1:9">
      <c r="A281" s="2103"/>
      <c r="B281" s="2080"/>
      <c r="C281" s="2080"/>
      <c r="D281" s="2080"/>
      <c r="E281" s="2080"/>
      <c r="F281" s="2080"/>
      <c r="G281" s="2080"/>
      <c r="H281" s="2080"/>
      <c r="I281" s="2080"/>
    </row>
    <row r="282" spans="1:9">
      <c r="A282" s="2096" t="s">
        <v>478</v>
      </c>
      <c r="B282" s="2080"/>
      <c r="C282" s="2080"/>
      <c r="D282" s="2080"/>
      <c r="E282" s="2080"/>
      <c r="F282" s="2080"/>
      <c r="G282" s="2080"/>
      <c r="H282" s="2080"/>
      <c r="I282" s="2080"/>
    </row>
    <row r="283" spans="1:9">
      <c r="A283" s="2082" t="s">
        <v>314</v>
      </c>
      <c r="B283" s="2082" t="s">
        <v>479</v>
      </c>
      <c r="C283" s="2082" t="s">
        <v>480</v>
      </c>
      <c r="D283" s="2082" t="s">
        <v>481</v>
      </c>
      <c r="E283" s="2082" t="s">
        <v>482</v>
      </c>
      <c r="F283" s="2082" t="s">
        <v>483</v>
      </c>
      <c r="G283" s="2080"/>
      <c r="H283" s="2080"/>
      <c r="I283" s="2080"/>
    </row>
    <row r="284" spans="1:10">
      <c r="A284" s="2092">
        <f>IF(未审附注之流动资产!A284="",0,未审附注之流动资产!A284)</f>
        <v>0</v>
      </c>
      <c r="B284" s="2085">
        <f>IF(未审附注之流动资产!B284="",0,未审附注之流动资产!B284)</f>
        <v>0</v>
      </c>
      <c r="C284" s="2085">
        <f>IF(未审附注之流动资产!C284="",0,未审附注之流动资产!C284)</f>
        <v>0</v>
      </c>
      <c r="D284" s="2092">
        <f>IF(未审附注之流动资产!D284="",0,未审附注之流动资产!D284)</f>
        <v>0</v>
      </c>
      <c r="E284" s="2092">
        <f>IF(未审附注之流动资产!E284="",0,未审附注之流动资产!E284)</f>
        <v>0</v>
      </c>
      <c r="F284" s="2092">
        <f>IF(未审附注之流动资产!F284="",0,未审附注之流动资产!F284)</f>
        <v>0</v>
      </c>
      <c r="G284" s="2080"/>
      <c r="H284" s="2080"/>
      <c r="I284" s="2080"/>
      <c r="J284" s="2118" t="s">
        <v>484</v>
      </c>
    </row>
    <row r="285" spans="1:10">
      <c r="A285" s="2092">
        <f>IF(未审附注之流动资产!A285="",0,未审附注之流动资产!A285)</f>
        <v>0</v>
      </c>
      <c r="B285" s="2085">
        <f>IF(未审附注之流动资产!B285="",0,未审附注之流动资产!B285)</f>
        <v>0</v>
      </c>
      <c r="C285" s="2085">
        <f>IF(未审附注之流动资产!C285="",0,未审附注之流动资产!C285)</f>
        <v>0</v>
      </c>
      <c r="D285" s="2092">
        <f>IF(未审附注之流动资产!D285="",0,未审附注之流动资产!D285)</f>
        <v>0</v>
      </c>
      <c r="E285" s="2092">
        <f>IF(未审附注之流动资产!E285="",0,未审附注之流动资产!E285)</f>
        <v>0</v>
      </c>
      <c r="F285" s="2092">
        <f>IF(未审附注之流动资产!F285="",0,未审附注之流动资产!F285)</f>
        <v>0</v>
      </c>
      <c r="G285" s="2080"/>
      <c r="H285" s="2080"/>
      <c r="I285" s="2080"/>
      <c r="J285" s="2118" t="s">
        <v>484</v>
      </c>
    </row>
    <row r="286" spans="1:10">
      <c r="A286" s="2092">
        <f>IF(未审附注之流动资产!A286="",0,未审附注之流动资产!A286)</f>
        <v>0</v>
      </c>
      <c r="B286" s="2085">
        <f>IF(未审附注之流动资产!B286="",0,未审附注之流动资产!B286)</f>
        <v>0</v>
      </c>
      <c r="C286" s="2085">
        <f>IF(未审附注之流动资产!C286="",0,未审附注之流动资产!C286)</f>
        <v>0</v>
      </c>
      <c r="D286" s="2092">
        <f>IF(未审附注之流动资产!D286="",0,未审附注之流动资产!D286)</f>
        <v>0</v>
      </c>
      <c r="E286" s="2092">
        <f>IF(未审附注之流动资产!E286="",0,未审附注之流动资产!E286)</f>
        <v>0</v>
      </c>
      <c r="F286" s="2092">
        <f>IF(未审附注之流动资产!F286="",0,未审附注之流动资产!F286)</f>
        <v>0</v>
      </c>
      <c r="G286" s="2080"/>
      <c r="H286" s="2080"/>
      <c r="I286" s="2080"/>
      <c r="J286" s="2118" t="s">
        <v>484</v>
      </c>
    </row>
    <row r="287" spans="1:10">
      <c r="A287" s="2092">
        <f>IF(未审附注之流动资产!A287="",0,未审附注之流动资产!A287)</f>
        <v>0</v>
      </c>
      <c r="B287" s="2085">
        <f>IF(未审附注之流动资产!B287="",0,未审附注之流动资产!B287)</f>
        <v>0</v>
      </c>
      <c r="C287" s="2085">
        <f>IF(未审附注之流动资产!C287="",0,未审附注之流动资产!C287)</f>
        <v>0</v>
      </c>
      <c r="D287" s="2092">
        <f>IF(未审附注之流动资产!D287="",0,未审附注之流动资产!D287)</f>
        <v>0</v>
      </c>
      <c r="E287" s="2092">
        <f>IF(未审附注之流动资产!E287="",0,未审附注之流动资产!E287)</f>
        <v>0</v>
      </c>
      <c r="F287" s="2092">
        <f>IF(未审附注之流动资产!F287="",0,未审附注之流动资产!F287)</f>
        <v>0</v>
      </c>
      <c r="G287" s="2080"/>
      <c r="H287" s="2080"/>
      <c r="I287" s="2080"/>
      <c r="J287" s="2118" t="s">
        <v>484</v>
      </c>
    </row>
    <row r="288" spans="1:10">
      <c r="A288" s="2092">
        <f>IF(未审附注之流动资产!A288="",0,未审附注之流动资产!A288)</f>
        <v>0</v>
      </c>
      <c r="B288" s="2085">
        <f>IF(未审附注之流动资产!B288="",0,未审附注之流动资产!B288)</f>
        <v>0</v>
      </c>
      <c r="C288" s="2085">
        <f>IF(未审附注之流动资产!C288="",0,未审附注之流动资产!C288)</f>
        <v>0</v>
      </c>
      <c r="D288" s="2092">
        <f>IF(未审附注之流动资产!D288="",0,未审附注之流动资产!D288)</f>
        <v>0</v>
      </c>
      <c r="E288" s="2092">
        <f>IF(未审附注之流动资产!E288="",0,未审附注之流动资产!E288)</f>
        <v>0</v>
      </c>
      <c r="F288" s="2092">
        <f>IF(未审附注之流动资产!F288="",0,未审附注之流动资产!F288)</f>
        <v>0</v>
      </c>
      <c r="G288" s="2080"/>
      <c r="H288" s="2080"/>
      <c r="I288" s="2080"/>
      <c r="J288" s="2118" t="s">
        <v>484</v>
      </c>
    </row>
    <row r="289" spans="1:10">
      <c r="A289" s="2092">
        <f>IF(未审附注之流动资产!A289="",0,未审附注之流动资产!A289)</f>
        <v>0</v>
      </c>
      <c r="B289" s="2085">
        <f>IF(未审附注之流动资产!B289="",0,未审附注之流动资产!B289)</f>
        <v>0</v>
      </c>
      <c r="C289" s="2085">
        <f>IF(未审附注之流动资产!C289="",0,未审附注之流动资产!C289)</f>
        <v>0</v>
      </c>
      <c r="D289" s="2092">
        <f>IF(未审附注之流动资产!D289="",0,未审附注之流动资产!D289)</f>
        <v>0</v>
      </c>
      <c r="E289" s="2092">
        <f>IF(未审附注之流动资产!E289="",0,未审附注之流动资产!E289)</f>
        <v>0</v>
      </c>
      <c r="F289" s="2092">
        <f>IF(未审附注之流动资产!F289="",0,未审附注之流动资产!F289)</f>
        <v>0</v>
      </c>
      <c r="G289" s="2080"/>
      <c r="H289" s="2080"/>
      <c r="I289" s="2080"/>
      <c r="J289" s="2118" t="s">
        <v>484</v>
      </c>
    </row>
    <row r="290" spans="1:10">
      <c r="A290" s="2092">
        <f>IF(未审附注之流动资产!A290="",0,未审附注之流动资产!A290)</f>
        <v>0</v>
      </c>
      <c r="B290" s="2085">
        <f>IF(未审附注之流动资产!B290="",0,未审附注之流动资产!B290)</f>
        <v>0</v>
      </c>
      <c r="C290" s="2085">
        <f>IF(未审附注之流动资产!C290="",0,未审附注之流动资产!C290)</f>
        <v>0</v>
      </c>
      <c r="D290" s="2092">
        <f>IF(未审附注之流动资产!D290="",0,未审附注之流动资产!D290)</f>
        <v>0</v>
      </c>
      <c r="E290" s="2092">
        <f>IF(未审附注之流动资产!E290="",0,未审附注之流动资产!E290)</f>
        <v>0</v>
      </c>
      <c r="F290" s="2092">
        <f>IF(未审附注之流动资产!F290="",0,未审附注之流动资产!F290)</f>
        <v>0</v>
      </c>
      <c r="G290" s="2080"/>
      <c r="H290" s="2080"/>
      <c r="I290" s="2080"/>
      <c r="J290" s="2118" t="s">
        <v>484</v>
      </c>
    </row>
    <row r="291" spans="1:10">
      <c r="A291" s="2092">
        <f>IF(未审附注之流动资产!A291="",0,未审附注之流动资产!A291)</f>
        <v>0</v>
      </c>
      <c r="B291" s="2085">
        <f>IF(未审附注之流动资产!B291="",0,未审附注之流动资产!B291)</f>
        <v>0</v>
      </c>
      <c r="C291" s="2085">
        <f>IF(未审附注之流动资产!C291="",0,未审附注之流动资产!C291)</f>
        <v>0</v>
      </c>
      <c r="D291" s="2092">
        <f>IF(未审附注之流动资产!D291="",0,未审附注之流动资产!D291)</f>
        <v>0</v>
      </c>
      <c r="E291" s="2092">
        <f>IF(未审附注之流动资产!E291="",0,未审附注之流动资产!E291)</f>
        <v>0</v>
      </c>
      <c r="F291" s="2092">
        <f>IF(未审附注之流动资产!F291="",0,未审附注之流动资产!F291)</f>
        <v>0</v>
      </c>
      <c r="G291" s="2080"/>
      <c r="H291" s="2080"/>
      <c r="I291" s="2080"/>
      <c r="J291" s="2118" t="s">
        <v>484</v>
      </c>
    </row>
    <row r="292" spans="1:10">
      <c r="A292" s="2092">
        <f>IF(未审附注之流动资产!A292="",0,未审附注之流动资产!A292)</f>
        <v>0</v>
      </c>
      <c r="B292" s="2085">
        <f>IF(未审附注之流动资产!B292="",0,未审附注之流动资产!B292)</f>
        <v>0</v>
      </c>
      <c r="C292" s="2085">
        <f>IF(未审附注之流动资产!C292="",0,未审附注之流动资产!C292)</f>
        <v>0</v>
      </c>
      <c r="D292" s="2092">
        <f>IF(未审附注之流动资产!D292="",0,未审附注之流动资产!D292)</f>
        <v>0</v>
      </c>
      <c r="E292" s="2092">
        <f>IF(未审附注之流动资产!E292="",0,未审附注之流动资产!E292)</f>
        <v>0</v>
      </c>
      <c r="F292" s="2092">
        <f>IF(未审附注之流动资产!F292="",0,未审附注之流动资产!F292)</f>
        <v>0</v>
      </c>
      <c r="G292" s="2080"/>
      <c r="H292" s="2080"/>
      <c r="I292" s="2080"/>
      <c r="J292" s="2118" t="s">
        <v>484</v>
      </c>
    </row>
    <row r="293" spans="1:10">
      <c r="A293" s="2092">
        <f>IF(未审附注之流动资产!A293="",0,未审附注之流动资产!A293)</f>
        <v>0</v>
      </c>
      <c r="B293" s="2085">
        <f>IF(未审附注之流动资产!B293="",0,未审附注之流动资产!B293)</f>
        <v>0</v>
      </c>
      <c r="C293" s="2085">
        <f>IF(未审附注之流动资产!C293="",0,未审附注之流动资产!C293)</f>
        <v>0</v>
      </c>
      <c r="D293" s="2092">
        <f>IF(未审附注之流动资产!D293="",0,未审附注之流动资产!D293)</f>
        <v>0</v>
      </c>
      <c r="E293" s="2092">
        <f>IF(未审附注之流动资产!E293="",0,未审附注之流动资产!E293)</f>
        <v>0</v>
      </c>
      <c r="F293" s="2092">
        <f>IF(未审附注之流动资产!F293="",0,未审附注之流动资产!F293)</f>
        <v>0</v>
      </c>
      <c r="G293" s="2080"/>
      <c r="H293" s="2080"/>
      <c r="I293" s="2080"/>
      <c r="J293" s="2118" t="s">
        <v>484</v>
      </c>
    </row>
    <row r="294" spans="1:10">
      <c r="A294" s="2082" t="s">
        <v>384</v>
      </c>
      <c r="B294" s="2048">
        <f>ROUND(SUM(B284:B293),2)</f>
        <v>0</v>
      </c>
      <c r="C294" s="2048">
        <f>ROUND(SUM(C284:C293),2)</f>
        <v>0</v>
      </c>
      <c r="D294" s="2093"/>
      <c r="E294" s="2048"/>
      <c r="F294" s="2048"/>
      <c r="G294" s="2080"/>
      <c r="H294" s="2080"/>
      <c r="I294" s="2080"/>
      <c r="J294" s="2118" t="s">
        <v>485</v>
      </c>
    </row>
    <row r="295" spans="1:9">
      <c r="A295" s="2103"/>
      <c r="B295" s="2080"/>
      <c r="C295" s="2080"/>
      <c r="D295" s="2080"/>
      <c r="E295" s="2080"/>
      <c r="F295" s="2080"/>
      <c r="G295" s="2080"/>
      <c r="H295" s="2080"/>
      <c r="I295" s="2080"/>
    </row>
    <row r="296" spans="1:9">
      <c r="A296" s="2096" t="s">
        <v>486</v>
      </c>
      <c r="B296" s="2080"/>
      <c r="C296" s="2080"/>
      <c r="D296" s="2080"/>
      <c r="E296" s="2080"/>
      <c r="F296" s="2080"/>
      <c r="G296" s="2080"/>
      <c r="H296" s="2080"/>
      <c r="I296" s="2080"/>
    </row>
    <row r="297" spans="1:9">
      <c r="A297" s="2082" t="s">
        <v>314</v>
      </c>
      <c r="B297" s="2082" t="s">
        <v>487</v>
      </c>
      <c r="C297" s="2082" t="s">
        <v>488</v>
      </c>
      <c r="D297" s="2082" t="s">
        <v>489</v>
      </c>
      <c r="E297" s="2082" t="s">
        <v>482</v>
      </c>
      <c r="F297" s="2082" t="s">
        <v>490</v>
      </c>
      <c r="G297" s="2080"/>
      <c r="H297" s="2080"/>
      <c r="I297" s="2080"/>
    </row>
    <row r="298" spans="1:10">
      <c r="A298" s="2092">
        <f>IF(未审附注之流动资产!A298="",0,未审附注之流动资产!A298)</f>
        <v>0</v>
      </c>
      <c r="B298" s="2085">
        <f>IF(未审附注之流动资产!B298="",0,未审附注之流动资产!B298)</f>
        <v>0</v>
      </c>
      <c r="C298" s="2092">
        <f>IF(未审附注之流动资产!C298="",0,未审附注之流动资产!C298)</f>
        <v>0</v>
      </c>
      <c r="D298" s="2092">
        <f>IF(未审附注之流动资产!D298="",0,未审附注之流动资产!D298)</f>
        <v>0</v>
      </c>
      <c r="E298" s="2092">
        <f>IF(未审附注之流动资产!E298="",0,未审附注之流动资产!E298)</f>
        <v>0</v>
      </c>
      <c r="F298" s="2092">
        <f>IF(未审附注之流动资产!F298="",0,未审附注之流动资产!F298)</f>
        <v>0</v>
      </c>
      <c r="G298" s="2080"/>
      <c r="H298" s="2080"/>
      <c r="I298" s="2080"/>
      <c r="J298" s="2118" t="s">
        <v>491</v>
      </c>
    </row>
    <row r="299" spans="1:10">
      <c r="A299" s="2092">
        <f>IF(未审附注之流动资产!A299="",0,未审附注之流动资产!A299)</f>
        <v>0</v>
      </c>
      <c r="B299" s="2085">
        <f>IF(未审附注之流动资产!B299="",0,未审附注之流动资产!B299)</f>
        <v>0</v>
      </c>
      <c r="C299" s="2092">
        <f>IF(未审附注之流动资产!C299="",0,未审附注之流动资产!C299)</f>
        <v>0</v>
      </c>
      <c r="D299" s="2092">
        <f>IF(未审附注之流动资产!D299="",0,未审附注之流动资产!D299)</f>
        <v>0</v>
      </c>
      <c r="E299" s="2092">
        <f>IF(未审附注之流动资产!E299="",0,未审附注之流动资产!E299)</f>
        <v>0</v>
      </c>
      <c r="F299" s="2092">
        <f>IF(未审附注之流动资产!F299="",0,未审附注之流动资产!F299)</f>
        <v>0</v>
      </c>
      <c r="G299" s="2080"/>
      <c r="H299" s="2080"/>
      <c r="I299" s="2080"/>
      <c r="J299" s="2118" t="s">
        <v>491</v>
      </c>
    </row>
    <row r="300" spans="1:10">
      <c r="A300" s="2092">
        <f>IF(未审附注之流动资产!A300="",0,未审附注之流动资产!A300)</f>
        <v>0</v>
      </c>
      <c r="B300" s="2085">
        <f>IF(未审附注之流动资产!B300="",0,未审附注之流动资产!B300)</f>
        <v>0</v>
      </c>
      <c r="C300" s="2092">
        <f>IF(未审附注之流动资产!C300="",0,未审附注之流动资产!C300)</f>
        <v>0</v>
      </c>
      <c r="D300" s="2092">
        <f>IF(未审附注之流动资产!D300="",0,未审附注之流动资产!D300)</f>
        <v>0</v>
      </c>
      <c r="E300" s="2092">
        <f>IF(未审附注之流动资产!E300="",0,未审附注之流动资产!E300)</f>
        <v>0</v>
      </c>
      <c r="F300" s="2092">
        <f>IF(未审附注之流动资产!F300="",0,未审附注之流动资产!F300)</f>
        <v>0</v>
      </c>
      <c r="G300" s="2080"/>
      <c r="H300" s="2080"/>
      <c r="I300" s="2080"/>
      <c r="J300" s="2118" t="s">
        <v>491</v>
      </c>
    </row>
    <row r="301" spans="1:10">
      <c r="A301" s="2092">
        <f>IF(未审附注之流动资产!A301="",0,未审附注之流动资产!A301)</f>
        <v>0</v>
      </c>
      <c r="B301" s="2085">
        <f>IF(未审附注之流动资产!B301="",0,未审附注之流动资产!B301)</f>
        <v>0</v>
      </c>
      <c r="C301" s="2092">
        <f>IF(未审附注之流动资产!C301="",0,未审附注之流动资产!C301)</f>
        <v>0</v>
      </c>
      <c r="D301" s="2092">
        <f>IF(未审附注之流动资产!D301="",0,未审附注之流动资产!D301)</f>
        <v>0</v>
      </c>
      <c r="E301" s="2092">
        <f>IF(未审附注之流动资产!E301="",0,未审附注之流动资产!E301)</f>
        <v>0</v>
      </c>
      <c r="F301" s="2092">
        <f>IF(未审附注之流动资产!F301="",0,未审附注之流动资产!F301)</f>
        <v>0</v>
      </c>
      <c r="G301" s="2080"/>
      <c r="H301" s="2080"/>
      <c r="I301" s="2080"/>
      <c r="J301" s="2118" t="s">
        <v>491</v>
      </c>
    </row>
    <row r="302" spans="1:10">
      <c r="A302" s="2092">
        <f>IF(未审附注之流动资产!A302="",0,未审附注之流动资产!A302)</f>
        <v>0</v>
      </c>
      <c r="B302" s="2085">
        <f>IF(未审附注之流动资产!B302="",0,未审附注之流动资产!B302)</f>
        <v>0</v>
      </c>
      <c r="C302" s="2092">
        <f>IF(未审附注之流动资产!C302="",0,未审附注之流动资产!C302)</f>
        <v>0</v>
      </c>
      <c r="D302" s="2092">
        <f>IF(未审附注之流动资产!D302="",0,未审附注之流动资产!D302)</f>
        <v>0</v>
      </c>
      <c r="E302" s="2092">
        <f>IF(未审附注之流动资产!E302="",0,未审附注之流动资产!E302)</f>
        <v>0</v>
      </c>
      <c r="F302" s="2092">
        <f>IF(未审附注之流动资产!F302="",0,未审附注之流动资产!F302)</f>
        <v>0</v>
      </c>
      <c r="G302" s="2080"/>
      <c r="H302" s="2080"/>
      <c r="I302" s="2080"/>
      <c r="J302" s="2118" t="s">
        <v>491</v>
      </c>
    </row>
    <row r="303" spans="1:10">
      <c r="A303" s="2092">
        <f>IF(未审附注之流动资产!A303="",0,未审附注之流动资产!A303)</f>
        <v>0</v>
      </c>
      <c r="B303" s="2085">
        <f>IF(未审附注之流动资产!B303="",0,未审附注之流动资产!B303)</f>
        <v>0</v>
      </c>
      <c r="C303" s="2092">
        <f>IF(未审附注之流动资产!C303="",0,未审附注之流动资产!C303)</f>
        <v>0</v>
      </c>
      <c r="D303" s="2092">
        <f>IF(未审附注之流动资产!D303="",0,未审附注之流动资产!D303)</f>
        <v>0</v>
      </c>
      <c r="E303" s="2092">
        <f>IF(未审附注之流动资产!E303="",0,未审附注之流动资产!E303)</f>
        <v>0</v>
      </c>
      <c r="F303" s="2092">
        <f>IF(未审附注之流动资产!F303="",0,未审附注之流动资产!F303)</f>
        <v>0</v>
      </c>
      <c r="G303" s="2080"/>
      <c r="H303" s="2080"/>
      <c r="I303" s="2080"/>
      <c r="J303" s="2118" t="s">
        <v>491</v>
      </c>
    </row>
    <row r="304" spans="1:10">
      <c r="A304" s="2092">
        <f>IF(未审附注之流动资产!A304="",0,未审附注之流动资产!A304)</f>
        <v>0</v>
      </c>
      <c r="B304" s="2085">
        <f>IF(未审附注之流动资产!B304="",0,未审附注之流动资产!B304)</f>
        <v>0</v>
      </c>
      <c r="C304" s="2092">
        <f>IF(未审附注之流动资产!C304="",0,未审附注之流动资产!C304)</f>
        <v>0</v>
      </c>
      <c r="D304" s="2092">
        <f>IF(未审附注之流动资产!D304="",0,未审附注之流动资产!D304)</f>
        <v>0</v>
      </c>
      <c r="E304" s="2092">
        <f>IF(未审附注之流动资产!E304="",0,未审附注之流动资产!E304)</f>
        <v>0</v>
      </c>
      <c r="F304" s="2092">
        <f>IF(未审附注之流动资产!F304="",0,未审附注之流动资产!F304)</f>
        <v>0</v>
      </c>
      <c r="G304" s="2080"/>
      <c r="H304" s="2080"/>
      <c r="I304" s="2080"/>
      <c r="J304" s="2118" t="s">
        <v>491</v>
      </c>
    </row>
    <row r="305" spans="1:10">
      <c r="A305" s="2092">
        <f>IF(未审附注之流动资产!A305="",0,未审附注之流动资产!A305)</f>
        <v>0</v>
      </c>
      <c r="B305" s="2085">
        <f>IF(未审附注之流动资产!B305="",0,未审附注之流动资产!B305)</f>
        <v>0</v>
      </c>
      <c r="C305" s="2092">
        <f>IF(未审附注之流动资产!C305="",0,未审附注之流动资产!C305)</f>
        <v>0</v>
      </c>
      <c r="D305" s="2092">
        <f>IF(未审附注之流动资产!D305="",0,未审附注之流动资产!D305)</f>
        <v>0</v>
      </c>
      <c r="E305" s="2092">
        <f>IF(未审附注之流动资产!E305="",0,未审附注之流动资产!E305)</f>
        <v>0</v>
      </c>
      <c r="F305" s="2092">
        <f>IF(未审附注之流动资产!F305="",0,未审附注之流动资产!F305)</f>
        <v>0</v>
      </c>
      <c r="G305" s="2080"/>
      <c r="H305" s="2080"/>
      <c r="I305" s="2080"/>
      <c r="J305" s="2118" t="s">
        <v>491</v>
      </c>
    </row>
    <row r="306" spans="1:10">
      <c r="A306" s="2092">
        <f>IF(未审附注之流动资产!A306="",0,未审附注之流动资产!A306)</f>
        <v>0</v>
      </c>
      <c r="B306" s="2085">
        <f>IF(未审附注之流动资产!B306="",0,未审附注之流动资产!B306)</f>
        <v>0</v>
      </c>
      <c r="C306" s="2092">
        <f>IF(未审附注之流动资产!C306="",0,未审附注之流动资产!C306)</f>
        <v>0</v>
      </c>
      <c r="D306" s="2092">
        <f>IF(未审附注之流动资产!D306="",0,未审附注之流动资产!D306)</f>
        <v>0</v>
      </c>
      <c r="E306" s="2092">
        <f>IF(未审附注之流动资产!E306="",0,未审附注之流动资产!E306)</f>
        <v>0</v>
      </c>
      <c r="F306" s="2092">
        <f>IF(未审附注之流动资产!F306="",0,未审附注之流动资产!F306)</f>
        <v>0</v>
      </c>
      <c r="G306" s="2080"/>
      <c r="H306" s="2080"/>
      <c r="I306" s="2080"/>
      <c r="J306" s="2118" t="s">
        <v>491</v>
      </c>
    </row>
    <row r="307" spans="1:10">
      <c r="A307" s="2092">
        <f>IF(未审附注之流动资产!A307="",0,未审附注之流动资产!A307)</f>
        <v>0</v>
      </c>
      <c r="B307" s="2085">
        <f>IF(未审附注之流动资产!B307="",0,未审附注之流动资产!B307)</f>
        <v>0</v>
      </c>
      <c r="C307" s="2092">
        <f>IF(未审附注之流动资产!C307="",0,未审附注之流动资产!C307)</f>
        <v>0</v>
      </c>
      <c r="D307" s="2092">
        <f>IF(未审附注之流动资产!D307="",0,未审附注之流动资产!D307)</f>
        <v>0</v>
      </c>
      <c r="E307" s="2092">
        <f>IF(未审附注之流动资产!E307="",0,未审附注之流动资产!E307)</f>
        <v>0</v>
      </c>
      <c r="F307" s="2092">
        <f>IF(未审附注之流动资产!F307="",0,未审附注之流动资产!F307)</f>
        <v>0</v>
      </c>
      <c r="G307" s="2080"/>
      <c r="H307" s="2080"/>
      <c r="I307" s="2080"/>
      <c r="J307" s="2118" t="s">
        <v>491</v>
      </c>
    </row>
    <row r="308" spans="1:10">
      <c r="A308" s="2082" t="s">
        <v>384</v>
      </c>
      <c r="B308" s="2048">
        <f>ROUND(SUM(B298:B307),2)</f>
        <v>0</v>
      </c>
      <c r="C308" s="2048"/>
      <c r="D308" s="2093">
        <f>IF(B308=0,0,ROUND(C308/B308,4))</f>
        <v>0</v>
      </c>
      <c r="E308" s="2048"/>
      <c r="F308" s="2048"/>
      <c r="G308" s="2080"/>
      <c r="H308" s="2080"/>
      <c r="I308" s="2080"/>
      <c r="J308" s="2118" t="s">
        <v>492</v>
      </c>
    </row>
    <row r="309" spans="1:9">
      <c r="A309" s="2103"/>
      <c r="B309" s="2080"/>
      <c r="C309" s="2080"/>
      <c r="D309" s="2080"/>
      <c r="E309" s="2080"/>
      <c r="F309" s="2080"/>
      <c r="G309" s="2080"/>
      <c r="H309" s="2080"/>
      <c r="I309" s="2080"/>
    </row>
    <row r="310" spans="1:9">
      <c r="A310" s="2096" t="s">
        <v>493</v>
      </c>
      <c r="B310" s="2080"/>
      <c r="C310" s="2080"/>
      <c r="D310" s="2080"/>
      <c r="E310" s="2080"/>
      <c r="F310" s="2080"/>
      <c r="G310" s="2080"/>
      <c r="H310" s="2080"/>
      <c r="I310" s="2080"/>
    </row>
    <row r="311" spans="1:10">
      <c r="A311" s="2082" t="s">
        <v>494</v>
      </c>
      <c r="B311" s="2082" t="s">
        <v>315</v>
      </c>
      <c r="C311" s="2082" t="s">
        <v>316</v>
      </c>
      <c r="D311" s="2082" t="s">
        <v>495</v>
      </c>
      <c r="E311" s="2080"/>
      <c r="F311" s="2080"/>
      <c r="G311" s="2080"/>
      <c r="H311" s="2080"/>
      <c r="I311" s="2080"/>
      <c r="J311" s="2076"/>
    </row>
    <row r="312" spans="1:10">
      <c r="A312" s="2092">
        <f>IF(未审附注之流动资产!A312="",0,未审附注之流动资产!A312)</f>
        <v>0</v>
      </c>
      <c r="B312" s="2085">
        <f>IF(未审附注之流动资产!B312="",0,未审附注之流动资产!B312)</f>
        <v>0</v>
      </c>
      <c r="C312" s="2085">
        <f>IF(未审附注之流动资产!C312="",0,未审附注之流动资产!C312)</f>
        <v>0</v>
      </c>
      <c r="D312" s="2092">
        <f>IF(未审附注之流动资产!D312="",0,未审附注之流动资产!D312)</f>
        <v>0</v>
      </c>
      <c r="E312" s="2080"/>
      <c r="F312" s="2080"/>
      <c r="G312" s="2080"/>
      <c r="H312" s="2080"/>
      <c r="I312" s="2080"/>
      <c r="J312" s="2118" t="s">
        <v>496</v>
      </c>
    </row>
    <row r="313" spans="1:10">
      <c r="A313" s="2092">
        <f>IF(未审附注之流动资产!A313="",0,未审附注之流动资产!A313)</f>
        <v>0</v>
      </c>
      <c r="B313" s="2085">
        <f>IF(未审附注之流动资产!B313="",0,未审附注之流动资产!B313)</f>
        <v>0</v>
      </c>
      <c r="C313" s="2085">
        <f>IF(未审附注之流动资产!C313="",0,未审附注之流动资产!C313)</f>
        <v>0</v>
      </c>
      <c r="D313" s="2092">
        <f>IF(未审附注之流动资产!D313="",0,未审附注之流动资产!D313)</f>
        <v>0</v>
      </c>
      <c r="E313" s="2080"/>
      <c r="F313" s="2080"/>
      <c r="G313" s="2080"/>
      <c r="H313" s="2080"/>
      <c r="I313" s="2080"/>
      <c r="J313" s="2118" t="s">
        <v>496</v>
      </c>
    </row>
    <row r="314" spans="1:10">
      <c r="A314" s="2092">
        <f>IF(未审附注之流动资产!A314="",0,未审附注之流动资产!A314)</f>
        <v>0</v>
      </c>
      <c r="B314" s="2085">
        <f>IF(未审附注之流动资产!B314="",0,未审附注之流动资产!B314)</f>
        <v>0</v>
      </c>
      <c r="C314" s="2085">
        <f>IF(未审附注之流动资产!C314="",0,未审附注之流动资产!C314)</f>
        <v>0</v>
      </c>
      <c r="D314" s="2092">
        <f>IF(未审附注之流动资产!D314="",0,未审附注之流动资产!D314)</f>
        <v>0</v>
      </c>
      <c r="E314" s="2080"/>
      <c r="F314" s="2080"/>
      <c r="G314" s="2080"/>
      <c r="H314" s="2080"/>
      <c r="I314" s="2080"/>
      <c r="J314" s="2118" t="s">
        <v>496</v>
      </c>
    </row>
    <row r="315" spans="1:10">
      <c r="A315" s="2092">
        <f>IF(未审附注之流动资产!A315="",0,未审附注之流动资产!A315)</f>
        <v>0</v>
      </c>
      <c r="B315" s="2085">
        <f>IF(未审附注之流动资产!B315="",0,未审附注之流动资产!B315)</f>
        <v>0</v>
      </c>
      <c r="C315" s="2085">
        <f>IF(未审附注之流动资产!C315="",0,未审附注之流动资产!C315)</f>
        <v>0</v>
      </c>
      <c r="D315" s="2092">
        <f>IF(未审附注之流动资产!D315="",0,未审附注之流动资产!D315)</f>
        <v>0</v>
      </c>
      <c r="E315" s="2080"/>
      <c r="F315" s="2080"/>
      <c r="G315" s="2080"/>
      <c r="H315" s="2080"/>
      <c r="I315" s="2080"/>
      <c r="J315" s="2118" t="s">
        <v>496</v>
      </c>
    </row>
    <row r="316" spans="1:10">
      <c r="A316" s="2092">
        <f>IF(未审附注之流动资产!A316="",0,未审附注之流动资产!A316)</f>
        <v>0</v>
      </c>
      <c r="B316" s="2085">
        <f>IF(未审附注之流动资产!B316="",0,未审附注之流动资产!B316)</f>
        <v>0</v>
      </c>
      <c r="C316" s="2085">
        <f>IF(未审附注之流动资产!C316="",0,未审附注之流动资产!C316)</f>
        <v>0</v>
      </c>
      <c r="D316" s="2092">
        <f>IF(未审附注之流动资产!D316="",0,未审附注之流动资产!D316)</f>
        <v>0</v>
      </c>
      <c r="E316" s="2080"/>
      <c r="F316" s="2080"/>
      <c r="G316" s="2080"/>
      <c r="H316" s="2080"/>
      <c r="I316" s="2080"/>
      <c r="J316" s="2118" t="s">
        <v>496</v>
      </c>
    </row>
    <row r="317" spans="1:10">
      <c r="A317" s="2092">
        <f>IF(未审附注之流动资产!A317="",0,未审附注之流动资产!A317)</f>
        <v>0</v>
      </c>
      <c r="B317" s="2085">
        <f>IF(未审附注之流动资产!B317="",0,未审附注之流动资产!B317)</f>
        <v>0</v>
      </c>
      <c r="C317" s="2085">
        <f>IF(未审附注之流动资产!C317="",0,未审附注之流动资产!C317)</f>
        <v>0</v>
      </c>
      <c r="D317" s="2092">
        <f>IF(未审附注之流动资产!D317="",0,未审附注之流动资产!D317)</f>
        <v>0</v>
      </c>
      <c r="E317" s="2080"/>
      <c r="F317" s="2080"/>
      <c r="G317" s="2080"/>
      <c r="H317" s="2080"/>
      <c r="I317" s="2080"/>
      <c r="J317" s="2118" t="s">
        <v>496</v>
      </c>
    </row>
    <row r="318" spans="1:10">
      <c r="A318" s="2092">
        <f>IF(未审附注之流动资产!A318="",0,未审附注之流动资产!A318)</f>
        <v>0</v>
      </c>
      <c r="B318" s="2085">
        <f>IF(未审附注之流动资产!B318="",0,未审附注之流动资产!B318)</f>
        <v>0</v>
      </c>
      <c r="C318" s="2085">
        <f>IF(未审附注之流动资产!C318="",0,未审附注之流动资产!C318)</f>
        <v>0</v>
      </c>
      <c r="D318" s="2092">
        <f>IF(未审附注之流动资产!D318="",0,未审附注之流动资产!D318)</f>
        <v>0</v>
      </c>
      <c r="E318" s="2080"/>
      <c r="F318" s="2080"/>
      <c r="G318" s="2080"/>
      <c r="H318" s="2080"/>
      <c r="I318" s="2080"/>
      <c r="J318" s="2118" t="s">
        <v>496</v>
      </c>
    </row>
    <row r="319" spans="1:10">
      <c r="A319" s="2092">
        <f>IF(未审附注之流动资产!A319="",0,未审附注之流动资产!A319)</f>
        <v>0</v>
      </c>
      <c r="B319" s="2085">
        <f>IF(未审附注之流动资产!B319="",0,未审附注之流动资产!B319)</f>
        <v>0</v>
      </c>
      <c r="C319" s="2085">
        <f>IF(未审附注之流动资产!C319="",0,未审附注之流动资产!C319)</f>
        <v>0</v>
      </c>
      <c r="D319" s="2092">
        <f>IF(未审附注之流动资产!D319="",0,未审附注之流动资产!D319)</f>
        <v>0</v>
      </c>
      <c r="E319" s="2080"/>
      <c r="F319" s="2080"/>
      <c r="G319" s="2080"/>
      <c r="H319" s="2080"/>
      <c r="I319" s="2080"/>
      <c r="J319" s="2118" t="s">
        <v>496</v>
      </c>
    </row>
    <row r="320" spans="1:10">
      <c r="A320" s="2092">
        <f>IF(未审附注之流动资产!A320="",0,未审附注之流动资产!A320)</f>
        <v>0</v>
      </c>
      <c r="B320" s="2085">
        <f>IF(未审附注之流动资产!B320="",0,未审附注之流动资产!B320)</f>
        <v>0</v>
      </c>
      <c r="C320" s="2085">
        <f>IF(未审附注之流动资产!C320="",0,未审附注之流动资产!C320)</f>
        <v>0</v>
      </c>
      <c r="D320" s="2092">
        <f>IF(未审附注之流动资产!D320="",0,未审附注之流动资产!D320)</f>
        <v>0</v>
      </c>
      <c r="E320" s="2080"/>
      <c r="F320" s="2080"/>
      <c r="G320" s="2080"/>
      <c r="H320" s="2080"/>
      <c r="I320" s="2080"/>
      <c r="J320" s="2118" t="s">
        <v>496</v>
      </c>
    </row>
    <row r="321" spans="1:10">
      <c r="A321" s="2092">
        <f>IF(未审附注之流动资产!A321="",0,未审附注之流动资产!A321)</f>
        <v>0</v>
      </c>
      <c r="B321" s="2085">
        <f>IF(未审附注之流动资产!B321="",0,未审附注之流动资产!B321)</f>
        <v>0</v>
      </c>
      <c r="C321" s="2085">
        <f>IF(未审附注之流动资产!C321="",0,未审附注之流动资产!C321)</f>
        <v>0</v>
      </c>
      <c r="D321" s="2092">
        <f>IF(未审附注之流动资产!D321="",0,未审附注之流动资产!D321)</f>
        <v>0</v>
      </c>
      <c r="E321" s="2080"/>
      <c r="F321" s="2080"/>
      <c r="G321" s="2080"/>
      <c r="H321" s="2080"/>
      <c r="I321" s="2080"/>
      <c r="J321" s="2118" t="s">
        <v>496</v>
      </c>
    </row>
    <row r="322" spans="1:10">
      <c r="A322" s="2082" t="s">
        <v>384</v>
      </c>
      <c r="B322" s="2048">
        <f>ROUND(SUM(B312:B321),2)</f>
        <v>0</v>
      </c>
      <c r="C322" s="2048">
        <f>ROUND(SUM(C312:C321),2)</f>
        <v>0</v>
      </c>
      <c r="D322" s="2048"/>
      <c r="E322" s="2080"/>
      <c r="F322" s="2080"/>
      <c r="G322" s="2080"/>
      <c r="H322" s="2080"/>
      <c r="I322" s="2080"/>
      <c r="J322" s="2118" t="s">
        <v>497</v>
      </c>
    </row>
    <row r="323" spans="1:9">
      <c r="A323" s="2103"/>
      <c r="B323" s="2080"/>
      <c r="C323" s="2080"/>
      <c r="D323" s="2080"/>
      <c r="E323" s="2080"/>
      <c r="F323" s="2080"/>
      <c r="G323" s="2080"/>
      <c r="H323" s="2080"/>
      <c r="I323" s="2080"/>
    </row>
    <row r="324" spans="1:9">
      <c r="A324" s="2096" t="s">
        <v>498</v>
      </c>
      <c r="B324" s="2080"/>
      <c r="C324" s="2080"/>
      <c r="D324" s="2080"/>
      <c r="E324" s="2080"/>
      <c r="F324" s="2080"/>
      <c r="G324" s="2080"/>
      <c r="H324" s="2080"/>
      <c r="I324" s="2080"/>
    </row>
    <row r="325" spans="1:9">
      <c r="A325" s="2082" t="s">
        <v>469</v>
      </c>
      <c r="B325" s="2082" t="s">
        <v>315</v>
      </c>
      <c r="C325" s="2082" t="s">
        <v>499</v>
      </c>
      <c r="D325" s="2082" t="s">
        <v>500</v>
      </c>
      <c r="E325" s="2082" t="s">
        <v>501</v>
      </c>
      <c r="F325" s="2080"/>
      <c r="G325" s="2080"/>
      <c r="H325" s="2080"/>
      <c r="I325" s="2080"/>
    </row>
    <row r="326" spans="1:10">
      <c r="A326" s="2092">
        <f>IF(未审附注之流动资产!A326="",0,未审附注之流动资产!A326)</f>
        <v>0</v>
      </c>
      <c r="B326" s="2085">
        <f>IF(未审附注之流动资产!B326="",0,未审附注之流动资产!B326)</f>
        <v>0</v>
      </c>
      <c r="C326" s="2092">
        <f>IF(未审附注之流动资产!C326="",0,未审附注之流动资产!C326)</f>
        <v>0</v>
      </c>
      <c r="D326" s="2156">
        <f>IF(未审附注之流动资产!D326="",0,未审附注之流动资产!D326)</f>
        <v>0</v>
      </c>
      <c r="E326" s="2117">
        <f t="shared" ref="E326:E331" si="3">IF(B326=0,0,ROUND(B326/B$244,4))</f>
        <v>0</v>
      </c>
      <c r="F326" s="2080"/>
      <c r="G326" s="2080"/>
      <c r="H326" s="2080"/>
      <c r="I326" s="2080"/>
      <c r="J326" s="2118" t="s">
        <v>502</v>
      </c>
    </row>
    <row r="327" spans="1:10">
      <c r="A327" s="2092">
        <f>IF(未审附注之流动资产!A327="",0,未审附注之流动资产!A327)</f>
        <v>0</v>
      </c>
      <c r="B327" s="2085">
        <f>IF(未审附注之流动资产!B327="",0,未审附注之流动资产!B327)</f>
        <v>0</v>
      </c>
      <c r="C327" s="2092">
        <f>IF(未审附注之流动资产!C327="",0,未审附注之流动资产!C327)</f>
        <v>0</v>
      </c>
      <c r="D327" s="2156">
        <f>IF(未审附注之流动资产!D327="",0,未审附注之流动资产!D327)</f>
        <v>0</v>
      </c>
      <c r="E327" s="2117">
        <f t="shared" si="3"/>
        <v>0</v>
      </c>
      <c r="F327" s="2080"/>
      <c r="G327" s="2080"/>
      <c r="H327" s="2080"/>
      <c r="I327" s="2080"/>
      <c r="J327" s="2118" t="s">
        <v>502</v>
      </c>
    </row>
    <row r="328" spans="1:10">
      <c r="A328" s="2092">
        <f>IF(未审附注之流动资产!A328="",0,未审附注之流动资产!A328)</f>
        <v>0</v>
      </c>
      <c r="B328" s="2085">
        <f>IF(未审附注之流动资产!B328="",0,未审附注之流动资产!B328)</f>
        <v>0</v>
      </c>
      <c r="C328" s="2092">
        <f>IF(未审附注之流动资产!C328="",0,未审附注之流动资产!C328)</f>
        <v>0</v>
      </c>
      <c r="D328" s="2156">
        <f>IF(未审附注之流动资产!D328="",0,未审附注之流动资产!D328)</f>
        <v>0</v>
      </c>
      <c r="E328" s="2117">
        <f t="shared" si="3"/>
        <v>0</v>
      </c>
      <c r="F328" s="2080"/>
      <c r="G328" s="2080"/>
      <c r="H328" s="2080"/>
      <c r="I328" s="2080"/>
      <c r="J328" s="2118" t="s">
        <v>502</v>
      </c>
    </row>
    <row r="329" spans="1:10">
      <c r="A329" s="2092">
        <f>IF(未审附注之流动资产!A329="",0,未审附注之流动资产!A329)</f>
        <v>0</v>
      </c>
      <c r="B329" s="2085">
        <f>IF(未审附注之流动资产!B329="",0,未审附注之流动资产!B329)</f>
        <v>0</v>
      </c>
      <c r="C329" s="2092">
        <f>IF(未审附注之流动资产!C329="",0,未审附注之流动资产!C329)</f>
        <v>0</v>
      </c>
      <c r="D329" s="2156">
        <f>IF(未审附注之流动资产!D329="",0,未审附注之流动资产!D329)</f>
        <v>0</v>
      </c>
      <c r="E329" s="2117">
        <f t="shared" si="3"/>
        <v>0</v>
      </c>
      <c r="F329" s="2080"/>
      <c r="G329" s="2080"/>
      <c r="H329" s="2080"/>
      <c r="I329" s="2080"/>
      <c r="J329" s="2118" t="s">
        <v>502</v>
      </c>
    </row>
    <row r="330" spans="1:10">
      <c r="A330" s="2092">
        <f>IF(未审附注之流动资产!A330="",0,未审附注之流动资产!A330)</f>
        <v>0</v>
      </c>
      <c r="B330" s="2085">
        <f>IF(未审附注之流动资产!B330="",0,未审附注之流动资产!B330)</f>
        <v>0</v>
      </c>
      <c r="C330" s="2092">
        <f>IF(未审附注之流动资产!C330="",0,未审附注之流动资产!C330)</f>
        <v>0</v>
      </c>
      <c r="D330" s="2156">
        <f>IF(未审附注之流动资产!D330="",0,未审附注之流动资产!D330)</f>
        <v>0</v>
      </c>
      <c r="E330" s="2117">
        <f t="shared" si="3"/>
        <v>0</v>
      </c>
      <c r="F330" s="2080"/>
      <c r="G330" s="2080"/>
      <c r="H330" s="2080"/>
      <c r="I330" s="2080"/>
      <c r="J330" s="2118" t="s">
        <v>502</v>
      </c>
    </row>
    <row r="331" spans="1:10">
      <c r="A331" s="2082" t="s">
        <v>384</v>
      </c>
      <c r="B331" s="2048">
        <f>ROUND(SUM(B326:B330),2)</f>
        <v>0</v>
      </c>
      <c r="C331" s="2048"/>
      <c r="D331" s="2048"/>
      <c r="E331" s="2093">
        <f t="shared" si="3"/>
        <v>0</v>
      </c>
      <c r="F331" s="2080"/>
      <c r="G331" s="2080"/>
      <c r="H331" s="2080"/>
      <c r="I331" s="2080"/>
      <c r="J331" s="2118" t="s">
        <v>503</v>
      </c>
    </row>
    <row r="332" spans="1:9">
      <c r="A332" s="2103"/>
      <c r="B332" s="2080"/>
      <c r="C332" s="2080"/>
      <c r="D332" s="2080"/>
      <c r="E332" s="2080"/>
      <c r="F332" s="2080"/>
      <c r="G332" s="2080"/>
      <c r="H332" s="2080"/>
      <c r="I332" s="2080"/>
    </row>
    <row r="333" spans="1:9">
      <c r="A333" s="2096" t="s">
        <v>504</v>
      </c>
      <c r="B333" s="2080"/>
      <c r="C333" s="2080"/>
      <c r="D333" s="2080"/>
      <c r="E333" s="2080"/>
      <c r="F333" s="2080"/>
      <c r="G333" s="2080"/>
      <c r="H333" s="2080"/>
      <c r="I333" s="2080"/>
    </row>
    <row r="334" spans="1:10">
      <c r="A334" s="2082" t="s">
        <v>505</v>
      </c>
      <c r="B334" s="2082" t="s">
        <v>315</v>
      </c>
      <c r="C334" s="2082" t="s">
        <v>316</v>
      </c>
      <c r="D334" s="2082" t="s">
        <v>499</v>
      </c>
      <c r="E334" s="2082" t="s">
        <v>501</v>
      </c>
      <c r="F334" s="2080"/>
      <c r="G334" s="2080"/>
      <c r="H334" s="2080"/>
      <c r="I334" s="2080"/>
      <c r="J334" s="2075"/>
    </row>
    <row r="335" spans="1:10">
      <c r="A335" s="2092">
        <f>IF(未审附注之流动资产!A335="",0,未审附注之流动资产!A335)</f>
        <v>0</v>
      </c>
      <c r="B335" s="2085">
        <f>IF(未审附注之流动资产!B335="",0,未审附注之流动资产!B335)</f>
        <v>0</v>
      </c>
      <c r="C335" s="2085">
        <f>IF(未审附注之流动资产!C335="",0,未审附注之流动资产!C335)</f>
        <v>0</v>
      </c>
      <c r="D335" s="2092">
        <f>IF(未审附注之流动资产!D335="",0,未审附注之流动资产!D335)</f>
        <v>0</v>
      </c>
      <c r="E335" s="2117">
        <f t="shared" ref="E335:E345" si="4">IF(B335=0,0,ROUND(B335/B$244,4))</f>
        <v>0</v>
      </c>
      <c r="F335" s="2080"/>
      <c r="G335" s="2080"/>
      <c r="H335" s="2080"/>
      <c r="I335" s="2080"/>
      <c r="J335" s="2118" t="s">
        <v>506</v>
      </c>
    </row>
    <row r="336" spans="1:10">
      <c r="A336" s="2092">
        <f>IF(未审附注之流动资产!A336="",0,未审附注之流动资产!A336)</f>
        <v>0</v>
      </c>
      <c r="B336" s="2085">
        <f>IF(未审附注之流动资产!B336="",0,未审附注之流动资产!B336)</f>
        <v>0</v>
      </c>
      <c r="C336" s="2085">
        <f>IF(未审附注之流动资产!C336="",0,未审附注之流动资产!C336)</f>
        <v>0</v>
      </c>
      <c r="D336" s="2092">
        <f>IF(未审附注之流动资产!D336="",0,未审附注之流动资产!D336)</f>
        <v>0</v>
      </c>
      <c r="E336" s="2117">
        <f t="shared" si="4"/>
        <v>0</v>
      </c>
      <c r="F336" s="2080"/>
      <c r="G336" s="2080"/>
      <c r="H336" s="2080"/>
      <c r="I336" s="2080"/>
      <c r="J336" s="2118" t="s">
        <v>506</v>
      </c>
    </row>
    <row r="337" spans="1:10">
      <c r="A337" s="2092">
        <f>IF(未审附注之流动资产!A337="",0,未审附注之流动资产!A337)</f>
        <v>0</v>
      </c>
      <c r="B337" s="2085">
        <f>IF(未审附注之流动资产!B337="",0,未审附注之流动资产!B337)</f>
        <v>0</v>
      </c>
      <c r="C337" s="2085">
        <f>IF(未审附注之流动资产!C337="",0,未审附注之流动资产!C337)</f>
        <v>0</v>
      </c>
      <c r="D337" s="2092">
        <f>IF(未审附注之流动资产!D337="",0,未审附注之流动资产!D337)</f>
        <v>0</v>
      </c>
      <c r="E337" s="2117">
        <f t="shared" si="4"/>
        <v>0</v>
      </c>
      <c r="F337" s="2080"/>
      <c r="G337" s="2080"/>
      <c r="H337" s="2080"/>
      <c r="I337" s="2080"/>
      <c r="J337" s="2118" t="s">
        <v>506</v>
      </c>
    </row>
    <row r="338" spans="1:10">
      <c r="A338" s="2092">
        <f>IF(未审附注之流动资产!A338="",0,未审附注之流动资产!A338)</f>
        <v>0</v>
      </c>
      <c r="B338" s="2085">
        <f>IF(未审附注之流动资产!B338="",0,未审附注之流动资产!B338)</f>
        <v>0</v>
      </c>
      <c r="C338" s="2085">
        <f>IF(未审附注之流动资产!C338="",0,未审附注之流动资产!C338)</f>
        <v>0</v>
      </c>
      <c r="D338" s="2092">
        <f>IF(未审附注之流动资产!D338="",0,未审附注之流动资产!D338)</f>
        <v>0</v>
      </c>
      <c r="E338" s="2117">
        <f t="shared" si="4"/>
        <v>0</v>
      </c>
      <c r="F338" s="2080"/>
      <c r="G338" s="2080"/>
      <c r="H338" s="2080"/>
      <c r="I338" s="2080"/>
      <c r="J338" s="2118" t="s">
        <v>506</v>
      </c>
    </row>
    <row r="339" spans="1:10">
      <c r="A339" s="2092">
        <f>IF(未审附注之流动资产!A339="",0,未审附注之流动资产!A339)</f>
        <v>0</v>
      </c>
      <c r="B339" s="2085">
        <f>IF(未审附注之流动资产!B339="",0,未审附注之流动资产!B339)</f>
        <v>0</v>
      </c>
      <c r="C339" s="2085">
        <f>IF(未审附注之流动资产!C339="",0,未审附注之流动资产!C339)</f>
        <v>0</v>
      </c>
      <c r="D339" s="2092">
        <f>IF(未审附注之流动资产!D339="",0,未审附注之流动资产!D339)</f>
        <v>0</v>
      </c>
      <c r="E339" s="2117">
        <f t="shared" si="4"/>
        <v>0</v>
      </c>
      <c r="F339" s="2080"/>
      <c r="G339" s="2080"/>
      <c r="H339" s="2080"/>
      <c r="I339" s="2080"/>
      <c r="J339" s="2118" t="s">
        <v>506</v>
      </c>
    </row>
    <row r="340" spans="1:10">
      <c r="A340" s="2092">
        <f>IF(未审附注之流动资产!A340="",0,未审附注之流动资产!A340)</f>
        <v>0</v>
      </c>
      <c r="B340" s="2085">
        <f>IF(未审附注之流动资产!B340="",0,未审附注之流动资产!B340)</f>
        <v>0</v>
      </c>
      <c r="C340" s="2085">
        <f>IF(未审附注之流动资产!C340="",0,未审附注之流动资产!C340)</f>
        <v>0</v>
      </c>
      <c r="D340" s="2092">
        <f>IF(未审附注之流动资产!D340="",0,未审附注之流动资产!D340)</f>
        <v>0</v>
      </c>
      <c r="E340" s="2117">
        <f t="shared" si="4"/>
        <v>0</v>
      </c>
      <c r="F340" s="2080"/>
      <c r="G340" s="2080"/>
      <c r="H340" s="2080"/>
      <c r="I340" s="2080"/>
      <c r="J340" s="2118" t="s">
        <v>506</v>
      </c>
    </row>
    <row r="341" spans="1:10">
      <c r="A341" s="2092">
        <f>IF(未审附注之流动资产!A341="",0,未审附注之流动资产!A341)</f>
        <v>0</v>
      </c>
      <c r="B341" s="2085">
        <f>IF(未审附注之流动资产!B341="",0,未审附注之流动资产!B341)</f>
        <v>0</v>
      </c>
      <c r="C341" s="2085">
        <f>IF(未审附注之流动资产!C341="",0,未审附注之流动资产!C341)</f>
        <v>0</v>
      </c>
      <c r="D341" s="2092">
        <f>IF(未审附注之流动资产!D341="",0,未审附注之流动资产!D341)</f>
        <v>0</v>
      </c>
      <c r="E341" s="2117">
        <f t="shared" si="4"/>
        <v>0</v>
      </c>
      <c r="F341" s="2080"/>
      <c r="G341" s="2080"/>
      <c r="H341" s="2080"/>
      <c r="I341" s="2080"/>
      <c r="J341" s="2118" t="s">
        <v>506</v>
      </c>
    </row>
    <row r="342" spans="1:10">
      <c r="A342" s="2092">
        <f>IF(未审附注之流动资产!A342="",0,未审附注之流动资产!A342)</f>
        <v>0</v>
      </c>
      <c r="B342" s="2085">
        <f>IF(未审附注之流动资产!B342="",0,未审附注之流动资产!B342)</f>
        <v>0</v>
      </c>
      <c r="C342" s="2085">
        <f>IF(未审附注之流动资产!C342="",0,未审附注之流动资产!C342)</f>
        <v>0</v>
      </c>
      <c r="D342" s="2092">
        <f>IF(未审附注之流动资产!D342="",0,未审附注之流动资产!D342)</f>
        <v>0</v>
      </c>
      <c r="E342" s="2117">
        <f t="shared" si="4"/>
        <v>0</v>
      </c>
      <c r="F342" s="2080"/>
      <c r="G342" s="2080"/>
      <c r="H342" s="2080"/>
      <c r="I342" s="2080"/>
      <c r="J342" s="2118" t="s">
        <v>506</v>
      </c>
    </row>
    <row r="343" spans="1:10">
      <c r="A343" s="2092">
        <f>IF(未审附注之流动资产!A343="",0,未审附注之流动资产!A343)</f>
        <v>0</v>
      </c>
      <c r="B343" s="2085">
        <f>IF(未审附注之流动资产!B343="",0,未审附注之流动资产!B343)</f>
        <v>0</v>
      </c>
      <c r="C343" s="2085">
        <f>IF(未审附注之流动资产!C343="",0,未审附注之流动资产!C343)</f>
        <v>0</v>
      </c>
      <c r="D343" s="2092">
        <f>IF(未审附注之流动资产!D343="",0,未审附注之流动资产!D343)</f>
        <v>0</v>
      </c>
      <c r="E343" s="2117">
        <f t="shared" si="4"/>
        <v>0</v>
      </c>
      <c r="F343" s="2080"/>
      <c r="G343" s="2080"/>
      <c r="H343" s="2080"/>
      <c r="I343" s="2080"/>
      <c r="J343" s="2118" t="s">
        <v>506</v>
      </c>
    </row>
    <row r="344" spans="1:10">
      <c r="A344" s="2092">
        <f>IF(未审附注之流动资产!A344="",0,未审附注之流动资产!A344)</f>
        <v>0</v>
      </c>
      <c r="B344" s="2085">
        <f>IF(未审附注之流动资产!B344="",0,未审附注之流动资产!B344)</f>
        <v>0</v>
      </c>
      <c r="C344" s="2085">
        <f>IF(未审附注之流动资产!C344="",0,未审附注之流动资产!C344)</f>
        <v>0</v>
      </c>
      <c r="D344" s="2092">
        <f>IF(未审附注之流动资产!D344="",0,未审附注之流动资产!D344)</f>
        <v>0</v>
      </c>
      <c r="E344" s="2117">
        <f t="shared" si="4"/>
        <v>0</v>
      </c>
      <c r="F344" s="2080"/>
      <c r="G344" s="2080"/>
      <c r="H344" s="2080"/>
      <c r="I344" s="2080"/>
      <c r="J344" s="2118" t="s">
        <v>506</v>
      </c>
    </row>
    <row r="345" spans="1:10">
      <c r="A345" s="2082" t="s">
        <v>384</v>
      </c>
      <c r="B345" s="2048">
        <f>ROUND(SUM(B335:B344),2)</f>
        <v>0</v>
      </c>
      <c r="C345" s="2048">
        <f>ROUND(SUM(C335:C344),2)</f>
        <v>0</v>
      </c>
      <c r="D345" s="2048"/>
      <c r="E345" s="2093">
        <f t="shared" si="4"/>
        <v>0</v>
      </c>
      <c r="F345" s="2080"/>
      <c r="G345" s="2080"/>
      <c r="H345" s="2080"/>
      <c r="I345" s="2080"/>
      <c r="J345" s="2118" t="s">
        <v>507</v>
      </c>
    </row>
    <row r="346" spans="1:9">
      <c r="A346" s="2103"/>
      <c r="B346" s="2080"/>
      <c r="C346" s="2080"/>
      <c r="D346" s="2080"/>
      <c r="E346" s="2080"/>
      <c r="F346" s="2080"/>
      <c r="G346" s="2080"/>
      <c r="H346" s="2080"/>
      <c r="I346" s="2080"/>
    </row>
    <row r="347" spans="1:9">
      <c r="A347" s="2096" t="s">
        <v>508</v>
      </c>
      <c r="B347" s="2080"/>
      <c r="C347" s="2080"/>
      <c r="D347" s="2080"/>
      <c r="E347" s="2080"/>
      <c r="F347" s="2080"/>
      <c r="G347" s="2080"/>
      <c r="H347" s="2080"/>
      <c r="I347" s="2080"/>
    </row>
    <row r="348" spans="1:9">
      <c r="A348" s="2082" t="s">
        <v>314</v>
      </c>
      <c r="B348" s="2082" t="s">
        <v>509</v>
      </c>
      <c r="C348" s="2082" t="s">
        <v>510</v>
      </c>
      <c r="D348" s="2082" t="s">
        <v>488</v>
      </c>
      <c r="E348" s="2082" t="s">
        <v>511</v>
      </c>
      <c r="F348" s="2080"/>
      <c r="G348" s="2080"/>
      <c r="H348" s="2080"/>
      <c r="I348" s="2080"/>
    </row>
    <row r="349" spans="1:10">
      <c r="A349" s="2092">
        <f>IF(未审附注之流动资产!A349="",0,未审附注之流动资产!A349)</f>
        <v>0</v>
      </c>
      <c r="B349" s="2085">
        <f>IF(未审附注之流动资产!B349="",0,未审附注之流动资产!B349)</f>
        <v>0</v>
      </c>
      <c r="C349" s="2085">
        <f>IF(未审附注之流动资产!C349="",0,未审附注之流动资产!C349)</f>
        <v>0</v>
      </c>
      <c r="D349" s="2092">
        <f>IF(未审附注之流动资产!D349="",0,未审附注之流动资产!D349)</f>
        <v>0</v>
      </c>
      <c r="E349" s="2092">
        <f>IF(未审附注之流动资产!E349="",0,未审附注之流动资产!E349)</f>
        <v>0</v>
      </c>
      <c r="F349" s="2080"/>
      <c r="G349" s="2080"/>
      <c r="H349" s="2080"/>
      <c r="I349" s="2080"/>
      <c r="J349" s="2118" t="s">
        <v>512</v>
      </c>
    </row>
    <row r="350" spans="1:10">
      <c r="A350" s="2092">
        <f>IF(未审附注之流动资产!A350="",0,未审附注之流动资产!A350)</f>
        <v>0</v>
      </c>
      <c r="B350" s="2085">
        <f>IF(未审附注之流动资产!B350="",0,未审附注之流动资产!B350)</f>
        <v>0</v>
      </c>
      <c r="C350" s="2085">
        <f>IF(未审附注之流动资产!C350="",0,未审附注之流动资产!C350)</f>
        <v>0</v>
      </c>
      <c r="D350" s="2092">
        <f>IF(未审附注之流动资产!D350="",0,未审附注之流动资产!D350)</f>
        <v>0</v>
      </c>
      <c r="E350" s="2092">
        <f>IF(未审附注之流动资产!E350="",0,未审附注之流动资产!E350)</f>
        <v>0</v>
      </c>
      <c r="F350" s="2080"/>
      <c r="G350" s="2080"/>
      <c r="H350" s="2080"/>
      <c r="I350" s="2080"/>
      <c r="J350" s="2118" t="s">
        <v>512</v>
      </c>
    </row>
    <row r="351" spans="1:10">
      <c r="A351" s="2092">
        <f>IF(未审附注之流动资产!A351="",0,未审附注之流动资产!A351)</f>
        <v>0</v>
      </c>
      <c r="B351" s="2085">
        <f>IF(未审附注之流动资产!B351="",0,未审附注之流动资产!B351)</f>
        <v>0</v>
      </c>
      <c r="C351" s="2085">
        <f>IF(未审附注之流动资产!C351="",0,未审附注之流动资产!C351)</f>
        <v>0</v>
      </c>
      <c r="D351" s="2092">
        <f>IF(未审附注之流动资产!D351="",0,未审附注之流动资产!D351)</f>
        <v>0</v>
      </c>
      <c r="E351" s="2092">
        <f>IF(未审附注之流动资产!E351="",0,未审附注之流动资产!E351)</f>
        <v>0</v>
      </c>
      <c r="F351" s="2080"/>
      <c r="G351" s="2080"/>
      <c r="H351" s="2080"/>
      <c r="I351" s="2080"/>
      <c r="J351" s="2118" t="s">
        <v>512</v>
      </c>
    </row>
    <row r="352" spans="1:10">
      <c r="A352" s="2092">
        <f>IF(未审附注之流动资产!A352="",0,未审附注之流动资产!A352)</f>
        <v>0</v>
      </c>
      <c r="B352" s="2085">
        <f>IF(未审附注之流动资产!B352="",0,未审附注之流动资产!B352)</f>
        <v>0</v>
      </c>
      <c r="C352" s="2085">
        <f>IF(未审附注之流动资产!C352="",0,未审附注之流动资产!C352)</f>
        <v>0</v>
      </c>
      <c r="D352" s="2092">
        <f>IF(未审附注之流动资产!D352="",0,未审附注之流动资产!D352)</f>
        <v>0</v>
      </c>
      <c r="E352" s="2092">
        <f>IF(未审附注之流动资产!E352="",0,未审附注之流动资产!E352)</f>
        <v>0</v>
      </c>
      <c r="F352" s="2080"/>
      <c r="G352" s="2080"/>
      <c r="H352" s="2080"/>
      <c r="I352" s="2080"/>
      <c r="J352" s="2118" t="s">
        <v>512</v>
      </c>
    </row>
    <row r="353" spans="1:10">
      <c r="A353" s="2092">
        <f>IF(未审附注之流动资产!A353="",0,未审附注之流动资产!A353)</f>
        <v>0</v>
      </c>
      <c r="B353" s="2085">
        <f>IF(未审附注之流动资产!B353="",0,未审附注之流动资产!B353)</f>
        <v>0</v>
      </c>
      <c r="C353" s="2085">
        <f>IF(未审附注之流动资产!C353="",0,未审附注之流动资产!C353)</f>
        <v>0</v>
      </c>
      <c r="D353" s="2092">
        <f>IF(未审附注之流动资产!D353="",0,未审附注之流动资产!D353)</f>
        <v>0</v>
      </c>
      <c r="E353" s="2092">
        <f>IF(未审附注之流动资产!E353="",0,未审附注之流动资产!E353)</f>
        <v>0</v>
      </c>
      <c r="F353" s="2080"/>
      <c r="G353" s="2080"/>
      <c r="H353" s="2080"/>
      <c r="I353" s="2080"/>
      <c r="J353" s="2118" t="s">
        <v>512</v>
      </c>
    </row>
    <row r="354" spans="1:10">
      <c r="A354" s="2092">
        <f>IF(未审附注之流动资产!A354="",0,未审附注之流动资产!A354)</f>
        <v>0</v>
      </c>
      <c r="B354" s="2085">
        <f>IF(未审附注之流动资产!B354="",0,未审附注之流动资产!B354)</f>
        <v>0</v>
      </c>
      <c r="C354" s="2085">
        <f>IF(未审附注之流动资产!C354="",0,未审附注之流动资产!C354)</f>
        <v>0</v>
      </c>
      <c r="D354" s="2092">
        <f>IF(未审附注之流动资产!D354="",0,未审附注之流动资产!D354)</f>
        <v>0</v>
      </c>
      <c r="E354" s="2092">
        <f>IF(未审附注之流动资产!E354="",0,未审附注之流动资产!E354)</f>
        <v>0</v>
      </c>
      <c r="F354" s="2080"/>
      <c r="G354" s="2080"/>
      <c r="H354" s="2080"/>
      <c r="I354" s="2080"/>
      <c r="J354" s="2118" t="s">
        <v>512</v>
      </c>
    </row>
    <row r="355" spans="1:10">
      <c r="A355" s="2092">
        <f>IF(未审附注之流动资产!A355="",0,未审附注之流动资产!A355)</f>
        <v>0</v>
      </c>
      <c r="B355" s="2085">
        <f>IF(未审附注之流动资产!B355="",0,未审附注之流动资产!B355)</f>
        <v>0</v>
      </c>
      <c r="C355" s="2085">
        <f>IF(未审附注之流动资产!C355="",0,未审附注之流动资产!C355)</f>
        <v>0</v>
      </c>
      <c r="D355" s="2092">
        <f>IF(未审附注之流动资产!D355="",0,未审附注之流动资产!D355)</f>
        <v>0</v>
      </c>
      <c r="E355" s="2092">
        <f>IF(未审附注之流动资产!E355="",0,未审附注之流动资产!E355)</f>
        <v>0</v>
      </c>
      <c r="F355" s="2080"/>
      <c r="G355" s="2080"/>
      <c r="H355" s="2080"/>
      <c r="I355" s="2080"/>
      <c r="J355" s="2118" t="s">
        <v>512</v>
      </c>
    </row>
    <row r="356" spans="1:10">
      <c r="A356" s="2092">
        <f>IF(未审附注之流动资产!A356="",0,未审附注之流动资产!A356)</f>
        <v>0</v>
      </c>
      <c r="B356" s="2085">
        <f>IF(未审附注之流动资产!B356="",0,未审附注之流动资产!B356)</f>
        <v>0</v>
      </c>
      <c r="C356" s="2085">
        <f>IF(未审附注之流动资产!C356="",0,未审附注之流动资产!C356)</f>
        <v>0</v>
      </c>
      <c r="D356" s="2092">
        <f>IF(未审附注之流动资产!D356="",0,未审附注之流动资产!D356)</f>
        <v>0</v>
      </c>
      <c r="E356" s="2092">
        <f>IF(未审附注之流动资产!E356="",0,未审附注之流动资产!E356)</f>
        <v>0</v>
      </c>
      <c r="F356" s="2080"/>
      <c r="G356" s="2080"/>
      <c r="H356" s="2080"/>
      <c r="I356" s="2080"/>
      <c r="J356" s="2118" t="s">
        <v>512</v>
      </c>
    </row>
    <row r="357" spans="1:10">
      <c r="A357" s="2092">
        <f>IF(未审附注之流动资产!A357="",0,未审附注之流动资产!A357)</f>
        <v>0</v>
      </c>
      <c r="B357" s="2085">
        <f>IF(未审附注之流动资产!B357="",0,未审附注之流动资产!B357)</f>
        <v>0</v>
      </c>
      <c r="C357" s="2085">
        <f>IF(未审附注之流动资产!C357="",0,未审附注之流动资产!C357)</f>
        <v>0</v>
      </c>
      <c r="D357" s="2092">
        <f>IF(未审附注之流动资产!D357="",0,未审附注之流动资产!D357)</f>
        <v>0</v>
      </c>
      <c r="E357" s="2092">
        <f>IF(未审附注之流动资产!E357="",0,未审附注之流动资产!E357)</f>
        <v>0</v>
      </c>
      <c r="F357" s="2080"/>
      <c r="G357" s="2080"/>
      <c r="H357" s="2080"/>
      <c r="I357" s="2080"/>
      <c r="J357" s="2118" t="s">
        <v>512</v>
      </c>
    </row>
    <row r="358" spans="1:10">
      <c r="A358" s="2092">
        <f>IF(未审附注之流动资产!A358="",0,未审附注之流动资产!A358)</f>
        <v>0</v>
      </c>
      <c r="B358" s="2085">
        <f>IF(未审附注之流动资产!B358="",0,未审附注之流动资产!B358)</f>
        <v>0</v>
      </c>
      <c r="C358" s="2085">
        <f>IF(未审附注之流动资产!C358="",0,未审附注之流动资产!C358)</f>
        <v>0</v>
      </c>
      <c r="D358" s="2092">
        <f>IF(未审附注之流动资产!D358="",0,未审附注之流动资产!D358)</f>
        <v>0</v>
      </c>
      <c r="E358" s="2092">
        <f>IF(未审附注之流动资产!E358="",0,未审附注之流动资产!E358)</f>
        <v>0</v>
      </c>
      <c r="F358" s="2080"/>
      <c r="G358" s="2080"/>
      <c r="H358" s="2080"/>
      <c r="I358" s="2080"/>
      <c r="J358" s="2118" t="s">
        <v>512</v>
      </c>
    </row>
    <row r="359" spans="1:10">
      <c r="A359" s="2082" t="s">
        <v>384</v>
      </c>
      <c r="B359" s="2048">
        <f>ROUND(SUM(B349:B358),2)</f>
        <v>0</v>
      </c>
      <c r="C359" s="2048">
        <f>ROUND(SUM(C349:C358),2)</f>
        <v>0</v>
      </c>
      <c r="D359" s="2048"/>
      <c r="E359" s="2048"/>
      <c r="F359" s="2080"/>
      <c r="G359" s="2080"/>
      <c r="H359" s="2080"/>
      <c r="I359" s="2080"/>
      <c r="J359" s="2118" t="s">
        <v>513</v>
      </c>
    </row>
    <row r="360" spans="1:9">
      <c r="A360" s="2103"/>
      <c r="B360" s="2080"/>
      <c r="C360" s="2080"/>
      <c r="D360" s="2080"/>
      <c r="E360" s="2080"/>
      <c r="F360" s="2080"/>
      <c r="G360" s="2080"/>
      <c r="H360" s="2080"/>
      <c r="I360" s="2080"/>
    </row>
    <row r="361" spans="1:9">
      <c r="A361" s="2096" t="s">
        <v>514</v>
      </c>
      <c r="B361" s="2080"/>
      <c r="C361" s="2080"/>
      <c r="D361" s="2080"/>
      <c r="E361" s="2080"/>
      <c r="F361" s="2080"/>
      <c r="G361" s="2080"/>
      <c r="H361" s="2080"/>
      <c r="I361" s="2080"/>
    </row>
    <row r="362" spans="1:9">
      <c r="A362" s="2082" t="s">
        <v>314</v>
      </c>
      <c r="B362" s="2082" t="s">
        <v>515</v>
      </c>
      <c r="C362" s="2082" t="s">
        <v>516</v>
      </c>
      <c r="D362" s="2080"/>
      <c r="E362" s="2080"/>
      <c r="F362" s="2080"/>
      <c r="G362" s="2080"/>
      <c r="H362" s="2080"/>
      <c r="I362" s="2080"/>
    </row>
    <row r="363" spans="1:10">
      <c r="A363" s="2092">
        <f>IF(未审附注之流动资产!A363="",0,未审附注之流动资产!A363)</f>
        <v>0</v>
      </c>
      <c r="B363" s="2085">
        <f>IF(未审附注之流动资产!B363="",0,未审附注之流动资产!B363)</f>
        <v>0</v>
      </c>
      <c r="C363" s="2092">
        <f>IF(未审附注之流动资产!C363="",0,未审附注之流动资产!C363)</f>
        <v>0</v>
      </c>
      <c r="D363" s="2080"/>
      <c r="E363" s="2080"/>
      <c r="F363" s="2080"/>
      <c r="G363" s="2080"/>
      <c r="H363" s="2080"/>
      <c r="I363" s="2080"/>
      <c r="J363" s="2118" t="s">
        <v>517</v>
      </c>
    </row>
    <row r="364" spans="1:10">
      <c r="A364" s="2092">
        <f>IF(未审附注之流动资产!A364="",0,未审附注之流动资产!A364)</f>
        <v>0</v>
      </c>
      <c r="B364" s="2085">
        <f>IF(未审附注之流动资产!B364="",0,未审附注之流动资产!B364)</f>
        <v>0</v>
      </c>
      <c r="C364" s="2092">
        <f>IF(未审附注之流动资产!C364="",0,未审附注之流动资产!C364)</f>
        <v>0</v>
      </c>
      <c r="D364" s="2080"/>
      <c r="E364" s="2080"/>
      <c r="F364" s="2080"/>
      <c r="G364" s="2080"/>
      <c r="H364" s="2080"/>
      <c r="I364" s="2080"/>
      <c r="J364" s="2118" t="s">
        <v>517</v>
      </c>
    </row>
    <row r="365" spans="1:10">
      <c r="A365" s="2092">
        <f>IF(未审附注之流动资产!A365="",0,未审附注之流动资产!A365)</f>
        <v>0</v>
      </c>
      <c r="B365" s="2085">
        <f>IF(未审附注之流动资产!B365="",0,未审附注之流动资产!B365)</f>
        <v>0</v>
      </c>
      <c r="C365" s="2092">
        <f>IF(未审附注之流动资产!C365="",0,未审附注之流动资产!C365)</f>
        <v>0</v>
      </c>
      <c r="D365" s="2080"/>
      <c r="E365" s="2080"/>
      <c r="F365" s="2080"/>
      <c r="G365" s="2080"/>
      <c r="H365" s="2080"/>
      <c r="I365" s="2080"/>
      <c r="J365" s="2118" t="s">
        <v>517</v>
      </c>
    </row>
    <row r="366" spans="1:10">
      <c r="A366" s="2092">
        <f>IF(未审附注之流动资产!A366="",0,未审附注之流动资产!A366)</f>
        <v>0</v>
      </c>
      <c r="B366" s="2085">
        <f>IF(未审附注之流动资产!B366="",0,未审附注之流动资产!B366)</f>
        <v>0</v>
      </c>
      <c r="C366" s="2092">
        <f>IF(未审附注之流动资产!C366="",0,未审附注之流动资产!C366)</f>
        <v>0</v>
      </c>
      <c r="D366" s="2080"/>
      <c r="E366" s="2080"/>
      <c r="F366" s="2080"/>
      <c r="G366" s="2080"/>
      <c r="H366" s="2080"/>
      <c r="I366" s="2080"/>
      <c r="J366" s="2118" t="s">
        <v>517</v>
      </c>
    </row>
    <row r="367" spans="1:10">
      <c r="A367" s="2092">
        <f>IF(未审附注之流动资产!A367="",0,未审附注之流动资产!A367)</f>
        <v>0</v>
      </c>
      <c r="B367" s="2085">
        <f>IF(未审附注之流动资产!B367="",0,未审附注之流动资产!B367)</f>
        <v>0</v>
      </c>
      <c r="C367" s="2092">
        <f>IF(未审附注之流动资产!C367="",0,未审附注之流动资产!C367)</f>
        <v>0</v>
      </c>
      <c r="D367" s="2080"/>
      <c r="E367" s="2080"/>
      <c r="F367" s="2080"/>
      <c r="G367" s="2080"/>
      <c r="H367" s="2080"/>
      <c r="I367" s="2080"/>
      <c r="J367" s="2118" t="s">
        <v>517</v>
      </c>
    </row>
    <row r="368" spans="1:10">
      <c r="A368" s="2092">
        <f>IF(未审附注之流动资产!A368="",0,未审附注之流动资产!A368)</f>
        <v>0</v>
      </c>
      <c r="B368" s="2085">
        <f>IF(未审附注之流动资产!B368="",0,未审附注之流动资产!B368)</f>
        <v>0</v>
      </c>
      <c r="C368" s="2092">
        <f>IF(未审附注之流动资产!C368="",0,未审附注之流动资产!C368)</f>
        <v>0</v>
      </c>
      <c r="D368" s="2080"/>
      <c r="E368" s="2080"/>
      <c r="F368" s="2080"/>
      <c r="G368" s="2080"/>
      <c r="H368" s="2080"/>
      <c r="I368" s="2080"/>
      <c r="J368" s="2118" t="s">
        <v>517</v>
      </c>
    </row>
    <row r="369" spans="1:10">
      <c r="A369" s="2092">
        <f>IF(未审附注之流动资产!A369="",0,未审附注之流动资产!A369)</f>
        <v>0</v>
      </c>
      <c r="B369" s="2085">
        <f>IF(未审附注之流动资产!B369="",0,未审附注之流动资产!B369)</f>
        <v>0</v>
      </c>
      <c r="C369" s="2092">
        <f>IF(未审附注之流动资产!C369="",0,未审附注之流动资产!C369)</f>
        <v>0</v>
      </c>
      <c r="D369" s="2080"/>
      <c r="E369" s="2080"/>
      <c r="F369" s="2080"/>
      <c r="G369" s="2080"/>
      <c r="H369" s="2080"/>
      <c r="I369" s="2080"/>
      <c r="J369" s="2118" t="s">
        <v>517</v>
      </c>
    </row>
    <row r="370" spans="1:10">
      <c r="A370" s="2092">
        <f>IF(未审附注之流动资产!A370="",0,未审附注之流动资产!A370)</f>
        <v>0</v>
      </c>
      <c r="B370" s="2085">
        <f>IF(未审附注之流动资产!B370="",0,未审附注之流动资产!B370)</f>
        <v>0</v>
      </c>
      <c r="C370" s="2092">
        <f>IF(未审附注之流动资产!C370="",0,未审附注之流动资产!C370)</f>
        <v>0</v>
      </c>
      <c r="D370" s="2080"/>
      <c r="E370" s="2080"/>
      <c r="F370" s="2080"/>
      <c r="G370" s="2080"/>
      <c r="H370" s="2080"/>
      <c r="I370" s="2080"/>
      <c r="J370" s="2118" t="s">
        <v>517</v>
      </c>
    </row>
    <row r="371" spans="1:10">
      <c r="A371" s="2092">
        <f>IF(未审附注之流动资产!A371="",0,未审附注之流动资产!A371)</f>
        <v>0</v>
      </c>
      <c r="B371" s="2085">
        <f>IF(未审附注之流动资产!B371="",0,未审附注之流动资产!B371)</f>
        <v>0</v>
      </c>
      <c r="C371" s="2092">
        <f>IF(未审附注之流动资产!C371="",0,未审附注之流动资产!C371)</f>
        <v>0</v>
      </c>
      <c r="D371" s="2080"/>
      <c r="E371" s="2080"/>
      <c r="F371" s="2080"/>
      <c r="G371" s="2080"/>
      <c r="H371" s="2080"/>
      <c r="I371" s="2080"/>
      <c r="J371" s="2118" t="s">
        <v>517</v>
      </c>
    </row>
    <row r="372" spans="1:10">
      <c r="A372" s="2092">
        <f>IF(未审附注之流动资产!A372="",0,未审附注之流动资产!A372)</f>
        <v>0</v>
      </c>
      <c r="B372" s="2085">
        <f>IF(未审附注之流动资产!B372="",0,未审附注之流动资产!B372)</f>
        <v>0</v>
      </c>
      <c r="C372" s="2092">
        <f>IF(未审附注之流动资产!C372="",0,未审附注之流动资产!C372)</f>
        <v>0</v>
      </c>
      <c r="D372" s="2080"/>
      <c r="E372" s="2080"/>
      <c r="F372" s="2080"/>
      <c r="G372" s="2080"/>
      <c r="H372" s="2080"/>
      <c r="I372" s="2080"/>
      <c r="J372" s="2118" t="s">
        <v>517</v>
      </c>
    </row>
    <row r="373" spans="1:10">
      <c r="A373" s="2082" t="s">
        <v>384</v>
      </c>
      <c r="B373" s="2048">
        <f>ROUND(SUM(B363:B372),2)</f>
        <v>0</v>
      </c>
      <c r="C373" s="2048"/>
      <c r="D373" s="2080"/>
      <c r="E373" s="2080"/>
      <c r="F373" s="2080"/>
      <c r="G373" s="2080"/>
      <c r="H373" s="2080"/>
      <c r="I373" s="2080"/>
      <c r="J373" s="2118" t="s">
        <v>518</v>
      </c>
    </row>
    <row r="374" spans="1:9">
      <c r="A374" s="2103"/>
      <c r="B374" s="2080"/>
      <c r="C374" s="2080"/>
      <c r="D374" s="2080"/>
      <c r="E374" s="2080"/>
      <c r="F374" s="2080"/>
      <c r="G374" s="2080"/>
      <c r="H374" s="2080"/>
      <c r="I374" s="2080"/>
    </row>
    <row r="375" spans="1:9">
      <c r="A375" s="2103"/>
      <c r="B375" s="2080"/>
      <c r="C375" s="2080"/>
      <c r="D375" s="2080"/>
      <c r="E375" s="2080"/>
      <c r="F375" s="2080"/>
      <c r="G375" s="2080"/>
      <c r="H375" s="2080"/>
      <c r="I375" s="2080"/>
    </row>
    <row r="376" spans="1:9">
      <c r="A376" s="2079" t="s">
        <v>519</v>
      </c>
      <c r="B376" s="2080"/>
      <c r="C376" s="2080"/>
      <c r="D376" s="2080"/>
      <c r="E376" s="2080"/>
      <c r="F376" s="2080"/>
      <c r="G376" s="2080"/>
      <c r="H376" s="2080"/>
      <c r="I376" s="2080"/>
    </row>
    <row r="377" spans="1:9">
      <c r="A377" s="2081" t="s">
        <v>520</v>
      </c>
      <c r="B377" s="2080"/>
      <c r="C377" s="2080"/>
      <c r="D377" s="2080"/>
      <c r="E377" s="2080"/>
      <c r="F377" s="2080"/>
      <c r="G377" s="2080"/>
      <c r="H377" s="2080"/>
      <c r="I377" s="2080"/>
    </row>
    <row r="378" spans="1:9">
      <c r="A378" s="2082" t="s">
        <v>442</v>
      </c>
      <c r="B378" s="2114" t="s">
        <v>315</v>
      </c>
      <c r="C378" s="2154"/>
      <c r="D378" s="2154"/>
      <c r="E378" s="2155"/>
      <c r="F378" s="2114" t="s">
        <v>316</v>
      </c>
      <c r="G378" s="2154"/>
      <c r="H378" s="2154"/>
      <c r="I378" s="2155"/>
    </row>
    <row r="379" spans="1:9">
      <c r="A379" s="2082"/>
      <c r="B379" s="2082" t="s">
        <v>443</v>
      </c>
      <c r="C379" s="2082" t="s">
        <v>444</v>
      </c>
      <c r="D379" s="2108" t="s">
        <v>445</v>
      </c>
      <c r="E379" s="2082" t="s">
        <v>446</v>
      </c>
      <c r="F379" s="2082" t="s">
        <v>443</v>
      </c>
      <c r="G379" s="2082" t="s">
        <v>444</v>
      </c>
      <c r="H379" s="2108" t="s">
        <v>445</v>
      </c>
      <c r="I379" s="2082" t="s">
        <v>446</v>
      </c>
    </row>
    <row r="380" spans="1:10">
      <c r="A380" s="2087" t="s">
        <v>447</v>
      </c>
      <c r="B380" s="2085">
        <f>IF(未审附注之流动资产!B380="",0,未审附注之流动资产!B380)</f>
        <v>0</v>
      </c>
      <c r="C380" s="2117">
        <f>IF(B380=0,0,1-C381-C382-C383-C384-C385)</f>
        <v>0</v>
      </c>
      <c r="D380" s="2085">
        <f>IF(未审附注之流动资产!D380="",0,未审附注之流动资产!D380)</f>
        <v>0</v>
      </c>
      <c r="E380" s="2117">
        <f t="shared" ref="E380:E386" si="5">IF(B380=0,0,ROUND(D380/B380,4))</f>
        <v>0</v>
      </c>
      <c r="F380" s="2085">
        <f>IF(未审附注之流动资产!F380="",0,未审附注之流动资产!F380)</f>
        <v>0</v>
      </c>
      <c r="G380" s="2117">
        <f>IF(F380=0,0,1-G381-G382-G383-G384-G385)</f>
        <v>0</v>
      </c>
      <c r="H380" s="2085">
        <f>IF(未审附注之流动资产!H380="",0,未审附注之流动资产!H380)</f>
        <v>0</v>
      </c>
      <c r="I380" s="2117">
        <f t="shared" ref="I380:I386" si="6">IF(F380=0,0,ROUND(H380/F380,4))</f>
        <v>0</v>
      </c>
      <c r="J380" s="2118" t="s">
        <v>521</v>
      </c>
    </row>
    <row r="381" spans="1:10">
      <c r="A381" s="2087" t="s">
        <v>449</v>
      </c>
      <c r="B381" s="2085">
        <f>IF(未审附注之流动资产!B381="",0,未审附注之流动资产!B381)</f>
        <v>0</v>
      </c>
      <c r="C381" s="2117">
        <f>IF(B381=0,0,IF(B380=0,ROUND(1-C382-C383-C384-C385,4),ROUND(B381/B386,4)))</f>
        <v>0</v>
      </c>
      <c r="D381" s="2085">
        <f>IF(未审附注之流动资产!D381="",0,未审附注之流动资产!D381)</f>
        <v>0</v>
      </c>
      <c r="E381" s="2117">
        <f t="shared" si="5"/>
        <v>0</v>
      </c>
      <c r="F381" s="2085">
        <f>IF(未审附注之流动资产!F381="",0,未审附注之流动资产!F381)</f>
        <v>0</v>
      </c>
      <c r="G381" s="2117">
        <f>IF(F381=0,0,IF(F380=0,ROUND(1-G382-G383-G384-G385,4),ROUND(F381/F386,4)))</f>
        <v>0</v>
      </c>
      <c r="H381" s="2085">
        <f>IF(未审附注之流动资产!H381="",0,未审附注之流动资产!H381)</f>
        <v>0</v>
      </c>
      <c r="I381" s="2117">
        <f t="shared" si="6"/>
        <v>0</v>
      </c>
      <c r="J381" s="2118" t="s">
        <v>522</v>
      </c>
    </row>
    <row r="382" spans="1:10">
      <c r="A382" s="2087" t="s">
        <v>451</v>
      </c>
      <c r="B382" s="2085">
        <f>IF(未审附注之流动资产!B382="",0,未审附注之流动资产!B382)</f>
        <v>0</v>
      </c>
      <c r="C382" s="2117">
        <f>IF(B382=0,0,IF(AND(B380=0,B381=0),ROUND(1-C383-C384-C385,4),ROUND(B382/B386,4)))</f>
        <v>0</v>
      </c>
      <c r="D382" s="2085">
        <f>IF(未审附注之流动资产!D382="",0,未审附注之流动资产!D382)</f>
        <v>0</v>
      </c>
      <c r="E382" s="2117">
        <f t="shared" si="5"/>
        <v>0</v>
      </c>
      <c r="F382" s="2085">
        <f>IF(未审附注之流动资产!F382="",0,未审附注之流动资产!F382)</f>
        <v>0</v>
      </c>
      <c r="G382" s="2117">
        <f>IF(F382=0,0,IF(AND(F380=0,F381=0),ROUND(1-G383-G384-G385,4),ROUND(F382/F386,4)))</f>
        <v>0</v>
      </c>
      <c r="H382" s="2085">
        <f>IF(未审附注之流动资产!H382="",0,未审附注之流动资产!H382)</f>
        <v>0</v>
      </c>
      <c r="I382" s="2117">
        <f t="shared" si="6"/>
        <v>0</v>
      </c>
      <c r="J382" s="2118" t="s">
        <v>523</v>
      </c>
    </row>
    <row r="383" spans="1:10">
      <c r="A383" s="2087" t="s">
        <v>453</v>
      </c>
      <c r="B383" s="2085">
        <f>IF(未审附注之流动资产!B383="",0,未审附注之流动资产!B383)</f>
        <v>0</v>
      </c>
      <c r="C383" s="2117">
        <f>IF(B383=0,0,IF(AND(B380=0,B381=0,B382=0),ROUND(1-C384-C385,4),ROUND(B383/B386,4)))</f>
        <v>0</v>
      </c>
      <c r="D383" s="2085">
        <f>IF(未审附注之流动资产!D383="",0,未审附注之流动资产!D383)</f>
        <v>0</v>
      </c>
      <c r="E383" s="2117">
        <f t="shared" si="5"/>
        <v>0</v>
      </c>
      <c r="F383" s="2085">
        <f>IF(未审附注之流动资产!F383="",0,未审附注之流动资产!F383)</f>
        <v>0</v>
      </c>
      <c r="G383" s="2117">
        <f>IF(F383=0,0,IF(AND(F380=0,F381=0,F382=0),ROUND(1-G384-G385,4),ROUND(F383/F386,4)))</f>
        <v>0</v>
      </c>
      <c r="H383" s="2085">
        <f>IF(未审附注之流动资产!H383="",0,未审附注之流动资产!H383)</f>
        <v>0</v>
      </c>
      <c r="I383" s="2117">
        <f t="shared" si="6"/>
        <v>0</v>
      </c>
      <c r="J383" s="2118" t="s">
        <v>524</v>
      </c>
    </row>
    <row r="384" spans="1:10">
      <c r="A384" s="2087" t="s">
        <v>455</v>
      </c>
      <c r="B384" s="2085">
        <f>IF(未审附注之流动资产!B384="",0,未审附注之流动资产!B384)</f>
        <v>0</v>
      </c>
      <c r="C384" s="2117">
        <f>IF(B384=0,0,IF(AND(B380=0,B381=0,B382=0,B383=0),ROUND(1-C385,4),ROUND(B384/B386,4)))</f>
        <v>0</v>
      </c>
      <c r="D384" s="2085">
        <f>IF(未审附注之流动资产!D384="",0,未审附注之流动资产!D384)</f>
        <v>0</v>
      </c>
      <c r="E384" s="2117">
        <f t="shared" si="5"/>
        <v>0</v>
      </c>
      <c r="F384" s="2085">
        <f>IF(未审附注之流动资产!F384="",0,未审附注之流动资产!F384)</f>
        <v>0</v>
      </c>
      <c r="G384" s="2117">
        <f>IF(F384=0,0,IF(AND(F380=0,F381=0,F382=0,F383=0),ROUND(1-G385,4),ROUND(F384/F386,4)))</f>
        <v>0</v>
      </c>
      <c r="H384" s="2085">
        <f>IF(未审附注之流动资产!H384="",0,未审附注之流动资产!H384)</f>
        <v>0</v>
      </c>
      <c r="I384" s="2117">
        <f t="shared" si="6"/>
        <v>0</v>
      </c>
      <c r="J384" s="2118" t="s">
        <v>525</v>
      </c>
    </row>
    <row r="385" spans="1:10">
      <c r="A385" s="2087" t="s">
        <v>457</v>
      </c>
      <c r="B385" s="2085">
        <f>IF(未审附注之流动资产!B385="",0,未审附注之流动资产!B385)</f>
        <v>0</v>
      </c>
      <c r="C385" s="2117">
        <f>IF(B385=0,0,ROUND(B385/B386,4))</f>
        <v>0</v>
      </c>
      <c r="D385" s="2085">
        <f>IF(未审附注之流动资产!D385="",0,未审附注之流动资产!D385)</f>
        <v>0</v>
      </c>
      <c r="E385" s="2117">
        <f t="shared" si="5"/>
        <v>0</v>
      </c>
      <c r="F385" s="2085">
        <f>IF(未审附注之流动资产!F385="",0,未审附注之流动资产!F385)</f>
        <v>0</v>
      </c>
      <c r="G385" s="2117">
        <f>IF(F385=0,0,ROUND(F385/F386,4))</f>
        <v>0</v>
      </c>
      <c r="H385" s="2085">
        <f>IF(未审附注之流动资产!H385="",0,未审附注之流动资产!H385)</f>
        <v>0</v>
      </c>
      <c r="I385" s="2117">
        <f t="shared" si="6"/>
        <v>0</v>
      </c>
      <c r="J385" s="2118" t="s">
        <v>526</v>
      </c>
    </row>
    <row r="386" spans="1:10">
      <c r="A386" s="2082" t="s">
        <v>384</v>
      </c>
      <c r="B386" s="2048">
        <f>ROUND(SUM(B380:B385),2)</f>
        <v>0</v>
      </c>
      <c r="C386" s="2093">
        <f>IF(B386=0,0,1)</f>
        <v>0</v>
      </c>
      <c r="D386" s="2048">
        <f>ROUND(SUM(D380:D385),2)</f>
        <v>0</v>
      </c>
      <c r="E386" s="2093">
        <f t="shared" si="5"/>
        <v>0</v>
      </c>
      <c r="F386" s="2048">
        <f>ROUND(SUM(F380:F385),2)</f>
        <v>0</v>
      </c>
      <c r="G386" s="2093">
        <f>IF(F386=0,0,1)</f>
        <v>0</v>
      </c>
      <c r="H386" s="2048">
        <f>ROUND(SUM(H380:H385),2)</f>
        <v>0</v>
      </c>
      <c r="I386" s="2093">
        <f t="shared" si="6"/>
        <v>0</v>
      </c>
      <c r="J386" s="2118" t="s">
        <v>527</v>
      </c>
    </row>
    <row r="387" spans="1:9">
      <c r="A387" s="2103"/>
      <c r="B387" s="2080"/>
      <c r="C387" s="2080"/>
      <c r="D387" s="2080"/>
      <c r="E387" s="2080"/>
      <c r="F387" s="2080"/>
      <c r="G387" s="2080"/>
      <c r="H387" s="2080"/>
      <c r="I387" s="2080"/>
    </row>
    <row r="388" spans="1:9">
      <c r="A388" s="2081" t="s">
        <v>460</v>
      </c>
      <c r="B388" s="2080"/>
      <c r="C388" s="2080"/>
      <c r="D388" s="2080"/>
      <c r="E388" s="2080"/>
      <c r="F388" s="2080"/>
      <c r="G388" s="2080"/>
      <c r="H388" s="2080"/>
      <c r="I388" s="2080"/>
    </row>
    <row r="389" spans="1:9">
      <c r="A389" s="2089" t="s">
        <v>372</v>
      </c>
      <c r="B389" s="2114" t="s">
        <v>315</v>
      </c>
      <c r="C389" s="2154"/>
      <c r="D389" s="2154"/>
      <c r="E389" s="2155"/>
      <c r="F389" s="2114" t="s">
        <v>316</v>
      </c>
      <c r="G389" s="2154"/>
      <c r="H389" s="2154"/>
      <c r="I389" s="2155"/>
    </row>
    <row r="390" spans="1:9">
      <c r="A390" s="2090"/>
      <c r="B390" s="2082" t="s">
        <v>443</v>
      </c>
      <c r="C390" s="2082" t="s">
        <v>444</v>
      </c>
      <c r="D390" s="2108" t="s">
        <v>445</v>
      </c>
      <c r="E390" s="2082" t="s">
        <v>446</v>
      </c>
      <c r="F390" s="2082" t="s">
        <v>443</v>
      </c>
      <c r="G390" s="2082" t="s">
        <v>444</v>
      </c>
      <c r="H390" s="2108" t="s">
        <v>445</v>
      </c>
      <c r="I390" s="2082" t="s">
        <v>446</v>
      </c>
    </row>
    <row r="391" spans="1:10">
      <c r="A391" s="2084" t="s">
        <v>461</v>
      </c>
      <c r="B391" s="2085">
        <f>IF(未审附注之流动资产!B391="",0,未审附注之流动资产!B391)</f>
        <v>0</v>
      </c>
      <c r="C391" s="2117">
        <f>IF(B391=0,0,1-C392-C393)</f>
        <v>0</v>
      </c>
      <c r="D391" s="2085">
        <f>IF(未审附注之流动资产!D391="",0,未审附注之流动资产!D391)</f>
        <v>0</v>
      </c>
      <c r="E391" s="2117">
        <f>IF(B391=0,0,ROUND(D391/B391,4))</f>
        <v>0</v>
      </c>
      <c r="F391" s="2085">
        <f>IF(未审附注之流动资产!F391="",0,未审附注之流动资产!F391)</f>
        <v>0</v>
      </c>
      <c r="G391" s="2117">
        <f>IF(F391=0,0,1-G392-G393)</f>
        <v>0</v>
      </c>
      <c r="H391" s="2085">
        <f>IF(未审附注之流动资产!H391="",0,未审附注之流动资产!H391)</f>
        <v>0</v>
      </c>
      <c r="I391" s="2117">
        <f>IF(F391=0,0,ROUND(H391/F391,4))</f>
        <v>0</v>
      </c>
      <c r="J391" s="2118" t="s">
        <v>528</v>
      </c>
    </row>
    <row r="392" spans="1:10">
      <c r="A392" s="2084" t="s">
        <v>463</v>
      </c>
      <c r="B392" s="2085">
        <f>IF(未审附注之流动资产!B392="",0,未审附注之流动资产!B392)</f>
        <v>0</v>
      </c>
      <c r="C392" s="2117">
        <f>IF(B392=0,0,IF(B391=0,ROUND(1-C393,4),ROUND(B392/B$394,4)))</f>
        <v>0</v>
      </c>
      <c r="D392" s="2085">
        <f>IF(未审附注之流动资产!D392="",0,未审附注之流动资产!D392)</f>
        <v>0</v>
      </c>
      <c r="E392" s="2117">
        <f>IF(B392=0,0,ROUND(D392/B392,4))</f>
        <v>0</v>
      </c>
      <c r="F392" s="2085">
        <f>IF(未审附注之流动资产!F392="",0,未审附注之流动资产!F392)</f>
        <v>0</v>
      </c>
      <c r="G392" s="2117">
        <f>IF(F392=0,0,IF(F391=0,ROUND(1-G393,4),ROUND(F392/F$394,4)))</f>
        <v>0</v>
      </c>
      <c r="H392" s="2085">
        <f>IF(未审附注之流动资产!H392="",0,未审附注之流动资产!H392)</f>
        <v>0</v>
      </c>
      <c r="I392" s="2117">
        <f>IF(F392=0,0,ROUND(H392/F392,4))</f>
        <v>0</v>
      </c>
      <c r="J392" s="2118" t="s">
        <v>529</v>
      </c>
    </row>
    <row r="393" spans="1:10">
      <c r="A393" s="2084" t="s">
        <v>465</v>
      </c>
      <c r="B393" s="2120">
        <f>ROUND(B394-B391-B392,2)</f>
        <v>0</v>
      </c>
      <c r="C393" s="2117">
        <f>IF(B393=0,0,ROUND(B393/B$394,4))</f>
        <v>0</v>
      </c>
      <c r="D393" s="2120">
        <f>ROUND(D394-D391-D392,2)</f>
        <v>0</v>
      </c>
      <c r="E393" s="2117">
        <f>IF(B393=0,0,ROUND(D393/B393,4))</f>
        <v>0</v>
      </c>
      <c r="F393" s="2120">
        <f>ROUND(F394-F391-F392,2)</f>
        <v>0</v>
      </c>
      <c r="G393" s="2117">
        <f>IF(F393=0,0,ROUND(F393/F$394,4))</f>
        <v>0</v>
      </c>
      <c r="H393" s="2120">
        <f>ROUND(H394-H391-H392,2)</f>
        <v>0</v>
      </c>
      <c r="I393" s="2117">
        <f>IF(F393=0,0,ROUND(H393/F393,4))</f>
        <v>0</v>
      </c>
      <c r="J393" s="2118" t="s">
        <v>530</v>
      </c>
    </row>
    <row r="394" spans="1:10">
      <c r="A394" s="2082" t="s">
        <v>384</v>
      </c>
      <c r="B394" s="2048">
        <f>B386</f>
        <v>0</v>
      </c>
      <c r="C394" s="2093">
        <f>IF(B394=0,0,1)</f>
        <v>0</v>
      </c>
      <c r="D394" s="2048">
        <f>D386</f>
        <v>0</v>
      </c>
      <c r="E394" s="2093">
        <f>IF(B394=0,0,ROUND(D394/B394,4))</f>
        <v>0</v>
      </c>
      <c r="F394" s="2048">
        <f>F386</f>
        <v>0</v>
      </c>
      <c r="G394" s="2093">
        <f>IF(F394=0,0,1)</f>
        <v>0</v>
      </c>
      <c r="H394" s="2048">
        <f>H386</f>
        <v>0</v>
      </c>
      <c r="I394" s="2093">
        <f>IF(F394=0,0,ROUND(H394/F394,4))</f>
        <v>0</v>
      </c>
      <c r="J394" s="2118" t="s">
        <v>531</v>
      </c>
    </row>
    <row r="395" spans="1:9">
      <c r="A395" s="2103"/>
      <c r="B395" s="2080"/>
      <c r="C395" s="2080"/>
      <c r="D395" s="2080"/>
      <c r="E395" s="2080"/>
      <c r="F395" s="2080"/>
      <c r="G395" s="2080"/>
      <c r="H395" s="2080"/>
      <c r="I395" s="2080"/>
    </row>
    <row r="396" spans="1:9">
      <c r="A396" s="2081" t="s">
        <v>468</v>
      </c>
      <c r="B396" s="2080"/>
      <c r="C396" s="2080"/>
      <c r="D396" s="2080"/>
      <c r="E396" s="2080"/>
      <c r="F396" s="2080"/>
      <c r="G396" s="2080"/>
      <c r="H396" s="2080"/>
      <c r="I396" s="2080"/>
    </row>
    <row r="397" spans="1:9">
      <c r="A397" s="2082" t="s">
        <v>469</v>
      </c>
      <c r="B397" s="2082" t="s">
        <v>315</v>
      </c>
      <c r="C397" s="2082" t="s">
        <v>470</v>
      </c>
      <c r="D397" s="2082" t="s">
        <v>446</v>
      </c>
      <c r="E397" s="2082" t="s">
        <v>471</v>
      </c>
      <c r="F397" s="2080"/>
      <c r="G397" s="2080"/>
      <c r="H397" s="2080"/>
      <c r="I397" s="2080"/>
    </row>
    <row r="398" spans="1:10">
      <c r="A398" s="2092">
        <f>IF(未审附注之流动资产!A398="",0,未审附注之流动资产!A398)</f>
        <v>0</v>
      </c>
      <c r="B398" s="2085">
        <f>IF(未审附注之流动资产!B398="",0,未审附注之流动资产!B398)</f>
        <v>0</v>
      </c>
      <c r="C398" s="2085">
        <f>IF(未审附注之流动资产!C398="",0,未审附注之流动资产!C398)</f>
        <v>0</v>
      </c>
      <c r="D398" s="2117">
        <f>IF(B398=0,0,ROUND(C398/B398,4))</f>
        <v>0</v>
      </c>
      <c r="E398" s="2092">
        <f>IF(未审附注之流动资产!E398="",0,未审附注之流动资产!E398)</f>
        <v>0</v>
      </c>
      <c r="F398" s="2080"/>
      <c r="G398" s="2080"/>
      <c r="H398" s="2080"/>
      <c r="I398" s="2080"/>
      <c r="J398" s="2118" t="s">
        <v>532</v>
      </c>
    </row>
    <row r="399" spans="1:10">
      <c r="A399" s="2092">
        <f>IF(未审附注之流动资产!A399="",0,未审附注之流动资产!A399)</f>
        <v>0</v>
      </c>
      <c r="B399" s="2085">
        <f>IF(未审附注之流动资产!B399="",0,未审附注之流动资产!B399)</f>
        <v>0</v>
      </c>
      <c r="C399" s="2085">
        <f>IF(未审附注之流动资产!C399="",0,未审附注之流动资产!C399)</f>
        <v>0</v>
      </c>
      <c r="D399" s="2117">
        <f t="shared" ref="D399:D408" si="7">IF(B399=0,0,ROUND(C399/B399,4))</f>
        <v>0</v>
      </c>
      <c r="E399" s="2092">
        <f>IF(未审附注之流动资产!E399="",0,未审附注之流动资产!E399)</f>
        <v>0</v>
      </c>
      <c r="F399" s="2080"/>
      <c r="G399" s="2080"/>
      <c r="H399" s="2080"/>
      <c r="I399" s="2080"/>
      <c r="J399" s="2118" t="s">
        <v>532</v>
      </c>
    </row>
    <row r="400" spans="1:10">
      <c r="A400" s="2092">
        <f>IF(未审附注之流动资产!A400="",0,未审附注之流动资产!A400)</f>
        <v>0</v>
      </c>
      <c r="B400" s="2085">
        <f>IF(未审附注之流动资产!B400="",0,未审附注之流动资产!B400)</f>
        <v>0</v>
      </c>
      <c r="C400" s="2085">
        <f>IF(未审附注之流动资产!C400="",0,未审附注之流动资产!C400)</f>
        <v>0</v>
      </c>
      <c r="D400" s="2117">
        <f t="shared" si="7"/>
        <v>0</v>
      </c>
      <c r="E400" s="2092">
        <f>IF(未审附注之流动资产!E400="",0,未审附注之流动资产!E400)</f>
        <v>0</v>
      </c>
      <c r="F400" s="2080"/>
      <c r="G400" s="2080"/>
      <c r="H400" s="2080"/>
      <c r="I400" s="2080"/>
      <c r="J400" s="2118" t="s">
        <v>532</v>
      </c>
    </row>
    <row r="401" spans="1:10">
      <c r="A401" s="2092">
        <f>IF(未审附注之流动资产!A401="",0,未审附注之流动资产!A401)</f>
        <v>0</v>
      </c>
      <c r="B401" s="2085">
        <f>IF(未审附注之流动资产!B401="",0,未审附注之流动资产!B401)</f>
        <v>0</v>
      </c>
      <c r="C401" s="2085">
        <f>IF(未审附注之流动资产!C401="",0,未审附注之流动资产!C401)</f>
        <v>0</v>
      </c>
      <c r="D401" s="2117">
        <f t="shared" si="7"/>
        <v>0</v>
      </c>
      <c r="E401" s="2092">
        <f>IF(未审附注之流动资产!E401="",0,未审附注之流动资产!E401)</f>
        <v>0</v>
      </c>
      <c r="F401" s="2080"/>
      <c r="G401" s="2080"/>
      <c r="H401" s="2080"/>
      <c r="I401" s="2080"/>
      <c r="J401" s="2118" t="s">
        <v>532</v>
      </c>
    </row>
    <row r="402" spans="1:10">
      <c r="A402" s="2092">
        <f>IF(未审附注之流动资产!A402="",0,未审附注之流动资产!A402)</f>
        <v>0</v>
      </c>
      <c r="B402" s="2085">
        <f>IF(未审附注之流动资产!B402="",0,未审附注之流动资产!B402)</f>
        <v>0</v>
      </c>
      <c r="C402" s="2085">
        <f>IF(未审附注之流动资产!C402="",0,未审附注之流动资产!C402)</f>
        <v>0</v>
      </c>
      <c r="D402" s="2117">
        <f t="shared" si="7"/>
        <v>0</v>
      </c>
      <c r="E402" s="2092">
        <f>IF(未审附注之流动资产!E402="",0,未审附注之流动资产!E402)</f>
        <v>0</v>
      </c>
      <c r="F402" s="2080"/>
      <c r="G402" s="2080"/>
      <c r="H402" s="2080"/>
      <c r="I402" s="2080"/>
      <c r="J402" s="2118" t="s">
        <v>532</v>
      </c>
    </row>
    <row r="403" spans="1:10">
      <c r="A403" s="2092">
        <f>IF(未审附注之流动资产!A403="",0,未审附注之流动资产!A403)</f>
        <v>0</v>
      </c>
      <c r="B403" s="2085">
        <f>IF(未审附注之流动资产!B403="",0,未审附注之流动资产!B403)</f>
        <v>0</v>
      </c>
      <c r="C403" s="2085">
        <f>IF(未审附注之流动资产!C403="",0,未审附注之流动资产!C403)</f>
        <v>0</v>
      </c>
      <c r="D403" s="2117">
        <f t="shared" si="7"/>
        <v>0</v>
      </c>
      <c r="E403" s="2092">
        <f>IF(未审附注之流动资产!E403="",0,未审附注之流动资产!E403)</f>
        <v>0</v>
      </c>
      <c r="F403" s="2080"/>
      <c r="G403" s="2080"/>
      <c r="H403" s="2080"/>
      <c r="I403" s="2080"/>
      <c r="J403" s="2118" t="s">
        <v>532</v>
      </c>
    </row>
    <row r="404" spans="1:10">
      <c r="A404" s="2092">
        <f>IF(未审附注之流动资产!A404="",0,未审附注之流动资产!A404)</f>
        <v>0</v>
      </c>
      <c r="B404" s="2085">
        <f>IF(未审附注之流动资产!B404="",0,未审附注之流动资产!B404)</f>
        <v>0</v>
      </c>
      <c r="C404" s="2085">
        <f>IF(未审附注之流动资产!C404="",0,未审附注之流动资产!C404)</f>
        <v>0</v>
      </c>
      <c r="D404" s="2117">
        <f t="shared" si="7"/>
        <v>0</v>
      </c>
      <c r="E404" s="2092">
        <f>IF(未审附注之流动资产!E404="",0,未审附注之流动资产!E404)</f>
        <v>0</v>
      </c>
      <c r="F404" s="2080"/>
      <c r="G404" s="2080"/>
      <c r="H404" s="2080"/>
      <c r="I404" s="2080"/>
      <c r="J404" s="2118" t="s">
        <v>532</v>
      </c>
    </row>
    <row r="405" spans="1:10">
      <c r="A405" s="2092">
        <f>IF(未审附注之流动资产!A405="",0,未审附注之流动资产!A405)</f>
        <v>0</v>
      </c>
      <c r="B405" s="2085">
        <f>IF(未审附注之流动资产!B405="",0,未审附注之流动资产!B405)</f>
        <v>0</v>
      </c>
      <c r="C405" s="2085">
        <f>IF(未审附注之流动资产!C405="",0,未审附注之流动资产!C405)</f>
        <v>0</v>
      </c>
      <c r="D405" s="2117">
        <f t="shared" si="7"/>
        <v>0</v>
      </c>
      <c r="E405" s="2092">
        <f>IF(未审附注之流动资产!E405="",0,未审附注之流动资产!E405)</f>
        <v>0</v>
      </c>
      <c r="F405" s="2080"/>
      <c r="G405" s="2080"/>
      <c r="H405" s="2080"/>
      <c r="I405" s="2080"/>
      <c r="J405" s="2118" t="s">
        <v>532</v>
      </c>
    </row>
    <row r="406" spans="1:10">
      <c r="A406" s="2092">
        <f>IF(未审附注之流动资产!A406="",0,未审附注之流动资产!A406)</f>
        <v>0</v>
      </c>
      <c r="B406" s="2085">
        <f>IF(未审附注之流动资产!B406="",0,未审附注之流动资产!B406)</f>
        <v>0</v>
      </c>
      <c r="C406" s="2085">
        <f>IF(未审附注之流动资产!C406="",0,未审附注之流动资产!C406)</f>
        <v>0</v>
      </c>
      <c r="D406" s="2117">
        <f t="shared" si="7"/>
        <v>0</v>
      </c>
      <c r="E406" s="2092">
        <f>IF(未审附注之流动资产!E406="",0,未审附注之流动资产!E406)</f>
        <v>0</v>
      </c>
      <c r="F406" s="2080"/>
      <c r="G406" s="2080"/>
      <c r="H406" s="2080"/>
      <c r="I406" s="2080"/>
      <c r="J406" s="2118" t="s">
        <v>532</v>
      </c>
    </row>
    <row r="407" spans="1:10">
      <c r="A407" s="2092">
        <f>IF(未审附注之流动资产!A407="",0,未审附注之流动资产!A407)</f>
        <v>0</v>
      </c>
      <c r="B407" s="2085">
        <f>IF(未审附注之流动资产!B407="",0,未审附注之流动资产!B407)</f>
        <v>0</v>
      </c>
      <c r="C407" s="2085">
        <f>IF(未审附注之流动资产!C407="",0,未审附注之流动资产!C407)</f>
        <v>0</v>
      </c>
      <c r="D407" s="2117">
        <f t="shared" si="7"/>
        <v>0</v>
      </c>
      <c r="E407" s="2092">
        <f>IF(未审附注之流动资产!E407="",0,未审附注之流动资产!E407)</f>
        <v>0</v>
      </c>
      <c r="F407" s="2080"/>
      <c r="G407" s="2080"/>
      <c r="H407" s="2080"/>
      <c r="I407" s="2080"/>
      <c r="J407" s="2118" t="s">
        <v>532</v>
      </c>
    </row>
    <row r="408" spans="1:10">
      <c r="A408" s="2082" t="s">
        <v>384</v>
      </c>
      <c r="B408" s="2048">
        <f>ROUND(SUM(B398:B407),2)</f>
        <v>0</v>
      </c>
      <c r="C408" s="2048">
        <f>ROUND(SUM(C398:C407),2)</f>
        <v>0</v>
      </c>
      <c r="D408" s="2093">
        <f t="shared" si="7"/>
        <v>0</v>
      </c>
      <c r="E408" s="2048"/>
      <c r="F408" s="2080"/>
      <c r="G408" s="2080"/>
      <c r="H408" s="2080"/>
      <c r="I408" s="2080"/>
      <c r="J408" s="2118" t="s">
        <v>533</v>
      </c>
    </row>
    <row r="409" spans="1:9">
      <c r="A409" s="2103"/>
      <c r="B409" s="2080"/>
      <c r="C409" s="2080"/>
      <c r="D409" s="2080"/>
      <c r="E409" s="2080"/>
      <c r="F409" s="2080"/>
      <c r="G409" s="2080"/>
      <c r="H409" s="2080"/>
      <c r="I409" s="2080"/>
    </row>
    <row r="410" spans="1:9">
      <c r="A410" s="2096" t="s">
        <v>474</v>
      </c>
      <c r="B410" s="2080"/>
      <c r="C410" s="2080"/>
      <c r="D410" s="2080"/>
      <c r="E410" s="2080"/>
      <c r="F410" s="2080"/>
      <c r="G410" s="2080"/>
      <c r="H410" s="2080"/>
      <c r="I410" s="2080"/>
    </row>
    <row r="411" spans="1:9">
      <c r="A411" s="2082" t="s">
        <v>314</v>
      </c>
      <c r="B411" s="2082" t="s">
        <v>315</v>
      </c>
      <c r="C411" s="2082" t="s">
        <v>475</v>
      </c>
      <c r="D411" s="2080"/>
      <c r="E411" s="2080"/>
      <c r="F411" s="2080"/>
      <c r="G411" s="2080"/>
      <c r="H411" s="2080"/>
      <c r="I411" s="2080"/>
    </row>
    <row r="412" spans="1:10">
      <c r="A412" s="2092">
        <f>IF(未审附注之流动资产!A412="",0,未审附注之流动资产!A412)</f>
        <v>0</v>
      </c>
      <c r="B412" s="2085">
        <f>IF(未审附注之流动资产!B412="",0,未审附注之流动资产!B412)</f>
        <v>0</v>
      </c>
      <c r="C412" s="2092">
        <f>IF(未审附注之流动资产!C412="",0,未审附注之流动资产!C412)</f>
        <v>0</v>
      </c>
      <c r="D412" s="2080"/>
      <c r="E412" s="2080"/>
      <c r="F412" s="2080"/>
      <c r="G412" s="2080"/>
      <c r="H412" s="2080"/>
      <c r="I412" s="2080"/>
      <c r="J412" s="2118" t="s">
        <v>534</v>
      </c>
    </row>
    <row r="413" spans="1:10">
      <c r="A413" s="2092">
        <f>IF(未审附注之流动资产!A413="",0,未审附注之流动资产!A413)</f>
        <v>0</v>
      </c>
      <c r="B413" s="2085">
        <f>IF(未审附注之流动资产!B413="",0,未审附注之流动资产!B413)</f>
        <v>0</v>
      </c>
      <c r="C413" s="2092">
        <f>IF(未审附注之流动资产!C413="",0,未审附注之流动资产!C413)</f>
        <v>0</v>
      </c>
      <c r="D413" s="2080"/>
      <c r="E413" s="2080"/>
      <c r="F413" s="2080"/>
      <c r="G413" s="2080"/>
      <c r="H413" s="2080"/>
      <c r="I413" s="2080"/>
      <c r="J413" s="2118" t="s">
        <v>534</v>
      </c>
    </row>
    <row r="414" spans="1:10">
      <c r="A414" s="2092">
        <f>IF(未审附注之流动资产!A414="",0,未审附注之流动资产!A414)</f>
        <v>0</v>
      </c>
      <c r="B414" s="2085">
        <f>IF(未审附注之流动资产!B414="",0,未审附注之流动资产!B414)</f>
        <v>0</v>
      </c>
      <c r="C414" s="2092">
        <f>IF(未审附注之流动资产!C414="",0,未审附注之流动资产!C414)</f>
        <v>0</v>
      </c>
      <c r="D414" s="2080"/>
      <c r="E414" s="2080"/>
      <c r="F414" s="2080"/>
      <c r="G414" s="2080"/>
      <c r="H414" s="2080"/>
      <c r="I414" s="2080"/>
      <c r="J414" s="2118" t="s">
        <v>534</v>
      </c>
    </row>
    <row r="415" spans="1:10">
      <c r="A415" s="2092">
        <f>IF(未审附注之流动资产!A415="",0,未审附注之流动资产!A415)</f>
        <v>0</v>
      </c>
      <c r="B415" s="2085">
        <f>IF(未审附注之流动资产!B415="",0,未审附注之流动资产!B415)</f>
        <v>0</v>
      </c>
      <c r="C415" s="2092">
        <f>IF(未审附注之流动资产!C415="",0,未审附注之流动资产!C415)</f>
        <v>0</v>
      </c>
      <c r="D415" s="2080"/>
      <c r="E415" s="2080"/>
      <c r="F415" s="2080"/>
      <c r="G415" s="2080"/>
      <c r="H415" s="2080"/>
      <c r="I415" s="2080"/>
      <c r="J415" s="2118" t="s">
        <v>534</v>
      </c>
    </row>
    <row r="416" spans="1:10">
      <c r="A416" s="2092">
        <f>IF(未审附注之流动资产!A416="",0,未审附注之流动资产!A416)</f>
        <v>0</v>
      </c>
      <c r="B416" s="2085">
        <f>IF(未审附注之流动资产!B416="",0,未审附注之流动资产!B416)</f>
        <v>0</v>
      </c>
      <c r="C416" s="2092">
        <f>IF(未审附注之流动资产!C416="",0,未审附注之流动资产!C416)</f>
        <v>0</v>
      </c>
      <c r="D416" s="2080"/>
      <c r="E416" s="2080"/>
      <c r="F416" s="2080"/>
      <c r="G416" s="2080"/>
      <c r="H416" s="2080"/>
      <c r="I416" s="2080"/>
      <c r="J416" s="2118" t="s">
        <v>534</v>
      </c>
    </row>
    <row r="417" spans="1:10">
      <c r="A417" s="2092">
        <f>IF(未审附注之流动资产!A417="",0,未审附注之流动资产!A417)</f>
        <v>0</v>
      </c>
      <c r="B417" s="2085">
        <f>IF(未审附注之流动资产!B417="",0,未审附注之流动资产!B417)</f>
        <v>0</v>
      </c>
      <c r="C417" s="2092">
        <f>IF(未审附注之流动资产!C417="",0,未审附注之流动资产!C417)</f>
        <v>0</v>
      </c>
      <c r="D417" s="2080"/>
      <c r="E417" s="2080"/>
      <c r="F417" s="2080"/>
      <c r="G417" s="2080"/>
      <c r="H417" s="2080"/>
      <c r="I417" s="2080"/>
      <c r="J417" s="2118" t="s">
        <v>534</v>
      </c>
    </row>
    <row r="418" spans="1:10">
      <c r="A418" s="2092">
        <f>IF(未审附注之流动资产!A418="",0,未审附注之流动资产!A418)</f>
        <v>0</v>
      </c>
      <c r="B418" s="2085">
        <f>IF(未审附注之流动资产!B418="",0,未审附注之流动资产!B418)</f>
        <v>0</v>
      </c>
      <c r="C418" s="2092">
        <f>IF(未审附注之流动资产!C418="",0,未审附注之流动资产!C418)</f>
        <v>0</v>
      </c>
      <c r="D418" s="2080"/>
      <c r="E418" s="2080"/>
      <c r="F418" s="2080"/>
      <c r="G418" s="2080"/>
      <c r="H418" s="2080"/>
      <c r="I418" s="2080"/>
      <c r="J418" s="2118" t="s">
        <v>534</v>
      </c>
    </row>
    <row r="419" spans="1:10">
      <c r="A419" s="2092">
        <f>IF(未审附注之流动资产!A419="",0,未审附注之流动资产!A419)</f>
        <v>0</v>
      </c>
      <c r="B419" s="2085">
        <f>IF(未审附注之流动资产!B419="",0,未审附注之流动资产!B419)</f>
        <v>0</v>
      </c>
      <c r="C419" s="2092">
        <f>IF(未审附注之流动资产!C419="",0,未审附注之流动资产!C419)</f>
        <v>0</v>
      </c>
      <c r="D419" s="2080"/>
      <c r="E419" s="2080"/>
      <c r="F419" s="2080"/>
      <c r="G419" s="2080"/>
      <c r="H419" s="2080"/>
      <c r="I419" s="2080"/>
      <c r="J419" s="2118" t="s">
        <v>534</v>
      </c>
    </row>
    <row r="420" spans="1:10">
      <c r="A420" s="2092">
        <f>IF(未审附注之流动资产!A420="",0,未审附注之流动资产!A420)</f>
        <v>0</v>
      </c>
      <c r="B420" s="2085">
        <f>IF(未审附注之流动资产!B420="",0,未审附注之流动资产!B420)</f>
        <v>0</v>
      </c>
      <c r="C420" s="2092">
        <f>IF(未审附注之流动资产!C420="",0,未审附注之流动资产!C420)</f>
        <v>0</v>
      </c>
      <c r="D420" s="2080"/>
      <c r="E420" s="2080"/>
      <c r="F420" s="2080"/>
      <c r="G420" s="2080"/>
      <c r="H420" s="2080"/>
      <c r="I420" s="2080"/>
      <c r="J420" s="2118" t="s">
        <v>534</v>
      </c>
    </row>
    <row r="421" spans="1:10">
      <c r="A421" s="2092">
        <f>IF(未审附注之流动资产!A421="",0,未审附注之流动资产!A421)</f>
        <v>0</v>
      </c>
      <c r="B421" s="2085">
        <f>IF(未审附注之流动资产!B421="",0,未审附注之流动资产!B421)</f>
        <v>0</v>
      </c>
      <c r="C421" s="2092">
        <f>IF(未审附注之流动资产!C421="",0,未审附注之流动资产!C421)</f>
        <v>0</v>
      </c>
      <c r="D421" s="2080"/>
      <c r="E421" s="2080"/>
      <c r="F421" s="2080"/>
      <c r="G421" s="2080"/>
      <c r="H421" s="2080"/>
      <c r="I421" s="2080"/>
      <c r="J421" s="2118" t="s">
        <v>534</v>
      </c>
    </row>
    <row r="422" spans="1:10">
      <c r="A422" s="2082" t="s">
        <v>384</v>
      </c>
      <c r="B422" s="2048">
        <f>ROUND(SUM(B412:B421),2)</f>
        <v>0</v>
      </c>
      <c r="C422" s="2048"/>
      <c r="D422" s="2080"/>
      <c r="E422" s="2080"/>
      <c r="F422" s="2080"/>
      <c r="G422" s="2080"/>
      <c r="H422" s="2080"/>
      <c r="I422" s="2080"/>
      <c r="J422" s="2118" t="s">
        <v>535</v>
      </c>
    </row>
    <row r="423" spans="1:9">
      <c r="A423" s="2103"/>
      <c r="B423" s="2080"/>
      <c r="C423" s="2080"/>
      <c r="D423" s="2080"/>
      <c r="E423" s="2080"/>
      <c r="F423" s="2080"/>
      <c r="G423" s="2080"/>
      <c r="H423" s="2080"/>
      <c r="I423" s="2080"/>
    </row>
    <row r="424" spans="1:9">
      <c r="A424" s="2096" t="s">
        <v>478</v>
      </c>
      <c r="B424" s="2080"/>
      <c r="C424" s="2080"/>
      <c r="D424" s="2080"/>
      <c r="E424" s="2080"/>
      <c r="F424" s="2080"/>
      <c r="G424" s="2080"/>
      <c r="H424" s="2080"/>
      <c r="I424" s="2080"/>
    </row>
    <row r="425" spans="1:9">
      <c r="A425" s="2082" t="s">
        <v>314</v>
      </c>
      <c r="B425" s="2082" t="s">
        <v>479</v>
      </c>
      <c r="C425" s="2082" t="s">
        <v>480</v>
      </c>
      <c r="D425" s="2082" t="s">
        <v>481</v>
      </c>
      <c r="E425" s="2082" t="s">
        <v>482</v>
      </c>
      <c r="F425" s="2082" t="s">
        <v>483</v>
      </c>
      <c r="G425" s="2080"/>
      <c r="H425" s="2080"/>
      <c r="I425" s="2080"/>
    </row>
    <row r="426" spans="1:10">
      <c r="A426" s="2092">
        <f>IF(未审附注之流动资产!A426="",0,未审附注之流动资产!A426)</f>
        <v>0</v>
      </c>
      <c r="B426" s="2085">
        <f>IF(未审附注之流动资产!B426="",0,未审附注之流动资产!B426)</f>
        <v>0</v>
      </c>
      <c r="C426" s="2085">
        <f>IF(未审附注之流动资产!C426="",0,未审附注之流动资产!C426)</f>
        <v>0</v>
      </c>
      <c r="D426" s="2092">
        <f>IF(未审附注之流动资产!D426="",0,未审附注之流动资产!D426)</f>
        <v>0</v>
      </c>
      <c r="E426" s="2092">
        <f>IF(未审附注之流动资产!E426="",0,未审附注之流动资产!E426)</f>
        <v>0</v>
      </c>
      <c r="F426" s="2092">
        <f>IF(未审附注之流动资产!F426="",0,未审附注之流动资产!F426)</f>
        <v>0</v>
      </c>
      <c r="G426" s="2080"/>
      <c r="H426" s="2080"/>
      <c r="I426" s="2080"/>
      <c r="J426" s="2118" t="s">
        <v>536</v>
      </c>
    </row>
    <row r="427" spans="1:10">
      <c r="A427" s="2092">
        <f>IF(未审附注之流动资产!A427="",0,未审附注之流动资产!A427)</f>
        <v>0</v>
      </c>
      <c r="B427" s="2085">
        <f>IF(未审附注之流动资产!B427="",0,未审附注之流动资产!B427)</f>
        <v>0</v>
      </c>
      <c r="C427" s="2085">
        <f>IF(未审附注之流动资产!C427="",0,未审附注之流动资产!C427)</f>
        <v>0</v>
      </c>
      <c r="D427" s="2092">
        <f>IF(未审附注之流动资产!D427="",0,未审附注之流动资产!D427)</f>
        <v>0</v>
      </c>
      <c r="E427" s="2092">
        <f>IF(未审附注之流动资产!E427="",0,未审附注之流动资产!E427)</f>
        <v>0</v>
      </c>
      <c r="F427" s="2092">
        <f>IF(未审附注之流动资产!F427="",0,未审附注之流动资产!F427)</f>
        <v>0</v>
      </c>
      <c r="G427" s="2080"/>
      <c r="H427" s="2080"/>
      <c r="I427" s="2080"/>
      <c r="J427" s="2118" t="s">
        <v>536</v>
      </c>
    </row>
    <row r="428" spans="1:10">
      <c r="A428" s="2092">
        <f>IF(未审附注之流动资产!A428="",0,未审附注之流动资产!A428)</f>
        <v>0</v>
      </c>
      <c r="B428" s="2085">
        <f>IF(未审附注之流动资产!B428="",0,未审附注之流动资产!B428)</f>
        <v>0</v>
      </c>
      <c r="C428" s="2085">
        <f>IF(未审附注之流动资产!C428="",0,未审附注之流动资产!C428)</f>
        <v>0</v>
      </c>
      <c r="D428" s="2092">
        <f>IF(未审附注之流动资产!D428="",0,未审附注之流动资产!D428)</f>
        <v>0</v>
      </c>
      <c r="E428" s="2092">
        <f>IF(未审附注之流动资产!E428="",0,未审附注之流动资产!E428)</f>
        <v>0</v>
      </c>
      <c r="F428" s="2092">
        <f>IF(未审附注之流动资产!F428="",0,未审附注之流动资产!F428)</f>
        <v>0</v>
      </c>
      <c r="G428" s="2080"/>
      <c r="H428" s="2080"/>
      <c r="I428" s="2080"/>
      <c r="J428" s="2118" t="s">
        <v>536</v>
      </c>
    </row>
    <row r="429" spans="1:10">
      <c r="A429" s="2092">
        <f>IF(未审附注之流动资产!A429="",0,未审附注之流动资产!A429)</f>
        <v>0</v>
      </c>
      <c r="B429" s="2085">
        <f>IF(未审附注之流动资产!B429="",0,未审附注之流动资产!B429)</f>
        <v>0</v>
      </c>
      <c r="C429" s="2085">
        <f>IF(未审附注之流动资产!C429="",0,未审附注之流动资产!C429)</f>
        <v>0</v>
      </c>
      <c r="D429" s="2092">
        <f>IF(未审附注之流动资产!D429="",0,未审附注之流动资产!D429)</f>
        <v>0</v>
      </c>
      <c r="E429" s="2092">
        <f>IF(未审附注之流动资产!E429="",0,未审附注之流动资产!E429)</f>
        <v>0</v>
      </c>
      <c r="F429" s="2092">
        <f>IF(未审附注之流动资产!F429="",0,未审附注之流动资产!F429)</f>
        <v>0</v>
      </c>
      <c r="G429" s="2080"/>
      <c r="H429" s="2080"/>
      <c r="I429" s="2080"/>
      <c r="J429" s="2118" t="s">
        <v>536</v>
      </c>
    </row>
    <row r="430" spans="1:10">
      <c r="A430" s="2092">
        <f>IF(未审附注之流动资产!A430="",0,未审附注之流动资产!A430)</f>
        <v>0</v>
      </c>
      <c r="B430" s="2085">
        <f>IF(未审附注之流动资产!B430="",0,未审附注之流动资产!B430)</f>
        <v>0</v>
      </c>
      <c r="C430" s="2085">
        <f>IF(未审附注之流动资产!C430="",0,未审附注之流动资产!C430)</f>
        <v>0</v>
      </c>
      <c r="D430" s="2092">
        <f>IF(未审附注之流动资产!D430="",0,未审附注之流动资产!D430)</f>
        <v>0</v>
      </c>
      <c r="E430" s="2092">
        <f>IF(未审附注之流动资产!E430="",0,未审附注之流动资产!E430)</f>
        <v>0</v>
      </c>
      <c r="F430" s="2092">
        <f>IF(未审附注之流动资产!F430="",0,未审附注之流动资产!F430)</f>
        <v>0</v>
      </c>
      <c r="G430" s="2080"/>
      <c r="H430" s="2080"/>
      <c r="I430" s="2080"/>
      <c r="J430" s="2118" t="s">
        <v>536</v>
      </c>
    </row>
    <row r="431" spans="1:10">
      <c r="A431" s="2092">
        <f>IF(未审附注之流动资产!A431="",0,未审附注之流动资产!A431)</f>
        <v>0</v>
      </c>
      <c r="B431" s="2085">
        <f>IF(未审附注之流动资产!B431="",0,未审附注之流动资产!B431)</f>
        <v>0</v>
      </c>
      <c r="C431" s="2085">
        <f>IF(未审附注之流动资产!C431="",0,未审附注之流动资产!C431)</f>
        <v>0</v>
      </c>
      <c r="D431" s="2092">
        <f>IF(未审附注之流动资产!D431="",0,未审附注之流动资产!D431)</f>
        <v>0</v>
      </c>
      <c r="E431" s="2092">
        <f>IF(未审附注之流动资产!E431="",0,未审附注之流动资产!E431)</f>
        <v>0</v>
      </c>
      <c r="F431" s="2092">
        <f>IF(未审附注之流动资产!F431="",0,未审附注之流动资产!F431)</f>
        <v>0</v>
      </c>
      <c r="G431" s="2080"/>
      <c r="H431" s="2080"/>
      <c r="I431" s="2080"/>
      <c r="J431" s="2118" t="s">
        <v>536</v>
      </c>
    </row>
    <row r="432" spans="1:10">
      <c r="A432" s="2092">
        <f>IF(未审附注之流动资产!A432="",0,未审附注之流动资产!A432)</f>
        <v>0</v>
      </c>
      <c r="B432" s="2085">
        <f>IF(未审附注之流动资产!B432="",0,未审附注之流动资产!B432)</f>
        <v>0</v>
      </c>
      <c r="C432" s="2085">
        <f>IF(未审附注之流动资产!C432="",0,未审附注之流动资产!C432)</f>
        <v>0</v>
      </c>
      <c r="D432" s="2092">
        <f>IF(未审附注之流动资产!D432="",0,未审附注之流动资产!D432)</f>
        <v>0</v>
      </c>
      <c r="E432" s="2092">
        <f>IF(未审附注之流动资产!E432="",0,未审附注之流动资产!E432)</f>
        <v>0</v>
      </c>
      <c r="F432" s="2092">
        <f>IF(未审附注之流动资产!F432="",0,未审附注之流动资产!F432)</f>
        <v>0</v>
      </c>
      <c r="G432" s="2080"/>
      <c r="H432" s="2080"/>
      <c r="I432" s="2080"/>
      <c r="J432" s="2118" t="s">
        <v>536</v>
      </c>
    </row>
    <row r="433" spans="1:10">
      <c r="A433" s="2092">
        <f>IF(未审附注之流动资产!A433="",0,未审附注之流动资产!A433)</f>
        <v>0</v>
      </c>
      <c r="B433" s="2085">
        <f>IF(未审附注之流动资产!B433="",0,未审附注之流动资产!B433)</f>
        <v>0</v>
      </c>
      <c r="C433" s="2085">
        <f>IF(未审附注之流动资产!C433="",0,未审附注之流动资产!C433)</f>
        <v>0</v>
      </c>
      <c r="D433" s="2092">
        <f>IF(未审附注之流动资产!D433="",0,未审附注之流动资产!D433)</f>
        <v>0</v>
      </c>
      <c r="E433" s="2092">
        <f>IF(未审附注之流动资产!E433="",0,未审附注之流动资产!E433)</f>
        <v>0</v>
      </c>
      <c r="F433" s="2092">
        <f>IF(未审附注之流动资产!F433="",0,未审附注之流动资产!F433)</f>
        <v>0</v>
      </c>
      <c r="G433" s="2080"/>
      <c r="H433" s="2080"/>
      <c r="I433" s="2080"/>
      <c r="J433" s="2118" t="s">
        <v>536</v>
      </c>
    </row>
    <row r="434" spans="1:10">
      <c r="A434" s="2092">
        <f>IF(未审附注之流动资产!A434="",0,未审附注之流动资产!A434)</f>
        <v>0</v>
      </c>
      <c r="B434" s="2085">
        <f>IF(未审附注之流动资产!B434="",0,未审附注之流动资产!B434)</f>
        <v>0</v>
      </c>
      <c r="C434" s="2085">
        <f>IF(未审附注之流动资产!C434="",0,未审附注之流动资产!C434)</f>
        <v>0</v>
      </c>
      <c r="D434" s="2092">
        <f>IF(未审附注之流动资产!D434="",0,未审附注之流动资产!D434)</f>
        <v>0</v>
      </c>
      <c r="E434" s="2092">
        <f>IF(未审附注之流动资产!E434="",0,未审附注之流动资产!E434)</f>
        <v>0</v>
      </c>
      <c r="F434" s="2092">
        <f>IF(未审附注之流动资产!F434="",0,未审附注之流动资产!F434)</f>
        <v>0</v>
      </c>
      <c r="G434" s="2080"/>
      <c r="H434" s="2080"/>
      <c r="I434" s="2080"/>
      <c r="J434" s="2118" t="s">
        <v>536</v>
      </c>
    </row>
    <row r="435" spans="1:10">
      <c r="A435" s="2092">
        <f>IF(未审附注之流动资产!A435="",0,未审附注之流动资产!A435)</f>
        <v>0</v>
      </c>
      <c r="B435" s="2085">
        <f>IF(未审附注之流动资产!B435="",0,未审附注之流动资产!B435)</f>
        <v>0</v>
      </c>
      <c r="C435" s="2085">
        <f>IF(未审附注之流动资产!C435="",0,未审附注之流动资产!C435)</f>
        <v>0</v>
      </c>
      <c r="D435" s="2092">
        <f>IF(未审附注之流动资产!D435="",0,未审附注之流动资产!D435)</f>
        <v>0</v>
      </c>
      <c r="E435" s="2092">
        <f>IF(未审附注之流动资产!E435="",0,未审附注之流动资产!E435)</f>
        <v>0</v>
      </c>
      <c r="F435" s="2092">
        <f>IF(未审附注之流动资产!F435="",0,未审附注之流动资产!F435)</f>
        <v>0</v>
      </c>
      <c r="G435" s="2080"/>
      <c r="H435" s="2080"/>
      <c r="I435" s="2080"/>
      <c r="J435" s="2118" t="s">
        <v>536</v>
      </c>
    </row>
    <row r="436" spans="1:10">
      <c r="A436" s="2082" t="s">
        <v>384</v>
      </c>
      <c r="B436" s="2048">
        <f>ROUND(SUM(B426:B435),2)</f>
        <v>0</v>
      </c>
      <c r="C436" s="2048">
        <f>ROUND(SUM(C426:C435),2)</f>
        <v>0</v>
      </c>
      <c r="D436" s="2093"/>
      <c r="E436" s="2048"/>
      <c r="F436" s="2048"/>
      <c r="G436" s="2080"/>
      <c r="H436" s="2080"/>
      <c r="I436" s="2080"/>
      <c r="J436" s="2118" t="s">
        <v>537</v>
      </c>
    </row>
    <row r="437" spans="1:9">
      <c r="A437" s="2103"/>
      <c r="B437" s="2080"/>
      <c r="C437" s="2080"/>
      <c r="D437" s="2080"/>
      <c r="E437" s="2080"/>
      <c r="F437" s="2080"/>
      <c r="G437" s="2080"/>
      <c r="H437" s="2080"/>
      <c r="I437" s="2080"/>
    </row>
    <row r="438" spans="1:9">
      <c r="A438" s="2096" t="s">
        <v>486</v>
      </c>
      <c r="B438" s="2080"/>
      <c r="C438" s="2080"/>
      <c r="D438" s="2080"/>
      <c r="E438" s="2080"/>
      <c r="F438" s="2080"/>
      <c r="G438" s="2080"/>
      <c r="H438" s="2080"/>
      <c r="I438" s="2080"/>
    </row>
    <row r="439" spans="1:9">
      <c r="A439" s="2082" t="s">
        <v>314</v>
      </c>
      <c r="B439" s="2082" t="s">
        <v>487</v>
      </c>
      <c r="C439" s="2082" t="s">
        <v>488</v>
      </c>
      <c r="D439" s="2082" t="s">
        <v>489</v>
      </c>
      <c r="E439" s="2082" t="s">
        <v>482</v>
      </c>
      <c r="F439" s="2082" t="s">
        <v>490</v>
      </c>
      <c r="G439" s="2080"/>
      <c r="H439" s="2080"/>
      <c r="I439" s="2080"/>
    </row>
    <row r="440" spans="1:10">
      <c r="A440" s="2092">
        <f>IF(未审附注之流动资产!A440="",0,未审附注之流动资产!A440)</f>
        <v>0</v>
      </c>
      <c r="B440" s="2085">
        <f>IF(未审附注之流动资产!B440="",0,未审附注之流动资产!B440)</f>
        <v>0</v>
      </c>
      <c r="C440" s="2092">
        <f>IF(未审附注之流动资产!C440="",0,未审附注之流动资产!C440)</f>
        <v>0</v>
      </c>
      <c r="D440" s="2092">
        <f>IF(未审附注之流动资产!D440="",0,未审附注之流动资产!D440)</f>
        <v>0</v>
      </c>
      <c r="E440" s="2092">
        <f>IF(未审附注之流动资产!E440="",0,未审附注之流动资产!E440)</f>
        <v>0</v>
      </c>
      <c r="F440" s="2092">
        <f>IF(未审附注之流动资产!F440="",0,未审附注之流动资产!F440)</f>
        <v>0</v>
      </c>
      <c r="G440" s="2080"/>
      <c r="H440" s="2080"/>
      <c r="I440" s="2080"/>
      <c r="J440" s="2118" t="s">
        <v>538</v>
      </c>
    </row>
    <row r="441" spans="1:10">
      <c r="A441" s="2092">
        <f>IF(未审附注之流动资产!A441="",0,未审附注之流动资产!A441)</f>
        <v>0</v>
      </c>
      <c r="B441" s="2085">
        <f>IF(未审附注之流动资产!B441="",0,未审附注之流动资产!B441)</f>
        <v>0</v>
      </c>
      <c r="C441" s="2092">
        <f>IF(未审附注之流动资产!C441="",0,未审附注之流动资产!C441)</f>
        <v>0</v>
      </c>
      <c r="D441" s="2092">
        <f>IF(未审附注之流动资产!D441="",0,未审附注之流动资产!D441)</f>
        <v>0</v>
      </c>
      <c r="E441" s="2092">
        <f>IF(未审附注之流动资产!E441="",0,未审附注之流动资产!E441)</f>
        <v>0</v>
      </c>
      <c r="F441" s="2092">
        <f>IF(未审附注之流动资产!F441="",0,未审附注之流动资产!F441)</f>
        <v>0</v>
      </c>
      <c r="G441" s="2080"/>
      <c r="H441" s="2080"/>
      <c r="I441" s="2080"/>
      <c r="J441" s="2118" t="s">
        <v>538</v>
      </c>
    </row>
    <row r="442" spans="1:10">
      <c r="A442" s="2092">
        <f>IF(未审附注之流动资产!A442="",0,未审附注之流动资产!A442)</f>
        <v>0</v>
      </c>
      <c r="B442" s="2085">
        <f>IF(未审附注之流动资产!B442="",0,未审附注之流动资产!B442)</f>
        <v>0</v>
      </c>
      <c r="C442" s="2092">
        <f>IF(未审附注之流动资产!C442="",0,未审附注之流动资产!C442)</f>
        <v>0</v>
      </c>
      <c r="D442" s="2092">
        <f>IF(未审附注之流动资产!D442="",0,未审附注之流动资产!D442)</f>
        <v>0</v>
      </c>
      <c r="E442" s="2092">
        <f>IF(未审附注之流动资产!E442="",0,未审附注之流动资产!E442)</f>
        <v>0</v>
      </c>
      <c r="F442" s="2092">
        <f>IF(未审附注之流动资产!F442="",0,未审附注之流动资产!F442)</f>
        <v>0</v>
      </c>
      <c r="G442" s="2080"/>
      <c r="H442" s="2080"/>
      <c r="I442" s="2080"/>
      <c r="J442" s="2118" t="s">
        <v>538</v>
      </c>
    </row>
    <row r="443" spans="1:10">
      <c r="A443" s="2092">
        <f>IF(未审附注之流动资产!A443="",0,未审附注之流动资产!A443)</f>
        <v>0</v>
      </c>
      <c r="B443" s="2085">
        <f>IF(未审附注之流动资产!B443="",0,未审附注之流动资产!B443)</f>
        <v>0</v>
      </c>
      <c r="C443" s="2092">
        <f>IF(未审附注之流动资产!C443="",0,未审附注之流动资产!C443)</f>
        <v>0</v>
      </c>
      <c r="D443" s="2092">
        <f>IF(未审附注之流动资产!D443="",0,未审附注之流动资产!D443)</f>
        <v>0</v>
      </c>
      <c r="E443" s="2092">
        <f>IF(未审附注之流动资产!E443="",0,未审附注之流动资产!E443)</f>
        <v>0</v>
      </c>
      <c r="F443" s="2092">
        <f>IF(未审附注之流动资产!F443="",0,未审附注之流动资产!F443)</f>
        <v>0</v>
      </c>
      <c r="G443" s="2080"/>
      <c r="H443" s="2080"/>
      <c r="I443" s="2080"/>
      <c r="J443" s="2118" t="s">
        <v>538</v>
      </c>
    </row>
    <row r="444" spans="1:10">
      <c r="A444" s="2092">
        <f>IF(未审附注之流动资产!A444="",0,未审附注之流动资产!A444)</f>
        <v>0</v>
      </c>
      <c r="B444" s="2085">
        <f>IF(未审附注之流动资产!B444="",0,未审附注之流动资产!B444)</f>
        <v>0</v>
      </c>
      <c r="C444" s="2092">
        <f>IF(未审附注之流动资产!C444="",0,未审附注之流动资产!C444)</f>
        <v>0</v>
      </c>
      <c r="D444" s="2092">
        <f>IF(未审附注之流动资产!D444="",0,未审附注之流动资产!D444)</f>
        <v>0</v>
      </c>
      <c r="E444" s="2092">
        <f>IF(未审附注之流动资产!E444="",0,未审附注之流动资产!E444)</f>
        <v>0</v>
      </c>
      <c r="F444" s="2092">
        <f>IF(未审附注之流动资产!F444="",0,未审附注之流动资产!F444)</f>
        <v>0</v>
      </c>
      <c r="G444" s="2080"/>
      <c r="H444" s="2080"/>
      <c r="I444" s="2080"/>
      <c r="J444" s="2118" t="s">
        <v>538</v>
      </c>
    </row>
    <row r="445" spans="1:10">
      <c r="A445" s="2092">
        <f>IF(未审附注之流动资产!A445="",0,未审附注之流动资产!A445)</f>
        <v>0</v>
      </c>
      <c r="B445" s="2085">
        <f>IF(未审附注之流动资产!B445="",0,未审附注之流动资产!B445)</f>
        <v>0</v>
      </c>
      <c r="C445" s="2092">
        <f>IF(未审附注之流动资产!C445="",0,未审附注之流动资产!C445)</f>
        <v>0</v>
      </c>
      <c r="D445" s="2092">
        <f>IF(未审附注之流动资产!D445="",0,未审附注之流动资产!D445)</f>
        <v>0</v>
      </c>
      <c r="E445" s="2092">
        <f>IF(未审附注之流动资产!E445="",0,未审附注之流动资产!E445)</f>
        <v>0</v>
      </c>
      <c r="F445" s="2092">
        <f>IF(未审附注之流动资产!F445="",0,未审附注之流动资产!F445)</f>
        <v>0</v>
      </c>
      <c r="G445" s="2080"/>
      <c r="H445" s="2080"/>
      <c r="I445" s="2080"/>
      <c r="J445" s="2118" t="s">
        <v>538</v>
      </c>
    </row>
    <row r="446" spans="1:10">
      <c r="A446" s="2092">
        <f>IF(未审附注之流动资产!A446="",0,未审附注之流动资产!A446)</f>
        <v>0</v>
      </c>
      <c r="B446" s="2085">
        <f>IF(未审附注之流动资产!B446="",0,未审附注之流动资产!B446)</f>
        <v>0</v>
      </c>
      <c r="C446" s="2092">
        <f>IF(未审附注之流动资产!C446="",0,未审附注之流动资产!C446)</f>
        <v>0</v>
      </c>
      <c r="D446" s="2092">
        <f>IF(未审附注之流动资产!D446="",0,未审附注之流动资产!D446)</f>
        <v>0</v>
      </c>
      <c r="E446" s="2092">
        <f>IF(未审附注之流动资产!E446="",0,未审附注之流动资产!E446)</f>
        <v>0</v>
      </c>
      <c r="F446" s="2092">
        <f>IF(未审附注之流动资产!F446="",0,未审附注之流动资产!F446)</f>
        <v>0</v>
      </c>
      <c r="G446" s="2080"/>
      <c r="H446" s="2080"/>
      <c r="I446" s="2080"/>
      <c r="J446" s="2118" t="s">
        <v>538</v>
      </c>
    </row>
    <row r="447" spans="1:10">
      <c r="A447" s="2092">
        <f>IF(未审附注之流动资产!A447="",0,未审附注之流动资产!A447)</f>
        <v>0</v>
      </c>
      <c r="B447" s="2085">
        <f>IF(未审附注之流动资产!B447="",0,未审附注之流动资产!B447)</f>
        <v>0</v>
      </c>
      <c r="C447" s="2092">
        <f>IF(未审附注之流动资产!C447="",0,未审附注之流动资产!C447)</f>
        <v>0</v>
      </c>
      <c r="D447" s="2092">
        <f>IF(未审附注之流动资产!D447="",0,未审附注之流动资产!D447)</f>
        <v>0</v>
      </c>
      <c r="E447" s="2092">
        <f>IF(未审附注之流动资产!E447="",0,未审附注之流动资产!E447)</f>
        <v>0</v>
      </c>
      <c r="F447" s="2092">
        <f>IF(未审附注之流动资产!F447="",0,未审附注之流动资产!F447)</f>
        <v>0</v>
      </c>
      <c r="G447" s="2080"/>
      <c r="H447" s="2080"/>
      <c r="I447" s="2080"/>
      <c r="J447" s="2118" t="s">
        <v>538</v>
      </c>
    </row>
    <row r="448" spans="1:10">
      <c r="A448" s="2092">
        <f>IF(未审附注之流动资产!A448="",0,未审附注之流动资产!A448)</f>
        <v>0</v>
      </c>
      <c r="B448" s="2085">
        <f>IF(未审附注之流动资产!B448="",0,未审附注之流动资产!B448)</f>
        <v>0</v>
      </c>
      <c r="C448" s="2092">
        <f>IF(未审附注之流动资产!C448="",0,未审附注之流动资产!C448)</f>
        <v>0</v>
      </c>
      <c r="D448" s="2092">
        <f>IF(未审附注之流动资产!D448="",0,未审附注之流动资产!D448)</f>
        <v>0</v>
      </c>
      <c r="E448" s="2092">
        <f>IF(未审附注之流动资产!E448="",0,未审附注之流动资产!E448)</f>
        <v>0</v>
      </c>
      <c r="F448" s="2092">
        <f>IF(未审附注之流动资产!F448="",0,未审附注之流动资产!F448)</f>
        <v>0</v>
      </c>
      <c r="G448" s="2080"/>
      <c r="H448" s="2080"/>
      <c r="I448" s="2080"/>
      <c r="J448" s="2118" t="s">
        <v>538</v>
      </c>
    </row>
    <row r="449" spans="1:10">
      <c r="A449" s="2092">
        <f>IF(未审附注之流动资产!A449="",0,未审附注之流动资产!A449)</f>
        <v>0</v>
      </c>
      <c r="B449" s="2085">
        <f>IF(未审附注之流动资产!B449="",0,未审附注之流动资产!B449)</f>
        <v>0</v>
      </c>
      <c r="C449" s="2092">
        <f>IF(未审附注之流动资产!C449="",0,未审附注之流动资产!C449)</f>
        <v>0</v>
      </c>
      <c r="D449" s="2092">
        <f>IF(未审附注之流动资产!D449="",0,未审附注之流动资产!D449)</f>
        <v>0</v>
      </c>
      <c r="E449" s="2092">
        <f>IF(未审附注之流动资产!E449="",0,未审附注之流动资产!E449)</f>
        <v>0</v>
      </c>
      <c r="F449" s="2092">
        <f>IF(未审附注之流动资产!F449="",0,未审附注之流动资产!F449)</f>
        <v>0</v>
      </c>
      <c r="G449" s="2080"/>
      <c r="H449" s="2080"/>
      <c r="I449" s="2080"/>
      <c r="J449" s="2118" t="s">
        <v>538</v>
      </c>
    </row>
    <row r="450" spans="1:10">
      <c r="A450" s="2082" t="s">
        <v>384</v>
      </c>
      <c r="B450" s="2048">
        <f>ROUND(SUM(B440:B449),2)</f>
        <v>0</v>
      </c>
      <c r="C450" s="2048"/>
      <c r="D450" s="2093">
        <f>IF(B450=0,0,ROUND(C450/B450,4))</f>
        <v>0</v>
      </c>
      <c r="E450" s="2048"/>
      <c r="F450" s="2048"/>
      <c r="G450" s="2080"/>
      <c r="H450" s="2080"/>
      <c r="I450" s="2080"/>
      <c r="J450" s="2118" t="s">
        <v>539</v>
      </c>
    </row>
    <row r="451" spans="1:9">
      <c r="A451" s="2103"/>
      <c r="B451" s="2080"/>
      <c r="C451" s="2080"/>
      <c r="D451" s="2080"/>
      <c r="E451" s="2080"/>
      <c r="F451" s="2080"/>
      <c r="G451" s="2080"/>
      <c r="H451" s="2080"/>
      <c r="I451" s="2080"/>
    </row>
    <row r="452" spans="1:9">
      <c r="A452" s="2096" t="s">
        <v>493</v>
      </c>
      <c r="B452" s="2080"/>
      <c r="C452" s="2080"/>
      <c r="D452" s="2080"/>
      <c r="E452" s="2080"/>
      <c r="F452" s="2080"/>
      <c r="G452" s="2080"/>
      <c r="H452" s="2080"/>
      <c r="I452" s="2080"/>
    </row>
    <row r="453" spans="1:10">
      <c r="A453" s="2082" t="s">
        <v>494</v>
      </c>
      <c r="B453" s="2082" t="s">
        <v>315</v>
      </c>
      <c r="C453" s="2082" t="s">
        <v>316</v>
      </c>
      <c r="D453" s="2082" t="s">
        <v>495</v>
      </c>
      <c r="E453" s="2080"/>
      <c r="F453" s="2080"/>
      <c r="G453" s="2080"/>
      <c r="H453" s="2080"/>
      <c r="I453" s="2080"/>
      <c r="J453" s="2076"/>
    </row>
    <row r="454" spans="1:10">
      <c r="A454" s="2092">
        <f>IF(未审附注之流动资产!A454="",0,未审附注之流动资产!A454)</f>
        <v>0</v>
      </c>
      <c r="B454" s="2085">
        <f>IF(未审附注之流动资产!B454="",0,未审附注之流动资产!B454)</f>
        <v>0</v>
      </c>
      <c r="C454" s="2085">
        <f>IF(未审附注之流动资产!C454="",0,未审附注之流动资产!C454)</f>
        <v>0</v>
      </c>
      <c r="D454" s="2092">
        <f>IF(未审附注之流动资产!D454="",0,未审附注之流动资产!D454)</f>
        <v>0</v>
      </c>
      <c r="E454" s="2080"/>
      <c r="F454" s="2080"/>
      <c r="G454" s="2080"/>
      <c r="H454" s="2080"/>
      <c r="I454" s="2080"/>
      <c r="J454" s="2118" t="s">
        <v>540</v>
      </c>
    </row>
    <row r="455" spans="1:10">
      <c r="A455" s="2092">
        <f>IF(未审附注之流动资产!A455="",0,未审附注之流动资产!A455)</f>
        <v>0</v>
      </c>
      <c r="B455" s="2085">
        <f>IF(未审附注之流动资产!B455="",0,未审附注之流动资产!B455)</f>
        <v>0</v>
      </c>
      <c r="C455" s="2085">
        <f>IF(未审附注之流动资产!C455="",0,未审附注之流动资产!C455)</f>
        <v>0</v>
      </c>
      <c r="D455" s="2092">
        <f>IF(未审附注之流动资产!D455="",0,未审附注之流动资产!D455)</f>
        <v>0</v>
      </c>
      <c r="E455" s="2080"/>
      <c r="F455" s="2080"/>
      <c r="G455" s="2080"/>
      <c r="H455" s="2080"/>
      <c r="I455" s="2080"/>
      <c r="J455" s="2118" t="s">
        <v>540</v>
      </c>
    </row>
    <row r="456" spans="1:10">
      <c r="A456" s="2092">
        <f>IF(未审附注之流动资产!A456="",0,未审附注之流动资产!A456)</f>
        <v>0</v>
      </c>
      <c r="B456" s="2085">
        <f>IF(未审附注之流动资产!B456="",0,未审附注之流动资产!B456)</f>
        <v>0</v>
      </c>
      <c r="C456" s="2085">
        <f>IF(未审附注之流动资产!C456="",0,未审附注之流动资产!C456)</f>
        <v>0</v>
      </c>
      <c r="D456" s="2092">
        <f>IF(未审附注之流动资产!D456="",0,未审附注之流动资产!D456)</f>
        <v>0</v>
      </c>
      <c r="E456" s="2080"/>
      <c r="F456" s="2080"/>
      <c r="G456" s="2080"/>
      <c r="H456" s="2080"/>
      <c r="I456" s="2080"/>
      <c r="J456" s="2118" t="s">
        <v>540</v>
      </c>
    </row>
    <row r="457" spans="1:10">
      <c r="A457" s="2092">
        <f>IF(未审附注之流动资产!A457="",0,未审附注之流动资产!A457)</f>
        <v>0</v>
      </c>
      <c r="B457" s="2085">
        <f>IF(未审附注之流动资产!B457="",0,未审附注之流动资产!B457)</f>
        <v>0</v>
      </c>
      <c r="C457" s="2085">
        <f>IF(未审附注之流动资产!C457="",0,未审附注之流动资产!C457)</f>
        <v>0</v>
      </c>
      <c r="D457" s="2092">
        <f>IF(未审附注之流动资产!D457="",0,未审附注之流动资产!D457)</f>
        <v>0</v>
      </c>
      <c r="E457" s="2080"/>
      <c r="F457" s="2080"/>
      <c r="G457" s="2080"/>
      <c r="H457" s="2080"/>
      <c r="I457" s="2080"/>
      <c r="J457" s="2118" t="s">
        <v>540</v>
      </c>
    </row>
    <row r="458" spans="1:10">
      <c r="A458" s="2092">
        <f>IF(未审附注之流动资产!A458="",0,未审附注之流动资产!A458)</f>
        <v>0</v>
      </c>
      <c r="B458" s="2085">
        <f>IF(未审附注之流动资产!B458="",0,未审附注之流动资产!B458)</f>
        <v>0</v>
      </c>
      <c r="C458" s="2085">
        <f>IF(未审附注之流动资产!C458="",0,未审附注之流动资产!C458)</f>
        <v>0</v>
      </c>
      <c r="D458" s="2092">
        <f>IF(未审附注之流动资产!D458="",0,未审附注之流动资产!D458)</f>
        <v>0</v>
      </c>
      <c r="E458" s="2080"/>
      <c r="F458" s="2080"/>
      <c r="G458" s="2080"/>
      <c r="H458" s="2080"/>
      <c r="I458" s="2080"/>
      <c r="J458" s="2118" t="s">
        <v>540</v>
      </c>
    </row>
    <row r="459" spans="1:10">
      <c r="A459" s="2092">
        <f>IF(未审附注之流动资产!A459="",0,未审附注之流动资产!A459)</f>
        <v>0</v>
      </c>
      <c r="B459" s="2085">
        <f>IF(未审附注之流动资产!B459="",0,未审附注之流动资产!B459)</f>
        <v>0</v>
      </c>
      <c r="C459" s="2085">
        <f>IF(未审附注之流动资产!C459="",0,未审附注之流动资产!C459)</f>
        <v>0</v>
      </c>
      <c r="D459" s="2092">
        <f>IF(未审附注之流动资产!D459="",0,未审附注之流动资产!D459)</f>
        <v>0</v>
      </c>
      <c r="E459" s="2080"/>
      <c r="F459" s="2080"/>
      <c r="G459" s="2080"/>
      <c r="H459" s="2080"/>
      <c r="I459" s="2080"/>
      <c r="J459" s="2118" t="s">
        <v>540</v>
      </c>
    </row>
    <row r="460" spans="1:10">
      <c r="A460" s="2092">
        <f>IF(未审附注之流动资产!A460="",0,未审附注之流动资产!A460)</f>
        <v>0</v>
      </c>
      <c r="B460" s="2085">
        <f>IF(未审附注之流动资产!B460="",0,未审附注之流动资产!B460)</f>
        <v>0</v>
      </c>
      <c r="C460" s="2085">
        <f>IF(未审附注之流动资产!C460="",0,未审附注之流动资产!C460)</f>
        <v>0</v>
      </c>
      <c r="D460" s="2092">
        <f>IF(未审附注之流动资产!D460="",0,未审附注之流动资产!D460)</f>
        <v>0</v>
      </c>
      <c r="E460" s="2080"/>
      <c r="F460" s="2080"/>
      <c r="G460" s="2080"/>
      <c r="H460" s="2080"/>
      <c r="I460" s="2080"/>
      <c r="J460" s="2118" t="s">
        <v>540</v>
      </c>
    </row>
    <row r="461" spans="1:10">
      <c r="A461" s="2092">
        <f>IF(未审附注之流动资产!A461="",0,未审附注之流动资产!A461)</f>
        <v>0</v>
      </c>
      <c r="B461" s="2085">
        <f>IF(未审附注之流动资产!B461="",0,未审附注之流动资产!B461)</f>
        <v>0</v>
      </c>
      <c r="C461" s="2085">
        <f>IF(未审附注之流动资产!C461="",0,未审附注之流动资产!C461)</f>
        <v>0</v>
      </c>
      <c r="D461" s="2092">
        <f>IF(未审附注之流动资产!D461="",0,未审附注之流动资产!D461)</f>
        <v>0</v>
      </c>
      <c r="E461" s="2080"/>
      <c r="F461" s="2080"/>
      <c r="G461" s="2080"/>
      <c r="H461" s="2080"/>
      <c r="I461" s="2080"/>
      <c r="J461" s="2118" t="s">
        <v>540</v>
      </c>
    </row>
    <row r="462" spans="1:10">
      <c r="A462" s="2092">
        <f>IF(未审附注之流动资产!A462="",0,未审附注之流动资产!A462)</f>
        <v>0</v>
      </c>
      <c r="B462" s="2085">
        <f>IF(未审附注之流动资产!B462="",0,未审附注之流动资产!B462)</f>
        <v>0</v>
      </c>
      <c r="C462" s="2085">
        <f>IF(未审附注之流动资产!C462="",0,未审附注之流动资产!C462)</f>
        <v>0</v>
      </c>
      <c r="D462" s="2092">
        <f>IF(未审附注之流动资产!D462="",0,未审附注之流动资产!D462)</f>
        <v>0</v>
      </c>
      <c r="E462" s="2080"/>
      <c r="F462" s="2080"/>
      <c r="G462" s="2080"/>
      <c r="H462" s="2080"/>
      <c r="I462" s="2080"/>
      <c r="J462" s="2118" t="s">
        <v>540</v>
      </c>
    </row>
    <row r="463" spans="1:10">
      <c r="A463" s="2092">
        <f>IF(未审附注之流动资产!A463="",0,未审附注之流动资产!A463)</f>
        <v>0</v>
      </c>
      <c r="B463" s="2085">
        <f>IF(未审附注之流动资产!B463="",0,未审附注之流动资产!B463)</f>
        <v>0</v>
      </c>
      <c r="C463" s="2085">
        <f>IF(未审附注之流动资产!C463="",0,未审附注之流动资产!C463)</f>
        <v>0</v>
      </c>
      <c r="D463" s="2092">
        <f>IF(未审附注之流动资产!D463="",0,未审附注之流动资产!D463)</f>
        <v>0</v>
      </c>
      <c r="E463" s="2080"/>
      <c r="F463" s="2080"/>
      <c r="G463" s="2080"/>
      <c r="H463" s="2080"/>
      <c r="I463" s="2080"/>
      <c r="J463" s="2118" t="s">
        <v>540</v>
      </c>
    </row>
    <row r="464" spans="1:10">
      <c r="A464" s="2082" t="s">
        <v>384</v>
      </c>
      <c r="B464" s="2048">
        <f>ROUND(SUM(B454:B463),2)</f>
        <v>0</v>
      </c>
      <c r="C464" s="2048">
        <f>ROUND(SUM(C454:C463),2)</f>
        <v>0</v>
      </c>
      <c r="D464" s="2048"/>
      <c r="E464" s="2080"/>
      <c r="F464" s="2080"/>
      <c r="G464" s="2080"/>
      <c r="H464" s="2080"/>
      <c r="I464" s="2080"/>
      <c r="J464" s="2118" t="s">
        <v>541</v>
      </c>
    </row>
    <row r="465" spans="1:9">
      <c r="A465" s="2103"/>
      <c r="B465" s="2080"/>
      <c r="C465" s="2080"/>
      <c r="D465" s="2080"/>
      <c r="E465" s="2080"/>
      <c r="F465" s="2080"/>
      <c r="G465" s="2080"/>
      <c r="H465" s="2080"/>
      <c r="I465" s="2080"/>
    </row>
    <row r="466" spans="1:9">
      <c r="A466" s="2096" t="s">
        <v>542</v>
      </c>
      <c r="B466" s="2080"/>
      <c r="C466" s="2080"/>
      <c r="D466" s="2080"/>
      <c r="E466" s="2080"/>
      <c r="F466" s="2080"/>
      <c r="G466" s="2080"/>
      <c r="H466" s="2080"/>
      <c r="I466" s="2080"/>
    </row>
    <row r="467" spans="1:9">
      <c r="A467" s="2082" t="s">
        <v>469</v>
      </c>
      <c r="B467" s="2082" t="s">
        <v>315</v>
      </c>
      <c r="C467" s="2082" t="s">
        <v>499</v>
      </c>
      <c r="D467" s="2082" t="s">
        <v>500</v>
      </c>
      <c r="E467" s="2082" t="s">
        <v>501</v>
      </c>
      <c r="F467" s="2080"/>
      <c r="G467" s="2080"/>
      <c r="H467" s="2080"/>
      <c r="I467" s="2080"/>
    </row>
    <row r="468" spans="1:10">
      <c r="A468" s="2092">
        <f>IF(未审附注之流动资产!A468="",0,未审附注之流动资产!A468)</f>
        <v>0</v>
      </c>
      <c r="B468" s="2085">
        <f>IF(未审附注之流动资产!B468="",0,未审附注之流动资产!B468)</f>
        <v>0</v>
      </c>
      <c r="C468" s="2092">
        <f>IF(未审附注之流动资产!C468="",0,未审附注之流动资产!C468)</f>
        <v>0</v>
      </c>
      <c r="D468" s="2156">
        <f>IF(未审附注之流动资产!D468="",0,未审附注之流动资产!D468)</f>
        <v>0</v>
      </c>
      <c r="E468" s="2117">
        <f t="shared" ref="E468:E473" si="8">IF(B468=0,0,ROUND(B468/B$386,4))</f>
        <v>0</v>
      </c>
      <c r="F468" s="2080"/>
      <c r="G468" s="2080"/>
      <c r="H468" s="2080"/>
      <c r="I468" s="2080"/>
      <c r="J468" s="2118" t="s">
        <v>543</v>
      </c>
    </row>
    <row r="469" spans="1:10">
      <c r="A469" s="2092">
        <f>IF(未审附注之流动资产!A469="",0,未审附注之流动资产!A469)</f>
        <v>0</v>
      </c>
      <c r="B469" s="2085">
        <f>IF(未审附注之流动资产!B469="",0,未审附注之流动资产!B469)</f>
        <v>0</v>
      </c>
      <c r="C469" s="2092">
        <f>IF(未审附注之流动资产!C469="",0,未审附注之流动资产!C469)</f>
        <v>0</v>
      </c>
      <c r="D469" s="2156">
        <f>IF(未审附注之流动资产!D469="",0,未审附注之流动资产!D469)</f>
        <v>0</v>
      </c>
      <c r="E469" s="2117">
        <f t="shared" si="8"/>
        <v>0</v>
      </c>
      <c r="F469" s="2080"/>
      <c r="G469" s="2080"/>
      <c r="H469" s="2080"/>
      <c r="I469" s="2080"/>
      <c r="J469" s="2118" t="s">
        <v>543</v>
      </c>
    </row>
    <row r="470" spans="1:10">
      <c r="A470" s="2092">
        <f>IF(未审附注之流动资产!A470="",0,未审附注之流动资产!A470)</f>
        <v>0</v>
      </c>
      <c r="B470" s="2085">
        <f>IF(未审附注之流动资产!B470="",0,未审附注之流动资产!B470)</f>
        <v>0</v>
      </c>
      <c r="C470" s="2092">
        <f>IF(未审附注之流动资产!C470="",0,未审附注之流动资产!C470)</f>
        <v>0</v>
      </c>
      <c r="D470" s="2156">
        <f>IF(未审附注之流动资产!D470="",0,未审附注之流动资产!D470)</f>
        <v>0</v>
      </c>
      <c r="E470" s="2117">
        <f t="shared" si="8"/>
        <v>0</v>
      </c>
      <c r="F470" s="2080"/>
      <c r="G470" s="2080"/>
      <c r="H470" s="2080"/>
      <c r="I470" s="2080"/>
      <c r="J470" s="2118" t="s">
        <v>543</v>
      </c>
    </row>
    <row r="471" spans="1:10">
      <c r="A471" s="2092">
        <f>IF(未审附注之流动资产!A471="",0,未审附注之流动资产!A471)</f>
        <v>0</v>
      </c>
      <c r="B471" s="2085">
        <f>IF(未审附注之流动资产!B471="",0,未审附注之流动资产!B471)</f>
        <v>0</v>
      </c>
      <c r="C471" s="2092">
        <f>IF(未审附注之流动资产!C471="",0,未审附注之流动资产!C471)</f>
        <v>0</v>
      </c>
      <c r="D471" s="2156">
        <f>IF(未审附注之流动资产!D471="",0,未审附注之流动资产!D471)</f>
        <v>0</v>
      </c>
      <c r="E471" s="2117">
        <f t="shared" si="8"/>
        <v>0</v>
      </c>
      <c r="F471" s="2080"/>
      <c r="G471" s="2080"/>
      <c r="H471" s="2080"/>
      <c r="I471" s="2080"/>
      <c r="J471" s="2118" t="s">
        <v>543</v>
      </c>
    </row>
    <row r="472" spans="1:10">
      <c r="A472" s="2092">
        <f>IF(未审附注之流动资产!A472="",0,未审附注之流动资产!A472)</f>
        <v>0</v>
      </c>
      <c r="B472" s="2085">
        <f>IF(未审附注之流动资产!B472="",0,未审附注之流动资产!B472)</f>
        <v>0</v>
      </c>
      <c r="C472" s="2092">
        <f>IF(未审附注之流动资产!C472="",0,未审附注之流动资产!C472)</f>
        <v>0</v>
      </c>
      <c r="D472" s="2156">
        <f>IF(未审附注之流动资产!D472="",0,未审附注之流动资产!D472)</f>
        <v>0</v>
      </c>
      <c r="E472" s="2117">
        <f t="shared" si="8"/>
        <v>0</v>
      </c>
      <c r="F472" s="2080"/>
      <c r="G472" s="2080"/>
      <c r="H472" s="2080"/>
      <c r="I472" s="2080"/>
      <c r="J472" s="2118" t="s">
        <v>543</v>
      </c>
    </row>
    <row r="473" spans="1:10">
      <c r="A473" s="2082" t="s">
        <v>384</v>
      </c>
      <c r="B473" s="2048">
        <f>ROUND(SUM(B468:B472),2)</f>
        <v>0</v>
      </c>
      <c r="C473" s="2048"/>
      <c r="D473" s="2048"/>
      <c r="E473" s="2093">
        <f t="shared" si="8"/>
        <v>0</v>
      </c>
      <c r="F473" s="2080"/>
      <c r="G473" s="2080"/>
      <c r="H473" s="2080"/>
      <c r="I473" s="2080"/>
      <c r="J473" s="2118" t="s">
        <v>544</v>
      </c>
    </row>
    <row r="474" spans="1:9">
      <c r="A474" s="2103"/>
      <c r="B474" s="2080"/>
      <c r="C474" s="2080"/>
      <c r="D474" s="2080"/>
      <c r="E474" s="2080"/>
      <c r="F474" s="2080"/>
      <c r="G474" s="2080"/>
      <c r="H474" s="2080"/>
      <c r="I474" s="2080"/>
    </row>
    <row r="475" spans="1:9">
      <c r="A475" s="2096" t="s">
        <v>504</v>
      </c>
      <c r="B475" s="2080"/>
      <c r="C475" s="2080"/>
      <c r="D475" s="2080"/>
      <c r="E475" s="2080"/>
      <c r="F475" s="2080"/>
      <c r="G475" s="2080"/>
      <c r="H475" s="2080"/>
      <c r="I475" s="2080"/>
    </row>
    <row r="476" spans="1:10">
      <c r="A476" s="2082" t="s">
        <v>505</v>
      </c>
      <c r="B476" s="2082" t="s">
        <v>315</v>
      </c>
      <c r="C476" s="2082" t="s">
        <v>316</v>
      </c>
      <c r="D476" s="2082" t="s">
        <v>499</v>
      </c>
      <c r="E476" s="2082" t="s">
        <v>501</v>
      </c>
      <c r="F476" s="2080"/>
      <c r="G476" s="2080"/>
      <c r="H476" s="2080"/>
      <c r="I476" s="2080"/>
      <c r="J476" s="2075"/>
    </row>
    <row r="477" spans="1:10">
      <c r="A477" s="2092">
        <f>IF(未审附注之流动资产!A477="",0,未审附注之流动资产!A477)</f>
        <v>0</v>
      </c>
      <c r="B477" s="2085">
        <f>IF(未审附注之流动资产!B477="",0,未审附注之流动资产!B477)</f>
        <v>0</v>
      </c>
      <c r="C477" s="2085">
        <f>IF(未审附注之流动资产!C477="",0,未审附注之流动资产!C477)</f>
        <v>0</v>
      </c>
      <c r="D477" s="2092">
        <f>IF(未审附注之流动资产!D477="",0,未审附注之流动资产!D477)</f>
        <v>0</v>
      </c>
      <c r="E477" s="2117">
        <f t="shared" ref="E477:E487" si="9">IF(B477=0,0,ROUND(B477/B$386,4))</f>
        <v>0</v>
      </c>
      <c r="F477" s="2080"/>
      <c r="G477" s="2080"/>
      <c r="H477" s="2080"/>
      <c r="I477" s="2080"/>
      <c r="J477" s="2118" t="s">
        <v>545</v>
      </c>
    </row>
    <row r="478" spans="1:10">
      <c r="A478" s="2092">
        <f>IF(未审附注之流动资产!A478="",0,未审附注之流动资产!A478)</f>
        <v>0</v>
      </c>
      <c r="B478" s="2085">
        <f>IF(未审附注之流动资产!B478="",0,未审附注之流动资产!B478)</f>
        <v>0</v>
      </c>
      <c r="C478" s="2085">
        <f>IF(未审附注之流动资产!C478="",0,未审附注之流动资产!C478)</f>
        <v>0</v>
      </c>
      <c r="D478" s="2092">
        <f>IF(未审附注之流动资产!D478="",0,未审附注之流动资产!D478)</f>
        <v>0</v>
      </c>
      <c r="E478" s="2117">
        <f t="shared" si="9"/>
        <v>0</v>
      </c>
      <c r="F478" s="2080"/>
      <c r="G478" s="2080"/>
      <c r="H478" s="2080"/>
      <c r="I478" s="2080"/>
      <c r="J478" s="2118" t="s">
        <v>545</v>
      </c>
    </row>
    <row r="479" spans="1:10">
      <c r="A479" s="2092">
        <f>IF(未审附注之流动资产!A479="",0,未审附注之流动资产!A479)</f>
        <v>0</v>
      </c>
      <c r="B479" s="2085">
        <f>IF(未审附注之流动资产!B479="",0,未审附注之流动资产!B479)</f>
        <v>0</v>
      </c>
      <c r="C479" s="2085">
        <f>IF(未审附注之流动资产!C479="",0,未审附注之流动资产!C479)</f>
        <v>0</v>
      </c>
      <c r="D479" s="2092">
        <f>IF(未审附注之流动资产!D479="",0,未审附注之流动资产!D479)</f>
        <v>0</v>
      </c>
      <c r="E479" s="2117">
        <f t="shared" si="9"/>
        <v>0</v>
      </c>
      <c r="F479" s="2080"/>
      <c r="G479" s="2080"/>
      <c r="H479" s="2080"/>
      <c r="I479" s="2080"/>
      <c r="J479" s="2118" t="s">
        <v>545</v>
      </c>
    </row>
    <row r="480" spans="1:10">
      <c r="A480" s="2092">
        <f>IF(未审附注之流动资产!A480="",0,未审附注之流动资产!A480)</f>
        <v>0</v>
      </c>
      <c r="B480" s="2085">
        <f>IF(未审附注之流动资产!B480="",0,未审附注之流动资产!B480)</f>
        <v>0</v>
      </c>
      <c r="C480" s="2085">
        <f>IF(未审附注之流动资产!C480="",0,未审附注之流动资产!C480)</f>
        <v>0</v>
      </c>
      <c r="D480" s="2092">
        <f>IF(未审附注之流动资产!D480="",0,未审附注之流动资产!D480)</f>
        <v>0</v>
      </c>
      <c r="E480" s="2117">
        <f t="shared" si="9"/>
        <v>0</v>
      </c>
      <c r="F480" s="2080"/>
      <c r="G480" s="2080"/>
      <c r="H480" s="2080"/>
      <c r="I480" s="2080"/>
      <c r="J480" s="2118" t="s">
        <v>545</v>
      </c>
    </row>
    <row r="481" spans="1:10">
      <c r="A481" s="2092">
        <f>IF(未审附注之流动资产!A481="",0,未审附注之流动资产!A481)</f>
        <v>0</v>
      </c>
      <c r="B481" s="2085">
        <f>IF(未审附注之流动资产!B481="",0,未审附注之流动资产!B481)</f>
        <v>0</v>
      </c>
      <c r="C481" s="2085">
        <f>IF(未审附注之流动资产!C481="",0,未审附注之流动资产!C481)</f>
        <v>0</v>
      </c>
      <c r="D481" s="2092">
        <f>IF(未审附注之流动资产!D481="",0,未审附注之流动资产!D481)</f>
        <v>0</v>
      </c>
      <c r="E481" s="2117">
        <f t="shared" si="9"/>
        <v>0</v>
      </c>
      <c r="F481" s="2080"/>
      <c r="G481" s="2080"/>
      <c r="H481" s="2080"/>
      <c r="I481" s="2080"/>
      <c r="J481" s="2118" t="s">
        <v>545</v>
      </c>
    </row>
    <row r="482" spans="1:10">
      <c r="A482" s="2092">
        <f>IF(未审附注之流动资产!A482="",0,未审附注之流动资产!A482)</f>
        <v>0</v>
      </c>
      <c r="B482" s="2085">
        <f>IF(未审附注之流动资产!B482="",0,未审附注之流动资产!B482)</f>
        <v>0</v>
      </c>
      <c r="C482" s="2085">
        <f>IF(未审附注之流动资产!C482="",0,未审附注之流动资产!C482)</f>
        <v>0</v>
      </c>
      <c r="D482" s="2092">
        <f>IF(未审附注之流动资产!D482="",0,未审附注之流动资产!D482)</f>
        <v>0</v>
      </c>
      <c r="E482" s="2117">
        <f t="shared" si="9"/>
        <v>0</v>
      </c>
      <c r="F482" s="2080"/>
      <c r="G482" s="2080"/>
      <c r="H482" s="2080"/>
      <c r="I482" s="2080"/>
      <c r="J482" s="2118" t="s">
        <v>545</v>
      </c>
    </row>
    <row r="483" spans="1:10">
      <c r="A483" s="2092">
        <f>IF(未审附注之流动资产!A483="",0,未审附注之流动资产!A483)</f>
        <v>0</v>
      </c>
      <c r="B483" s="2085">
        <f>IF(未审附注之流动资产!B483="",0,未审附注之流动资产!B483)</f>
        <v>0</v>
      </c>
      <c r="C483" s="2085">
        <f>IF(未审附注之流动资产!C483="",0,未审附注之流动资产!C483)</f>
        <v>0</v>
      </c>
      <c r="D483" s="2092">
        <f>IF(未审附注之流动资产!D483="",0,未审附注之流动资产!D483)</f>
        <v>0</v>
      </c>
      <c r="E483" s="2117">
        <f t="shared" si="9"/>
        <v>0</v>
      </c>
      <c r="F483" s="2080"/>
      <c r="G483" s="2080"/>
      <c r="H483" s="2080"/>
      <c r="I483" s="2080"/>
      <c r="J483" s="2118" t="s">
        <v>545</v>
      </c>
    </row>
    <row r="484" spans="1:10">
      <c r="A484" s="2092">
        <f>IF(未审附注之流动资产!A484="",0,未审附注之流动资产!A484)</f>
        <v>0</v>
      </c>
      <c r="B484" s="2085">
        <f>IF(未审附注之流动资产!B484="",0,未审附注之流动资产!B484)</f>
        <v>0</v>
      </c>
      <c r="C484" s="2085">
        <f>IF(未审附注之流动资产!C484="",0,未审附注之流动资产!C484)</f>
        <v>0</v>
      </c>
      <c r="D484" s="2092">
        <f>IF(未审附注之流动资产!D484="",0,未审附注之流动资产!D484)</f>
        <v>0</v>
      </c>
      <c r="E484" s="2117">
        <f t="shared" si="9"/>
        <v>0</v>
      </c>
      <c r="F484" s="2080"/>
      <c r="G484" s="2080"/>
      <c r="H484" s="2080"/>
      <c r="I484" s="2080"/>
      <c r="J484" s="2118" t="s">
        <v>545</v>
      </c>
    </row>
    <row r="485" spans="1:10">
      <c r="A485" s="2092">
        <f>IF(未审附注之流动资产!A485="",0,未审附注之流动资产!A485)</f>
        <v>0</v>
      </c>
      <c r="B485" s="2085">
        <f>IF(未审附注之流动资产!B485="",0,未审附注之流动资产!B485)</f>
        <v>0</v>
      </c>
      <c r="C485" s="2085">
        <f>IF(未审附注之流动资产!C485="",0,未审附注之流动资产!C485)</f>
        <v>0</v>
      </c>
      <c r="D485" s="2092">
        <f>IF(未审附注之流动资产!D485="",0,未审附注之流动资产!D485)</f>
        <v>0</v>
      </c>
      <c r="E485" s="2117">
        <f t="shared" si="9"/>
        <v>0</v>
      </c>
      <c r="F485" s="2080"/>
      <c r="G485" s="2080"/>
      <c r="H485" s="2080"/>
      <c r="I485" s="2080"/>
      <c r="J485" s="2118" t="s">
        <v>545</v>
      </c>
    </row>
    <row r="486" spans="1:10">
      <c r="A486" s="2092">
        <f>IF(未审附注之流动资产!A486="",0,未审附注之流动资产!A486)</f>
        <v>0</v>
      </c>
      <c r="B486" s="2085">
        <f>IF(未审附注之流动资产!B486="",0,未审附注之流动资产!B486)</f>
        <v>0</v>
      </c>
      <c r="C486" s="2085">
        <f>IF(未审附注之流动资产!C486="",0,未审附注之流动资产!C486)</f>
        <v>0</v>
      </c>
      <c r="D486" s="2092">
        <f>IF(未审附注之流动资产!D486="",0,未审附注之流动资产!D486)</f>
        <v>0</v>
      </c>
      <c r="E486" s="2117">
        <f t="shared" si="9"/>
        <v>0</v>
      </c>
      <c r="F486" s="2080"/>
      <c r="G486" s="2080"/>
      <c r="H486" s="2080"/>
      <c r="I486" s="2080"/>
      <c r="J486" s="2118" t="s">
        <v>545</v>
      </c>
    </row>
    <row r="487" spans="1:10">
      <c r="A487" s="2082" t="s">
        <v>384</v>
      </c>
      <c r="B487" s="2048">
        <f>ROUND(SUM(B477:B486),2)</f>
        <v>0</v>
      </c>
      <c r="C487" s="2048">
        <f>ROUND(SUM(C477:C486),2)</f>
        <v>0</v>
      </c>
      <c r="D487" s="2048"/>
      <c r="E487" s="2093">
        <f t="shared" si="9"/>
        <v>0</v>
      </c>
      <c r="F487" s="2080"/>
      <c r="G487" s="2080"/>
      <c r="H487" s="2080"/>
      <c r="I487" s="2080"/>
      <c r="J487" s="2118" t="s">
        <v>546</v>
      </c>
    </row>
    <row r="488" spans="1:9">
      <c r="A488" s="2103"/>
      <c r="B488" s="2080"/>
      <c r="C488" s="2080"/>
      <c r="D488" s="2080"/>
      <c r="E488" s="2080"/>
      <c r="F488" s="2080"/>
      <c r="G488" s="2080"/>
      <c r="H488" s="2080"/>
      <c r="I488" s="2080"/>
    </row>
    <row r="489" spans="1:9">
      <c r="A489" s="2096" t="s">
        <v>508</v>
      </c>
      <c r="B489" s="2080"/>
      <c r="C489" s="2080"/>
      <c r="D489" s="2080"/>
      <c r="E489" s="2080"/>
      <c r="F489" s="2080"/>
      <c r="G489" s="2080"/>
      <c r="H489" s="2080"/>
      <c r="I489" s="2080"/>
    </row>
    <row r="490" spans="1:9">
      <c r="A490" s="2082" t="s">
        <v>314</v>
      </c>
      <c r="B490" s="2082" t="s">
        <v>509</v>
      </c>
      <c r="C490" s="2082" t="s">
        <v>510</v>
      </c>
      <c r="D490" s="2082" t="s">
        <v>488</v>
      </c>
      <c r="E490" s="2082" t="s">
        <v>511</v>
      </c>
      <c r="F490" s="2080"/>
      <c r="G490" s="2080"/>
      <c r="H490" s="2080"/>
      <c r="I490" s="2080"/>
    </row>
    <row r="491" spans="1:10">
      <c r="A491" s="2092">
        <f>IF(未审附注之流动资产!A491="",0,未审附注之流动资产!A491)</f>
        <v>0</v>
      </c>
      <c r="B491" s="2085">
        <f>IF(未审附注之流动资产!B491="",0,未审附注之流动资产!B491)</f>
        <v>0</v>
      </c>
      <c r="C491" s="2085">
        <f>IF(未审附注之流动资产!C491="",0,未审附注之流动资产!C491)</f>
        <v>0</v>
      </c>
      <c r="D491" s="2092">
        <f>IF(未审附注之流动资产!D491="",0,未审附注之流动资产!D491)</f>
        <v>0</v>
      </c>
      <c r="E491" s="2092">
        <f>IF(未审附注之流动资产!E491="",0,未审附注之流动资产!E491)</f>
        <v>0</v>
      </c>
      <c r="F491" s="2080"/>
      <c r="G491" s="2080"/>
      <c r="H491" s="2080"/>
      <c r="I491" s="2080"/>
      <c r="J491" s="2118" t="s">
        <v>547</v>
      </c>
    </row>
    <row r="492" spans="1:10">
      <c r="A492" s="2092">
        <f>IF(未审附注之流动资产!A492="",0,未审附注之流动资产!A492)</f>
        <v>0</v>
      </c>
      <c r="B492" s="2085">
        <f>IF(未审附注之流动资产!B492="",0,未审附注之流动资产!B492)</f>
        <v>0</v>
      </c>
      <c r="C492" s="2085">
        <f>IF(未审附注之流动资产!C492="",0,未审附注之流动资产!C492)</f>
        <v>0</v>
      </c>
      <c r="D492" s="2092">
        <f>IF(未审附注之流动资产!D492="",0,未审附注之流动资产!D492)</f>
        <v>0</v>
      </c>
      <c r="E492" s="2092">
        <f>IF(未审附注之流动资产!E492="",0,未审附注之流动资产!E492)</f>
        <v>0</v>
      </c>
      <c r="F492" s="2080"/>
      <c r="G492" s="2080"/>
      <c r="H492" s="2080"/>
      <c r="I492" s="2080"/>
      <c r="J492" s="2118" t="s">
        <v>547</v>
      </c>
    </row>
    <row r="493" spans="1:10">
      <c r="A493" s="2092">
        <f>IF(未审附注之流动资产!A493="",0,未审附注之流动资产!A493)</f>
        <v>0</v>
      </c>
      <c r="B493" s="2085">
        <f>IF(未审附注之流动资产!B493="",0,未审附注之流动资产!B493)</f>
        <v>0</v>
      </c>
      <c r="C493" s="2085">
        <f>IF(未审附注之流动资产!C493="",0,未审附注之流动资产!C493)</f>
        <v>0</v>
      </c>
      <c r="D493" s="2092">
        <f>IF(未审附注之流动资产!D493="",0,未审附注之流动资产!D493)</f>
        <v>0</v>
      </c>
      <c r="E493" s="2092">
        <f>IF(未审附注之流动资产!E493="",0,未审附注之流动资产!E493)</f>
        <v>0</v>
      </c>
      <c r="F493" s="2080"/>
      <c r="G493" s="2080"/>
      <c r="H493" s="2080"/>
      <c r="I493" s="2080"/>
      <c r="J493" s="2118" t="s">
        <v>547</v>
      </c>
    </row>
    <row r="494" spans="1:10">
      <c r="A494" s="2092">
        <f>IF(未审附注之流动资产!A494="",0,未审附注之流动资产!A494)</f>
        <v>0</v>
      </c>
      <c r="B494" s="2085">
        <f>IF(未审附注之流动资产!B494="",0,未审附注之流动资产!B494)</f>
        <v>0</v>
      </c>
      <c r="C494" s="2085">
        <f>IF(未审附注之流动资产!C494="",0,未审附注之流动资产!C494)</f>
        <v>0</v>
      </c>
      <c r="D494" s="2092">
        <f>IF(未审附注之流动资产!D494="",0,未审附注之流动资产!D494)</f>
        <v>0</v>
      </c>
      <c r="E494" s="2092">
        <f>IF(未审附注之流动资产!E494="",0,未审附注之流动资产!E494)</f>
        <v>0</v>
      </c>
      <c r="F494" s="2080"/>
      <c r="G494" s="2080"/>
      <c r="H494" s="2080"/>
      <c r="I494" s="2080"/>
      <c r="J494" s="2118" t="s">
        <v>547</v>
      </c>
    </row>
    <row r="495" spans="1:10">
      <c r="A495" s="2092">
        <f>IF(未审附注之流动资产!A495="",0,未审附注之流动资产!A495)</f>
        <v>0</v>
      </c>
      <c r="B495" s="2085">
        <f>IF(未审附注之流动资产!B495="",0,未审附注之流动资产!B495)</f>
        <v>0</v>
      </c>
      <c r="C495" s="2085">
        <f>IF(未审附注之流动资产!C495="",0,未审附注之流动资产!C495)</f>
        <v>0</v>
      </c>
      <c r="D495" s="2092">
        <f>IF(未审附注之流动资产!D495="",0,未审附注之流动资产!D495)</f>
        <v>0</v>
      </c>
      <c r="E495" s="2092">
        <f>IF(未审附注之流动资产!E495="",0,未审附注之流动资产!E495)</f>
        <v>0</v>
      </c>
      <c r="F495" s="2080"/>
      <c r="G495" s="2080"/>
      <c r="H495" s="2080"/>
      <c r="I495" s="2080"/>
      <c r="J495" s="2118" t="s">
        <v>547</v>
      </c>
    </row>
    <row r="496" spans="1:10">
      <c r="A496" s="2092">
        <f>IF(未审附注之流动资产!A496="",0,未审附注之流动资产!A496)</f>
        <v>0</v>
      </c>
      <c r="B496" s="2085">
        <f>IF(未审附注之流动资产!B496="",0,未审附注之流动资产!B496)</f>
        <v>0</v>
      </c>
      <c r="C496" s="2085">
        <f>IF(未审附注之流动资产!C496="",0,未审附注之流动资产!C496)</f>
        <v>0</v>
      </c>
      <c r="D496" s="2092">
        <f>IF(未审附注之流动资产!D496="",0,未审附注之流动资产!D496)</f>
        <v>0</v>
      </c>
      <c r="E496" s="2092">
        <f>IF(未审附注之流动资产!E496="",0,未审附注之流动资产!E496)</f>
        <v>0</v>
      </c>
      <c r="F496" s="2080"/>
      <c r="G496" s="2080"/>
      <c r="H496" s="2080"/>
      <c r="I496" s="2080"/>
      <c r="J496" s="2118" t="s">
        <v>547</v>
      </c>
    </row>
    <row r="497" spans="1:10">
      <c r="A497" s="2092">
        <f>IF(未审附注之流动资产!A497="",0,未审附注之流动资产!A497)</f>
        <v>0</v>
      </c>
      <c r="B497" s="2085">
        <f>IF(未审附注之流动资产!B497="",0,未审附注之流动资产!B497)</f>
        <v>0</v>
      </c>
      <c r="C497" s="2085">
        <f>IF(未审附注之流动资产!C497="",0,未审附注之流动资产!C497)</f>
        <v>0</v>
      </c>
      <c r="D497" s="2092">
        <f>IF(未审附注之流动资产!D497="",0,未审附注之流动资产!D497)</f>
        <v>0</v>
      </c>
      <c r="E497" s="2092">
        <f>IF(未审附注之流动资产!E497="",0,未审附注之流动资产!E497)</f>
        <v>0</v>
      </c>
      <c r="F497" s="2080"/>
      <c r="G497" s="2080"/>
      <c r="H497" s="2080"/>
      <c r="I497" s="2080"/>
      <c r="J497" s="2118" t="s">
        <v>547</v>
      </c>
    </row>
    <row r="498" spans="1:10">
      <c r="A498" s="2092">
        <f>IF(未审附注之流动资产!A498="",0,未审附注之流动资产!A498)</f>
        <v>0</v>
      </c>
      <c r="B498" s="2085">
        <f>IF(未审附注之流动资产!B498="",0,未审附注之流动资产!B498)</f>
        <v>0</v>
      </c>
      <c r="C498" s="2085">
        <f>IF(未审附注之流动资产!C498="",0,未审附注之流动资产!C498)</f>
        <v>0</v>
      </c>
      <c r="D498" s="2092">
        <f>IF(未审附注之流动资产!D498="",0,未审附注之流动资产!D498)</f>
        <v>0</v>
      </c>
      <c r="E498" s="2092">
        <f>IF(未审附注之流动资产!E498="",0,未审附注之流动资产!E498)</f>
        <v>0</v>
      </c>
      <c r="F498" s="2080"/>
      <c r="G498" s="2080"/>
      <c r="H498" s="2080"/>
      <c r="I498" s="2080"/>
      <c r="J498" s="2118" t="s">
        <v>547</v>
      </c>
    </row>
    <row r="499" spans="1:10">
      <c r="A499" s="2092">
        <f>IF(未审附注之流动资产!A499="",0,未审附注之流动资产!A499)</f>
        <v>0</v>
      </c>
      <c r="B499" s="2085">
        <f>IF(未审附注之流动资产!B499="",0,未审附注之流动资产!B499)</f>
        <v>0</v>
      </c>
      <c r="C499" s="2085">
        <f>IF(未审附注之流动资产!C499="",0,未审附注之流动资产!C499)</f>
        <v>0</v>
      </c>
      <c r="D499" s="2092">
        <f>IF(未审附注之流动资产!D499="",0,未审附注之流动资产!D499)</f>
        <v>0</v>
      </c>
      <c r="E499" s="2092">
        <f>IF(未审附注之流动资产!E499="",0,未审附注之流动资产!E499)</f>
        <v>0</v>
      </c>
      <c r="F499" s="2080"/>
      <c r="G499" s="2080"/>
      <c r="H499" s="2080"/>
      <c r="I499" s="2080"/>
      <c r="J499" s="2118" t="s">
        <v>547</v>
      </c>
    </row>
    <row r="500" spans="1:10">
      <c r="A500" s="2092">
        <f>IF(未审附注之流动资产!A500="",0,未审附注之流动资产!A500)</f>
        <v>0</v>
      </c>
      <c r="B500" s="2085">
        <f>IF(未审附注之流动资产!B500="",0,未审附注之流动资产!B500)</f>
        <v>0</v>
      </c>
      <c r="C500" s="2085">
        <f>IF(未审附注之流动资产!C500="",0,未审附注之流动资产!C500)</f>
        <v>0</v>
      </c>
      <c r="D500" s="2092">
        <f>IF(未审附注之流动资产!D500="",0,未审附注之流动资产!D500)</f>
        <v>0</v>
      </c>
      <c r="E500" s="2092">
        <f>IF(未审附注之流动资产!E500="",0,未审附注之流动资产!E500)</f>
        <v>0</v>
      </c>
      <c r="F500" s="2080"/>
      <c r="G500" s="2080"/>
      <c r="H500" s="2080"/>
      <c r="I500" s="2080"/>
      <c r="J500" s="2118" t="s">
        <v>547</v>
      </c>
    </row>
    <row r="501" spans="1:10">
      <c r="A501" s="2082" t="s">
        <v>384</v>
      </c>
      <c r="B501" s="2048">
        <f>ROUND(SUM(B491:B500),2)</f>
        <v>0</v>
      </c>
      <c r="C501" s="2048">
        <f>ROUND(SUM(C491:C500),2)</f>
        <v>0</v>
      </c>
      <c r="D501" s="2048"/>
      <c r="E501" s="2048"/>
      <c r="F501" s="2080"/>
      <c r="G501" s="2080"/>
      <c r="H501" s="2080"/>
      <c r="I501" s="2080"/>
      <c r="J501" s="2118" t="s">
        <v>548</v>
      </c>
    </row>
    <row r="502" spans="1:9">
      <c r="A502" s="2103"/>
      <c r="B502" s="2080"/>
      <c r="C502" s="2080"/>
      <c r="D502" s="2080"/>
      <c r="E502" s="2080"/>
      <c r="F502" s="2080"/>
      <c r="G502" s="2080"/>
      <c r="H502" s="2080"/>
      <c r="I502" s="2080"/>
    </row>
    <row r="503" spans="1:9">
      <c r="A503" s="2096" t="s">
        <v>514</v>
      </c>
      <c r="B503" s="2080"/>
      <c r="C503" s="2080"/>
      <c r="D503" s="2080"/>
      <c r="E503" s="2080"/>
      <c r="F503" s="2080"/>
      <c r="G503" s="2080"/>
      <c r="H503" s="2080"/>
      <c r="I503" s="2080"/>
    </row>
    <row r="504" spans="1:9">
      <c r="A504" s="2082" t="s">
        <v>314</v>
      </c>
      <c r="B504" s="2082" t="s">
        <v>315</v>
      </c>
      <c r="C504" s="2082" t="s">
        <v>516</v>
      </c>
      <c r="D504" s="2080"/>
      <c r="E504" s="2080"/>
      <c r="F504" s="2080"/>
      <c r="G504" s="2080"/>
      <c r="H504" s="2080"/>
      <c r="I504" s="2080"/>
    </row>
    <row r="505" spans="1:10">
      <c r="A505" s="2092">
        <f>IF(未审附注之流动资产!A505="",0,未审附注之流动资产!A505)</f>
        <v>0</v>
      </c>
      <c r="B505" s="2085">
        <f>IF(未审附注之流动资产!B505="",0,未审附注之流动资产!B505)</f>
        <v>0</v>
      </c>
      <c r="C505" s="2092">
        <f>IF(未审附注之流动资产!C505="",0,未审附注之流动资产!C505)</f>
        <v>0</v>
      </c>
      <c r="D505" s="2080"/>
      <c r="E505" s="2080"/>
      <c r="F505" s="2080"/>
      <c r="G505" s="2080"/>
      <c r="H505" s="2080"/>
      <c r="I505" s="2080"/>
      <c r="J505" s="2118" t="s">
        <v>549</v>
      </c>
    </row>
    <row r="506" spans="1:10">
      <c r="A506" s="2092">
        <f>IF(未审附注之流动资产!A506="",0,未审附注之流动资产!A506)</f>
        <v>0</v>
      </c>
      <c r="B506" s="2085">
        <f>IF(未审附注之流动资产!B506="",0,未审附注之流动资产!B506)</f>
        <v>0</v>
      </c>
      <c r="C506" s="2092">
        <f>IF(未审附注之流动资产!C506="",0,未审附注之流动资产!C506)</f>
        <v>0</v>
      </c>
      <c r="D506" s="2080"/>
      <c r="E506" s="2080"/>
      <c r="F506" s="2080"/>
      <c r="G506" s="2080"/>
      <c r="H506" s="2080"/>
      <c r="I506" s="2080"/>
      <c r="J506" s="2118" t="s">
        <v>549</v>
      </c>
    </row>
    <row r="507" spans="1:10">
      <c r="A507" s="2092">
        <f>IF(未审附注之流动资产!A507="",0,未审附注之流动资产!A507)</f>
        <v>0</v>
      </c>
      <c r="B507" s="2085">
        <f>IF(未审附注之流动资产!B507="",0,未审附注之流动资产!B507)</f>
        <v>0</v>
      </c>
      <c r="C507" s="2092">
        <f>IF(未审附注之流动资产!C507="",0,未审附注之流动资产!C507)</f>
        <v>0</v>
      </c>
      <c r="D507" s="2080"/>
      <c r="E507" s="2080"/>
      <c r="F507" s="2080"/>
      <c r="G507" s="2080"/>
      <c r="H507" s="2080"/>
      <c r="I507" s="2080"/>
      <c r="J507" s="2118" t="s">
        <v>549</v>
      </c>
    </row>
    <row r="508" spans="1:10">
      <c r="A508" s="2092">
        <f>IF(未审附注之流动资产!A508="",0,未审附注之流动资产!A508)</f>
        <v>0</v>
      </c>
      <c r="B508" s="2085">
        <f>IF(未审附注之流动资产!B508="",0,未审附注之流动资产!B508)</f>
        <v>0</v>
      </c>
      <c r="C508" s="2092">
        <f>IF(未审附注之流动资产!C508="",0,未审附注之流动资产!C508)</f>
        <v>0</v>
      </c>
      <c r="D508" s="2080"/>
      <c r="E508" s="2080"/>
      <c r="F508" s="2080"/>
      <c r="G508" s="2080"/>
      <c r="H508" s="2080"/>
      <c r="I508" s="2080"/>
      <c r="J508" s="2118" t="s">
        <v>549</v>
      </c>
    </row>
    <row r="509" spans="1:10">
      <c r="A509" s="2092">
        <f>IF(未审附注之流动资产!A509="",0,未审附注之流动资产!A509)</f>
        <v>0</v>
      </c>
      <c r="B509" s="2085">
        <f>IF(未审附注之流动资产!B509="",0,未审附注之流动资产!B509)</f>
        <v>0</v>
      </c>
      <c r="C509" s="2092">
        <f>IF(未审附注之流动资产!C509="",0,未审附注之流动资产!C509)</f>
        <v>0</v>
      </c>
      <c r="D509" s="2080"/>
      <c r="E509" s="2080"/>
      <c r="F509" s="2080"/>
      <c r="G509" s="2080"/>
      <c r="H509" s="2080"/>
      <c r="I509" s="2080"/>
      <c r="J509" s="2118" t="s">
        <v>549</v>
      </c>
    </row>
    <row r="510" spans="1:10">
      <c r="A510" s="2092">
        <f>IF(未审附注之流动资产!A510="",0,未审附注之流动资产!A510)</f>
        <v>0</v>
      </c>
      <c r="B510" s="2085">
        <f>IF(未审附注之流动资产!B510="",0,未审附注之流动资产!B510)</f>
        <v>0</v>
      </c>
      <c r="C510" s="2092">
        <f>IF(未审附注之流动资产!C510="",0,未审附注之流动资产!C510)</f>
        <v>0</v>
      </c>
      <c r="D510" s="2080"/>
      <c r="E510" s="2080"/>
      <c r="F510" s="2080"/>
      <c r="G510" s="2080"/>
      <c r="H510" s="2080"/>
      <c r="I510" s="2080"/>
      <c r="J510" s="2118" t="s">
        <v>549</v>
      </c>
    </row>
    <row r="511" spans="1:10">
      <c r="A511" s="2092">
        <f>IF(未审附注之流动资产!A511="",0,未审附注之流动资产!A511)</f>
        <v>0</v>
      </c>
      <c r="B511" s="2085">
        <f>IF(未审附注之流动资产!B511="",0,未审附注之流动资产!B511)</f>
        <v>0</v>
      </c>
      <c r="C511" s="2092">
        <f>IF(未审附注之流动资产!C511="",0,未审附注之流动资产!C511)</f>
        <v>0</v>
      </c>
      <c r="D511" s="2080"/>
      <c r="E511" s="2080"/>
      <c r="F511" s="2080"/>
      <c r="G511" s="2080"/>
      <c r="H511" s="2080"/>
      <c r="I511" s="2080"/>
      <c r="J511" s="2118" t="s">
        <v>549</v>
      </c>
    </row>
    <row r="512" spans="1:10">
      <c r="A512" s="2092">
        <f>IF(未审附注之流动资产!A512="",0,未审附注之流动资产!A512)</f>
        <v>0</v>
      </c>
      <c r="B512" s="2085">
        <f>IF(未审附注之流动资产!B512="",0,未审附注之流动资产!B512)</f>
        <v>0</v>
      </c>
      <c r="C512" s="2092">
        <f>IF(未审附注之流动资产!C512="",0,未审附注之流动资产!C512)</f>
        <v>0</v>
      </c>
      <c r="D512" s="2080"/>
      <c r="E512" s="2080"/>
      <c r="F512" s="2080"/>
      <c r="G512" s="2080"/>
      <c r="H512" s="2080"/>
      <c r="I512" s="2080"/>
      <c r="J512" s="2118" t="s">
        <v>549</v>
      </c>
    </row>
    <row r="513" spans="1:10">
      <c r="A513" s="2092">
        <f>IF(未审附注之流动资产!A513="",0,未审附注之流动资产!A513)</f>
        <v>0</v>
      </c>
      <c r="B513" s="2085">
        <f>IF(未审附注之流动资产!B513="",0,未审附注之流动资产!B513)</f>
        <v>0</v>
      </c>
      <c r="C513" s="2092">
        <f>IF(未审附注之流动资产!C513="",0,未审附注之流动资产!C513)</f>
        <v>0</v>
      </c>
      <c r="D513" s="2080"/>
      <c r="E513" s="2080"/>
      <c r="F513" s="2080"/>
      <c r="G513" s="2080"/>
      <c r="H513" s="2080"/>
      <c r="I513" s="2080"/>
      <c r="J513" s="2118" t="s">
        <v>549</v>
      </c>
    </row>
    <row r="514" spans="1:10">
      <c r="A514" s="2092">
        <f>IF(未审附注之流动资产!A514="",0,未审附注之流动资产!A514)</f>
        <v>0</v>
      </c>
      <c r="B514" s="2085">
        <f>IF(未审附注之流动资产!B514="",0,未审附注之流动资产!B514)</f>
        <v>0</v>
      </c>
      <c r="C514" s="2092">
        <f>IF(未审附注之流动资产!C514="",0,未审附注之流动资产!C514)</f>
        <v>0</v>
      </c>
      <c r="D514" s="2080"/>
      <c r="E514" s="2080"/>
      <c r="F514" s="2080"/>
      <c r="G514" s="2080"/>
      <c r="H514" s="2080"/>
      <c r="I514" s="2080"/>
      <c r="J514" s="2118" t="s">
        <v>549</v>
      </c>
    </row>
    <row r="515" spans="1:10">
      <c r="A515" s="2082" t="s">
        <v>384</v>
      </c>
      <c r="B515" s="2048">
        <f>ROUND(SUM(B505:B514),2)</f>
        <v>0</v>
      </c>
      <c r="C515" s="2048"/>
      <c r="D515" s="2080"/>
      <c r="E515" s="2080"/>
      <c r="F515" s="2080"/>
      <c r="G515" s="2080"/>
      <c r="H515" s="2080"/>
      <c r="I515" s="2080"/>
      <c r="J515" s="2118" t="s">
        <v>550</v>
      </c>
    </row>
    <row r="516" spans="1:9">
      <c r="A516" s="2103"/>
      <c r="B516" s="2080"/>
      <c r="C516" s="2080"/>
      <c r="D516" s="2080"/>
      <c r="E516" s="2080"/>
      <c r="F516" s="2080"/>
      <c r="G516" s="2080"/>
      <c r="H516" s="2080"/>
      <c r="I516" s="2080"/>
    </row>
    <row r="517" spans="1:9">
      <c r="A517" s="2103"/>
      <c r="B517" s="2080"/>
      <c r="C517" s="2080"/>
      <c r="D517" s="2080"/>
      <c r="E517" s="2080"/>
      <c r="F517" s="2080"/>
      <c r="G517" s="2080"/>
      <c r="H517" s="2080"/>
      <c r="I517" s="2080"/>
    </row>
    <row r="518" spans="1:9">
      <c r="A518" s="2079" t="s">
        <v>551</v>
      </c>
      <c r="B518" s="2080"/>
      <c r="C518" s="2080"/>
      <c r="D518" s="2080"/>
      <c r="E518" s="2080"/>
      <c r="F518" s="2080"/>
      <c r="G518" s="2080"/>
      <c r="H518" s="2080"/>
      <c r="I518" s="2080"/>
    </row>
    <row r="519" spans="1:10">
      <c r="A519" s="2081" t="s">
        <v>552</v>
      </c>
      <c r="B519" s="2080"/>
      <c r="C519" s="2080"/>
      <c r="D519" s="2080"/>
      <c r="E519" s="2080"/>
      <c r="F519" s="2080"/>
      <c r="G519" s="2080"/>
      <c r="H519" s="2080"/>
      <c r="I519" s="2080"/>
      <c r="J519" s="2076"/>
    </row>
    <row r="520" spans="1:10">
      <c r="A520" s="2089" t="s">
        <v>442</v>
      </c>
      <c r="B520" s="2114" t="s">
        <v>315</v>
      </c>
      <c r="C520" s="2155"/>
      <c r="D520" s="2082" t="s">
        <v>316</v>
      </c>
      <c r="E520" s="2082"/>
      <c r="F520" s="2080"/>
      <c r="G520" s="2080"/>
      <c r="H520" s="2080"/>
      <c r="I520" s="2080"/>
      <c r="J520" s="2076"/>
    </row>
    <row r="521" spans="1:10">
      <c r="A521" s="2090"/>
      <c r="B521" s="2082" t="s">
        <v>443</v>
      </c>
      <c r="C521" s="2082" t="s">
        <v>444</v>
      </c>
      <c r="D521" s="2082" t="s">
        <v>443</v>
      </c>
      <c r="E521" s="2082" t="s">
        <v>444</v>
      </c>
      <c r="F521" s="2080"/>
      <c r="G521" s="2080"/>
      <c r="H521" s="2080"/>
      <c r="I521" s="2080"/>
      <c r="J521" s="2076"/>
    </row>
    <row r="522" spans="1:10">
      <c r="A522" s="2087" t="s">
        <v>447</v>
      </c>
      <c r="B522" s="2085">
        <f>IF(未审附注之流动资产!B522="",0,未审附注之流动资产!B522)</f>
        <v>0</v>
      </c>
      <c r="C522" s="2117">
        <f>IF(B522=0,0,1-C523-C524-C525)</f>
        <v>0</v>
      </c>
      <c r="D522" s="2085">
        <f>IF(未审附注之流动资产!D522="",0,未审附注之流动资产!D522)</f>
        <v>0</v>
      </c>
      <c r="E522" s="2117">
        <f>IF(D522=0,0,1-E523-E524-E525)</f>
        <v>0</v>
      </c>
      <c r="F522" s="2080"/>
      <c r="G522" s="2080"/>
      <c r="H522" s="2080"/>
      <c r="I522" s="2080"/>
      <c r="J522" s="2118" t="s">
        <v>553</v>
      </c>
    </row>
    <row r="523" spans="1:10">
      <c r="A523" s="2087" t="s">
        <v>449</v>
      </c>
      <c r="B523" s="2085">
        <f>IF(未审附注之流动资产!B523="",0,未审附注之流动资产!B523)</f>
        <v>0</v>
      </c>
      <c r="C523" s="2117">
        <f>IF(B523=0,0,IF(B522=0,ROUND(1-C524-C525,4),ROUND(B523/B$526,4)))</f>
        <v>0</v>
      </c>
      <c r="D523" s="2085">
        <f>IF(未审附注之流动资产!D523="",0,未审附注之流动资产!D523)</f>
        <v>0</v>
      </c>
      <c r="E523" s="2117">
        <f>IF(D523=0,0,IF(D522=0,ROUND(1-E524-E525,4),ROUND(D523/D$526,4)))</f>
        <v>0</v>
      </c>
      <c r="F523" s="2080"/>
      <c r="G523" s="2080"/>
      <c r="H523" s="2080"/>
      <c r="I523" s="2080"/>
      <c r="J523" s="2118" t="s">
        <v>554</v>
      </c>
    </row>
    <row r="524" spans="1:10">
      <c r="A524" s="2087" t="s">
        <v>451</v>
      </c>
      <c r="B524" s="2085">
        <f>IF(未审附注之流动资产!B524="",0,未审附注之流动资产!B524)</f>
        <v>0</v>
      </c>
      <c r="C524" s="2117">
        <f>IF(B524=0,0,IF(AND(B522=0,B523=0),ROUND(1-C525,4),ROUND(B524/B$526,4)))</f>
        <v>0</v>
      </c>
      <c r="D524" s="2085">
        <f>IF(未审附注之流动资产!D524="",0,未审附注之流动资产!D524)</f>
        <v>0</v>
      </c>
      <c r="E524" s="2117">
        <f>IF(D524=0,0,IF(AND(D522=0,D523=0),ROUND(1-E525,4),ROUND(D524/D$526,4)))</f>
        <v>0</v>
      </c>
      <c r="F524" s="2080"/>
      <c r="G524" s="2080"/>
      <c r="H524" s="2080"/>
      <c r="I524" s="2080"/>
      <c r="J524" s="2118" t="s">
        <v>555</v>
      </c>
    </row>
    <row r="525" spans="1:10">
      <c r="A525" s="2087" t="s">
        <v>556</v>
      </c>
      <c r="B525" s="2085">
        <f>IF(未审附注之流动资产!B525="",0,未审附注之流动资产!B525)</f>
        <v>0</v>
      </c>
      <c r="C525" s="2117">
        <f>IF(B525=0,0,ROUND(B525/B$526,4))</f>
        <v>0</v>
      </c>
      <c r="D525" s="2085">
        <f>IF(未审附注之流动资产!D525="",0,未审附注之流动资产!D525)</f>
        <v>0</v>
      </c>
      <c r="E525" s="2117">
        <f>IF(D525=0,0,ROUND(D525/D$526,4))</f>
        <v>0</v>
      </c>
      <c r="F525" s="2080"/>
      <c r="G525" s="2080"/>
      <c r="H525" s="2080"/>
      <c r="I525" s="2080"/>
      <c r="J525" s="2118" t="s">
        <v>557</v>
      </c>
    </row>
    <row r="526" spans="1:10">
      <c r="A526" s="2082" t="s">
        <v>384</v>
      </c>
      <c r="B526" s="2048">
        <f>ROUND(SUM(B522:B525),2)</f>
        <v>0</v>
      </c>
      <c r="C526" s="2093">
        <f>IF(B526=0,0,1)</f>
        <v>0</v>
      </c>
      <c r="D526" s="2048">
        <f>ROUND(SUM(D522:D525),2)</f>
        <v>0</v>
      </c>
      <c r="E526" s="2093">
        <f>IF(D526=0,0,1)</f>
        <v>0</v>
      </c>
      <c r="F526" s="2080"/>
      <c r="G526" s="2080"/>
      <c r="H526" s="2080"/>
      <c r="I526" s="2080"/>
      <c r="J526" s="2118" t="s">
        <v>558</v>
      </c>
    </row>
    <row r="527" spans="1:9">
      <c r="A527" s="2103"/>
      <c r="B527" s="2080"/>
      <c r="C527" s="2080"/>
      <c r="D527" s="2080"/>
      <c r="E527" s="2080"/>
      <c r="F527" s="2080"/>
      <c r="G527" s="2080"/>
      <c r="H527" s="2080"/>
      <c r="I527" s="2080"/>
    </row>
    <row r="528" spans="1:9">
      <c r="A528" s="2081" t="s">
        <v>559</v>
      </c>
      <c r="B528" s="2080"/>
      <c r="C528" s="2080"/>
      <c r="D528" s="2080"/>
      <c r="E528" s="2080"/>
      <c r="F528" s="2080"/>
      <c r="G528" s="2080"/>
      <c r="H528" s="2080"/>
      <c r="I528" s="2080"/>
    </row>
    <row r="529" spans="1:9">
      <c r="A529" s="2082" t="s">
        <v>314</v>
      </c>
      <c r="B529" s="2082" t="s">
        <v>315</v>
      </c>
      <c r="C529" s="2082" t="s">
        <v>560</v>
      </c>
      <c r="D529" s="2082" t="s">
        <v>561</v>
      </c>
      <c r="E529" s="2080"/>
      <c r="F529" s="2080"/>
      <c r="G529" s="2080"/>
      <c r="H529" s="2080"/>
      <c r="I529" s="2080"/>
    </row>
    <row r="530" spans="1:10">
      <c r="A530" s="2092">
        <f>IF(未审附注之流动资产!A530="",0,未审附注之流动资产!A530)</f>
        <v>0</v>
      </c>
      <c r="B530" s="2085">
        <f>IF(未审附注之流动资产!B530="",0,未审附注之流动资产!B530)</f>
        <v>0</v>
      </c>
      <c r="C530" s="2092">
        <f>IF(未审附注之流动资产!C530="",0,未审附注之流动资产!C530)</f>
        <v>0</v>
      </c>
      <c r="D530" s="2092">
        <f>IF(未审附注之流动资产!D530="",0,未审附注之流动资产!D530)</f>
        <v>0</v>
      </c>
      <c r="E530" s="2080"/>
      <c r="F530" s="2080"/>
      <c r="G530" s="2080"/>
      <c r="H530" s="2080"/>
      <c r="I530" s="2080"/>
      <c r="J530" s="2118" t="s">
        <v>562</v>
      </c>
    </row>
    <row r="531" spans="1:10">
      <c r="A531" s="2092">
        <f>IF(未审附注之流动资产!A531="",0,未审附注之流动资产!A531)</f>
        <v>0</v>
      </c>
      <c r="B531" s="2085">
        <f>IF(未审附注之流动资产!B531="",0,未审附注之流动资产!B531)</f>
        <v>0</v>
      </c>
      <c r="C531" s="2092">
        <f>IF(未审附注之流动资产!C531="",0,未审附注之流动资产!C531)</f>
        <v>0</v>
      </c>
      <c r="D531" s="2092">
        <f>IF(未审附注之流动资产!D531="",0,未审附注之流动资产!D531)</f>
        <v>0</v>
      </c>
      <c r="E531" s="2080"/>
      <c r="F531" s="2080"/>
      <c r="G531" s="2080"/>
      <c r="H531" s="2080"/>
      <c r="I531" s="2080"/>
      <c r="J531" s="2118" t="s">
        <v>562</v>
      </c>
    </row>
    <row r="532" spans="1:10">
      <c r="A532" s="2092">
        <f>IF(未审附注之流动资产!A532="",0,未审附注之流动资产!A532)</f>
        <v>0</v>
      </c>
      <c r="B532" s="2085">
        <f>IF(未审附注之流动资产!B532="",0,未审附注之流动资产!B532)</f>
        <v>0</v>
      </c>
      <c r="C532" s="2092">
        <f>IF(未审附注之流动资产!C532="",0,未审附注之流动资产!C532)</f>
        <v>0</v>
      </c>
      <c r="D532" s="2092">
        <f>IF(未审附注之流动资产!D532="",0,未审附注之流动资产!D532)</f>
        <v>0</v>
      </c>
      <c r="E532" s="2080"/>
      <c r="F532" s="2080"/>
      <c r="G532" s="2080"/>
      <c r="H532" s="2080"/>
      <c r="I532" s="2080"/>
      <c r="J532" s="2118" t="s">
        <v>562</v>
      </c>
    </row>
    <row r="533" spans="1:10">
      <c r="A533" s="2092">
        <f>IF(未审附注之流动资产!A533="",0,未审附注之流动资产!A533)</f>
        <v>0</v>
      </c>
      <c r="B533" s="2085">
        <f>IF(未审附注之流动资产!B533="",0,未审附注之流动资产!B533)</f>
        <v>0</v>
      </c>
      <c r="C533" s="2092">
        <f>IF(未审附注之流动资产!C533="",0,未审附注之流动资产!C533)</f>
        <v>0</v>
      </c>
      <c r="D533" s="2092">
        <f>IF(未审附注之流动资产!D533="",0,未审附注之流动资产!D533)</f>
        <v>0</v>
      </c>
      <c r="E533" s="2080"/>
      <c r="F533" s="2080"/>
      <c r="G533" s="2080"/>
      <c r="H533" s="2080"/>
      <c r="I533" s="2080"/>
      <c r="J533" s="2118" t="s">
        <v>562</v>
      </c>
    </row>
    <row r="534" spans="1:10">
      <c r="A534" s="2092">
        <f>IF(未审附注之流动资产!A534="",0,未审附注之流动资产!A534)</f>
        <v>0</v>
      </c>
      <c r="B534" s="2085">
        <f>IF(未审附注之流动资产!B534="",0,未审附注之流动资产!B534)</f>
        <v>0</v>
      </c>
      <c r="C534" s="2092">
        <f>IF(未审附注之流动资产!C534="",0,未审附注之流动资产!C534)</f>
        <v>0</v>
      </c>
      <c r="D534" s="2092">
        <f>IF(未审附注之流动资产!D534="",0,未审附注之流动资产!D534)</f>
        <v>0</v>
      </c>
      <c r="E534" s="2080"/>
      <c r="F534" s="2080"/>
      <c r="G534" s="2080"/>
      <c r="H534" s="2080"/>
      <c r="I534" s="2080"/>
      <c r="J534" s="2118" t="s">
        <v>562</v>
      </c>
    </row>
    <row r="535" spans="1:10">
      <c r="A535" s="2092">
        <f>IF(未审附注之流动资产!A535="",0,未审附注之流动资产!A535)</f>
        <v>0</v>
      </c>
      <c r="B535" s="2085">
        <f>IF(未审附注之流动资产!B535="",0,未审附注之流动资产!B535)</f>
        <v>0</v>
      </c>
      <c r="C535" s="2092">
        <f>IF(未审附注之流动资产!C535="",0,未审附注之流动资产!C535)</f>
        <v>0</v>
      </c>
      <c r="D535" s="2092">
        <f>IF(未审附注之流动资产!D535="",0,未审附注之流动资产!D535)</f>
        <v>0</v>
      </c>
      <c r="E535" s="2080"/>
      <c r="F535" s="2080"/>
      <c r="G535" s="2080"/>
      <c r="H535" s="2080"/>
      <c r="I535" s="2080"/>
      <c r="J535" s="2118" t="s">
        <v>562</v>
      </c>
    </row>
    <row r="536" spans="1:10">
      <c r="A536" s="2092">
        <f>IF(未审附注之流动资产!A536="",0,未审附注之流动资产!A536)</f>
        <v>0</v>
      </c>
      <c r="B536" s="2085">
        <f>IF(未审附注之流动资产!B536="",0,未审附注之流动资产!B536)</f>
        <v>0</v>
      </c>
      <c r="C536" s="2092">
        <f>IF(未审附注之流动资产!C536="",0,未审附注之流动资产!C536)</f>
        <v>0</v>
      </c>
      <c r="D536" s="2092">
        <f>IF(未审附注之流动资产!D536="",0,未审附注之流动资产!D536)</f>
        <v>0</v>
      </c>
      <c r="E536" s="2080"/>
      <c r="F536" s="2080"/>
      <c r="G536" s="2080"/>
      <c r="H536" s="2080"/>
      <c r="I536" s="2080"/>
      <c r="J536" s="2118" t="s">
        <v>562</v>
      </c>
    </row>
    <row r="537" spans="1:10">
      <c r="A537" s="2092">
        <f>IF(未审附注之流动资产!A537="",0,未审附注之流动资产!A537)</f>
        <v>0</v>
      </c>
      <c r="B537" s="2085">
        <f>IF(未审附注之流动资产!B537="",0,未审附注之流动资产!B537)</f>
        <v>0</v>
      </c>
      <c r="C537" s="2092">
        <f>IF(未审附注之流动资产!C537="",0,未审附注之流动资产!C537)</f>
        <v>0</v>
      </c>
      <c r="D537" s="2092">
        <f>IF(未审附注之流动资产!D537="",0,未审附注之流动资产!D537)</f>
        <v>0</v>
      </c>
      <c r="E537" s="2080"/>
      <c r="F537" s="2080"/>
      <c r="G537" s="2080"/>
      <c r="H537" s="2080"/>
      <c r="I537" s="2080"/>
      <c r="J537" s="2118" t="s">
        <v>562</v>
      </c>
    </row>
    <row r="538" spans="1:10">
      <c r="A538" s="2092">
        <f>IF(未审附注之流动资产!A538="",0,未审附注之流动资产!A538)</f>
        <v>0</v>
      </c>
      <c r="B538" s="2085">
        <f>IF(未审附注之流动资产!B538="",0,未审附注之流动资产!B538)</f>
        <v>0</v>
      </c>
      <c r="C538" s="2092">
        <f>IF(未审附注之流动资产!C538="",0,未审附注之流动资产!C538)</f>
        <v>0</v>
      </c>
      <c r="D538" s="2092">
        <f>IF(未审附注之流动资产!D538="",0,未审附注之流动资产!D538)</f>
        <v>0</v>
      </c>
      <c r="E538" s="2080"/>
      <c r="F538" s="2080"/>
      <c r="G538" s="2080"/>
      <c r="H538" s="2080"/>
      <c r="I538" s="2080"/>
      <c r="J538" s="2118" t="s">
        <v>562</v>
      </c>
    </row>
    <row r="539" spans="1:10">
      <c r="A539" s="2092">
        <f>IF(未审附注之流动资产!A539="",0,未审附注之流动资产!A539)</f>
        <v>0</v>
      </c>
      <c r="B539" s="2085">
        <f>IF(未审附注之流动资产!B539="",0,未审附注之流动资产!B539)</f>
        <v>0</v>
      </c>
      <c r="C539" s="2092">
        <f>IF(未审附注之流动资产!C539="",0,未审附注之流动资产!C539)</f>
        <v>0</v>
      </c>
      <c r="D539" s="2092">
        <f>IF(未审附注之流动资产!D539="",0,未审附注之流动资产!D539)</f>
        <v>0</v>
      </c>
      <c r="E539" s="2080"/>
      <c r="F539" s="2080"/>
      <c r="G539" s="2080"/>
      <c r="H539" s="2080"/>
      <c r="I539" s="2080"/>
      <c r="J539" s="2118" t="s">
        <v>562</v>
      </c>
    </row>
    <row r="540" spans="1:10">
      <c r="A540" s="2082" t="s">
        <v>384</v>
      </c>
      <c r="B540" s="2048">
        <f>ROUND(SUM(B530:B539),2)</f>
        <v>0</v>
      </c>
      <c r="C540" s="2048"/>
      <c r="D540" s="2048"/>
      <c r="E540" s="2080"/>
      <c r="F540" s="2080"/>
      <c r="G540" s="2080"/>
      <c r="H540" s="2080"/>
      <c r="I540" s="2080"/>
      <c r="J540" s="2118" t="s">
        <v>563</v>
      </c>
    </row>
    <row r="541" spans="1:9">
      <c r="A541" s="2103"/>
      <c r="B541" s="2080"/>
      <c r="C541" s="2080"/>
      <c r="D541" s="2080"/>
      <c r="E541" s="2080"/>
      <c r="F541" s="2080"/>
      <c r="G541" s="2080"/>
      <c r="H541" s="2080"/>
      <c r="I541" s="2080"/>
    </row>
    <row r="542" spans="1:9">
      <c r="A542" s="2096" t="s">
        <v>564</v>
      </c>
      <c r="B542" s="2080"/>
      <c r="C542" s="2080"/>
      <c r="D542" s="2080"/>
      <c r="E542" s="2080"/>
      <c r="F542" s="2080"/>
      <c r="G542" s="2080"/>
      <c r="H542" s="2080"/>
      <c r="I542" s="2080"/>
    </row>
    <row r="543" spans="1:9">
      <c r="A543" s="2082" t="s">
        <v>494</v>
      </c>
      <c r="B543" s="2082" t="s">
        <v>315</v>
      </c>
      <c r="C543" s="2082" t="s">
        <v>316</v>
      </c>
      <c r="D543" s="2082" t="s">
        <v>495</v>
      </c>
      <c r="E543" s="2080"/>
      <c r="F543" s="2080"/>
      <c r="G543" s="2080"/>
      <c r="H543" s="2080"/>
      <c r="I543" s="2080"/>
    </row>
    <row r="544" spans="1:10">
      <c r="A544" s="2092">
        <f>IF(未审附注之流动资产!A544="",0,未审附注之流动资产!A544)</f>
        <v>0</v>
      </c>
      <c r="B544" s="2085">
        <f>IF(未审附注之流动资产!B544="",0,未审附注之流动资产!B544)</f>
        <v>0</v>
      </c>
      <c r="C544" s="2085">
        <f>IF(未审附注之流动资产!C544="",0,未审附注之流动资产!C544)</f>
        <v>0</v>
      </c>
      <c r="D544" s="2092">
        <f>IF(未审附注之流动资产!D544="",0,未审附注之流动资产!D544)</f>
        <v>0</v>
      </c>
      <c r="E544" s="2080"/>
      <c r="F544" s="2080"/>
      <c r="G544" s="2080"/>
      <c r="H544" s="2080"/>
      <c r="I544" s="2080"/>
      <c r="J544" s="2118" t="s">
        <v>565</v>
      </c>
    </row>
    <row r="545" spans="1:10">
      <c r="A545" s="2092">
        <f>IF(未审附注之流动资产!A545="",0,未审附注之流动资产!A545)</f>
        <v>0</v>
      </c>
      <c r="B545" s="2085">
        <f>IF(未审附注之流动资产!B545="",0,未审附注之流动资产!B545)</f>
        <v>0</v>
      </c>
      <c r="C545" s="2085">
        <f>IF(未审附注之流动资产!C545="",0,未审附注之流动资产!C545)</f>
        <v>0</v>
      </c>
      <c r="D545" s="2092">
        <f>IF(未审附注之流动资产!D545="",0,未审附注之流动资产!D545)</f>
        <v>0</v>
      </c>
      <c r="E545" s="2080"/>
      <c r="F545" s="2080"/>
      <c r="G545" s="2080"/>
      <c r="H545" s="2080"/>
      <c r="I545" s="2080"/>
      <c r="J545" s="2118" t="s">
        <v>565</v>
      </c>
    </row>
    <row r="546" spans="1:10">
      <c r="A546" s="2092">
        <f>IF(未审附注之流动资产!A546="",0,未审附注之流动资产!A546)</f>
        <v>0</v>
      </c>
      <c r="B546" s="2085">
        <f>IF(未审附注之流动资产!B546="",0,未审附注之流动资产!B546)</f>
        <v>0</v>
      </c>
      <c r="C546" s="2085">
        <f>IF(未审附注之流动资产!C546="",0,未审附注之流动资产!C546)</f>
        <v>0</v>
      </c>
      <c r="D546" s="2092">
        <f>IF(未审附注之流动资产!D546="",0,未审附注之流动资产!D546)</f>
        <v>0</v>
      </c>
      <c r="E546" s="2080"/>
      <c r="F546" s="2080"/>
      <c r="G546" s="2080"/>
      <c r="H546" s="2080"/>
      <c r="I546" s="2080"/>
      <c r="J546" s="2118" t="s">
        <v>565</v>
      </c>
    </row>
    <row r="547" spans="1:10">
      <c r="A547" s="2092">
        <f>IF(未审附注之流动资产!A547="",0,未审附注之流动资产!A547)</f>
        <v>0</v>
      </c>
      <c r="B547" s="2085">
        <f>IF(未审附注之流动资产!B547="",0,未审附注之流动资产!B547)</f>
        <v>0</v>
      </c>
      <c r="C547" s="2085">
        <f>IF(未审附注之流动资产!C547="",0,未审附注之流动资产!C547)</f>
        <v>0</v>
      </c>
      <c r="D547" s="2092">
        <f>IF(未审附注之流动资产!D547="",0,未审附注之流动资产!D547)</f>
        <v>0</v>
      </c>
      <c r="E547" s="2080"/>
      <c r="F547" s="2080"/>
      <c r="G547" s="2080"/>
      <c r="H547" s="2080"/>
      <c r="I547" s="2080"/>
      <c r="J547" s="2118" t="s">
        <v>565</v>
      </c>
    </row>
    <row r="548" spans="1:10">
      <c r="A548" s="2092">
        <f>IF(未审附注之流动资产!A548="",0,未审附注之流动资产!A548)</f>
        <v>0</v>
      </c>
      <c r="B548" s="2085">
        <f>IF(未审附注之流动资产!B548="",0,未审附注之流动资产!B548)</f>
        <v>0</v>
      </c>
      <c r="C548" s="2085">
        <f>IF(未审附注之流动资产!C548="",0,未审附注之流动资产!C548)</f>
        <v>0</v>
      </c>
      <c r="D548" s="2092">
        <f>IF(未审附注之流动资产!D548="",0,未审附注之流动资产!D548)</f>
        <v>0</v>
      </c>
      <c r="E548" s="2080"/>
      <c r="F548" s="2080"/>
      <c r="G548" s="2080"/>
      <c r="H548" s="2080"/>
      <c r="I548" s="2080"/>
      <c r="J548" s="2118" t="s">
        <v>565</v>
      </c>
    </row>
    <row r="549" spans="1:10">
      <c r="A549" s="2092">
        <f>IF(未审附注之流动资产!A549="",0,未审附注之流动资产!A549)</f>
        <v>0</v>
      </c>
      <c r="B549" s="2085">
        <f>IF(未审附注之流动资产!B549="",0,未审附注之流动资产!B549)</f>
        <v>0</v>
      </c>
      <c r="C549" s="2085">
        <f>IF(未审附注之流动资产!C549="",0,未审附注之流动资产!C549)</f>
        <v>0</v>
      </c>
      <c r="D549" s="2092">
        <f>IF(未审附注之流动资产!D549="",0,未审附注之流动资产!D549)</f>
        <v>0</v>
      </c>
      <c r="E549" s="2080"/>
      <c r="F549" s="2080"/>
      <c r="G549" s="2080"/>
      <c r="H549" s="2080"/>
      <c r="I549" s="2080"/>
      <c r="J549" s="2118" t="s">
        <v>565</v>
      </c>
    </row>
    <row r="550" spans="1:10">
      <c r="A550" s="2092">
        <f>IF(未审附注之流动资产!A550="",0,未审附注之流动资产!A550)</f>
        <v>0</v>
      </c>
      <c r="B550" s="2085">
        <f>IF(未审附注之流动资产!B550="",0,未审附注之流动资产!B550)</f>
        <v>0</v>
      </c>
      <c r="C550" s="2085">
        <f>IF(未审附注之流动资产!C550="",0,未审附注之流动资产!C550)</f>
        <v>0</v>
      </c>
      <c r="D550" s="2092">
        <f>IF(未审附注之流动资产!D550="",0,未审附注之流动资产!D550)</f>
        <v>0</v>
      </c>
      <c r="E550" s="2080"/>
      <c r="F550" s="2080"/>
      <c r="G550" s="2080"/>
      <c r="H550" s="2080"/>
      <c r="I550" s="2080"/>
      <c r="J550" s="2118" t="s">
        <v>565</v>
      </c>
    </row>
    <row r="551" spans="1:10">
      <c r="A551" s="2092">
        <f>IF(未审附注之流动资产!A551="",0,未审附注之流动资产!A551)</f>
        <v>0</v>
      </c>
      <c r="B551" s="2085">
        <f>IF(未审附注之流动资产!B551="",0,未审附注之流动资产!B551)</f>
        <v>0</v>
      </c>
      <c r="C551" s="2085">
        <f>IF(未审附注之流动资产!C551="",0,未审附注之流动资产!C551)</f>
        <v>0</v>
      </c>
      <c r="D551" s="2092">
        <f>IF(未审附注之流动资产!D551="",0,未审附注之流动资产!D551)</f>
        <v>0</v>
      </c>
      <c r="E551" s="2080"/>
      <c r="F551" s="2080"/>
      <c r="G551" s="2080"/>
      <c r="H551" s="2080"/>
      <c r="I551" s="2080"/>
      <c r="J551" s="2118" t="s">
        <v>565</v>
      </c>
    </row>
    <row r="552" spans="1:10">
      <c r="A552" s="2092">
        <f>IF(未审附注之流动资产!A552="",0,未审附注之流动资产!A552)</f>
        <v>0</v>
      </c>
      <c r="B552" s="2085">
        <f>IF(未审附注之流动资产!B552="",0,未审附注之流动资产!B552)</f>
        <v>0</v>
      </c>
      <c r="C552" s="2085">
        <f>IF(未审附注之流动资产!C552="",0,未审附注之流动资产!C552)</f>
        <v>0</v>
      </c>
      <c r="D552" s="2092">
        <f>IF(未审附注之流动资产!D552="",0,未审附注之流动资产!D552)</f>
        <v>0</v>
      </c>
      <c r="E552" s="2080"/>
      <c r="F552" s="2080"/>
      <c r="G552" s="2080"/>
      <c r="H552" s="2080"/>
      <c r="I552" s="2080"/>
      <c r="J552" s="2118" t="s">
        <v>565</v>
      </c>
    </row>
    <row r="553" spans="1:10">
      <c r="A553" s="2092">
        <f>IF(未审附注之流动资产!A553="",0,未审附注之流动资产!A553)</f>
        <v>0</v>
      </c>
      <c r="B553" s="2085">
        <f>IF(未审附注之流动资产!B553="",0,未审附注之流动资产!B553)</f>
        <v>0</v>
      </c>
      <c r="C553" s="2085">
        <f>IF(未审附注之流动资产!C553="",0,未审附注之流动资产!C553)</f>
        <v>0</v>
      </c>
      <c r="D553" s="2092">
        <f>IF(未审附注之流动资产!D553="",0,未审附注之流动资产!D553)</f>
        <v>0</v>
      </c>
      <c r="E553" s="2080"/>
      <c r="F553" s="2080"/>
      <c r="G553" s="2080"/>
      <c r="H553" s="2080"/>
      <c r="I553" s="2080"/>
      <c r="J553" s="2118" t="s">
        <v>565</v>
      </c>
    </row>
    <row r="554" spans="1:10">
      <c r="A554" s="2082" t="s">
        <v>384</v>
      </c>
      <c r="B554" s="2048">
        <f>ROUND(SUM(B544:B553),2)</f>
        <v>0</v>
      </c>
      <c r="C554" s="2048">
        <f>ROUND(SUM(C544:C553),2)</f>
        <v>0</v>
      </c>
      <c r="D554" s="2048"/>
      <c r="E554" s="2080"/>
      <c r="F554" s="2080"/>
      <c r="G554" s="2080"/>
      <c r="H554" s="2080"/>
      <c r="I554" s="2080"/>
      <c r="J554" s="2118" t="s">
        <v>566</v>
      </c>
    </row>
    <row r="555" spans="1:9">
      <c r="A555" s="2103"/>
      <c r="B555" s="2080"/>
      <c r="C555" s="2080"/>
      <c r="D555" s="2080"/>
      <c r="E555" s="2080"/>
      <c r="F555" s="2080"/>
      <c r="G555" s="2080"/>
      <c r="H555" s="2080"/>
      <c r="I555" s="2080"/>
    </row>
    <row r="556" spans="1:9">
      <c r="A556" s="2096" t="s">
        <v>567</v>
      </c>
      <c r="B556" s="2080"/>
      <c r="C556" s="2080"/>
      <c r="D556" s="2080"/>
      <c r="E556" s="2080"/>
      <c r="F556" s="2080"/>
      <c r="G556" s="2080"/>
      <c r="H556" s="2080"/>
      <c r="I556" s="2080"/>
    </row>
    <row r="557" spans="1:9">
      <c r="A557" s="2082" t="s">
        <v>568</v>
      </c>
      <c r="B557" s="2082" t="s">
        <v>315</v>
      </c>
      <c r="C557" s="2082" t="s">
        <v>316</v>
      </c>
      <c r="D557" s="2082" t="s">
        <v>495</v>
      </c>
      <c r="E557" s="2080"/>
      <c r="F557" s="2080"/>
      <c r="G557" s="2080"/>
      <c r="H557" s="2080"/>
      <c r="I557" s="2080"/>
    </row>
    <row r="558" spans="1:10">
      <c r="A558" s="2092">
        <f>IF(未审附注之流动资产!A558="",0,未审附注之流动资产!A558)</f>
        <v>0</v>
      </c>
      <c r="B558" s="2085">
        <f>IF(未审附注之流动资产!B558="",0,未审附注之流动资产!B558)</f>
        <v>0</v>
      </c>
      <c r="C558" s="2085">
        <f>IF(未审附注之流动资产!C558="",0,未审附注之流动资产!C558)</f>
        <v>0</v>
      </c>
      <c r="D558" s="2092">
        <f>IF(未审附注之流动资产!D558="",0,未审附注之流动资产!D558)</f>
        <v>0</v>
      </c>
      <c r="E558" s="2080"/>
      <c r="F558" s="2080"/>
      <c r="G558" s="2080"/>
      <c r="H558" s="2080"/>
      <c r="I558" s="2080"/>
      <c r="J558" s="2118" t="s">
        <v>569</v>
      </c>
    </row>
    <row r="559" spans="1:10">
      <c r="A559" s="2092">
        <f>IF(未审附注之流动资产!A559="",0,未审附注之流动资产!A559)</f>
        <v>0</v>
      </c>
      <c r="B559" s="2085">
        <f>IF(未审附注之流动资产!B559="",0,未审附注之流动资产!B559)</f>
        <v>0</v>
      </c>
      <c r="C559" s="2085">
        <f>IF(未审附注之流动资产!C559="",0,未审附注之流动资产!C559)</f>
        <v>0</v>
      </c>
      <c r="D559" s="2092">
        <f>IF(未审附注之流动资产!D559="",0,未审附注之流动资产!D559)</f>
        <v>0</v>
      </c>
      <c r="E559" s="2080"/>
      <c r="F559" s="2080"/>
      <c r="G559" s="2080"/>
      <c r="H559" s="2080"/>
      <c r="I559" s="2080"/>
      <c r="J559" s="2118" t="s">
        <v>569</v>
      </c>
    </row>
    <row r="560" spans="1:10">
      <c r="A560" s="2092">
        <f>IF(未审附注之流动资产!A560="",0,未审附注之流动资产!A560)</f>
        <v>0</v>
      </c>
      <c r="B560" s="2085">
        <f>IF(未审附注之流动资产!B560="",0,未审附注之流动资产!B560)</f>
        <v>0</v>
      </c>
      <c r="C560" s="2085">
        <f>IF(未审附注之流动资产!C560="",0,未审附注之流动资产!C560)</f>
        <v>0</v>
      </c>
      <c r="D560" s="2092">
        <f>IF(未审附注之流动资产!D560="",0,未审附注之流动资产!D560)</f>
        <v>0</v>
      </c>
      <c r="E560" s="2080"/>
      <c r="F560" s="2080"/>
      <c r="G560" s="2080"/>
      <c r="H560" s="2080"/>
      <c r="I560" s="2080"/>
      <c r="J560" s="2118" t="s">
        <v>569</v>
      </c>
    </row>
    <row r="561" spans="1:10">
      <c r="A561" s="2092">
        <f>IF(未审附注之流动资产!A561="",0,未审附注之流动资产!A561)</f>
        <v>0</v>
      </c>
      <c r="B561" s="2085">
        <f>IF(未审附注之流动资产!B561="",0,未审附注之流动资产!B561)</f>
        <v>0</v>
      </c>
      <c r="C561" s="2085">
        <f>IF(未审附注之流动资产!C561="",0,未审附注之流动资产!C561)</f>
        <v>0</v>
      </c>
      <c r="D561" s="2092">
        <f>IF(未审附注之流动资产!D561="",0,未审附注之流动资产!D561)</f>
        <v>0</v>
      </c>
      <c r="E561" s="2080"/>
      <c r="F561" s="2080"/>
      <c r="G561" s="2080"/>
      <c r="H561" s="2080"/>
      <c r="I561" s="2080"/>
      <c r="J561" s="2118" t="s">
        <v>569</v>
      </c>
    </row>
    <row r="562" spans="1:10">
      <c r="A562" s="2092">
        <f>IF(未审附注之流动资产!A562="",0,未审附注之流动资产!A562)</f>
        <v>0</v>
      </c>
      <c r="B562" s="2085">
        <f>IF(未审附注之流动资产!B562="",0,未审附注之流动资产!B562)</f>
        <v>0</v>
      </c>
      <c r="C562" s="2085">
        <f>IF(未审附注之流动资产!C562="",0,未审附注之流动资产!C562)</f>
        <v>0</v>
      </c>
      <c r="D562" s="2092">
        <f>IF(未审附注之流动资产!D562="",0,未审附注之流动资产!D562)</f>
        <v>0</v>
      </c>
      <c r="E562" s="2080"/>
      <c r="F562" s="2080"/>
      <c r="G562" s="2080"/>
      <c r="H562" s="2080"/>
      <c r="I562" s="2080"/>
      <c r="J562" s="2118" t="s">
        <v>569</v>
      </c>
    </row>
    <row r="563" spans="1:10">
      <c r="A563" s="2092">
        <f>IF(未审附注之流动资产!A563="",0,未审附注之流动资产!A563)</f>
        <v>0</v>
      </c>
      <c r="B563" s="2085">
        <f>IF(未审附注之流动资产!B563="",0,未审附注之流动资产!B563)</f>
        <v>0</v>
      </c>
      <c r="C563" s="2085">
        <f>IF(未审附注之流动资产!C563="",0,未审附注之流动资产!C563)</f>
        <v>0</v>
      </c>
      <c r="D563" s="2092">
        <f>IF(未审附注之流动资产!D563="",0,未审附注之流动资产!D563)</f>
        <v>0</v>
      </c>
      <c r="E563" s="2080"/>
      <c r="F563" s="2080"/>
      <c r="G563" s="2080"/>
      <c r="H563" s="2080"/>
      <c r="I563" s="2080"/>
      <c r="J563" s="2118" t="s">
        <v>569</v>
      </c>
    </row>
    <row r="564" spans="1:10">
      <c r="A564" s="2092">
        <f>IF(未审附注之流动资产!A564="",0,未审附注之流动资产!A564)</f>
        <v>0</v>
      </c>
      <c r="B564" s="2085">
        <f>IF(未审附注之流动资产!B564="",0,未审附注之流动资产!B564)</f>
        <v>0</v>
      </c>
      <c r="C564" s="2085">
        <f>IF(未审附注之流动资产!C564="",0,未审附注之流动资产!C564)</f>
        <v>0</v>
      </c>
      <c r="D564" s="2092">
        <f>IF(未审附注之流动资产!D564="",0,未审附注之流动资产!D564)</f>
        <v>0</v>
      </c>
      <c r="E564" s="2080"/>
      <c r="F564" s="2080"/>
      <c r="G564" s="2080"/>
      <c r="H564" s="2080"/>
      <c r="I564" s="2080"/>
      <c r="J564" s="2118" t="s">
        <v>569</v>
      </c>
    </row>
    <row r="565" spans="1:10">
      <c r="A565" s="2092">
        <f>IF(未审附注之流动资产!A565="",0,未审附注之流动资产!A565)</f>
        <v>0</v>
      </c>
      <c r="B565" s="2085">
        <f>IF(未审附注之流动资产!B565="",0,未审附注之流动资产!B565)</f>
        <v>0</v>
      </c>
      <c r="C565" s="2085">
        <f>IF(未审附注之流动资产!C565="",0,未审附注之流动资产!C565)</f>
        <v>0</v>
      </c>
      <c r="D565" s="2092">
        <f>IF(未审附注之流动资产!D565="",0,未审附注之流动资产!D565)</f>
        <v>0</v>
      </c>
      <c r="E565" s="2080"/>
      <c r="F565" s="2080"/>
      <c r="G565" s="2080"/>
      <c r="H565" s="2080"/>
      <c r="I565" s="2080"/>
      <c r="J565" s="2118" t="s">
        <v>569</v>
      </c>
    </row>
    <row r="566" spans="1:10">
      <c r="A566" s="2092">
        <f>IF(未审附注之流动资产!A566="",0,未审附注之流动资产!A566)</f>
        <v>0</v>
      </c>
      <c r="B566" s="2085">
        <f>IF(未审附注之流动资产!B566="",0,未审附注之流动资产!B566)</f>
        <v>0</v>
      </c>
      <c r="C566" s="2085">
        <f>IF(未审附注之流动资产!C566="",0,未审附注之流动资产!C566)</f>
        <v>0</v>
      </c>
      <c r="D566" s="2092">
        <f>IF(未审附注之流动资产!D566="",0,未审附注之流动资产!D566)</f>
        <v>0</v>
      </c>
      <c r="E566" s="2080"/>
      <c r="F566" s="2080"/>
      <c r="G566" s="2080"/>
      <c r="H566" s="2080"/>
      <c r="I566" s="2080"/>
      <c r="J566" s="2118" t="s">
        <v>569</v>
      </c>
    </row>
    <row r="567" spans="1:10">
      <c r="A567" s="2092">
        <f>IF(未审附注之流动资产!A567="",0,未审附注之流动资产!A567)</f>
        <v>0</v>
      </c>
      <c r="B567" s="2085">
        <f>IF(未审附注之流动资产!B567="",0,未审附注之流动资产!B567)</f>
        <v>0</v>
      </c>
      <c r="C567" s="2085">
        <f>IF(未审附注之流动资产!C567="",0,未审附注之流动资产!C567)</f>
        <v>0</v>
      </c>
      <c r="D567" s="2092">
        <f>IF(未审附注之流动资产!D567="",0,未审附注之流动资产!D567)</f>
        <v>0</v>
      </c>
      <c r="E567" s="2080"/>
      <c r="F567" s="2080"/>
      <c r="G567" s="2080"/>
      <c r="H567" s="2080"/>
      <c r="I567" s="2080"/>
      <c r="J567" s="2118" t="s">
        <v>569</v>
      </c>
    </row>
    <row r="568" spans="1:10">
      <c r="A568" s="2082" t="s">
        <v>384</v>
      </c>
      <c r="B568" s="2048">
        <f>ROUND(SUM(B558:B567),2)</f>
        <v>0</v>
      </c>
      <c r="C568" s="2048">
        <f>ROUND(SUM(C558:C567),2)</f>
        <v>0</v>
      </c>
      <c r="D568" s="2048"/>
      <c r="E568" s="2080"/>
      <c r="F568" s="2080"/>
      <c r="G568" s="2080"/>
      <c r="H568" s="2080"/>
      <c r="I568" s="2080"/>
      <c r="J568" s="2118" t="s">
        <v>570</v>
      </c>
    </row>
    <row r="569" spans="1:9">
      <c r="A569" s="2103"/>
      <c r="B569" s="2080"/>
      <c r="C569" s="2080"/>
      <c r="D569" s="2080"/>
      <c r="E569" s="2080"/>
      <c r="F569" s="2080"/>
      <c r="G569" s="2080"/>
      <c r="H569" s="2080"/>
      <c r="I569" s="2080"/>
    </row>
    <row r="570" spans="1:9">
      <c r="A570" s="2096" t="s">
        <v>571</v>
      </c>
      <c r="B570" s="2080"/>
      <c r="C570" s="2080"/>
      <c r="D570" s="2080"/>
      <c r="E570" s="2080"/>
      <c r="F570" s="2080"/>
      <c r="G570" s="2080"/>
      <c r="H570" s="2080"/>
      <c r="I570" s="2080"/>
    </row>
    <row r="571" spans="1:9">
      <c r="A571" s="2082" t="s">
        <v>314</v>
      </c>
      <c r="B571" s="2082" t="s">
        <v>315</v>
      </c>
      <c r="C571" s="2082" t="s">
        <v>488</v>
      </c>
      <c r="D571" s="2082" t="s">
        <v>572</v>
      </c>
      <c r="E571" s="2080"/>
      <c r="F571" s="2080"/>
      <c r="G571" s="2080"/>
      <c r="H571" s="2080"/>
      <c r="I571" s="2080"/>
    </row>
    <row r="572" spans="1:10">
      <c r="A572" s="2092">
        <f>IF(未审附注之流动资产!A572="",0,未审附注之流动资产!A572)</f>
        <v>0</v>
      </c>
      <c r="B572" s="2085">
        <f>IF(未审附注之流动资产!B572="",0,未审附注之流动资产!B572)</f>
        <v>0</v>
      </c>
      <c r="C572" s="2092">
        <f>IF(未审附注之流动资产!C572="",0,未审附注之流动资产!C572)</f>
        <v>0</v>
      </c>
      <c r="D572" s="2092">
        <f>IF(未审附注之流动资产!D572="",0,未审附注之流动资产!D572)</f>
        <v>0</v>
      </c>
      <c r="E572" s="2080"/>
      <c r="F572" s="2080"/>
      <c r="G572" s="2080"/>
      <c r="H572" s="2080"/>
      <c r="I572" s="2080"/>
      <c r="J572" s="2118" t="s">
        <v>573</v>
      </c>
    </row>
    <row r="573" spans="1:10">
      <c r="A573" s="2092">
        <f>IF(未审附注之流动资产!A573="",0,未审附注之流动资产!A573)</f>
        <v>0</v>
      </c>
      <c r="B573" s="2085">
        <f>IF(未审附注之流动资产!B573="",0,未审附注之流动资产!B573)</f>
        <v>0</v>
      </c>
      <c r="C573" s="2092">
        <f>IF(未审附注之流动资产!C573="",0,未审附注之流动资产!C573)</f>
        <v>0</v>
      </c>
      <c r="D573" s="2092">
        <f>IF(未审附注之流动资产!D573="",0,未审附注之流动资产!D573)</f>
        <v>0</v>
      </c>
      <c r="E573" s="2080"/>
      <c r="F573" s="2080"/>
      <c r="G573" s="2080"/>
      <c r="H573" s="2080"/>
      <c r="I573" s="2080"/>
      <c r="J573" s="2118" t="s">
        <v>573</v>
      </c>
    </row>
    <row r="574" spans="1:10">
      <c r="A574" s="2092">
        <f>IF(未审附注之流动资产!A574="",0,未审附注之流动资产!A574)</f>
        <v>0</v>
      </c>
      <c r="B574" s="2085">
        <f>IF(未审附注之流动资产!B574="",0,未审附注之流动资产!B574)</f>
        <v>0</v>
      </c>
      <c r="C574" s="2092">
        <f>IF(未审附注之流动资产!C574="",0,未审附注之流动资产!C574)</f>
        <v>0</v>
      </c>
      <c r="D574" s="2092">
        <f>IF(未审附注之流动资产!D574="",0,未审附注之流动资产!D574)</f>
        <v>0</v>
      </c>
      <c r="E574" s="2080"/>
      <c r="F574" s="2080"/>
      <c r="G574" s="2080"/>
      <c r="H574" s="2080"/>
      <c r="I574" s="2080"/>
      <c r="J574" s="2118" t="s">
        <v>573</v>
      </c>
    </row>
    <row r="575" spans="1:10">
      <c r="A575" s="2092">
        <f>IF(未审附注之流动资产!A575="",0,未审附注之流动资产!A575)</f>
        <v>0</v>
      </c>
      <c r="B575" s="2085">
        <f>IF(未审附注之流动资产!B575="",0,未审附注之流动资产!B575)</f>
        <v>0</v>
      </c>
      <c r="C575" s="2092">
        <f>IF(未审附注之流动资产!C575="",0,未审附注之流动资产!C575)</f>
        <v>0</v>
      </c>
      <c r="D575" s="2092">
        <f>IF(未审附注之流动资产!D575="",0,未审附注之流动资产!D575)</f>
        <v>0</v>
      </c>
      <c r="E575" s="2080"/>
      <c r="F575" s="2080"/>
      <c r="G575" s="2080"/>
      <c r="H575" s="2080"/>
      <c r="I575" s="2080"/>
      <c r="J575" s="2118" t="s">
        <v>573</v>
      </c>
    </row>
    <row r="576" spans="1:10">
      <c r="A576" s="2092">
        <f>IF(未审附注之流动资产!A576="",0,未审附注之流动资产!A576)</f>
        <v>0</v>
      </c>
      <c r="B576" s="2085">
        <f>IF(未审附注之流动资产!B576="",0,未审附注之流动资产!B576)</f>
        <v>0</v>
      </c>
      <c r="C576" s="2092">
        <f>IF(未审附注之流动资产!C576="",0,未审附注之流动资产!C576)</f>
        <v>0</v>
      </c>
      <c r="D576" s="2092">
        <f>IF(未审附注之流动资产!D576="",0,未审附注之流动资产!D576)</f>
        <v>0</v>
      </c>
      <c r="E576" s="2080"/>
      <c r="F576" s="2080"/>
      <c r="G576" s="2080"/>
      <c r="H576" s="2080"/>
      <c r="I576" s="2080"/>
      <c r="J576" s="2118" t="s">
        <v>573</v>
      </c>
    </row>
    <row r="577" spans="1:10">
      <c r="A577" s="2092">
        <f>IF(未审附注之流动资产!A577="",0,未审附注之流动资产!A577)</f>
        <v>0</v>
      </c>
      <c r="B577" s="2085">
        <f>IF(未审附注之流动资产!B577="",0,未审附注之流动资产!B577)</f>
        <v>0</v>
      </c>
      <c r="C577" s="2092">
        <f>IF(未审附注之流动资产!C577="",0,未审附注之流动资产!C577)</f>
        <v>0</v>
      </c>
      <c r="D577" s="2092">
        <f>IF(未审附注之流动资产!D577="",0,未审附注之流动资产!D577)</f>
        <v>0</v>
      </c>
      <c r="E577" s="2080"/>
      <c r="F577" s="2080"/>
      <c r="G577" s="2080"/>
      <c r="H577" s="2080"/>
      <c r="I577" s="2080"/>
      <c r="J577" s="2118" t="s">
        <v>573</v>
      </c>
    </row>
    <row r="578" spans="1:10">
      <c r="A578" s="2092">
        <f>IF(未审附注之流动资产!A578="",0,未审附注之流动资产!A578)</f>
        <v>0</v>
      </c>
      <c r="B578" s="2085">
        <f>IF(未审附注之流动资产!B578="",0,未审附注之流动资产!B578)</f>
        <v>0</v>
      </c>
      <c r="C578" s="2092">
        <f>IF(未审附注之流动资产!C578="",0,未审附注之流动资产!C578)</f>
        <v>0</v>
      </c>
      <c r="D578" s="2092">
        <f>IF(未审附注之流动资产!D578="",0,未审附注之流动资产!D578)</f>
        <v>0</v>
      </c>
      <c r="E578" s="2080"/>
      <c r="F578" s="2080"/>
      <c r="G578" s="2080"/>
      <c r="H578" s="2080"/>
      <c r="I578" s="2080"/>
      <c r="J578" s="2118" t="s">
        <v>573</v>
      </c>
    </row>
    <row r="579" spans="1:10">
      <c r="A579" s="2092">
        <f>IF(未审附注之流动资产!A579="",0,未审附注之流动资产!A579)</f>
        <v>0</v>
      </c>
      <c r="B579" s="2085">
        <f>IF(未审附注之流动资产!B579="",0,未审附注之流动资产!B579)</f>
        <v>0</v>
      </c>
      <c r="C579" s="2092">
        <f>IF(未审附注之流动资产!C579="",0,未审附注之流动资产!C579)</f>
        <v>0</v>
      </c>
      <c r="D579" s="2092">
        <f>IF(未审附注之流动资产!D579="",0,未审附注之流动资产!D579)</f>
        <v>0</v>
      </c>
      <c r="E579" s="2080"/>
      <c r="F579" s="2080"/>
      <c r="G579" s="2080"/>
      <c r="H579" s="2080"/>
      <c r="I579" s="2080"/>
      <c r="J579" s="2118" t="s">
        <v>573</v>
      </c>
    </row>
    <row r="580" spans="1:10">
      <c r="A580" s="2092">
        <f>IF(未审附注之流动资产!A580="",0,未审附注之流动资产!A580)</f>
        <v>0</v>
      </c>
      <c r="B580" s="2085">
        <f>IF(未审附注之流动资产!B580="",0,未审附注之流动资产!B580)</f>
        <v>0</v>
      </c>
      <c r="C580" s="2092">
        <f>IF(未审附注之流动资产!C580="",0,未审附注之流动资产!C580)</f>
        <v>0</v>
      </c>
      <c r="D580" s="2092">
        <f>IF(未审附注之流动资产!D580="",0,未审附注之流动资产!D580)</f>
        <v>0</v>
      </c>
      <c r="E580" s="2080"/>
      <c r="F580" s="2080"/>
      <c r="G580" s="2080"/>
      <c r="H580" s="2080"/>
      <c r="I580" s="2080"/>
      <c r="J580" s="2118" t="s">
        <v>573</v>
      </c>
    </row>
    <row r="581" spans="1:10">
      <c r="A581" s="2092">
        <f>IF(未审附注之流动资产!A581="",0,未审附注之流动资产!A581)</f>
        <v>0</v>
      </c>
      <c r="B581" s="2085">
        <f>IF(未审附注之流动资产!B581="",0,未审附注之流动资产!B581)</f>
        <v>0</v>
      </c>
      <c r="C581" s="2092">
        <f>IF(未审附注之流动资产!C581="",0,未审附注之流动资产!C581)</f>
        <v>0</v>
      </c>
      <c r="D581" s="2092">
        <f>IF(未审附注之流动资产!D581="",0,未审附注之流动资产!D581)</f>
        <v>0</v>
      </c>
      <c r="E581" s="2080"/>
      <c r="F581" s="2080"/>
      <c r="G581" s="2080"/>
      <c r="H581" s="2080"/>
      <c r="I581" s="2080"/>
      <c r="J581" s="2118" t="s">
        <v>573</v>
      </c>
    </row>
    <row r="582" spans="1:10">
      <c r="A582" s="2082" t="s">
        <v>384</v>
      </c>
      <c r="B582" s="2048">
        <f>ROUND(SUM(B572:B581),2)</f>
        <v>0</v>
      </c>
      <c r="C582" s="2048"/>
      <c r="D582" s="2048"/>
      <c r="E582" s="2080"/>
      <c r="F582" s="2080"/>
      <c r="G582" s="2080"/>
      <c r="H582" s="2080"/>
      <c r="I582" s="2080"/>
      <c r="J582" s="2118" t="s">
        <v>574</v>
      </c>
    </row>
    <row r="583" spans="1:9">
      <c r="A583" s="2103"/>
      <c r="B583" s="2080"/>
      <c r="C583" s="2080"/>
      <c r="D583" s="2080"/>
      <c r="E583" s="2080"/>
      <c r="F583" s="2080"/>
      <c r="G583" s="2080"/>
      <c r="H583" s="2080"/>
      <c r="I583" s="2080"/>
    </row>
    <row r="584" spans="1:9">
      <c r="A584" s="2096" t="s">
        <v>575</v>
      </c>
      <c r="B584" s="2080"/>
      <c r="C584" s="2080"/>
      <c r="D584" s="2080"/>
      <c r="E584" s="2080"/>
      <c r="F584" s="2080"/>
      <c r="G584" s="2080"/>
      <c r="H584" s="2080"/>
      <c r="I584" s="2080"/>
    </row>
    <row r="585" spans="1:9">
      <c r="A585" s="2082" t="s">
        <v>576</v>
      </c>
      <c r="B585" s="2080"/>
      <c r="C585" s="2080"/>
      <c r="D585" s="2080"/>
      <c r="E585" s="2080"/>
      <c r="F585" s="2080"/>
      <c r="G585" s="2080"/>
      <c r="H585" s="2080"/>
      <c r="I585" s="2080"/>
    </row>
    <row r="586" spans="1:10">
      <c r="A586" s="2092">
        <f>IF(未审附注之流动资产!A586="",0,未审附注之流动资产!A586)</f>
        <v>0</v>
      </c>
      <c r="B586" s="2080"/>
      <c r="C586" s="2080"/>
      <c r="D586" s="2080"/>
      <c r="E586" s="2080"/>
      <c r="F586" s="2080"/>
      <c r="G586" s="2080"/>
      <c r="H586" s="2080"/>
      <c r="I586" s="2080"/>
      <c r="J586" s="2118" t="s">
        <v>577</v>
      </c>
    </row>
    <row r="587" spans="1:9">
      <c r="A587" s="2103"/>
      <c r="B587" s="2080"/>
      <c r="C587" s="2080"/>
      <c r="D587" s="2080"/>
      <c r="E587" s="2080"/>
      <c r="F587" s="2080"/>
      <c r="G587" s="2080"/>
      <c r="H587" s="2080"/>
      <c r="I587" s="2080"/>
    </row>
    <row r="588" spans="1:9">
      <c r="A588" s="2103"/>
      <c r="B588" s="2080"/>
      <c r="C588" s="2080"/>
      <c r="D588" s="2080"/>
      <c r="E588" s="2080"/>
      <c r="F588" s="2080"/>
      <c r="G588" s="2080"/>
      <c r="H588" s="2080"/>
      <c r="I588" s="2080"/>
    </row>
    <row r="589" spans="1:9">
      <c r="A589" s="2079" t="s">
        <v>578</v>
      </c>
      <c r="B589" s="2080"/>
      <c r="C589" s="2080"/>
      <c r="D589" s="2080"/>
      <c r="E589" s="2080"/>
      <c r="F589" s="2080"/>
      <c r="G589" s="2080"/>
      <c r="H589" s="2080"/>
      <c r="I589" s="2080"/>
    </row>
    <row r="590" spans="1:9">
      <c r="A590" s="2081" t="s">
        <v>579</v>
      </c>
      <c r="B590" s="2080"/>
      <c r="C590" s="2080"/>
      <c r="D590" s="2080"/>
      <c r="E590" s="2080"/>
      <c r="F590" s="2080"/>
      <c r="G590" s="2080"/>
      <c r="H590" s="2080"/>
      <c r="I590" s="2080"/>
    </row>
    <row r="591" spans="1:11">
      <c r="A591" s="2082" t="s">
        <v>580</v>
      </c>
      <c r="B591" s="2114" t="s">
        <v>316</v>
      </c>
      <c r="C591" s="2155"/>
      <c r="D591" s="2089" t="s">
        <v>581</v>
      </c>
      <c r="E591" s="2089" t="s">
        <v>582</v>
      </c>
      <c r="F591" s="2114" t="s">
        <v>315</v>
      </c>
      <c r="G591" s="2155"/>
      <c r="H591" s="2080"/>
      <c r="I591" s="2080"/>
      <c r="K591" s="2141"/>
    </row>
    <row r="592" spans="1:11">
      <c r="A592" s="2082"/>
      <c r="B592" s="2082" t="s">
        <v>443</v>
      </c>
      <c r="C592" s="2082" t="s">
        <v>583</v>
      </c>
      <c r="D592" s="2090"/>
      <c r="E592" s="2090"/>
      <c r="F592" s="2082" t="s">
        <v>443</v>
      </c>
      <c r="G592" s="2082" t="s">
        <v>583</v>
      </c>
      <c r="H592" s="2080"/>
      <c r="I592" s="2080"/>
      <c r="K592" s="2141"/>
    </row>
    <row r="593" spans="1:11">
      <c r="A593" s="2129" t="s">
        <v>584</v>
      </c>
      <c r="B593" s="2085">
        <f>IF(未审附注之流动资产!B593="",0,未审附注之流动资产!B593)</f>
        <v>0</v>
      </c>
      <c r="C593" s="2085">
        <f>IF(未审附注之流动资产!C593="",0,未审附注之流动资产!C593)</f>
        <v>0</v>
      </c>
      <c r="D593" s="2085">
        <f>IF(未审附注之流动资产!D593="",0,未审附注之流动资产!D593)</f>
        <v>0</v>
      </c>
      <c r="E593" s="2085">
        <f>IF(未审附注之流动资产!E593="",0,未审附注之流动资产!E593)</f>
        <v>0</v>
      </c>
      <c r="F593" s="2048">
        <f t="shared" ref="F593:F603" si="10">ROUND(B593+D593-E593,2)</f>
        <v>0</v>
      </c>
      <c r="G593" s="2085">
        <f>IF(未审附注之流动资产!G593="",0,未审附注之流动资产!G593)</f>
        <v>0</v>
      </c>
      <c r="H593" s="2080"/>
      <c r="I593" s="2080"/>
      <c r="J593" s="2118" t="s">
        <v>585</v>
      </c>
      <c r="K593" s="2141"/>
    </row>
    <row r="594" spans="1:11">
      <c r="A594" s="2129" t="s">
        <v>586</v>
      </c>
      <c r="B594" s="2085">
        <f>IF(未审附注之流动资产!B594="",0,未审附注之流动资产!B594)</f>
        <v>0</v>
      </c>
      <c r="C594" s="2085">
        <f>IF(未审附注之流动资产!C594="",0,未审附注之流动资产!C594)</f>
        <v>0</v>
      </c>
      <c r="D594" s="2085">
        <f>IF(未审附注之流动资产!D594="",0,未审附注之流动资产!D594)</f>
        <v>0</v>
      </c>
      <c r="E594" s="2085">
        <f>IF(未审附注之流动资产!E594="",0,未审附注之流动资产!E594)</f>
        <v>0</v>
      </c>
      <c r="F594" s="2048">
        <f t="shared" si="10"/>
        <v>0</v>
      </c>
      <c r="G594" s="2085">
        <f>IF(未审附注之流动资产!G594="",0,未审附注之流动资产!G594)</f>
        <v>0</v>
      </c>
      <c r="H594" s="2080"/>
      <c r="I594" s="2080"/>
      <c r="J594" s="2118" t="s">
        <v>587</v>
      </c>
      <c r="K594" s="2141"/>
    </row>
    <row r="595" spans="1:11">
      <c r="A595" s="2084" t="s">
        <v>588</v>
      </c>
      <c r="B595" s="2085">
        <f>IF(未审附注之流动资产!B595="",0,未审附注之流动资产!B595)</f>
        <v>0</v>
      </c>
      <c r="C595" s="2085">
        <f>IF(未审附注之流动资产!C595="",0,未审附注之流动资产!C595)</f>
        <v>0</v>
      </c>
      <c r="D595" s="2085">
        <f>IF(未审附注之流动资产!D595="",0,未审附注之流动资产!D595)</f>
        <v>0</v>
      </c>
      <c r="E595" s="2085">
        <f>IF(未审附注之流动资产!E595="",0,未审附注之流动资产!E595)</f>
        <v>0</v>
      </c>
      <c r="F595" s="2048">
        <f t="shared" si="10"/>
        <v>0</v>
      </c>
      <c r="G595" s="2085">
        <f>IF(未审附注之流动资产!G595="",0,未审附注之流动资产!G595)</f>
        <v>0</v>
      </c>
      <c r="H595" s="2080"/>
      <c r="I595" s="2080"/>
      <c r="J595" s="2118" t="s">
        <v>589</v>
      </c>
      <c r="K595" s="2141"/>
    </row>
    <row r="596" spans="1:11">
      <c r="A596" s="2084" t="s">
        <v>590</v>
      </c>
      <c r="B596" s="2085">
        <f>IF(未审附注之流动资产!B596="",0,未审附注之流动资产!B596)</f>
        <v>0</v>
      </c>
      <c r="C596" s="2085">
        <f>IF(未审附注之流动资产!C596="",0,未审附注之流动资产!C596)</f>
        <v>0</v>
      </c>
      <c r="D596" s="2085">
        <f>IF(未审附注之流动资产!D596="",0,未审附注之流动资产!D596)</f>
        <v>0</v>
      </c>
      <c r="E596" s="2085">
        <f>IF(未审附注之流动资产!E596="",0,未审附注之流动资产!E596)</f>
        <v>0</v>
      </c>
      <c r="F596" s="2048">
        <f t="shared" si="10"/>
        <v>0</v>
      </c>
      <c r="G596" s="2085">
        <f>IF(未审附注之流动资产!G596="",0,未审附注之流动资产!G596)</f>
        <v>0</v>
      </c>
      <c r="H596" s="2080"/>
      <c r="I596" s="2080"/>
      <c r="J596" s="2118" t="s">
        <v>591</v>
      </c>
      <c r="K596" s="2141"/>
    </row>
    <row r="597" spans="1:11">
      <c r="A597" s="2084" t="s">
        <v>592</v>
      </c>
      <c r="B597" s="2085">
        <f>IF(未审附注之流动资产!B597="",0,未审附注之流动资产!B597)</f>
        <v>0</v>
      </c>
      <c r="C597" s="2085">
        <f>IF(未审附注之流动资产!C597="",0,未审附注之流动资产!C597)</f>
        <v>0</v>
      </c>
      <c r="D597" s="2085">
        <f>IF(未审附注之流动资产!D597="",0,未审附注之流动资产!D597)</f>
        <v>0</v>
      </c>
      <c r="E597" s="2085">
        <f>IF(未审附注之流动资产!E597="",0,未审附注之流动资产!E597)</f>
        <v>0</v>
      </c>
      <c r="F597" s="2048">
        <f t="shared" si="10"/>
        <v>0</v>
      </c>
      <c r="G597" s="2085">
        <f>IF(未审附注之流动资产!G597="",0,未审附注之流动资产!G597)</f>
        <v>0</v>
      </c>
      <c r="H597" s="2080"/>
      <c r="I597" s="2080"/>
      <c r="J597" s="2118" t="s">
        <v>593</v>
      </c>
      <c r="K597" s="2141"/>
    </row>
    <row r="598" spans="1:11">
      <c r="A598" s="2084" t="s">
        <v>594</v>
      </c>
      <c r="B598" s="2085">
        <f>IF(未审附注之流动资产!B598="",0,未审附注之流动资产!B598)</f>
        <v>0</v>
      </c>
      <c r="C598" s="2085">
        <f>IF(未审附注之流动资产!C598="",0,未审附注之流动资产!C598)</f>
        <v>0</v>
      </c>
      <c r="D598" s="2085">
        <f>IF(未审附注之流动资产!D598="",0,未审附注之流动资产!D598)</f>
        <v>0</v>
      </c>
      <c r="E598" s="2085">
        <f>IF(未审附注之流动资产!E598="",0,未审附注之流动资产!E598)</f>
        <v>0</v>
      </c>
      <c r="F598" s="2048">
        <f t="shared" si="10"/>
        <v>0</v>
      </c>
      <c r="G598" s="2085">
        <f>IF(未审附注之流动资产!G598="",0,未审附注之流动资产!G598)</f>
        <v>0</v>
      </c>
      <c r="H598" s="2080"/>
      <c r="I598" s="2080"/>
      <c r="J598" s="2118" t="s">
        <v>595</v>
      </c>
      <c r="K598" s="2141"/>
    </row>
    <row r="599" spans="1:11">
      <c r="A599" s="2084" t="s">
        <v>596</v>
      </c>
      <c r="B599" s="2085">
        <f>IF(未审附注之流动资产!B599="",0,未审附注之流动资产!B599)</f>
        <v>0</v>
      </c>
      <c r="C599" s="2085">
        <f>IF(未审附注之流动资产!C599="",0,未审附注之流动资产!C599)</f>
        <v>0</v>
      </c>
      <c r="D599" s="2085">
        <f>IF(未审附注之流动资产!D599="",0,未审附注之流动资产!D599)</f>
        <v>0</v>
      </c>
      <c r="E599" s="2085">
        <f>IF(未审附注之流动资产!E599="",0,未审附注之流动资产!E599)</f>
        <v>0</v>
      </c>
      <c r="F599" s="2048">
        <f t="shared" si="10"/>
        <v>0</v>
      </c>
      <c r="G599" s="2085">
        <f>IF(未审附注之流动资产!G599="",0,未审附注之流动资产!G599)</f>
        <v>0</v>
      </c>
      <c r="H599" s="2080"/>
      <c r="I599" s="2080"/>
      <c r="J599" s="2118" t="s">
        <v>597</v>
      </c>
      <c r="K599" s="2141"/>
    </row>
    <row r="600" spans="1:11">
      <c r="A600" s="2084" t="s">
        <v>598</v>
      </c>
      <c r="B600" s="2085">
        <f>IF(未审附注之流动资产!B600="",0,未审附注之流动资产!B600)</f>
        <v>0</v>
      </c>
      <c r="C600" s="2085">
        <f>IF(未审附注之流动资产!C600="",0,未审附注之流动资产!C600)</f>
        <v>0</v>
      </c>
      <c r="D600" s="2085">
        <f>IF(未审附注之流动资产!D600="",0,未审附注之流动资产!D600)</f>
        <v>0</v>
      </c>
      <c r="E600" s="2085">
        <f>IF(未审附注之流动资产!E600="",0,未审附注之流动资产!E600)</f>
        <v>0</v>
      </c>
      <c r="F600" s="2048">
        <f t="shared" si="10"/>
        <v>0</v>
      </c>
      <c r="G600" s="2085">
        <f>IF(未审附注之流动资产!G600="",0,未审附注之流动资产!G600)</f>
        <v>0</v>
      </c>
      <c r="H600" s="2080"/>
      <c r="I600" s="2080"/>
      <c r="J600" s="2118" t="s">
        <v>599</v>
      </c>
      <c r="K600" s="2141"/>
    </row>
    <row r="601" spans="1:11">
      <c r="A601" s="2084" t="s">
        <v>600</v>
      </c>
      <c r="B601" s="2085">
        <f>IF(未审附注之流动资产!B601="",0,未审附注之流动资产!B601)</f>
        <v>0</v>
      </c>
      <c r="C601" s="2085">
        <f>IF(未审附注之流动资产!C601="",0,未审附注之流动资产!C601)</f>
        <v>0</v>
      </c>
      <c r="D601" s="2085">
        <f>IF(未审附注之流动资产!D601="",0,未审附注之流动资产!D601)</f>
        <v>0</v>
      </c>
      <c r="E601" s="2085">
        <f>IF(未审附注之流动资产!E601="",0,未审附注之流动资产!E601)</f>
        <v>0</v>
      </c>
      <c r="F601" s="2048">
        <f t="shared" si="10"/>
        <v>0</v>
      </c>
      <c r="G601" s="2085">
        <f>IF(未审附注之流动资产!G601="",0,未审附注之流动资产!G601)</f>
        <v>0</v>
      </c>
      <c r="H601" s="2080"/>
      <c r="I601" s="2080"/>
      <c r="J601" s="2118" t="s">
        <v>601</v>
      </c>
      <c r="K601" s="2141"/>
    </row>
    <row r="602" spans="1:11">
      <c r="A602" s="2084" t="s">
        <v>602</v>
      </c>
      <c r="B602" s="2085">
        <f>IF(未审附注之流动资产!B602="",0,未审附注之流动资产!B602)</f>
        <v>0</v>
      </c>
      <c r="C602" s="2085">
        <f>IF(未审附注之流动资产!C602="",0,未审附注之流动资产!C602)</f>
        <v>0</v>
      </c>
      <c r="D602" s="2085">
        <f>IF(未审附注之流动资产!D602="",0,未审附注之流动资产!D602)</f>
        <v>0</v>
      </c>
      <c r="E602" s="2085">
        <f>IF(未审附注之流动资产!E602="",0,未审附注之流动资产!E602)</f>
        <v>0</v>
      </c>
      <c r="F602" s="2048">
        <f t="shared" si="10"/>
        <v>0</v>
      </c>
      <c r="G602" s="2085">
        <f>IF(未审附注之流动资产!G602="",0,未审附注之流动资产!G602)</f>
        <v>0</v>
      </c>
      <c r="H602" s="2080"/>
      <c r="I602" s="2080"/>
      <c r="J602" s="2118" t="s">
        <v>603</v>
      </c>
      <c r="K602" s="2141"/>
    </row>
    <row r="603" spans="1:11">
      <c r="A603" s="2084" t="s">
        <v>279</v>
      </c>
      <c r="B603" s="2085">
        <f>IF(未审附注之流动资产!B603="",0,未审附注之流动资产!B603)</f>
        <v>0</v>
      </c>
      <c r="C603" s="2085">
        <f>IF(未审附注之流动资产!C603="",0,未审附注之流动资产!C603)</f>
        <v>0</v>
      </c>
      <c r="D603" s="2085">
        <f>IF(未审附注之流动资产!D603="",0,未审附注之流动资产!D603)</f>
        <v>0</v>
      </c>
      <c r="E603" s="2085">
        <f>IF(未审附注之流动资产!E603="",0,未审附注之流动资产!E603)</f>
        <v>0</v>
      </c>
      <c r="F603" s="2048">
        <f t="shared" si="10"/>
        <v>0</v>
      </c>
      <c r="G603" s="2085">
        <f>IF(未审附注之流动资产!G603="",0,未审附注之流动资产!G603)</f>
        <v>0</v>
      </c>
      <c r="H603" s="2080"/>
      <c r="I603" s="2080"/>
      <c r="J603" s="2118" t="s">
        <v>604</v>
      </c>
      <c r="K603" s="2141"/>
    </row>
    <row r="604" spans="1:11">
      <c r="A604" s="2082" t="s">
        <v>384</v>
      </c>
      <c r="B604" s="2048">
        <f t="shared" ref="B604:G604" si="11">ROUND(SUM(B593:B603),2)</f>
        <v>0</v>
      </c>
      <c r="C604" s="2048">
        <f t="shared" si="11"/>
        <v>0</v>
      </c>
      <c r="D604" s="2048">
        <f t="shared" si="11"/>
        <v>0</v>
      </c>
      <c r="E604" s="2048">
        <f t="shared" si="11"/>
        <v>0</v>
      </c>
      <c r="F604" s="2048">
        <f t="shared" si="11"/>
        <v>0</v>
      </c>
      <c r="G604" s="2048">
        <f t="shared" si="11"/>
        <v>0</v>
      </c>
      <c r="H604" s="2080"/>
      <c r="I604" s="2080"/>
      <c r="J604" s="2118" t="s">
        <v>605</v>
      </c>
      <c r="K604" s="2141"/>
    </row>
    <row r="605" spans="1:9">
      <c r="A605" s="2103"/>
      <c r="B605" s="2080"/>
      <c r="C605" s="2080"/>
      <c r="D605" s="2080"/>
      <c r="E605" s="2080"/>
      <c r="F605" s="2080"/>
      <c r="G605" s="2080"/>
      <c r="H605" s="2080"/>
      <c r="I605" s="2080"/>
    </row>
    <row r="606" spans="1:9">
      <c r="A606" s="2081" t="s">
        <v>606</v>
      </c>
      <c r="B606" s="2080"/>
      <c r="C606" s="2080"/>
      <c r="D606" s="2080"/>
      <c r="E606" s="2080"/>
      <c r="F606" s="2080"/>
      <c r="G606" s="2080"/>
      <c r="H606" s="2080"/>
      <c r="I606" s="2080"/>
    </row>
    <row r="607" spans="1:9">
      <c r="A607" s="2089" t="s">
        <v>580</v>
      </c>
      <c r="B607" s="2082" t="s">
        <v>316</v>
      </c>
      <c r="C607" s="2082" t="s">
        <v>607</v>
      </c>
      <c r="D607" s="2114" t="s">
        <v>582</v>
      </c>
      <c r="E607" s="2115"/>
      <c r="F607" s="2082" t="s">
        <v>315</v>
      </c>
      <c r="G607" s="2082" t="s">
        <v>608</v>
      </c>
      <c r="H607" s="2082" t="s">
        <v>609</v>
      </c>
      <c r="I607" s="2082" t="s">
        <v>610</v>
      </c>
    </row>
    <row r="608" spans="1:9">
      <c r="A608" s="2116"/>
      <c r="B608" s="2083"/>
      <c r="C608" s="2083"/>
      <c r="D608" s="2082" t="s">
        <v>611</v>
      </c>
      <c r="E608" s="2082" t="s">
        <v>612</v>
      </c>
      <c r="F608" s="2083"/>
      <c r="G608" s="2083"/>
      <c r="H608" s="2083"/>
      <c r="I608" s="2083"/>
    </row>
    <row r="609" spans="1:10">
      <c r="A609" s="2129" t="s">
        <v>584</v>
      </c>
      <c r="B609" s="2085">
        <f>IF(未审附注之流动资产!B609="",0,未审附注之流动资产!B609)</f>
        <v>0</v>
      </c>
      <c r="C609" s="2085">
        <f>IF(未审附注之流动资产!C609="",0,未审附注之流动资产!C609)</f>
        <v>0</v>
      </c>
      <c r="D609" s="2085">
        <f>IF(未审附注之流动资产!D609="",0,未审附注之流动资产!D609)</f>
        <v>0</v>
      </c>
      <c r="E609" s="2085">
        <f>IF(未审附注之流动资产!E609="",0,未审附注之流动资产!E609)</f>
        <v>0</v>
      </c>
      <c r="F609" s="2048">
        <f>ROUND(B609+C609-D609-E609,2)</f>
        <v>0</v>
      </c>
      <c r="G609" s="2092">
        <f>IF(未审附注之流动资产!G609="",0,未审附注之流动资产!G609)</f>
        <v>0</v>
      </c>
      <c r="H609" s="2092">
        <f>IF(未审附注之流动资产!H609="",0,未审附注之流动资产!H609)</f>
        <v>0</v>
      </c>
      <c r="I609" s="2117">
        <f>IF(F593=0,0,ROUND(D609/F593,4))</f>
        <v>0</v>
      </c>
      <c r="J609" s="2118" t="s">
        <v>613</v>
      </c>
    </row>
    <row r="610" spans="1:10">
      <c r="A610" s="2129" t="s">
        <v>586</v>
      </c>
      <c r="B610" s="2085">
        <f>IF(未审附注之流动资产!B610="",0,未审附注之流动资产!B610)</f>
        <v>0</v>
      </c>
      <c r="C610" s="2085">
        <f>IF(未审附注之流动资产!C610="",0,未审附注之流动资产!C610)</f>
        <v>0</v>
      </c>
      <c r="D610" s="2085">
        <f>IF(未审附注之流动资产!D610="",0,未审附注之流动资产!D610)</f>
        <v>0</v>
      </c>
      <c r="E610" s="2085">
        <f>IF(未审附注之流动资产!E610="",0,未审附注之流动资产!E610)</f>
        <v>0</v>
      </c>
      <c r="F610" s="2048">
        <f t="shared" ref="F610:F619" si="12">ROUND(B610+C610-D610-E610,2)</f>
        <v>0</v>
      </c>
      <c r="G610" s="2092">
        <f>IF(未审附注之流动资产!G610="",0,未审附注之流动资产!G610)</f>
        <v>0</v>
      </c>
      <c r="H610" s="2092">
        <f>IF(未审附注之流动资产!H610="",0,未审附注之流动资产!H610)</f>
        <v>0</v>
      </c>
      <c r="I610" s="2117">
        <f t="shared" ref="I610:I620" si="13">IF(F594=0,0,ROUND(D610/F594,4))</f>
        <v>0</v>
      </c>
      <c r="J610" s="2118" t="s">
        <v>614</v>
      </c>
    </row>
    <row r="611" spans="1:10">
      <c r="A611" s="2084" t="s">
        <v>588</v>
      </c>
      <c r="B611" s="2085">
        <f>IF(未审附注之流动资产!B611="",0,未审附注之流动资产!B611)</f>
        <v>0</v>
      </c>
      <c r="C611" s="2085">
        <f>IF(未审附注之流动资产!C611="",0,未审附注之流动资产!C611)</f>
        <v>0</v>
      </c>
      <c r="D611" s="2085">
        <f>IF(未审附注之流动资产!D611="",0,未审附注之流动资产!D611)</f>
        <v>0</v>
      </c>
      <c r="E611" s="2085">
        <f>IF(未审附注之流动资产!E611="",0,未审附注之流动资产!E611)</f>
        <v>0</v>
      </c>
      <c r="F611" s="2048">
        <f t="shared" si="12"/>
        <v>0</v>
      </c>
      <c r="G611" s="2092">
        <f>IF(未审附注之流动资产!G611="",0,未审附注之流动资产!G611)</f>
        <v>0</v>
      </c>
      <c r="H611" s="2092">
        <f>IF(未审附注之流动资产!H611="",0,未审附注之流动资产!H611)</f>
        <v>0</v>
      </c>
      <c r="I611" s="2117">
        <f t="shared" si="13"/>
        <v>0</v>
      </c>
      <c r="J611" s="2118" t="s">
        <v>615</v>
      </c>
    </row>
    <row r="612" spans="1:10">
      <c r="A612" s="2084" t="s">
        <v>590</v>
      </c>
      <c r="B612" s="2085">
        <f>IF(未审附注之流动资产!B612="",0,未审附注之流动资产!B612)</f>
        <v>0</v>
      </c>
      <c r="C612" s="2085">
        <f>IF(未审附注之流动资产!C612="",0,未审附注之流动资产!C612)</f>
        <v>0</v>
      </c>
      <c r="D612" s="2085">
        <f>IF(未审附注之流动资产!D612="",0,未审附注之流动资产!D612)</f>
        <v>0</v>
      </c>
      <c r="E612" s="2085">
        <f>IF(未审附注之流动资产!E612="",0,未审附注之流动资产!E612)</f>
        <v>0</v>
      </c>
      <c r="F612" s="2048">
        <f t="shared" si="12"/>
        <v>0</v>
      </c>
      <c r="G612" s="2092">
        <f>IF(未审附注之流动资产!G612="",0,未审附注之流动资产!G612)</f>
        <v>0</v>
      </c>
      <c r="H612" s="2092">
        <f>IF(未审附注之流动资产!H612="",0,未审附注之流动资产!H612)</f>
        <v>0</v>
      </c>
      <c r="I612" s="2117">
        <f t="shared" si="13"/>
        <v>0</v>
      </c>
      <c r="J612" s="2118" t="s">
        <v>616</v>
      </c>
    </row>
    <row r="613" spans="1:10">
      <c r="A613" s="2084" t="s">
        <v>592</v>
      </c>
      <c r="B613" s="2085">
        <f>IF(未审附注之流动资产!B613="",0,未审附注之流动资产!B613)</f>
        <v>0</v>
      </c>
      <c r="C613" s="2085">
        <f>IF(未审附注之流动资产!C613="",0,未审附注之流动资产!C613)</f>
        <v>0</v>
      </c>
      <c r="D613" s="2085">
        <f>IF(未审附注之流动资产!D613="",0,未审附注之流动资产!D613)</f>
        <v>0</v>
      </c>
      <c r="E613" s="2085">
        <f>IF(未审附注之流动资产!E613="",0,未审附注之流动资产!E613)</f>
        <v>0</v>
      </c>
      <c r="F613" s="2048">
        <f t="shared" si="12"/>
        <v>0</v>
      </c>
      <c r="G613" s="2092">
        <f>IF(未审附注之流动资产!G613="",0,未审附注之流动资产!G613)</f>
        <v>0</v>
      </c>
      <c r="H613" s="2092">
        <f>IF(未审附注之流动资产!H613="",0,未审附注之流动资产!H613)</f>
        <v>0</v>
      </c>
      <c r="I613" s="2117">
        <f t="shared" si="13"/>
        <v>0</v>
      </c>
      <c r="J613" s="2118" t="s">
        <v>617</v>
      </c>
    </row>
    <row r="614" spans="1:10">
      <c r="A614" s="2084" t="s">
        <v>594</v>
      </c>
      <c r="B614" s="2085">
        <f>IF(未审附注之流动资产!B614="",0,未审附注之流动资产!B614)</f>
        <v>0</v>
      </c>
      <c r="C614" s="2085">
        <f>IF(未审附注之流动资产!C614="",0,未审附注之流动资产!C614)</f>
        <v>0</v>
      </c>
      <c r="D614" s="2085">
        <f>IF(未审附注之流动资产!D614="",0,未审附注之流动资产!D614)</f>
        <v>0</v>
      </c>
      <c r="E614" s="2085">
        <f>IF(未审附注之流动资产!E614="",0,未审附注之流动资产!E614)</f>
        <v>0</v>
      </c>
      <c r="F614" s="2048">
        <f t="shared" si="12"/>
        <v>0</v>
      </c>
      <c r="G614" s="2092">
        <f>IF(未审附注之流动资产!G614="",0,未审附注之流动资产!G614)</f>
        <v>0</v>
      </c>
      <c r="H614" s="2092">
        <f>IF(未审附注之流动资产!H614="",0,未审附注之流动资产!H614)</f>
        <v>0</v>
      </c>
      <c r="I614" s="2117">
        <f t="shared" si="13"/>
        <v>0</v>
      </c>
      <c r="J614" s="2118" t="s">
        <v>618</v>
      </c>
    </row>
    <row r="615" spans="1:10">
      <c r="A615" s="2084" t="s">
        <v>596</v>
      </c>
      <c r="B615" s="2085">
        <f>IF(未审附注之流动资产!B615="",0,未审附注之流动资产!B615)</f>
        <v>0</v>
      </c>
      <c r="C615" s="2085">
        <f>IF(未审附注之流动资产!C615="",0,未审附注之流动资产!C615)</f>
        <v>0</v>
      </c>
      <c r="D615" s="2085">
        <f>IF(未审附注之流动资产!D615="",0,未审附注之流动资产!D615)</f>
        <v>0</v>
      </c>
      <c r="E615" s="2085">
        <f>IF(未审附注之流动资产!E615="",0,未审附注之流动资产!E615)</f>
        <v>0</v>
      </c>
      <c r="F615" s="2048">
        <f t="shared" si="12"/>
        <v>0</v>
      </c>
      <c r="G615" s="2092">
        <f>IF(未审附注之流动资产!G615="",0,未审附注之流动资产!G615)</f>
        <v>0</v>
      </c>
      <c r="H615" s="2092">
        <f>IF(未审附注之流动资产!H615="",0,未审附注之流动资产!H615)</f>
        <v>0</v>
      </c>
      <c r="I615" s="2117">
        <f t="shared" si="13"/>
        <v>0</v>
      </c>
      <c r="J615" s="2118" t="s">
        <v>619</v>
      </c>
    </row>
    <row r="616" spans="1:10">
      <c r="A616" s="2084" t="s">
        <v>598</v>
      </c>
      <c r="B616" s="2085">
        <f>IF(未审附注之流动资产!B616="",0,未审附注之流动资产!B616)</f>
        <v>0</v>
      </c>
      <c r="C616" s="2085">
        <f>IF(未审附注之流动资产!C616="",0,未审附注之流动资产!C616)</f>
        <v>0</v>
      </c>
      <c r="D616" s="2085">
        <f>IF(未审附注之流动资产!D616="",0,未审附注之流动资产!D616)</f>
        <v>0</v>
      </c>
      <c r="E616" s="2085">
        <f>IF(未审附注之流动资产!E616="",0,未审附注之流动资产!E616)</f>
        <v>0</v>
      </c>
      <c r="F616" s="2048">
        <f t="shared" si="12"/>
        <v>0</v>
      </c>
      <c r="G616" s="2092">
        <f>IF(未审附注之流动资产!G616="",0,未审附注之流动资产!G616)</f>
        <v>0</v>
      </c>
      <c r="H616" s="2092">
        <f>IF(未审附注之流动资产!H616="",0,未审附注之流动资产!H616)</f>
        <v>0</v>
      </c>
      <c r="I616" s="2117">
        <f t="shared" si="13"/>
        <v>0</v>
      </c>
      <c r="J616" s="2118" t="s">
        <v>620</v>
      </c>
    </row>
    <row r="617" spans="1:10">
      <c r="A617" s="2084" t="s">
        <v>600</v>
      </c>
      <c r="B617" s="2085">
        <f>IF(未审附注之流动资产!B617="",0,未审附注之流动资产!B617)</f>
        <v>0</v>
      </c>
      <c r="C617" s="2085">
        <f>IF(未审附注之流动资产!C617="",0,未审附注之流动资产!C617)</f>
        <v>0</v>
      </c>
      <c r="D617" s="2085">
        <f>IF(未审附注之流动资产!D617="",0,未审附注之流动资产!D617)</f>
        <v>0</v>
      </c>
      <c r="E617" s="2085">
        <f>IF(未审附注之流动资产!E617="",0,未审附注之流动资产!E617)</f>
        <v>0</v>
      </c>
      <c r="F617" s="2048">
        <f t="shared" si="12"/>
        <v>0</v>
      </c>
      <c r="G617" s="2092">
        <f>IF(未审附注之流动资产!G617="",0,未审附注之流动资产!G617)</f>
        <v>0</v>
      </c>
      <c r="H617" s="2092">
        <f>IF(未审附注之流动资产!H617="",0,未审附注之流动资产!H617)</f>
        <v>0</v>
      </c>
      <c r="I617" s="2117">
        <f t="shared" si="13"/>
        <v>0</v>
      </c>
      <c r="J617" s="2118" t="s">
        <v>621</v>
      </c>
    </row>
    <row r="618" spans="1:10">
      <c r="A618" s="2084" t="s">
        <v>602</v>
      </c>
      <c r="B618" s="2085">
        <f>IF(未审附注之流动资产!B618="",0,未审附注之流动资产!B618)</f>
        <v>0</v>
      </c>
      <c r="C618" s="2085">
        <f>IF(未审附注之流动资产!C618="",0,未审附注之流动资产!C618)</f>
        <v>0</v>
      </c>
      <c r="D618" s="2085">
        <f>IF(未审附注之流动资产!D618="",0,未审附注之流动资产!D618)</f>
        <v>0</v>
      </c>
      <c r="E618" s="2085">
        <f>IF(未审附注之流动资产!E618="",0,未审附注之流动资产!E618)</f>
        <v>0</v>
      </c>
      <c r="F618" s="2048">
        <f t="shared" si="12"/>
        <v>0</v>
      </c>
      <c r="G618" s="2092">
        <f>IF(未审附注之流动资产!G618="",0,未审附注之流动资产!G618)</f>
        <v>0</v>
      </c>
      <c r="H618" s="2092">
        <f>IF(未审附注之流动资产!H618="",0,未审附注之流动资产!H618)</f>
        <v>0</v>
      </c>
      <c r="I618" s="2117">
        <f t="shared" si="13"/>
        <v>0</v>
      </c>
      <c r="J618" s="2118" t="s">
        <v>622</v>
      </c>
    </row>
    <row r="619" spans="1:10">
      <c r="A619" s="2084" t="s">
        <v>279</v>
      </c>
      <c r="B619" s="2085">
        <f>IF(未审附注之流动资产!B619="",0,未审附注之流动资产!B619)</f>
        <v>0</v>
      </c>
      <c r="C619" s="2085">
        <f>IF(未审附注之流动资产!C619="",0,未审附注之流动资产!C619)</f>
        <v>0</v>
      </c>
      <c r="D619" s="2085">
        <f>IF(未审附注之流动资产!D619="",0,未审附注之流动资产!D619)</f>
        <v>0</v>
      </c>
      <c r="E619" s="2085">
        <f>IF(未审附注之流动资产!E619="",0,未审附注之流动资产!E619)</f>
        <v>0</v>
      </c>
      <c r="F619" s="2048">
        <f t="shared" si="12"/>
        <v>0</v>
      </c>
      <c r="G619" s="2092">
        <f>IF(未审附注之流动资产!G619="",0,未审附注之流动资产!G619)</f>
        <v>0</v>
      </c>
      <c r="H619" s="2092">
        <f>IF(未审附注之流动资产!H619="",0,未审附注之流动资产!H619)</f>
        <v>0</v>
      </c>
      <c r="I619" s="2117">
        <f t="shared" si="13"/>
        <v>0</v>
      </c>
      <c r="J619" s="2118" t="s">
        <v>623</v>
      </c>
    </row>
    <row r="620" spans="1:10">
      <c r="A620" s="2082" t="s">
        <v>384</v>
      </c>
      <c r="B620" s="2048">
        <f>ROUND(SUM(B609:B619),2)</f>
        <v>0</v>
      </c>
      <c r="C620" s="2048">
        <f>ROUND(SUM(C609:C619),2)</f>
        <v>0</v>
      </c>
      <c r="D620" s="2048">
        <f>ROUND(SUM(D609:D619),2)</f>
        <v>0</v>
      </c>
      <c r="E620" s="2048">
        <f>ROUND(SUM(E609:E619),2)</f>
        <v>0</v>
      </c>
      <c r="F620" s="2048">
        <f>ROUND(SUM(F609:F619),2)</f>
        <v>0</v>
      </c>
      <c r="G620" s="2048"/>
      <c r="H620" s="2048"/>
      <c r="I620" s="2093">
        <f t="shared" si="13"/>
        <v>0</v>
      </c>
      <c r="J620" s="2118" t="s">
        <v>624</v>
      </c>
    </row>
    <row r="621" spans="1:9">
      <c r="A621" s="2119"/>
      <c r="B621" s="2119"/>
      <c r="C621" s="2119"/>
      <c r="D621" s="2119"/>
      <c r="E621" s="2119"/>
      <c r="F621" s="2119"/>
      <c r="G621" s="2119"/>
      <c r="H621" s="2119"/>
      <c r="I621" s="2119"/>
    </row>
    <row r="622" spans="1:9">
      <c r="A622" s="2103"/>
      <c r="B622" s="2080"/>
      <c r="C622" s="2080"/>
      <c r="D622" s="2080"/>
      <c r="E622" s="2080"/>
      <c r="F622" s="2080"/>
      <c r="G622" s="2080"/>
      <c r="H622" s="2080"/>
      <c r="I622" s="2080"/>
    </row>
    <row r="623" spans="1:9">
      <c r="A623" s="2079" t="s">
        <v>625</v>
      </c>
      <c r="B623" s="2080"/>
      <c r="C623" s="2080"/>
      <c r="D623" s="2080"/>
      <c r="E623" s="2080"/>
      <c r="F623" s="2080"/>
      <c r="G623" s="2080"/>
      <c r="H623" s="2080"/>
      <c r="I623" s="2080"/>
    </row>
    <row r="624" spans="1:9">
      <c r="A624" s="2082" t="s">
        <v>372</v>
      </c>
      <c r="B624" s="2082" t="s">
        <v>626</v>
      </c>
      <c r="C624" s="2082" t="s">
        <v>627</v>
      </c>
      <c r="D624" s="2082" t="s">
        <v>572</v>
      </c>
      <c r="E624" s="2082" t="s">
        <v>488</v>
      </c>
      <c r="F624" s="2080"/>
      <c r="G624" s="2080"/>
      <c r="H624" s="2080"/>
      <c r="I624" s="2080"/>
    </row>
    <row r="625" spans="1:10">
      <c r="A625" s="2092">
        <f>IF(未审附注之流动资产!A625="",0,未审附注之流动资产!A625)</f>
        <v>0</v>
      </c>
      <c r="B625" s="2085">
        <f>IF(未审附注之流动资产!B625="",0,未审附注之流动资产!B625)</f>
        <v>0</v>
      </c>
      <c r="C625" s="2085">
        <f>IF(未审附注之流动资产!C625="",0,未审附注之流动资产!C625)</f>
        <v>0</v>
      </c>
      <c r="D625" s="2092">
        <f>IF(未审附注之流动资产!D625="",0,未审附注之流动资产!D625)</f>
        <v>0</v>
      </c>
      <c r="E625" s="2092">
        <f>IF(未审附注之流动资产!E625="",0,未审附注之流动资产!E625)</f>
        <v>0</v>
      </c>
      <c r="F625" s="2080"/>
      <c r="G625" s="2080"/>
      <c r="H625" s="2080"/>
      <c r="I625" s="2080"/>
      <c r="J625" s="2118" t="s">
        <v>215</v>
      </c>
    </row>
    <row r="626" spans="1:10">
      <c r="A626" s="2092">
        <f>IF(未审附注之流动资产!A626="",0,未审附注之流动资产!A626)</f>
        <v>0</v>
      </c>
      <c r="B626" s="2085">
        <f>IF(未审附注之流动资产!B626="",0,未审附注之流动资产!B626)</f>
        <v>0</v>
      </c>
      <c r="C626" s="2085">
        <f>IF(未审附注之流动资产!C626="",0,未审附注之流动资产!C626)</f>
        <v>0</v>
      </c>
      <c r="D626" s="2092">
        <f>IF(未审附注之流动资产!D626="",0,未审附注之流动资产!D626)</f>
        <v>0</v>
      </c>
      <c r="E626" s="2092">
        <f>IF(未审附注之流动资产!E626="",0,未审附注之流动资产!E626)</f>
        <v>0</v>
      </c>
      <c r="F626" s="2080"/>
      <c r="G626" s="2080"/>
      <c r="H626" s="2080"/>
      <c r="I626" s="2080"/>
      <c r="J626" s="2118" t="s">
        <v>215</v>
      </c>
    </row>
    <row r="627" spans="1:10">
      <c r="A627" s="2092">
        <f>IF(未审附注之流动资产!A627="",0,未审附注之流动资产!A627)</f>
        <v>0</v>
      </c>
      <c r="B627" s="2085">
        <f>IF(未审附注之流动资产!B627="",0,未审附注之流动资产!B627)</f>
        <v>0</v>
      </c>
      <c r="C627" s="2085">
        <f>IF(未审附注之流动资产!C627="",0,未审附注之流动资产!C627)</f>
        <v>0</v>
      </c>
      <c r="D627" s="2092">
        <f>IF(未审附注之流动资产!D627="",0,未审附注之流动资产!D627)</f>
        <v>0</v>
      </c>
      <c r="E627" s="2092">
        <f>IF(未审附注之流动资产!E627="",0,未审附注之流动资产!E627)</f>
        <v>0</v>
      </c>
      <c r="F627" s="2080"/>
      <c r="G627" s="2080"/>
      <c r="H627" s="2080"/>
      <c r="I627" s="2080"/>
      <c r="J627" s="2118" t="s">
        <v>215</v>
      </c>
    </row>
    <row r="628" spans="1:10">
      <c r="A628" s="2092">
        <f>IF(未审附注之流动资产!A628="",0,未审附注之流动资产!A628)</f>
        <v>0</v>
      </c>
      <c r="B628" s="2085">
        <f>IF(未审附注之流动资产!B628="",0,未审附注之流动资产!B628)</f>
        <v>0</v>
      </c>
      <c r="C628" s="2085">
        <f>IF(未审附注之流动资产!C628="",0,未审附注之流动资产!C628)</f>
        <v>0</v>
      </c>
      <c r="D628" s="2092">
        <f>IF(未审附注之流动资产!D628="",0,未审附注之流动资产!D628)</f>
        <v>0</v>
      </c>
      <c r="E628" s="2092">
        <f>IF(未审附注之流动资产!E628="",0,未审附注之流动资产!E628)</f>
        <v>0</v>
      </c>
      <c r="F628" s="2080"/>
      <c r="G628" s="2080"/>
      <c r="H628" s="2080"/>
      <c r="I628" s="2080"/>
      <c r="J628" s="2118" t="s">
        <v>215</v>
      </c>
    </row>
    <row r="629" spans="1:10">
      <c r="A629" s="2092">
        <f>IF(未审附注之流动资产!A629="",0,未审附注之流动资产!A629)</f>
        <v>0</v>
      </c>
      <c r="B629" s="2085">
        <f>IF(未审附注之流动资产!B629="",0,未审附注之流动资产!B629)</f>
        <v>0</v>
      </c>
      <c r="C629" s="2085">
        <f>IF(未审附注之流动资产!C629="",0,未审附注之流动资产!C629)</f>
        <v>0</v>
      </c>
      <c r="D629" s="2092">
        <f>IF(未审附注之流动资产!D629="",0,未审附注之流动资产!D629)</f>
        <v>0</v>
      </c>
      <c r="E629" s="2092">
        <f>IF(未审附注之流动资产!E629="",0,未审附注之流动资产!E629)</f>
        <v>0</v>
      </c>
      <c r="F629" s="2080"/>
      <c r="G629" s="2080"/>
      <c r="H629" s="2080"/>
      <c r="I629" s="2080"/>
      <c r="J629" s="2118" t="s">
        <v>215</v>
      </c>
    </row>
    <row r="630" spans="1:10">
      <c r="A630" s="2092">
        <f>IF(未审附注之流动资产!A630="",0,未审附注之流动资产!A630)</f>
        <v>0</v>
      </c>
      <c r="B630" s="2085">
        <f>IF(未审附注之流动资产!B630="",0,未审附注之流动资产!B630)</f>
        <v>0</v>
      </c>
      <c r="C630" s="2085">
        <f>IF(未审附注之流动资产!C630="",0,未审附注之流动资产!C630)</f>
        <v>0</v>
      </c>
      <c r="D630" s="2092">
        <f>IF(未审附注之流动资产!D630="",0,未审附注之流动资产!D630)</f>
        <v>0</v>
      </c>
      <c r="E630" s="2092">
        <f>IF(未审附注之流动资产!E630="",0,未审附注之流动资产!E630)</f>
        <v>0</v>
      </c>
      <c r="F630" s="2080"/>
      <c r="G630" s="2080"/>
      <c r="H630" s="2080"/>
      <c r="I630" s="2080"/>
      <c r="J630" s="2118" t="s">
        <v>215</v>
      </c>
    </row>
    <row r="631" spans="1:10">
      <c r="A631" s="2092">
        <f>IF(未审附注之流动资产!A631="",0,未审附注之流动资产!A631)</f>
        <v>0</v>
      </c>
      <c r="B631" s="2085">
        <f>IF(未审附注之流动资产!B631="",0,未审附注之流动资产!B631)</f>
        <v>0</v>
      </c>
      <c r="C631" s="2085">
        <f>IF(未审附注之流动资产!C631="",0,未审附注之流动资产!C631)</f>
        <v>0</v>
      </c>
      <c r="D631" s="2092">
        <f>IF(未审附注之流动资产!D631="",0,未审附注之流动资产!D631)</f>
        <v>0</v>
      </c>
      <c r="E631" s="2092">
        <f>IF(未审附注之流动资产!E631="",0,未审附注之流动资产!E631)</f>
        <v>0</v>
      </c>
      <c r="F631" s="2080"/>
      <c r="G631" s="2080"/>
      <c r="H631" s="2080"/>
      <c r="I631" s="2080"/>
      <c r="J631" s="2118" t="s">
        <v>215</v>
      </c>
    </row>
    <row r="632" spans="1:10">
      <c r="A632" s="2092">
        <f>IF(未审附注之流动资产!A632="",0,未审附注之流动资产!A632)</f>
        <v>0</v>
      </c>
      <c r="B632" s="2085">
        <f>IF(未审附注之流动资产!B632="",0,未审附注之流动资产!B632)</f>
        <v>0</v>
      </c>
      <c r="C632" s="2085">
        <f>IF(未审附注之流动资产!C632="",0,未审附注之流动资产!C632)</f>
        <v>0</v>
      </c>
      <c r="D632" s="2092">
        <f>IF(未审附注之流动资产!D632="",0,未审附注之流动资产!D632)</f>
        <v>0</v>
      </c>
      <c r="E632" s="2092">
        <f>IF(未审附注之流动资产!E632="",0,未审附注之流动资产!E632)</f>
        <v>0</v>
      </c>
      <c r="F632" s="2080"/>
      <c r="G632" s="2080"/>
      <c r="H632" s="2080"/>
      <c r="I632" s="2080"/>
      <c r="J632" s="2118" t="s">
        <v>215</v>
      </c>
    </row>
    <row r="633" spans="1:10">
      <c r="A633" s="2092">
        <f>IF(未审附注之流动资产!A633="",0,未审附注之流动资产!A633)</f>
        <v>0</v>
      </c>
      <c r="B633" s="2085">
        <f>IF(未审附注之流动资产!B633="",0,未审附注之流动资产!B633)</f>
        <v>0</v>
      </c>
      <c r="C633" s="2085">
        <f>IF(未审附注之流动资产!C633="",0,未审附注之流动资产!C633)</f>
        <v>0</v>
      </c>
      <c r="D633" s="2092">
        <f>IF(未审附注之流动资产!D633="",0,未审附注之流动资产!D633)</f>
        <v>0</v>
      </c>
      <c r="E633" s="2092">
        <f>IF(未审附注之流动资产!E633="",0,未审附注之流动资产!E633)</f>
        <v>0</v>
      </c>
      <c r="F633" s="2080"/>
      <c r="G633" s="2080"/>
      <c r="H633" s="2080"/>
      <c r="I633" s="2080"/>
      <c r="J633" s="2118" t="s">
        <v>215</v>
      </c>
    </row>
    <row r="634" spans="1:10">
      <c r="A634" s="2092">
        <f>IF(未审附注之流动资产!A634="",0,未审附注之流动资产!A634)</f>
        <v>0</v>
      </c>
      <c r="B634" s="2085">
        <f>IF(未审附注之流动资产!B634="",0,未审附注之流动资产!B634)</f>
        <v>0</v>
      </c>
      <c r="C634" s="2085">
        <f>IF(未审附注之流动资产!C634="",0,未审附注之流动资产!C634)</f>
        <v>0</v>
      </c>
      <c r="D634" s="2092">
        <f>IF(未审附注之流动资产!D634="",0,未审附注之流动资产!D634)</f>
        <v>0</v>
      </c>
      <c r="E634" s="2092">
        <f>IF(未审附注之流动资产!E634="",0,未审附注之流动资产!E634)</f>
        <v>0</v>
      </c>
      <c r="F634" s="2080"/>
      <c r="G634" s="2080"/>
      <c r="H634" s="2080"/>
      <c r="I634" s="2080"/>
      <c r="J634" s="2118" t="s">
        <v>215</v>
      </c>
    </row>
    <row r="635" spans="1:10">
      <c r="A635" s="2082" t="s">
        <v>384</v>
      </c>
      <c r="B635" s="2048">
        <f>ROUND(SUM(B625:B634),2)</f>
        <v>0</v>
      </c>
      <c r="C635" s="2048">
        <f>ROUND(SUM(C625:C634),2)</f>
        <v>0</v>
      </c>
      <c r="D635" s="2048"/>
      <c r="E635" s="2048"/>
      <c r="F635" s="2080"/>
      <c r="G635" s="2080"/>
      <c r="H635" s="2080"/>
      <c r="I635" s="2080"/>
      <c r="J635" s="2118" t="s">
        <v>628</v>
      </c>
    </row>
    <row r="636" spans="1:10">
      <c r="A636" s="2138"/>
      <c r="B636" s="2080"/>
      <c r="C636" s="2080"/>
      <c r="D636" s="2080"/>
      <c r="E636" s="2080"/>
      <c r="F636" s="2080"/>
      <c r="G636" s="2080"/>
      <c r="H636" s="2080"/>
      <c r="I636" s="2080"/>
      <c r="J636" s="2118" t="s">
        <v>629</v>
      </c>
    </row>
  </sheetData>
  <mergeCells count="29">
    <mergeCell ref="A1:F1"/>
    <mergeCell ref="B4:D4"/>
    <mergeCell ref="E4:G4"/>
    <mergeCell ref="B236:E236"/>
    <mergeCell ref="F236:I236"/>
    <mergeCell ref="B247:E247"/>
    <mergeCell ref="F247:I247"/>
    <mergeCell ref="B378:E378"/>
    <mergeCell ref="F378:I378"/>
    <mergeCell ref="B389:E389"/>
    <mergeCell ref="F389:I389"/>
    <mergeCell ref="B520:C520"/>
    <mergeCell ref="D520:E520"/>
    <mergeCell ref="B591:C591"/>
    <mergeCell ref="F591:G591"/>
    <mergeCell ref="D607:E607"/>
    <mergeCell ref="A4:A5"/>
    <mergeCell ref="A247:A248"/>
    <mergeCell ref="A389:A390"/>
    <mergeCell ref="A520:A521"/>
    <mergeCell ref="A607:A608"/>
    <mergeCell ref="B607:B608"/>
    <mergeCell ref="C607:C608"/>
    <mergeCell ref="D591:D592"/>
    <mergeCell ref="E591:E592"/>
    <mergeCell ref="F607:F608"/>
    <mergeCell ref="G607:G608"/>
    <mergeCell ref="H607:H608"/>
    <mergeCell ref="I607:I608"/>
  </mergeCells>
  <pageMargins left="0.75" right="0.75" top="1" bottom="1" header="0.5" footer="0.5"/>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26"/>
  <sheetViews>
    <sheetView showGridLines="0" showZeros="0" zoomScale="105" zoomScaleNormal="105" workbookViewId="0">
      <pane xSplit="1" ySplit="1" topLeftCell="B2" activePane="bottomRight" state="frozen"/>
      <selection/>
      <selection pane="topRight"/>
      <selection pane="bottomLeft"/>
      <selection pane="bottomRight" activeCell="B6" sqref="B6"/>
    </sheetView>
  </sheetViews>
  <sheetFormatPr defaultColWidth="9" defaultRowHeight="12.75"/>
  <cols>
    <col min="1" max="1" width="37.75" style="2074" customWidth="1"/>
    <col min="2" max="9" width="12.25" style="2074" customWidth="1"/>
    <col min="10" max="10" width="31.25" style="2078" hidden="1" customWidth="1"/>
    <col min="11" max="16384" width="9" style="2074"/>
  </cols>
  <sheetData>
    <row r="1" ht="25.5" spans="1:9">
      <c r="A1" s="2077" t="s">
        <v>1532</v>
      </c>
      <c r="B1" s="2077"/>
      <c r="C1" s="2077"/>
      <c r="D1" s="2077"/>
      <c r="E1" s="2077"/>
      <c r="F1" s="2077"/>
      <c r="G1" s="2077"/>
      <c r="H1" s="2077"/>
      <c r="I1" s="2077"/>
    </row>
    <row r="2" spans="1:9">
      <c r="A2" s="2125" t="s">
        <v>630</v>
      </c>
      <c r="B2" s="2126"/>
      <c r="C2" s="2126"/>
      <c r="D2" s="2126"/>
      <c r="E2" s="2126"/>
      <c r="F2" s="2126"/>
      <c r="G2" s="2126"/>
      <c r="H2" s="2126"/>
      <c r="I2" s="2126"/>
    </row>
    <row r="3" spans="1:9">
      <c r="A3" s="2127" t="s">
        <v>313</v>
      </c>
      <c r="B3" s="2126"/>
      <c r="C3" s="2126"/>
      <c r="D3" s="2126"/>
      <c r="E3" s="2126"/>
      <c r="F3" s="2126"/>
      <c r="G3" s="2126"/>
      <c r="H3" s="2126"/>
      <c r="I3" s="2126"/>
    </row>
    <row r="4" spans="1:9">
      <c r="A4" s="2089" t="s">
        <v>372</v>
      </c>
      <c r="B4" s="2082" t="s">
        <v>315</v>
      </c>
      <c r="C4" s="2082"/>
      <c r="D4" s="2082"/>
      <c r="E4" s="2082" t="s">
        <v>316</v>
      </c>
      <c r="F4" s="2082"/>
      <c r="G4" s="2082"/>
      <c r="H4" s="2099"/>
      <c r="I4" s="2099"/>
    </row>
    <row r="5" spans="1:9">
      <c r="A5" s="2090"/>
      <c r="B5" s="2082" t="s">
        <v>443</v>
      </c>
      <c r="C5" s="2082" t="s">
        <v>631</v>
      </c>
      <c r="D5" s="2108" t="s">
        <v>632</v>
      </c>
      <c r="E5" s="2082" t="s">
        <v>443</v>
      </c>
      <c r="F5" s="2082" t="s">
        <v>631</v>
      </c>
      <c r="G5" s="2108" t="s">
        <v>632</v>
      </c>
      <c r="H5" s="2128"/>
      <c r="I5" s="2128"/>
    </row>
    <row r="6" spans="1:10">
      <c r="A6" s="2129" t="s">
        <v>633</v>
      </c>
      <c r="B6" s="2085">
        <f>IF(未审附注之非流动资产!B6="",0,未审附注之非流动资产!B6)</f>
        <v>0</v>
      </c>
      <c r="C6" s="2085">
        <f>IF(未审附注之非流动资产!C6="",0,未审附注之非流动资产!C6)</f>
        <v>0</v>
      </c>
      <c r="D6" s="2117">
        <f>IF(B6=0,0,ROUND(C6/B6,4))</f>
        <v>0</v>
      </c>
      <c r="E6" s="2085">
        <f>IF(未审附注之非流动资产!E6="",0,未审附注之非流动资产!E6)</f>
        <v>0</v>
      </c>
      <c r="F6" s="2085">
        <f>IF(未审附注之非流动资产!F6="",0,未审附注之非流动资产!F6)</f>
        <v>0</v>
      </c>
      <c r="G6" s="2117">
        <f>IF(E6=0,0,ROUND(F6/E6,4))</f>
        <v>0</v>
      </c>
      <c r="H6" s="2130"/>
      <c r="I6" s="2130"/>
      <c r="J6" s="2135" t="s">
        <v>634</v>
      </c>
    </row>
    <row r="7" spans="1:10">
      <c r="A7" s="2129" t="s">
        <v>635</v>
      </c>
      <c r="B7" s="2085">
        <f>IF(未审附注之非流动资产!B7="",0,未审附注之非流动资产!B7)</f>
        <v>0</v>
      </c>
      <c r="C7" s="2085">
        <f>IF(未审附注之非流动资产!C7="",0,未审附注之非流动资产!C7)</f>
        <v>0</v>
      </c>
      <c r="D7" s="2117">
        <f>IF(B7=0,0,ROUND(C7/B7,4))</f>
        <v>0</v>
      </c>
      <c r="E7" s="2085">
        <f>IF(未审附注之非流动资产!E7="",0,未审附注之非流动资产!E7)</f>
        <v>0</v>
      </c>
      <c r="F7" s="2085">
        <f>IF(未审附注之非流动资产!F7="",0,未审附注之非流动资产!F7)</f>
        <v>0</v>
      </c>
      <c r="G7" s="2117">
        <f>IF(E7=0,0,ROUND(F7/E7,4))</f>
        <v>0</v>
      </c>
      <c r="H7" s="2130"/>
      <c r="I7" s="2130"/>
      <c r="J7" s="2135" t="s">
        <v>636</v>
      </c>
    </row>
    <row r="8" spans="1:10">
      <c r="A8" s="2129" t="s">
        <v>279</v>
      </c>
      <c r="B8" s="2085">
        <f>IF(未审附注之非流动资产!B8="",0,未审附注之非流动资产!B8)</f>
        <v>0</v>
      </c>
      <c r="C8" s="2085">
        <f>IF(未审附注之非流动资产!C8="",0,未审附注之非流动资产!C8)</f>
        <v>0</v>
      </c>
      <c r="D8" s="2117">
        <f>IF(B8=0,0,ROUND(C8/B8,4))</f>
        <v>0</v>
      </c>
      <c r="E8" s="2085">
        <f>IF(未审附注之非流动资产!E8="",0,未审附注之非流动资产!E8)</f>
        <v>0</v>
      </c>
      <c r="F8" s="2085">
        <f>IF(未审附注之非流动资产!F8="",0,未审附注之非流动资产!F8)</f>
        <v>0</v>
      </c>
      <c r="G8" s="2117">
        <f>IF(E8=0,0,ROUND(F8/E8,4))</f>
        <v>0</v>
      </c>
      <c r="H8" s="2130"/>
      <c r="I8" s="2130"/>
      <c r="J8" s="2135" t="s">
        <v>637</v>
      </c>
    </row>
    <row r="9" spans="1:10">
      <c r="A9" s="2082" t="s">
        <v>384</v>
      </c>
      <c r="B9" s="2131">
        <f>ROUND(SUM(B6:B8),2)</f>
        <v>0</v>
      </c>
      <c r="C9" s="2131">
        <f>ROUND(SUM(C6:C8),2)</f>
        <v>0</v>
      </c>
      <c r="D9" s="2093">
        <f>IF(B9=0,0,ROUND(C9/B9,4))</f>
        <v>0</v>
      </c>
      <c r="E9" s="2131">
        <f>ROUND(SUM(E6:E8),2)</f>
        <v>0</v>
      </c>
      <c r="F9" s="2131">
        <f>ROUND(SUM(F6:F8),2)</f>
        <v>0</v>
      </c>
      <c r="G9" s="2093">
        <f>IF(E9=0,0,ROUND(F9/E9,4))</f>
        <v>0</v>
      </c>
      <c r="H9" s="2122"/>
      <c r="I9" s="2122"/>
      <c r="J9" s="2135" t="s">
        <v>638</v>
      </c>
    </row>
    <row r="10" spans="1:9">
      <c r="A10" s="2132"/>
      <c r="B10" s="2094"/>
      <c r="C10" s="2094"/>
      <c r="D10" s="2126"/>
      <c r="E10" s="2126"/>
      <c r="F10" s="2126"/>
      <c r="G10" s="2126"/>
      <c r="H10" s="2126"/>
      <c r="I10" s="2126"/>
    </row>
    <row r="11" spans="1:9">
      <c r="A11" s="2133" t="s">
        <v>639</v>
      </c>
      <c r="B11" s="2126"/>
      <c r="C11" s="2126"/>
      <c r="D11" s="2126"/>
      <c r="E11" s="2126"/>
      <c r="F11" s="2126"/>
      <c r="G11" s="2126"/>
      <c r="H11" s="2126"/>
      <c r="I11" s="2126"/>
    </row>
    <row r="12" spans="1:9">
      <c r="A12" s="2082" t="s">
        <v>372</v>
      </c>
      <c r="B12" s="2082" t="s">
        <v>640</v>
      </c>
      <c r="C12" s="2082" t="s">
        <v>641</v>
      </c>
      <c r="D12" s="2082" t="s">
        <v>642</v>
      </c>
      <c r="E12" s="2082" t="s">
        <v>643</v>
      </c>
      <c r="F12" s="2082" t="s">
        <v>644</v>
      </c>
      <c r="G12" s="2082" t="s">
        <v>645</v>
      </c>
      <c r="H12" s="2082" t="s">
        <v>515</v>
      </c>
      <c r="I12" s="2099"/>
    </row>
    <row r="13" spans="1:10">
      <c r="A13" s="2092">
        <f>IF(未审附注之非流动资产!A13="",0,未审附注之非流动资产!A13)</f>
        <v>0</v>
      </c>
      <c r="B13" s="2085">
        <f>IF(未审附注之非流动资产!B13="",0,未审附注之非流动资产!B13)</f>
        <v>0</v>
      </c>
      <c r="C13" s="2111">
        <f>IF(未审附注之非流动资产!C13="",0,未审附注之非流动资产!C13)</f>
        <v>0</v>
      </c>
      <c r="D13" s="2085">
        <f>IF(未审附注之非流动资产!D13="",0,未审附注之非流动资产!D13)</f>
        <v>0</v>
      </c>
      <c r="E13" s="2113">
        <f>IF(未审附注之非流动资产!E13="",0,未审附注之非流动资产!E13)</f>
        <v>0</v>
      </c>
      <c r="F13" s="2085">
        <f>IF(未审附注之非流动资产!F13="",0,未审附注之非流动资产!F13)</f>
        <v>0</v>
      </c>
      <c r="G13" s="2085">
        <f>IF(未审附注之非流动资产!G13="",0,未审附注之非流动资产!G13)</f>
        <v>0</v>
      </c>
      <c r="H13" s="2085">
        <f>IF(未审附注之非流动资产!H13="",0,未审附注之非流动资产!H13)</f>
        <v>0</v>
      </c>
      <c r="I13" s="2099"/>
      <c r="J13" s="2135" t="s">
        <v>646</v>
      </c>
    </row>
    <row r="14" spans="1:10">
      <c r="A14" s="2092">
        <f>IF(未审附注之非流动资产!A14="",0,未审附注之非流动资产!A14)</f>
        <v>0</v>
      </c>
      <c r="B14" s="2085">
        <f>IF(未审附注之非流动资产!B14="",0,未审附注之非流动资产!B14)</f>
        <v>0</v>
      </c>
      <c r="C14" s="2111">
        <f>IF(未审附注之非流动资产!C14="",0,未审附注之非流动资产!C14)</f>
        <v>0</v>
      </c>
      <c r="D14" s="2085">
        <f>IF(未审附注之非流动资产!D14="",0,未审附注之非流动资产!D14)</f>
        <v>0</v>
      </c>
      <c r="E14" s="2113">
        <f>IF(未审附注之非流动资产!E14="",0,未审附注之非流动资产!E14)</f>
        <v>0</v>
      </c>
      <c r="F14" s="2085">
        <f>IF(未审附注之非流动资产!F14="",0,未审附注之非流动资产!F14)</f>
        <v>0</v>
      </c>
      <c r="G14" s="2085">
        <f>IF(未审附注之非流动资产!G14="",0,未审附注之非流动资产!G14)</f>
        <v>0</v>
      </c>
      <c r="H14" s="2085">
        <f>IF(未审附注之非流动资产!H14="",0,未审附注之非流动资产!H14)</f>
        <v>0</v>
      </c>
      <c r="I14" s="2099"/>
      <c r="J14" s="2135" t="s">
        <v>646</v>
      </c>
    </row>
    <row r="15" spans="1:10">
      <c r="A15" s="2092">
        <f>IF(未审附注之非流动资产!A15="",0,未审附注之非流动资产!A15)</f>
        <v>0</v>
      </c>
      <c r="B15" s="2085">
        <f>IF(未审附注之非流动资产!B15="",0,未审附注之非流动资产!B15)</f>
        <v>0</v>
      </c>
      <c r="C15" s="2111">
        <f>IF(未审附注之非流动资产!C15="",0,未审附注之非流动资产!C15)</f>
        <v>0</v>
      </c>
      <c r="D15" s="2085">
        <f>IF(未审附注之非流动资产!D15="",0,未审附注之非流动资产!D15)</f>
        <v>0</v>
      </c>
      <c r="E15" s="2113">
        <f>IF(未审附注之非流动资产!E15="",0,未审附注之非流动资产!E15)</f>
        <v>0</v>
      </c>
      <c r="F15" s="2085">
        <f>IF(未审附注之非流动资产!F15="",0,未审附注之非流动资产!F15)</f>
        <v>0</v>
      </c>
      <c r="G15" s="2085">
        <f>IF(未审附注之非流动资产!G15="",0,未审附注之非流动资产!G15)</f>
        <v>0</v>
      </c>
      <c r="H15" s="2085">
        <f>IF(未审附注之非流动资产!H15="",0,未审附注之非流动资产!H15)</f>
        <v>0</v>
      </c>
      <c r="I15" s="2099"/>
      <c r="J15" s="2135" t="s">
        <v>646</v>
      </c>
    </row>
    <row r="16" spans="1:10">
      <c r="A16" s="2092">
        <f>IF(未审附注之非流动资产!A16="",0,未审附注之非流动资产!A16)</f>
        <v>0</v>
      </c>
      <c r="B16" s="2085">
        <f>IF(未审附注之非流动资产!B16="",0,未审附注之非流动资产!B16)</f>
        <v>0</v>
      </c>
      <c r="C16" s="2111">
        <f>IF(未审附注之非流动资产!C16="",0,未审附注之非流动资产!C16)</f>
        <v>0</v>
      </c>
      <c r="D16" s="2085">
        <f>IF(未审附注之非流动资产!D16="",0,未审附注之非流动资产!D16)</f>
        <v>0</v>
      </c>
      <c r="E16" s="2113">
        <f>IF(未审附注之非流动资产!E16="",0,未审附注之非流动资产!E16)</f>
        <v>0</v>
      </c>
      <c r="F16" s="2085">
        <f>IF(未审附注之非流动资产!F16="",0,未审附注之非流动资产!F16)</f>
        <v>0</v>
      </c>
      <c r="G16" s="2085">
        <f>IF(未审附注之非流动资产!G16="",0,未审附注之非流动资产!G16)</f>
        <v>0</v>
      </c>
      <c r="H16" s="2085">
        <f>IF(未审附注之非流动资产!H16="",0,未审附注之非流动资产!H16)</f>
        <v>0</v>
      </c>
      <c r="I16" s="2099"/>
      <c r="J16" s="2135" t="s">
        <v>646</v>
      </c>
    </row>
    <row r="17" spans="1:10">
      <c r="A17" s="2092">
        <f>IF(未审附注之非流动资产!A17="",0,未审附注之非流动资产!A17)</f>
        <v>0</v>
      </c>
      <c r="B17" s="2085">
        <f>IF(未审附注之非流动资产!B17="",0,未审附注之非流动资产!B17)</f>
        <v>0</v>
      </c>
      <c r="C17" s="2111">
        <f>IF(未审附注之非流动资产!C17="",0,未审附注之非流动资产!C17)</f>
        <v>0</v>
      </c>
      <c r="D17" s="2085">
        <f>IF(未审附注之非流动资产!D17="",0,未审附注之非流动资产!D17)</f>
        <v>0</v>
      </c>
      <c r="E17" s="2113">
        <f>IF(未审附注之非流动资产!E17="",0,未审附注之非流动资产!E17)</f>
        <v>0</v>
      </c>
      <c r="F17" s="2085">
        <f>IF(未审附注之非流动资产!F17="",0,未审附注之非流动资产!F17)</f>
        <v>0</v>
      </c>
      <c r="G17" s="2085">
        <f>IF(未审附注之非流动资产!G17="",0,未审附注之非流动资产!G17)</f>
        <v>0</v>
      </c>
      <c r="H17" s="2085">
        <f>IF(未审附注之非流动资产!H17="",0,未审附注之非流动资产!H17)</f>
        <v>0</v>
      </c>
      <c r="I17" s="2099"/>
      <c r="J17" s="2135" t="s">
        <v>646</v>
      </c>
    </row>
    <row r="18" spans="1:10">
      <c r="A18" s="2092">
        <f>IF(未审附注之非流动资产!A18="",0,未审附注之非流动资产!A18)</f>
        <v>0</v>
      </c>
      <c r="B18" s="2085">
        <f>IF(未审附注之非流动资产!B18="",0,未审附注之非流动资产!B18)</f>
        <v>0</v>
      </c>
      <c r="C18" s="2111">
        <f>IF(未审附注之非流动资产!C18="",0,未审附注之非流动资产!C18)</f>
        <v>0</v>
      </c>
      <c r="D18" s="2085">
        <f>IF(未审附注之非流动资产!D18="",0,未审附注之非流动资产!D18)</f>
        <v>0</v>
      </c>
      <c r="E18" s="2113">
        <f>IF(未审附注之非流动资产!E18="",0,未审附注之非流动资产!E18)</f>
        <v>0</v>
      </c>
      <c r="F18" s="2085">
        <f>IF(未审附注之非流动资产!F18="",0,未审附注之非流动资产!F18)</f>
        <v>0</v>
      </c>
      <c r="G18" s="2085">
        <f>IF(未审附注之非流动资产!G18="",0,未审附注之非流动资产!G18)</f>
        <v>0</v>
      </c>
      <c r="H18" s="2085">
        <f>IF(未审附注之非流动资产!H18="",0,未审附注之非流动资产!H18)</f>
        <v>0</v>
      </c>
      <c r="I18" s="2099"/>
      <c r="J18" s="2135" t="s">
        <v>646</v>
      </c>
    </row>
    <row r="19" spans="1:10">
      <c r="A19" s="2092">
        <f>IF(未审附注之非流动资产!A19="",0,未审附注之非流动资产!A19)</f>
        <v>0</v>
      </c>
      <c r="B19" s="2085">
        <f>IF(未审附注之非流动资产!B19="",0,未审附注之非流动资产!B19)</f>
        <v>0</v>
      </c>
      <c r="C19" s="2111">
        <f>IF(未审附注之非流动资产!C19="",0,未审附注之非流动资产!C19)</f>
        <v>0</v>
      </c>
      <c r="D19" s="2085">
        <f>IF(未审附注之非流动资产!D19="",0,未审附注之非流动资产!D19)</f>
        <v>0</v>
      </c>
      <c r="E19" s="2113">
        <f>IF(未审附注之非流动资产!E19="",0,未审附注之非流动资产!E19)</f>
        <v>0</v>
      </c>
      <c r="F19" s="2085">
        <f>IF(未审附注之非流动资产!F19="",0,未审附注之非流动资产!F19)</f>
        <v>0</v>
      </c>
      <c r="G19" s="2085">
        <f>IF(未审附注之非流动资产!G19="",0,未审附注之非流动资产!G19)</f>
        <v>0</v>
      </c>
      <c r="H19" s="2085">
        <f>IF(未审附注之非流动资产!H19="",0,未审附注之非流动资产!H19)</f>
        <v>0</v>
      </c>
      <c r="I19" s="2099"/>
      <c r="J19" s="2135" t="s">
        <v>646</v>
      </c>
    </row>
    <row r="20" spans="1:10">
      <c r="A20" s="2092">
        <f>IF(未审附注之非流动资产!A20="",0,未审附注之非流动资产!A20)</f>
        <v>0</v>
      </c>
      <c r="B20" s="2085">
        <f>IF(未审附注之非流动资产!B20="",0,未审附注之非流动资产!B20)</f>
        <v>0</v>
      </c>
      <c r="C20" s="2111">
        <f>IF(未审附注之非流动资产!C20="",0,未审附注之非流动资产!C20)</f>
        <v>0</v>
      </c>
      <c r="D20" s="2085">
        <f>IF(未审附注之非流动资产!D20="",0,未审附注之非流动资产!D20)</f>
        <v>0</v>
      </c>
      <c r="E20" s="2113">
        <f>IF(未审附注之非流动资产!E20="",0,未审附注之非流动资产!E20)</f>
        <v>0</v>
      </c>
      <c r="F20" s="2085">
        <f>IF(未审附注之非流动资产!F20="",0,未审附注之非流动资产!F20)</f>
        <v>0</v>
      </c>
      <c r="G20" s="2085">
        <f>IF(未审附注之非流动资产!G20="",0,未审附注之非流动资产!G20)</f>
        <v>0</v>
      </c>
      <c r="H20" s="2085">
        <f>IF(未审附注之非流动资产!H20="",0,未审附注之非流动资产!H20)</f>
        <v>0</v>
      </c>
      <c r="I20" s="2099"/>
      <c r="J20" s="2135" t="s">
        <v>646</v>
      </c>
    </row>
    <row r="21" spans="1:10">
      <c r="A21" s="2092">
        <f>IF(未审附注之非流动资产!A21="",0,未审附注之非流动资产!A21)</f>
        <v>0</v>
      </c>
      <c r="B21" s="2085">
        <f>IF(未审附注之非流动资产!B21="",0,未审附注之非流动资产!B21)</f>
        <v>0</v>
      </c>
      <c r="C21" s="2111">
        <f>IF(未审附注之非流动资产!C21="",0,未审附注之非流动资产!C21)</f>
        <v>0</v>
      </c>
      <c r="D21" s="2085">
        <f>IF(未审附注之非流动资产!D21="",0,未审附注之非流动资产!D21)</f>
        <v>0</v>
      </c>
      <c r="E21" s="2113">
        <f>IF(未审附注之非流动资产!E21="",0,未审附注之非流动资产!E21)</f>
        <v>0</v>
      </c>
      <c r="F21" s="2085">
        <f>IF(未审附注之非流动资产!F21="",0,未审附注之非流动资产!F21)</f>
        <v>0</v>
      </c>
      <c r="G21" s="2085">
        <f>IF(未审附注之非流动资产!G21="",0,未审附注之非流动资产!G21)</f>
        <v>0</v>
      </c>
      <c r="H21" s="2085">
        <f>IF(未审附注之非流动资产!H21="",0,未审附注之非流动资产!H21)</f>
        <v>0</v>
      </c>
      <c r="I21" s="2099"/>
      <c r="J21" s="2135" t="s">
        <v>646</v>
      </c>
    </row>
    <row r="22" spans="1:10">
      <c r="A22" s="2092">
        <f>IF(未审附注之非流动资产!A22="",0,未审附注之非流动资产!A22)</f>
        <v>0</v>
      </c>
      <c r="B22" s="2085">
        <f>IF(未审附注之非流动资产!B22="",0,未审附注之非流动资产!B22)</f>
        <v>0</v>
      </c>
      <c r="C22" s="2111">
        <f>IF(未审附注之非流动资产!C22="",0,未审附注之非流动资产!C22)</f>
        <v>0</v>
      </c>
      <c r="D22" s="2085">
        <f>IF(未审附注之非流动资产!D22="",0,未审附注之非流动资产!D22)</f>
        <v>0</v>
      </c>
      <c r="E22" s="2113">
        <f>IF(未审附注之非流动资产!E22="",0,未审附注之非流动资产!E22)</f>
        <v>0</v>
      </c>
      <c r="F22" s="2085">
        <f>IF(未审附注之非流动资产!F22="",0,未审附注之非流动资产!F22)</f>
        <v>0</v>
      </c>
      <c r="G22" s="2085">
        <f>IF(未审附注之非流动资产!G22="",0,未审附注之非流动资产!G22)</f>
        <v>0</v>
      </c>
      <c r="H22" s="2085">
        <f>IF(未审附注之非流动资产!H22="",0,未审附注之非流动资产!H22)</f>
        <v>0</v>
      </c>
      <c r="I22" s="2099"/>
      <c r="J22" s="2135" t="s">
        <v>646</v>
      </c>
    </row>
    <row r="23" spans="1:10">
      <c r="A23" s="2082" t="s">
        <v>384</v>
      </c>
      <c r="B23" s="2048">
        <f>ROUND(SUM(B13:B22),2)</f>
        <v>0</v>
      </c>
      <c r="C23" s="2048"/>
      <c r="D23" s="2048">
        <f>ROUND(SUM(D13:D22),2)</f>
        <v>0</v>
      </c>
      <c r="E23" s="2048"/>
      <c r="F23" s="2048">
        <f>ROUND(SUM(F13:F22),2)</f>
        <v>0</v>
      </c>
      <c r="G23" s="2048">
        <f>ROUND(SUM(G13:G22),2)</f>
        <v>0</v>
      </c>
      <c r="H23" s="2048">
        <f>ROUND(SUM(H13:H22),2)</f>
        <v>0</v>
      </c>
      <c r="I23" s="2099"/>
      <c r="J23" s="2135" t="s">
        <v>647</v>
      </c>
    </row>
    <row r="24" spans="1:9">
      <c r="A24" s="2132"/>
      <c r="B24" s="2094"/>
      <c r="C24" s="2094"/>
      <c r="D24" s="2126"/>
      <c r="E24" s="2126"/>
      <c r="F24" s="2126"/>
      <c r="G24" s="2126"/>
      <c r="H24" s="2126"/>
      <c r="I24" s="2099"/>
    </row>
    <row r="25" spans="1:9">
      <c r="A25" s="2132"/>
      <c r="B25" s="2094"/>
      <c r="C25" s="2094"/>
      <c r="D25" s="2126"/>
      <c r="E25" s="2126"/>
      <c r="F25" s="2126"/>
      <c r="G25" s="2126"/>
      <c r="H25" s="2126"/>
      <c r="I25" s="2126"/>
    </row>
    <row r="26" spans="1:9">
      <c r="A26" s="2134" t="s">
        <v>648</v>
      </c>
      <c r="B26" s="2126"/>
      <c r="C26" s="2126"/>
      <c r="D26" s="2126"/>
      <c r="E26" s="2126"/>
      <c r="F26" s="2126"/>
      <c r="G26" s="2126"/>
      <c r="H26" s="2126"/>
      <c r="I26" s="2126"/>
    </row>
    <row r="27" spans="1:9">
      <c r="A27" s="2133" t="s">
        <v>649</v>
      </c>
      <c r="B27" s="2126"/>
      <c r="C27" s="2126"/>
      <c r="D27" s="2126"/>
      <c r="E27" s="2126"/>
      <c r="F27" s="2126"/>
      <c r="G27" s="2126"/>
      <c r="H27" s="2126"/>
      <c r="I27" s="2126"/>
    </row>
    <row r="28" spans="1:9">
      <c r="A28" s="2082" t="s">
        <v>372</v>
      </c>
      <c r="B28" s="2082" t="s">
        <v>315</v>
      </c>
      <c r="C28" s="2082" t="s">
        <v>316</v>
      </c>
      <c r="D28" s="2126"/>
      <c r="E28" s="2126"/>
      <c r="F28" s="2126"/>
      <c r="G28" s="2126"/>
      <c r="H28" s="2126"/>
      <c r="I28" s="2126"/>
    </row>
    <row r="29" spans="1:10">
      <c r="A29" s="2092">
        <f>IF(未审附注之非流动资产!A29="",0,未审附注之非流动资产!A29)</f>
        <v>0</v>
      </c>
      <c r="B29" s="2085">
        <f>IF(未审附注之非流动资产!B29="",0,未审附注之非流动资产!B29)</f>
        <v>0</v>
      </c>
      <c r="C29" s="2085">
        <f>IF(未审附注之非流动资产!C29="",0,未审附注之非流动资产!C29)</f>
        <v>0</v>
      </c>
      <c r="D29" s="2126"/>
      <c r="E29" s="2126"/>
      <c r="F29" s="2126"/>
      <c r="G29" s="2126"/>
      <c r="H29" s="2126"/>
      <c r="I29" s="2126"/>
      <c r="J29" s="2135" t="s">
        <v>650</v>
      </c>
    </row>
    <row r="30" spans="1:10">
      <c r="A30" s="2092">
        <f>IF(未审附注之非流动资产!A30="",0,未审附注之非流动资产!A30)</f>
        <v>0</v>
      </c>
      <c r="B30" s="2085">
        <f>IF(未审附注之非流动资产!B30="",0,未审附注之非流动资产!B30)</f>
        <v>0</v>
      </c>
      <c r="C30" s="2085">
        <f>IF(未审附注之非流动资产!C30="",0,未审附注之非流动资产!C30)</f>
        <v>0</v>
      </c>
      <c r="D30" s="2126"/>
      <c r="E30" s="2126"/>
      <c r="F30" s="2126"/>
      <c r="G30" s="2126"/>
      <c r="H30" s="2126"/>
      <c r="I30" s="2126"/>
      <c r="J30" s="2135" t="s">
        <v>650</v>
      </c>
    </row>
    <row r="31" spans="1:10">
      <c r="A31" s="2092">
        <f>IF(未审附注之非流动资产!A31="",0,未审附注之非流动资产!A31)</f>
        <v>0</v>
      </c>
      <c r="B31" s="2085">
        <f>IF(未审附注之非流动资产!B31="",0,未审附注之非流动资产!B31)</f>
        <v>0</v>
      </c>
      <c r="C31" s="2085">
        <f>IF(未审附注之非流动资产!C31="",0,未审附注之非流动资产!C31)</f>
        <v>0</v>
      </c>
      <c r="D31" s="2126"/>
      <c r="E31" s="2126"/>
      <c r="F31" s="2126"/>
      <c r="G31" s="2126"/>
      <c r="H31" s="2126"/>
      <c r="I31" s="2126"/>
      <c r="J31" s="2135" t="s">
        <v>650</v>
      </c>
    </row>
    <row r="32" spans="1:10">
      <c r="A32" s="2092">
        <f>IF(未审附注之非流动资产!A32="",0,未审附注之非流动资产!A32)</f>
        <v>0</v>
      </c>
      <c r="B32" s="2085">
        <f>IF(未审附注之非流动资产!B32="",0,未审附注之非流动资产!B32)</f>
        <v>0</v>
      </c>
      <c r="C32" s="2085">
        <f>IF(未审附注之非流动资产!C32="",0,未审附注之非流动资产!C32)</f>
        <v>0</v>
      </c>
      <c r="D32" s="2126"/>
      <c r="E32" s="2126"/>
      <c r="F32" s="2126"/>
      <c r="G32" s="2126"/>
      <c r="H32" s="2126"/>
      <c r="I32" s="2126"/>
      <c r="J32" s="2135" t="s">
        <v>650</v>
      </c>
    </row>
    <row r="33" spans="1:10">
      <c r="A33" s="2092">
        <f>IF(未审附注之非流动资产!A33="",0,未审附注之非流动资产!A33)</f>
        <v>0</v>
      </c>
      <c r="B33" s="2085">
        <f>IF(未审附注之非流动资产!B33="",0,未审附注之非流动资产!B33)</f>
        <v>0</v>
      </c>
      <c r="C33" s="2085">
        <f>IF(未审附注之非流动资产!C33="",0,未审附注之非流动资产!C33)</f>
        <v>0</v>
      </c>
      <c r="D33" s="2126"/>
      <c r="E33" s="2126"/>
      <c r="F33" s="2126"/>
      <c r="G33" s="2126"/>
      <c r="H33" s="2126"/>
      <c r="I33" s="2126"/>
      <c r="J33" s="2135" t="s">
        <v>650</v>
      </c>
    </row>
    <row r="34" spans="1:10">
      <c r="A34" s="2092">
        <f>IF(未审附注之非流动资产!A34="",0,未审附注之非流动资产!A34)</f>
        <v>0</v>
      </c>
      <c r="B34" s="2085">
        <f>IF(未审附注之非流动资产!B34="",0,未审附注之非流动资产!B34)</f>
        <v>0</v>
      </c>
      <c r="C34" s="2085">
        <f>IF(未审附注之非流动资产!C34="",0,未审附注之非流动资产!C34)</f>
        <v>0</v>
      </c>
      <c r="D34" s="2126"/>
      <c r="E34" s="2126"/>
      <c r="F34" s="2126"/>
      <c r="G34" s="2126"/>
      <c r="H34" s="2126"/>
      <c r="I34" s="2126"/>
      <c r="J34" s="2135" t="s">
        <v>650</v>
      </c>
    </row>
    <row r="35" spans="1:10">
      <c r="A35" s="2092">
        <f>IF(未审附注之非流动资产!A35="",0,未审附注之非流动资产!A35)</f>
        <v>0</v>
      </c>
      <c r="B35" s="2085">
        <f>IF(未审附注之非流动资产!B35="",0,未审附注之非流动资产!B35)</f>
        <v>0</v>
      </c>
      <c r="C35" s="2085">
        <f>IF(未审附注之非流动资产!C35="",0,未审附注之非流动资产!C35)</f>
        <v>0</v>
      </c>
      <c r="D35" s="2126"/>
      <c r="E35" s="2126"/>
      <c r="F35" s="2126"/>
      <c r="G35" s="2126"/>
      <c r="H35" s="2126"/>
      <c r="I35" s="2126"/>
      <c r="J35" s="2135" t="s">
        <v>650</v>
      </c>
    </row>
    <row r="36" spans="1:10">
      <c r="A36" s="2092">
        <f>IF(未审附注之非流动资产!A36="",0,未审附注之非流动资产!A36)</f>
        <v>0</v>
      </c>
      <c r="B36" s="2085">
        <f>IF(未审附注之非流动资产!B36="",0,未审附注之非流动资产!B36)</f>
        <v>0</v>
      </c>
      <c r="C36" s="2085">
        <f>IF(未审附注之非流动资产!C36="",0,未审附注之非流动资产!C36)</f>
        <v>0</v>
      </c>
      <c r="D36" s="2126"/>
      <c r="E36" s="2126"/>
      <c r="F36" s="2126"/>
      <c r="G36" s="2126"/>
      <c r="H36" s="2126"/>
      <c r="I36" s="2126"/>
      <c r="J36" s="2135" t="s">
        <v>650</v>
      </c>
    </row>
    <row r="37" spans="1:10">
      <c r="A37" s="2092">
        <f>IF(未审附注之非流动资产!A37="",0,未审附注之非流动资产!A37)</f>
        <v>0</v>
      </c>
      <c r="B37" s="2085">
        <f>IF(未审附注之非流动资产!B37="",0,未审附注之非流动资产!B37)</f>
        <v>0</v>
      </c>
      <c r="C37" s="2085">
        <f>IF(未审附注之非流动资产!C37="",0,未审附注之非流动资产!C37)</f>
        <v>0</v>
      </c>
      <c r="D37" s="2126"/>
      <c r="E37" s="2126"/>
      <c r="F37" s="2126"/>
      <c r="G37" s="2126"/>
      <c r="H37" s="2126"/>
      <c r="I37" s="2126"/>
      <c r="J37" s="2135" t="s">
        <v>650</v>
      </c>
    </row>
    <row r="38" spans="1:10">
      <c r="A38" s="2092">
        <f>IF(未审附注之非流动资产!A38="",0,未审附注之非流动资产!A38)</f>
        <v>0</v>
      </c>
      <c r="B38" s="2085">
        <f>IF(未审附注之非流动资产!B38="",0,未审附注之非流动资产!B38)</f>
        <v>0</v>
      </c>
      <c r="C38" s="2085">
        <f>IF(未审附注之非流动资产!C38="",0,未审附注之非流动资产!C38)</f>
        <v>0</v>
      </c>
      <c r="D38" s="2126"/>
      <c r="E38" s="2126"/>
      <c r="F38" s="2126"/>
      <c r="G38" s="2126"/>
      <c r="H38" s="2126"/>
      <c r="I38" s="2126"/>
      <c r="J38" s="2135" t="s">
        <v>650</v>
      </c>
    </row>
    <row r="39" spans="1:10">
      <c r="A39" s="2082" t="s">
        <v>384</v>
      </c>
      <c r="B39" s="2048">
        <f>ROUND(SUM(B29:B38),2)</f>
        <v>0</v>
      </c>
      <c r="C39" s="2048">
        <f>ROUND(SUM(C29:C38),2)</f>
        <v>0</v>
      </c>
      <c r="D39" s="2126"/>
      <c r="E39" s="2126"/>
      <c r="F39" s="2126"/>
      <c r="G39" s="2126"/>
      <c r="H39" s="2126"/>
      <c r="I39" s="2126"/>
      <c r="J39" s="2135" t="s">
        <v>651</v>
      </c>
    </row>
    <row r="40" spans="1:9">
      <c r="A40" s="2094"/>
      <c r="B40" s="2094"/>
      <c r="C40" s="2094"/>
      <c r="D40" s="2126"/>
      <c r="E40" s="2126"/>
      <c r="F40" s="2126"/>
      <c r="G40" s="2126"/>
      <c r="H40" s="2126"/>
      <c r="I40" s="2126"/>
    </row>
    <row r="41" spans="1:9">
      <c r="A41" s="2127" t="s">
        <v>652</v>
      </c>
      <c r="B41" s="2126"/>
      <c r="C41" s="2126"/>
      <c r="D41" s="2126"/>
      <c r="E41" s="2126"/>
      <c r="F41" s="2126"/>
      <c r="G41" s="2126"/>
      <c r="H41" s="2126"/>
      <c r="I41" s="2126"/>
    </row>
    <row r="42" spans="1:9">
      <c r="A42" s="2082" t="s">
        <v>372</v>
      </c>
      <c r="B42" s="2082" t="s">
        <v>653</v>
      </c>
      <c r="C42" s="2082" t="s">
        <v>654</v>
      </c>
      <c r="D42" s="2082" t="s">
        <v>444</v>
      </c>
      <c r="E42" s="2126"/>
      <c r="F42" s="2126"/>
      <c r="G42" s="2126"/>
      <c r="H42" s="2126"/>
      <c r="I42" s="2126"/>
    </row>
    <row r="43" spans="1:10">
      <c r="A43" s="2092">
        <f>IF(未审附注之非流动资产!A43="",0,未审附注之非流动资产!A43)</f>
        <v>0</v>
      </c>
      <c r="B43" s="2085">
        <f>IF(未审附注之非流动资产!B43="",0,未审附注之非流动资产!B43)</f>
        <v>0</v>
      </c>
      <c r="C43" s="2085">
        <f>IF(未审附注之非流动资产!C43="",0,未审附注之非流动资产!C43)</f>
        <v>0</v>
      </c>
      <c r="D43" s="2117">
        <f>IF(C43=0,0,ROUND(B43/C43,4))</f>
        <v>0</v>
      </c>
      <c r="E43" s="2126"/>
      <c r="F43" s="2126"/>
      <c r="G43" s="2126"/>
      <c r="H43" s="2126"/>
      <c r="I43" s="2126"/>
      <c r="J43" s="2135" t="s">
        <v>655</v>
      </c>
    </row>
    <row r="44" spans="1:10">
      <c r="A44" s="2092">
        <f>IF(未审附注之非流动资产!A44="",0,未审附注之非流动资产!A44)</f>
        <v>0</v>
      </c>
      <c r="B44" s="2085">
        <f>IF(未审附注之非流动资产!B44="",0,未审附注之非流动资产!B44)</f>
        <v>0</v>
      </c>
      <c r="C44" s="2085">
        <f>IF(未审附注之非流动资产!C44="",0,未审附注之非流动资产!C44)</f>
        <v>0</v>
      </c>
      <c r="D44" s="2117">
        <f t="shared" ref="D44:D53" si="0">IF(C44=0,0,ROUND(B44/C44,4))</f>
        <v>0</v>
      </c>
      <c r="E44" s="2126"/>
      <c r="F44" s="2126"/>
      <c r="G44" s="2126"/>
      <c r="H44" s="2126"/>
      <c r="I44" s="2126"/>
      <c r="J44" s="2135" t="s">
        <v>655</v>
      </c>
    </row>
    <row r="45" spans="1:10">
      <c r="A45" s="2092">
        <f>IF(未审附注之非流动资产!A45="",0,未审附注之非流动资产!A45)</f>
        <v>0</v>
      </c>
      <c r="B45" s="2085">
        <f>IF(未审附注之非流动资产!B45="",0,未审附注之非流动资产!B45)</f>
        <v>0</v>
      </c>
      <c r="C45" s="2085">
        <f>IF(未审附注之非流动资产!C45="",0,未审附注之非流动资产!C45)</f>
        <v>0</v>
      </c>
      <c r="D45" s="2117">
        <f t="shared" si="0"/>
        <v>0</v>
      </c>
      <c r="E45" s="2126"/>
      <c r="F45" s="2126"/>
      <c r="G45" s="2126"/>
      <c r="H45" s="2126"/>
      <c r="I45" s="2126"/>
      <c r="J45" s="2135" t="s">
        <v>655</v>
      </c>
    </row>
    <row r="46" spans="1:10">
      <c r="A46" s="2092">
        <f>IF(未审附注之非流动资产!A46="",0,未审附注之非流动资产!A46)</f>
        <v>0</v>
      </c>
      <c r="B46" s="2085">
        <f>IF(未审附注之非流动资产!B46="",0,未审附注之非流动资产!B46)</f>
        <v>0</v>
      </c>
      <c r="C46" s="2085">
        <f>IF(未审附注之非流动资产!C46="",0,未审附注之非流动资产!C46)</f>
        <v>0</v>
      </c>
      <c r="D46" s="2117">
        <f t="shared" si="0"/>
        <v>0</v>
      </c>
      <c r="E46" s="2126"/>
      <c r="F46" s="2126"/>
      <c r="G46" s="2126"/>
      <c r="H46" s="2126"/>
      <c r="I46" s="2126"/>
      <c r="J46" s="2135" t="s">
        <v>655</v>
      </c>
    </row>
    <row r="47" spans="1:10">
      <c r="A47" s="2092">
        <f>IF(未审附注之非流动资产!A47="",0,未审附注之非流动资产!A47)</f>
        <v>0</v>
      </c>
      <c r="B47" s="2085">
        <f>IF(未审附注之非流动资产!B47="",0,未审附注之非流动资产!B47)</f>
        <v>0</v>
      </c>
      <c r="C47" s="2085">
        <f>IF(未审附注之非流动资产!C47="",0,未审附注之非流动资产!C47)</f>
        <v>0</v>
      </c>
      <c r="D47" s="2117">
        <f t="shared" si="0"/>
        <v>0</v>
      </c>
      <c r="E47" s="2126"/>
      <c r="F47" s="2126"/>
      <c r="G47" s="2126"/>
      <c r="H47" s="2126"/>
      <c r="I47" s="2126"/>
      <c r="J47" s="2135" t="s">
        <v>655</v>
      </c>
    </row>
    <row r="48" spans="1:10">
      <c r="A48" s="2092">
        <f>IF(未审附注之非流动资产!A48="",0,未审附注之非流动资产!A48)</f>
        <v>0</v>
      </c>
      <c r="B48" s="2085">
        <f>IF(未审附注之非流动资产!B48="",0,未审附注之非流动资产!B48)</f>
        <v>0</v>
      </c>
      <c r="C48" s="2085">
        <f>IF(未审附注之非流动资产!C48="",0,未审附注之非流动资产!C48)</f>
        <v>0</v>
      </c>
      <c r="D48" s="2117">
        <f t="shared" si="0"/>
        <v>0</v>
      </c>
      <c r="E48" s="2126"/>
      <c r="F48" s="2126"/>
      <c r="G48" s="2126"/>
      <c r="H48" s="2126"/>
      <c r="I48" s="2126"/>
      <c r="J48" s="2135" t="s">
        <v>655</v>
      </c>
    </row>
    <row r="49" spans="1:10">
      <c r="A49" s="2092">
        <f>IF(未审附注之非流动资产!A49="",0,未审附注之非流动资产!A49)</f>
        <v>0</v>
      </c>
      <c r="B49" s="2085">
        <f>IF(未审附注之非流动资产!B49="",0,未审附注之非流动资产!B49)</f>
        <v>0</v>
      </c>
      <c r="C49" s="2085">
        <f>IF(未审附注之非流动资产!C49="",0,未审附注之非流动资产!C49)</f>
        <v>0</v>
      </c>
      <c r="D49" s="2117">
        <f t="shared" si="0"/>
        <v>0</v>
      </c>
      <c r="E49" s="2126"/>
      <c r="F49" s="2126"/>
      <c r="G49" s="2126"/>
      <c r="H49" s="2126"/>
      <c r="I49" s="2126"/>
      <c r="J49" s="2135" t="s">
        <v>655</v>
      </c>
    </row>
    <row r="50" spans="1:10">
      <c r="A50" s="2092">
        <f>IF(未审附注之非流动资产!A50="",0,未审附注之非流动资产!A50)</f>
        <v>0</v>
      </c>
      <c r="B50" s="2085">
        <f>IF(未审附注之非流动资产!B50="",0,未审附注之非流动资产!B50)</f>
        <v>0</v>
      </c>
      <c r="C50" s="2085">
        <f>IF(未审附注之非流动资产!C50="",0,未审附注之非流动资产!C50)</f>
        <v>0</v>
      </c>
      <c r="D50" s="2117">
        <f t="shared" si="0"/>
        <v>0</v>
      </c>
      <c r="E50" s="2126"/>
      <c r="F50" s="2126"/>
      <c r="G50" s="2126"/>
      <c r="H50" s="2126"/>
      <c r="I50" s="2126"/>
      <c r="J50" s="2135" t="s">
        <v>655</v>
      </c>
    </row>
    <row r="51" spans="1:10">
      <c r="A51" s="2092">
        <f>IF(未审附注之非流动资产!A51="",0,未审附注之非流动资产!A51)</f>
        <v>0</v>
      </c>
      <c r="B51" s="2085">
        <f>IF(未审附注之非流动资产!B51="",0,未审附注之非流动资产!B51)</f>
        <v>0</v>
      </c>
      <c r="C51" s="2085">
        <f>IF(未审附注之非流动资产!C51="",0,未审附注之非流动资产!C51)</f>
        <v>0</v>
      </c>
      <c r="D51" s="2117">
        <f t="shared" si="0"/>
        <v>0</v>
      </c>
      <c r="E51" s="2126"/>
      <c r="F51" s="2126"/>
      <c r="G51" s="2126"/>
      <c r="H51" s="2126"/>
      <c r="I51" s="2126"/>
      <c r="J51" s="2135" t="s">
        <v>655</v>
      </c>
    </row>
    <row r="52" spans="1:10">
      <c r="A52" s="2092">
        <f>IF(未审附注之非流动资产!A52="",0,未审附注之非流动资产!A52)</f>
        <v>0</v>
      </c>
      <c r="B52" s="2085">
        <f>IF(未审附注之非流动资产!B52="",0,未审附注之非流动资产!B52)</f>
        <v>0</v>
      </c>
      <c r="C52" s="2085">
        <f>IF(未审附注之非流动资产!C52="",0,未审附注之非流动资产!C52)</f>
        <v>0</v>
      </c>
      <c r="D52" s="2117">
        <f t="shared" si="0"/>
        <v>0</v>
      </c>
      <c r="E52" s="2126"/>
      <c r="F52" s="2126"/>
      <c r="G52" s="2126"/>
      <c r="H52" s="2126"/>
      <c r="I52" s="2126"/>
      <c r="J52" s="2135" t="s">
        <v>655</v>
      </c>
    </row>
    <row r="53" spans="1:10">
      <c r="A53" s="2082" t="s">
        <v>384</v>
      </c>
      <c r="B53" s="2048">
        <f>ROUND(SUM(B43:B52),2)</f>
        <v>0</v>
      </c>
      <c r="C53" s="2048">
        <f>ROUND(SUM(C43:C52),2)</f>
        <v>0</v>
      </c>
      <c r="D53" s="2093">
        <f t="shared" si="0"/>
        <v>0</v>
      </c>
      <c r="E53" s="2126"/>
      <c r="F53" s="2126"/>
      <c r="G53" s="2126"/>
      <c r="H53" s="2126"/>
      <c r="I53" s="2126"/>
      <c r="J53" s="2135" t="s">
        <v>656</v>
      </c>
    </row>
    <row r="54" spans="1:9">
      <c r="A54" s="2132"/>
      <c r="B54" s="2094"/>
      <c r="C54" s="2094"/>
      <c r="D54" s="2126"/>
      <c r="E54" s="2126"/>
      <c r="F54" s="2126"/>
      <c r="G54" s="2126"/>
      <c r="H54" s="2126"/>
      <c r="I54" s="2126"/>
    </row>
    <row r="55" spans="1:9">
      <c r="A55" s="2132"/>
      <c r="B55" s="2094"/>
      <c r="C55" s="2094"/>
      <c r="D55" s="2126"/>
      <c r="E55" s="2126"/>
      <c r="F55" s="2126"/>
      <c r="G55" s="2126"/>
      <c r="H55" s="2126"/>
      <c r="I55" s="2126"/>
    </row>
    <row r="56" spans="1:9">
      <c r="A56" s="2134" t="s">
        <v>657</v>
      </c>
      <c r="B56" s="2126"/>
      <c r="C56" s="2126"/>
      <c r="D56" s="2126"/>
      <c r="E56" s="2126"/>
      <c r="F56" s="2126"/>
      <c r="G56" s="2126"/>
      <c r="H56" s="2126"/>
      <c r="I56" s="2126"/>
    </row>
    <row r="57" spans="1:9">
      <c r="A57" s="2082" t="s">
        <v>372</v>
      </c>
      <c r="B57" s="2082" t="s">
        <v>315</v>
      </c>
      <c r="C57" s="2082" t="s">
        <v>316</v>
      </c>
      <c r="D57" s="2126"/>
      <c r="E57" s="2126"/>
      <c r="F57" s="2126"/>
      <c r="G57" s="2126"/>
      <c r="H57" s="2126"/>
      <c r="I57" s="2126"/>
    </row>
    <row r="58" spans="1:10">
      <c r="A58" s="2084" t="s">
        <v>658</v>
      </c>
      <c r="B58" s="2085">
        <f>IF(未审附注之非流动资产!B58="",0,未审附注之非流动资产!B58)</f>
        <v>0</v>
      </c>
      <c r="C58" s="2085">
        <f>IF(未审附注之非流动资产!C58="",0,未审附注之非流动资产!C58)</f>
        <v>0</v>
      </c>
      <c r="D58" s="2126"/>
      <c r="E58" s="2126"/>
      <c r="F58" s="2126"/>
      <c r="G58" s="2126"/>
      <c r="H58" s="2126"/>
      <c r="I58" s="2126"/>
      <c r="J58" s="2135" t="s">
        <v>659</v>
      </c>
    </row>
    <row r="59" spans="1:10">
      <c r="A59" s="2084" t="s">
        <v>660</v>
      </c>
      <c r="B59" s="2085">
        <f>IF(未审附注之非流动资产!B59="",0,未审附注之非流动资产!B59)</f>
        <v>0</v>
      </c>
      <c r="C59" s="2085">
        <f>IF(未审附注之非流动资产!C59="",0,未审附注之非流动资产!C59)</f>
        <v>0</v>
      </c>
      <c r="D59" s="2126"/>
      <c r="E59" s="2126"/>
      <c r="F59" s="2126"/>
      <c r="G59" s="2126"/>
      <c r="H59" s="2126"/>
      <c r="I59" s="2126"/>
      <c r="J59" s="2135" t="s">
        <v>661</v>
      </c>
    </row>
    <row r="60" spans="1:10">
      <c r="A60" s="2084" t="s">
        <v>662</v>
      </c>
      <c r="B60" s="2085">
        <f>IF(未审附注之非流动资产!B60="",0,未审附注之非流动资产!B60)</f>
        <v>0</v>
      </c>
      <c r="C60" s="2085">
        <f>IF(未审附注之非流动资产!C60="",0,未审附注之非流动资产!C60)</f>
        <v>0</v>
      </c>
      <c r="D60" s="2126"/>
      <c r="E60" s="2126"/>
      <c r="F60" s="2126"/>
      <c r="G60" s="2126"/>
      <c r="H60" s="2126"/>
      <c r="I60" s="2126"/>
      <c r="J60" s="2135" t="s">
        <v>663</v>
      </c>
    </row>
    <row r="61" spans="1:10">
      <c r="A61" s="2084" t="s">
        <v>279</v>
      </c>
      <c r="B61" s="2085">
        <f>IF(未审附注之非流动资产!B61="",0,未审附注之非流动资产!B61)</f>
        <v>0</v>
      </c>
      <c r="C61" s="2085">
        <f>IF(未审附注之非流动资产!C61="",0,未审附注之非流动资产!C61)</f>
        <v>0</v>
      </c>
      <c r="D61" s="2126"/>
      <c r="E61" s="2126"/>
      <c r="F61" s="2126"/>
      <c r="G61" s="2126"/>
      <c r="H61" s="2126"/>
      <c r="I61" s="2126"/>
      <c r="J61" s="2135" t="s">
        <v>664</v>
      </c>
    </row>
    <row r="62" spans="1:10">
      <c r="A62" s="2082" t="s">
        <v>384</v>
      </c>
      <c r="B62" s="2048">
        <f>ROUND(SUM(B58:B61),2)</f>
        <v>0</v>
      </c>
      <c r="C62" s="2048">
        <f>ROUND(SUM(C58:C61),2)</f>
        <v>0</v>
      </c>
      <c r="D62" s="2126"/>
      <c r="E62" s="2126"/>
      <c r="F62" s="2126"/>
      <c r="G62" s="2126"/>
      <c r="H62" s="2126"/>
      <c r="I62" s="2126"/>
      <c r="J62" s="2135" t="s">
        <v>665</v>
      </c>
    </row>
    <row r="63" spans="1:10">
      <c r="A63" s="2099"/>
      <c r="B63" s="2100"/>
      <c r="C63" s="2100"/>
      <c r="D63" s="2126"/>
      <c r="E63" s="2126"/>
      <c r="F63" s="2126"/>
      <c r="G63" s="2126"/>
      <c r="H63" s="2126"/>
      <c r="I63" s="2126"/>
      <c r="J63" s="2135"/>
    </row>
    <row r="64" spans="1:9">
      <c r="A64" s="2094"/>
      <c r="B64" s="2094"/>
      <c r="C64" s="2094"/>
      <c r="D64" s="2126"/>
      <c r="E64" s="2126"/>
      <c r="F64" s="2126"/>
      <c r="G64" s="2126"/>
      <c r="H64" s="2126"/>
      <c r="I64" s="2126"/>
    </row>
    <row r="65" spans="1:9">
      <c r="A65" s="2134" t="s">
        <v>666</v>
      </c>
      <c r="B65" s="2126"/>
      <c r="C65" s="2126"/>
      <c r="D65" s="2126"/>
      <c r="E65" s="2126"/>
      <c r="F65" s="2126"/>
      <c r="G65" s="2126"/>
      <c r="H65" s="2126"/>
      <c r="I65" s="2126"/>
    </row>
    <row r="66" spans="1:9">
      <c r="A66" s="2133" t="s">
        <v>667</v>
      </c>
      <c r="B66" s="2126"/>
      <c r="C66" s="2126"/>
      <c r="D66" s="2126"/>
      <c r="E66" s="2126"/>
      <c r="F66" s="2126"/>
      <c r="G66" s="2126"/>
      <c r="H66" s="2126"/>
      <c r="I66" s="2126"/>
    </row>
    <row r="67" spans="1:9">
      <c r="A67" s="2082" t="s">
        <v>668</v>
      </c>
      <c r="B67" s="2082" t="s">
        <v>669</v>
      </c>
      <c r="C67" s="2082" t="s">
        <v>670</v>
      </c>
      <c r="D67" s="2082" t="s">
        <v>671</v>
      </c>
      <c r="E67" s="2082" t="s">
        <v>672</v>
      </c>
      <c r="F67" s="2082" t="s">
        <v>515</v>
      </c>
      <c r="G67" s="2082" t="s">
        <v>673</v>
      </c>
      <c r="H67" s="2126"/>
      <c r="I67" s="2126"/>
    </row>
    <row r="68" spans="1:10">
      <c r="A68" s="2084" t="s">
        <v>674</v>
      </c>
      <c r="B68" s="2124"/>
      <c r="C68" s="2124"/>
      <c r="D68" s="2124"/>
      <c r="E68" s="2124"/>
      <c r="F68" s="2124"/>
      <c r="G68" s="2124"/>
      <c r="H68" s="2126"/>
      <c r="I68" s="2126"/>
      <c r="J68" s="2135"/>
    </row>
    <row r="69" spans="1:10">
      <c r="A69" s="2092">
        <f>IF(未审附注之非流动资产!A69="",0,未审附注之非流动资产!A69)</f>
        <v>0</v>
      </c>
      <c r="B69" s="2085">
        <f>IF(未审附注之非流动资产!B69="",0,未审附注之非流动资产!B69)</f>
        <v>0</v>
      </c>
      <c r="C69" s="2085">
        <f>IF(未审附注之非流动资产!C69="",0,未审附注之非流动资产!C69)</f>
        <v>0</v>
      </c>
      <c r="D69" s="2085">
        <f>IF(未审附注之非流动资产!D69="",0,未审附注之非流动资产!D69)</f>
        <v>0</v>
      </c>
      <c r="E69" s="2085">
        <f>IF(未审附注之非流动资产!E69="",0,未审附注之非流动资产!E69)</f>
        <v>0</v>
      </c>
      <c r="F69" s="2048">
        <f>ROUND(C69+D69-E69,2)</f>
        <v>0</v>
      </c>
      <c r="G69" s="2085">
        <f>IF(未审附注之非流动资产!G69="",0,未审附注之非流动资产!G69)</f>
        <v>0</v>
      </c>
      <c r="H69" s="2126"/>
      <c r="I69" s="2126"/>
      <c r="J69" s="2135" t="s">
        <v>675</v>
      </c>
    </row>
    <row r="70" spans="1:10">
      <c r="A70" s="2092">
        <f>IF(未审附注之非流动资产!A70="",0,未审附注之非流动资产!A70)</f>
        <v>0</v>
      </c>
      <c r="B70" s="2085">
        <f>IF(未审附注之非流动资产!B70="",0,未审附注之非流动资产!B70)</f>
        <v>0</v>
      </c>
      <c r="C70" s="2085">
        <f>IF(未审附注之非流动资产!C70="",0,未审附注之非流动资产!C70)</f>
        <v>0</v>
      </c>
      <c r="D70" s="2085">
        <f>IF(未审附注之非流动资产!D70="",0,未审附注之非流动资产!D70)</f>
        <v>0</v>
      </c>
      <c r="E70" s="2085">
        <f>IF(未审附注之非流动资产!E70="",0,未审附注之非流动资产!E70)</f>
        <v>0</v>
      </c>
      <c r="F70" s="2048">
        <f t="shared" ref="F70:F78" si="1">ROUND(C70+D70-E70,2)</f>
        <v>0</v>
      </c>
      <c r="G70" s="2085">
        <f>IF(未审附注之非流动资产!G70="",0,未审附注之非流动资产!G70)</f>
        <v>0</v>
      </c>
      <c r="H70" s="2126"/>
      <c r="I70" s="2126"/>
      <c r="J70" s="2135" t="s">
        <v>675</v>
      </c>
    </row>
    <row r="71" spans="1:10">
      <c r="A71" s="2092">
        <f>IF(未审附注之非流动资产!A71="",0,未审附注之非流动资产!A71)</f>
        <v>0</v>
      </c>
      <c r="B71" s="2085">
        <f>IF(未审附注之非流动资产!B71="",0,未审附注之非流动资产!B71)</f>
        <v>0</v>
      </c>
      <c r="C71" s="2085">
        <f>IF(未审附注之非流动资产!C71="",0,未审附注之非流动资产!C71)</f>
        <v>0</v>
      </c>
      <c r="D71" s="2085">
        <f>IF(未审附注之非流动资产!D71="",0,未审附注之非流动资产!D71)</f>
        <v>0</v>
      </c>
      <c r="E71" s="2085">
        <f>IF(未审附注之非流动资产!E71="",0,未审附注之非流动资产!E71)</f>
        <v>0</v>
      </c>
      <c r="F71" s="2048">
        <f t="shared" si="1"/>
        <v>0</v>
      </c>
      <c r="G71" s="2085">
        <f>IF(未审附注之非流动资产!G71="",0,未审附注之非流动资产!G71)</f>
        <v>0</v>
      </c>
      <c r="H71" s="2126"/>
      <c r="I71" s="2126"/>
      <c r="J71" s="2135" t="s">
        <v>675</v>
      </c>
    </row>
    <row r="72" spans="1:10">
      <c r="A72" s="2092">
        <f>IF(未审附注之非流动资产!A72="",0,未审附注之非流动资产!A72)</f>
        <v>0</v>
      </c>
      <c r="B72" s="2085">
        <f>IF(未审附注之非流动资产!B72="",0,未审附注之非流动资产!B72)</f>
        <v>0</v>
      </c>
      <c r="C72" s="2085">
        <f>IF(未审附注之非流动资产!C72="",0,未审附注之非流动资产!C72)</f>
        <v>0</v>
      </c>
      <c r="D72" s="2085">
        <f>IF(未审附注之非流动资产!D72="",0,未审附注之非流动资产!D72)</f>
        <v>0</v>
      </c>
      <c r="E72" s="2085">
        <f>IF(未审附注之非流动资产!E72="",0,未审附注之非流动资产!E72)</f>
        <v>0</v>
      </c>
      <c r="F72" s="2048">
        <f t="shared" si="1"/>
        <v>0</v>
      </c>
      <c r="G72" s="2085">
        <f>IF(未审附注之非流动资产!G72="",0,未审附注之非流动资产!G72)</f>
        <v>0</v>
      </c>
      <c r="H72" s="2126"/>
      <c r="I72" s="2126"/>
      <c r="J72" s="2135" t="s">
        <v>675</v>
      </c>
    </row>
    <row r="73" spans="1:10">
      <c r="A73" s="2092">
        <f>IF(未审附注之非流动资产!A73="",0,未审附注之非流动资产!A73)</f>
        <v>0</v>
      </c>
      <c r="B73" s="2085">
        <f>IF(未审附注之非流动资产!B73="",0,未审附注之非流动资产!B73)</f>
        <v>0</v>
      </c>
      <c r="C73" s="2085">
        <f>IF(未审附注之非流动资产!C73="",0,未审附注之非流动资产!C73)</f>
        <v>0</v>
      </c>
      <c r="D73" s="2085">
        <f>IF(未审附注之非流动资产!D73="",0,未审附注之非流动资产!D73)</f>
        <v>0</v>
      </c>
      <c r="E73" s="2085">
        <f>IF(未审附注之非流动资产!E73="",0,未审附注之非流动资产!E73)</f>
        <v>0</v>
      </c>
      <c r="F73" s="2048">
        <f t="shared" si="1"/>
        <v>0</v>
      </c>
      <c r="G73" s="2085">
        <f>IF(未审附注之非流动资产!G73="",0,未审附注之非流动资产!G73)</f>
        <v>0</v>
      </c>
      <c r="H73" s="2126"/>
      <c r="I73" s="2126"/>
      <c r="J73" s="2135" t="s">
        <v>675</v>
      </c>
    </row>
    <row r="74" spans="1:10">
      <c r="A74" s="2092">
        <f>IF(未审附注之非流动资产!A74="",0,未审附注之非流动资产!A74)</f>
        <v>0</v>
      </c>
      <c r="B74" s="2085">
        <f>IF(未审附注之非流动资产!B74="",0,未审附注之非流动资产!B74)</f>
        <v>0</v>
      </c>
      <c r="C74" s="2085">
        <f>IF(未审附注之非流动资产!C74="",0,未审附注之非流动资产!C74)</f>
        <v>0</v>
      </c>
      <c r="D74" s="2085">
        <f>IF(未审附注之非流动资产!D74="",0,未审附注之非流动资产!D74)</f>
        <v>0</v>
      </c>
      <c r="E74" s="2085">
        <f>IF(未审附注之非流动资产!E74="",0,未审附注之非流动资产!E74)</f>
        <v>0</v>
      </c>
      <c r="F74" s="2048">
        <f t="shared" si="1"/>
        <v>0</v>
      </c>
      <c r="G74" s="2085">
        <f>IF(未审附注之非流动资产!G74="",0,未审附注之非流动资产!G74)</f>
        <v>0</v>
      </c>
      <c r="H74" s="2126"/>
      <c r="I74" s="2126"/>
      <c r="J74" s="2135" t="s">
        <v>675</v>
      </c>
    </row>
    <row r="75" spans="1:10">
      <c r="A75" s="2092">
        <f>IF(未审附注之非流动资产!A75="",0,未审附注之非流动资产!A75)</f>
        <v>0</v>
      </c>
      <c r="B75" s="2085">
        <f>IF(未审附注之非流动资产!B75="",0,未审附注之非流动资产!B75)</f>
        <v>0</v>
      </c>
      <c r="C75" s="2085">
        <f>IF(未审附注之非流动资产!C75="",0,未审附注之非流动资产!C75)</f>
        <v>0</v>
      </c>
      <c r="D75" s="2085">
        <f>IF(未审附注之非流动资产!D75="",0,未审附注之非流动资产!D75)</f>
        <v>0</v>
      </c>
      <c r="E75" s="2085">
        <f>IF(未审附注之非流动资产!E75="",0,未审附注之非流动资产!E75)</f>
        <v>0</v>
      </c>
      <c r="F75" s="2048">
        <f t="shared" si="1"/>
        <v>0</v>
      </c>
      <c r="G75" s="2085">
        <f>IF(未审附注之非流动资产!G75="",0,未审附注之非流动资产!G75)</f>
        <v>0</v>
      </c>
      <c r="H75" s="2126"/>
      <c r="I75" s="2126"/>
      <c r="J75" s="2135" t="s">
        <v>675</v>
      </c>
    </row>
    <row r="76" spans="1:10">
      <c r="A76" s="2092">
        <f>IF(未审附注之非流动资产!A76="",0,未审附注之非流动资产!A76)</f>
        <v>0</v>
      </c>
      <c r="B76" s="2085">
        <f>IF(未审附注之非流动资产!B76="",0,未审附注之非流动资产!B76)</f>
        <v>0</v>
      </c>
      <c r="C76" s="2085">
        <f>IF(未审附注之非流动资产!C76="",0,未审附注之非流动资产!C76)</f>
        <v>0</v>
      </c>
      <c r="D76" s="2085">
        <f>IF(未审附注之非流动资产!D76="",0,未审附注之非流动资产!D76)</f>
        <v>0</v>
      </c>
      <c r="E76" s="2085">
        <f>IF(未审附注之非流动资产!E76="",0,未审附注之非流动资产!E76)</f>
        <v>0</v>
      </c>
      <c r="F76" s="2048">
        <f t="shared" si="1"/>
        <v>0</v>
      </c>
      <c r="G76" s="2085">
        <f>IF(未审附注之非流动资产!G76="",0,未审附注之非流动资产!G76)</f>
        <v>0</v>
      </c>
      <c r="H76" s="2126"/>
      <c r="I76" s="2126"/>
      <c r="J76" s="2135" t="s">
        <v>675</v>
      </c>
    </row>
    <row r="77" spans="1:10">
      <c r="A77" s="2092">
        <f>IF(未审附注之非流动资产!A77="",0,未审附注之非流动资产!A77)</f>
        <v>0</v>
      </c>
      <c r="B77" s="2085">
        <f>IF(未审附注之非流动资产!B77="",0,未审附注之非流动资产!B77)</f>
        <v>0</v>
      </c>
      <c r="C77" s="2085">
        <f>IF(未审附注之非流动资产!C77="",0,未审附注之非流动资产!C77)</f>
        <v>0</v>
      </c>
      <c r="D77" s="2085">
        <f>IF(未审附注之非流动资产!D77="",0,未审附注之非流动资产!D77)</f>
        <v>0</v>
      </c>
      <c r="E77" s="2085">
        <f>IF(未审附注之非流动资产!E77="",0,未审附注之非流动资产!E77)</f>
        <v>0</v>
      </c>
      <c r="F77" s="2048">
        <f t="shared" si="1"/>
        <v>0</v>
      </c>
      <c r="G77" s="2085">
        <f>IF(未审附注之非流动资产!G77="",0,未审附注之非流动资产!G77)</f>
        <v>0</v>
      </c>
      <c r="H77" s="2126"/>
      <c r="I77" s="2126"/>
      <c r="J77" s="2135" t="s">
        <v>675</v>
      </c>
    </row>
    <row r="78" spans="1:10">
      <c r="A78" s="2092">
        <f>IF(未审附注之非流动资产!A78="",0,未审附注之非流动资产!A78)</f>
        <v>0</v>
      </c>
      <c r="B78" s="2085">
        <f>IF(未审附注之非流动资产!B78="",0,未审附注之非流动资产!B78)</f>
        <v>0</v>
      </c>
      <c r="C78" s="2085">
        <f>IF(未审附注之非流动资产!C78="",0,未审附注之非流动资产!C78)</f>
        <v>0</v>
      </c>
      <c r="D78" s="2085">
        <f>IF(未审附注之非流动资产!D78="",0,未审附注之非流动资产!D78)</f>
        <v>0</v>
      </c>
      <c r="E78" s="2085">
        <f>IF(未审附注之非流动资产!E78="",0,未审附注之非流动资产!E78)</f>
        <v>0</v>
      </c>
      <c r="F78" s="2048">
        <f t="shared" si="1"/>
        <v>0</v>
      </c>
      <c r="G78" s="2085">
        <f>IF(未审附注之非流动资产!G78="",0,未审附注之非流动资产!G78)</f>
        <v>0</v>
      </c>
      <c r="H78" s="2126"/>
      <c r="I78" s="2126"/>
      <c r="J78" s="2135" t="s">
        <v>675</v>
      </c>
    </row>
    <row r="79" spans="1:10">
      <c r="A79" s="2082" t="s">
        <v>676</v>
      </c>
      <c r="B79" s="2048">
        <f t="shared" ref="B79:G79" si="2">ROUND(SUM(B69:B78),2)</f>
        <v>0</v>
      </c>
      <c r="C79" s="2048">
        <f t="shared" si="2"/>
        <v>0</v>
      </c>
      <c r="D79" s="2048">
        <f t="shared" si="2"/>
        <v>0</v>
      </c>
      <c r="E79" s="2048">
        <f t="shared" si="2"/>
        <v>0</v>
      </c>
      <c r="F79" s="2048">
        <f t="shared" si="2"/>
        <v>0</v>
      </c>
      <c r="G79" s="2048">
        <f t="shared" si="2"/>
        <v>0</v>
      </c>
      <c r="H79" s="2126"/>
      <c r="I79" s="2126"/>
      <c r="J79" s="2135" t="s">
        <v>677</v>
      </c>
    </row>
    <row r="80" spans="1:10">
      <c r="A80" s="2087"/>
      <c r="B80" s="2087"/>
      <c r="C80" s="2087"/>
      <c r="D80" s="2124"/>
      <c r="E80" s="2124"/>
      <c r="F80" s="2124"/>
      <c r="G80" s="2124"/>
      <c r="H80" s="2126"/>
      <c r="I80" s="2126"/>
      <c r="J80" s="2135"/>
    </row>
    <row r="81" spans="1:10">
      <c r="A81" s="2084" t="s">
        <v>678</v>
      </c>
      <c r="B81" s="2124"/>
      <c r="C81" s="2124"/>
      <c r="D81" s="2124"/>
      <c r="E81" s="2124"/>
      <c r="F81" s="2124"/>
      <c r="G81" s="2124"/>
      <c r="H81" s="2126"/>
      <c r="I81" s="2126"/>
      <c r="J81" s="2135"/>
    </row>
    <row r="82" spans="1:10">
      <c r="A82" s="2092">
        <f>IF(未审附注之非流动资产!A82="",0,未审附注之非流动资产!A82)</f>
        <v>0</v>
      </c>
      <c r="B82" s="2085">
        <f>IF(未审附注之非流动资产!B82="",0,未审附注之非流动资产!B82)</f>
        <v>0</v>
      </c>
      <c r="C82" s="2085">
        <f>IF(未审附注之非流动资产!C82="",0,未审附注之非流动资产!C82)</f>
        <v>0</v>
      </c>
      <c r="D82" s="2085">
        <f>IF(未审附注之非流动资产!D82="",0,未审附注之非流动资产!D82)</f>
        <v>0</v>
      </c>
      <c r="E82" s="2085">
        <f>IF(未审附注之非流动资产!E82="",0,未审附注之非流动资产!E82)</f>
        <v>0</v>
      </c>
      <c r="F82" s="2048">
        <f>ROUND(C82+D82-E82,2)</f>
        <v>0</v>
      </c>
      <c r="G82" s="2085">
        <f>IF(未审附注之非流动资产!G82="",0,未审附注之非流动资产!G82)</f>
        <v>0</v>
      </c>
      <c r="H82" s="2126"/>
      <c r="I82" s="2126"/>
      <c r="J82" s="2135" t="s">
        <v>679</v>
      </c>
    </row>
    <row r="83" spans="1:10">
      <c r="A83" s="2092">
        <f>IF(未审附注之非流动资产!A83="",0,未审附注之非流动资产!A83)</f>
        <v>0</v>
      </c>
      <c r="B83" s="2085">
        <f>IF(未审附注之非流动资产!B83="",0,未审附注之非流动资产!B83)</f>
        <v>0</v>
      </c>
      <c r="C83" s="2085">
        <f>IF(未审附注之非流动资产!C83="",0,未审附注之非流动资产!C83)</f>
        <v>0</v>
      </c>
      <c r="D83" s="2085">
        <f>IF(未审附注之非流动资产!D83="",0,未审附注之非流动资产!D83)</f>
        <v>0</v>
      </c>
      <c r="E83" s="2085">
        <f>IF(未审附注之非流动资产!E83="",0,未审附注之非流动资产!E83)</f>
        <v>0</v>
      </c>
      <c r="F83" s="2048">
        <f t="shared" ref="F83:F91" si="3">ROUND(C83+D83-E83,2)</f>
        <v>0</v>
      </c>
      <c r="G83" s="2085">
        <f>IF(未审附注之非流动资产!G83="",0,未审附注之非流动资产!G83)</f>
        <v>0</v>
      </c>
      <c r="H83" s="2126"/>
      <c r="I83" s="2126"/>
      <c r="J83" s="2135" t="s">
        <v>679</v>
      </c>
    </row>
    <row r="84" spans="1:10">
      <c r="A84" s="2092">
        <f>IF(未审附注之非流动资产!A84="",0,未审附注之非流动资产!A84)</f>
        <v>0</v>
      </c>
      <c r="B84" s="2085">
        <f>IF(未审附注之非流动资产!B84="",0,未审附注之非流动资产!B84)</f>
        <v>0</v>
      </c>
      <c r="C84" s="2085">
        <f>IF(未审附注之非流动资产!C84="",0,未审附注之非流动资产!C84)</f>
        <v>0</v>
      </c>
      <c r="D84" s="2085">
        <f>IF(未审附注之非流动资产!D84="",0,未审附注之非流动资产!D84)</f>
        <v>0</v>
      </c>
      <c r="E84" s="2085">
        <f>IF(未审附注之非流动资产!E84="",0,未审附注之非流动资产!E84)</f>
        <v>0</v>
      </c>
      <c r="F84" s="2048">
        <f t="shared" si="3"/>
        <v>0</v>
      </c>
      <c r="G84" s="2085">
        <f>IF(未审附注之非流动资产!G84="",0,未审附注之非流动资产!G84)</f>
        <v>0</v>
      </c>
      <c r="H84" s="2126"/>
      <c r="I84" s="2126"/>
      <c r="J84" s="2135" t="s">
        <v>679</v>
      </c>
    </row>
    <row r="85" spans="1:10">
      <c r="A85" s="2092">
        <f>IF(未审附注之非流动资产!A85="",0,未审附注之非流动资产!A85)</f>
        <v>0</v>
      </c>
      <c r="B85" s="2085">
        <f>IF(未审附注之非流动资产!B85="",0,未审附注之非流动资产!B85)</f>
        <v>0</v>
      </c>
      <c r="C85" s="2085">
        <f>IF(未审附注之非流动资产!C85="",0,未审附注之非流动资产!C85)</f>
        <v>0</v>
      </c>
      <c r="D85" s="2085">
        <f>IF(未审附注之非流动资产!D85="",0,未审附注之非流动资产!D85)</f>
        <v>0</v>
      </c>
      <c r="E85" s="2085">
        <f>IF(未审附注之非流动资产!E85="",0,未审附注之非流动资产!E85)</f>
        <v>0</v>
      </c>
      <c r="F85" s="2048">
        <f t="shared" si="3"/>
        <v>0</v>
      </c>
      <c r="G85" s="2085">
        <f>IF(未审附注之非流动资产!G85="",0,未审附注之非流动资产!G85)</f>
        <v>0</v>
      </c>
      <c r="H85" s="2126"/>
      <c r="I85" s="2126"/>
      <c r="J85" s="2135" t="s">
        <v>679</v>
      </c>
    </row>
    <row r="86" spans="1:10">
      <c r="A86" s="2092">
        <f>IF(未审附注之非流动资产!A86="",0,未审附注之非流动资产!A86)</f>
        <v>0</v>
      </c>
      <c r="B86" s="2085">
        <f>IF(未审附注之非流动资产!B86="",0,未审附注之非流动资产!B86)</f>
        <v>0</v>
      </c>
      <c r="C86" s="2085">
        <f>IF(未审附注之非流动资产!C86="",0,未审附注之非流动资产!C86)</f>
        <v>0</v>
      </c>
      <c r="D86" s="2085">
        <f>IF(未审附注之非流动资产!D86="",0,未审附注之非流动资产!D86)</f>
        <v>0</v>
      </c>
      <c r="E86" s="2085">
        <f>IF(未审附注之非流动资产!E86="",0,未审附注之非流动资产!E86)</f>
        <v>0</v>
      </c>
      <c r="F86" s="2048">
        <f t="shared" si="3"/>
        <v>0</v>
      </c>
      <c r="G86" s="2085">
        <f>IF(未审附注之非流动资产!G86="",0,未审附注之非流动资产!G86)</f>
        <v>0</v>
      </c>
      <c r="H86" s="2126"/>
      <c r="I86" s="2126"/>
      <c r="J86" s="2135" t="s">
        <v>679</v>
      </c>
    </row>
    <row r="87" spans="1:10">
      <c r="A87" s="2092">
        <f>IF(未审附注之非流动资产!A87="",0,未审附注之非流动资产!A87)</f>
        <v>0</v>
      </c>
      <c r="B87" s="2085">
        <f>IF(未审附注之非流动资产!B87="",0,未审附注之非流动资产!B87)</f>
        <v>0</v>
      </c>
      <c r="C87" s="2085">
        <f>IF(未审附注之非流动资产!C87="",0,未审附注之非流动资产!C87)</f>
        <v>0</v>
      </c>
      <c r="D87" s="2085">
        <f>IF(未审附注之非流动资产!D87="",0,未审附注之非流动资产!D87)</f>
        <v>0</v>
      </c>
      <c r="E87" s="2085">
        <f>IF(未审附注之非流动资产!E87="",0,未审附注之非流动资产!E87)</f>
        <v>0</v>
      </c>
      <c r="F87" s="2048">
        <f t="shared" si="3"/>
        <v>0</v>
      </c>
      <c r="G87" s="2085">
        <f>IF(未审附注之非流动资产!G87="",0,未审附注之非流动资产!G87)</f>
        <v>0</v>
      </c>
      <c r="H87" s="2126"/>
      <c r="I87" s="2126"/>
      <c r="J87" s="2135" t="s">
        <v>679</v>
      </c>
    </row>
    <row r="88" spans="1:10">
      <c r="A88" s="2092">
        <f>IF(未审附注之非流动资产!A88="",0,未审附注之非流动资产!A88)</f>
        <v>0</v>
      </c>
      <c r="B88" s="2085">
        <f>IF(未审附注之非流动资产!B88="",0,未审附注之非流动资产!B88)</f>
        <v>0</v>
      </c>
      <c r="C88" s="2085">
        <f>IF(未审附注之非流动资产!C88="",0,未审附注之非流动资产!C88)</f>
        <v>0</v>
      </c>
      <c r="D88" s="2085">
        <f>IF(未审附注之非流动资产!D88="",0,未审附注之非流动资产!D88)</f>
        <v>0</v>
      </c>
      <c r="E88" s="2085">
        <f>IF(未审附注之非流动资产!E88="",0,未审附注之非流动资产!E88)</f>
        <v>0</v>
      </c>
      <c r="F88" s="2048">
        <f t="shared" si="3"/>
        <v>0</v>
      </c>
      <c r="G88" s="2085">
        <f>IF(未审附注之非流动资产!G88="",0,未审附注之非流动资产!G88)</f>
        <v>0</v>
      </c>
      <c r="H88" s="2126"/>
      <c r="I88" s="2126"/>
      <c r="J88" s="2135" t="s">
        <v>679</v>
      </c>
    </row>
    <row r="89" spans="1:10">
      <c r="A89" s="2092">
        <f>IF(未审附注之非流动资产!A89="",0,未审附注之非流动资产!A89)</f>
        <v>0</v>
      </c>
      <c r="B89" s="2085">
        <f>IF(未审附注之非流动资产!B89="",0,未审附注之非流动资产!B89)</f>
        <v>0</v>
      </c>
      <c r="C89" s="2085">
        <f>IF(未审附注之非流动资产!C89="",0,未审附注之非流动资产!C89)</f>
        <v>0</v>
      </c>
      <c r="D89" s="2085">
        <f>IF(未审附注之非流动资产!D89="",0,未审附注之非流动资产!D89)</f>
        <v>0</v>
      </c>
      <c r="E89" s="2085">
        <f>IF(未审附注之非流动资产!E89="",0,未审附注之非流动资产!E89)</f>
        <v>0</v>
      </c>
      <c r="F89" s="2048">
        <f t="shared" si="3"/>
        <v>0</v>
      </c>
      <c r="G89" s="2085">
        <f>IF(未审附注之非流动资产!G89="",0,未审附注之非流动资产!G89)</f>
        <v>0</v>
      </c>
      <c r="H89" s="2126"/>
      <c r="I89" s="2126"/>
      <c r="J89" s="2135" t="s">
        <v>679</v>
      </c>
    </row>
    <row r="90" spans="1:10">
      <c r="A90" s="2092">
        <f>IF(未审附注之非流动资产!A90="",0,未审附注之非流动资产!A90)</f>
        <v>0</v>
      </c>
      <c r="B90" s="2085">
        <f>IF(未审附注之非流动资产!B90="",0,未审附注之非流动资产!B90)</f>
        <v>0</v>
      </c>
      <c r="C90" s="2085">
        <f>IF(未审附注之非流动资产!C90="",0,未审附注之非流动资产!C90)</f>
        <v>0</v>
      </c>
      <c r="D90" s="2085">
        <f>IF(未审附注之非流动资产!D90="",0,未审附注之非流动资产!D90)</f>
        <v>0</v>
      </c>
      <c r="E90" s="2085">
        <f>IF(未审附注之非流动资产!E90="",0,未审附注之非流动资产!E90)</f>
        <v>0</v>
      </c>
      <c r="F90" s="2048">
        <f t="shared" si="3"/>
        <v>0</v>
      </c>
      <c r="G90" s="2085">
        <f>IF(未审附注之非流动资产!G90="",0,未审附注之非流动资产!G90)</f>
        <v>0</v>
      </c>
      <c r="H90" s="2126"/>
      <c r="I90" s="2126"/>
      <c r="J90" s="2135" t="s">
        <v>679</v>
      </c>
    </row>
    <row r="91" spans="1:10">
      <c r="A91" s="2092">
        <f>IF(未审附注之非流动资产!A91="",0,未审附注之非流动资产!A91)</f>
        <v>0</v>
      </c>
      <c r="B91" s="2085">
        <f>IF(未审附注之非流动资产!B91="",0,未审附注之非流动资产!B91)</f>
        <v>0</v>
      </c>
      <c r="C91" s="2085">
        <f>IF(未审附注之非流动资产!C91="",0,未审附注之非流动资产!C91)</f>
        <v>0</v>
      </c>
      <c r="D91" s="2085">
        <f>IF(未审附注之非流动资产!D91="",0,未审附注之非流动资产!D91)</f>
        <v>0</v>
      </c>
      <c r="E91" s="2085">
        <f>IF(未审附注之非流动资产!E91="",0,未审附注之非流动资产!E91)</f>
        <v>0</v>
      </c>
      <c r="F91" s="2048">
        <f t="shared" si="3"/>
        <v>0</v>
      </c>
      <c r="G91" s="2085">
        <f>IF(未审附注之非流动资产!G91="",0,未审附注之非流动资产!G91)</f>
        <v>0</v>
      </c>
      <c r="H91" s="2126"/>
      <c r="I91" s="2126"/>
      <c r="J91" s="2135" t="s">
        <v>679</v>
      </c>
    </row>
    <row r="92" spans="1:10">
      <c r="A92" s="2082" t="s">
        <v>676</v>
      </c>
      <c r="B92" s="2048">
        <f t="shared" ref="B92:G92" si="4">ROUND(SUM(B82:B91),2)</f>
        <v>0</v>
      </c>
      <c r="C92" s="2048">
        <f t="shared" si="4"/>
        <v>0</v>
      </c>
      <c r="D92" s="2048">
        <f t="shared" si="4"/>
        <v>0</v>
      </c>
      <c r="E92" s="2048">
        <f t="shared" si="4"/>
        <v>0</v>
      </c>
      <c r="F92" s="2048">
        <f t="shared" si="4"/>
        <v>0</v>
      </c>
      <c r="G92" s="2048">
        <f t="shared" si="4"/>
        <v>0</v>
      </c>
      <c r="H92" s="2126"/>
      <c r="I92" s="2126"/>
      <c r="J92" s="2135" t="s">
        <v>680</v>
      </c>
    </row>
    <row r="93" spans="1:10">
      <c r="A93" s="2087"/>
      <c r="B93" s="2087"/>
      <c r="C93" s="2087"/>
      <c r="D93" s="2124"/>
      <c r="E93" s="2124"/>
      <c r="F93" s="2124"/>
      <c r="G93" s="2124"/>
      <c r="H93" s="2126"/>
      <c r="I93" s="2126"/>
      <c r="J93" s="2135"/>
    </row>
    <row r="94" spans="1:10">
      <c r="A94" s="2082" t="s">
        <v>384</v>
      </c>
      <c r="B94" s="2048">
        <f t="shared" ref="B94:G94" si="5">ROUND(B79+B92,2)</f>
        <v>0</v>
      </c>
      <c r="C94" s="2048">
        <f t="shared" si="5"/>
        <v>0</v>
      </c>
      <c r="D94" s="2048">
        <f t="shared" si="5"/>
        <v>0</v>
      </c>
      <c r="E94" s="2048">
        <f t="shared" si="5"/>
        <v>0</v>
      </c>
      <c r="F94" s="2048">
        <f t="shared" si="5"/>
        <v>0</v>
      </c>
      <c r="G94" s="2048">
        <f t="shared" si="5"/>
        <v>0</v>
      </c>
      <c r="H94" s="2126"/>
      <c r="I94" s="2126"/>
      <c r="J94" s="2135" t="s">
        <v>681</v>
      </c>
    </row>
    <row r="95" spans="1:9">
      <c r="A95" s="2132"/>
      <c r="B95" s="2100"/>
      <c r="C95" s="2100"/>
      <c r="D95" s="2126"/>
      <c r="E95" s="2126"/>
      <c r="F95" s="2126"/>
      <c r="G95" s="2126"/>
      <c r="H95" s="2126"/>
      <c r="I95" s="2126"/>
    </row>
    <row r="96" spans="1:9">
      <c r="A96" s="2133" t="s">
        <v>682</v>
      </c>
      <c r="B96" s="2126"/>
      <c r="C96" s="2126"/>
      <c r="D96" s="2126"/>
      <c r="E96" s="2126"/>
      <c r="F96" s="2126"/>
      <c r="G96" s="2126"/>
      <c r="H96" s="2126"/>
      <c r="I96" s="2126"/>
    </row>
    <row r="97" spans="1:9">
      <c r="A97" s="2082" t="s">
        <v>668</v>
      </c>
      <c r="B97" s="2082" t="s">
        <v>683</v>
      </c>
      <c r="C97" s="2082" t="s">
        <v>670</v>
      </c>
      <c r="D97" s="2082" t="s">
        <v>671</v>
      </c>
      <c r="E97" s="2082" t="s">
        <v>672</v>
      </c>
      <c r="F97" s="2082" t="s">
        <v>515</v>
      </c>
      <c r="G97" s="2126"/>
      <c r="H97" s="2126"/>
      <c r="I97" s="2126"/>
    </row>
    <row r="98" spans="1:10">
      <c r="A98" s="2084" t="s">
        <v>674</v>
      </c>
      <c r="B98" s="2124"/>
      <c r="C98" s="2124"/>
      <c r="D98" s="2124"/>
      <c r="E98" s="2124"/>
      <c r="F98" s="2124"/>
      <c r="G98" s="2126"/>
      <c r="H98" s="2126"/>
      <c r="I98" s="2126"/>
      <c r="J98" s="2135"/>
    </row>
    <row r="99" spans="1:10">
      <c r="A99" s="2092">
        <f>IF(未审附注之非流动资产!A99="",0,未审附注之非流动资产!A99)</f>
        <v>0</v>
      </c>
      <c r="B99" s="2092">
        <f>IF(未审附注之非流动资产!B99="",0,未审附注之非流动资产!B99)</f>
        <v>0</v>
      </c>
      <c r="C99" s="2085">
        <f>IF(未审附注之非流动资产!C99="",0,未审附注之非流动资产!C99)</f>
        <v>0</v>
      </c>
      <c r="D99" s="2085">
        <f>IF(未审附注之非流动资产!D99="",0,未审附注之非流动资产!D99)</f>
        <v>0</v>
      </c>
      <c r="E99" s="2085">
        <f>IF(未审附注之非流动资产!E99="",0,未审附注之非流动资产!E99)</f>
        <v>0</v>
      </c>
      <c r="F99" s="2048">
        <f>ROUND(C99+D99-E99,2)</f>
        <v>0</v>
      </c>
      <c r="G99" s="2126"/>
      <c r="H99" s="2126"/>
      <c r="I99" s="2126"/>
      <c r="J99" s="2135" t="s">
        <v>684</v>
      </c>
    </row>
    <row r="100" spans="1:10">
      <c r="A100" s="2092">
        <f>IF(未审附注之非流动资产!A100="",0,未审附注之非流动资产!A100)</f>
        <v>0</v>
      </c>
      <c r="B100" s="2092">
        <f>IF(未审附注之非流动资产!B100="",0,未审附注之非流动资产!B100)</f>
        <v>0</v>
      </c>
      <c r="C100" s="2085">
        <f>IF(未审附注之非流动资产!C100="",0,未审附注之非流动资产!C100)</f>
        <v>0</v>
      </c>
      <c r="D100" s="2085">
        <f>IF(未审附注之非流动资产!D100="",0,未审附注之非流动资产!D100)</f>
        <v>0</v>
      </c>
      <c r="E100" s="2085">
        <f>IF(未审附注之非流动资产!E100="",0,未审附注之非流动资产!E100)</f>
        <v>0</v>
      </c>
      <c r="F100" s="2048">
        <f t="shared" ref="F100:F108" si="6">ROUND(C100+D100-E100,2)</f>
        <v>0</v>
      </c>
      <c r="G100" s="2126"/>
      <c r="H100" s="2126"/>
      <c r="I100" s="2126"/>
      <c r="J100" s="2135" t="s">
        <v>684</v>
      </c>
    </row>
    <row r="101" spans="1:10">
      <c r="A101" s="2092">
        <f>IF(未审附注之非流动资产!A101="",0,未审附注之非流动资产!A101)</f>
        <v>0</v>
      </c>
      <c r="B101" s="2092">
        <f>IF(未审附注之非流动资产!B101="",0,未审附注之非流动资产!B101)</f>
        <v>0</v>
      </c>
      <c r="C101" s="2085">
        <f>IF(未审附注之非流动资产!C101="",0,未审附注之非流动资产!C101)</f>
        <v>0</v>
      </c>
      <c r="D101" s="2085">
        <f>IF(未审附注之非流动资产!D101="",0,未审附注之非流动资产!D101)</f>
        <v>0</v>
      </c>
      <c r="E101" s="2085">
        <f>IF(未审附注之非流动资产!E101="",0,未审附注之非流动资产!E101)</f>
        <v>0</v>
      </c>
      <c r="F101" s="2048">
        <f t="shared" si="6"/>
        <v>0</v>
      </c>
      <c r="G101" s="2126"/>
      <c r="H101" s="2126"/>
      <c r="I101" s="2126"/>
      <c r="J101" s="2135" t="s">
        <v>684</v>
      </c>
    </row>
    <row r="102" spans="1:10">
      <c r="A102" s="2092">
        <f>IF(未审附注之非流动资产!A102="",0,未审附注之非流动资产!A102)</f>
        <v>0</v>
      </c>
      <c r="B102" s="2092">
        <f>IF(未审附注之非流动资产!B102="",0,未审附注之非流动资产!B102)</f>
        <v>0</v>
      </c>
      <c r="C102" s="2085">
        <f>IF(未审附注之非流动资产!C102="",0,未审附注之非流动资产!C102)</f>
        <v>0</v>
      </c>
      <c r="D102" s="2085">
        <f>IF(未审附注之非流动资产!D102="",0,未审附注之非流动资产!D102)</f>
        <v>0</v>
      </c>
      <c r="E102" s="2085">
        <f>IF(未审附注之非流动资产!E102="",0,未审附注之非流动资产!E102)</f>
        <v>0</v>
      </c>
      <c r="F102" s="2048">
        <f t="shared" si="6"/>
        <v>0</v>
      </c>
      <c r="G102" s="2126"/>
      <c r="H102" s="2126"/>
      <c r="I102" s="2126"/>
      <c r="J102" s="2135" t="s">
        <v>684</v>
      </c>
    </row>
    <row r="103" spans="1:10">
      <c r="A103" s="2092">
        <f>IF(未审附注之非流动资产!A103="",0,未审附注之非流动资产!A103)</f>
        <v>0</v>
      </c>
      <c r="B103" s="2092">
        <f>IF(未审附注之非流动资产!B103="",0,未审附注之非流动资产!B103)</f>
        <v>0</v>
      </c>
      <c r="C103" s="2085">
        <f>IF(未审附注之非流动资产!C103="",0,未审附注之非流动资产!C103)</f>
        <v>0</v>
      </c>
      <c r="D103" s="2085">
        <f>IF(未审附注之非流动资产!D103="",0,未审附注之非流动资产!D103)</f>
        <v>0</v>
      </c>
      <c r="E103" s="2085">
        <f>IF(未审附注之非流动资产!E103="",0,未审附注之非流动资产!E103)</f>
        <v>0</v>
      </c>
      <c r="F103" s="2048">
        <f t="shared" si="6"/>
        <v>0</v>
      </c>
      <c r="G103" s="2126"/>
      <c r="H103" s="2126"/>
      <c r="I103" s="2126"/>
      <c r="J103" s="2135" t="s">
        <v>684</v>
      </c>
    </row>
    <row r="104" spans="1:10">
      <c r="A104" s="2092">
        <f>IF(未审附注之非流动资产!A104="",0,未审附注之非流动资产!A104)</f>
        <v>0</v>
      </c>
      <c r="B104" s="2092">
        <f>IF(未审附注之非流动资产!B104="",0,未审附注之非流动资产!B104)</f>
        <v>0</v>
      </c>
      <c r="C104" s="2085">
        <f>IF(未审附注之非流动资产!C104="",0,未审附注之非流动资产!C104)</f>
        <v>0</v>
      </c>
      <c r="D104" s="2085">
        <f>IF(未审附注之非流动资产!D104="",0,未审附注之非流动资产!D104)</f>
        <v>0</v>
      </c>
      <c r="E104" s="2085">
        <f>IF(未审附注之非流动资产!E104="",0,未审附注之非流动资产!E104)</f>
        <v>0</v>
      </c>
      <c r="F104" s="2048">
        <f t="shared" si="6"/>
        <v>0</v>
      </c>
      <c r="G104" s="2126"/>
      <c r="H104" s="2126"/>
      <c r="I104" s="2126"/>
      <c r="J104" s="2135" t="s">
        <v>684</v>
      </c>
    </row>
    <row r="105" spans="1:10">
      <c r="A105" s="2092">
        <f>IF(未审附注之非流动资产!A105="",0,未审附注之非流动资产!A105)</f>
        <v>0</v>
      </c>
      <c r="B105" s="2092">
        <f>IF(未审附注之非流动资产!B105="",0,未审附注之非流动资产!B105)</f>
        <v>0</v>
      </c>
      <c r="C105" s="2085">
        <f>IF(未审附注之非流动资产!C105="",0,未审附注之非流动资产!C105)</f>
        <v>0</v>
      </c>
      <c r="D105" s="2085">
        <f>IF(未审附注之非流动资产!D105="",0,未审附注之非流动资产!D105)</f>
        <v>0</v>
      </c>
      <c r="E105" s="2085">
        <f>IF(未审附注之非流动资产!E105="",0,未审附注之非流动资产!E105)</f>
        <v>0</v>
      </c>
      <c r="F105" s="2048">
        <f t="shared" si="6"/>
        <v>0</v>
      </c>
      <c r="G105" s="2126"/>
      <c r="H105" s="2126"/>
      <c r="I105" s="2126"/>
      <c r="J105" s="2135" t="s">
        <v>684</v>
      </c>
    </row>
    <row r="106" spans="1:10">
      <c r="A106" s="2092">
        <f>IF(未审附注之非流动资产!A106="",0,未审附注之非流动资产!A106)</f>
        <v>0</v>
      </c>
      <c r="B106" s="2092">
        <f>IF(未审附注之非流动资产!B106="",0,未审附注之非流动资产!B106)</f>
        <v>0</v>
      </c>
      <c r="C106" s="2085">
        <f>IF(未审附注之非流动资产!C106="",0,未审附注之非流动资产!C106)</f>
        <v>0</v>
      </c>
      <c r="D106" s="2085">
        <f>IF(未审附注之非流动资产!D106="",0,未审附注之非流动资产!D106)</f>
        <v>0</v>
      </c>
      <c r="E106" s="2085">
        <f>IF(未审附注之非流动资产!E106="",0,未审附注之非流动资产!E106)</f>
        <v>0</v>
      </c>
      <c r="F106" s="2048">
        <f t="shared" si="6"/>
        <v>0</v>
      </c>
      <c r="G106" s="2126"/>
      <c r="H106" s="2126"/>
      <c r="I106" s="2126"/>
      <c r="J106" s="2135" t="s">
        <v>684</v>
      </c>
    </row>
    <row r="107" spans="1:10">
      <c r="A107" s="2092">
        <f>IF(未审附注之非流动资产!A107="",0,未审附注之非流动资产!A107)</f>
        <v>0</v>
      </c>
      <c r="B107" s="2092">
        <f>IF(未审附注之非流动资产!B107="",0,未审附注之非流动资产!B107)</f>
        <v>0</v>
      </c>
      <c r="C107" s="2085">
        <f>IF(未审附注之非流动资产!C107="",0,未审附注之非流动资产!C107)</f>
        <v>0</v>
      </c>
      <c r="D107" s="2085">
        <f>IF(未审附注之非流动资产!D107="",0,未审附注之非流动资产!D107)</f>
        <v>0</v>
      </c>
      <c r="E107" s="2085">
        <f>IF(未审附注之非流动资产!E107="",0,未审附注之非流动资产!E107)</f>
        <v>0</v>
      </c>
      <c r="F107" s="2048">
        <f t="shared" si="6"/>
        <v>0</v>
      </c>
      <c r="G107" s="2126"/>
      <c r="H107" s="2126"/>
      <c r="I107" s="2126"/>
      <c r="J107" s="2135" t="s">
        <v>684</v>
      </c>
    </row>
    <row r="108" spans="1:10">
      <c r="A108" s="2092">
        <f>IF(未审附注之非流动资产!A108="",0,未审附注之非流动资产!A108)</f>
        <v>0</v>
      </c>
      <c r="B108" s="2092">
        <f>IF(未审附注之非流动资产!B108="",0,未审附注之非流动资产!B108)</f>
        <v>0</v>
      </c>
      <c r="C108" s="2085">
        <f>IF(未审附注之非流动资产!C108="",0,未审附注之非流动资产!C108)</f>
        <v>0</v>
      </c>
      <c r="D108" s="2085">
        <f>IF(未审附注之非流动资产!D108="",0,未审附注之非流动资产!D108)</f>
        <v>0</v>
      </c>
      <c r="E108" s="2085">
        <f>IF(未审附注之非流动资产!E108="",0,未审附注之非流动资产!E108)</f>
        <v>0</v>
      </c>
      <c r="F108" s="2048">
        <f t="shared" si="6"/>
        <v>0</v>
      </c>
      <c r="G108" s="2126"/>
      <c r="H108" s="2126"/>
      <c r="I108" s="2126"/>
      <c r="J108" s="2135" t="s">
        <v>684</v>
      </c>
    </row>
    <row r="109" spans="1:10">
      <c r="A109" s="2082" t="s">
        <v>676</v>
      </c>
      <c r="B109" s="2048"/>
      <c r="C109" s="2048">
        <f>ROUND(SUM(C99:C108),2)</f>
        <v>0</v>
      </c>
      <c r="D109" s="2048">
        <f>ROUND(SUM(D99:D108),2)</f>
        <v>0</v>
      </c>
      <c r="E109" s="2048">
        <f>ROUND(SUM(E99:E108),2)</f>
        <v>0</v>
      </c>
      <c r="F109" s="2048">
        <f>ROUND(SUM(F99:F108),2)</f>
        <v>0</v>
      </c>
      <c r="G109" s="2126"/>
      <c r="H109" s="2126"/>
      <c r="I109" s="2126"/>
      <c r="J109" s="2135" t="s">
        <v>685</v>
      </c>
    </row>
    <row r="110" spans="1:10">
      <c r="A110" s="2087"/>
      <c r="B110" s="2087"/>
      <c r="C110" s="2087"/>
      <c r="D110" s="2124"/>
      <c r="E110" s="2124"/>
      <c r="F110" s="2124"/>
      <c r="G110" s="2126"/>
      <c r="H110" s="2126"/>
      <c r="I110" s="2126"/>
      <c r="J110" s="2135"/>
    </row>
    <row r="111" spans="1:10">
      <c r="A111" s="2084" t="s">
        <v>678</v>
      </c>
      <c r="B111" s="2124"/>
      <c r="C111" s="2124"/>
      <c r="D111" s="2124"/>
      <c r="E111" s="2124"/>
      <c r="F111" s="2124"/>
      <c r="G111" s="2126"/>
      <c r="H111" s="2126"/>
      <c r="I111" s="2126"/>
      <c r="J111" s="2135"/>
    </row>
    <row r="112" spans="1:10">
      <c r="A112" s="2092">
        <f>IF(未审附注之非流动资产!A112="",0,未审附注之非流动资产!A112)</f>
        <v>0</v>
      </c>
      <c r="B112" s="2092">
        <f>IF(未审附注之非流动资产!B112="",0,未审附注之非流动资产!B112)</f>
        <v>0</v>
      </c>
      <c r="C112" s="2085">
        <f>IF(未审附注之非流动资产!C112="",0,未审附注之非流动资产!C112)</f>
        <v>0</v>
      </c>
      <c r="D112" s="2085">
        <f>IF(未审附注之非流动资产!D112="",0,未审附注之非流动资产!D112)</f>
        <v>0</v>
      </c>
      <c r="E112" s="2085">
        <f>IF(未审附注之非流动资产!E112="",0,未审附注之非流动资产!E112)</f>
        <v>0</v>
      </c>
      <c r="F112" s="2048">
        <f>ROUND(C112+D112-E112,2)</f>
        <v>0</v>
      </c>
      <c r="G112" s="2126"/>
      <c r="H112" s="2126"/>
      <c r="I112" s="2126"/>
      <c r="J112" s="2135" t="s">
        <v>686</v>
      </c>
    </row>
    <row r="113" spans="1:10">
      <c r="A113" s="2092">
        <f>IF(未审附注之非流动资产!A113="",0,未审附注之非流动资产!A113)</f>
        <v>0</v>
      </c>
      <c r="B113" s="2092">
        <f>IF(未审附注之非流动资产!B113="",0,未审附注之非流动资产!B113)</f>
        <v>0</v>
      </c>
      <c r="C113" s="2085">
        <f>IF(未审附注之非流动资产!C113="",0,未审附注之非流动资产!C113)</f>
        <v>0</v>
      </c>
      <c r="D113" s="2085">
        <f>IF(未审附注之非流动资产!D113="",0,未审附注之非流动资产!D113)</f>
        <v>0</v>
      </c>
      <c r="E113" s="2085">
        <f>IF(未审附注之非流动资产!E113="",0,未审附注之非流动资产!E113)</f>
        <v>0</v>
      </c>
      <c r="F113" s="2048">
        <f t="shared" ref="F113:F121" si="7">ROUND(C113+D113-E113,2)</f>
        <v>0</v>
      </c>
      <c r="G113" s="2126"/>
      <c r="H113" s="2126"/>
      <c r="I113" s="2126"/>
      <c r="J113" s="2135" t="s">
        <v>686</v>
      </c>
    </row>
    <row r="114" spans="1:10">
      <c r="A114" s="2092">
        <f>IF(未审附注之非流动资产!A114="",0,未审附注之非流动资产!A114)</f>
        <v>0</v>
      </c>
      <c r="B114" s="2092">
        <f>IF(未审附注之非流动资产!B114="",0,未审附注之非流动资产!B114)</f>
        <v>0</v>
      </c>
      <c r="C114" s="2085">
        <f>IF(未审附注之非流动资产!C114="",0,未审附注之非流动资产!C114)</f>
        <v>0</v>
      </c>
      <c r="D114" s="2085">
        <f>IF(未审附注之非流动资产!D114="",0,未审附注之非流动资产!D114)</f>
        <v>0</v>
      </c>
      <c r="E114" s="2085">
        <f>IF(未审附注之非流动资产!E114="",0,未审附注之非流动资产!E114)</f>
        <v>0</v>
      </c>
      <c r="F114" s="2048">
        <f t="shared" si="7"/>
        <v>0</v>
      </c>
      <c r="G114" s="2126"/>
      <c r="H114" s="2126"/>
      <c r="I114" s="2126"/>
      <c r="J114" s="2135" t="s">
        <v>686</v>
      </c>
    </row>
    <row r="115" spans="1:10">
      <c r="A115" s="2092">
        <f>IF(未审附注之非流动资产!A115="",0,未审附注之非流动资产!A115)</f>
        <v>0</v>
      </c>
      <c r="B115" s="2092">
        <f>IF(未审附注之非流动资产!B115="",0,未审附注之非流动资产!B115)</f>
        <v>0</v>
      </c>
      <c r="C115" s="2085">
        <f>IF(未审附注之非流动资产!C115="",0,未审附注之非流动资产!C115)</f>
        <v>0</v>
      </c>
      <c r="D115" s="2085">
        <f>IF(未审附注之非流动资产!D115="",0,未审附注之非流动资产!D115)</f>
        <v>0</v>
      </c>
      <c r="E115" s="2085">
        <f>IF(未审附注之非流动资产!E115="",0,未审附注之非流动资产!E115)</f>
        <v>0</v>
      </c>
      <c r="F115" s="2048">
        <f t="shared" si="7"/>
        <v>0</v>
      </c>
      <c r="G115" s="2126"/>
      <c r="H115" s="2126"/>
      <c r="I115" s="2126"/>
      <c r="J115" s="2135" t="s">
        <v>686</v>
      </c>
    </row>
    <row r="116" spans="1:10">
      <c r="A116" s="2092">
        <f>IF(未审附注之非流动资产!A116="",0,未审附注之非流动资产!A116)</f>
        <v>0</v>
      </c>
      <c r="B116" s="2092">
        <f>IF(未审附注之非流动资产!B116="",0,未审附注之非流动资产!B116)</f>
        <v>0</v>
      </c>
      <c r="C116" s="2085">
        <f>IF(未审附注之非流动资产!C116="",0,未审附注之非流动资产!C116)</f>
        <v>0</v>
      </c>
      <c r="D116" s="2085">
        <f>IF(未审附注之非流动资产!D116="",0,未审附注之非流动资产!D116)</f>
        <v>0</v>
      </c>
      <c r="E116" s="2085">
        <f>IF(未审附注之非流动资产!E116="",0,未审附注之非流动资产!E116)</f>
        <v>0</v>
      </c>
      <c r="F116" s="2048">
        <f t="shared" si="7"/>
        <v>0</v>
      </c>
      <c r="G116" s="2126"/>
      <c r="H116" s="2126"/>
      <c r="I116" s="2126"/>
      <c r="J116" s="2135" t="s">
        <v>686</v>
      </c>
    </row>
    <row r="117" spans="1:10">
      <c r="A117" s="2092">
        <f>IF(未审附注之非流动资产!A117="",0,未审附注之非流动资产!A117)</f>
        <v>0</v>
      </c>
      <c r="B117" s="2092">
        <f>IF(未审附注之非流动资产!B117="",0,未审附注之非流动资产!B117)</f>
        <v>0</v>
      </c>
      <c r="C117" s="2085">
        <f>IF(未审附注之非流动资产!C117="",0,未审附注之非流动资产!C117)</f>
        <v>0</v>
      </c>
      <c r="D117" s="2085">
        <f>IF(未审附注之非流动资产!D117="",0,未审附注之非流动资产!D117)</f>
        <v>0</v>
      </c>
      <c r="E117" s="2085">
        <f>IF(未审附注之非流动资产!E117="",0,未审附注之非流动资产!E117)</f>
        <v>0</v>
      </c>
      <c r="F117" s="2048">
        <f t="shared" si="7"/>
        <v>0</v>
      </c>
      <c r="G117" s="2126"/>
      <c r="H117" s="2126"/>
      <c r="I117" s="2126"/>
      <c r="J117" s="2135" t="s">
        <v>686</v>
      </c>
    </row>
    <row r="118" spans="1:10">
      <c r="A118" s="2092">
        <f>IF(未审附注之非流动资产!A118="",0,未审附注之非流动资产!A118)</f>
        <v>0</v>
      </c>
      <c r="B118" s="2092">
        <f>IF(未审附注之非流动资产!B118="",0,未审附注之非流动资产!B118)</f>
        <v>0</v>
      </c>
      <c r="C118" s="2085">
        <f>IF(未审附注之非流动资产!C118="",0,未审附注之非流动资产!C118)</f>
        <v>0</v>
      </c>
      <c r="D118" s="2085">
        <f>IF(未审附注之非流动资产!D118="",0,未审附注之非流动资产!D118)</f>
        <v>0</v>
      </c>
      <c r="E118" s="2085">
        <f>IF(未审附注之非流动资产!E118="",0,未审附注之非流动资产!E118)</f>
        <v>0</v>
      </c>
      <c r="F118" s="2048">
        <f t="shared" si="7"/>
        <v>0</v>
      </c>
      <c r="G118" s="2126"/>
      <c r="H118" s="2126"/>
      <c r="I118" s="2126"/>
      <c r="J118" s="2135" t="s">
        <v>686</v>
      </c>
    </row>
    <row r="119" spans="1:10">
      <c r="A119" s="2092">
        <f>IF(未审附注之非流动资产!A119="",0,未审附注之非流动资产!A119)</f>
        <v>0</v>
      </c>
      <c r="B119" s="2092">
        <f>IF(未审附注之非流动资产!B119="",0,未审附注之非流动资产!B119)</f>
        <v>0</v>
      </c>
      <c r="C119" s="2085">
        <f>IF(未审附注之非流动资产!C119="",0,未审附注之非流动资产!C119)</f>
        <v>0</v>
      </c>
      <c r="D119" s="2085">
        <f>IF(未审附注之非流动资产!D119="",0,未审附注之非流动资产!D119)</f>
        <v>0</v>
      </c>
      <c r="E119" s="2085">
        <f>IF(未审附注之非流动资产!E119="",0,未审附注之非流动资产!E119)</f>
        <v>0</v>
      </c>
      <c r="F119" s="2048">
        <f t="shared" si="7"/>
        <v>0</v>
      </c>
      <c r="G119" s="2126"/>
      <c r="H119" s="2126"/>
      <c r="I119" s="2126"/>
      <c r="J119" s="2135" t="s">
        <v>686</v>
      </c>
    </row>
    <row r="120" spans="1:10">
      <c r="A120" s="2092">
        <f>IF(未审附注之非流动资产!A120="",0,未审附注之非流动资产!A120)</f>
        <v>0</v>
      </c>
      <c r="B120" s="2092">
        <f>IF(未审附注之非流动资产!B120="",0,未审附注之非流动资产!B120)</f>
        <v>0</v>
      </c>
      <c r="C120" s="2085">
        <f>IF(未审附注之非流动资产!C120="",0,未审附注之非流动资产!C120)</f>
        <v>0</v>
      </c>
      <c r="D120" s="2085">
        <f>IF(未审附注之非流动资产!D120="",0,未审附注之非流动资产!D120)</f>
        <v>0</v>
      </c>
      <c r="E120" s="2085">
        <f>IF(未审附注之非流动资产!E120="",0,未审附注之非流动资产!E120)</f>
        <v>0</v>
      </c>
      <c r="F120" s="2048">
        <f t="shared" si="7"/>
        <v>0</v>
      </c>
      <c r="G120" s="2126"/>
      <c r="H120" s="2126"/>
      <c r="I120" s="2126"/>
      <c r="J120" s="2135" t="s">
        <v>686</v>
      </c>
    </row>
    <row r="121" spans="1:10">
      <c r="A121" s="2092">
        <f>IF(未审附注之非流动资产!A121="",0,未审附注之非流动资产!A121)</f>
        <v>0</v>
      </c>
      <c r="B121" s="2092">
        <f>IF(未审附注之非流动资产!B121="",0,未审附注之非流动资产!B121)</f>
        <v>0</v>
      </c>
      <c r="C121" s="2085">
        <f>IF(未审附注之非流动资产!C121="",0,未审附注之非流动资产!C121)</f>
        <v>0</v>
      </c>
      <c r="D121" s="2085">
        <f>IF(未审附注之非流动资产!D121="",0,未审附注之非流动资产!D121)</f>
        <v>0</v>
      </c>
      <c r="E121" s="2085">
        <f>IF(未审附注之非流动资产!E121="",0,未审附注之非流动资产!E121)</f>
        <v>0</v>
      </c>
      <c r="F121" s="2048">
        <f t="shared" si="7"/>
        <v>0</v>
      </c>
      <c r="G121" s="2126"/>
      <c r="H121" s="2126"/>
      <c r="I121" s="2126"/>
      <c r="J121" s="2135" t="s">
        <v>686</v>
      </c>
    </row>
    <row r="122" spans="1:10">
      <c r="A122" s="2082" t="s">
        <v>676</v>
      </c>
      <c r="B122" s="2048"/>
      <c r="C122" s="2048">
        <f>ROUND(SUM(C112:C121),2)</f>
        <v>0</v>
      </c>
      <c r="D122" s="2048">
        <f>ROUND(SUM(D112:D121),2)</f>
        <v>0</v>
      </c>
      <c r="E122" s="2048">
        <f>ROUND(SUM(E112:E121),2)</f>
        <v>0</v>
      </c>
      <c r="F122" s="2048">
        <f>ROUND(SUM(F112:F121),2)</f>
        <v>0</v>
      </c>
      <c r="G122" s="2126"/>
      <c r="H122" s="2126"/>
      <c r="I122" s="2126"/>
      <c r="J122" s="2135" t="s">
        <v>687</v>
      </c>
    </row>
    <row r="123" spans="1:10">
      <c r="A123" s="2087"/>
      <c r="B123" s="2087"/>
      <c r="C123" s="2087"/>
      <c r="D123" s="2124"/>
      <c r="E123" s="2124"/>
      <c r="F123" s="2124"/>
      <c r="G123" s="2126"/>
      <c r="H123" s="2126"/>
      <c r="I123" s="2126"/>
      <c r="J123" s="2135"/>
    </row>
    <row r="124" spans="1:10">
      <c r="A124" s="2082" t="s">
        <v>384</v>
      </c>
      <c r="B124" s="2048"/>
      <c r="C124" s="2048">
        <f>ROUND(C109+C122,2)</f>
        <v>0</v>
      </c>
      <c r="D124" s="2048">
        <f>ROUND(D109+D122,2)</f>
        <v>0</v>
      </c>
      <c r="E124" s="2048">
        <f>ROUND(E109+E122,2)</f>
        <v>0</v>
      </c>
      <c r="F124" s="2048">
        <f>ROUND(F109+F122,2)</f>
        <v>0</v>
      </c>
      <c r="G124" s="2126"/>
      <c r="H124" s="2126"/>
      <c r="I124" s="2126"/>
      <c r="J124" s="2135" t="s">
        <v>688</v>
      </c>
    </row>
    <row r="125" spans="1:10">
      <c r="A125" s="2099"/>
      <c r="B125" s="2100"/>
      <c r="C125" s="2100"/>
      <c r="D125" s="2100"/>
      <c r="E125" s="2100"/>
      <c r="F125" s="2100"/>
      <c r="G125" s="2100"/>
      <c r="H125" s="2126"/>
      <c r="I125" s="2126"/>
      <c r="J125" s="2135"/>
    </row>
    <row r="126" spans="1:9">
      <c r="A126" s="2096" t="s">
        <v>689</v>
      </c>
      <c r="B126" s="2126"/>
      <c r="C126" s="2126"/>
      <c r="D126" s="2126"/>
      <c r="E126" s="2126"/>
      <c r="F126" s="2126"/>
      <c r="G126" s="2126"/>
      <c r="H126" s="2126"/>
      <c r="I126" s="2126"/>
    </row>
    <row r="127" spans="1:9">
      <c r="A127" s="2082" t="s">
        <v>419</v>
      </c>
      <c r="B127" s="2082" t="s">
        <v>690</v>
      </c>
      <c r="C127" s="2082" t="s">
        <v>349</v>
      </c>
      <c r="D127" s="2126"/>
      <c r="E127" s="2126"/>
      <c r="F127" s="2126"/>
      <c r="G127" s="2126"/>
      <c r="H127" s="2126"/>
      <c r="I127" s="2126"/>
    </row>
    <row r="128" spans="1:10">
      <c r="A128" s="2092">
        <f>IF(未审附注之非流动资产!A128="",0,未审附注之非流动资产!A128)</f>
        <v>0</v>
      </c>
      <c r="B128" s="2092">
        <f>IF(未审附注之非流动资产!B128="",0,未审附注之非流动资产!B128)</f>
        <v>0</v>
      </c>
      <c r="C128" s="2092">
        <f>IF(未审附注之非流动资产!C128="",0,未审附注之非流动资产!C128)</f>
        <v>0</v>
      </c>
      <c r="D128" s="2126"/>
      <c r="E128" s="2126"/>
      <c r="F128" s="2126"/>
      <c r="G128" s="2126"/>
      <c r="H128" s="2126"/>
      <c r="I128" s="2126"/>
      <c r="J128" s="2135" t="s">
        <v>691</v>
      </c>
    </row>
    <row r="129" spans="1:10">
      <c r="A129" s="2092">
        <f>IF(未审附注之非流动资产!A129="",0,未审附注之非流动资产!A129)</f>
        <v>0</v>
      </c>
      <c r="B129" s="2092">
        <f>IF(未审附注之非流动资产!B129="",0,未审附注之非流动资产!B129)</f>
        <v>0</v>
      </c>
      <c r="C129" s="2092">
        <f>IF(未审附注之非流动资产!C129="",0,未审附注之非流动资产!C129)</f>
        <v>0</v>
      </c>
      <c r="D129" s="2126"/>
      <c r="E129" s="2126"/>
      <c r="F129" s="2126"/>
      <c r="G129" s="2126"/>
      <c r="H129" s="2126"/>
      <c r="I129" s="2126"/>
      <c r="J129" s="2135" t="s">
        <v>691</v>
      </c>
    </row>
    <row r="130" spans="1:10">
      <c r="A130" s="2092">
        <f>IF(未审附注之非流动资产!A130="",0,未审附注之非流动资产!A130)</f>
        <v>0</v>
      </c>
      <c r="B130" s="2092">
        <f>IF(未审附注之非流动资产!B130="",0,未审附注之非流动资产!B130)</f>
        <v>0</v>
      </c>
      <c r="C130" s="2092">
        <f>IF(未审附注之非流动资产!C130="",0,未审附注之非流动资产!C130)</f>
        <v>0</v>
      </c>
      <c r="D130" s="2126"/>
      <c r="E130" s="2126"/>
      <c r="F130" s="2126"/>
      <c r="G130" s="2126"/>
      <c r="H130" s="2126"/>
      <c r="I130" s="2126"/>
      <c r="J130" s="2135" t="s">
        <v>691</v>
      </c>
    </row>
    <row r="131" spans="1:10">
      <c r="A131" s="2092">
        <f>IF(未审附注之非流动资产!A131="",0,未审附注之非流动资产!A131)</f>
        <v>0</v>
      </c>
      <c r="B131" s="2092">
        <f>IF(未审附注之非流动资产!B131="",0,未审附注之非流动资产!B131)</f>
        <v>0</v>
      </c>
      <c r="C131" s="2092">
        <f>IF(未审附注之非流动资产!C131="",0,未审附注之非流动资产!C131)</f>
        <v>0</v>
      </c>
      <c r="D131" s="2126"/>
      <c r="E131" s="2126"/>
      <c r="F131" s="2126"/>
      <c r="G131" s="2126"/>
      <c r="H131" s="2126"/>
      <c r="I131" s="2126"/>
      <c r="J131" s="2135" t="s">
        <v>691</v>
      </c>
    </row>
    <row r="132" spans="1:10">
      <c r="A132" s="2092">
        <f>IF(未审附注之非流动资产!A132="",0,未审附注之非流动资产!A132)</f>
        <v>0</v>
      </c>
      <c r="B132" s="2092">
        <f>IF(未审附注之非流动资产!B132="",0,未审附注之非流动资产!B132)</f>
        <v>0</v>
      </c>
      <c r="C132" s="2092">
        <f>IF(未审附注之非流动资产!C132="",0,未审附注之非流动资产!C132)</f>
        <v>0</v>
      </c>
      <c r="D132" s="2126"/>
      <c r="E132" s="2126"/>
      <c r="F132" s="2126"/>
      <c r="G132" s="2126"/>
      <c r="H132" s="2126"/>
      <c r="I132" s="2126"/>
      <c r="J132" s="2135" t="s">
        <v>691</v>
      </c>
    </row>
    <row r="133" spans="1:10">
      <c r="A133" s="2092">
        <f>IF(未审附注之非流动资产!A133="",0,未审附注之非流动资产!A133)</f>
        <v>0</v>
      </c>
      <c r="B133" s="2092">
        <f>IF(未审附注之非流动资产!B133="",0,未审附注之非流动资产!B133)</f>
        <v>0</v>
      </c>
      <c r="C133" s="2092">
        <f>IF(未审附注之非流动资产!C133="",0,未审附注之非流动资产!C133)</f>
        <v>0</v>
      </c>
      <c r="D133" s="2126"/>
      <c r="E133" s="2126"/>
      <c r="F133" s="2126"/>
      <c r="G133" s="2126"/>
      <c r="H133" s="2126"/>
      <c r="I133" s="2126"/>
      <c r="J133" s="2135" t="s">
        <v>691</v>
      </c>
    </row>
    <row r="134" spans="1:10">
      <c r="A134" s="2092">
        <f>IF(未审附注之非流动资产!A134="",0,未审附注之非流动资产!A134)</f>
        <v>0</v>
      </c>
      <c r="B134" s="2092">
        <f>IF(未审附注之非流动资产!B134="",0,未审附注之非流动资产!B134)</f>
        <v>0</v>
      </c>
      <c r="C134" s="2092">
        <f>IF(未审附注之非流动资产!C134="",0,未审附注之非流动资产!C134)</f>
        <v>0</v>
      </c>
      <c r="D134" s="2126"/>
      <c r="E134" s="2126"/>
      <c r="F134" s="2126"/>
      <c r="G134" s="2126"/>
      <c r="H134" s="2126"/>
      <c r="I134" s="2126"/>
      <c r="J134" s="2135" t="s">
        <v>691</v>
      </c>
    </row>
    <row r="135" spans="1:10">
      <c r="A135" s="2092">
        <f>IF(未审附注之非流动资产!A135="",0,未审附注之非流动资产!A135)</f>
        <v>0</v>
      </c>
      <c r="B135" s="2092">
        <f>IF(未审附注之非流动资产!B135="",0,未审附注之非流动资产!B135)</f>
        <v>0</v>
      </c>
      <c r="C135" s="2092">
        <f>IF(未审附注之非流动资产!C135="",0,未审附注之非流动资产!C135)</f>
        <v>0</v>
      </c>
      <c r="D135" s="2126"/>
      <c r="E135" s="2126"/>
      <c r="F135" s="2126"/>
      <c r="G135" s="2126"/>
      <c r="H135" s="2126"/>
      <c r="I135" s="2126"/>
      <c r="J135" s="2135" t="s">
        <v>691</v>
      </c>
    </row>
    <row r="136" spans="1:10">
      <c r="A136" s="2092">
        <f>IF(未审附注之非流动资产!A136="",0,未审附注之非流动资产!A136)</f>
        <v>0</v>
      </c>
      <c r="B136" s="2092">
        <f>IF(未审附注之非流动资产!B136="",0,未审附注之非流动资产!B136)</f>
        <v>0</v>
      </c>
      <c r="C136" s="2092">
        <f>IF(未审附注之非流动资产!C136="",0,未审附注之非流动资产!C136)</f>
        <v>0</v>
      </c>
      <c r="D136" s="2126"/>
      <c r="E136" s="2126"/>
      <c r="F136" s="2126"/>
      <c r="G136" s="2126"/>
      <c r="H136" s="2126"/>
      <c r="I136" s="2126"/>
      <c r="J136" s="2135" t="s">
        <v>691</v>
      </c>
    </row>
    <row r="137" spans="1:10">
      <c r="A137" s="2092">
        <f>IF(未审附注之非流动资产!A137="",0,未审附注之非流动资产!A137)</f>
        <v>0</v>
      </c>
      <c r="B137" s="2092">
        <f>IF(未审附注之非流动资产!B137="",0,未审附注之非流动资产!B137)</f>
        <v>0</v>
      </c>
      <c r="C137" s="2092">
        <f>IF(未审附注之非流动资产!C137="",0,未审附注之非流动资产!C137)</f>
        <v>0</v>
      </c>
      <c r="D137" s="2126"/>
      <c r="E137" s="2126"/>
      <c r="F137" s="2126"/>
      <c r="G137" s="2126"/>
      <c r="H137" s="2126"/>
      <c r="I137" s="2126"/>
      <c r="J137" s="2135" t="s">
        <v>691</v>
      </c>
    </row>
    <row r="138" spans="1:9">
      <c r="A138" s="2132"/>
      <c r="B138" s="2100"/>
      <c r="C138" s="2100"/>
      <c r="D138" s="2126"/>
      <c r="E138" s="2126"/>
      <c r="F138" s="2126"/>
      <c r="G138" s="2126"/>
      <c r="H138" s="2126"/>
      <c r="I138" s="2126"/>
    </row>
    <row r="139" spans="1:9">
      <c r="A139" s="2081" t="s">
        <v>692</v>
      </c>
      <c r="B139" s="2126"/>
      <c r="C139" s="2126"/>
      <c r="D139" s="2126"/>
      <c r="E139" s="2126"/>
      <c r="F139" s="2126"/>
      <c r="G139" s="2126"/>
      <c r="H139" s="2126"/>
      <c r="I139" s="2126"/>
    </row>
    <row r="140" spans="1:9">
      <c r="A140" s="2082" t="s">
        <v>419</v>
      </c>
      <c r="B140" s="2082" t="s">
        <v>693</v>
      </c>
      <c r="C140" s="2082" t="s">
        <v>694</v>
      </c>
      <c r="D140" s="2126"/>
      <c r="E140" s="2126"/>
      <c r="F140" s="2126"/>
      <c r="G140" s="2126"/>
      <c r="H140" s="2126"/>
      <c r="I140" s="2126"/>
    </row>
    <row r="141" spans="1:10">
      <c r="A141" s="2092">
        <f>IF(未审附注之非流动资产!A141="",0,未审附注之非流动资产!A141)</f>
        <v>0</v>
      </c>
      <c r="B141" s="2085">
        <f>IF(未审附注之非流动资产!B141="",0,未审附注之非流动资产!B141)</f>
        <v>0</v>
      </c>
      <c r="C141" s="2085">
        <f>IF(未审附注之非流动资产!C141="",0,未审附注之非流动资产!C141)</f>
        <v>0</v>
      </c>
      <c r="D141" s="2126"/>
      <c r="E141" s="2126"/>
      <c r="F141" s="2126"/>
      <c r="G141" s="2126"/>
      <c r="H141" s="2126"/>
      <c r="I141" s="2126"/>
      <c r="J141" s="2135" t="s">
        <v>695</v>
      </c>
    </row>
    <row r="142" spans="1:10">
      <c r="A142" s="2092">
        <f>IF(未审附注之非流动资产!A142="",0,未审附注之非流动资产!A142)</f>
        <v>0</v>
      </c>
      <c r="B142" s="2085">
        <f>IF(未审附注之非流动资产!B142="",0,未审附注之非流动资产!B142)</f>
        <v>0</v>
      </c>
      <c r="C142" s="2085">
        <f>IF(未审附注之非流动资产!C142="",0,未审附注之非流动资产!C142)</f>
        <v>0</v>
      </c>
      <c r="D142" s="2126"/>
      <c r="E142" s="2126"/>
      <c r="F142" s="2126"/>
      <c r="G142" s="2126"/>
      <c r="H142" s="2126"/>
      <c r="I142" s="2126"/>
      <c r="J142" s="2135" t="s">
        <v>695</v>
      </c>
    </row>
    <row r="143" spans="1:10">
      <c r="A143" s="2092">
        <f>IF(未审附注之非流动资产!A143="",0,未审附注之非流动资产!A143)</f>
        <v>0</v>
      </c>
      <c r="B143" s="2085">
        <f>IF(未审附注之非流动资产!B143="",0,未审附注之非流动资产!B143)</f>
        <v>0</v>
      </c>
      <c r="C143" s="2085">
        <f>IF(未审附注之非流动资产!C143="",0,未审附注之非流动资产!C143)</f>
        <v>0</v>
      </c>
      <c r="D143" s="2126"/>
      <c r="E143" s="2126"/>
      <c r="F143" s="2126"/>
      <c r="G143" s="2126"/>
      <c r="H143" s="2126"/>
      <c r="I143" s="2126"/>
      <c r="J143" s="2135" t="s">
        <v>695</v>
      </c>
    </row>
    <row r="144" spans="1:10">
      <c r="A144" s="2092">
        <f>IF(未审附注之非流动资产!A144="",0,未审附注之非流动资产!A144)</f>
        <v>0</v>
      </c>
      <c r="B144" s="2085">
        <f>IF(未审附注之非流动资产!B144="",0,未审附注之非流动资产!B144)</f>
        <v>0</v>
      </c>
      <c r="C144" s="2085">
        <f>IF(未审附注之非流动资产!C144="",0,未审附注之非流动资产!C144)</f>
        <v>0</v>
      </c>
      <c r="D144" s="2126"/>
      <c r="E144" s="2126"/>
      <c r="F144" s="2126"/>
      <c r="G144" s="2126"/>
      <c r="H144" s="2126"/>
      <c r="I144" s="2126"/>
      <c r="J144" s="2135" t="s">
        <v>695</v>
      </c>
    </row>
    <row r="145" spans="1:10">
      <c r="A145" s="2092">
        <f>IF(未审附注之非流动资产!A145="",0,未审附注之非流动资产!A145)</f>
        <v>0</v>
      </c>
      <c r="B145" s="2085">
        <f>IF(未审附注之非流动资产!B145="",0,未审附注之非流动资产!B145)</f>
        <v>0</v>
      </c>
      <c r="C145" s="2085">
        <f>IF(未审附注之非流动资产!C145="",0,未审附注之非流动资产!C145)</f>
        <v>0</v>
      </c>
      <c r="D145" s="2126"/>
      <c r="E145" s="2126"/>
      <c r="F145" s="2126"/>
      <c r="G145" s="2126"/>
      <c r="H145" s="2126"/>
      <c r="I145" s="2126"/>
      <c r="J145" s="2135" t="s">
        <v>695</v>
      </c>
    </row>
    <row r="146" spans="1:10">
      <c r="A146" s="2092">
        <f>IF(未审附注之非流动资产!A146="",0,未审附注之非流动资产!A146)</f>
        <v>0</v>
      </c>
      <c r="B146" s="2085">
        <f>IF(未审附注之非流动资产!B146="",0,未审附注之非流动资产!B146)</f>
        <v>0</v>
      </c>
      <c r="C146" s="2085">
        <f>IF(未审附注之非流动资产!C146="",0,未审附注之非流动资产!C146)</f>
        <v>0</v>
      </c>
      <c r="D146" s="2126"/>
      <c r="E146" s="2126"/>
      <c r="F146" s="2126"/>
      <c r="G146" s="2126"/>
      <c r="H146" s="2126"/>
      <c r="I146" s="2126"/>
      <c r="J146" s="2135" t="s">
        <v>695</v>
      </c>
    </row>
    <row r="147" spans="1:10">
      <c r="A147" s="2092">
        <f>IF(未审附注之非流动资产!A147="",0,未审附注之非流动资产!A147)</f>
        <v>0</v>
      </c>
      <c r="B147" s="2085">
        <f>IF(未审附注之非流动资产!B147="",0,未审附注之非流动资产!B147)</f>
        <v>0</v>
      </c>
      <c r="C147" s="2085">
        <f>IF(未审附注之非流动资产!C147="",0,未审附注之非流动资产!C147)</f>
        <v>0</v>
      </c>
      <c r="D147" s="2126"/>
      <c r="E147" s="2126"/>
      <c r="F147" s="2126"/>
      <c r="G147" s="2126"/>
      <c r="H147" s="2126"/>
      <c r="I147" s="2126"/>
      <c r="J147" s="2135" t="s">
        <v>695</v>
      </c>
    </row>
    <row r="148" spans="1:10">
      <c r="A148" s="2092">
        <f>IF(未审附注之非流动资产!A148="",0,未审附注之非流动资产!A148)</f>
        <v>0</v>
      </c>
      <c r="B148" s="2085">
        <f>IF(未审附注之非流动资产!B148="",0,未审附注之非流动资产!B148)</f>
        <v>0</v>
      </c>
      <c r="C148" s="2085">
        <f>IF(未审附注之非流动资产!C148="",0,未审附注之非流动资产!C148)</f>
        <v>0</v>
      </c>
      <c r="D148" s="2126"/>
      <c r="E148" s="2126"/>
      <c r="F148" s="2126"/>
      <c r="G148" s="2126"/>
      <c r="H148" s="2126"/>
      <c r="I148" s="2126"/>
      <c r="J148" s="2135" t="s">
        <v>695</v>
      </c>
    </row>
    <row r="149" spans="1:10">
      <c r="A149" s="2092">
        <f>IF(未审附注之非流动资产!A149="",0,未审附注之非流动资产!A149)</f>
        <v>0</v>
      </c>
      <c r="B149" s="2085">
        <f>IF(未审附注之非流动资产!B149="",0,未审附注之非流动资产!B149)</f>
        <v>0</v>
      </c>
      <c r="C149" s="2085">
        <f>IF(未审附注之非流动资产!C149="",0,未审附注之非流动资产!C149)</f>
        <v>0</v>
      </c>
      <c r="D149" s="2126"/>
      <c r="E149" s="2126"/>
      <c r="F149" s="2126"/>
      <c r="G149" s="2126"/>
      <c r="H149" s="2126"/>
      <c r="I149" s="2126"/>
      <c r="J149" s="2135" t="s">
        <v>695</v>
      </c>
    </row>
    <row r="150" spans="1:10">
      <c r="A150" s="2092">
        <f>IF(未审附注之非流动资产!A150="",0,未审附注之非流动资产!A150)</f>
        <v>0</v>
      </c>
      <c r="B150" s="2085">
        <f>IF(未审附注之非流动资产!B150="",0,未审附注之非流动资产!B150)</f>
        <v>0</v>
      </c>
      <c r="C150" s="2085">
        <f>IF(未审附注之非流动资产!C150="",0,未审附注之非流动资产!C150)</f>
        <v>0</v>
      </c>
      <c r="D150" s="2126"/>
      <c r="E150" s="2126"/>
      <c r="F150" s="2126"/>
      <c r="G150" s="2126"/>
      <c r="H150" s="2126"/>
      <c r="I150" s="2126"/>
      <c r="J150" s="2135" t="s">
        <v>695</v>
      </c>
    </row>
    <row r="151" spans="1:10">
      <c r="A151" s="2082" t="s">
        <v>384</v>
      </c>
      <c r="B151" s="2048">
        <f>ROUND(SUM(B141:B150),2)</f>
        <v>0</v>
      </c>
      <c r="C151" s="2048">
        <f>ROUND(SUM(C141:C150),2)</f>
        <v>0</v>
      </c>
      <c r="D151" s="2126"/>
      <c r="E151" s="2126"/>
      <c r="F151" s="2126"/>
      <c r="G151" s="2126"/>
      <c r="H151" s="2126"/>
      <c r="I151" s="2126"/>
      <c r="J151" s="2135" t="s">
        <v>696</v>
      </c>
    </row>
    <row r="152" spans="1:9">
      <c r="A152" s="2132"/>
      <c r="B152" s="2100"/>
      <c r="C152" s="2100"/>
      <c r="D152" s="2126"/>
      <c r="E152" s="2126"/>
      <c r="F152" s="2126"/>
      <c r="G152" s="2126"/>
      <c r="H152" s="2126"/>
      <c r="I152" s="2126"/>
    </row>
    <row r="153" spans="1:9">
      <c r="A153" s="2081" t="s">
        <v>697</v>
      </c>
      <c r="B153" s="2126"/>
      <c r="C153" s="2126"/>
      <c r="D153" s="2126"/>
      <c r="E153" s="2126"/>
      <c r="F153" s="2126"/>
      <c r="G153" s="2126"/>
      <c r="H153" s="2126"/>
      <c r="I153" s="2126"/>
    </row>
    <row r="154" spans="1:9">
      <c r="A154" s="2082" t="s">
        <v>668</v>
      </c>
      <c r="B154" s="2082" t="s">
        <v>698</v>
      </c>
      <c r="C154" s="2082" t="s">
        <v>699</v>
      </c>
      <c r="D154" s="2082" t="s">
        <v>700</v>
      </c>
      <c r="E154" s="2082" t="s">
        <v>701</v>
      </c>
      <c r="F154" s="2082" t="s">
        <v>702</v>
      </c>
      <c r="G154" s="2082" t="s">
        <v>703</v>
      </c>
      <c r="H154" s="2082" t="s">
        <v>704</v>
      </c>
      <c r="I154" s="2099"/>
    </row>
    <row r="155" spans="1:10">
      <c r="A155" s="2084" t="s">
        <v>705</v>
      </c>
      <c r="B155" s="2124"/>
      <c r="C155" s="2124"/>
      <c r="D155" s="2124"/>
      <c r="E155" s="2124"/>
      <c r="F155" s="2124"/>
      <c r="G155" s="2124"/>
      <c r="H155" s="2124"/>
      <c r="I155" s="2102"/>
      <c r="J155" s="2135"/>
    </row>
    <row r="156" spans="1:10">
      <c r="A156" s="2092">
        <f>IF(未审附注之非流动资产!A156="",0,未审附注之非流动资产!A156)</f>
        <v>0</v>
      </c>
      <c r="B156" s="2092">
        <f>IF(未审附注之非流动资产!B156="",0,未审附注之非流动资产!B156)</f>
        <v>0</v>
      </c>
      <c r="C156" s="2092">
        <f>IF(未审附注之非流动资产!C156="",0,未审附注之非流动资产!C156)</f>
        <v>0</v>
      </c>
      <c r="D156" s="2111">
        <f>IF(未审附注之非流动资产!D156="",0,未审附注之非流动资产!D156)</f>
        <v>0</v>
      </c>
      <c r="E156" s="2111">
        <f>IF(未审附注之非流动资产!E156="",0,未审附注之非流动资产!E156)</f>
        <v>0</v>
      </c>
      <c r="F156" s="2085">
        <f>IF(未审附注之非流动资产!F156="",0,未审附注之非流动资产!F156)</f>
        <v>0</v>
      </c>
      <c r="G156" s="2085">
        <f>IF(未审附注之非流动资产!G156="",0,未审附注之非流动资产!G156)</f>
        <v>0</v>
      </c>
      <c r="H156" s="2085">
        <f>IF(未审附注之非流动资产!H156="",0,未审附注之非流动资产!H156)</f>
        <v>0</v>
      </c>
      <c r="I156" s="2102"/>
      <c r="J156" s="2135" t="s">
        <v>706</v>
      </c>
    </row>
    <row r="157" spans="1:10">
      <c r="A157" s="2092">
        <f>IF(未审附注之非流动资产!A157="",0,未审附注之非流动资产!A157)</f>
        <v>0</v>
      </c>
      <c r="B157" s="2092">
        <f>IF(未审附注之非流动资产!B157="",0,未审附注之非流动资产!B157)</f>
        <v>0</v>
      </c>
      <c r="C157" s="2092">
        <f>IF(未审附注之非流动资产!C157="",0,未审附注之非流动资产!C157)</f>
        <v>0</v>
      </c>
      <c r="D157" s="2111">
        <f>IF(未审附注之非流动资产!D157="",0,未审附注之非流动资产!D157)</f>
        <v>0</v>
      </c>
      <c r="E157" s="2111">
        <f>IF(未审附注之非流动资产!E157="",0,未审附注之非流动资产!E157)</f>
        <v>0</v>
      </c>
      <c r="F157" s="2085">
        <f>IF(未审附注之非流动资产!F157="",0,未审附注之非流动资产!F157)</f>
        <v>0</v>
      </c>
      <c r="G157" s="2085">
        <f>IF(未审附注之非流动资产!G157="",0,未审附注之非流动资产!G157)</f>
        <v>0</v>
      </c>
      <c r="H157" s="2085">
        <f>IF(未审附注之非流动资产!H157="",0,未审附注之非流动资产!H157)</f>
        <v>0</v>
      </c>
      <c r="I157" s="2102"/>
      <c r="J157" s="2135" t="s">
        <v>706</v>
      </c>
    </row>
    <row r="158" spans="1:10">
      <c r="A158" s="2092">
        <f>IF(未审附注之非流动资产!A158="",0,未审附注之非流动资产!A158)</f>
        <v>0</v>
      </c>
      <c r="B158" s="2092">
        <f>IF(未审附注之非流动资产!B158="",0,未审附注之非流动资产!B158)</f>
        <v>0</v>
      </c>
      <c r="C158" s="2092">
        <f>IF(未审附注之非流动资产!C158="",0,未审附注之非流动资产!C158)</f>
        <v>0</v>
      </c>
      <c r="D158" s="2111">
        <f>IF(未审附注之非流动资产!D158="",0,未审附注之非流动资产!D158)</f>
        <v>0</v>
      </c>
      <c r="E158" s="2111">
        <f>IF(未审附注之非流动资产!E158="",0,未审附注之非流动资产!E158)</f>
        <v>0</v>
      </c>
      <c r="F158" s="2085">
        <f>IF(未审附注之非流动资产!F158="",0,未审附注之非流动资产!F158)</f>
        <v>0</v>
      </c>
      <c r="G158" s="2085">
        <f>IF(未审附注之非流动资产!G158="",0,未审附注之非流动资产!G158)</f>
        <v>0</v>
      </c>
      <c r="H158" s="2085">
        <f>IF(未审附注之非流动资产!H158="",0,未审附注之非流动资产!H158)</f>
        <v>0</v>
      </c>
      <c r="I158" s="2102"/>
      <c r="J158" s="2135" t="s">
        <v>706</v>
      </c>
    </row>
    <row r="159" spans="1:10">
      <c r="A159" s="2092">
        <f>IF(未审附注之非流动资产!A159="",0,未审附注之非流动资产!A159)</f>
        <v>0</v>
      </c>
      <c r="B159" s="2092">
        <f>IF(未审附注之非流动资产!B159="",0,未审附注之非流动资产!B159)</f>
        <v>0</v>
      </c>
      <c r="C159" s="2092">
        <f>IF(未审附注之非流动资产!C159="",0,未审附注之非流动资产!C159)</f>
        <v>0</v>
      </c>
      <c r="D159" s="2111">
        <f>IF(未审附注之非流动资产!D159="",0,未审附注之非流动资产!D159)</f>
        <v>0</v>
      </c>
      <c r="E159" s="2111">
        <f>IF(未审附注之非流动资产!E159="",0,未审附注之非流动资产!E159)</f>
        <v>0</v>
      </c>
      <c r="F159" s="2085">
        <f>IF(未审附注之非流动资产!F159="",0,未审附注之非流动资产!F159)</f>
        <v>0</v>
      </c>
      <c r="G159" s="2085">
        <f>IF(未审附注之非流动资产!G159="",0,未审附注之非流动资产!G159)</f>
        <v>0</v>
      </c>
      <c r="H159" s="2085">
        <f>IF(未审附注之非流动资产!H159="",0,未审附注之非流动资产!H159)</f>
        <v>0</v>
      </c>
      <c r="I159" s="2102"/>
      <c r="J159" s="2135" t="s">
        <v>706</v>
      </c>
    </row>
    <row r="160" spans="1:10">
      <c r="A160" s="2092">
        <f>IF(未审附注之非流动资产!A160="",0,未审附注之非流动资产!A160)</f>
        <v>0</v>
      </c>
      <c r="B160" s="2092">
        <f>IF(未审附注之非流动资产!B160="",0,未审附注之非流动资产!B160)</f>
        <v>0</v>
      </c>
      <c r="C160" s="2092">
        <f>IF(未审附注之非流动资产!C160="",0,未审附注之非流动资产!C160)</f>
        <v>0</v>
      </c>
      <c r="D160" s="2111">
        <f>IF(未审附注之非流动资产!D160="",0,未审附注之非流动资产!D160)</f>
        <v>0</v>
      </c>
      <c r="E160" s="2111">
        <f>IF(未审附注之非流动资产!E160="",0,未审附注之非流动资产!E160)</f>
        <v>0</v>
      </c>
      <c r="F160" s="2085">
        <f>IF(未审附注之非流动资产!F160="",0,未审附注之非流动资产!F160)</f>
        <v>0</v>
      </c>
      <c r="G160" s="2085">
        <f>IF(未审附注之非流动资产!G160="",0,未审附注之非流动资产!G160)</f>
        <v>0</v>
      </c>
      <c r="H160" s="2085">
        <f>IF(未审附注之非流动资产!H160="",0,未审附注之非流动资产!H160)</f>
        <v>0</v>
      </c>
      <c r="I160" s="2102"/>
      <c r="J160" s="2135" t="s">
        <v>706</v>
      </c>
    </row>
    <row r="161" spans="1:10">
      <c r="A161" s="2092">
        <f>IF(未审附注之非流动资产!A161="",0,未审附注之非流动资产!A161)</f>
        <v>0</v>
      </c>
      <c r="B161" s="2092">
        <f>IF(未审附注之非流动资产!B161="",0,未审附注之非流动资产!B161)</f>
        <v>0</v>
      </c>
      <c r="C161" s="2092">
        <f>IF(未审附注之非流动资产!C161="",0,未审附注之非流动资产!C161)</f>
        <v>0</v>
      </c>
      <c r="D161" s="2111">
        <f>IF(未审附注之非流动资产!D161="",0,未审附注之非流动资产!D161)</f>
        <v>0</v>
      </c>
      <c r="E161" s="2111">
        <f>IF(未审附注之非流动资产!E161="",0,未审附注之非流动资产!E161)</f>
        <v>0</v>
      </c>
      <c r="F161" s="2085">
        <f>IF(未审附注之非流动资产!F161="",0,未审附注之非流动资产!F161)</f>
        <v>0</v>
      </c>
      <c r="G161" s="2085">
        <f>IF(未审附注之非流动资产!G161="",0,未审附注之非流动资产!G161)</f>
        <v>0</v>
      </c>
      <c r="H161" s="2085">
        <f>IF(未审附注之非流动资产!H161="",0,未审附注之非流动资产!H161)</f>
        <v>0</v>
      </c>
      <c r="I161" s="2102"/>
      <c r="J161" s="2135" t="s">
        <v>706</v>
      </c>
    </row>
    <row r="162" spans="1:10">
      <c r="A162" s="2092">
        <f>IF(未审附注之非流动资产!A162="",0,未审附注之非流动资产!A162)</f>
        <v>0</v>
      </c>
      <c r="B162" s="2092">
        <f>IF(未审附注之非流动资产!B162="",0,未审附注之非流动资产!B162)</f>
        <v>0</v>
      </c>
      <c r="C162" s="2092">
        <f>IF(未审附注之非流动资产!C162="",0,未审附注之非流动资产!C162)</f>
        <v>0</v>
      </c>
      <c r="D162" s="2111">
        <f>IF(未审附注之非流动资产!D162="",0,未审附注之非流动资产!D162)</f>
        <v>0</v>
      </c>
      <c r="E162" s="2111">
        <f>IF(未审附注之非流动资产!E162="",0,未审附注之非流动资产!E162)</f>
        <v>0</v>
      </c>
      <c r="F162" s="2085">
        <f>IF(未审附注之非流动资产!F162="",0,未审附注之非流动资产!F162)</f>
        <v>0</v>
      </c>
      <c r="G162" s="2085">
        <f>IF(未审附注之非流动资产!G162="",0,未审附注之非流动资产!G162)</f>
        <v>0</v>
      </c>
      <c r="H162" s="2085">
        <f>IF(未审附注之非流动资产!H162="",0,未审附注之非流动资产!H162)</f>
        <v>0</v>
      </c>
      <c r="I162" s="2102"/>
      <c r="J162" s="2135" t="s">
        <v>706</v>
      </c>
    </row>
    <row r="163" spans="1:10">
      <c r="A163" s="2092">
        <f>IF(未审附注之非流动资产!A163="",0,未审附注之非流动资产!A163)</f>
        <v>0</v>
      </c>
      <c r="B163" s="2092">
        <f>IF(未审附注之非流动资产!B163="",0,未审附注之非流动资产!B163)</f>
        <v>0</v>
      </c>
      <c r="C163" s="2092">
        <f>IF(未审附注之非流动资产!C163="",0,未审附注之非流动资产!C163)</f>
        <v>0</v>
      </c>
      <c r="D163" s="2111">
        <f>IF(未审附注之非流动资产!D163="",0,未审附注之非流动资产!D163)</f>
        <v>0</v>
      </c>
      <c r="E163" s="2111">
        <f>IF(未审附注之非流动资产!E163="",0,未审附注之非流动资产!E163)</f>
        <v>0</v>
      </c>
      <c r="F163" s="2085">
        <f>IF(未审附注之非流动资产!F163="",0,未审附注之非流动资产!F163)</f>
        <v>0</v>
      </c>
      <c r="G163" s="2085">
        <f>IF(未审附注之非流动资产!G163="",0,未审附注之非流动资产!G163)</f>
        <v>0</v>
      </c>
      <c r="H163" s="2085">
        <f>IF(未审附注之非流动资产!H163="",0,未审附注之非流动资产!H163)</f>
        <v>0</v>
      </c>
      <c r="I163" s="2102"/>
      <c r="J163" s="2135" t="s">
        <v>706</v>
      </c>
    </row>
    <row r="164" spans="1:10">
      <c r="A164" s="2092">
        <f>IF(未审附注之非流动资产!A164="",0,未审附注之非流动资产!A164)</f>
        <v>0</v>
      </c>
      <c r="B164" s="2092">
        <f>IF(未审附注之非流动资产!B164="",0,未审附注之非流动资产!B164)</f>
        <v>0</v>
      </c>
      <c r="C164" s="2092">
        <f>IF(未审附注之非流动资产!C164="",0,未审附注之非流动资产!C164)</f>
        <v>0</v>
      </c>
      <c r="D164" s="2111">
        <f>IF(未审附注之非流动资产!D164="",0,未审附注之非流动资产!D164)</f>
        <v>0</v>
      </c>
      <c r="E164" s="2111">
        <f>IF(未审附注之非流动资产!E164="",0,未审附注之非流动资产!E164)</f>
        <v>0</v>
      </c>
      <c r="F164" s="2085">
        <f>IF(未审附注之非流动资产!F164="",0,未审附注之非流动资产!F164)</f>
        <v>0</v>
      </c>
      <c r="G164" s="2085">
        <f>IF(未审附注之非流动资产!G164="",0,未审附注之非流动资产!G164)</f>
        <v>0</v>
      </c>
      <c r="H164" s="2085">
        <f>IF(未审附注之非流动资产!H164="",0,未审附注之非流动资产!H164)</f>
        <v>0</v>
      </c>
      <c r="I164" s="2102"/>
      <c r="J164" s="2135" t="s">
        <v>706</v>
      </c>
    </row>
    <row r="165" spans="1:10">
      <c r="A165" s="2092">
        <f>IF(未审附注之非流动资产!A165="",0,未审附注之非流动资产!A165)</f>
        <v>0</v>
      </c>
      <c r="B165" s="2092">
        <f>IF(未审附注之非流动资产!B165="",0,未审附注之非流动资产!B165)</f>
        <v>0</v>
      </c>
      <c r="C165" s="2092">
        <f>IF(未审附注之非流动资产!C165="",0,未审附注之非流动资产!C165)</f>
        <v>0</v>
      </c>
      <c r="D165" s="2111">
        <f>IF(未审附注之非流动资产!D165="",0,未审附注之非流动资产!D165)</f>
        <v>0</v>
      </c>
      <c r="E165" s="2111">
        <f>IF(未审附注之非流动资产!E165="",0,未审附注之非流动资产!E165)</f>
        <v>0</v>
      </c>
      <c r="F165" s="2085">
        <f>IF(未审附注之非流动资产!F165="",0,未审附注之非流动资产!F165)</f>
        <v>0</v>
      </c>
      <c r="G165" s="2085">
        <f>IF(未审附注之非流动资产!G165="",0,未审附注之非流动资产!G165)</f>
        <v>0</v>
      </c>
      <c r="H165" s="2085">
        <f>IF(未审附注之非流动资产!H165="",0,未审附注之非流动资产!H165)</f>
        <v>0</v>
      </c>
      <c r="I165" s="2102"/>
      <c r="J165" s="2135" t="s">
        <v>706</v>
      </c>
    </row>
    <row r="166" spans="1:10">
      <c r="A166" s="2082" t="s">
        <v>676</v>
      </c>
      <c r="B166" s="2087"/>
      <c r="C166" s="2087"/>
      <c r="D166" s="2124"/>
      <c r="E166" s="2124"/>
      <c r="F166" s="2048">
        <f>ROUND(SUM(F156:F165),2)</f>
        <v>0</v>
      </c>
      <c r="G166" s="2048">
        <f>ROUND(SUM(G156:G165),2)</f>
        <v>0</v>
      </c>
      <c r="H166" s="2048">
        <f>ROUND(SUM(H156:H165),2)</f>
        <v>0</v>
      </c>
      <c r="I166" s="2102"/>
      <c r="J166" s="2135" t="s">
        <v>707</v>
      </c>
    </row>
    <row r="167" spans="1:10">
      <c r="A167" s="2087"/>
      <c r="B167" s="2087"/>
      <c r="C167" s="2087"/>
      <c r="D167" s="2124"/>
      <c r="E167" s="2124"/>
      <c r="F167" s="2124"/>
      <c r="G167" s="2124"/>
      <c r="H167" s="2124"/>
      <c r="I167" s="2102"/>
      <c r="J167" s="2135"/>
    </row>
    <row r="168" spans="1:10">
      <c r="A168" s="2084" t="s">
        <v>708</v>
      </c>
      <c r="B168" s="2124"/>
      <c r="C168" s="2124"/>
      <c r="D168" s="2124"/>
      <c r="E168" s="2124"/>
      <c r="F168" s="2124"/>
      <c r="G168" s="2124"/>
      <c r="H168" s="2124"/>
      <c r="I168" s="2102"/>
      <c r="J168" s="2135"/>
    </row>
    <row r="169" spans="1:10">
      <c r="A169" s="2092">
        <f>IF(未审附注之非流动资产!A169="",0,未审附注之非流动资产!A169)</f>
        <v>0</v>
      </c>
      <c r="B169" s="2092">
        <f>IF(未审附注之非流动资产!B169="",0,未审附注之非流动资产!B169)</f>
        <v>0</v>
      </c>
      <c r="C169" s="2092">
        <f>IF(未审附注之非流动资产!C169="",0,未审附注之非流动资产!C169)</f>
        <v>0</v>
      </c>
      <c r="D169" s="2111">
        <f>IF(未审附注之非流动资产!D169="",0,未审附注之非流动资产!D169)</f>
        <v>0</v>
      </c>
      <c r="E169" s="2111">
        <f>IF(未审附注之非流动资产!E169="",0,未审附注之非流动资产!E169)</f>
        <v>0</v>
      </c>
      <c r="F169" s="2085">
        <f>IF(未审附注之非流动资产!F169="",0,未审附注之非流动资产!F169)</f>
        <v>0</v>
      </c>
      <c r="G169" s="2085">
        <f>IF(未审附注之非流动资产!G169="",0,未审附注之非流动资产!G169)</f>
        <v>0</v>
      </c>
      <c r="H169" s="2085">
        <f>IF(未审附注之非流动资产!H169="",0,未审附注之非流动资产!H169)</f>
        <v>0</v>
      </c>
      <c r="I169" s="2102"/>
      <c r="J169" s="2135" t="s">
        <v>709</v>
      </c>
    </row>
    <row r="170" spans="1:10">
      <c r="A170" s="2092">
        <f>IF(未审附注之非流动资产!A170="",0,未审附注之非流动资产!A170)</f>
        <v>0</v>
      </c>
      <c r="B170" s="2092">
        <f>IF(未审附注之非流动资产!B170="",0,未审附注之非流动资产!B170)</f>
        <v>0</v>
      </c>
      <c r="C170" s="2092">
        <f>IF(未审附注之非流动资产!C170="",0,未审附注之非流动资产!C170)</f>
        <v>0</v>
      </c>
      <c r="D170" s="2111">
        <f>IF(未审附注之非流动资产!D170="",0,未审附注之非流动资产!D170)</f>
        <v>0</v>
      </c>
      <c r="E170" s="2111">
        <f>IF(未审附注之非流动资产!E170="",0,未审附注之非流动资产!E170)</f>
        <v>0</v>
      </c>
      <c r="F170" s="2085">
        <f>IF(未审附注之非流动资产!F170="",0,未审附注之非流动资产!F170)</f>
        <v>0</v>
      </c>
      <c r="G170" s="2085">
        <f>IF(未审附注之非流动资产!G170="",0,未审附注之非流动资产!G170)</f>
        <v>0</v>
      </c>
      <c r="H170" s="2085">
        <f>IF(未审附注之非流动资产!H170="",0,未审附注之非流动资产!H170)</f>
        <v>0</v>
      </c>
      <c r="I170" s="2102"/>
      <c r="J170" s="2135" t="s">
        <v>709</v>
      </c>
    </row>
    <row r="171" spans="1:10">
      <c r="A171" s="2092">
        <f>IF(未审附注之非流动资产!A171="",0,未审附注之非流动资产!A171)</f>
        <v>0</v>
      </c>
      <c r="B171" s="2092">
        <f>IF(未审附注之非流动资产!B171="",0,未审附注之非流动资产!B171)</f>
        <v>0</v>
      </c>
      <c r="C171" s="2092">
        <f>IF(未审附注之非流动资产!C171="",0,未审附注之非流动资产!C171)</f>
        <v>0</v>
      </c>
      <c r="D171" s="2111">
        <f>IF(未审附注之非流动资产!D171="",0,未审附注之非流动资产!D171)</f>
        <v>0</v>
      </c>
      <c r="E171" s="2111">
        <f>IF(未审附注之非流动资产!E171="",0,未审附注之非流动资产!E171)</f>
        <v>0</v>
      </c>
      <c r="F171" s="2085">
        <f>IF(未审附注之非流动资产!F171="",0,未审附注之非流动资产!F171)</f>
        <v>0</v>
      </c>
      <c r="G171" s="2085">
        <f>IF(未审附注之非流动资产!G171="",0,未审附注之非流动资产!G171)</f>
        <v>0</v>
      </c>
      <c r="H171" s="2085">
        <f>IF(未审附注之非流动资产!H171="",0,未审附注之非流动资产!H171)</f>
        <v>0</v>
      </c>
      <c r="I171" s="2102"/>
      <c r="J171" s="2135" t="s">
        <v>709</v>
      </c>
    </row>
    <row r="172" spans="1:10">
      <c r="A172" s="2092">
        <f>IF(未审附注之非流动资产!A172="",0,未审附注之非流动资产!A172)</f>
        <v>0</v>
      </c>
      <c r="B172" s="2092">
        <f>IF(未审附注之非流动资产!B172="",0,未审附注之非流动资产!B172)</f>
        <v>0</v>
      </c>
      <c r="C172" s="2092">
        <f>IF(未审附注之非流动资产!C172="",0,未审附注之非流动资产!C172)</f>
        <v>0</v>
      </c>
      <c r="D172" s="2111">
        <f>IF(未审附注之非流动资产!D172="",0,未审附注之非流动资产!D172)</f>
        <v>0</v>
      </c>
      <c r="E172" s="2111">
        <f>IF(未审附注之非流动资产!E172="",0,未审附注之非流动资产!E172)</f>
        <v>0</v>
      </c>
      <c r="F172" s="2085">
        <f>IF(未审附注之非流动资产!F172="",0,未审附注之非流动资产!F172)</f>
        <v>0</v>
      </c>
      <c r="G172" s="2085">
        <f>IF(未审附注之非流动资产!G172="",0,未审附注之非流动资产!G172)</f>
        <v>0</v>
      </c>
      <c r="H172" s="2085">
        <f>IF(未审附注之非流动资产!H172="",0,未审附注之非流动资产!H172)</f>
        <v>0</v>
      </c>
      <c r="I172" s="2102"/>
      <c r="J172" s="2135" t="s">
        <v>709</v>
      </c>
    </row>
    <row r="173" spans="1:10">
      <c r="A173" s="2092">
        <f>IF(未审附注之非流动资产!A173="",0,未审附注之非流动资产!A173)</f>
        <v>0</v>
      </c>
      <c r="B173" s="2092">
        <f>IF(未审附注之非流动资产!B173="",0,未审附注之非流动资产!B173)</f>
        <v>0</v>
      </c>
      <c r="C173" s="2092">
        <f>IF(未审附注之非流动资产!C173="",0,未审附注之非流动资产!C173)</f>
        <v>0</v>
      </c>
      <c r="D173" s="2111">
        <f>IF(未审附注之非流动资产!D173="",0,未审附注之非流动资产!D173)</f>
        <v>0</v>
      </c>
      <c r="E173" s="2111">
        <f>IF(未审附注之非流动资产!E173="",0,未审附注之非流动资产!E173)</f>
        <v>0</v>
      </c>
      <c r="F173" s="2085">
        <f>IF(未审附注之非流动资产!F173="",0,未审附注之非流动资产!F173)</f>
        <v>0</v>
      </c>
      <c r="G173" s="2085">
        <f>IF(未审附注之非流动资产!G173="",0,未审附注之非流动资产!G173)</f>
        <v>0</v>
      </c>
      <c r="H173" s="2085">
        <f>IF(未审附注之非流动资产!H173="",0,未审附注之非流动资产!H173)</f>
        <v>0</v>
      </c>
      <c r="I173" s="2102"/>
      <c r="J173" s="2135" t="s">
        <v>709</v>
      </c>
    </row>
    <row r="174" spans="1:10">
      <c r="A174" s="2092">
        <f>IF(未审附注之非流动资产!A174="",0,未审附注之非流动资产!A174)</f>
        <v>0</v>
      </c>
      <c r="B174" s="2092">
        <f>IF(未审附注之非流动资产!B174="",0,未审附注之非流动资产!B174)</f>
        <v>0</v>
      </c>
      <c r="C174" s="2092">
        <f>IF(未审附注之非流动资产!C174="",0,未审附注之非流动资产!C174)</f>
        <v>0</v>
      </c>
      <c r="D174" s="2111">
        <f>IF(未审附注之非流动资产!D174="",0,未审附注之非流动资产!D174)</f>
        <v>0</v>
      </c>
      <c r="E174" s="2111">
        <f>IF(未审附注之非流动资产!E174="",0,未审附注之非流动资产!E174)</f>
        <v>0</v>
      </c>
      <c r="F174" s="2085">
        <f>IF(未审附注之非流动资产!F174="",0,未审附注之非流动资产!F174)</f>
        <v>0</v>
      </c>
      <c r="G174" s="2085">
        <f>IF(未审附注之非流动资产!G174="",0,未审附注之非流动资产!G174)</f>
        <v>0</v>
      </c>
      <c r="H174" s="2085">
        <f>IF(未审附注之非流动资产!H174="",0,未审附注之非流动资产!H174)</f>
        <v>0</v>
      </c>
      <c r="I174" s="2102"/>
      <c r="J174" s="2135" t="s">
        <v>709</v>
      </c>
    </row>
    <row r="175" spans="1:10">
      <c r="A175" s="2092">
        <f>IF(未审附注之非流动资产!A175="",0,未审附注之非流动资产!A175)</f>
        <v>0</v>
      </c>
      <c r="B175" s="2092">
        <f>IF(未审附注之非流动资产!B175="",0,未审附注之非流动资产!B175)</f>
        <v>0</v>
      </c>
      <c r="C175" s="2092">
        <f>IF(未审附注之非流动资产!C175="",0,未审附注之非流动资产!C175)</f>
        <v>0</v>
      </c>
      <c r="D175" s="2111">
        <f>IF(未审附注之非流动资产!D175="",0,未审附注之非流动资产!D175)</f>
        <v>0</v>
      </c>
      <c r="E175" s="2111">
        <f>IF(未审附注之非流动资产!E175="",0,未审附注之非流动资产!E175)</f>
        <v>0</v>
      </c>
      <c r="F175" s="2085">
        <f>IF(未审附注之非流动资产!F175="",0,未审附注之非流动资产!F175)</f>
        <v>0</v>
      </c>
      <c r="G175" s="2085">
        <f>IF(未审附注之非流动资产!G175="",0,未审附注之非流动资产!G175)</f>
        <v>0</v>
      </c>
      <c r="H175" s="2085">
        <f>IF(未审附注之非流动资产!H175="",0,未审附注之非流动资产!H175)</f>
        <v>0</v>
      </c>
      <c r="I175" s="2102"/>
      <c r="J175" s="2135" t="s">
        <v>709</v>
      </c>
    </row>
    <row r="176" spans="1:10">
      <c r="A176" s="2092">
        <f>IF(未审附注之非流动资产!A176="",0,未审附注之非流动资产!A176)</f>
        <v>0</v>
      </c>
      <c r="B176" s="2092">
        <f>IF(未审附注之非流动资产!B176="",0,未审附注之非流动资产!B176)</f>
        <v>0</v>
      </c>
      <c r="C176" s="2092">
        <f>IF(未审附注之非流动资产!C176="",0,未审附注之非流动资产!C176)</f>
        <v>0</v>
      </c>
      <c r="D176" s="2111">
        <f>IF(未审附注之非流动资产!D176="",0,未审附注之非流动资产!D176)</f>
        <v>0</v>
      </c>
      <c r="E176" s="2111">
        <f>IF(未审附注之非流动资产!E176="",0,未审附注之非流动资产!E176)</f>
        <v>0</v>
      </c>
      <c r="F176" s="2085">
        <f>IF(未审附注之非流动资产!F176="",0,未审附注之非流动资产!F176)</f>
        <v>0</v>
      </c>
      <c r="G176" s="2085">
        <f>IF(未审附注之非流动资产!G176="",0,未审附注之非流动资产!G176)</f>
        <v>0</v>
      </c>
      <c r="H176" s="2085">
        <f>IF(未审附注之非流动资产!H176="",0,未审附注之非流动资产!H176)</f>
        <v>0</v>
      </c>
      <c r="I176" s="2102"/>
      <c r="J176" s="2135" t="s">
        <v>709</v>
      </c>
    </row>
    <row r="177" spans="1:10">
      <c r="A177" s="2092">
        <f>IF(未审附注之非流动资产!A177="",0,未审附注之非流动资产!A177)</f>
        <v>0</v>
      </c>
      <c r="B177" s="2092">
        <f>IF(未审附注之非流动资产!B177="",0,未审附注之非流动资产!B177)</f>
        <v>0</v>
      </c>
      <c r="C177" s="2092">
        <f>IF(未审附注之非流动资产!C177="",0,未审附注之非流动资产!C177)</f>
        <v>0</v>
      </c>
      <c r="D177" s="2111">
        <f>IF(未审附注之非流动资产!D177="",0,未审附注之非流动资产!D177)</f>
        <v>0</v>
      </c>
      <c r="E177" s="2111">
        <f>IF(未审附注之非流动资产!E177="",0,未审附注之非流动资产!E177)</f>
        <v>0</v>
      </c>
      <c r="F177" s="2085">
        <f>IF(未审附注之非流动资产!F177="",0,未审附注之非流动资产!F177)</f>
        <v>0</v>
      </c>
      <c r="G177" s="2085">
        <f>IF(未审附注之非流动资产!G177="",0,未审附注之非流动资产!G177)</f>
        <v>0</v>
      </c>
      <c r="H177" s="2085">
        <f>IF(未审附注之非流动资产!H177="",0,未审附注之非流动资产!H177)</f>
        <v>0</v>
      </c>
      <c r="I177" s="2102"/>
      <c r="J177" s="2135" t="s">
        <v>709</v>
      </c>
    </row>
    <row r="178" spans="1:10">
      <c r="A178" s="2092">
        <f>IF(未审附注之非流动资产!A178="",0,未审附注之非流动资产!A178)</f>
        <v>0</v>
      </c>
      <c r="B178" s="2092">
        <f>IF(未审附注之非流动资产!B178="",0,未审附注之非流动资产!B178)</f>
        <v>0</v>
      </c>
      <c r="C178" s="2092">
        <f>IF(未审附注之非流动资产!C178="",0,未审附注之非流动资产!C178)</f>
        <v>0</v>
      </c>
      <c r="D178" s="2111">
        <f>IF(未审附注之非流动资产!D178="",0,未审附注之非流动资产!D178)</f>
        <v>0</v>
      </c>
      <c r="E178" s="2111">
        <f>IF(未审附注之非流动资产!E178="",0,未审附注之非流动资产!E178)</f>
        <v>0</v>
      </c>
      <c r="F178" s="2085">
        <f>IF(未审附注之非流动资产!F178="",0,未审附注之非流动资产!F178)</f>
        <v>0</v>
      </c>
      <c r="G178" s="2085">
        <f>IF(未审附注之非流动资产!G178="",0,未审附注之非流动资产!G178)</f>
        <v>0</v>
      </c>
      <c r="H178" s="2085">
        <f>IF(未审附注之非流动资产!H178="",0,未审附注之非流动资产!H178)</f>
        <v>0</v>
      </c>
      <c r="I178" s="2102"/>
      <c r="J178" s="2135" t="s">
        <v>709</v>
      </c>
    </row>
    <row r="179" spans="1:10">
      <c r="A179" s="2082" t="s">
        <v>676</v>
      </c>
      <c r="B179" s="2087"/>
      <c r="C179" s="2087"/>
      <c r="D179" s="2124"/>
      <c r="E179" s="2124"/>
      <c r="F179" s="2048">
        <f>ROUND(SUM(F169:F178),2)</f>
        <v>0</v>
      </c>
      <c r="G179" s="2048">
        <f>ROUND(SUM(G169:G178),2)</f>
        <v>0</v>
      </c>
      <c r="H179" s="2048">
        <f>ROUND(SUM(H169:H178),2)</f>
        <v>0</v>
      </c>
      <c r="I179" s="2102"/>
      <c r="J179" s="2135" t="s">
        <v>710</v>
      </c>
    </row>
    <row r="180" spans="1:10">
      <c r="A180" s="2087"/>
      <c r="B180" s="2087"/>
      <c r="C180" s="2087"/>
      <c r="D180" s="2124"/>
      <c r="E180" s="2124"/>
      <c r="F180" s="2124"/>
      <c r="G180" s="2124"/>
      <c r="H180" s="2124"/>
      <c r="I180" s="2102"/>
      <c r="J180" s="2135"/>
    </row>
    <row r="181" spans="1:10">
      <c r="A181" s="2082" t="s">
        <v>384</v>
      </c>
      <c r="B181" s="2048"/>
      <c r="C181" s="2048"/>
      <c r="D181" s="2048"/>
      <c r="E181" s="2048"/>
      <c r="F181" s="2048">
        <f>ROUND(F166+F179,2)</f>
        <v>0</v>
      </c>
      <c r="G181" s="2048">
        <f>ROUND(G166+G179,2)</f>
        <v>0</v>
      </c>
      <c r="H181" s="2048">
        <f>ROUND(H166+H179,2)</f>
        <v>0</v>
      </c>
      <c r="I181" s="2100"/>
      <c r="J181" s="2135" t="s">
        <v>711</v>
      </c>
    </row>
    <row r="182" spans="1:9">
      <c r="A182" s="2136"/>
      <c r="B182" s="2126"/>
      <c r="C182" s="2126"/>
      <c r="D182" s="2126"/>
      <c r="E182" s="2126"/>
      <c r="F182" s="2126"/>
      <c r="G182" s="2126"/>
      <c r="H182" s="2126"/>
      <c r="I182" s="2126"/>
    </row>
    <row r="183" spans="1:9">
      <c r="A183" s="2136"/>
      <c r="B183" s="2126"/>
      <c r="C183" s="2126"/>
      <c r="D183" s="2126"/>
      <c r="E183" s="2126"/>
      <c r="F183" s="2126"/>
      <c r="G183" s="2126"/>
      <c r="H183" s="2126"/>
      <c r="I183" s="2126"/>
    </row>
    <row r="184" spans="1:9">
      <c r="A184" s="2134" t="s">
        <v>712</v>
      </c>
      <c r="B184" s="2126"/>
      <c r="C184" s="2126"/>
      <c r="D184" s="2126"/>
      <c r="E184" s="2126"/>
      <c r="F184" s="2126"/>
      <c r="G184" s="2126"/>
      <c r="H184" s="2126"/>
      <c r="I184" s="2126"/>
    </row>
    <row r="185" spans="1:9">
      <c r="A185" s="2127" t="s">
        <v>713</v>
      </c>
      <c r="B185" s="2126"/>
      <c r="C185" s="2126"/>
      <c r="D185" s="2126"/>
      <c r="E185" s="2126"/>
      <c r="F185" s="2126"/>
      <c r="G185" s="2126"/>
      <c r="H185" s="2126"/>
      <c r="I185" s="2126"/>
    </row>
    <row r="186" spans="1:9">
      <c r="A186" s="2082" t="s">
        <v>372</v>
      </c>
      <c r="B186" s="2082" t="s">
        <v>316</v>
      </c>
      <c r="C186" s="2082" t="s">
        <v>581</v>
      </c>
      <c r="D186" s="2082" t="s">
        <v>582</v>
      </c>
      <c r="E186" s="2082" t="s">
        <v>315</v>
      </c>
      <c r="F186" s="2126"/>
      <c r="G186" s="2126"/>
      <c r="H186" s="2126"/>
      <c r="I186" s="2126"/>
    </row>
    <row r="187" spans="1:10">
      <c r="A187" s="2129" t="s">
        <v>714</v>
      </c>
      <c r="B187" s="2048">
        <f>ROUND(B188+B189,2)</f>
        <v>0</v>
      </c>
      <c r="C187" s="2048">
        <f>ROUND(C188+C189,2)</f>
        <v>0</v>
      </c>
      <c r="D187" s="2048">
        <f>ROUND(D188+D189,2)</f>
        <v>0</v>
      </c>
      <c r="E187" s="2048">
        <f>ROUND(E188+E189,2)</f>
        <v>0</v>
      </c>
      <c r="F187" s="2126"/>
      <c r="G187" s="2126"/>
      <c r="H187" s="2126"/>
      <c r="I187" s="2126"/>
      <c r="J187" s="2135" t="s">
        <v>715</v>
      </c>
    </row>
    <row r="188" spans="1:10">
      <c r="A188" s="2137" t="s">
        <v>716</v>
      </c>
      <c r="B188" s="2085">
        <f>IF(未审附注之非流动资产!B188="",0,未审附注之非流动资产!B188)</f>
        <v>0</v>
      </c>
      <c r="C188" s="2085">
        <f>IF(未审附注之非流动资产!C188="",0,未审附注之非流动资产!C188)</f>
        <v>0</v>
      </c>
      <c r="D188" s="2085">
        <f>IF(未审附注之非流动资产!D188="",0,未审附注之非流动资产!D188)</f>
        <v>0</v>
      </c>
      <c r="E188" s="2048">
        <f>ROUND(B188+C188-D188,2)</f>
        <v>0</v>
      </c>
      <c r="F188" s="2126"/>
      <c r="G188" s="2126"/>
      <c r="H188" s="2126"/>
      <c r="I188" s="2126"/>
      <c r="J188" s="2135" t="s">
        <v>717</v>
      </c>
    </row>
    <row r="189" spans="1:10">
      <c r="A189" s="2137" t="s">
        <v>718</v>
      </c>
      <c r="B189" s="2085">
        <f>IF(未审附注之非流动资产!B189="",0,未审附注之非流动资产!B189)</f>
        <v>0</v>
      </c>
      <c r="C189" s="2085">
        <f>IF(未审附注之非流动资产!C189="",0,未审附注之非流动资产!C189)</f>
        <v>0</v>
      </c>
      <c r="D189" s="2085">
        <f>IF(未审附注之非流动资产!D189="",0,未审附注之非流动资产!D189)</f>
        <v>0</v>
      </c>
      <c r="E189" s="2048">
        <f>ROUND(B189+C189-D189,2)</f>
        <v>0</v>
      </c>
      <c r="F189" s="2126"/>
      <c r="G189" s="2126"/>
      <c r="H189" s="2126"/>
      <c r="I189" s="2126"/>
      <c r="J189" s="2135" t="s">
        <v>719</v>
      </c>
    </row>
    <row r="190" spans="1:9">
      <c r="A190" s="2137"/>
      <c r="B190" s="2137"/>
      <c r="C190" s="2137"/>
      <c r="D190" s="2137"/>
      <c r="E190" s="2137"/>
      <c r="F190" s="2126"/>
      <c r="G190" s="2126"/>
      <c r="H190" s="2126"/>
      <c r="I190" s="2126"/>
    </row>
    <row r="191" spans="1:10">
      <c r="A191" s="2129" t="s">
        <v>720</v>
      </c>
      <c r="B191" s="2048">
        <f>ROUND(B192+B193,2)</f>
        <v>0</v>
      </c>
      <c r="C191" s="2048">
        <f>ROUND(C192+C193,2)</f>
        <v>0</v>
      </c>
      <c r="D191" s="2048">
        <f>ROUND(D192+D193,2)</f>
        <v>0</v>
      </c>
      <c r="E191" s="2048">
        <f>ROUND(E192+E193,2)</f>
        <v>0</v>
      </c>
      <c r="F191" s="2126"/>
      <c r="G191" s="2126"/>
      <c r="H191" s="2126"/>
      <c r="I191" s="2126"/>
      <c r="J191" s="2135" t="s">
        <v>721</v>
      </c>
    </row>
    <row r="192" spans="1:10">
      <c r="A192" s="2137" t="s">
        <v>716</v>
      </c>
      <c r="B192" s="2085">
        <f>IF(未审附注之非流动资产!B192="",0,未审附注之非流动资产!B192)</f>
        <v>0</v>
      </c>
      <c r="C192" s="2085">
        <f>IF(未审附注之非流动资产!C192="",0,未审附注之非流动资产!C192)</f>
        <v>0</v>
      </c>
      <c r="D192" s="2085">
        <f>IF(未审附注之非流动资产!D192="",0,未审附注之非流动资产!D192)</f>
        <v>0</v>
      </c>
      <c r="E192" s="2048">
        <f>ROUND(B192+C192-D192,2)</f>
        <v>0</v>
      </c>
      <c r="F192" s="2126"/>
      <c r="G192" s="2126"/>
      <c r="H192" s="2126"/>
      <c r="I192" s="2126"/>
      <c r="J192" s="2135" t="s">
        <v>722</v>
      </c>
    </row>
    <row r="193" spans="1:10">
      <c r="A193" s="2137" t="s">
        <v>718</v>
      </c>
      <c r="B193" s="2085">
        <f>IF(未审附注之非流动资产!B193="",0,未审附注之非流动资产!B193)</f>
        <v>0</v>
      </c>
      <c r="C193" s="2085">
        <f>IF(未审附注之非流动资产!C193="",0,未审附注之非流动资产!C193)</f>
        <v>0</v>
      </c>
      <c r="D193" s="2085">
        <f>IF(未审附注之非流动资产!D193="",0,未审附注之非流动资产!D193)</f>
        <v>0</v>
      </c>
      <c r="E193" s="2048">
        <f>ROUND(B193+C193-D193,2)</f>
        <v>0</v>
      </c>
      <c r="F193" s="2126"/>
      <c r="G193" s="2126"/>
      <c r="H193" s="2126"/>
      <c r="I193" s="2126"/>
      <c r="J193" s="2135" t="s">
        <v>723</v>
      </c>
    </row>
    <row r="194" spans="1:9">
      <c r="A194" s="2137"/>
      <c r="B194" s="2137"/>
      <c r="C194" s="2137"/>
      <c r="D194" s="2137"/>
      <c r="E194" s="2137"/>
      <c r="F194" s="2126"/>
      <c r="G194" s="2126"/>
      <c r="H194" s="2126"/>
      <c r="I194" s="2126"/>
    </row>
    <row r="195" spans="1:10">
      <c r="A195" s="2129" t="s">
        <v>724</v>
      </c>
      <c r="B195" s="2048">
        <f>ROUND(B196+B197,2)</f>
        <v>0</v>
      </c>
      <c r="C195" s="2048">
        <f>ROUND(C196+C197,2)</f>
        <v>0</v>
      </c>
      <c r="D195" s="2048">
        <f>ROUND(D196+D197,2)</f>
        <v>0</v>
      </c>
      <c r="E195" s="2048">
        <f>ROUND(E196+E197,2)</f>
        <v>0</v>
      </c>
      <c r="F195" s="2126"/>
      <c r="G195" s="2126"/>
      <c r="H195" s="2126"/>
      <c r="I195" s="2126"/>
      <c r="J195" s="2135" t="s">
        <v>725</v>
      </c>
    </row>
    <row r="196" spans="1:10">
      <c r="A196" s="2137" t="s">
        <v>716</v>
      </c>
      <c r="B196" s="2085">
        <f>IF(未审附注之非流动资产!B196="",0,未审附注之非流动资产!B196)</f>
        <v>0</v>
      </c>
      <c r="C196" s="2085">
        <f>IF(未审附注之非流动资产!C196="",0,未审附注之非流动资产!C196)</f>
        <v>0</v>
      </c>
      <c r="D196" s="2085">
        <f>IF(未审附注之非流动资产!D196="",0,未审附注之非流动资产!D196)</f>
        <v>0</v>
      </c>
      <c r="E196" s="2048">
        <f>ROUND(B196+C196-D196,2)</f>
        <v>0</v>
      </c>
      <c r="F196" s="2126"/>
      <c r="G196" s="2126"/>
      <c r="H196" s="2126"/>
      <c r="I196" s="2126"/>
      <c r="J196" s="2135" t="s">
        <v>726</v>
      </c>
    </row>
    <row r="197" spans="1:10">
      <c r="A197" s="2137" t="s">
        <v>718</v>
      </c>
      <c r="B197" s="2085">
        <f>IF(未审附注之非流动资产!B197="",0,未审附注之非流动资产!B197)</f>
        <v>0</v>
      </c>
      <c r="C197" s="2085">
        <f>IF(未审附注之非流动资产!C197="",0,未审附注之非流动资产!C197)</f>
        <v>0</v>
      </c>
      <c r="D197" s="2085">
        <f>IF(未审附注之非流动资产!D197="",0,未审附注之非流动资产!D197)</f>
        <v>0</v>
      </c>
      <c r="E197" s="2048">
        <f>ROUND(B197+C197-D197,2)</f>
        <v>0</v>
      </c>
      <c r="F197" s="2126"/>
      <c r="G197" s="2126"/>
      <c r="H197" s="2126"/>
      <c r="I197" s="2126"/>
      <c r="J197" s="2135" t="s">
        <v>727</v>
      </c>
    </row>
    <row r="198" spans="1:9">
      <c r="A198" s="2137"/>
      <c r="B198" s="2137"/>
      <c r="C198" s="2137"/>
      <c r="D198" s="2137"/>
      <c r="E198" s="2137"/>
      <c r="F198" s="2126"/>
      <c r="G198" s="2126"/>
      <c r="H198" s="2126"/>
      <c r="I198" s="2126"/>
    </row>
    <row r="199" spans="1:9">
      <c r="A199" s="2129" t="s">
        <v>728</v>
      </c>
      <c r="B199" s="2048">
        <f>ROUND(B187-B191-B195,2)</f>
        <v>0</v>
      </c>
      <c r="C199" s="2048">
        <f>ROUND(C187-C191-C195,2)</f>
        <v>0</v>
      </c>
      <c r="D199" s="2048">
        <f>ROUND(D187-D191-D195,2)</f>
        <v>0</v>
      </c>
      <c r="E199" s="2048">
        <f>ROUND(E187-E191-E195,2)</f>
        <v>0</v>
      </c>
      <c r="F199" s="2126"/>
      <c r="G199" s="2126"/>
      <c r="H199" s="2126"/>
      <c r="I199" s="2126"/>
    </row>
    <row r="200" spans="1:9">
      <c r="A200" s="2137" t="s">
        <v>716</v>
      </c>
      <c r="B200" s="1830">
        <f t="shared" ref="B200:D201" si="8">ROUND(B188-B192-B196,2)</f>
        <v>0</v>
      </c>
      <c r="C200" s="1830">
        <f t="shared" si="8"/>
        <v>0</v>
      </c>
      <c r="D200" s="1830">
        <f t="shared" si="8"/>
        <v>0</v>
      </c>
      <c r="E200" s="2048">
        <f>ROUND(B200+C200-D200,2)</f>
        <v>0</v>
      </c>
      <c r="F200" s="2126"/>
      <c r="G200" s="2126"/>
      <c r="H200" s="2126"/>
      <c r="I200" s="2126"/>
    </row>
    <row r="201" spans="1:9">
      <c r="A201" s="2137" t="s">
        <v>718</v>
      </c>
      <c r="B201" s="1830">
        <f t="shared" si="8"/>
        <v>0</v>
      </c>
      <c r="C201" s="1830">
        <f t="shared" si="8"/>
        <v>0</v>
      </c>
      <c r="D201" s="1830">
        <f t="shared" si="8"/>
        <v>0</v>
      </c>
      <c r="E201" s="2048">
        <f>ROUND(B201+C201-D201,2)</f>
        <v>0</v>
      </c>
      <c r="F201" s="2126"/>
      <c r="G201" s="2126"/>
      <c r="H201" s="2126"/>
      <c r="I201" s="2126"/>
    </row>
    <row r="202" spans="1:9">
      <c r="A202" s="2132"/>
      <c r="B202" s="2094"/>
      <c r="C202" s="2094"/>
      <c r="D202" s="2094"/>
      <c r="E202" s="2094"/>
      <c r="F202" s="2126"/>
      <c r="G202" s="2126"/>
      <c r="H202" s="2126"/>
      <c r="I202" s="2126"/>
    </row>
    <row r="203" spans="1:9">
      <c r="A203" s="2096" t="s">
        <v>729</v>
      </c>
      <c r="B203" s="2126"/>
      <c r="C203" s="2126"/>
      <c r="D203" s="2126"/>
      <c r="E203" s="2126"/>
      <c r="F203" s="2126"/>
      <c r="G203" s="2126"/>
      <c r="H203" s="2126"/>
      <c r="I203" s="2126"/>
    </row>
    <row r="204" spans="1:9">
      <c r="A204" s="2082" t="s">
        <v>372</v>
      </c>
      <c r="B204" s="2082" t="s">
        <v>374</v>
      </c>
      <c r="C204" s="2082" t="s">
        <v>581</v>
      </c>
      <c r="D204" s="2082" t="s">
        <v>582</v>
      </c>
      <c r="E204" s="2082" t="s">
        <v>373</v>
      </c>
      <c r="F204" s="2108" t="s">
        <v>730</v>
      </c>
      <c r="G204" s="2128"/>
      <c r="H204" s="2128"/>
      <c r="I204" s="2128"/>
    </row>
    <row r="205" spans="1:10">
      <c r="A205" s="2129" t="s">
        <v>714</v>
      </c>
      <c r="B205" s="2048">
        <f>ROUND(B206+B207,2)</f>
        <v>0</v>
      </c>
      <c r="C205" s="2048">
        <f>ROUND(C206+C207,2)</f>
        <v>0</v>
      </c>
      <c r="D205" s="2048">
        <f>ROUND(D206+D207,2)</f>
        <v>0</v>
      </c>
      <c r="E205" s="2048">
        <f>ROUND(E206+E207,2)</f>
        <v>0</v>
      </c>
      <c r="F205" s="2124"/>
      <c r="G205" s="2102"/>
      <c r="H205" s="2102"/>
      <c r="I205" s="2102"/>
      <c r="J205" s="2135" t="s">
        <v>731</v>
      </c>
    </row>
    <row r="206" spans="1:10">
      <c r="A206" s="2137" t="s">
        <v>716</v>
      </c>
      <c r="B206" s="2085">
        <f>IF(未审附注之非流动资产!B206="",0,未审附注之非流动资产!B206)</f>
        <v>0</v>
      </c>
      <c r="C206" s="2085">
        <f>IF(未审附注之非流动资产!C206="",0,未审附注之非流动资产!C206)</f>
        <v>0</v>
      </c>
      <c r="D206" s="2085">
        <f>IF(未审附注之非流动资产!D206="",0,未审附注之非流动资产!D206)</f>
        <v>0</v>
      </c>
      <c r="E206" s="2048">
        <f>ROUND(B206+C206-D206,2)</f>
        <v>0</v>
      </c>
      <c r="F206" s="2092">
        <f>IF(未审附注之非流动资产!F206="",0,未审附注之非流动资产!F206)</f>
        <v>0</v>
      </c>
      <c r="G206" s="2102"/>
      <c r="H206" s="2102"/>
      <c r="I206" s="2102"/>
      <c r="J206" s="2135" t="s">
        <v>732</v>
      </c>
    </row>
    <row r="207" spans="1:10">
      <c r="A207" s="2137" t="s">
        <v>718</v>
      </c>
      <c r="B207" s="2085">
        <f>IF(未审附注之非流动资产!B207="",0,未审附注之非流动资产!B207)</f>
        <v>0</v>
      </c>
      <c r="C207" s="2085">
        <f>IF(未审附注之非流动资产!C207="",0,未审附注之非流动资产!C207)</f>
        <v>0</v>
      </c>
      <c r="D207" s="2085">
        <f>IF(未审附注之非流动资产!D207="",0,未审附注之非流动资产!D207)</f>
        <v>0</v>
      </c>
      <c r="E207" s="2048">
        <f>ROUND(B207+C207-D207,2)</f>
        <v>0</v>
      </c>
      <c r="F207" s="2092">
        <f>IF(未审附注之非流动资产!F207="",0,未审附注之非流动资产!F207)</f>
        <v>0</v>
      </c>
      <c r="G207" s="2102"/>
      <c r="H207" s="2102"/>
      <c r="I207" s="2102"/>
      <c r="J207" s="2135" t="s">
        <v>733</v>
      </c>
    </row>
    <row r="208" spans="1:9">
      <c r="A208" s="2137"/>
      <c r="B208" s="2137"/>
      <c r="C208" s="2137"/>
      <c r="D208" s="2137"/>
      <c r="E208" s="2137"/>
      <c r="F208" s="2137"/>
      <c r="G208" s="2102"/>
      <c r="H208" s="2102"/>
      <c r="I208" s="2102"/>
    </row>
    <row r="209" spans="1:10">
      <c r="A209" s="2129" t="s">
        <v>720</v>
      </c>
      <c r="B209" s="2048">
        <f>ROUND(B210+B211,2)</f>
        <v>0</v>
      </c>
      <c r="C209" s="2048">
        <f>ROUND(C210+C211,2)</f>
        <v>0</v>
      </c>
      <c r="D209" s="2048">
        <f>ROUND(D210+D211,2)</f>
        <v>0</v>
      </c>
      <c r="E209" s="2048">
        <f>ROUND(E210+E211,2)</f>
        <v>0</v>
      </c>
      <c r="F209" s="2124"/>
      <c r="G209" s="2102"/>
      <c r="H209" s="2102"/>
      <c r="I209" s="2102"/>
      <c r="J209" s="2135" t="s">
        <v>734</v>
      </c>
    </row>
    <row r="210" spans="1:10">
      <c r="A210" s="2137" t="s">
        <v>716</v>
      </c>
      <c r="B210" s="2085">
        <f>IF(未审附注之非流动资产!B210="",0,未审附注之非流动资产!B210)</f>
        <v>0</v>
      </c>
      <c r="C210" s="2085">
        <f>IF(未审附注之非流动资产!C210="",0,未审附注之非流动资产!C210)</f>
        <v>0</v>
      </c>
      <c r="D210" s="2085">
        <f>IF(未审附注之非流动资产!D210="",0,未审附注之非流动资产!D210)</f>
        <v>0</v>
      </c>
      <c r="E210" s="2048">
        <f>ROUND(B210+C210-D210,2)</f>
        <v>0</v>
      </c>
      <c r="F210" s="2124"/>
      <c r="G210" s="2102"/>
      <c r="H210" s="2102"/>
      <c r="I210" s="2102"/>
      <c r="J210" s="2135" t="s">
        <v>735</v>
      </c>
    </row>
    <row r="211" spans="1:10">
      <c r="A211" s="2137" t="s">
        <v>718</v>
      </c>
      <c r="B211" s="2085">
        <f>IF(未审附注之非流动资产!B211="",0,未审附注之非流动资产!B211)</f>
        <v>0</v>
      </c>
      <c r="C211" s="2085">
        <f>IF(未审附注之非流动资产!C211="",0,未审附注之非流动资产!C211)</f>
        <v>0</v>
      </c>
      <c r="D211" s="2085">
        <f>IF(未审附注之非流动资产!D211="",0,未审附注之非流动资产!D211)</f>
        <v>0</v>
      </c>
      <c r="E211" s="2048">
        <f>ROUND(B211+C211-D211,2)</f>
        <v>0</v>
      </c>
      <c r="F211" s="2124"/>
      <c r="G211" s="2102"/>
      <c r="H211" s="2102"/>
      <c r="I211" s="2102"/>
      <c r="J211" s="2135" t="s">
        <v>736</v>
      </c>
    </row>
    <row r="212" spans="1:9">
      <c r="A212" s="2137"/>
      <c r="B212" s="2137"/>
      <c r="C212" s="2137"/>
      <c r="D212" s="2137"/>
      <c r="E212" s="2137"/>
      <c r="F212" s="2137"/>
      <c r="G212" s="2102"/>
      <c r="H212" s="2102"/>
      <c r="I212" s="2102"/>
    </row>
    <row r="213" spans="1:10">
      <c r="A213" s="2129" t="s">
        <v>724</v>
      </c>
      <c r="B213" s="2048">
        <f>ROUND(B214+B215,2)</f>
        <v>0</v>
      </c>
      <c r="C213" s="2048">
        <f>ROUND(C214+C215,2)</f>
        <v>0</v>
      </c>
      <c r="D213" s="2048">
        <f>ROUND(D214+D215,2)</f>
        <v>0</v>
      </c>
      <c r="E213" s="2048">
        <f>ROUND(E214+E215,2)</f>
        <v>0</v>
      </c>
      <c r="F213" s="2124"/>
      <c r="G213" s="2102"/>
      <c r="H213" s="2102"/>
      <c r="I213" s="2102"/>
      <c r="J213" s="2135" t="s">
        <v>737</v>
      </c>
    </row>
    <row r="214" spans="1:10">
      <c r="A214" s="2137" t="s">
        <v>716</v>
      </c>
      <c r="B214" s="2085">
        <f>IF(未审附注之非流动资产!B214="",0,未审附注之非流动资产!B214)</f>
        <v>0</v>
      </c>
      <c r="C214" s="2085">
        <f>IF(未审附注之非流动资产!C214="",0,未审附注之非流动资产!C214)</f>
        <v>0</v>
      </c>
      <c r="D214" s="2085">
        <f>IF(未审附注之非流动资产!D214="",0,未审附注之非流动资产!D214)</f>
        <v>0</v>
      </c>
      <c r="E214" s="2048">
        <f>ROUND(B214+C214-D214,2)</f>
        <v>0</v>
      </c>
      <c r="F214" s="2124"/>
      <c r="G214" s="2102"/>
      <c r="H214" s="2102"/>
      <c r="I214" s="2102"/>
      <c r="J214" s="2135" t="s">
        <v>738</v>
      </c>
    </row>
    <row r="215" spans="1:10">
      <c r="A215" s="2137" t="s">
        <v>718</v>
      </c>
      <c r="B215" s="2085">
        <f>IF(未审附注之非流动资产!B215="",0,未审附注之非流动资产!B215)</f>
        <v>0</v>
      </c>
      <c r="C215" s="2085">
        <f>IF(未审附注之非流动资产!C215="",0,未审附注之非流动资产!C215)</f>
        <v>0</v>
      </c>
      <c r="D215" s="2085">
        <f>IF(未审附注之非流动资产!D215="",0,未审附注之非流动资产!D215)</f>
        <v>0</v>
      </c>
      <c r="E215" s="2048">
        <f>ROUND(B215+C215-D215,2)</f>
        <v>0</v>
      </c>
      <c r="F215" s="2124"/>
      <c r="G215" s="2102"/>
      <c r="H215" s="2102"/>
      <c r="I215" s="2102"/>
      <c r="J215" s="2135" t="s">
        <v>739</v>
      </c>
    </row>
    <row r="216" spans="1:9">
      <c r="A216" s="2137"/>
      <c r="B216" s="2137"/>
      <c r="C216" s="2137"/>
      <c r="D216" s="2137"/>
      <c r="E216" s="2137"/>
      <c r="F216" s="2137"/>
      <c r="G216" s="2132"/>
      <c r="H216" s="2132"/>
      <c r="I216" s="2132"/>
    </row>
    <row r="217" spans="1:9">
      <c r="A217" s="2129" t="s">
        <v>728</v>
      </c>
      <c r="B217" s="2048">
        <f>ROUND(B205-B209-B213,2)</f>
        <v>0</v>
      </c>
      <c r="C217" s="2048">
        <f>ROUND(C205-C209-C213,2)</f>
        <v>0</v>
      </c>
      <c r="D217" s="2048">
        <f>ROUND(D205-D209-D213,2)</f>
        <v>0</v>
      </c>
      <c r="E217" s="2048">
        <f>ROUND(E205-E209-E213,2)</f>
        <v>0</v>
      </c>
      <c r="F217" s="2124"/>
      <c r="G217" s="2102"/>
      <c r="H217" s="2102"/>
      <c r="I217" s="2102"/>
    </row>
    <row r="218" spans="1:9">
      <c r="A218" s="2137" t="s">
        <v>716</v>
      </c>
      <c r="B218" s="1830">
        <f t="shared" ref="B218:D219" si="9">ROUND(B206-B210-B214,2)</f>
        <v>0</v>
      </c>
      <c r="C218" s="1830">
        <f t="shared" si="9"/>
        <v>0</v>
      </c>
      <c r="D218" s="1830">
        <f t="shared" si="9"/>
        <v>0</v>
      </c>
      <c r="E218" s="2048">
        <f>ROUND(B218+C218-D218,2)</f>
        <v>0</v>
      </c>
      <c r="F218" s="2124"/>
      <c r="G218" s="2102"/>
      <c r="H218" s="2102"/>
      <c r="I218" s="2102"/>
    </row>
    <row r="219" spans="1:9">
      <c r="A219" s="2137" t="s">
        <v>718</v>
      </c>
      <c r="B219" s="1830">
        <f t="shared" si="9"/>
        <v>0</v>
      </c>
      <c r="C219" s="1830">
        <f t="shared" si="9"/>
        <v>0</v>
      </c>
      <c r="D219" s="1830">
        <f t="shared" si="9"/>
        <v>0</v>
      </c>
      <c r="E219" s="2048">
        <f>ROUND(B219+C219-D219,2)</f>
        <v>0</v>
      </c>
      <c r="F219" s="2124"/>
      <c r="G219" s="2102"/>
      <c r="H219" s="2102"/>
      <c r="I219" s="2102"/>
    </row>
    <row r="220" spans="1:9">
      <c r="A220" s="2138"/>
      <c r="B220" s="2126"/>
      <c r="C220" s="2126"/>
      <c r="D220" s="2126"/>
      <c r="E220" s="2126"/>
      <c r="F220" s="2126"/>
      <c r="G220" s="2126"/>
      <c r="H220" s="2126"/>
      <c r="I220" s="2126"/>
    </row>
    <row r="221" spans="1:9">
      <c r="A221" s="2096" t="s">
        <v>740</v>
      </c>
      <c r="B221" s="2126"/>
      <c r="C221" s="2126"/>
      <c r="D221" s="2126"/>
      <c r="E221" s="2126"/>
      <c r="F221" s="2126"/>
      <c r="G221" s="2126"/>
      <c r="H221" s="2126"/>
      <c r="I221" s="2126"/>
    </row>
    <row r="222" spans="1:9">
      <c r="A222" s="2082" t="s">
        <v>741</v>
      </c>
      <c r="B222" s="2082" t="s">
        <v>742</v>
      </c>
      <c r="C222" s="2082" t="s">
        <v>743</v>
      </c>
      <c r="D222" s="2082" t="s">
        <v>744</v>
      </c>
      <c r="E222" s="2082" t="s">
        <v>745</v>
      </c>
      <c r="F222" s="2082" t="s">
        <v>746</v>
      </c>
      <c r="G222" s="2099"/>
      <c r="H222" s="2099"/>
      <c r="I222" s="2099"/>
    </row>
    <row r="223" spans="1:10">
      <c r="A223" s="2092">
        <f>IF(未审附注之非流动资产!A223="",0,未审附注之非流动资产!A223)</f>
        <v>0</v>
      </c>
      <c r="B223" s="2092">
        <f>IF(未审附注之非流动资产!B223="",0,未审附注之非流动资产!B223)</f>
        <v>0</v>
      </c>
      <c r="C223" s="2085">
        <f>IF(未审附注之非流动资产!C223="",0,未审附注之非流动资产!C223)</f>
        <v>0</v>
      </c>
      <c r="D223" s="2085">
        <f>IF(未审附注之非流动资产!D223="",0,未审附注之非流动资产!D223)</f>
        <v>0</v>
      </c>
      <c r="E223" s="2085">
        <f>IF(未审附注之非流动资产!E223="",0,未审附注之非流动资产!E223)</f>
        <v>0</v>
      </c>
      <c r="F223" s="2092">
        <f>IF(未审附注之非流动资产!F223="",0,未审附注之非流动资产!F223)</f>
        <v>0</v>
      </c>
      <c r="G223" s="2099"/>
      <c r="H223" s="2099"/>
      <c r="I223" s="2099"/>
      <c r="J223" s="2135" t="s">
        <v>747</v>
      </c>
    </row>
    <row r="224" spans="1:10">
      <c r="A224" s="2092">
        <f>IF(未审附注之非流动资产!A224="",0,未审附注之非流动资产!A224)</f>
        <v>0</v>
      </c>
      <c r="B224" s="2092">
        <f>IF(未审附注之非流动资产!B224="",0,未审附注之非流动资产!B224)</f>
        <v>0</v>
      </c>
      <c r="C224" s="2085">
        <f>IF(未审附注之非流动资产!C224="",0,未审附注之非流动资产!C224)</f>
        <v>0</v>
      </c>
      <c r="D224" s="2085">
        <f>IF(未审附注之非流动资产!D224="",0,未审附注之非流动资产!D224)</f>
        <v>0</v>
      </c>
      <c r="E224" s="2085">
        <f>IF(未审附注之非流动资产!E224="",0,未审附注之非流动资产!E224)</f>
        <v>0</v>
      </c>
      <c r="F224" s="2092">
        <f>IF(未审附注之非流动资产!F224="",0,未审附注之非流动资产!F224)</f>
        <v>0</v>
      </c>
      <c r="G224" s="2099"/>
      <c r="H224" s="2099"/>
      <c r="I224" s="2099"/>
      <c r="J224" s="2135" t="s">
        <v>747</v>
      </c>
    </row>
    <row r="225" spans="1:10">
      <c r="A225" s="2092">
        <f>IF(未审附注之非流动资产!A225="",0,未审附注之非流动资产!A225)</f>
        <v>0</v>
      </c>
      <c r="B225" s="2092">
        <f>IF(未审附注之非流动资产!B225="",0,未审附注之非流动资产!B225)</f>
        <v>0</v>
      </c>
      <c r="C225" s="2085">
        <f>IF(未审附注之非流动资产!C225="",0,未审附注之非流动资产!C225)</f>
        <v>0</v>
      </c>
      <c r="D225" s="2085">
        <f>IF(未审附注之非流动资产!D225="",0,未审附注之非流动资产!D225)</f>
        <v>0</v>
      </c>
      <c r="E225" s="2085">
        <f>IF(未审附注之非流动资产!E225="",0,未审附注之非流动资产!E225)</f>
        <v>0</v>
      </c>
      <c r="F225" s="2092">
        <f>IF(未审附注之非流动资产!F225="",0,未审附注之非流动资产!F225)</f>
        <v>0</v>
      </c>
      <c r="G225" s="2099"/>
      <c r="H225" s="2099"/>
      <c r="I225" s="2099"/>
      <c r="J225" s="2135" t="s">
        <v>747</v>
      </c>
    </row>
    <row r="226" spans="1:10">
      <c r="A226" s="2092">
        <f>IF(未审附注之非流动资产!A226="",0,未审附注之非流动资产!A226)</f>
        <v>0</v>
      </c>
      <c r="B226" s="2092">
        <f>IF(未审附注之非流动资产!B226="",0,未审附注之非流动资产!B226)</f>
        <v>0</v>
      </c>
      <c r="C226" s="2085">
        <f>IF(未审附注之非流动资产!C226="",0,未审附注之非流动资产!C226)</f>
        <v>0</v>
      </c>
      <c r="D226" s="2085">
        <f>IF(未审附注之非流动资产!D226="",0,未审附注之非流动资产!D226)</f>
        <v>0</v>
      </c>
      <c r="E226" s="2085">
        <f>IF(未审附注之非流动资产!E226="",0,未审附注之非流动资产!E226)</f>
        <v>0</v>
      </c>
      <c r="F226" s="2092">
        <f>IF(未审附注之非流动资产!F226="",0,未审附注之非流动资产!F226)</f>
        <v>0</v>
      </c>
      <c r="G226" s="2099"/>
      <c r="H226" s="2099"/>
      <c r="I226" s="2099"/>
      <c r="J226" s="2135" t="s">
        <v>747</v>
      </c>
    </row>
    <row r="227" spans="1:10">
      <c r="A227" s="2092">
        <f>IF(未审附注之非流动资产!A227="",0,未审附注之非流动资产!A227)</f>
        <v>0</v>
      </c>
      <c r="B227" s="2092">
        <f>IF(未审附注之非流动资产!B227="",0,未审附注之非流动资产!B227)</f>
        <v>0</v>
      </c>
      <c r="C227" s="2085">
        <f>IF(未审附注之非流动资产!C227="",0,未审附注之非流动资产!C227)</f>
        <v>0</v>
      </c>
      <c r="D227" s="2085">
        <f>IF(未审附注之非流动资产!D227="",0,未审附注之非流动资产!D227)</f>
        <v>0</v>
      </c>
      <c r="E227" s="2085">
        <f>IF(未审附注之非流动资产!E227="",0,未审附注之非流动资产!E227)</f>
        <v>0</v>
      </c>
      <c r="F227" s="2092">
        <f>IF(未审附注之非流动资产!F227="",0,未审附注之非流动资产!F227)</f>
        <v>0</v>
      </c>
      <c r="G227" s="2099"/>
      <c r="H227" s="2099"/>
      <c r="I227" s="2099"/>
      <c r="J227" s="2135" t="s">
        <v>747</v>
      </c>
    </row>
    <row r="228" spans="1:10">
      <c r="A228" s="2092">
        <f>IF(未审附注之非流动资产!A228="",0,未审附注之非流动资产!A228)</f>
        <v>0</v>
      </c>
      <c r="B228" s="2092">
        <f>IF(未审附注之非流动资产!B228="",0,未审附注之非流动资产!B228)</f>
        <v>0</v>
      </c>
      <c r="C228" s="2085">
        <f>IF(未审附注之非流动资产!C228="",0,未审附注之非流动资产!C228)</f>
        <v>0</v>
      </c>
      <c r="D228" s="2085">
        <f>IF(未审附注之非流动资产!D228="",0,未审附注之非流动资产!D228)</f>
        <v>0</v>
      </c>
      <c r="E228" s="2085">
        <f>IF(未审附注之非流动资产!E228="",0,未审附注之非流动资产!E228)</f>
        <v>0</v>
      </c>
      <c r="F228" s="2092">
        <f>IF(未审附注之非流动资产!F228="",0,未审附注之非流动资产!F228)</f>
        <v>0</v>
      </c>
      <c r="G228" s="2099"/>
      <c r="H228" s="2099"/>
      <c r="I228" s="2099"/>
      <c r="J228" s="2135" t="s">
        <v>747</v>
      </c>
    </row>
    <row r="229" spans="1:10">
      <c r="A229" s="2092">
        <f>IF(未审附注之非流动资产!A229="",0,未审附注之非流动资产!A229)</f>
        <v>0</v>
      </c>
      <c r="B229" s="2092">
        <f>IF(未审附注之非流动资产!B229="",0,未审附注之非流动资产!B229)</f>
        <v>0</v>
      </c>
      <c r="C229" s="2085">
        <f>IF(未审附注之非流动资产!C229="",0,未审附注之非流动资产!C229)</f>
        <v>0</v>
      </c>
      <c r="D229" s="2085">
        <f>IF(未审附注之非流动资产!D229="",0,未审附注之非流动资产!D229)</f>
        <v>0</v>
      </c>
      <c r="E229" s="2085">
        <f>IF(未审附注之非流动资产!E229="",0,未审附注之非流动资产!E229)</f>
        <v>0</v>
      </c>
      <c r="F229" s="2092">
        <f>IF(未审附注之非流动资产!F229="",0,未审附注之非流动资产!F229)</f>
        <v>0</v>
      </c>
      <c r="G229" s="2099"/>
      <c r="H229" s="2099"/>
      <c r="I229" s="2099"/>
      <c r="J229" s="2135" t="s">
        <v>747</v>
      </c>
    </row>
    <row r="230" spans="1:10">
      <c r="A230" s="2092">
        <f>IF(未审附注之非流动资产!A230="",0,未审附注之非流动资产!A230)</f>
        <v>0</v>
      </c>
      <c r="B230" s="2092">
        <f>IF(未审附注之非流动资产!B230="",0,未审附注之非流动资产!B230)</f>
        <v>0</v>
      </c>
      <c r="C230" s="2085">
        <f>IF(未审附注之非流动资产!C230="",0,未审附注之非流动资产!C230)</f>
        <v>0</v>
      </c>
      <c r="D230" s="2085">
        <f>IF(未审附注之非流动资产!D230="",0,未审附注之非流动资产!D230)</f>
        <v>0</v>
      </c>
      <c r="E230" s="2085">
        <f>IF(未审附注之非流动资产!E230="",0,未审附注之非流动资产!E230)</f>
        <v>0</v>
      </c>
      <c r="F230" s="2092">
        <f>IF(未审附注之非流动资产!F230="",0,未审附注之非流动资产!F230)</f>
        <v>0</v>
      </c>
      <c r="G230" s="2099"/>
      <c r="H230" s="2099"/>
      <c r="I230" s="2099"/>
      <c r="J230" s="2135" t="s">
        <v>747</v>
      </c>
    </row>
    <row r="231" spans="1:10">
      <c r="A231" s="2092">
        <f>IF(未审附注之非流动资产!A231="",0,未审附注之非流动资产!A231)</f>
        <v>0</v>
      </c>
      <c r="B231" s="2092">
        <f>IF(未审附注之非流动资产!B231="",0,未审附注之非流动资产!B231)</f>
        <v>0</v>
      </c>
      <c r="C231" s="2085">
        <f>IF(未审附注之非流动资产!C231="",0,未审附注之非流动资产!C231)</f>
        <v>0</v>
      </c>
      <c r="D231" s="2085">
        <f>IF(未审附注之非流动资产!D231="",0,未审附注之非流动资产!D231)</f>
        <v>0</v>
      </c>
      <c r="E231" s="2085">
        <f>IF(未审附注之非流动资产!E231="",0,未审附注之非流动资产!E231)</f>
        <v>0</v>
      </c>
      <c r="F231" s="2092">
        <f>IF(未审附注之非流动资产!F231="",0,未审附注之非流动资产!F231)</f>
        <v>0</v>
      </c>
      <c r="G231" s="2099"/>
      <c r="H231" s="2099"/>
      <c r="I231" s="2099"/>
      <c r="J231" s="2135" t="s">
        <v>747</v>
      </c>
    </row>
    <row r="232" spans="1:10">
      <c r="A232" s="2092">
        <f>IF(未审附注之非流动资产!A232="",0,未审附注之非流动资产!A232)</f>
        <v>0</v>
      </c>
      <c r="B232" s="2092">
        <f>IF(未审附注之非流动资产!B232="",0,未审附注之非流动资产!B232)</f>
        <v>0</v>
      </c>
      <c r="C232" s="2085">
        <f>IF(未审附注之非流动资产!C232="",0,未审附注之非流动资产!C232)</f>
        <v>0</v>
      </c>
      <c r="D232" s="2085">
        <f>IF(未审附注之非流动资产!D232="",0,未审附注之非流动资产!D232)</f>
        <v>0</v>
      </c>
      <c r="E232" s="2085">
        <f>IF(未审附注之非流动资产!E232="",0,未审附注之非流动资产!E232)</f>
        <v>0</v>
      </c>
      <c r="F232" s="2092">
        <f>IF(未审附注之非流动资产!F232="",0,未审附注之非流动资产!F232)</f>
        <v>0</v>
      </c>
      <c r="G232" s="2099"/>
      <c r="H232" s="2099"/>
      <c r="I232" s="2099"/>
      <c r="J232" s="2135" t="s">
        <v>747</v>
      </c>
    </row>
    <row r="233" spans="1:10">
      <c r="A233" s="2082" t="s">
        <v>384</v>
      </c>
      <c r="B233" s="2137"/>
      <c r="C233" s="2048">
        <f>ROUND(SUM(C223:C232),2)</f>
        <v>0</v>
      </c>
      <c r="D233" s="2048">
        <f>ROUND(SUM(D223:D232),2)</f>
        <v>0</v>
      </c>
      <c r="E233" s="2048">
        <f>ROUND(SUM(E223:E232),2)</f>
        <v>0</v>
      </c>
      <c r="F233" s="2048"/>
      <c r="G233" s="2100"/>
      <c r="H233" s="2100"/>
      <c r="I233" s="2100"/>
      <c r="J233" s="2135" t="s">
        <v>748</v>
      </c>
    </row>
    <row r="234" spans="1:9">
      <c r="A234" s="2138"/>
      <c r="B234" s="2126"/>
      <c r="C234" s="2126"/>
      <c r="D234" s="2126"/>
      <c r="E234" s="2126"/>
      <c r="F234" s="2126"/>
      <c r="G234" s="2126"/>
      <c r="H234" s="2126"/>
      <c r="I234" s="2126"/>
    </row>
    <row r="235" spans="1:9">
      <c r="A235" s="2138"/>
      <c r="B235" s="2126"/>
      <c r="C235" s="2126"/>
      <c r="D235" s="2126"/>
      <c r="E235" s="2126"/>
      <c r="F235" s="2126"/>
      <c r="G235" s="2126"/>
      <c r="H235" s="2126"/>
      <c r="I235" s="2126"/>
    </row>
    <row r="236" spans="1:9">
      <c r="A236" s="2134" t="s">
        <v>749</v>
      </c>
      <c r="B236" s="2126"/>
      <c r="C236" s="2126"/>
      <c r="D236" s="2126"/>
      <c r="E236" s="2126"/>
      <c r="F236" s="2126"/>
      <c r="G236" s="2126"/>
      <c r="H236" s="2126"/>
      <c r="I236" s="2126"/>
    </row>
    <row r="237" spans="1:9">
      <c r="A237" s="2133" t="s">
        <v>750</v>
      </c>
      <c r="B237" s="2126"/>
      <c r="C237" s="2126"/>
      <c r="D237" s="2126"/>
      <c r="E237" s="2126"/>
      <c r="F237" s="2126"/>
      <c r="G237" s="2126"/>
      <c r="H237" s="2126"/>
      <c r="I237" s="2126"/>
    </row>
    <row r="238" spans="1:9">
      <c r="A238" s="2082" t="s">
        <v>372</v>
      </c>
      <c r="B238" s="2082" t="s">
        <v>316</v>
      </c>
      <c r="C238" s="2082" t="s">
        <v>581</v>
      </c>
      <c r="D238" s="2082" t="s">
        <v>582</v>
      </c>
      <c r="E238" s="2082" t="s">
        <v>315</v>
      </c>
      <c r="F238" s="2126"/>
      <c r="G238" s="2126"/>
      <c r="H238" s="2126"/>
      <c r="I238" s="2126"/>
    </row>
    <row r="239" spans="1:10">
      <c r="A239" s="2129" t="s">
        <v>714</v>
      </c>
      <c r="B239" s="2048">
        <f>ROUND(SUM(B240:B243),2)</f>
        <v>0</v>
      </c>
      <c r="C239" s="2048">
        <f>ROUND(SUM(C240:C243),2)</f>
        <v>0</v>
      </c>
      <c r="D239" s="2048">
        <f>ROUND(SUM(D240:D243),2)</f>
        <v>0</v>
      </c>
      <c r="E239" s="2048">
        <f>ROUND(SUM(E240:E243),2)</f>
        <v>0</v>
      </c>
      <c r="F239" s="2126"/>
      <c r="G239" s="2126"/>
      <c r="H239" s="2126"/>
      <c r="I239" s="2126"/>
      <c r="J239" s="2135" t="s">
        <v>751</v>
      </c>
    </row>
    <row r="240" spans="1:10">
      <c r="A240" s="2137" t="s">
        <v>716</v>
      </c>
      <c r="B240" s="2085">
        <f>IF(未审附注之非流动资产!B240="",0,未审附注之非流动资产!B240)</f>
        <v>0</v>
      </c>
      <c r="C240" s="2085">
        <f>IF(未审附注之非流动资产!C240="",0,未审附注之非流动资产!C240)</f>
        <v>0</v>
      </c>
      <c r="D240" s="2085">
        <f>IF(未审附注之非流动资产!D240="",0,未审附注之非流动资产!D240)</f>
        <v>0</v>
      </c>
      <c r="E240" s="2048">
        <f>ROUND(B240+C240-D240,2)</f>
        <v>0</v>
      </c>
      <c r="F240" s="2126"/>
      <c r="G240" s="2126"/>
      <c r="H240" s="2126"/>
      <c r="I240" s="2126"/>
      <c r="J240" s="2135" t="s">
        <v>752</v>
      </c>
    </row>
    <row r="241" spans="1:10">
      <c r="A241" s="2137" t="s">
        <v>753</v>
      </c>
      <c r="B241" s="2085">
        <f>IF(未审附注之非流动资产!B241="",0,未审附注之非流动资产!B241)</f>
        <v>0</v>
      </c>
      <c r="C241" s="2085">
        <f>IF(未审附注之非流动资产!C241="",0,未审附注之非流动资产!C241)</f>
        <v>0</v>
      </c>
      <c r="D241" s="2085">
        <f>IF(未审附注之非流动资产!D241="",0,未审附注之非流动资产!D241)</f>
        <v>0</v>
      </c>
      <c r="E241" s="2048">
        <f>ROUND(B241+C241-D241,2)</f>
        <v>0</v>
      </c>
      <c r="F241" s="2126"/>
      <c r="G241" s="2126"/>
      <c r="H241" s="2126"/>
      <c r="I241" s="2126"/>
      <c r="J241" s="2135" t="s">
        <v>754</v>
      </c>
    </row>
    <row r="242" spans="1:10">
      <c r="A242" s="2137" t="s">
        <v>755</v>
      </c>
      <c r="B242" s="2085">
        <f>IF(未审附注之非流动资产!B242="",0,未审附注之非流动资产!B242)</f>
        <v>0</v>
      </c>
      <c r="C242" s="2085">
        <f>IF(未审附注之非流动资产!C242="",0,未审附注之非流动资产!C242)</f>
        <v>0</v>
      </c>
      <c r="D242" s="2085">
        <f>IF(未审附注之非流动资产!D242="",0,未审附注之非流动资产!D242)</f>
        <v>0</v>
      </c>
      <c r="E242" s="2048">
        <f>ROUND(B242+C242-D242,2)</f>
        <v>0</v>
      </c>
      <c r="F242" s="2126"/>
      <c r="G242" s="2126"/>
      <c r="H242" s="2126"/>
      <c r="I242" s="2126"/>
      <c r="J242" s="2135" t="s">
        <v>756</v>
      </c>
    </row>
    <row r="243" spans="1:10">
      <c r="A243" s="2137" t="s">
        <v>757</v>
      </c>
      <c r="B243" s="2085">
        <f>IF(未审附注之非流动资产!B243="",0,未审附注之非流动资产!B243)</f>
        <v>0</v>
      </c>
      <c r="C243" s="2085">
        <f>IF(未审附注之非流动资产!C243="",0,未审附注之非流动资产!C243)</f>
        <v>0</v>
      </c>
      <c r="D243" s="2085">
        <f>IF(未审附注之非流动资产!D243="",0,未审附注之非流动资产!D243)</f>
        <v>0</v>
      </c>
      <c r="E243" s="2048">
        <f>ROUND(B243+C243-D243,2)</f>
        <v>0</v>
      </c>
      <c r="F243" s="2126"/>
      <c r="G243" s="2126"/>
      <c r="H243" s="2126"/>
      <c r="I243" s="2126"/>
      <c r="J243" s="2135" t="s">
        <v>758</v>
      </c>
    </row>
    <row r="244" spans="1:9">
      <c r="A244" s="2137"/>
      <c r="B244" s="2137"/>
      <c r="C244" s="2137"/>
      <c r="D244" s="2137"/>
      <c r="E244" s="2137"/>
      <c r="F244" s="2126"/>
      <c r="G244" s="2126"/>
      <c r="H244" s="2126"/>
      <c r="I244" s="2126"/>
    </row>
    <row r="245" spans="1:10">
      <c r="A245" s="2129" t="s">
        <v>759</v>
      </c>
      <c r="B245" s="2048">
        <f>ROUND(SUM(B246:B249),2)</f>
        <v>0</v>
      </c>
      <c r="C245" s="2048">
        <f>ROUND(SUM(C246:C249),2)</f>
        <v>0</v>
      </c>
      <c r="D245" s="2048">
        <f>ROUND(SUM(D246:D249),2)</f>
        <v>0</v>
      </c>
      <c r="E245" s="2048">
        <f>ROUND(SUM(E246:E249),2)</f>
        <v>0</v>
      </c>
      <c r="F245" s="2126"/>
      <c r="G245" s="2126"/>
      <c r="H245" s="2126"/>
      <c r="I245" s="2126"/>
      <c r="J245" s="2135" t="s">
        <v>760</v>
      </c>
    </row>
    <row r="246" spans="1:10">
      <c r="A246" s="2137" t="s">
        <v>716</v>
      </c>
      <c r="B246" s="2085">
        <f>IF(未审附注之非流动资产!B246="",0,未审附注之非流动资产!B246)</f>
        <v>0</v>
      </c>
      <c r="C246" s="2085">
        <f>IF(未审附注之非流动资产!C246="",0,未审附注之非流动资产!C246)</f>
        <v>0</v>
      </c>
      <c r="D246" s="2085">
        <f>IF(未审附注之非流动资产!D246="",0,未审附注之非流动资产!D246)</f>
        <v>0</v>
      </c>
      <c r="E246" s="2048">
        <f>ROUND(B246+C246-D246,2)</f>
        <v>0</v>
      </c>
      <c r="F246" s="2126"/>
      <c r="G246" s="2126"/>
      <c r="H246" s="2126"/>
      <c r="I246" s="2126"/>
      <c r="J246" s="2135" t="s">
        <v>761</v>
      </c>
    </row>
    <row r="247" spans="1:10">
      <c r="A247" s="2137" t="s">
        <v>753</v>
      </c>
      <c r="B247" s="2085">
        <f>IF(未审附注之非流动资产!B247="",0,未审附注之非流动资产!B247)</f>
        <v>0</v>
      </c>
      <c r="C247" s="2085">
        <f>IF(未审附注之非流动资产!C247="",0,未审附注之非流动资产!C247)</f>
        <v>0</v>
      </c>
      <c r="D247" s="2085">
        <f>IF(未审附注之非流动资产!D247="",0,未审附注之非流动资产!D247)</f>
        <v>0</v>
      </c>
      <c r="E247" s="2048">
        <f>ROUND(B247+C247-D247,2)</f>
        <v>0</v>
      </c>
      <c r="F247" s="2126"/>
      <c r="G247" s="2126"/>
      <c r="H247" s="2126"/>
      <c r="I247" s="2126"/>
      <c r="J247" s="2135" t="s">
        <v>762</v>
      </c>
    </row>
    <row r="248" spans="1:10">
      <c r="A248" s="2137" t="s">
        <v>755</v>
      </c>
      <c r="B248" s="2085">
        <f>IF(未审附注之非流动资产!B248="",0,未审附注之非流动资产!B248)</f>
        <v>0</v>
      </c>
      <c r="C248" s="2085">
        <f>IF(未审附注之非流动资产!C248="",0,未审附注之非流动资产!C248)</f>
        <v>0</v>
      </c>
      <c r="D248" s="2085">
        <f>IF(未审附注之非流动资产!D248="",0,未审附注之非流动资产!D248)</f>
        <v>0</v>
      </c>
      <c r="E248" s="2048">
        <f>ROUND(B248+C248-D248,2)</f>
        <v>0</v>
      </c>
      <c r="F248" s="2126"/>
      <c r="G248" s="2126"/>
      <c r="H248" s="2126"/>
      <c r="I248" s="2126"/>
      <c r="J248" s="2135" t="s">
        <v>763</v>
      </c>
    </row>
    <row r="249" spans="1:10">
      <c r="A249" s="2137" t="s">
        <v>757</v>
      </c>
      <c r="B249" s="2085">
        <f>IF(未审附注之非流动资产!B249="",0,未审附注之非流动资产!B249)</f>
        <v>0</v>
      </c>
      <c r="C249" s="2085">
        <f>IF(未审附注之非流动资产!C249="",0,未审附注之非流动资产!C249)</f>
        <v>0</v>
      </c>
      <c r="D249" s="2085">
        <f>IF(未审附注之非流动资产!D249="",0,未审附注之非流动资产!D249)</f>
        <v>0</v>
      </c>
      <c r="E249" s="2048">
        <f>ROUND(B249+C249-D249,2)</f>
        <v>0</v>
      </c>
      <c r="F249" s="2126"/>
      <c r="G249" s="2126"/>
      <c r="H249" s="2126"/>
      <c r="I249" s="2126"/>
      <c r="J249" s="2135" t="s">
        <v>764</v>
      </c>
    </row>
    <row r="250" spans="1:9">
      <c r="A250" s="2137"/>
      <c r="B250" s="2083"/>
      <c r="C250" s="2083"/>
      <c r="D250" s="2083"/>
      <c r="E250" s="2083"/>
      <c r="F250" s="2126"/>
      <c r="G250" s="2126"/>
      <c r="H250" s="2126"/>
      <c r="I250" s="2126"/>
    </row>
    <row r="251" spans="1:10">
      <c r="A251" s="2129" t="s">
        <v>765</v>
      </c>
      <c r="B251" s="2048">
        <f>ROUND(SUM(B252:B255),2)</f>
        <v>0</v>
      </c>
      <c r="C251" s="2048">
        <f>ROUND(SUM(C252:C255),2)</f>
        <v>0</v>
      </c>
      <c r="D251" s="2048">
        <f>ROUND(SUM(D252:D255),2)</f>
        <v>0</v>
      </c>
      <c r="E251" s="2048">
        <f>ROUND(SUM(E252:E255),2)</f>
        <v>0</v>
      </c>
      <c r="F251" s="2126"/>
      <c r="G251" s="2126"/>
      <c r="H251" s="2126"/>
      <c r="I251" s="2126"/>
      <c r="J251" s="2135" t="s">
        <v>766</v>
      </c>
    </row>
    <row r="252" spans="1:10">
      <c r="A252" s="2137" t="s">
        <v>716</v>
      </c>
      <c r="B252" s="2085">
        <f>IF(未审附注之非流动资产!B252="",0,未审附注之非流动资产!B252)</f>
        <v>0</v>
      </c>
      <c r="C252" s="2085">
        <f>IF(未审附注之非流动资产!C252="",0,未审附注之非流动资产!C252)</f>
        <v>0</v>
      </c>
      <c r="D252" s="2085">
        <f>IF(未审附注之非流动资产!D252="",0,未审附注之非流动资产!D252)</f>
        <v>0</v>
      </c>
      <c r="E252" s="2048">
        <f>ROUND(B252+C252-D252,2)</f>
        <v>0</v>
      </c>
      <c r="F252" s="2126"/>
      <c r="G252" s="2126"/>
      <c r="H252" s="2126"/>
      <c r="I252" s="2126"/>
      <c r="J252" s="2135" t="s">
        <v>767</v>
      </c>
    </row>
    <row r="253" spans="1:10">
      <c r="A253" s="2137" t="s">
        <v>753</v>
      </c>
      <c r="B253" s="2085">
        <f>IF(未审附注之非流动资产!B253="",0,未审附注之非流动资产!B253)</f>
        <v>0</v>
      </c>
      <c r="C253" s="2085">
        <f>IF(未审附注之非流动资产!C253="",0,未审附注之非流动资产!C253)</f>
        <v>0</v>
      </c>
      <c r="D253" s="2085">
        <f>IF(未审附注之非流动资产!D253="",0,未审附注之非流动资产!D253)</f>
        <v>0</v>
      </c>
      <c r="E253" s="2048">
        <f>ROUND(B253+C253-D253,2)</f>
        <v>0</v>
      </c>
      <c r="F253" s="2126"/>
      <c r="G253" s="2126"/>
      <c r="H253" s="2126"/>
      <c r="I253" s="2126"/>
      <c r="J253" s="2135" t="s">
        <v>768</v>
      </c>
    </row>
    <row r="254" spans="1:10">
      <c r="A254" s="2137" t="s">
        <v>755</v>
      </c>
      <c r="B254" s="2085">
        <f>IF(未审附注之非流动资产!B254="",0,未审附注之非流动资产!B254)</f>
        <v>0</v>
      </c>
      <c r="C254" s="2085">
        <f>IF(未审附注之非流动资产!C254="",0,未审附注之非流动资产!C254)</f>
        <v>0</v>
      </c>
      <c r="D254" s="2085">
        <f>IF(未审附注之非流动资产!D254="",0,未审附注之非流动资产!D254)</f>
        <v>0</v>
      </c>
      <c r="E254" s="2048">
        <f>ROUND(B254+C254-D254,2)</f>
        <v>0</v>
      </c>
      <c r="F254" s="2126"/>
      <c r="G254" s="2126"/>
      <c r="H254" s="2126"/>
      <c r="I254" s="2126"/>
      <c r="J254" s="2135" t="s">
        <v>769</v>
      </c>
    </row>
    <row r="255" spans="1:10">
      <c r="A255" s="2137" t="s">
        <v>757</v>
      </c>
      <c r="B255" s="2085">
        <f>IF(未审附注之非流动资产!B255="",0,未审附注之非流动资产!B255)</f>
        <v>0</v>
      </c>
      <c r="C255" s="2085">
        <f>IF(未审附注之非流动资产!C255="",0,未审附注之非流动资产!C255)</f>
        <v>0</v>
      </c>
      <c r="D255" s="2085">
        <f>IF(未审附注之非流动资产!D255="",0,未审附注之非流动资产!D255)</f>
        <v>0</v>
      </c>
      <c r="E255" s="2048">
        <f>ROUND(B255+C255-D255,2)</f>
        <v>0</v>
      </c>
      <c r="F255" s="2126"/>
      <c r="G255" s="2126"/>
      <c r="H255" s="2126"/>
      <c r="I255" s="2126"/>
      <c r="J255" s="2135" t="s">
        <v>770</v>
      </c>
    </row>
    <row r="256" spans="1:9">
      <c r="A256" s="2137"/>
      <c r="B256" s="2083"/>
      <c r="C256" s="2083"/>
      <c r="D256" s="2083"/>
      <c r="E256" s="2083"/>
      <c r="F256" s="2126"/>
      <c r="G256" s="2126"/>
      <c r="H256" s="2126"/>
      <c r="I256" s="2126"/>
    </row>
    <row r="257" spans="1:9">
      <c r="A257" s="2129" t="s">
        <v>771</v>
      </c>
      <c r="B257" s="2048">
        <f>ROUND(SUM(B258:B261),2)</f>
        <v>0</v>
      </c>
      <c r="C257" s="2048">
        <f>ROUND(SUM(C258:C261),2)</f>
        <v>0</v>
      </c>
      <c r="D257" s="2048">
        <f>ROUND(SUM(D258:D261),2)</f>
        <v>0</v>
      </c>
      <c r="E257" s="2048">
        <f>ROUND(SUM(E258:E261),2)</f>
        <v>0</v>
      </c>
      <c r="F257" s="2126"/>
      <c r="G257" s="2126"/>
      <c r="H257" s="2126"/>
      <c r="I257" s="2126"/>
    </row>
    <row r="258" spans="1:9">
      <c r="A258" s="2137" t="s">
        <v>716</v>
      </c>
      <c r="B258" s="2139">
        <f>ROUND(B240-B246-B252,2)</f>
        <v>0</v>
      </c>
      <c r="C258" s="2139">
        <f>ROUND(C240-C246-C252,2)</f>
        <v>0</v>
      </c>
      <c r="D258" s="2139">
        <f>ROUND(D240-D246-D252,2)</f>
        <v>0</v>
      </c>
      <c r="E258" s="2048">
        <f>ROUND(B258+C258-D258,2)</f>
        <v>0</v>
      </c>
      <c r="F258" s="2126"/>
      <c r="G258" s="2126"/>
      <c r="H258" s="2126"/>
      <c r="I258" s="2126"/>
    </row>
    <row r="259" spans="1:9">
      <c r="A259" s="2137" t="s">
        <v>753</v>
      </c>
      <c r="B259" s="2139">
        <f t="shared" ref="B259:D261" si="10">ROUND(B241-B247-B253,2)</f>
        <v>0</v>
      </c>
      <c r="C259" s="2139">
        <f t="shared" si="10"/>
        <v>0</v>
      </c>
      <c r="D259" s="2139">
        <f t="shared" si="10"/>
        <v>0</v>
      </c>
      <c r="E259" s="2048">
        <f>ROUND(B259+C259-D259,2)</f>
        <v>0</v>
      </c>
      <c r="F259" s="2126"/>
      <c r="G259" s="2126"/>
      <c r="H259" s="2126"/>
      <c r="I259" s="2126"/>
    </row>
    <row r="260" spans="1:9">
      <c r="A260" s="2137" t="s">
        <v>755</v>
      </c>
      <c r="B260" s="2139">
        <f t="shared" si="10"/>
        <v>0</v>
      </c>
      <c r="C260" s="2139">
        <f t="shared" si="10"/>
        <v>0</v>
      </c>
      <c r="D260" s="2139">
        <f t="shared" si="10"/>
        <v>0</v>
      </c>
      <c r="E260" s="2048">
        <f>ROUND(B260+C260-D260,2)</f>
        <v>0</v>
      </c>
      <c r="F260" s="2126"/>
      <c r="G260" s="2126"/>
      <c r="H260" s="2126"/>
      <c r="I260" s="2126"/>
    </row>
    <row r="261" spans="1:9">
      <c r="A261" s="2137" t="s">
        <v>757</v>
      </c>
      <c r="B261" s="2139">
        <f t="shared" si="10"/>
        <v>0</v>
      </c>
      <c r="C261" s="2139">
        <f t="shared" si="10"/>
        <v>0</v>
      </c>
      <c r="D261" s="2139">
        <f t="shared" si="10"/>
        <v>0</v>
      </c>
      <c r="E261" s="2048">
        <f>ROUND(B261+C261-D261,2)</f>
        <v>0</v>
      </c>
      <c r="F261" s="2126"/>
      <c r="G261" s="2126"/>
      <c r="H261" s="2126"/>
      <c r="I261" s="2126"/>
    </row>
    <row r="262" spans="1:9">
      <c r="A262" s="2132"/>
      <c r="B262" s="2094"/>
      <c r="C262" s="2094"/>
      <c r="D262" s="2094"/>
      <c r="E262" s="2094"/>
      <c r="F262" s="2126"/>
      <c r="G262" s="2126"/>
      <c r="H262" s="2126"/>
      <c r="I262" s="2126"/>
    </row>
    <row r="263" spans="1:9">
      <c r="A263" s="2133" t="s">
        <v>772</v>
      </c>
      <c r="B263" s="2126"/>
      <c r="C263" s="2126"/>
      <c r="D263" s="2126"/>
      <c r="E263" s="2126"/>
      <c r="F263" s="2126"/>
      <c r="G263" s="2126"/>
      <c r="H263" s="2126"/>
      <c r="I263" s="2126"/>
    </row>
    <row r="264" spans="1:9">
      <c r="A264" s="2082" t="s">
        <v>372</v>
      </c>
      <c r="B264" s="2082" t="s">
        <v>773</v>
      </c>
      <c r="C264" s="2082" t="s">
        <v>774</v>
      </c>
      <c r="D264" s="2082" t="s">
        <v>775</v>
      </c>
      <c r="E264" s="2082" t="s">
        <v>776</v>
      </c>
      <c r="F264" s="2126"/>
      <c r="G264" s="2126"/>
      <c r="H264" s="2126"/>
      <c r="I264" s="2126"/>
    </row>
    <row r="265" spans="1:10">
      <c r="A265" s="2129" t="s">
        <v>777</v>
      </c>
      <c r="B265" s="2048">
        <f>ROUND(SUM(B266:B269),2)</f>
        <v>0</v>
      </c>
      <c r="C265" s="2048">
        <f>ROUND(SUM(C266:C269),2)</f>
        <v>0</v>
      </c>
      <c r="D265" s="2048">
        <f>ROUND(SUM(D266:D269),2)</f>
        <v>0</v>
      </c>
      <c r="E265" s="2048">
        <f>ROUND(SUM(E266:E269),2)</f>
        <v>0</v>
      </c>
      <c r="F265" s="2126"/>
      <c r="G265" s="2126"/>
      <c r="H265" s="2126"/>
      <c r="I265" s="2126"/>
      <c r="J265" s="2135" t="s">
        <v>778</v>
      </c>
    </row>
    <row r="266" spans="1:10">
      <c r="A266" s="2137" t="s">
        <v>716</v>
      </c>
      <c r="B266" s="2085">
        <f>IF(未审附注之非流动资产!B266="",0,未审附注之非流动资产!B266)</f>
        <v>0</v>
      </c>
      <c r="C266" s="2085">
        <f>IF(未审附注之非流动资产!C266="",0,未审附注之非流动资产!C266)</f>
        <v>0</v>
      </c>
      <c r="D266" s="2085">
        <f>IF(未审附注之非流动资产!D266="",0,未审附注之非流动资产!D266)</f>
        <v>0</v>
      </c>
      <c r="E266" s="2048">
        <f>ROUND(B266-C266-D266,2)</f>
        <v>0</v>
      </c>
      <c r="F266" s="2126"/>
      <c r="G266" s="2126"/>
      <c r="H266" s="2126"/>
      <c r="I266" s="2126"/>
      <c r="J266" s="2135" t="s">
        <v>779</v>
      </c>
    </row>
    <row r="267" spans="1:10">
      <c r="A267" s="2137" t="s">
        <v>753</v>
      </c>
      <c r="B267" s="2085">
        <f>IF(未审附注之非流动资产!B267="",0,未审附注之非流动资产!B267)</f>
        <v>0</v>
      </c>
      <c r="C267" s="2085">
        <f>IF(未审附注之非流动资产!C267="",0,未审附注之非流动资产!C267)</f>
        <v>0</v>
      </c>
      <c r="D267" s="2085">
        <f>IF(未审附注之非流动资产!D267="",0,未审附注之非流动资产!D267)</f>
        <v>0</v>
      </c>
      <c r="E267" s="2048">
        <f>ROUND(B267-C267-D267,2)</f>
        <v>0</v>
      </c>
      <c r="F267" s="2126"/>
      <c r="G267" s="2126"/>
      <c r="H267" s="2126"/>
      <c r="I267" s="2126"/>
      <c r="J267" s="2135" t="s">
        <v>780</v>
      </c>
    </row>
    <row r="268" spans="1:10">
      <c r="A268" s="2137" t="s">
        <v>755</v>
      </c>
      <c r="B268" s="2085">
        <f>IF(未审附注之非流动资产!B268="",0,未审附注之非流动资产!B268)</f>
        <v>0</v>
      </c>
      <c r="C268" s="2085">
        <f>IF(未审附注之非流动资产!C268="",0,未审附注之非流动资产!C268)</f>
        <v>0</v>
      </c>
      <c r="D268" s="2085">
        <f>IF(未审附注之非流动资产!D268="",0,未审附注之非流动资产!D268)</f>
        <v>0</v>
      </c>
      <c r="E268" s="2048">
        <f>ROUND(B268-C268-D268,2)</f>
        <v>0</v>
      </c>
      <c r="F268" s="2126"/>
      <c r="G268" s="2126"/>
      <c r="H268" s="2126"/>
      <c r="I268" s="2126"/>
      <c r="J268" s="2135" t="s">
        <v>781</v>
      </c>
    </row>
    <row r="269" spans="1:10">
      <c r="A269" s="2137" t="s">
        <v>757</v>
      </c>
      <c r="B269" s="2085">
        <f>IF(未审附注之非流动资产!B269="",0,未审附注之非流动资产!B269)</f>
        <v>0</v>
      </c>
      <c r="C269" s="2085">
        <f>IF(未审附注之非流动资产!C269="",0,未审附注之非流动资产!C269)</f>
        <v>0</v>
      </c>
      <c r="D269" s="2085">
        <f>IF(未审附注之非流动资产!D269="",0,未审附注之非流动资产!D269)</f>
        <v>0</v>
      </c>
      <c r="E269" s="2048">
        <f>ROUND(B269-C269-D269,2)</f>
        <v>0</v>
      </c>
      <c r="F269" s="2126"/>
      <c r="G269" s="2126"/>
      <c r="H269" s="2126"/>
      <c r="I269" s="2126"/>
      <c r="J269" s="2135" t="s">
        <v>782</v>
      </c>
    </row>
    <row r="270" spans="1:9">
      <c r="A270" s="2137"/>
      <c r="B270" s="2137"/>
      <c r="C270" s="2137"/>
      <c r="D270" s="2137"/>
      <c r="E270" s="2137"/>
      <c r="F270" s="2126"/>
      <c r="G270" s="2126"/>
      <c r="H270" s="2126"/>
      <c r="I270" s="2126"/>
    </row>
    <row r="271" spans="1:10">
      <c r="A271" s="2129" t="s">
        <v>783</v>
      </c>
      <c r="B271" s="2048">
        <f>ROUND(SUM(B272:B275),2)</f>
        <v>0</v>
      </c>
      <c r="C271" s="2048">
        <f>ROUND(SUM(C272:C275),2)</f>
        <v>0</v>
      </c>
      <c r="D271" s="2048">
        <f>ROUND(SUM(D272:D275),2)</f>
        <v>0</v>
      </c>
      <c r="E271" s="2048">
        <f>ROUND(SUM(E272:E275),2)</f>
        <v>0</v>
      </c>
      <c r="F271" s="2126"/>
      <c r="G271" s="2126"/>
      <c r="H271" s="2126"/>
      <c r="I271" s="2126"/>
      <c r="J271" s="2135" t="s">
        <v>784</v>
      </c>
    </row>
    <row r="272" spans="1:10">
      <c r="A272" s="2137" t="s">
        <v>716</v>
      </c>
      <c r="B272" s="2085">
        <f>IF(未审附注之非流动资产!B272="",0,未审附注之非流动资产!B272)</f>
        <v>0</v>
      </c>
      <c r="C272" s="2085">
        <f>IF(未审附注之非流动资产!C272="",0,未审附注之非流动资产!C272)</f>
        <v>0</v>
      </c>
      <c r="D272" s="2085">
        <f>IF(未审附注之非流动资产!D272="",0,未审附注之非流动资产!D272)</f>
        <v>0</v>
      </c>
      <c r="E272" s="2048">
        <f>ROUND(B272-C272-D272,2)</f>
        <v>0</v>
      </c>
      <c r="F272" s="2126"/>
      <c r="G272" s="2126"/>
      <c r="H272" s="2126"/>
      <c r="I272" s="2126"/>
      <c r="J272" s="2135" t="s">
        <v>785</v>
      </c>
    </row>
    <row r="273" spans="1:10">
      <c r="A273" s="2137" t="s">
        <v>753</v>
      </c>
      <c r="B273" s="2085">
        <f>IF(未审附注之非流动资产!B273="",0,未审附注之非流动资产!B273)</f>
        <v>0</v>
      </c>
      <c r="C273" s="2085">
        <f>IF(未审附注之非流动资产!C273="",0,未审附注之非流动资产!C273)</f>
        <v>0</v>
      </c>
      <c r="D273" s="2085">
        <f>IF(未审附注之非流动资产!D273="",0,未审附注之非流动资产!D273)</f>
        <v>0</v>
      </c>
      <c r="E273" s="2048">
        <f>ROUND(B273-C273-D273,2)</f>
        <v>0</v>
      </c>
      <c r="F273" s="2126"/>
      <c r="G273" s="2126"/>
      <c r="H273" s="2126"/>
      <c r="I273" s="2126"/>
      <c r="J273" s="2135" t="s">
        <v>786</v>
      </c>
    </row>
    <row r="274" spans="1:10">
      <c r="A274" s="2137" t="s">
        <v>755</v>
      </c>
      <c r="B274" s="2085">
        <f>IF(未审附注之非流动资产!B274="",0,未审附注之非流动资产!B274)</f>
        <v>0</v>
      </c>
      <c r="C274" s="2085">
        <f>IF(未审附注之非流动资产!C274="",0,未审附注之非流动资产!C274)</f>
        <v>0</v>
      </c>
      <c r="D274" s="2085">
        <f>IF(未审附注之非流动资产!D274="",0,未审附注之非流动资产!D274)</f>
        <v>0</v>
      </c>
      <c r="E274" s="2048">
        <f>ROUND(B274-C274-D274,2)</f>
        <v>0</v>
      </c>
      <c r="F274" s="2126"/>
      <c r="G274" s="2126"/>
      <c r="H274" s="2126"/>
      <c r="I274" s="2126"/>
      <c r="J274" s="2135" t="s">
        <v>787</v>
      </c>
    </row>
    <row r="275" spans="1:10">
      <c r="A275" s="2137" t="s">
        <v>757</v>
      </c>
      <c r="B275" s="2085">
        <f>IF(未审附注之非流动资产!B275="",0,未审附注之非流动资产!B275)</f>
        <v>0</v>
      </c>
      <c r="C275" s="2085">
        <f>IF(未审附注之非流动资产!C275="",0,未审附注之非流动资产!C275)</f>
        <v>0</v>
      </c>
      <c r="D275" s="2085">
        <f>IF(未审附注之非流动资产!D275="",0,未审附注之非流动资产!D275)</f>
        <v>0</v>
      </c>
      <c r="E275" s="2048">
        <f>ROUND(B275-C275-D275,2)</f>
        <v>0</v>
      </c>
      <c r="F275" s="2126"/>
      <c r="G275" s="2126"/>
      <c r="H275" s="2126"/>
      <c r="I275" s="2126"/>
      <c r="J275" s="2135" t="s">
        <v>788</v>
      </c>
    </row>
    <row r="276" spans="1:9">
      <c r="A276" s="2137"/>
      <c r="B276" s="2083"/>
      <c r="C276" s="2083"/>
      <c r="D276" s="2083"/>
      <c r="E276" s="2083"/>
      <c r="F276" s="2126"/>
      <c r="G276" s="2126"/>
      <c r="H276" s="2126"/>
      <c r="I276" s="2126"/>
    </row>
    <row r="277" spans="1:10">
      <c r="A277" s="2129" t="s">
        <v>789</v>
      </c>
      <c r="B277" s="2048">
        <f>ROUND(SUM(B278:B281),2)</f>
        <v>0</v>
      </c>
      <c r="C277" s="2048">
        <f>ROUND(SUM(C278:C281),2)</f>
        <v>0</v>
      </c>
      <c r="D277" s="2048">
        <f>ROUND(SUM(D278:D281),2)</f>
        <v>0</v>
      </c>
      <c r="E277" s="2048">
        <f>ROUND(SUM(E278:E281),2)</f>
        <v>0</v>
      </c>
      <c r="F277" s="2126"/>
      <c r="G277" s="2126"/>
      <c r="H277" s="2126"/>
      <c r="I277" s="2126"/>
      <c r="J277" s="2135" t="s">
        <v>790</v>
      </c>
    </row>
    <row r="278" spans="1:10">
      <c r="A278" s="2137" t="s">
        <v>716</v>
      </c>
      <c r="B278" s="2085">
        <f>IF(未审附注之非流动资产!B278="",0,未审附注之非流动资产!B278)</f>
        <v>0</v>
      </c>
      <c r="C278" s="2085">
        <f>IF(未审附注之非流动资产!C278="",0,未审附注之非流动资产!C278)</f>
        <v>0</v>
      </c>
      <c r="D278" s="2085">
        <f>IF(未审附注之非流动资产!D278="",0,未审附注之非流动资产!D278)</f>
        <v>0</v>
      </c>
      <c r="E278" s="2048">
        <f>ROUND(B278-C278-D278,2)</f>
        <v>0</v>
      </c>
      <c r="F278" s="2126"/>
      <c r="G278" s="2126"/>
      <c r="H278" s="2126"/>
      <c r="I278" s="2126"/>
      <c r="J278" s="2135" t="s">
        <v>791</v>
      </c>
    </row>
    <row r="279" spans="1:10">
      <c r="A279" s="2137" t="s">
        <v>753</v>
      </c>
      <c r="B279" s="2085">
        <f>IF(未审附注之非流动资产!B279="",0,未审附注之非流动资产!B279)</f>
        <v>0</v>
      </c>
      <c r="C279" s="2085">
        <f>IF(未审附注之非流动资产!C279="",0,未审附注之非流动资产!C279)</f>
        <v>0</v>
      </c>
      <c r="D279" s="2085">
        <f>IF(未审附注之非流动资产!D279="",0,未审附注之非流动资产!D279)</f>
        <v>0</v>
      </c>
      <c r="E279" s="2048">
        <f>ROUND(B279-C279-D279,2)</f>
        <v>0</v>
      </c>
      <c r="F279" s="2126"/>
      <c r="G279" s="2126"/>
      <c r="H279" s="2126"/>
      <c r="I279" s="2126"/>
      <c r="J279" s="2135" t="s">
        <v>792</v>
      </c>
    </row>
    <row r="280" spans="1:10">
      <c r="A280" s="2137" t="s">
        <v>755</v>
      </c>
      <c r="B280" s="2085">
        <f>IF(未审附注之非流动资产!B280="",0,未审附注之非流动资产!B280)</f>
        <v>0</v>
      </c>
      <c r="C280" s="2085">
        <f>IF(未审附注之非流动资产!C280="",0,未审附注之非流动资产!C280)</f>
        <v>0</v>
      </c>
      <c r="D280" s="2085">
        <f>IF(未审附注之非流动资产!D280="",0,未审附注之非流动资产!D280)</f>
        <v>0</v>
      </c>
      <c r="E280" s="2048">
        <f>ROUND(B280-C280-D280,2)</f>
        <v>0</v>
      </c>
      <c r="F280" s="2126"/>
      <c r="G280" s="2126"/>
      <c r="H280" s="2126"/>
      <c r="I280" s="2126"/>
      <c r="J280" s="2135" t="s">
        <v>793</v>
      </c>
    </row>
    <row r="281" spans="1:10">
      <c r="A281" s="2137" t="s">
        <v>757</v>
      </c>
      <c r="B281" s="2085">
        <f>IF(未审附注之非流动资产!B281="",0,未审附注之非流动资产!B281)</f>
        <v>0</v>
      </c>
      <c r="C281" s="2085">
        <f>IF(未审附注之非流动资产!C281="",0,未审附注之非流动资产!C281)</f>
        <v>0</v>
      </c>
      <c r="D281" s="2085">
        <f>IF(未审附注之非流动资产!D281="",0,未审附注之非流动资产!D281)</f>
        <v>0</v>
      </c>
      <c r="E281" s="2048">
        <f>ROUND(B281-C281-D281,2)</f>
        <v>0</v>
      </c>
      <c r="F281" s="2126"/>
      <c r="G281" s="2126"/>
      <c r="H281" s="2126"/>
      <c r="I281" s="2126"/>
      <c r="J281" s="2135" t="s">
        <v>794</v>
      </c>
    </row>
    <row r="282" spans="1:9">
      <c r="A282" s="2137"/>
      <c r="B282" s="2083"/>
      <c r="C282" s="2083"/>
      <c r="D282" s="2083"/>
      <c r="E282" s="2083"/>
      <c r="F282" s="2126"/>
      <c r="G282" s="2126"/>
      <c r="H282" s="2126"/>
      <c r="I282" s="2126"/>
    </row>
    <row r="283" spans="1:10">
      <c r="A283" s="2129" t="s">
        <v>795</v>
      </c>
      <c r="B283" s="2048">
        <f>ROUND(SUM(B284:B287),2)</f>
        <v>0</v>
      </c>
      <c r="C283" s="2048">
        <f>ROUND(SUM(C284:C287),2)</f>
        <v>0</v>
      </c>
      <c r="D283" s="2048">
        <f>ROUND(SUM(D284:D287),2)</f>
        <v>0</v>
      </c>
      <c r="E283" s="2048">
        <f>ROUND(SUM(E284:E287),2)</f>
        <v>0</v>
      </c>
      <c r="F283" s="2126"/>
      <c r="G283" s="2126"/>
      <c r="H283" s="2126"/>
      <c r="I283" s="2126"/>
      <c r="J283" s="2135" t="s">
        <v>796</v>
      </c>
    </row>
    <row r="284" spans="1:10">
      <c r="A284" s="2137" t="s">
        <v>716</v>
      </c>
      <c r="B284" s="2085">
        <f>IF(未审附注之非流动资产!B284="",0,未审附注之非流动资产!B284)</f>
        <v>0</v>
      </c>
      <c r="C284" s="2085">
        <f>IF(未审附注之非流动资产!C284="",0,未审附注之非流动资产!C284)</f>
        <v>0</v>
      </c>
      <c r="D284" s="2085">
        <f>IF(未审附注之非流动资产!D284="",0,未审附注之非流动资产!D284)</f>
        <v>0</v>
      </c>
      <c r="E284" s="2048">
        <f>ROUND(B284-C284-D284,2)</f>
        <v>0</v>
      </c>
      <c r="F284" s="2126"/>
      <c r="G284" s="2126"/>
      <c r="H284" s="2126"/>
      <c r="I284" s="2126"/>
      <c r="J284" s="2135" t="s">
        <v>797</v>
      </c>
    </row>
    <row r="285" spans="1:10">
      <c r="A285" s="2137" t="s">
        <v>753</v>
      </c>
      <c r="B285" s="2085">
        <f>IF(未审附注之非流动资产!B285="",0,未审附注之非流动资产!B285)</f>
        <v>0</v>
      </c>
      <c r="C285" s="2085">
        <f>IF(未审附注之非流动资产!C285="",0,未审附注之非流动资产!C285)</f>
        <v>0</v>
      </c>
      <c r="D285" s="2085">
        <f>IF(未审附注之非流动资产!D285="",0,未审附注之非流动资产!D285)</f>
        <v>0</v>
      </c>
      <c r="E285" s="2048">
        <f>ROUND(B285-C285-D285,2)</f>
        <v>0</v>
      </c>
      <c r="F285" s="2126"/>
      <c r="G285" s="2126"/>
      <c r="H285" s="2126"/>
      <c r="I285" s="2126"/>
      <c r="J285" s="2135" t="s">
        <v>798</v>
      </c>
    </row>
    <row r="286" spans="1:10">
      <c r="A286" s="2137" t="s">
        <v>755</v>
      </c>
      <c r="B286" s="2085">
        <f>IF(未审附注之非流动资产!B286="",0,未审附注之非流动资产!B286)</f>
        <v>0</v>
      </c>
      <c r="C286" s="2085">
        <f>IF(未审附注之非流动资产!C286="",0,未审附注之非流动资产!C286)</f>
        <v>0</v>
      </c>
      <c r="D286" s="2085">
        <f>IF(未审附注之非流动资产!D286="",0,未审附注之非流动资产!D286)</f>
        <v>0</v>
      </c>
      <c r="E286" s="2048">
        <f>ROUND(B286-C286-D286,2)</f>
        <v>0</v>
      </c>
      <c r="F286" s="2126"/>
      <c r="G286" s="2126"/>
      <c r="H286" s="2126"/>
      <c r="I286" s="2126"/>
      <c r="J286" s="2135" t="s">
        <v>799</v>
      </c>
    </row>
    <row r="287" spans="1:10">
      <c r="A287" s="2137" t="s">
        <v>757</v>
      </c>
      <c r="B287" s="2085">
        <f>IF(未审附注之非流动资产!B287="",0,未审附注之非流动资产!B287)</f>
        <v>0</v>
      </c>
      <c r="C287" s="2085">
        <f>IF(未审附注之非流动资产!C287="",0,未审附注之非流动资产!C287)</f>
        <v>0</v>
      </c>
      <c r="D287" s="2085">
        <f>IF(未审附注之非流动资产!D287="",0,未审附注之非流动资产!D287)</f>
        <v>0</v>
      </c>
      <c r="E287" s="2048">
        <f>ROUND(B287-C287-D287,2)</f>
        <v>0</v>
      </c>
      <c r="F287" s="2126"/>
      <c r="G287" s="2126"/>
      <c r="H287" s="2126"/>
      <c r="I287" s="2126"/>
      <c r="J287" s="2135" t="s">
        <v>800</v>
      </c>
    </row>
    <row r="288" spans="1:9">
      <c r="A288" s="2132"/>
      <c r="B288" s="2094"/>
      <c r="C288" s="2094"/>
      <c r="D288" s="2094"/>
      <c r="E288" s="2094"/>
      <c r="F288" s="2126"/>
      <c r="G288" s="2126"/>
      <c r="H288" s="2126"/>
      <c r="I288" s="2126"/>
    </row>
    <row r="289" spans="1:9">
      <c r="A289" s="2127" t="s">
        <v>801</v>
      </c>
      <c r="B289" s="2126"/>
      <c r="C289" s="2126"/>
      <c r="D289" s="2126"/>
      <c r="E289" s="2126"/>
      <c r="F289" s="2126"/>
      <c r="G289" s="2126"/>
      <c r="H289" s="2126"/>
      <c r="I289" s="2126"/>
    </row>
    <row r="290" spans="1:9">
      <c r="A290" s="2082" t="s">
        <v>802</v>
      </c>
      <c r="B290" s="2082" t="s">
        <v>773</v>
      </c>
      <c r="C290" s="2082" t="s">
        <v>774</v>
      </c>
      <c r="D290" s="2082" t="s">
        <v>776</v>
      </c>
      <c r="E290" s="2082" t="s">
        <v>803</v>
      </c>
      <c r="F290" s="2082" t="s">
        <v>804</v>
      </c>
      <c r="G290" s="2126"/>
      <c r="H290" s="2126"/>
      <c r="I290" s="2126"/>
    </row>
    <row r="291" spans="1:10">
      <c r="A291" s="2092">
        <f>IF(未审附注之非流动资产!A291="",0,未审附注之非流动资产!A291)</f>
        <v>0</v>
      </c>
      <c r="B291" s="2085">
        <f>IF(未审附注之非流动资产!B291="",0,未审附注之非流动资产!B291)</f>
        <v>0</v>
      </c>
      <c r="C291" s="2085">
        <f>IF(未审附注之非流动资产!C291="",0,未审附注之非流动资产!C291)</f>
        <v>0</v>
      </c>
      <c r="D291" s="2048">
        <f>ROUND(B291-C291,2)</f>
        <v>0</v>
      </c>
      <c r="E291" s="2092">
        <f>IF(未审附注之非流动资产!E291="",0,未审附注之非流动资产!E291)</f>
        <v>0</v>
      </c>
      <c r="F291" s="2085">
        <f>IF(未审附注之非流动资产!F291="",0,未审附注之非流动资产!F291)</f>
        <v>0</v>
      </c>
      <c r="G291" s="2126"/>
      <c r="H291" s="2126"/>
      <c r="I291" s="2126"/>
      <c r="J291" s="2135" t="s">
        <v>805</v>
      </c>
    </row>
    <row r="292" spans="1:10">
      <c r="A292" s="2092">
        <f>IF(未审附注之非流动资产!A292="",0,未审附注之非流动资产!A292)</f>
        <v>0</v>
      </c>
      <c r="B292" s="2085">
        <f>IF(未审附注之非流动资产!B292="",0,未审附注之非流动资产!B292)</f>
        <v>0</v>
      </c>
      <c r="C292" s="2085">
        <f>IF(未审附注之非流动资产!C292="",0,未审附注之非流动资产!C292)</f>
        <v>0</v>
      </c>
      <c r="D292" s="2048">
        <f t="shared" ref="D292:D300" si="11">ROUND(B292-C292,2)</f>
        <v>0</v>
      </c>
      <c r="E292" s="2092">
        <f>IF(未审附注之非流动资产!E292="",0,未审附注之非流动资产!E292)</f>
        <v>0</v>
      </c>
      <c r="F292" s="2085">
        <f>IF(未审附注之非流动资产!F292="",0,未审附注之非流动资产!F292)</f>
        <v>0</v>
      </c>
      <c r="G292" s="2126"/>
      <c r="H292" s="2126"/>
      <c r="I292" s="2126"/>
      <c r="J292" s="2135" t="s">
        <v>805</v>
      </c>
    </row>
    <row r="293" spans="1:10">
      <c r="A293" s="2092">
        <f>IF(未审附注之非流动资产!A293="",0,未审附注之非流动资产!A293)</f>
        <v>0</v>
      </c>
      <c r="B293" s="2085">
        <f>IF(未审附注之非流动资产!B293="",0,未审附注之非流动资产!B293)</f>
        <v>0</v>
      </c>
      <c r="C293" s="2085">
        <f>IF(未审附注之非流动资产!C293="",0,未审附注之非流动资产!C293)</f>
        <v>0</v>
      </c>
      <c r="D293" s="2048">
        <f t="shared" si="11"/>
        <v>0</v>
      </c>
      <c r="E293" s="2092">
        <f>IF(未审附注之非流动资产!E293="",0,未审附注之非流动资产!E293)</f>
        <v>0</v>
      </c>
      <c r="F293" s="2085">
        <f>IF(未审附注之非流动资产!F293="",0,未审附注之非流动资产!F293)</f>
        <v>0</v>
      </c>
      <c r="G293" s="2126"/>
      <c r="H293" s="2126"/>
      <c r="I293" s="2126"/>
      <c r="J293" s="2135" t="s">
        <v>805</v>
      </c>
    </row>
    <row r="294" spans="1:10">
      <c r="A294" s="2092">
        <f>IF(未审附注之非流动资产!A294="",0,未审附注之非流动资产!A294)</f>
        <v>0</v>
      </c>
      <c r="B294" s="2085">
        <f>IF(未审附注之非流动资产!B294="",0,未审附注之非流动资产!B294)</f>
        <v>0</v>
      </c>
      <c r="C294" s="2085">
        <f>IF(未审附注之非流动资产!C294="",0,未审附注之非流动资产!C294)</f>
        <v>0</v>
      </c>
      <c r="D294" s="2048">
        <f t="shared" si="11"/>
        <v>0</v>
      </c>
      <c r="E294" s="2092">
        <f>IF(未审附注之非流动资产!E294="",0,未审附注之非流动资产!E294)</f>
        <v>0</v>
      </c>
      <c r="F294" s="2085">
        <f>IF(未审附注之非流动资产!F294="",0,未审附注之非流动资产!F294)</f>
        <v>0</v>
      </c>
      <c r="G294" s="2126"/>
      <c r="H294" s="2126"/>
      <c r="I294" s="2126"/>
      <c r="J294" s="2135" t="s">
        <v>805</v>
      </c>
    </row>
    <row r="295" spans="1:10">
      <c r="A295" s="2092">
        <f>IF(未审附注之非流动资产!A295="",0,未审附注之非流动资产!A295)</f>
        <v>0</v>
      </c>
      <c r="B295" s="2085">
        <f>IF(未审附注之非流动资产!B295="",0,未审附注之非流动资产!B295)</f>
        <v>0</v>
      </c>
      <c r="C295" s="2085">
        <f>IF(未审附注之非流动资产!C295="",0,未审附注之非流动资产!C295)</f>
        <v>0</v>
      </c>
      <c r="D295" s="2048">
        <f t="shared" si="11"/>
        <v>0</v>
      </c>
      <c r="E295" s="2092">
        <f>IF(未审附注之非流动资产!E295="",0,未审附注之非流动资产!E295)</f>
        <v>0</v>
      </c>
      <c r="F295" s="2085">
        <f>IF(未审附注之非流动资产!F295="",0,未审附注之非流动资产!F295)</f>
        <v>0</v>
      </c>
      <c r="G295" s="2126"/>
      <c r="H295" s="2126"/>
      <c r="I295" s="2126"/>
      <c r="J295" s="2135" t="s">
        <v>805</v>
      </c>
    </row>
    <row r="296" spans="1:10">
      <c r="A296" s="2092">
        <f>IF(未审附注之非流动资产!A296="",0,未审附注之非流动资产!A296)</f>
        <v>0</v>
      </c>
      <c r="B296" s="2085">
        <f>IF(未审附注之非流动资产!B296="",0,未审附注之非流动资产!B296)</f>
        <v>0</v>
      </c>
      <c r="C296" s="2085">
        <f>IF(未审附注之非流动资产!C296="",0,未审附注之非流动资产!C296)</f>
        <v>0</v>
      </c>
      <c r="D296" s="2048">
        <f t="shared" si="11"/>
        <v>0</v>
      </c>
      <c r="E296" s="2092">
        <f>IF(未审附注之非流动资产!E296="",0,未审附注之非流动资产!E296)</f>
        <v>0</v>
      </c>
      <c r="F296" s="2085">
        <f>IF(未审附注之非流动资产!F296="",0,未审附注之非流动资产!F296)</f>
        <v>0</v>
      </c>
      <c r="G296" s="2126"/>
      <c r="H296" s="2126"/>
      <c r="I296" s="2126"/>
      <c r="J296" s="2135" t="s">
        <v>805</v>
      </c>
    </row>
    <row r="297" spans="1:10">
      <c r="A297" s="2092">
        <f>IF(未审附注之非流动资产!A297="",0,未审附注之非流动资产!A297)</f>
        <v>0</v>
      </c>
      <c r="B297" s="2085">
        <f>IF(未审附注之非流动资产!B297="",0,未审附注之非流动资产!B297)</f>
        <v>0</v>
      </c>
      <c r="C297" s="2085">
        <f>IF(未审附注之非流动资产!C297="",0,未审附注之非流动资产!C297)</f>
        <v>0</v>
      </c>
      <c r="D297" s="2048">
        <f t="shared" si="11"/>
        <v>0</v>
      </c>
      <c r="E297" s="2092">
        <f>IF(未审附注之非流动资产!E297="",0,未审附注之非流动资产!E297)</f>
        <v>0</v>
      </c>
      <c r="F297" s="2085">
        <f>IF(未审附注之非流动资产!F297="",0,未审附注之非流动资产!F297)</f>
        <v>0</v>
      </c>
      <c r="G297" s="2126"/>
      <c r="H297" s="2126"/>
      <c r="I297" s="2126"/>
      <c r="J297" s="2135" t="s">
        <v>805</v>
      </c>
    </row>
    <row r="298" spans="1:10">
      <c r="A298" s="2092">
        <f>IF(未审附注之非流动资产!A298="",0,未审附注之非流动资产!A298)</f>
        <v>0</v>
      </c>
      <c r="B298" s="2085">
        <f>IF(未审附注之非流动资产!B298="",0,未审附注之非流动资产!B298)</f>
        <v>0</v>
      </c>
      <c r="C298" s="2085">
        <f>IF(未审附注之非流动资产!C298="",0,未审附注之非流动资产!C298)</f>
        <v>0</v>
      </c>
      <c r="D298" s="2048">
        <f t="shared" si="11"/>
        <v>0</v>
      </c>
      <c r="E298" s="2092">
        <f>IF(未审附注之非流动资产!E298="",0,未审附注之非流动资产!E298)</f>
        <v>0</v>
      </c>
      <c r="F298" s="2085">
        <f>IF(未审附注之非流动资产!F298="",0,未审附注之非流动资产!F298)</f>
        <v>0</v>
      </c>
      <c r="G298" s="2126"/>
      <c r="H298" s="2126"/>
      <c r="I298" s="2126"/>
      <c r="J298" s="2135" t="s">
        <v>805</v>
      </c>
    </row>
    <row r="299" spans="1:10">
      <c r="A299" s="2092">
        <f>IF(未审附注之非流动资产!A299="",0,未审附注之非流动资产!A299)</f>
        <v>0</v>
      </c>
      <c r="B299" s="2085">
        <f>IF(未审附注之非流动资产!B299="",0,未审附注之非流动资产!B299)</f>
        <v>0</v>
      </c>
      <c r="C299" s="2085">
        <f>IF(未审附注之非流动资产!C299="",0,未审附注之非流动资产!C299)</f>
        <v>0</v>
      </c>
      <c r="D299" s="2048">
        <f t="shared" si="11"/>
        <v>0</v>
      </c>
      <c r="E299" s="2092">
        <f>IF(未审附注之非流动资产!E299="",0,未审附注之非流动资产!E299)</f>
        <v>0</v>
      </c>
      <c r="F299" s="2085">
        <f>IF(未审附注之非流动资产!F299="",0,未审附注之非流动资产!F299)</f>
        <v>0</v>
      </c>
      <c r="G299" s="2126"/>
      <c r="H299" s="2126"/>
      <c r="I299" s="2126"/>
      <c r="J299" s="2135" t="s">
        <v>805</v>
      </c>
    </row>
    <row r="300" spans="1:10">
      <c r="A300" s="2092">
        <f>IF(未审附注之非流动资产!A300="",0,未审附注之非流动资产!A300)</f>
        <v>0</v>
      </c>
      <c r="B300" s="2085">
        <f>IF(未审附注之非流动资产!B300="",0,未审附注之非流动资产!B300)</f>
        <v>0</v>
      </c>
      <c r="C300" s="2085">
        <f>IF(未审附注之非流动资产!C300="",0,未审附注之非流动资产!C300)</f>
        <v>0</v>
      </c>
      <c r="D300" s="2048">
        <f t="shared" si="11"/>
        <v>0</v>
      </c>
      <c r="E300" s="2092">
        <f>IF(未审附注之非流动资产!E300="",0,未审附注之非流动资产!E300)</f>
        <v>0</v>
      </c>
      <c r="F300" s="2085">
        <f>IF(未审附注之非流动资产!F300="",0,未审附注之非流动资产!F300)</f>
        <v>0</v>
      </c>
      <c r="G300" s="2126"/>
      <c r="H300" s="2126"/>
      <c r="I300" s="2126"/>
      <c r="J300" s="2135" t="s">
        <v>805</v>
      </c>
    </row>
    <row r="301" spans="1:10">
      <c r="A301" s="2082" t="s">
        <v>384</v>
      </c>
      <c r="B301" s="2048">
        <f>ROUND(SUM(B291:B300),2)</f>
        <v>0</v>
      </c>
      <c r="C301" s="2048">
        <f>ROUND(SUM(C291:C300),2)</f>
        <v>0</v>
      </c>
      <c r="D301" s="2048">
        <f>ROUND(SUM(D291:D300),2)</f>
        <v>0</v>
      </c>
      <c r="E301" s="2048"/>
      <c r="F301" s="2048"/>
      <c r="G301" s="2126"/>
      <c r="H301" s="2126"/>
      <c r="I301" s="2126"/>
      <c r="J301" s="2135" t="s">
        <v>806</v>
      </c>
    </row>
    <row r="302" spans="1:9">
      <c r="A302" s="2132"/>
      <c r="B302" s="2094"/>
      <c r="C302" s="2094"/>
      <c r="D302" s="2094"/>
      <c r="E302" s="2094"/>
      <c r="F302" s="2126"/>
      <c r="G302" s="2126"/>
      <c r="H302" s="2126"/>
      <c r="I302" s="2126"/>
    </row>
    <row r="303" spans="1:10">
      <c r="A303" s="2127" t="s">
        <v>807</v>
      </c>
      <c r="B303" s="2126"/>
      <c r="C303" s="2126"/>
      <c r="D303" s="2126"/>
      <c r="E303" s="2126"/>
      <c r="F303" s="2126"/>
      <c r="G303" s="2126"/>
      <c r="H303" s="2126"/>
      <c r="I303" s="2126"/>
      <c r="J303" s="2074"/>
    </row>
    <row r="304" spans="1:11">
      <c r="A304" s="2082" t="s">
        <v>802</v>
      </c>
      <c r="B304" s="2082" t="s">
        <v>773</v>
      </c>
      <c r="C304" s="2082" t="s">
        <v>774</v>
      </c>
      <c r="D304" s="2082" t="s">
        <v>775</v>
      </c>
      <c r="E304" s="2082" t="s">
        <v>776</v>
      </c>
      <c r="F304" s="2082" t="s">
        <v>808</v>
      </c>
      <c r="G304" s="2082" t="s">
        <v>809</v>
      </c>
      <c r="H304" s="2126"/>
      <c r="I304" s="2126"/>
      <c r="K304" s="2078"/>
    </row>
    <row r="305" spans="1:11">
      <c r="A305" s="2092">
        <f>IF(未审附注之非流动资产!A305="",0,未审附注之非流动资产!A305)</f>
        <v>0</v>
      </c>
      <c r="B305" s="2085">
        <f>IF(未审附注之非流动资产!B305="",0,未审附注之非流动资产!B305)</f>
        <v>0</v>
      </c>
      <c r="C305" s="2085">
        <f>IF(未审附注之非流动资产!C305="",0,未审附注之非流动资产!C305)</f>
        <v>0</v>
      </c>
      <c r="D305" s="2085">
        <f>IF(未审附注之非流动资产!D305="",0,未审附注之非流动资产!D305)</f>
        <v>0</v>
      </c>
      <c r="E305" s="2048">
        <f t="shared" ref="E305:E314" si="12">ROUND(B305-C305-D305,2)</f>
        <v>0</v>
      </c>
      <c r="F305" s="2092">
        <f>IF(未审附注之非流动资产!F305="",0,未审附注之非流动资产!F305)</f>
        <v>0</v>
      </c>
      <c r="G305" s="2085">
        <f>IF(未审附注之非流动资产!G305="",0,未审附注之非流动资产!G305)</f>
        <v>0</v>
      </c>
      <c r="H305" s="2126"/>
      <c r="I305" s="2126"/>
      <c r="J305" s="2135" t="s">
        <v>810</v>
      </c>
      <c r="K305" s="2135"/>
    </row>
    <row r="306" spans="1:11">
      <c r="A306" s="2092">
        <f>IF(未审附注之非流动资产!A306="",0,未审附注之非流动资产!A306)</f>
        <v>0</v>
      </c>
      <c r="B306" s="2085">
        <f>IF(未审附注之非流动资产!B306="",0,未审附注之非流动资产!B306)</f>
        <v>0</v>
      </c>
      <c r="C306" s="2085">
        <f>IF(未审附注之非流动资产!C306="",0,未审附注之非流动资产!C306)</f>
        <v>0</v>
      </c>
      <c r="D306" s="2085">
        <f>IF(未审附注之非流动资产!D306="",0,未审附注之非流动资产!D306)</f>
        <v>0</v>
      </c>
      <c r="E306" s="2048">
        <f t="shared" si="12"/>
        <v>0</v>
      </c>
      <c r="F306" s="2092">
        <f>IF(未审附注之非流动资产!F306="",0,未审附注之非流动资产!F306)</f>
        <v>0</v>
      </c>
      <c r="G306" s="2085">
        <f>IF(未审附注之非流动资产!G306="",0,未审附注之非流动资产!G306)</f>
        <v>0</v>
      </c>
      <c r="H306" s="2126"/>
      <c r="I306" s="2126"/>
      <c r="J306" s="2135" t="s">
        <v>810</v>
      </c>
      <c r="K306" s="2135"/>
    </row>
    <row r="307" spans="1:11">
      <c r="A307" s="2092">
        <f>IF(未审附注之非流动资产!A307="",0,未审附注之非流动资产!A307)</f>
        <v>0</v>
      </c>
      <c r="B307" s="2085">
        <f>IF(未审附注之非流动资产!B307="",0,未审附注之非流动资产!B307)</f>
        <v>0</v>
      </c>
      <c r="C307" s="2085">
        <f>IF(未审附注之非流动资产!C307="",0,未审附注之非流动资产!C307)</f>
        <v>0</v>
      </c>
      <c r="D307" s="2085">
        <f>IF(未审附注之非流动资产!D307="",0,未审附注之非流动资产!D307)</f>
        <v>0</v>
      </c>
      <c r="E307" s="2048">
        <f t="shared" si="12"/>
        <v>0</v>
      </c>
      <c r="F307" s="2092">
        <f>IF(未审附注之非流动资产!F307="",0,未审附注之非流动资产!F307)</f>
        <v>0</v>
      </c>
      <c r="G307" s="2085">
        <f>IF(未审附注之非流动资产!G307="",0,未审附注之非流动资产!G307)</f>
        <v>0</v>
      </c>
      <c r="H307" s="2126"/>
      <c r="I307" s="2126"/>
      <c r="J307" s="2135" t="s">
        <v>810</v>
      </c>
      <c r="K307" s="2135"/>
    </row>
    <row r="308" spans="1:11">
      <c r="A308" s="2092">
        <f>IF(未审附注之非流动资产!A308="",0,未审附注之非流动资产!A308)</f>
        <v>0</v>
      </c>
      <c r="B308" s="2085">
        <f>IF(未审附注之非流动资产!B308="",0,未审附注之非流动资产!B308)</f>
        <v>0</v>
      </c>
      <c r="C308" s="2085">
        <f>IF(未审附注之非流动资产!C308="",0,未审附注之非流动资产!C308)</f>
        <v>0</v>
      </c>
      <c r="D308" s="2085">
        <f>IF(未审附注之非流动资产!D308="",0,未审附注之非流动资产!D308)</f>
        <v>0</v>
      </c>
      <c r="E308" s="2048">
        <f t="shared" si="12"/>
        <v>0</v>
      </c>
      <c r="F308" s="2092">
        <f>IF(未审附注之非流动资产!F308="",0,未审附注之非流动资产!F308)</f>
        <v>0</v>
      </c>
      <c r="G308" s="2085">
        <f>IF(未审附注之非流动资产!G308="",0,未审附注之非流动资产!G308)</f>
        <v>0</v>
      </c>
      <c r="H308" s="2126"/>
      <c r="I308" s="2126"/>
      <c r="J308" s="2135" t="s">
        <v>810</v>
      </c>
      <c r="K308" s="2135"/>
    </row>
    <row r="309" spans="1:11">
      <c r="A309" s="2092">
        <f>IF(未审附注之非流动资产!A309="",0,未审附注之非流动资产!A309)</f>
        <v>0</v>
      </c>
      <c r="B309" s="2085">
        <f>IF(未审附注之非流动资产!B309="",0,未审附注之非流动资产!B309)</f>
        <v>0</v>
      </c>
      <c r="C309" s="2085">
        <f>IF(未审附注之非流动资产!C309="",0,未审附注之非流动资产!C309)</f>
        <v>0</v>
      </c>
      <c r="D309" s="2085">
        <f>IF(未审附注之非流动资产!D309="",0,未审附注之非流动资产!D309)</f>
        <v>0</v>
      </c>
      <c r="E309" s="2048">
        <f t="shared" si="12"/>
        <v>0</v>
      </c>
      <c r="F309" s="2092">
        <f>IF(未审附注之非流动资产!F309="",0,未审附注之非流动资产!F309)</f>
        <v>0</v>
      </c>
      <c r="G309" s="2085">
        <f>IF(未审附注之非流动资产!G309="",0,未审附注之非流动资产!G309)</f>
        <v>0</v>
      </c>
      <c r="H309" s="2126"/>
      <c r="I309" s="2126"/>
      <c r="J309" s="2135" t="s">
        <v>810</v>
      </c>
      <c r="K309" s="2135"/>
    </row>
    <row r="310" spans="1:11">
      <c r="A310" s="2092">
        <f>IF(未审附注之非流动资产!A310="",0,未审附注之非流动资产!A310)</f>
        <v>0</v>
      </c>
      <c r="B310" s="2085">
        <f>IF(未审附注之非流动资产!B310="",0,未审附注之非流动资产!B310)</f>
        <v>0</v>
      </c>
      <c r="C310" s="2085">
        <f>IF(未审附注之非流动资产!C310="",0,未审附注之非流动资产!C310)</f>
        <v>0</v>
      </c>
      <c r="D310" s="2085">
        <f>IF(未审附注之非流动资产!D310="",0,未审附注之非流动资产!D310)</f>
        <v>0</v>
      </c>
      <c r="E310" s="2048">
        <f t="shared" si="12"/>
        <v>0</v>
      </c>
      <c r="F310" s="2092">
        <f>IF(未审附注之非流动资产!F310="",0,未审附注之非流动资产!F310)</f>
        <v>0</v>
      </c>
      <c r="G310" s="2085">
        <f>IF(未审附注之非流动资产!G310="",0,未审附注之非流动资产!G310)</f>
        <v>0</v>
      </c>
      <c r="H310" s="2126"/>
      <c r="I310" s="2126"/>
      <c r="J310" s="2135" t="s">
        <v>810</v>
      </c>
      <c r="K310" s="2135"/>
    </row>
    <row r="311" spans="1:11">
      <c r="A311" s="2092">
        <f>IF(未审附注之非流动资产!A311="",0,未审附注之非流动资产!A311)</f>
        <v>0</v>
      </c>
      <c r="B311" s="2085">
        <f>IF(未审附注之非流动资产!B311="",0,未审附注之非流动资产!B311)</f>
        <v>0</v>
      </c>
      <c r="C311" s="2085">
        <f>IF(未审附注之非流动资产!C311="",0,未审附注之非流动资产!C311)</f>
        <v>0</v>
      </c>
      <c r="D311" s="2085">
        <f>IF(未审附注之非流动资产!D311="",0,未审附注之非流动资产!D311)</f>
        <v>0</v>
      </c>
      <c r="E311" s="2048">
        <f t="shared" si="12"/>
        <v>0</v>
      </c>
      <c r="F311" s="2092">
        <f>IF(未审附注之非流动资产!F311="",0,未审附注之非流动资产!F311)</f>
        <v>0</v>
      </c>
      <c r="G311" s="2085">
        <f>IF(未审附注之非流动资产!G311="",0,未审附注之非流动资产!G311)</f>
        <v>0</v>
      </c>
      <c r="H311" s="2126"/>
      <c r="I311" s="2126"/>
      <c r="J311" s="2135" t="s">
        <v>810</v>
      </c>
      <c r="K311" s="2135"/>
    </row>
    <row r="312" spans="1:11">
      <c r="A312" s="2092">
        <f>IF(未审附注之非流动资产!A312="",0,未审附注之非流动资产!A312)</f>
        <v>0</v>
      </c>
      <c r="B312" s="2085">
        <f>IF(未审附注之非流动资产!B312="",0,未审附注之非流动资产!B312)</f>
        <v>0</v>
      </c>
      <c r="C312" s="2085">
        <f>IF(未审附注之非流动资产!C312="",0,未审附注之非流动资产!C312)</f>
        <v>0</v>
      </c>
      <c r="D312" s="2085">
        <f>IF(未审附注之非流动资产!D312="",0,未审附注之非流动资产!D312)</f>
        <v>0</v>
      </c>
      <c r="E312" s="2048">
        <f t="shared" si="12"/>
        <v>0</v>
      </c>
      <c r="F312" s="2092">
        <f>IF(未审附注之非流动资产!F312="",0,未审附注之非流动资产!F312)</f>
        <v>0</v>
      </c>
      <c r="G312" s="2085">
        <f>IF(未审附注之非流动资产!G312="",0,未审附注之非流动资产!G312)</f>
        <v>0</v>
      </c>
      <c r="H312" s="2126"/>
      <c r="I312" s="2126"/>
      <c r="J312" s="2135" t="s">
        <v>810</v>
      </c>
      <c r="K312" s="2135"/>
    </row>
    <row r="313" spans="1:11">
      <c r="A313" s="2092">
        <f>IF(未审附注之非流动资产!A313="",0,未审附注之非流动资产!A313)</f>
        <v>0</v>
      </c>
      <c r="B313" s="2085">
        <f>IF(未审附注之非流动资产!B313="",0,未审附注之非流动资产!B313)</f>
        <v>0</v>
      </c>
      <c r="C313" s="2085">
        <f>IF(未审附注之非流动资产!C313="",0,未审附注之非流动资产!C313)</f>
        <v>0</v>
      </c>
      <c r="D313" s="2085">
        <f>IF(未审附注之非流动资产!D313="",0,未审附注之非流动资产!D313)</f>
        <v>0</v>
      </c>
      <c r="E313" s="2048">
        <f t="shared" si="12"/>
        <v>0</v>
      </c>
      <c r="F313" s="2092">
        <f>IF(未审附注之非流动资产!F313="",0,未审附注之非流动资产!F313)</f>
        <v>0</v>
      </c>
      <c r="G313" s="2085">
        <f>IF(未审附注之非流动资产!G313="",0,未审附注之非流动资产!G313)</f>
        <v>0</v>
      </c>
      <c r="H313" s="2126"/>
      <c r="I313" s="2126"/>
      <c r="J313" s="2135" t="s">
        <v>810</v>
      </c>
      <c r="K313" s="2135"/>
    </row>
    <row r="314" spans="1:11">
      <c r="A314" s="2092">
        <f>IF(未审附注之非流动资产!A314="",0,未审附注之非流动资产!A314)</f>
        <v>0</v>
      </c>
      <c r="B314" s="2085">
        <f>IF(未审附注之非流动资产!B314="",0,未审附注之非流动资产!B314)</f>
        <v>0</v>
      </c>
      <c r="C314" s="2085">
        <f>IF(未审附注之非流动资产!C314="",0,未审附注之非流动资产!C314)</f>
        <v>0</v>
      </c>
      <c r="D314" s="2085">
        <f>IF(未审附注之非流动资产!D314="",0,未审附注之非流动资产!D314)</f>
        <v>0</v>
      </c>
      <c r="E314" s="2048">
        <f t="shared" si="12"/>
        <v>0</v>
      </c>
      <c r="F314" s="2092">
        <f>IF(未审附注之非流动资产!F314="",0,未审附注之非流动资产!F314)</f>
        <v>0</v>
      </c>
      <c r="G314" s="2085">
        <f>IF(未审附注之非流动资产!G314="",0,未审附注之非流动资产!G314)</f>
        <v>0</v>
      </c>
      <c r="H314" s="2126"/>
      <c r="I314" s="2126"/>
      <c r="J314" s="2135" t="s">
        <v>810</v>
      </c>
      <c r="K314" s="2135"/>
    </row>
    <row r="315" spans="1:11">
      <c r="A315" s="2082" t="s">
        <v>384</v>
      </c>
      <c r="B315" s="2048">
        <f>ROUND(SUM(B305:B314),2)</f>
        <v>0</v>
      </c>
      <c r="C315" s="2048">
        <f>ROUND(SUM(C305:C314),2)</f>
        <v>0</v>
      </c>
      <c r="D315" s="2048">
        <f>ROUND(SUM(D305:D314),2)</f>
        <v>0</v>
      </c>
      <c r="E315" s="2048">
        <f>ROUND(SUM(E305:E314),2)</f>
        <v>0</v>
      </c>
      <c r="F315" s="2048"/>
      <c r="G315" s="2048"/>
      <c r="H315" s="2126"/>
      <c r="I315" s="2126"/>
      <c r="J315" s="2135" t="s">
        <v>811</v>
      </c>
      <c r="K315" s="2135"/>
    </row>
    <row r="316" spans="1:9">
      <c r="A316" s="2140"/>
      <c r="B316" s="2126"/>
      <c r="C316" s="2126"/>
      <c r="D316" s="2126"/>
      <c r="E316" s="2126"/>
      <c r="F316" s="2126"/>
      <c r="G316" s="2126"/>
      <c r="H316" s="2126"/>
      <c r="I316" s="2126"/>
    </row>
    <row r="317" spans="1:9">
      <c r="A317" s="2138"/>
      <c r="B317" s="2126"/>
      <c r="C317" s="2126"/>
      <c r="D317" s="2126"/>
      <c r="E317" s="2126"/>
      <c r="F317" s="2126"/>
      <c r="G317" s="2126"/>
      <c r="H317" s="2126"/>
      <c r="I317" s="2126"/>
    </row>
    <row r="318" spans="1:9">
      <c r="A318" s="2107" t="s">
        <v>812</v>
      </c>
      <c r="B318" s="2126"/>
      <c r="C318" s="2126"/>
      <c r="D318" s="2126"/>
      <c r="E318" s="2126"/>
      <c r="F318" s="2126"/>
      <c r="G318" s="2126"/>
      <c r="H318" s="2126"/>
      <c r="I318" s="2126"/>
    </row>
    <row r="319" spans="1:9">
      <c r="A319" s="2096" t="s">
        <v>813</v>
      </c>
      <c r="B319" s="2126"/>
      <c r="C319" s="2126"/>
      <c r="D319" s="2126"/>
      <c r="E319" s="2126"/>
      <c r="F319" s="2126"/>
      <c r="G319" s="2126"/>
      <c r="H319" s="2126"/>
      <c r="I319" s="2126"/>
    </row>
    <row r="320" spans="1:9">
      <c r="A320" s="2082" t="s">
        <v>814</v>
      </c>
      <c r="B320" s="2082" t="s">
        <v>815</v>
      </c>
      <c r="C320" s="2082" t="s">
        <v>670</v>
      </c>
      <c r="D320" s="2082" t="s">
        <v>581</v>
      </c>
      <c r="E320" s="2082" t="s">
        <v>816</v>
      </c>
      <c r="F320" s="2082" t="s">
        <v>817</v>
      </c>
      <c r="G320" s="2082" t="s">
        <v>515</v>
      </c>
      <c r="H320" s="2082" t="s">
        <v>818</v>
      </c>
      <c r="I320" s="2082" t="s">
        <v>819</v>
      </c>
    </row>
    <row r="321" spans="1:10">
      <c r="A321" s="2092">
        <f>IF(未审附注之非流动资产!A321="",0,未审附注之非流动资产!A321)</f>
        <v>0</v>
      </c>
      <c r="B321" s="2085">
        <f>IF(未审附注之非流动资产!B321="",0,未审附注之非流动资产!B321)</f>
        <v>0</v>
      </c>
      <c r="C321" s="2085">
        <f>IF(未审附注之非流动资产!C321="",0,未审附注之非流动资产!C321)</f>
        <v>0</v>
      </c>
      <c r="D321" s="2085">
        <f>IF(未审附注之非流动资产!D321="",0,未审附注之非流动资产!D321)</f>
        <v>0</v>
      </c>
      <c r="E321" s="2085">
        <f>IF(未审附注之非流动资产!E321="",0,未审附注之非流动资产!E321)</f>
        <v>0</v>
      </c>
      <c r="F321" s="2085">
        <f>IF(未审附注之非流动资产!F321="",0,未审附注之非流动资产!F321)</f>
        <v>0</v>
      </c>
      <c r="G321" s="2048">
        <f>ROUND(C321+D321-E321-F321,2)</f>
        <v>0</v>
      </c>
      <c r="H321" s="2092">
        <f>IF(未审附注之非流动资产!H321="",0,未审附注之非流动资产!H321)</f>
        <v>0</v>
      </c>
      <c r="I321" s="2111">
        <f>IF(未审附注之非流动资产!I321="",0,未审附注之非流动资产!I321)</f>
        <v>0</v>
      </c>
      <c r="J321" s="2135" t="s">
        <v>820</v>
      </c>
    </row>
    <row r="322" spans="1:10">
      <c r="A322" s="2092">
        <f>IF(未审附注之非流动资产!A322="",0,未审附注之非流动资产!A322)</f>
        <v>0</v>
      </c>
      <c r="B322" s="2085">
        <f>IF(未审附注之非流动资产!B322="",0,未审附注之非流动资产!B322)</f>
        <v>0</v>
      </c>
      <c r="C322" s="2085">
        <f>IF(未审附注之非流动资产!C322="",0,未审附注之非流动资产!C322)</f>
        <v>0</v>
      </c>
      <c r="D322" s="2085">
        <f>IF(未审附注之非流动资产!D322="",0,未审附注之非流动资产!D322)</f>
        <v>0</v>
      </c>
      <c r="E322" s="2085">
        <f>IF(未审附注之非流动资产!E322="",0,未审附注之非流动资产!E322)</f>
        <v>0</v>
      </c>
      <c r="F322" s="2085">
        <f>IF(未审附注之非流动资产!F322="",0,未审附注之非流动资产!F322)</f>
        <v>0</v>
      </c>
      <c r="G322" s="2048">
        <f t="shared" ref="G322:G330" si="13">ROUND(C322+D322-E322-F322,2)</f>
        <v>0</v>
      </c>
      <c r="H322" s="2092">
        <f>IF(未审附注之非流动资产!H322="",0,未审附注之非流动资产!H322)</f>
        <v>0</v>
      </c>
      <c r="I322" s="2111">
        <f>IF(未审附注之非流动资产!I322="",0,未审附注之非流动资产!I322)</f>
        <v>0</v>
      </c>
      <c r="J322" s="2135" t="s">
        <v>820</v>
      </c>
    </row>
    <row r="323" spans="1:10">
      <c r="A323" s="2092">
        <f>IF(未审附注之非流动资产!A323="",0,未审附注之非流动资产!A323)</f>
        <v>0</v>
      </c>
      <c r="B323" s="2085">
        <f>IF(未审附注之非流动资产!B323="",0,未审附注之非流动资产!B323)</f>
        <v>0</v>
      </c>
      <c r="C323" s="2085">
        <f>IF(未审附注之非流动资产!C323="",0,未审附注之非流动资产!C323)</f>
        <v>0</v>
      </c>
      <c r="D323" s="2085">
        <f>IF(未审附注之非流动资产!D323="",0,未审附注之非流动资产!D323)</f>
        <v>0</v>
      </c>
      <c r="E323" s="2085">
        <f>IF(未审附注之非流动资产!E323="",0,未审附注之非流动资产!E323)</f>
        <v>0</v>
      </c>
      <c r="F323" s="2085">
        <f>IF(未审附注之非流动资产!F323="",0,未审附注之非流动资产!F323)</f>
        <v>0</v>
      </c>
      <c r="G323" s="2048">
        <f t="shared" si="13"/>
        <v>0</v>
      </c>
      <c r="H323" s="2092">
        <f>IF(未审附注之非流动资产!H323="",0,未审附注之非流动资产!H323)</f>
        <v>0</v>
      </c>
      <c r="I323" s="2111">
        <f>IF(未审附注之非流动资产!I323="",0,未审附注之非流动资产!I323)</f>
        <v>0</v>
      </c>
      <c r="J323" s="2135" t="s">
        <v>820</v>
      </c>
    </row>
    <row r="324" spans="1:10">
      <c r="A324" s="2092">
        <f>IF(未审附注之非流动资产!A324="",0,未审附注之非流动资产!A324)</f>
        <v>0</v>
      </c>
      <c r="B324" s="2085">
        <f>IF(未审附注之非流动资产!B324="",0,未审附注之非流动资产!B324)</f>
        <v>0</v>
      </c>
      <c r="C324" s="2085">
        <f>IF(未审附注之非流动资产!C324="",0,未审附注之非流动资产!C324)</f>
        <v>0</v>
      </c>
      <c r="D324" s="2085">
        <f>IF(未审附注之非流动资产!D324="",0,未审附注之非流动资产!D324)</f>
        <v>0</v>
      </c>
      <c r="E324" s="2085">
        <f>IF(未审附注之非流动资产!E324="",0,未审附注之非流动资产!E324)</f>
        <v>0</v>
      </c>
      <c r="F324" s="2085">
        <f>IF(未审附注之非流动资产!F324="",0,未审附注之非流动资产!F324)</f>
        <v>0</v>
      </c>
      <c r="G324" s="2048">
        <f t="shared" si="13"/>
        <v>0</v>
      </c>
      <c r="H324" s="2092">
        <f>IF(未审附注之非流动资产!H324="",0,未审附注之非流动资产!H324)</f>
        <v>0</v>
      </c>
      <c r="I324" s="2111">
        <f>IF(未审附注之非流动资产!I324="",0,未审附注之非流动资产!I324)</f>
        <v>0</v>
      </c>
      <c r="J324" s="2135" t="s">
        <v>820</v>
      </c>
    </row>
    <row r="325" spans="1:10">
      <c r="A325" s="2092">
        <f>IF(未审附注之非流动资产!A325="",0,未审附注之非流动资产!A325)</f>
        <v>0</v>
      </c>
      <c r="B325" s="2085">
        <f>IF(未审附注之非流动资产!B325="",0,未审附注之非流动资产!B325)</f>
        <v>0</v>
      </c>
      <c r="C325" s="2085">
        <f>IF(未审附注之非流动资产!C325="",0,未审附注之非流动资产!C325)</f>
        <v>0</v>
      </c>
      <c r="D325" s="2085">
        <f>IF(未审附注之非流动资产!D325="",0,未审附注之非流动资产!D325)</f>
        <v>0</v>
      </c>
      <c r="E325" s="2085">
        <f>IF(未审附注之非流动资产!E325="",0,未审附注之非流动资产!E325)</f>
        <v>0</v>
      </c>
      <c r="F325" s="2085">
        <f>IF(未审附注之非流动资产!F325="",0,未审附注之非流动资产!F325)</f>
        <v>0</v>
      </c>
      <c r="G325" s="2048">
        <f t="shared" si="13"/>
        <v>0</v>
      </c>
      <c r="H325" s="2092">
        <f>IF(未审附注之非流动资产!H325="",0,未审附注之非流动资产!H325)</f>
        <v>0</v>
      </c>
      <c r="I325" s="2111">
        <f>IF(未审附注之非流动资产!I325="",0,未审附注之非流动资产!I325)</f>
        <v>0</v>
      </c>
      <c r="J325" s="2135" t="s">
        <v>820</v>
      </c>
    </row>
    <row r="326" spans="1:10">
      <c r="A326" s="2092">
        <f>IF(未审附注之非流动资产!A326="",0,未审附注之非流动资产!A326)</f>
        <v>0</v>
      </c>
      <c r="B326" s="2085">
        <f>IF(未审附注之非流动资产!B326="",0,未审附注之非流动资产!B326)</f>
        <v>0</v>
      </c>
      <c r="C326" s="2085">
        <f>IF(未审附注之非流动资产!C326="",0,未审附注之非流动资产!C326)</f>
        <v>0</v>
      </c>
      <c r="D326" s="2085">
        <f>IF(未审附注之非流动资产!D326="",0,未审附注之非流动资产!D326)</f>
        <v>0</v>
      </c>
      <c r="E326" s="2085">
        <f>IF(未审附注之非流动资产!E326="",0,未审附注之非流动资产!E326)</f>
        <v>0</v>
      </c>
      <c r="F326" s="2085">
        <f>IF(未审附注之非流动资产!F326="",0,未审附注之非流动资产!F326)</f>
        <v>0</v>
      </c>
      <c r="G326" s="2048">
        <f t="shared" si="13"/>
        <v>0</v>
      </c>
      <c r="H326" s="2092">
        <f>IF(未审附注之非流动资产!H326="",0,未审附注之非流动资产!H326)</f>
        <v>0</v>
      </c>
      <c r="I326" s="2111">
        <f>IF(未审附注之非流动资产!I326="",0,未审附注之非流动资产!I326)</f>
        <v>0</v>
      </c>
      <c r="J326" s="2135" t="s">
        <v>820</v>
      </c>
    </row>
    <row r="327" spans="1:10">
      <c r="A327" s="2092">
        <f>IF(未审附注之非流动资产!A327="",0,未审附注之非流动资产!A327)</f>
        <v>0</v>
      </c>
      <c r="B327" s="2085">
        <f>IF(未审附注之非流动资产!B327="",0,未审附注之非流动资产!B327)</f>
        <v>0</v>
      </c>
      <c r="C327" s="2085">
        <f>IF(未审附注之非流动资产!C327="",0,未审附注之非流动资产!C327)</f>
        <v>0</v>
      </c>
      <c r="D327" s="2085">
        <f>IF(未审附注之非流动资产!D327="",0,未审附注之非流动资产!D327)</f>
        <v>0</v>
      </c>
      <c r="E327" s="2085">
        <f>IF(未审附注之非流动资产!E327="",0,未审附注之非流动资产!E327)</f>
        <v>0</v>
      </c>
      <c r="F327" s="2085">
        <f>IF(未审附注之非流动资产!F327="",0,未审附注之非流动资产!F327)</f>
        <v>0</v>
      </c>
      <c r="G327" s="2048">
        <f t="shared" si="13"/>
        <v>0</v>
      </c>
      <c r="H327" s="2092">
        <f>IF(未审附注之非流动资产!H327="",0,未审附注之非流动资产!H327)</f>
        <v>0</v>
      </c>
      <c r="I327" s="2111">
        <f>IF(未审附注之非流动资产!I327="",0,未审附注之非流动资产!I327)</f>
        <v>0</v>
      </c>
      <c r="J327" s="2135" t="s">
        <v>820</v>
      </c>
    </row>
    <row r="328" spans="1:10">
      <c r="A328" s="2092">
        <f>IF(未审附注之非流动资产!A328="",0,未审附注之非流动资产!A328)</f>
        <v>0</v>
      </c>
      <c r="B328" s="2085">
        <f>IF(未审附注之非流动资产!B328="",0,未审附注之非流动资产!B328)</f>
        <v>0</v>
      </c>
      <c r="C328" s="2085">
        <f>IF(未审附注之非流动资产!C328="",0,未审附注之非流动资产!C328)</f>
        <v>0</v>
      </c>
      <c r="D328" s="2085">
        <f>IF(未审附注之非流动资产!D328="",0,未审附注之非流动资产!D328)</f>
        <v>0</v>
      </c>
      <c r="E328" s="2085">
        <f>IF(未审附注之非流动资产!E328="",0,未审附注之非流动资产!E328)</f>
        <v>0</v>
      </c>
      <c r="F328" s="2085">
        <f>IF(未审附注之非流动资产!F328="",0,未审附注之非流动资产!F328)</f>
        <v>0</v>
      </c>
      <c r="G328" s="2048">
        <f t="shared" si="13"/>
        <v>0</v>
      </c>
      <c r="H328" s="2092">
        <f>IF(未审附注之非流动资产!H328="",0,未审附注之非流动资产!H328)</f>
        <v>0</v>
      </c>
      <c r="I328" s="2111">
        <f>IF(未审附注之非流动资产!I328="",0,未审附注之非流动资产!I328)</f>
        <v>0</v>
      </c>
      <c r="J328" s="2135" t="s">
        <v>820</v>
      </c>
    </row>
    <row r="329" spans="1:10">
      <c r="A329" s="2092">
        <f>IF(未审附注之非流动资产!A329="",0,未审附注之非流动资产!A329)</f>
        <v>0</v>
      </c>
      <c r="B329" s="2085">
        <f>IF(未审附注之非流动资产!B329="",0,未审附注之非流动资产!B329)</f>
        <v>0</v>
      </c>
      <c r="C329" s="2085">
        <f>IF(未审附注之非流动资产!C329="",0,未审附注之非流动资产!C329)</f>
        <v>0</v>
      </c>
      <c r="D329" s="2085">
        <f>IF(未审附注之非流动资产!D329="",0,未审附注之非流动资产!D329)</f>
        <v>0</v>
      </c>
      <c r="E329" s="2085">
        <f>IF(未审附注之非流动资产!E329="",0,未审附注之非流动资产!E329)</f>
        <v>0</v>
      </c>
      <c r="F329" s="2085">
        <f>IF(未审附注之非流动资产!F329="",0,未审附注之非流动资产!F329)</f>
        <v>0</v>
      </c>
      <c r="G329" s="2048">
        <f t="shared" si="13"/>
        <v>0</v>
      </c>
      <c r="H329" s="2092">
        <f>IF(未审附注之非流动资产!H329="",0,未审附注之非流动资产!H329)</f>
        <v>0</v>
      </c>
      <c r="I329" s="2111">
        <f>IF(未审附注之非流动资产!I329="",0,未审附注之非流动资产!I329)</f>
        <v>0</v>
      </c>
      <c r="J329" s="2135" t="s">
        <v>820</v>
      </c>
    </row>
    <row r="330" spans="1:10">
      <c r="A330" s="2092">
        <f>IF(未审附注之非流动资产!A330="",0,未审附注之非流动资产!A330)</f>
        <v>0</v>
      </c>
      <c r="B330" s="2085">
        <f>IF(未审附注之非流动资产!B330="",0,未审附注之非流动资产!B330)</f>
        <v>0</v>
      </c>
      <c r="C330" s="2085">
        <f>IF(未审附注之非流动资产!C330="",0,未审附注之非流动资产!C330)</f>
        <v>0</v>
      </c>
      <c r="D330" s="2085">
        <f>IF(未审附注之非流动资产!D330="",0,未审附注之非流动资产!D330)</f>
        <v>0</v>
      </c>
      <c r="E330" s="2085">
        <f>IF(未审附注之非流动资产!E330="",0,未审附注之非流动资产!E330)</f>
        <v>0</v>
      </c>
      <c r="F330" s="2085">
        <f>IF(未审附注之非流动资产!F330="",0,未审附注之非流动资产!F330)</f>
        <v>0</v>
      </c>
      <c r="G330" s="2048">
        <f t="shared" si="13"/>
        <v>0</v>
      </c>
      <c r="H330" s="2092">
        <f>IF(未审附注之非流动资产!H330="",0,未审附注之非流动资产!H330)</f>
        <v>0</v>
      </c>
      <c r="I330" s="2111">
        <f>IF(未审附注之非流动资产!I330="",0,未审附注之非流动资产!I330)</f>
        <v>0</v>
      </c>
      <c r="J330" s="2135" t="s">
        <v>820</v>
      </c>
    </row>
    <row r="331" spans="1:10">
      <c r="A331" s="2082" t="s">
        <v>384</v>
      </c>
      <c r="B331" s="2048">
        <f t="shared" ref="B331:G331" si="14">ROUND(SUM(B321:B330),2)</f>
        <v>0</v>
      </c>
      <c r="C331" s="2048">
        <f t="shared" si="14"/>
        <v>0</v>
      </c>
      <c r="D331" s="2048">
        <f t="shared" si="14"/>
        <v>0</v>
      </c>
      <c r="E331" s="2048">
        <f t="shared" si="14"/>
        <v>0</v>
      </c>
      <c r="F331" s="2048">
        <f t="shared" si="14"/>
        <v>0</v>
      </c>
      <c r="G331" s="2048">
        <f t="shared" si="14"/>
        <v>0</v>
      </c>
      <c r="H331" s="2048"/>
      <c r="I331" s="2048"/>
      <c r="J331" s="2135" t="s">
        <v>821</v>
      </c>
    </row>
    <row r="332" spans="1:10">
      <c r="A332" s="2099"/>
      <c r="B332" s="2132"/>
      <c r="C332" s="2100"/>
      <c r="D332" s="2100"/>
      <c r="E332" s="2100"/>
      <c r="F332" s="2100"/>
      <c r="G332" s="2100"/>
      <c r="H332" s="2100"/>
      <c r="I332" s="2100"/>
      <c r="J332" s="2135"/>
    </row>
    <row r="333" spans="1:9">
      <c r="A333" s="2096" t="s">
        <v>822</v>
      </c>
      <c r="B333" s="2126"/>
      <c r="C333" s="2126"/>
      <c r="D333" s="2126"/>
      <c r="E333" s="2126"/>
      <c r="F333" s="2126"/>
      <c r="G333" s="2126"/>
      <c r="H333" s="2126"/>
      <c r="I333" s="2126"/>
    </row>
    <row r="334" spans="1:10">
      <c r="A334" s="2082" t="s">
        <v>814</v>
      </c>
      <c r="B334" s="2082" t="s">
        <v>670</v>
      </c>
      <c r="C334" s="2082" t="s">
        <v>581</v>
      </c>
      <c r="D334" s="2082" t="s">
        <v>816</v>
      </c>
      <c r="E334" s="2082" t="s">
        <v>817</v>
      </c>
      <c r="F334" s="2082" t="s">
        <v>515</v>
      </c>
      <c r="G334" s="2126"/>
      <c r="H334" s="2126"/>
      <c r="I334" s="2126"/>
      <c r="J334" s="2074"/>
    </row>
    <row r="335" spans="1:10">
      <c r="A335" s="2092">
        <f>IF(未审附注之非流动资产!A335="",0,未审附注之非流动资产!A335)</f>
        <v>0</v>
      </c>
      <c r="B335" s="2085">
        <f>IF(未审附注之非流动资产!B335="",0,未审附注之非流动资产!B335)</f>
        <v>0</v>
      </c>
      <c r="C335" s="2085">
        <f>IF(未审附注之非流动资产!C335="",0,未审附注之非流动资产!C335)</f>
        <v>0</v>
      </c>
      <c r="D335" s="2085">
        <f>IF(未审附注之非流动资产!D335="",0,未审附注之非流动资产!D335)</f>
        <v>0</v>
      </c>
      <c r="E335" s="2085">
        <f>IF(未审附注之非流动资产!E335="",0,未审附注之非流动资产!E335)</f>
        <v>0</v>
      </c>
      <c r="F335" s="2048">
        <f>ROUND(B335+C335-D335-E335,2)</f>
        <v>0</v>
      </c>
      <c r="G335" s="2126"/>
      <c r="H335" s="2126"/>
      <c r="I335" s="2126"/>
      <c r="J335" s="2135" t="s">
        <v>823</v>
      </c>
    </row>
    <row r="336" spans="1:10">
      <c r="A336" s="2092">
        <f>IF(未审附注之非流动资产!A336="",0,未审附注之非流动资产!A336)</f>
        <v>0</v>
      </c>
      <c r="B336" s="2085">
        <f>IF(未审附注之非流动资产!B336="",0,未审附注之非流动资产!B336)</f>
        <v>0</v>
      </c>
      <c r="C336" s="2085">
        <f>IF(未审附注之非流动资产!C336="",0,未审附注之非流动资产!C336)</f>
        <v>0</v>
      </c>
      <c r="D336" s="2085">
        <f>IF(未审附注之非流动资产!D336="",0,未审附注之非流动资产!D336)</f>
        <v>0</v>
      </c>
      <c r="E336" s="2085">
        <f>IF(未审附注之非流动资产!E336="",0,未审附注之非流动资产!E336)</f>
        <v>0</v>
      </c>
      <c r="F336" s="2048">
        <f t="shared" ref="F336:F344" si="15">ROUND(B336+C336-D336-E336,2)</f>
        <v>0</v>
      </c>
      <c r="G336" s="2126"/>
      <c r="H336" s="2126"/>
      <c r="I336" s="2126"/>
      <c r="J336" s="2135" t="s">
        <v>823</v>
      </c>
    </row>
    <row r="337" spans="1:10">
      <c r="A337" s="2092">
        <f>IF(未审附注之非流动资产!A337="",0,未审附注之非流动资产!A337)</f>
        <v>0</v>
      </c>
      <c r="B337" s="2085">
        <f>IF(未审附注之非流动资产!B337="",0,未审附注之非流动资产!B337)</f>
        <v>0</v>
      </c>
      <c r="C337" s="2085">
        <f>IF(未审附注之非流动资产!C337="",0,未审附注之非流动资产!C337)</f>
        <v>0</v>
      </c>
      <c r="D337" s="2085">
        <f>IF(未审附注之非流动资产!D337="",0,未审附注之非流动资产!D337)</f>
        <v>0</v>
      </c>
      <c r="E337" s="2085">
        <f>IF(未审附注之非流动资产!E337="",0,未审附注之非流动资产!E337)</f>
        <v>0</v>
      </c>
      <c r="F337" s="2048">
        <f t="shared" si="15"/>
        <v>0</v>
      </c>
      <c r="G337" s="2126"/>
      <c r="H337" s="2126"/>
      <c r="I337" s="2126"/>
      <c r="J337" s="2135" t="s">
        <v>823</v>
      </c>
    </row>
    <row r="338" spans="1:10">
      <c r="A338" s="2092">
        <f>IF(未审附注之非流动资产!A338="",0,未审附注之非流动资产!A338)</f>
        <v>0</v>
      </c>
      <c r="B338" s="2085">
        <f>IF(未审附注之非流动资产!B338="",0,未审附注之非流动资产!B338)</f>
        <v>0</v>
      </c>
      <c r="C338" s="2085">
        <f>IF(未审附注之非流动资产!C338="",0,未审附注之非流动资产!C338)</f>
        <v>0</v>
      </c>
      <c r="D338" s="2085">
        <f>IF(未审附注之非流动资产!D338="",0,未审附注之非流动资产!D338)</f>
        <v>0</v>
      </c>
      <c r="E338" s="2085">
        <f>IF(未审附注之非流动资产!E338="",0,未审附注之非流动资产!E338)</f>
        <v>0</v>
      </c>
      <c r="F338" s="2048">
        <f t="shared" si="15"/>
        <v>0</v>
      </c>
      <c r="G338" s="2126"/>
      <c r="H338" s="2126"/>
      <c r="I338" s="2126"/>
      <c r="J338" s="2135" t="s">
        <v>823</v>
      </c>
    </row>
    <row r="339" spans="1:10">
      <c r="A339" s="2092">
        <f>IF(未审附注之非流动资产!A339="",0,未审附注之非流动资产!A339)</f>
        <v>0</v>
      </c>
      <c r="B339" s="2085">
        <f>IF(未审附注之非流动资产!B339="",0,未审附注之非流动资产!B339)</f>
        <v>0</v>
      </c>
      <c r="C339" s="2085">
        <f>IF(未审附注之非流动资产!C339="",0,未审附注之非流动资产!C339)</f>
        <v>0</v>
      </c>
      <c r="D339" s="2085">
        <f>IF(未审附注之非流动资产!D339="",0,未审附注之非流动资产!D339)</f>
        <v>0</v>
      </c>
      <c r="E339" s="2085">
        <f>IF(未审附注之非流动资产!E339="",0,未审附注之非流动资产!E339)</f>
        <v>0</v>
      </c>
      <c r="F339" s="2048">
        <f t="shared" si="15"/>
        <v>0</v>
      </c>
      <c r="G339" s="2126"/>
      <c r="H339" s="2126"/>
      <c r="I339" s="2126"/>
      <c r="J339" s="2135" t="s">
        <v>823</v>
      </c>
    </row>
    <row r="340" spans="1:10">
      <c r="A340" s="2092">
        <f>IF(未审附注之非流动资产!A340="",0,未审附注之非流动资产!A340)</f>
        <v>0</v>
      </c>
      <c r="B340" s="2085">
        <f>IF(未审附注之非流动资产!B340="",0,未审附注之非流动资产!B340)</f>
        <v>0</v>
      </c>
      <c r="C340" s="2085">
        <f>IF(未审附注之非流动资产!C340="",0,未审附注之非流动资产!C340)</f>
        <v>0</v>
      </c>
      <c r="D340" s="2085">
        <f>IF(未审附注之非流动资产!D340="",0,未审附注之非流动资产!D340)</f>
        <v>0</v>
      </c>
      <c r="E340" s="2085">
        <f>IF(未审附注之非流动资产!E340="",0,未审附注之非流动资产!E340)</f>
        <v>0</v>
      </c>
      <c r="F340" s="2048">
        <f t="shared" si="15"/>
        <v>0</v>
      </c>
      <c r="G340" s="2126"/>
      <c r="H340" s="2126"/>
      <c r="I340" s="2126"/>
      <c r="J340" s="2135" t="s">
        <v>823</v>
      </c>
    </row>
    <row r="341" spans="1:10">
      <c r="A341" s="2092">
        <f>IF(未审附注之非流动资产!A341="",0,未审附注之非流动资产!A341)</f>
        <v>0</v>
      </c>
      <c r="B341" s="2085">
        <f>IF(未审附注之非流动资产!B341="",0,未审附注之非流动资产!B341)</f>
        <v>0</v>
      </c>
      <c r="C341" s="2085">
        <f>IF(未审附注之非流动资产!C341="",0,未审附注之非流动资产!C341)</f>
        <v>0</v>
      </c>
      <c r="D341" s="2085">
        <f>IF(未审附注之非流动资产!D341="",0,未审附注之非流动资产!D341)</f>
        <v>0</v>
      </c>
      <c r="E341" s="2085">
        <f>IF(未审附注之非流动资产!E341="",0,未审附注之非流动资产!E341)</f>
        <v>0</v>
      </c>
      <c r="F341" s="2048">
        <f t="shared" si="15"/>
        <v>0</v>
      </c>
      <c r="G341" s="2126"/>
      <c r="H341" s="2126"/>
      <c r="I341" s="2126"/>
      <c r="J341" s="2135" t="s">
        <v>823</v>
      </c>
    </row>
    <row r="342" spans="1:10">
      <c r="A342" s="2092">
        <f>IF(未审附注之非流动资产!A342="",0,未审附注之非流动资产!A342)</f>
        <v>0</v>
      </c>
      <c r="B342" s="2085">
        <f>IF(未审附注之非流动资产!B342="",0,未审附注之非流动资产!B342)</f>
        <v>0</v>
      </c>
      <c r="C342" s="2085">
        <f>IF(未审附注之非流动资产!C342="",0,未审附注之非流动资产!C342)</f>
        <v>0</v>
      </c>
      <c r="D342" s="2085">
        <f>IF(未审附注之非流动资产!D342="",0,未审附注之非流动资产!D342)</f>
        <v>0</v>
      </c>
      <c r="E342" s="2085">
        <f>IF(未审附注之非流动资产!E342="",0,未审附注之非流动资产!E342)</f>
        <v>0</v>
      </c>
      <c r="F342" s="2048">
        <f t="shared" si="15"/>
        <v>0</v>
      </c>
      <c r="G342" s="2126"/>
      <c r="H342" s="2126"/>
      <c r="I342" s="2126"/>
      <c r="J342" s="2135" t="s">
        <v>823</v>
      </c>
    </row>
    <row r="343" spans="1:10">
      <c r="A343" s="2092">
        <f>IF(未审附注之非流动资产!A343="",0,未审附注之非流动资产!A343)</f>
        <v>0</v>
      </c>
      <c r="B343" s="2085">
        <f>IF(未审附注之非流动资产!B343="",0,未审附注之非流动资产!B343)</f>
        <v>0</v>
      </c>
      <c r="C343" s="2085">
        <f>IF(未审附注之非流动资产!C343="",0,未审附注之非流动资产!C343)</f>
        <v>0</v>
      </c>
      <c r="D343" s="2085">
        <f>IF(未审附注之非流动资产!D343="",0,未审附注之非流动资产!D343)</f>
        <v>0</v>
      </c>
      <c r="E343" s="2085">
        <f>IF(未审附注之非流动资产!E343="",0,未审附注之非流动资产!E343)</f>
        <v>0</v>
      </c>
      <c r="F343" s="2048">
        <f t="shared" si="15"/>
        <v>0</v>
      </c>
      <c r="G343" s="2126"/>
      <c r="H343" s="2126"/>
      <c r="I343" s="2126"/>
      <c r="J343" s="2135" t="s">
        <v>823</v>
      </c>
    </row>
    <row r="344" spans="1:10">
      <c r="A344" s="2092">
        <f>IF(未审附注之非流动资产!A344="",0,未审附注之非流动资产!A344)</f>
        <v>0</v>
      </c>
      <c r="B344" s="2085">
        <f>IF(未审附注之非流动资产!B344="",0,未审附注之非流动资产!B344)</f>
        <v>0</v>
      </c>
      <c r="C344" s="2085">
        <f>IF(未审附注之非流动资产!C344="",0,未审附注之非流动资产!C344)</f>
        <v>0</v>
      </c>
      <c r="D344" s="2085">
        <f>IF(未审附注之非流动资产!D344="",0,未审附注之非流动资产!D344)</f>
        <v>0</v>
      </c>
      <c r="E344" s="2085">
        <f>IF(未审附注之非流动资产!E344="",0,未审附注之非流动资产!E344)</f>
        <v>0</v>
      </c>
      <c r="F344" s="2048">
        <f t="shared" si="15"/>
        <v>0</v>
      </c>
      <c r="G344" s="2126"/>
      <c r="H344" s="2126"/>
      <c r="I344" s="2126"/>
      <c r="J344" s="2135" t="s">
        <v>823</v>
      </c>
    </row>
    <row r="345" spans="1:10">
      <c r="A345" s="2082" t="s">
        <v>384</v>
      </c>
      <c r="B345" s="2048">
        <f>ROUND(SUM(B335:B344),2)</f>
        <v>0</v>
      </c>
      <c r="C345" s="2048">
        <f>ROUND(SUM(C335:C344),2)</f>
        <v>0</v>
      </c>
      <c r="D345" s="2048">
        <f>ROUND(SUM(D335:D344),2)</f>
        <v>0</v>
      </c>
      <c r="E345" s="2048">
        <f>ROUND(SUM(E335:E344),2)</f>
        <v>0</v>
      </c>
      <c r="F345" s="2048">
        <f>ROUND(SUM(F335:F344),2)</f>
        <v>0</v>
      </c>
      <c r="G345" s="2126"/>
      <c r="H345" s="2126"/>
      <c r="I345" s="2126"/>
      <c r="J345" s="2135" t="s">
        <v>824</v>
      </c>
    </row>
    <row r="346" spans="1:10">
      <c r="A346" s="2099"/>
      <c r="B346" s="2132"/>
      <c r="C346" s="2100"/>
      <c r="D346" s="2100"/>
      <c r="E346" s="2100"/>
      <c r="F346" s="2100"/>
      <c r="G346" s="2100"/>
      <c r="H346" s="2100"/>
      <c r="I346" s="2100"/>
      <c r="J346" s="2135"/>
    </row>
    <row r="347" spans="1:9">
      <c r="A347" s="2096" t="s">
        <v>825</v>
      </c>
      <c r="B347" s="2126"/>
      <c r="C347" s="2126"/>
      <c r="D347" s="2126"/>
      <c r="E347" s="2126"/>
      <c r="F347" s="2126"/>
      <c r="G347" s="2126"/>
      <c r="H347" s="2126"/>
      <c r="I347" s="2126"/>
    </row>
    <row r="348" spans="1:10">
      <c r="A348" s="2082" t="s">
        <v>814</v>
      </c>
      <c r="B348" s="2082" t="s">
        <v>670</v>
      </c>
      <c r="C348" s="2082" t="s">
        <v>581</v>
      </c>
      <c r="D348" s="2082" t="s">
        <v>816</v>
      </c>
      <c r="E348" s="2082" t="s">
        <v>817</v>
      </c>
      <c r="F348" s="2082" t="s">
        <v>515</v>
      </c>
      <c r="G348" s="2082" t="s">
        <v>826</v>
      </c>
      <c r="H348" s="2126"/>
      <c r="I348" s="2126"/>
      <c r="J348" s="2074"/>
    </row>
    <row r="349" spans="1:10">
      <c r="A349" s="2092">
        <f>IF(未审附注之非流动资产!A349="",0,未审附注之非流动资产!A349)</f>
        <v>0</v>
      </c>
      <c r="B349" s="2085">
        <f>IF(未审附注之非流动资产!B349="",0,未审附注之非流动资产!B349)</f>
        <v>0</v>
      </c>
      <c r="C349" s="2085">
        <f>IF(未审附注之非流动资产!C349="",0,未审附注之非流动资产!C349)</f>
        <v>0</v>
      </c>
      <c r="D349" s="2085">
        <f>IF(未审附注之非流动资产!D349="",0,未审附注之非流动资产!D349)</f>
        <v>0</v>
      </c>
      <c r="E349" s="2085">
        <f>IF(未审附注之非流动资产!E349="",0,未审附注之非流动资产!E349)</f>
        <v>0</v>
      </c>
      <c r="F349" s="2048">
        <f>ROUND(B349+C349-D349-E349,2)</f>
        <v>0</v>
      </c>
      <c r="G349" s="2092">
        <f>IF(未审附注之非流动资产!G349="",0,未审附注之非流动资产!G349)</f>
        <v>0</v>
      </c>
      <c r="H349" s="2126"/>
      <c r="I349" s="2126"/>
      <c r="J349" s="2135" t="s">
        <v>827</v>
      </c>
    </row>
    <row r="350" spans="1:10">
      <c r="A350" s="2092">
        <f>IF(未审附注之非流动资产!A350="",0,未审附注之非流动资产!A350)</f>
        <v>0</v>
      </c>
      <c r="B350" s="2085">
        <f>IF(未审附注之非流动资产!B350="",0,未审附注之非流动资产!B350)</f>
        <v>0</v>
      </c>
      <c r="C350" s="2085">
        <f>IF(未审附注之非流动资产!C350="",0,未审附注之非流动资产!C350)</f>
        <v>0</v>
      </c>
      <c r="D350" s="2085">
        <f>IF(未审附注之非流动资产!D350="",0,未审附注之非流动资产!D350)</f>
        <v>0</v>
      </c>
      <c r="E350" s="2085">
        <f>IF(未审附注之非流动资产!E350="",0,未审附注之非流动资产!E350)</f>
        <v>0</v>
      </c>
      <c r="F350" s="2048">
        <f t="shared" ref="F350:F358" si="16">ROUND(B350+C350-D350-E350,2)</f>
        <v>0</v>
      </c>
      <c r="G350" s="2092">
        <f>IF(未审附注之非流动资产!G350="",0,未审附注之非流动资产!G350)</f>
        <v>0</v>
      </c>
      <c r="H350" s="2126"/>
      <c r="I350" s="2126"/>
      <c r="J350" s="2135" t="s">
        <v>827</v>
      </c>
    </row>
    <row r="351" spans="1:10">
      <c r="A351" s="2092">
        <f>IF(未审附注之非流动资产!A351="",0,未审附注之非流动资产!A351)</f>
        <v>0</v>
      </c>
      <c r="B351" s="2085">
        <f>IF(未审附注之非流动资产!B351="",0,未审附注之非流动资产!B351)</f>
        <v>0</v>
      </c>
      <c r="C351" s="2085">
        <f>IF(未审附注之非流动资产!C351="",0,未审附注之非流动资产!C351)</f>
        <v>0</v>
      </c>
      <c r="D351" s="2085">
        <f>IF(未审附注之非流动资产!D351="",0,未审附注之非流动资产!D351)</f>
        <v>0</v>
      </c>
      <c r="E351" s="2085">
        <f>IF(未审附注之非流动资产!E351="",0,未审附注之非流动资产!E351)</f>
        <v>0</v>
      </c>
      <c r="F351" s="2048">
        <f t="shared" si="16"/>
        <v>0</v>
      </c>
      <c r="G351" s="2092">
        <f>IF(未审附注之非流动资产!G351="",0,未审附注之非流动资产!G351)</f>
        <v>0</v>
      </c>
      <c r="H351" s="2126"/>
      <c r="I351" s="2126"/>
      <c r="J351" s="2135" t="s">
        <v>827</v>
      </c>
    </row>
    <row r="352" spans="1:10">
      <c r="A352" s="2092">
        <f>IF(未审附注之非流动资产!A352="",0,未审附注之非流动资产!A352)</f>
        <v>0</v>
      </c>
      <c r="B352" s="2085">
        <f>IF(未审附注之非流动资产!B352="",0,未审附注之非流动资产!B352)</f>
        <v>0</v>
      </c>
      <c r="C352" s="2085">
        <f>IF(未审附注之非流动资产!C352="",0,未审附注之非流动资产!C352)</f>
        <v>0</v>
      </c>
      <c r="D352" s="2085">
        <f>IF(未审附注之非流动资产!D352="",0,未审附注之非流动资产!D352)</f>
        <v>0</v>
      </c>
      <c r="E352" s="2085">
        <f>IF(未审附注之非流动资产!E352="",0,未审附注之非流动资产!E352)</f>
        <v>0</v>
      </c>
      <c r="F352" s="2048">
        <f t="shared" si="16"/>
        <v>0</v>
      </c>
      <c r="G352" s="2092">
        <f>IF(未审附注之非流动资产!G352="",0,未审附注之非流动资产!G352)</f>
        <v>0</v>
      </c>
      <c r="H352" s="2126"/>
      <c r="I352" s="2126"/>
      <c r="J352" s="2135" t="s">
        <v>827</v>
      </c>
    </row>
    <row r="353" spans="1:10">
      <c r="A353" s="2092">
        <f>IF(未审附注之非流动资产!A353="",0,未审附注之非流动资产!A353)</f>
        <v>0</v>
      </c>
      <c r="B353" s="2085">
        <f>IF(未审附注之非流动资产!B353="",0,未审附注之非流动资产!B353)</f>
        <v>0</v>
      </c>
      <c r="C353" s="2085">
        <f>IF(未审附注之非流动资产!C353="",0,未审附注之非流动资产!C353)</f>
        <v>0</v>
      </c>
      <c r="D353" s="2085">
        <f>IF(未审附注之非流动资产!D353="",0,未审附注之非流动资产!D353)</f>
        <v>0</v>
      </c>
      <c r="E353" s="2085">
        <f>IF(未审附注之非流动资产!E353="",0,未审附注之非流动资产!E353)</f>
        <v>0</v>
      </c>
      <c r="F353" s="2048">
        <f t="shared" si="16"/>
        <v>0</v>
      </c>
      <c r="G353" s="2092">
        <f>IF(未审附注之非流动资产!G353="",0,未审附注之非流动资产!G353)</f>
        <v>0</v>
      </c>
      <c r="H353" s="2126"/>
      <c r="I353" s="2126"/>
      <c r="J353" s="2135" t="s">
        <v>827</v>
      </c>
    </row>
    <row r="354" spans="1:10">
      <c r="A354" s="2092">
        <f>IF(未审附注之非流动资产!A354="",0,未审附注之非流动资产!A354)</f>
        <v>0</v>
      </c>
      <c r="B354" s="2085">
        <f>IF(未审附注之非流动资产!B354="",0,未审附注之非流动资产!B354)</f>
        <v>0</v>
      </c>
      <c r="C354" s="2085">
        <f>IF(未审附注之非流动资产!C354="",0,未审附注之非流动资产!C354)</f>
        <v>0</v>
      </c>
      <c r="D354" s="2085">
        <f>IF(未审附注之非流动资产!D354="",0,未审附注之非流动资产!D354)</f>
        <v>0</v>
      </c>
      <c r="E354" s="2085">
        <f>IF(未审附注之非流动资产!E354="",0,未审附注之非流动资产!E354)</f>
        <v>0</v>
      </c>
      <c r="F354" s="2048">
        <f t="shared" si="16"/>
        <v>0</v>
      </c>
      <c r="G354" s="2092">
        <f>IF(未审附注之非流动资产!G354="",0,未审附注之非流动资产!G354)</f>
        <v>0</v>
      </c>
      <c r="H354" s="2126"/>
      <c r="I354" s="2126"/>
      <c r="J354" s="2135" t="s">
        <v>827</v>
      </c>
    </row>
    <row r="355" spans="1:10">
      <c r="A355" s="2092">
        <f>IF(未审附注之非流动资产!A355="",0,未审附注之非流动资产!A355)</f>
        <v>0</v>
      </c>
      <c r="B355" s="2085">
        <f>IF(未审附注之非流动资产!B355="",0,未审附注之非流动资产!B355)</f>
        <v>0</v>
      </c>
      <c r="C355" s="2085">
        <f>IF(未审附注之非流动资产!C355="",0,未审附注之非流动资产!C355)</f>
        <v>0</v>
      </c>
      <c r="D355" s="2085">
        <f>IF(未审附注之非流动资产!D355="",0,未审附注之非流动资产!D355)</f>
        <v>0</v>
      </c>
      <c r="E355" s="2085">
        <f>IF(未审附注之非流动资产!E355="",0,未审附注之非流动资产!E355)</f>
        <v>0</v>
      </c>
      <c r="F355" s="2048">
        <f t="shared" si="16"/>
        <v>0</v>
      </c>
      <c r="G355" s="2092">
        <f>IF(未审附注之非流动资产!G355="",0,未审附注之非流动资产!G355)</f>
        <v>0</v>
      </c>
      <c r="H355" s="2126"/>
      <c r="I355" s="2126"/>
      <c r="J355" s="2135" t="s">
        <v>827</v>
      </c>
    </row>
    <row r="356" spans="1:10">
      <c r="A356" s="2092">
        <f>IF(未审附注之非流动资产!A356="",0,未审附注之非流动资产!A356)</f>
        <v>0</v>
      </c>
      <c r="B356" s="2085">
        <f>IF(未审附注之非流动资产!B356="",0,未审附注之非流动资产!B356)</f>
        <v>0</v>
      </c>
      <c r="C356" s="2085">
        <f>IF(未审附注之非流动资产!C356="",0,未审附注之非流动资产!C356)</f>
        <v>0</v>
      </c>
      <c r="D356" s="2085">
        <f>IF(未审附注之非流动资产!D356="",0,未审附注之非流动资产!D356)</f>
        <v>0</v>
      </c>
      <c r="E356" s="2085">
        <f>IF(未审附注之非流动资产!E356="",0,未审附注之非流动资产!E356)</f>
        <v>0</v>
      </c>
      <c r="F356" s="2048">
        <f t="shared" si="16"/>
        <v>0</v>
      </c>
      <c r="G356" s="2092">
        <f>IF(未审附注之非流动资产!G356="",0,未审附注之非流动资产!G356)</f>
        <v>0</v>
      </c>
      <c r="H356" s="2126"/>
      <c r="I356" s="2126"/>
      <c r="J356" s="2135" t="s">
        <v>827</v>
      </c>
    </row>
    <row r="357" spans="1:10">
      <c r="A357" s="2092">
        <f>IF(未审附注之非流动资产!A357="",0,未审附注之非流动资产!A357)</f>
        <v>0</v>
      </c>
      <c r="B357" s="2085">
        <f>IF(未审附注之非流动资产!B357="",0,未审附注之非流动资产!B357)</f>
        <v>0</v>
      </c>
      <c r="C357" s="2085">
        <f>IF(未审附注之非流动资产!C357="",0,未审附注之非流动资产!C357)</f>
        <v>0</v>
      </c>
      <c r="D357" s="2085">
        <f>IF(未审附注之非流动资产!D357="",0,未审附注之非流动资产!D357)</f>
        <v>0</v>
      </c>
      <c r="E357" s="2085">
        <f>IF(未审附注之非流动资产!E357="",0,未审附注之非流动资产!E357)</f>
        <v>0</v>
      </c>
      <c r="F357" s="2048">
        <f t="shared" si="16"/>
        <v>0</v>
      </c>
      <c r="G357" s="2092">
        <f>IF(未审附注之非流动资产!G357="",0,未审附注之非流动资产!G357)</f>
        <v>0</v>
      </c>
      <c r="H357" s="2126"/>
      <c r="I357" s="2126"/>
      <c r="J357" s="2135" t="s">
        <v>827</v>
      </c>
    </row>
    <row r="358" spans="1:10">
      <c r="A358" s="2092">
        <f>IF(未审附注之非流动资产!A358="",0,未审附注之非流动资产!A358)</f>
        <v>0</v>
      </c>
      <c r="B358" s="2085">
        <f>IF(未审附注之非流动资产!B358="",0,未审附注之非流动资产!B358)</f>
        <v>0</v>
      </c>
      <c r="C358" s="2085">
        <f>IF(未审附注之非流动资产!C358="",0,未审附注之非流动资产!C358)</f>
        <v>0</v>
      </c>
      <c r="D358" s="2085">
        <f>IF(未审附注之非流动资产!D358="",0,未审附注之非流动资产!D358)</f>
        <v>0</v>
      </c>
      <c r="E358" s="2085">
        <f>IF(未审附注之非流动资产!E358="",0,未审附注之非流动资产!E358)</f>
        <v>0</v>
      </c>
      <c r="F358" s="2048">
        <f t="shared" si="16"/>
        <v>0</v>
      </c>
      <c r="G358" s="2092">
        <f>IF(未审附注之非流动资产!G358="",0,未审附注之非流动资产!G358)</f>
        <v>0</v>
      </c>
      <c r="H358" s="2126"/>
      <c r="I358" s="2126"/>
      <c r="J358" s="2135" t="s">
        <v>827</v>
      </c>
    </row>
    <row r="359" spans="1:10">
      <c r="A359" s="2082" t="s">
        <v>384</v>
      </c>
      <c r="B359" s="2048">
        <f>ROUND(SUM(B349:B358),2)</f>
        <v>0</v>
      </c>
      <c r="C359" s="2048">
        <f>ROUND(SUM(C349:C358),2)</f>
        <v>0</v>
      </c>
      <c r="D359" s="2048">
        <f>ROUND(SUM(D349:D358),2)</f>
        <v>0</v>
      </c>
      <c r="E359" s="2048">
        <f>ROUND(SUM(E349:E358),2)</f>
        <v>0</v>
      </c>
      <c r="F359" s="2048">
        <f>ROUND(SUM(F349:F358),2)</f>
        <v>0</v>
      </c>
      <c r="G359" s="2048"/>
      <c r="H359" s="2126"/>
      <c r="I359" s="2126"/>
      <c r="J359" s="2135" t="s">
        <v>828</v>
      </c>
    </row>
    <row r="360" s="2075" customFormat="1" spans="1:10">
      <c r="A360" s="2119"/>
      <c r="B360" s="2119"/>
      <c r="C360" s="2119"/>
      <c r="D360" s="2119"/>
      <c r="E360" s="2119"/>
      <c r="F360" s="2119"/>
      <c r="G360" s="2119"/>
      <c r="H360" s="2119"/>
      <c r="I360" s="2119"/>
      <c r="J360" s="2141"/>
    </row>
    <row r="361" s="2075" customFormat="1" spans="1:10">
      <c r="A361" s="2103"/>
      <c r="B361" s="2080"/>
      <c r="C361" s="2080"/>
      <c r="D361" s="2080"/>
      <c r="E361" s="2080"/>
      <c r="F361" s="2080"/>
      <c r="G361" s="2080"/>
      <c r="H361" s="2080"/>
      <c r="I361" s="2080"/>
      <c r="J361" s="2141"/>
    </row>
    <row r="362" s="2075" customFormat="1" spans="1:10">
      <c r="A362" s="2079" t="s">
        <v>829</v>
      </c>
      <c r="B362" s="2080"/>
      <c r="C362" s="2080"/>
      <c r="D362" s="2080"/>
      <c r="E362" s="2080"/>
      <c r="F362" s="2080"/>
      <c r="G362" s="2080"/>
      <c r="H362" s="2080"/>
      <c r="I362" s="2080"/>
      <c r="J362" s="2141"/>
    </row>
    <row r="363" s="2075" customFormat="1" spans="1:10">
      <c r="A363" s="2082" t="s">
        <v>372</v>
      </c>
      <c r="B363" s="2082" t="s">
        <v>626</v>
      </c>
      <c r="C363" s="2082" t="s">
        <v>627</v>
      </c>
      <c r="D363" s="2080"/>
      <c r="E363" s="2080"/>
      <c r="F363" s="2080"/>
      <c r="G363" s="2080"/>
      <c r="H363" s="2080"/>
      <c r="I363" s="2080"/>
      <c r="J363" s="2141"/>
    </row>
    <row r="364" s="2075" customFormat="1" spans="1:10">
      <c r="A364" s="2092">
        <f>IF(未审附注之非流动资产!A364="",0,未审附注之非流动资产!A364)</f>
        <v>0</v>
      </c>
      <c r="B364" s="2085">
        <f>IF(未审附注之非流动资产!B364="",0,未审附注之非流动资产!B364)</f>
        <v>0</v>
      </c>
      <c r="C364" s="2085">
        <f>IF(未审附注之非流动资产!C364="",0,未审附注之非流动资产!C364)</f>
        <v>0</v>
      </c>
      <c r="D364" s="2080"/>
      <c r="E364" s="2080"/>
      <c r="F364" s="2080"/>
      <c r="G364" s="2080"/>
      <c r="H364" s="2080"/>
      <c r="I364" s="2080"/>
      <c r="J364" s="2118" t="s">
        <v>237</v>
      </c>
    </row>
    <row r="365" s="2075" customFormat="1" spans="1:10">
      <c r="A365" s="2092">
        <f>IF(未审附注之非流动资产!A365="",0,未审附注之非流动资产!A365)</f>
        <v>0</v>
      </c>
      <c r="B365" s="2085">
        <f>IF(未审附注之非流动资产!B365="",0,未审附注之非流动资产!B365)</f>
        <v>0</v>
      </c>
      <c r="C365" s="2085">
        <f>IF(未审附注之非流动资产!C365="",0,未审附注之非流动资产!C365)</f>
        <v>0</v>
      </c>
      <c r="D365" s="2080"/>
      <c r="E365" s="2080"/>
      <c r="F365" s="2080"/>
      <c r="G365" s="2080"/>
      <c r="H365" s="2080"/>
      <c r="I365" s="2080"/>
      <c r="J365" s="2118" t="s">
        <v>237</v>
      </c>
    </row>
    <row r="366" s="2075" customFormat="1" spans="1:10">
      <c r="A366" s="2092">
        <f>IF(未审附注之非流动资产!A366="",0,未审附注之非流动资产!A366)</f>
        <v>0</v>
      </c>
      <c r="B366" s="2085">
        <f>IF(未审附注之非流动资产!B366="",0,未审附注之非流动资产!B366)</f>
        <v>0</v>
      </c>
      <c r="C366" s="2085">
        <f>IF(未审附注之非流动资产!C366="",0,未审附注之非流动资产!C366)</f>
        <v>0</v>
      </c>
      <c r="D366" s="2080"/>
      <c r="E366" s="2080"/>
      <c r="F366" s="2080"/>
      <c r="G366" s="2080"/>
      <c r="H366" s="2080"/>
      <c r="I366" s="2080"/>
      <c r="J366" s="2118" t="s">
        <v>237</v>
      </c>
    </row>
    <row r="367" s="2075" customFormat="1" spans="1:10">
      <c r="A367" s="2092">
        <f>IF(未审附注之非流动资产!A367="",0,未审附注之非流动资产!A367)</f>
        <v>0</v>
      </c>
      <c r="B367" s="2085">
        <f>IF(未审附注之非流动资产!B367="",0,未审附注之非流动资产!B367)</f>
        <v>0</v>
      </c>
      <c r="C367" s="2085">
        <f>IF(未审附注之非流动资产!C367="",0,未审附注之非流动资产!C367)</f>
        <v>0</v>
      </c>
      <c r="D367" s="2080"/>
      <c r="E367" s="2080"/>
      <c r="F367" s="2080"/>
      <c r="G367" s="2080"/>
      <c r="H367" s="2080"/>
      <c r="I367" s="2080"/>
      <c r="J367" s="2118" t="s">
        <v>237</v>
      </c>
    </row>
    <row r="368" s="2075" customFormat="1" spans="1:10">
      <c r="A368" s="2092">
        <f>IF(未审附注之非流动资产!A368="",0,未审附注之非流动资产!A368)</f>
        <v>0</v>
      </c>
      <c r="B368" s="2085">
        <f>IF(未审附注之非流动资产!B368="",0,未审附注之非流动资产!B368)</f>
        <v>0</v>
      </c>
      <c r="C368" s="2085">
        <f>IF(未审附注之非流动资产!C368="",0,未审附注之非流动资产!C368)</f>
        <v>0</v>
      </c>
      <c r="D368" s="2080"/>
      <c r="E368" s="2080"/>
      <c r="F368" s="2080"/>
      <c r="G368" s="2080"/>
      <c r="H368" s="2080"/>
      <c r="I368" s="2080"/>
      <c r="J368" s="2118" t="s">
        <v>237</v>
      </c>
    </row>
    <row r="369" s="2075" customFormat="1" spans="1:10">
      <c r="A369" s="2092">
        <f>IF(未审附注之非流动资产!A369="",0,未审附注之非流动资产!A369)</f>
        <v>0</v>
      </c>
      <c r="B369" s="2085">
        <f>IF(未审附注之非流动资产!B369="",0,未审附注之非流动资产!B369)</f>
        <v>0</v>
      </c>
      <c r="C369" s="2085">
        <f>IF(未审附注之非流动资产!C369="",0,未审附注之非流动资产!C369)</f>
        <v>0</v>
      </c>
      <c r="D369" s="2080"/>
      <c r="E369" s="2080"/>
      <c r="F369" s="2080"/>
      <c r="G369" s="2080"/>
      <c r="H369" s="2080"/>
      <c r="I369" s="2080"/>
      <c r="J369" s="2118" t="s">
        <v>237</v>
      </c>
    </row>
    <row r="370" s="2075" customFormat="1" spans="1:10">
      <c r="A370" s="2092">
        <f>IF(未审附注之非流动资产!A370="",0,未审附注之非流动资产!A370)</f>
        <v>0</v>
      </c>
      <c r="B370" s="2085">
        <f>IF(未审附注之非流动资产!B370="",0,未审附注之非流动资产!B370)</f>
        <v>0</v>
      </c>
      <c r="C370" s="2085">
        <f>IF(未审附注之非流动资产!C370="",0,未审附注之非流动资产!C370)</f>
        <v>0</v>
      </c>
      <c r="D370" s="2080"/>
      <c r="E370" s="2080"/>
      <c r="F370" s="2080"/>
      <c r="G370" s="2080"/>
      <c r="H370" s="2080"/>
      <c r="I370" s="2080"/>
      <c r="J370" s="2118" t="s">
        <v>237</v>
      </c>
    </row>
    <row r="371" s="2075" customFormat="1" spans="1:10">
      <c r="A371" s="2092">
        <f>IF(未审附注之非流动资产!A371="",0,未审附注之非流动资产!A371)</f>
        <v>0</v>
      </c>
      <c r="B371" s="2085">
        <f>IF(未审附注之非流动资产!B371="",0,未审附注之非流动资产!B371)</f>
        <v>0</v>
      </c>
      <c r="C371" s="2085">
        <f>IF(未审附注之非流动资产!C371="",0,未审附注之非流动资产!C371)</f>
        <v>0</v>
      </c>
      <c r="D371" s="2080"/>
      <c r="E371" s="2080"/>
      <c r="F371" s="2080"/>
      <c r="G371" s="2080"/>
      <c r="H371" s="2080"/>
      <c r="I371" s="2080"/>
      <c r="J371" s="2118" t="s">
        <v>237</v>
      </c>
    </row>
    <row r="372" s="2075" customFormat="1" spans="1:10">
      <c r="A372" s="2092">
        <f>IF(未审附注之非流动资产!A372="",0,未审附注之非流动资产!A372)</f>
        <v>0</v>
      </c>
      <c r="B372" s="2085">
        <f>IF(未审附注之非流动资产!B372="",0,未审附注之非流动资产!B372)</f>
        <v>0</v>
      </c>
      <c r="C372" s="2085">
        <f>IF(未审附注之非流动资产!C372="",0,未审附注之非流动资产!C372)</f>
        <v>0</v>
      </c>
      <c r="D372" s="2080"/>
      <c r="E372" s="2080"/>
      <c r="F372" s="2080"/>
      <c r="G372" s="2080"/>
      <c r="H372" s="2080"/>
      <c r="I372" s="2080"/>
      <c r="J372" s="2118" t="s">
        <v>237</v>
      </c>
    </row>
    <row r="373" s="2075" customFormat="1" spans="1:10">
      <c r="A373" s="2092">
        <f>IF(未审附注之非流动资产!A373="",0,未审附注之非流动资产!A373)</f>
        <v>0</v>
      </c>
      <c r="B373" s="2085">
        <f>IF(未审附注之非流动资产!B373="",0,未审附注之非流动资产!B373)</f>
        <v>0</v>
      </c>
      <c r="C373" s="2085">
        <f>IF(未审附注之非流动资产!C373="",0,未审附注之非流动资产!C373)</f>
        <v>0</v>
      </c>
      <c r="D373" s="2080"/>
      <c r="E373" s="2080"/>
      <c r="F373" s="2080"/>
      <c r="G373" s="2080"/>
      <c r="H373" s="2080"/>
      <c r="I373" s="2080"/>
      <c r="J373" s="2118" t="s">
        <v>237</v>
      </c>
    </row>
    <row r="374" s="2075" customFormat="1" spans="1:10">
      <c r="A374" s="2082" t="s">
        <v>384</v>
      </c>
      <c r="B374" s="2048">
        <f>ROUND(SUM(B364:B373),2)</f>
        <v>0</v>
      </c>
      <c r="C374" s="2048">
        <f>ROUND(SUM(C364:C373),2)</f>
        <v>0</v>
      </c>
      <c r="D374" s="2080"/>
      <c r="E374" s="2080"/>
      <c r="F374" s="2080"/>
      <c r="G374" s="2080"/>
      <c r="H374" s="2080"/>
      <c r="I374" s="2080"/>
      <c r="J374" s="2118" t="s">
        <v>830</v>
      </c>
    </row>
    <row r="375" s="2075" customFormat="1" spans="1:10">
      <c r="A375" s="2119"/>
      <c r="B375" s="2119"/>
      <c r="C375" s="2119"/>
      <c r="D375" s="2119"/>
      <c r="E375" s="2119"/>
      <c r="F375" s="2119"/>
      <c r="G375" s="2119"/>
      <c r="H375" s="2119"/>
      <c r="I375" s="2119"/>
      <c r="J375" s="2141"/>
    </row>
    <row r="376" s="2075" customFormat="1" spans="1:10">
      <c r="A376" s="2103"/>
      <c r="B376" s="2080"/>
      <c r="C376" s="2080"/>
      <c r="D376" s="2080"/>
      <c r="E376" s="2080"/>
      <c r="F376" s="2080"/>
      <c r="G376" s="2080"/>
      <c r="H376" s="2080"/>
      <c r="I376" s="2080"/>
      <c r="J376" s="2141"/>
    </row>
    <row r="377" s="2075" customFormat="1" spans="1:10">
      <c r="A377" s="2079" t="s">
        <v>831</v>
      </c>
      <c r="B377" s="2080"/>
      <c r="C377" s="2080"/>
      <c r="D377" s="2080"/>
      <c r="E377" s="2080"/>
      <c r="F377" s="2080"/>
      <c r="G377" s="2080"/>
      <c r="H377" s="2080"/>
      <c r="I377" s="2080"/>
      <c r="J377" s="2141"/>
    </row>
    <row r="378" s="2075" customFormat="1" spans="1:10">
      <c r="A378" s="2082" t="s">
        <v>372</v>
      </c>
      <c r="B378" s="2082" t="s">
        <v>626</v>
      </c>
      <c r="C378" s="2082" t="s">
        <v>627</v>
      </c>
      <c r="D378" s="2082" t="s">
        <v>832</v>
      </c>
      <c r="E378" s="2080"/>
      <c r="F378" s="2080"/>
      <c r="G378" s="2080"/>
      <c r="H378" s="2080"/>
      <c r="I378" s="2080"/>
      <c r="J378" s="2141"/>
    </row>
    <row r="379" s="2075" customFormat="1" spans="1:10">
      <c r="A379" s="2092">
        <f>IF(未审附注之非流动资产!A379="",0,未审附注之非流动资产!A379)</f>
        <v>0</v>
      </c>
      <c r="B379" s="2085">
        <f>IF(未审附注之非流动资产!B379="",0,未审附注之非流动资产!B379)</f>
        <v>0</v>
      </c>
      <c r="C379" s="2085">
        <f>IF(未审附注之非流动资产!C379="",0,未审附注之非流动资产!C379)</f>
        <v>0</v>
      </c>
      <c r="D379" s="2092">
        <f>IF(未审附注之非流动资产!D379="",0,未审附注之非流动资产!D379)</f>
        <v>0</v>
      </c>
      <c r="E379" s="2080"/>
      <c r="F379" s="2080"/>
      <c r="G379" s="2080"/>
      <c r="H379" s="2080"/>
      <c r="I379" s="2080"/>
      <c r="J379" s="2118" t="s">
        <v>239</v>
      </c>
    </row>
    <row r="380" s="2075" customFormat="1" spans="1:10">
      <c r="A380" s="2092">
        <f>IF(未审附注之非流动资产!A380="",0,未审附注之非流动资产!A380)</f>
        <v>0</v>
      </c>
      <c r="B380" s="2085">
        <f>IF(未审附注之非流动资产!B380="",0,未审附注之非流动资产!B380)</f>
        <v>0</v>
      </c>
      <c r="C380" s="2085">
        <f>IF(未审附注之非流动资产!C380="",0,未审附注之非流动资产!C380)</f>
        <v>0</v>
      </c>
      <c r="D380" s="2092">
        <f>IF(未审附注之非流动资产!D380="",0,未审附注之非流动资产!D380)</f>
        <v>0</v>
      </c>
      <c r="E380" s="2080"/>
      <c r="F380" s="2080"/>
      <c r="G380" s="2080"/>
      <c r="H380" s="2080"/>
      <c r="I380" s="2080"/>
      <c r="J380" s="2118" t="s">
        <v>239</v>
      </c>
    </row>
    <row r="381" s="2075" customFormat="1" spans="1:10">
      <c r="A381" s="2092">
        <f>IF(未审附注之非流动资产!A381="",0,未审附注之非流动资产!A381)</f>
        <v>0</v>
      </c>
      <c r="B381" s="2085">
        <f>IF(未审附注之非流动资产!B381="",0,未审附注之非流动资产!B381)</f>
        <v>0</v>
      </c>
      <c r="C381" s="2085">
        <f>IF(未审附注之非流动资产!C381="",0,未审附注之非流动资产!C381)</f>
        <v>0</v>
      </c>
      <c r="D381" s="2092">
        <f>IF(未审附注之非流动资产!D381="",0,未审附注之非流动资产!D381)</f>
        <v>0</v>
      </c>
      <c r="E381" s="2080"/>
      <c r="F381" s="2080"/>
      <c r="G381" s="2080"/>
      <c r="H381" s="2080"/>
      <c r="I381" s="2080"/>
      <c r="J381" s="2118" t="s">
        <v>239</v>
      </c>
    </row>
    <row r="382" s="2075" customFormat="1" spans="1:10">
      <c r="A382" s="2092">
        <f>IF(未审附注之非流动资产!A382="",0,未审附注之非流动资产!A382)</f>
        <v>0</v>
      </c>
      <c r="B382" s="2085">
        <f>IF(未审附注之非流动资产!B382="",0,未审附注之非流动资产!B382)</f>
        <v>0</v>
      </c>
      <c r="C382" s="2085">
        <f>IF(未审附注之非流动资产!C382="",0,未审附注之非流动资产!C382)</f>
        <v>0</v>
      </c>
      <c r="D382" s="2092">
        <f>IF(未审附注之非流动资产!D382="",0,未审附注之非流动资产!D382)</f>
        <v>0</v>
      </c>
      <c r="E382" s="2080"/>
      <c r="F382" s="2080"/>
      <c r="G382" s="2080"/>
      <c r="H382" s="2080"/>
      <c r="I382" s="2080"/>
      <c r="J382" s="2118" t="s">
        <v>239</v>
      </c>
    </row>
    <row r="383" s="2075" customFormat="1" spans="1:10">
      <c r="A383" s="2092">
        <f>IF(未审附注之非流动资产!A383="",0,未审附注之非流动资产!A383)</f>
        <v>0</v>
      </c>
      <c r="B383" s="2085">
        <f>IF(未审附注之非流动资产!B383="",0,未审附注之非流动资产!B383)</f>
        <v>0</v>
      </c>
      <c r="C383" s="2085">
        <f>IF(未审附注之非流动资产!C383="",0,未审附注之非流动资产!C383)</f>
        <v>0</v>
      </c>
      <c r="D383" s="2092">
        <f>IF(未审附注之非流动资产!D383="",0,未审附注之非流动资产!D383)</f>
        <v>0</v>
      </c>
      <c r="E383" s="2080"/>
      <c r="F383" s="2080"/>
      <c r="G383" s="2080"/>
      <c r="H383" s="2080"/>
      <c r="I383" s="2080"/>
      <c r="J383" s="2118" t="s">
        <v>239</v>
      </c>
    </row>
    <row r="384" s="2075" customFormat="1" spans="1:10">
      <c r="A384" s="2092">
        <f>IF(未审附注之非流动资产!A384="",0,未审附注之非流动资产!A384)</f>
        <v>0</v>
      </c>
      <c r="B384" s="2085">
        <f>IF(未审附注之非流动资产!B384="",0,未审附注之非流动资产!B384)</f>
        <v>0</v>
      </c>
      <c r="C384" s="2085">
        <f>IF(未审附注之非流动资产!C384="",0,未审附注之非流动资产!C384)</f>
        <v>0</v>
      </c>
      <c r="D384" s="2092">
        <f>IF(未审附注之非流动资产!D384="",0,未审附注之非流动资产!D384)</f>
        <v>0</v>
      </c>
      <c r="E384" s="2080"/>
      <c r="F384" s="2080"/>
      <c r="G384" s="2080"/>
      <c r="H384" s="2080"/>
      <c r="I384" s="2080"/>
      <c r="J384" s="2118" t="s">
        <v>239</v>
      </c>
    </row>
    <row r="385" s="2075" customFormat="1" spans="1:10">
      <c r="A385" s="2092">
        <f>IF(未审附注之非流动资产!A385="",0,未审附注之非流动资产!A385)</f>
        <v>0</v>
      </c>
      <c r="B385" s="2085">
        <f>IF(未审附注之非流动资产!B385="",0,未审附注之非流动资产!B385)</f>
        <v>0</v>
      </c>
      <c r="C385" s="2085">
        <f>IF(未审附注之非流动资产!C385="",0,未审附注之非流动资产!C385)</f>
        <v>0</v>
      </c>
      <c r="D385" s="2092">
        <f>IF(未审附注之非流动资产!D385="",0,未审附注之非流动资产!D385)</f>
        <v>0</v>
      </c>
      <c r="E385" s="2080"/>
      <c r="F385" s="2080"/>
      <c r="G385" s="2080"/>
      <c r="H385" s="2080"/>
      <c r="I385" s="2080"/>
      <c r="J385" s="2118" t="s">
        <v>239</v>
      </c>
    </row>
    <row r="386" s="2075" customFormat="1" spans="1:10">
      <c r="A386" s="2092">
        <f>IF(未审附注之非流动资产!A386="",0,未审附注之非流动资产!A386)</f>
        <v>0</v>
      </c>
      <c r="B386" s="2085">
        <f>IF(未审附注之非流动资产!B386="",0,未审附注之非流动资产!B386)</f>
        <v>0</v>
      </c>
      <c r="C386" s="2085">
        <f>IF(未审附注之非流动资产!C386="",0,未审附注之非流动资产!C386)</f>
        <v>0</v>
      </c>
      <c r="D386" s="2092">
        <f>IF(未审附注之非流动资产!D386="",0,未审附注之非流动资产!D386)</f>
        <v>0</v>
      </c>
      <c r="E386" s="2080"/>
      <c r="F386" s="2080"/>
      <c r="G386" s="2080"/>
      <c r="H386" s="2080"/>
      <c r="I386" s="2080"/>
      <c r="J386" s="2118" t="s">
        <v>239</v>
      </c>
    </row>
    <row r="387" s="2075" customFormat="1" spans="1:10">
      <c r="A387" s="2092">
        <f>IF(未审附注之非流动资产!A387="",0,未审附注之非流动资产!A387)</f>
        <v>0</v>
      </c>
      <c r="B387" s="2085">
        <f>IF(未审附注之非流动资产!B387="",0,未审附注之非流动资产!B387)</f>
        <v>0</v>
      </c>
      <c r="C387" s="2085">
        <f>IF(未审附注之非流动资产!C387="",0,未审附注之非流动资产!C387)</f>
        <v>0</v>
      </c>
      <c r="D387" s="2092">
        <f>IF(未审附注之非流动资产!D387="",0,未审附注之非流动资产!D387)</f>
        <v>0</v>
      </c>
      <c r="E387" s="2080"/>
      <c r="F387" s="2080"/>
      <c r="G387" s="2080"/>
      <c r="H387" s="2080"/>
      <c r="I387" s="2080"/>
      <c r="J387" s="2118" t="s">
        <v>239</v>
      </c>
    </row>
    <row r="388" s="2075" customFormat="1" spans="1:10">
      <c r="A388" s="2092">
        <f>IF(未审附注之非流动资产!A388="",0,未审附注之非流动资产!A388)</f>
        <v>0</v>
      </c>
      <c r="B388" s="2085">
        <f>IF(未审附注之非流动资产!B388="",0,未审附注之非流动资产!B388)</f>
        <v>0</v>
      </c>
      <c r="C388" s="2085">
        <f>IF(未审附注之非流动资产!C388="",0,未审附注之非流动资产!C388)</f>
        <v>0</v>
      </c>
      <c r="D388" s="2092">
        <f>IF(未审附注之非流动资产!D388="",0,未审附注之非流动资产!D388)</f>
        <v>0</v>
      </c>
      <c r="E388" s="2080"/>
      <c r="F388" s="2080"/>
      <c r="G388" s="2080"/>
      <c r="H388" s="2080"/>
      <c r="I388" s="2080"/>
      <c r="J388" s="2118" t="s">
        <v>239</v>
      </c>
    </row>
    <row r="389" s="2075" customFormat="1" spans="1:10">
      <c r="A389" s="2082" t="s">
        <v>384</v>
      </c>
      <c r="B389" s="2048">
        <f>ROUND(SUM(B379:B388),2)</f>
        <v>0</v>
      </c>
      <c r="C389" s="2048">
        <f>ROUND(SUM(C379:C388),2)</f>
        <v>0</v>
      </c>
      <c r="D389" s="2048"/>
      <c r="E389" s="2080"/>
      <c r="F389" s="2080"/>
      <c r="G389" s="2080"/>
      <c r="H389" s="2080"/>
      <c r="I389" s="2080"/>
      <c r="J389" s="2118" t="s">
        <v>833</v>
      </c>
    </row>
    <row r="390" spans="1:9">
      <c r="A390" s="2140"/>
      <c r="B390" s="2126"/>
      <c r="C390" s="2126"/>
      <c r="D390" s="2126"/>
      <c r="E390" s="2126"/>
      <c r="F390" s="2126"/>
      <c r="G390" s="2126"/>
      <c r="H390" s="2126"/>
      <c r="I390" s="2126"/>
    </row>
    <row r="391" spans="1:9">
      <c r="A391" s="2140"/>
      <c r="B391" s="2126"/>
      <c r="C391" s="2126"/>
      <c r="D391" s="2126"/>
      <c r="E391" s="2126"/>
      <c r="F391" s="2126"/>
      <c r="G391" s="2126"/>
      <c r="H391" s="2126"/>
      <c r="I391" s="2126"/>
    </row>
    <row r="392" spans="1:9">
      <c r="A392" s="2125" t="s">
        <v>834</v>
      </c>
      <c r="B392" s="2126"/>
      <c r="C392" s="2126"/>
      <c r="D392" s="2126"/>
      <c r="E392" s="2126"/>
      <c r="F392" s="2126"/>
      <c r="G392" s="2126"/>
      <c r="H392" s="2126"/>
      <c r="I392" s="2126"/>
    </row>
    <row r="393" spans="1:9">
      <c r="A393" s="2127" t="s">
        <v>835</v>
      </c>
      <c r="B393" s="2126"/>
      <c r="C393" s="2126"/>
      <c r="D393" s="2126"/>
      <c r="E393" s="2126"/>
      <c r="F393" s="2126"/>
      <c r="G393" s="2126"/>
      <c r="H393" s="2126"/>
      <c r="I393" s="2126"/>
    </row>
    <row r="394" s="2075" customFormat="1" spans="1:10">
      <c r="A394" s="2082" t="s">
        <v>372</v>
      </c>
      <c r="B394" s="2082" t="s">
        <v>316</v>
      </c>
      <c r="C394" s="2082" t="s">
        <v>581</v>
      </c>
      <c r="D394" s="2082" t="s">
        <v>582</v>
      </c>
      <c r="E394" s="2082" t="s">
        <v>315</v>
      </c>
      <c r="F394" s="2108" t="s">
        <v>836</v>
      </c>
      <c r="G394" s="2128"/>
      <c r="H394" s="2128"/>
      <c r="I394" s="2128"/>
      <c r="J394" s="2141"/>
    </row>
    <row r="395" s="2075" customFormat="1" spans="1:10">
      <c r="A395" s="2084" t="s">
        <v>837</v>
      </c>
      <c r="B395" s="2087"/>
      <c r="C395" s="2087"/>
      <c r="D395" s="2087"/>
      <c r="E395" s="2087"/>
      <c r="F395" s="2098"/>
      <c r="G395" s="2095"/>
      <c r="H395" s="2095"/>
      <c r="I395" s="2095"/>
      <c r="J395" s="2141"/>
    </row>
    <row r="396" s="2075" customFormat="1" spans="1:10">
      <c r="A396" s="2092">
        <f>IF(未审附注之非流动资产!A396="",0,未审附注之非流动资产!A396)</f>
        <v>0</v>
      </c>
      <c r="B396" s="2085">
        <f>IF(未审附注之非流动资产!B396="",0,未审附注之非流动资产!B396)</f>
        <v>0</v>
      </c>
      <c r="C396" s="2085">
        <f>IF(未审附注之非流动资产!C396="",0,未审附注之非流动资产!C396)</f>
        <v>0</v>
      </c>
      <c r="D396" s="2085">
        <f>IF(未审附注之非流动资产!D396="",0,未审附注之非流动资产!D396)</f>
        <v>0</v>
      </c>
      <c r="E396" s="2048">
        <f>ROUND(B396+C396-D396,2)</f>
        <v>0</v>
      </c>
      <c r="F396" s="2142">
        <f>IF(未审附注之非流动资产!F396="",0,未审附注之非流动资产!F396)</f>
        <v>0</v>
      </c>
      <c r="G396" s="2095"/>
      <c r="H396" s="2095"/>
      <c r="I396" s="2095"/>
      <c r="J396" s="2118" t="s">
        <v>838</v>
      </c>
    </row>
    <row r="397" s="2075" customFormat="1" spans="1:10">
      <c r="A397" s="2092">
        <f>IF(未审附注之非流动资产!A397="",0,未审附注之非流动资产!A397)</f>
        <v>0</v>
      </c>
      <c r="B397" s="2085">
        <f>IF(未审附注之非流动资产!B397="",0,未审附注之非流动资产!B397)</f>
        <v>0</v>
      </c>
      <c r="C397" s="2085">
        <f>IF(未审附注之非流动资产!C397="",0,未审附注之非流动资产!C397)</f>
        <v>0</v>
      </c>
      <c r="D397" s="2085">
        <f>IF(未审附注之非流动资产!D397="",0,未审附注之非流动资产!D397)</f>
        <v>0</v>
      </c>
      <c r="E397" s="2048">
        <f t="shared" ref="E397:E405" si="17">ROUND(B397+C397-D397,2)</f>
        <v>0</v>
      </c>
      <c r="F397" s="2142">
        <f>IF(未审附注之非流动资产!F397="",0,未审附注之非流动资产!F397)</f>
        <v>0</v>
      </c>
      <c r="G397" s="2095"/>
      <c r="H397" s="2095"/>
      <c r="I397" s="2095"/>
      <c r="J397" s="2118" t="s">
        <v>838</v>
      </c>
    </row>
    <row r="398" s="2075" customFormat="1" spans="1:10">
      <c r="A398" s="2092">
        <f>IF(未审附注之非流动资产!A398="",0,未审附注之非流动资产!A398)</f>
        <v>0</v>
      </c>
      <c r="B398" s="2085">
        <f>IF(未审附注之非流动资产!B398="",0,未审附注之非流动资产!B398)</f>
        <v>0</v>
      </c>
      <c r="C398" s="2085">
        <f>IF(未审附注之非流动资产!C398="",0,未审附注之非流动资产!C398)</f>
        <v>0</v>
      </c>
      <c r="D398" s="2085">
        <f>IF(未审附注之非流动资产!D398="",0,未审附注之非流动资产!D398)</f>
        <v>0</v>
      </c>
      <c r="E398" s="2048">
        <f t="shared" si="17"/>
        <v>0</v>
      </c>
      <c r="F398" s="2142">
        <f>IF(未审附注之非流动资产!F398="",0,未审附注之非流动资产!F398)</f>
        <v>0</v>
      </c>
      <c r="G398" s="2095"/>
      <c r="H398" s="2095"/>
      <c r="I398" s="2095"/>
      <c r="J398" s="2118" t="s">
        <v>838</v>
      </c>
    </row>
    <row r="399" s="2075" customFormat="1" spans="1:10">
      <c r="A399" s="2092">
        <f>IF(未审附注之非流动资产!A399="",0,未审附注之非流动资产!A399)</f>
        <v>0</v>
      </c>
      <c r="B399" s="2085">
        <f>IF(未审附注之非流动资产!B399="",0,未审附注之非流动资产!B399)</f>
        <v>0</v>
      </c>
      <c r="C399" s="2085">
        <f>IF(未审附注之非流动资产!C399="",0,未审附注之非流动资产!C399)</f>
        <v>0</v>
      </c>
      <c r="D399" s="2085">
        <f>IF(未审附注之非流动资产!D399="",0,未审附注之非流动资产!D399)</f>
        <v>0</v>
      </c>
      <c r="E399" s="2048">
        <f t="shared" si="17"/>
        <v>0</v>
      </c>
      <c r="F399" s="2142">
        <f>IF(未审附注之非流动资产!F399="",0,未审附注之非流动资产!F399)</f>
        <v>0</v>
      </c>
      <c r="G399" s="2095"/>
      <c r="H399" s="2095"/>
      <c r="I399" s="2095"/>
      <c r="J399" s="2118" t="s">
        <v>838</v>
      </c>
    </row>
    <row r="400" s="2075" customFormat="1" spans="1:10">
      <c r="A400" s="2092">
        <f>IF(未审附注之非流动资产!A400="",0,未审附注之非流动资产!A400)</f>
        <v>0</v>
      </c>
      <c r="B400" s="2085">
        <f>IF(未审附注之非流动资产!B400="",0,未审附注之非流动资产!B400)</f>
        <v>0</v>
      </c>
      <c r="C400" s="2085">
        <f>IF(未审附注之非流动资产!C400="",0,未审附注之非流动资产!C400)</f>
        <v>0</v>
      </c>
      <c r="D400" s="2085">
        <f>IF(未审附注之非流动资产!D400="",0,未审附注之非流动资产!D400)</f>
        <v>0</v>
      </c>
      <c r="E400" s="2048">
        <f t="shared" si="17"/>
        <v>0</v>
      </c>
      <c r="F400" s="2142">
        <f>IF(未审附注之非流动资产!F400="",0,未审附注之非流动资产!F400)</f>
        <v>0</v>
      </c>
      <c r="G400" s="2095"/>
      <c r="H400" s="2095"/>
      <c r="I400" s="2095"/>
      <c r="J400" s="2118" t="s">
        <v>838</v>
      </c>
    </row>
    <row r="401" s="2075" customFormat="1" spans="1:10">
      <c r="A401" s="2092">
        <f>IF(未审附注之非流动资产!A401="",0,未审附注之非流动资产!A401)</f>
        <v>0</v>
      </c>
      <c r="B401" s="2085">
        <f>IF(未审附注之非流动资产!B401="",0,未审附注之非流动资产!B401)</f>
        <v>0</v>
      </c>
      <c r="C401" s="2085">
        <f>IF(未审附注之非流动资产!C401="",0,未审附注之非流动资产!C401)</f>
        <v>0</v>
      </c>
      <c r="D401" s="2085">
        <f>IF(未审附注之非流动资产!D401="",0,未审附注之非流动资产!D401)</f>
        <v>0</v>
      </c>
      <c r="E401" s="2048">
        <f t="shared" si="17"/>
        <v>0</v>
      </c>
      <c r="F401" s="2142">
        <f>IF(未审附注之非流动资产!F401="",0,未审附注之非流动资产!F401)</f>
        <v>0</v>
      </c>
      <c r="G401" s="2095"/>
      <c r="H401" s="2095"/>
      <c r="I401" s="2095"/>
      <c r="J401" s="2118" t="s">
        <v>838</v>
      </c>
    </row>
    <row r="402" s="2075" customFormat="1" spans="1:10">
      <c r="A402" s="2092">
        <f>IF(未审附注之非流动资产!A402="",0,未审附注之非流动资产!A402)</f>
        <v>0</v>
      </c>
      <c r="B402" s="2085">
        <f>IF(未审附注之非流动资产!B402="",0,未审附注之非流动资产!B402)</f>
        <v>0</v>
      </c>
      <c r="C402" s="2085">
        <f>IF(未审附注之非流动资产!C402="",0,未审附注之非流动资产!C402)</f>
        <v>0</v>
      </c>
      <c r="D402" s="2085">
        <f>IF(未审附注之非流动资产!D402="",0,未审附注之非流动资产!D402)</f>
        <v>0</v>
      </c>
      <c r="E402" s="2048">
        <f t="shared" si="17"/>
        <v>0</v>
      </c>
      <c r="F402" s="2142">
        <f>IF(未审附注之非流动资产!F402="",0,未审附注之非流动资产!F402)</f>
        <v>0</v>
      </c>
      <c r="G402" s="2095"/>
      <c r="H402" s="2095"/>
      <c r="I402" s="2095"/>
      <c r="J402" s="2118" t="s">
        <v>838</v>
      </c>
    </row>
    <row r="403" s="2075" customFormat="1" spans="1:10">
      <c r="A403" s="2092">
        <f>IF(未审附注之非流动资产!A403="",0,未审附注之非流动资产!A403)</f>
        <v>0</v>
      </c>
      <c r="B403" s="2085">
        <f>IF(未审附注之非流动资产!B403="",0,未审附注之非流动资产!B403)</f>
        <v>0</v>
      </c>
      <c r="C403" s="2085">
        <f>IF(未审附注之非流动资产!C403="",0,未审附注之非流动资产!C403)</f>
        <v>0</v>
      </c>
      <c r="D403" s="2085">
        <f>IF(未审附注之非流动资产!D403="",0,未审附注之非流动资产!D403)</f>
        <v>0</v>
      </c>
      <c r="E403" s="2048">
        <f t="shared" si="17"/>
        <v>0</v>
      </c>
      <c r="F403" s="2142">
        <f>IF(未审附注之非流动资产!F403="",0,未审附注之非流动资产!F403)</f>
        <v>0</v>
      </c>
      <c r="G403" s="2095"/>
      <c r="H403" s="2095"/>
      <c r="I403" s="2095"/>
      <c r="J403" s="2118" t="s">
        <v>838</v>
      </c>
    </row>
    <row r="404" s="2075" customFormat="1" spans="1:10">
      <c r="A404" s="2092">
        <f>IF(未审附注之非流动资产!A404="",0,未审附注之非流动资产!A404)</f>
        <v>0</v>
      </c>
      <c r="B404" s="2085">
        <f>IF(未审附注之非流动资产!B404="",0,未审附注之非流动资产!B404)</f>
        <v>0</v>
      </c>
      <c r="C404" s="2085">
        <f>IF(未审附注之非流动资产!C404="",0,未审附注之非流动资产!C404)</f>
        <v>0</v>
      </c>
      <c r="D404" s="2085">
        <f>IF(未审附注之非流动资产!D404="",0,未审附注之非流动资产!D404)</f>
        <v>0</v>
      </c>
      <c r="E404" s="2048">
        <f t="shared" si="17"/>
        <v>0</v>
      </c>
      <c r="F404" s="2142">
        <f>IF(未审附注之非流动资产!F404="",0,未审附注之非流动资产!F404)</f>
        <v>0</v>
      </c>
      <c r="G404" s="2095"/>
      <c r="H404" s="2095"/>
      <c r="I404" s="2095"/>
      <c r="J404" s="2118" t="s">
        <v>838</v>
      </c>
    </row>
    <row r="405" s="2075" customFormat="1" spans="1:10">
      <c r="A405" s="2092">
        <f>IF(未审附注之非流动资产!A405="",0,未审附注之非流动资产!A405)</f>
        <v>0</v>
      </c>
      <c r="B405" s="2085">
        <f>IF(未审附注之非流动资产!B405="",0,未审附注之非流动资产!B405)</f>
        <v>0</v>
      </c>
      <c r="C405" s="2085">
        <f>IF(未审附注之非流动资产!C405="",0,未审附注之非流动资产!C405)</f>
        <v>0</v>
      </c>
      <c r="D405" s="2085">
        <f>IF(未审附注之非流动资产!D405="",0,未审附注之非流动资产!D405)</f>
        <v>0</v>
      </c>
      <c r="E405" s="2048">
        <f t="shared" si="17"/>
        <v>0</v>
      </c>
      <c r="F405" s="2142">
        <f>IF(未审附注之非流动资产!F405="",0,未审附注之非流动资产!F405)</f>
        <v>0</v>
      </c>
      <c r="G405" s="2095"/>
      <c r="H405" s="2095"/>
      <c r="I405" s="2095"/>
      <c r="J405" s="2118" t="s">
        <v>838</v>
      </c>
    </row>
    <row r="406" s="2075" customFormat="1" spans="1:10">
      <c r="A406" s="2082" t="s">
        <v>676</v>
      </c>
      <c r="B406" s="2048">
        <f>ROUND(SUM(B396:B405),2)</f>
        <v>0</v>
      </c>
      <c r="C406" s="2048">
        <f>ROUND(SUM(C396:C405),2)</f>
        <v>0</v>
      </c>
      <c r="D406" s="2048">
        <f>ROUND(SUM(D396:D405),2)</f>
        <v>0</v>
      </c>
      <c r="E406" s="2048">
        <f>ROUND(SUM(E396:E405),2)</f>
        <v>0</v>
      </c>
      <c r="F406" s="2098"/>
      <c r="G406" s="2095"/>
      <c r="H406" s="2095"/>
      <c r="I406" s="2095"/>
      <c r="J406" s="2118" t="s">
        <v>839</v>
      </c>
    </row>
    <row r="407" s="2075" customFormat="1" spans="1:10">
      <c r="A407" s="2087"/>
      <c r="B407" s="2087"/>
      <c r="C407" s="2087"/>
      <c r="D407" s="2087"/>
      <c r="E407" s="2087"/>
      <c r="F407" s="2098"/>
      <c r="G407" s="2095"/>
      <c r="H407" s="2095"/>
      <c r="I407" s="2095"/>
      <c r="J407" s="2141"/>
    </row>
    <row r="408" s="2075" customFormat="1" spans="1:10">
      <c r="A408" s="2084" t="s">
        <v>840</v>
      </c>
      <c r="B408" s="2087"/>
      <c r="C408" s="2087"/>
      <c r="D408" s="2087"/>
      <c r="E408" s="2087"/>
      <c r="F408" s="2098"/>
      <c r="G408" s="2095"/>
      <c r="H408" s="2095"/>
      <c r="I408" s="2095"/>
      <c r="J408" s="2141"/>
    </row>
    <row r="409" s="2075" customFormat="1" spans="1:10">
      <c r="A409" s="2092">
        <f>IF(未审附注之非流动资产!A409="",0,未审附注之非流动资产!A409)</f>
        <v>0</v>
      </c>
      <c r="B409" s="2085">
        <f>IF(未审附注之非流动资产!B409="",0,未审附注之非流动资产!B409)</f>
        <v>0</v>
      </c>
      <c r="C409" s="2085">
        <f>IF(未审附注之非流动资产!C409="",0,未审附注之非流动资产!C409)</f>
        <v>0</v>
      </c>
      <c r="D409" s="2085">
        <f>IF(未审附注之非流动资产!D409="",0,未审附注之非流动资产!D409)</f>
        <v>0</v>
      </c>
      <c r="E409" s="2048">
        <f>ROUND(B409+C409-D409,2)</f>
        <v>0</v>
      </c>
      <c r="F409" s="2142">
        <f>IF(未审附注之非流动资产!F409="",0,未审附注之非流动资产!F409)</f>
        <v>0</v>
      </c>
      <c r="G409" s="2095"/>
      <c r="H409" s="2095"/>
      <c r="I409" s="2095"/>
      <c r="J409" s="2118" t="s">
        <v>841</v>
      </c>
    </row>
    <row r="410" s="2075" customFormat="1" spans="1:10">
      <c r="A410" s="2092">
        <f>IF(未审附注之非流动资产!A410="",0,未审附注之非流动资产!A410)</f>
        <v>0</v>
      </c>
      <c r="B410" s="2085">
        <f>IF(未审附注之非流动资产!B410="",0,未审附注之非流动资产!B410)</f>
        <v>0</v>
      </c>
      <c r="C410" s="2085">
        <f>IF(未审附注之非流动资产!C410="",0,未审附注之非流动资产!C410)</f>
        <v>0</v>
      </c>
      <c r="D410" s="2085">
        <f>IF(未审附注之非流动资产!D410="",0,未审附注之非流动资产!D410)</f>
        <v>0</v>
      </c>
      <c r="E410" s="2048">
        <f t="shared" ref="E410:E418" si="18">ROUND(B410+C410-D410,2)</f>
        <v>0</v>
      </c>
      <c r="F410" s="2142">
        <f>IF(未审附注之非流动资产!F410="",0,未审附注之非流动资产!F410)</f>
        <v>0</v>
      </c>
      <c r="G410" s="2095"/>
      <c r="H410" s="2095"/>
      <c r="I410" s="2095"/>
      <c r="J410" s="2118" t="s">
        <v>841</v>
      </c>
    </row>
    <row r="411" s="2075" customFormat="1" spans="1:10">
      <c r="A411" s="2092">
        <f>IF(未审附注之非流动资产!A411="",0,未审附注之非流动资产!A411)</f>
        <v>0</v>
      </c>
      <c r="B411" s="2085">
        <f>IF(未审附注之非流动资产!B411="",0,未审附注之非流动资产!B411)</f>
        <v>0</v>
      </c>
      <c r="C411" s="2085">
        <f>IF(未审附注之非流动资产!C411="",0,未审附注之非流动资产!C411)</f>
        <v>0</v>
      </c>
      <c r="D411" s="2085">
        <f>IF(未审附注之非流动资产!D411="",0,未审附注之非流动资产!D411)</f>
        <v>0</v>
      </c>
      <c r="E411" s="2048">
        <f t="shared" si="18"/>
        <v>0</v>
      </c>
      <c r="F411" s="2142">
        <f>IF(未审附注之非流动资产!F411="",0,未审附注之非流动资产!F411)</f>
        <v>0</v>
      </c>
      <c r="G411" s="2095"/>
      <c r="H411" s="2095"/>
      <c r="I411" s="2095"/>
      <c r="J411" s="2118" t="s">
        <v>841</v>
      </c>
    </row>
    <row r="412" s="2075" customFormat="1" spans="1:10">
      <c r="A412" s="2092">
        <f>IF(未审附注之非流动资产!A412="",0,未审附注之非流动资产!A412)</f>
        <v>0</v>
      </c>
      <c r="B412" s="2085">
        <f>IF(未审附注之非流动资产!B412="",0,未审附注之非流动资产!B412)</f>
        <v>0</v>
      </c>
      <c r="C412" s="2085">
        <f>IF(未审附注之非流动资产!C412="",0,未审附注之非流动资产!C412)</f>
        <v>0</v>
      </c>
      <c r="D412" s="2085">
        <f>IF(未审附注之非流动资产!D412="",0,未审附注之非流动资产!D412)</f>
        <v>0</v>
      </c>
      <c r="E412" s="2048">
        <f t="shared" si="18"/>
        <v>0</v>
      </c>
      <c r="F412" s="2142">
        <f>IF(未审附注之非流动资产!F412="",0,未审附注之非流动资产!F412)</f>
        <v>0</v>
      </c>
      <c r="G412" s="2095"/>
      <c r="H412" s="2095"/>
      <c r="I412" s="2095"/>
      <c r="J412" s="2118" t="s">
        <v>841</v>
      </c>
    </row>
    <row r="413" s="2075" customFormat="1" spans="1:10">
      <c r="A413" s="2092">
        <f>IF(未审附注之非流动资产!A413="",0,未审附注之非流动资产!A413)</f>
        <v>0</v>
      </c>
      <c r="B413" s="2085">
        <f>IF(未审附注之非流动资产!B413="",0,未审附注之非流动资产!B413)</f>
        <v>0</v>
      </c>
      <c r="C413" s="2085">
        <f>IF(未审附注之非流动资产!C413="",0,未审附注之非流动资产!C413)</f>
        <v>0</v>
      </c>
      <c r="D413" s="2085">
        <f>IF(未审附注之非流动资产!D413="",0,未审附注之非流动资产!D413)</f>
        <v>0</v>
      </c>
      <c r="E413" s="2048">
        <f t="shared" si="18"/>
        <v>0</v>
      </c>
      <c r="F413" s="2142">
        <f>IF(未审附注之非流动资产!F413="",0,未审附注之非流动资产!F413)</f>
        <v>0</v>
      </c>
      <c r="G413" s="2095"/>
      <c r="H413" s="2095"/>
      <c r="I413" s="2095"/>
      <c r="J413" s="2118" t="s">
        <v>841</v>
      </c>
    </row>
    <row r="414" s="2075" customFormat="1" spans="1:10">
      <c r="A414" s="2092">
        <f>IF(未审附注之非流动资产!A414="",0,未审附注之非流动资产!A414)</f>
        <v>0</v>
      </c>
      <c r="B414" s="2085">
        <f>IF(未审附注之非流动资产!B414="",0,未审附注之非流动资产!B414)</f>
        <v>0</v>
      </c>
      <c r="C414" s="2085">
        <f>IF(未审附注之非流动资产!C414="",0,未审附注之非流动资产!C414)</f>
        <v>0</v>
      </c>
      <c r="D414" s="2085">
        <f>IF(未审附注之非流动资产!D414="",0,未审附注之非流动资产!D414)</f>
        <v>0</v>
      </c>
      <c r="E414" s="2048">
        <f t="shared" si="18"/>
        <v>0</v>
      </c>
      <c r="F414" s="2142">
        <f>IF(未审附注之非流动资产!F414="",0,未审附注之非流动资产!F414)</f>
        <v>0</v>
      </c>
      <c r="G414" s="2095"/>
      <c r="H414" s="2095"/>
      <c r="I414" s="2095"/>
      <c r="J414" s="2118" t="s">
        <v>841</v>
      </c>
    </row>
    <row r="415" s="2075" customFormat="1" spans="1:10">
      <c r="A415" s="2092">
        <f>IF(未审附注之非流动资产!A415="",0,未审附注之非流动资产!A415)</f>
        <v>0</v>
      </c>
      <c r="B415" s="2085">
        <f>IF(未审附注之非流动资产!B415="",0,未审附注之非流动资产!B415)</f>
        <v>0</v>
      </c>
      <c r="C415" s="2085">
        <f>IF(未审附注之非流动资产!C415="",0,未审附注之非流动资产!C415)</f>
        <v>0</v>
      </c>
      <c r="D415" s="2085">
        <f>IF(未审附注之非流动资产!D415="",0,未审附注之非流动资产!D415)</f>
        <v>0</v>
      </c>
      <c r="E415" s="2048">
        <f t="shared" si="18"/>
        <v>0</v>
      </c>
      <c r="F415" s="2142">
        <f>IF(未审附注之非流动资产!F415="",0,未审附注之非流动资产!F415)</f>
        <v>0</v>
      </c>
      <c r="G415" s="2095"/>
      <c r="H415" s="2095"/>
      <c r="I415" s="2095"/>
      <c r="J415" s="2118" t="s">
        <v>841</v>
      </c>
    </row>
    <row r="416" s="2075" customFormat="1" spans="1:10">
      <c r="A416" s="2092">
        <f>IF(未审附注之非流动资产!A416="",0,未审附注之非流动资产!A416)</f>
        <v>0</v>
      </c>
      <c r="B416" s="2085">
        <f>IF(未审附注之非流动资产!B416="",0,未审附注之非流动资产!B416)</f>
        <v>0</v>
      </c>
      <c r="C416" s="2085">
        <f>IF(未审附注之非流动资产!C416="",0,未审附注之非流动资产!C416)</f>
        <v>0</v>
      </c>
      <c r="D416" s="2085">
        <f>IF(未审附注之非流动资产!D416="",0,未审附注之非流动资产!D416)</f>
        <v>0</v>
      </c>
      <c r="E416" s="2048">
        <f t="shared" si="18"/>
        <v>0</v>
      </c>
      <c r="F416" s="2142">
        <f>IF(未审附注之非流动资产!F416="",0,未审附注之非流动资产!F416)</f>
        <v>0</v>
      </c>
      <c r="G416" s="2095"/>
      <c r="H416" s="2095"/>
      <c r="I416" s="2095"/>
      <c r="J416" s="2118" t="s">
        <v>841</v>
      </c>
    </row>
    <row r="417" s="2075" customFormat="1" spans="1:10">
      <c r="A417" s="2092">
        <f>IF(未审附注之非流动资产!A417="",0,未审附注之非流动资产!A417)</f>
        <v>0</v>
      </c>
      <c r="B417" s="2085">
        <f>IF(未审附注之非流动资产!B417="",0,未审附注之非流动资产!B417)</f>
        <v>0</v>
      </c>
      <c r="C417" s="2085">
        <f>IF(未审附注之非流动资产!C417="",0,未审附注之非流动资产!C417)</f>
        <v>0</v>
      </c>
      <c r="D417" s="2085">
        <f>IF(未审附注之非流动资产!D417="",0,未审附注之非流动资产!D417)</f>
        <v>0</v>
      </c>
      <c r="E417" s="2048">
        <f t="shared" si="18"/>
        <v>0</v>
      </c>
      <c r="F417" s="2142">
        <f>IF(未审附注之非流动资产!F417="",0,未审附注之非流动资产!F417)</f>
        <v>0</v>
      </c>
      <c r="G417" s="2095"/>
      <c r="H417" s="2095"/>
      <c r="I417" s="2095"/>
      <c r="J417" s="2118" t="s">
        <v>841</v>
      </c>
    </row>
    <row r="418" s="2075" customFormat="1" spans="1:10">
      <c r="A418" s="2092">
        <f>IF(未审附注之非流动资产!A418="",0,未审附注之非流动资产!A418)</f>
        <v>0</v>
      </c>
      <c r="B418" s="2085">
        <f>IF(未审附注之非流动资产!B418="",0,未审附注之非流动资产!B418)</f>
        <v>0</v>
      </c>
      <c r="C418" s="2085">
        <f>IF(未审附注之非流动资产!C418="",0,未审附注之非流动资产!C418)</f>
        <v>0</v>
      </c>
      <c r="D418" s="2085">
        <f>IF(未审附注之非流动资产!D418="",0,未审附注之非流动资产!D418)</f>
        <v>0</v>
      </c>
      <c r="E418" s="2048">
        <f t="shared" si="18"/>
        <v>0</v>
      </c>
      <c r="F418" s="2142">
        <f>IF(未审附注之非流动资产!F418="",0,未审附注之非流动资产!F418)</f>
        <v>0</v>
      </c>
      <c r="G418" s="2095"/>
      <c r="H418" s="2095"/>
      <c r="I418" s="2095"/>
      <c r="J418" s="2118" t="s">
        <v>841</v>
      </c>
    </row>
    <row r="419" s="2075" customFormat="1" spans="1:10">
      <c r="A419" s="2082" t="s">
        <v>676</v>
      </c>
      <c r="B419" s="2048">
        <f>ROUND(SUM(B409:B418),2)</f>
        <v>0</v>
      </c>
      <c r="C419" s="2048">
        <f>ROUND(SUM(C409:C418),2)</f>
        <v>0</v>
      </c>
      <c r="D419" s="2048">
        <f>ROUND(SUM(D409:D418),2)</f>
        <v>0</v>
      </c>
      <c r="E419" s="2048">
        <f>ROUND(SUM(E409:E418),2)</f>
        <v>0</v>
      </c>
      <c r="F419" s="2098"/>
      <c r="G419" s="2095"/>
      <c r="H419" s="2095"/>
      <c r="I419" s="2095"/>
      <c r="J419" s="2118" t="s">
        <v>842</v>
      </c>
    </row>
    <row r="420" s="2075" customFormat="1" spans="1:10">
      <c r="A420" s="2087"/>
      <c r="B420" s="2087"/>
      <c r="C420" s="2087"/>
      <c r="D420" s="2087"/>
      <c r="E420" s="2087"/>
      <c r="F420" s="2098"/>
      <c r="G420" s="2095"/>
      <c r="H420" s="2095"/>
      <c r="I420" s="2095"/>
      <c r="J420" s="2141"/>
    </row>
    <row r="421" s="2075" customFormat="1" spans="1:10">
      <c r="A421" s="2084" t="s">
        <v>843</v>
      </c>
      <c r="B421" s="2087"/>
      <c r="C421" s="2087"/>
      <c r="D421" s="2087"/>
      <c r="E421" s="2087"/>
      <c r="F421" s="2098"/>
      <c r="G421" s="2095"/>
      <c r="H421" s="2095"/>
      <c r="I421" s="2095"/>
      <c r="J421" s="2141"/>
    </row>
    <row r="422" s="2075" customFormat="1" spans="1:10">
      <c r="A422" s="2092">
        <f>IF(未审附注之非流动资产!A422="",0,未审附注之非流动资产!A422)</f>
        <v>0</v>
      </c>
      <c r="B422" s="2085">
        <f>IF(未审附注之非流动资产!B422="",0,未审附注之非流动资产!B422)</f>
        <v>0</v>
      </c>
      <c r="C422" s="2085">
        <f>IF(未审附注之非流动资产!C422="",0,未审附注之非流动资产!C422)</f>
        <v>0</v>
      </c>
      <c r="D422" s="2085">
        <f>IF(未审附注之非流动资产!D422="",0,未审附注之非流动资产!D422)</f>
        <v>0</v>
      </c>
      <c r="E422" s="2048">
        <f>ROUND(B422+C422-D422,2)</f>
        <v>0</v>
      </c>
      <c r="F422" s="2142">
        <f>IF(未审附注之非流动资产!F422="",0,未审附注之非流动资产!F422)</f>
        <v>0</v>
      </c>
      <c r="G422" s="2095"/>
      <c r="H422" s="2095"/>
      <c r="I422" s="2095"/>
      <c r="J422" s="2118" t="s">
        <v>844</v>
      </c>
    </row>
    <row r="423" s="2075" customFormat="1" spans="1:10">
      <c r="A423" s="2092">
        <f>IF(未审附注之非流动资产!A423="",0,未审附注之非流动资产!A423)</f>
        <v>0</v>
      </c>
      <c r="B423" s="2085">
        <f>IF(未审附注之非流动资产!B423="",0,未审附注之非流动资产!B423)</f>
        <v>0</v>
      </c>
      <c r="C423" s="2085">
        <f>IF(未审附注之非流动资产!C423="",0,未审附注之非流动资产!C423)</f>
        <v>0</v>
      </c>
      <c r="D423" s="2085">
        <f>IF(未审附注之非流动资产!D423="",0,未审附注之非流动资产!D423)</f>
        <v>0</v>
      </c>
      <c r="E423" s="2048">
        <f t="shared" ref="E423:E431" si="19">ROUND(B423+C423-D423,2)</f>
        <v>0</v>
      </c>
      <c r="F423" s="2142">
        <f>IF(未审附注之非流动资产!F423="",0,未审附注之非流动资产!F423)</f>
        <v>0</v>
      </c>
      <c r="G423" s="2095"/>
      <c r="H423" s="2095"/>
      <c r="I423" s="2095"/>
      <c r="J423" s="2118" t="s">
        <v>844</v>
      </c>
    </row>
    <row r="424" s="2075" customFormat="1" spans="1:10">
      <c r="A424" s="2092">
        <f>IF(未审附注之非流动资产!A424="",0,未审附注之非流动资产!A424)</f>
        <v>0</v>
      </c>
      <c r="B424" s="2085">
        <f>IF(未审附注之非流动资产!B424="",0,未审附注之非流动资产!B424)</f>
        <v>0</v>
      </c>
      <c r="C424" s="2085">
        <f>IF(未审附注之非流动资产!C424="",0,未审附注之非流动资产!C424)</f>
        <v>0</v>
      </c>
      <c r="D424" s="2085">
        <f>IF(未审附注之非流动资产!D424="",0,未审附注之非流动资产!D424)</f>
        <v>0</v>
      </c>
      <c r="E424" s="2048">
        <f t="shared" si="19"/>
        <v>0</v>
      </c>
      <c r="F424" s="2142">
        <f>IF(未审附注之非流动资产!F424="",0,未审附注之非流动资产!F424)</f>
        <v>0</v>
      </c>
      <c r="G424" s="2095"/>
      <c r="H424" s="2095"/>
      <c r="I424" s="2095"/>
      <c r="J424" s="2118" t="s">
        <v>844</v>
      </c>
    </row>
    <row r="425" s="2075" customFormat="1" spans="1:10">
      <c r="A425" s="2092">
        <f>IF(未审附注之非流动资产!A425="",0,未审附注之非流动资产!A425)</f>
        <v>0</v>
      </c>
      <c r="B425" s="2085">
        <f>IF(未审附注之非流动资产!B425="",0,未审附注之非流动资产!B425)</f>
        <v>0</v>
      </c>
      <c r="C425" s="2085">
        <f>IF(未审附注之非流动资产!C425="",0,未审附注之非流动资产!C425)</f>
        <v>0</v>
      </c>
      <c r="D425" s="2085">
        <f>IF(未审附注之非流动资产!D425="",0,未审附注之非流动资产!D425)</f>
        <v>0</v>
      </c>
      <c r="E425" s="2048">
        <f t="shared" si="19"/>
        <v>0</v>
      </c>
      <c r="F425" s="2142">
        <f>IF(未审附注之非流动资产!F425="",0,未审附注之非流动资产!F425)</f>
        <v>0</v>
      </c>
      <c r="G425" s="2095"/>
      <c r="H425" s="2095"/>
      <c r="I425" s="2095"/>
      <c r="J425" s="2118" t="s">
        <v>844</v>
      </c>
    </row>
    <row r="426" s="2075" customFormat="1" spans="1:10">
      <c r="A426" s="2092">
        <f>IF(未审附注之非流动资产!A426="",0,未审附注之非流动资产!A426)</f>
        <v>0</v>
      </c>
      <c r="B426" s="2085">
        <f>IF(未审附注之非流动资产!B426="",0,未审附注之非流动资产!B426)</f>
        <v>0</v>
      </c>
      <c r="C426" s="2085">
        <f>IF(未审附注之非流动资产!C426="",0,未审附注之非流动资产!C426)</f>
        <v>0</v>
      </c>
      <c r="D426" s="2085">
        <f>IF(未审附注之非流动资产!D426="",0,未审附注之非流动资产!D426)</f>
        <v>0</v>
      </c>
      <c r="E426" s="2048">
        <f t="shared" si="19"/>
        <v>0</v>
      </c>
      <c r="F426" s="2142">
        <f>IF(未审附注之非流动资产!F426="",0,未审附注之非流动资产!F426)</f>
        <v>0</v>
      </c>
      <c r="G426" s="2095"/>
      <c r="H426" s="2095"/>
      <c r="I426" s="2095"/>
      <c r="J426" s="2118" t="s">
        <v>844</v>
      </c>
    </row>
    <row r="427" s="2075" customFormat="1" spans="1:10">
      <c r="A427" s="2092">
        <f>IF(未审附注之非流动资产!A427="",0,未审附注之非流动资产!A427)</f>
        <v>0</v>
      </c>
      <c r="B427" s="2085">
        <f>IF(未审附注之非流动资产!B427="",0,未审附注之非流动资产!B427)</f>
        <v>0</v>
      </c>
      <c r="C427" s="2085">
        <f>IF(未审附注之非流动资产!C427="",0,未审附注之非流动资产!C427)</f>
        <v>0</v>
      </c>
      <c r="D427" s="2085">
        <f>IF(未审附注之非流动资产!D427="",0,未审附注之非流动资产!D427)</f>
        <v>0</v>
      </c>
      <c r="E427" s="2048">
        <f t="shared" si="19"/>
        <v>0</v>
      </c>
      <c r="F427" s="2142">
        <f>IF(未审附注之非流动资产!F427="",0,未审附注之非流动资产!F427)</f>
        <v>0</v>
      </c>
      <c r="G427" s="2095"/>
      <c r="H427" s="2095"/>
      <c r="I427" s="2095"/>
      <c r="J427" s="2118" t="s">
        <v>844</v>
      </c>
    </row>
    <row r="428" s="2075" customFormat="1" spans="1:10">
      <c r="A428" s="2092">
        <f>IF(未审附注之非流动资产!A428="",0,未审附注之非流动资产!A428)</f>
        <v>0</v>
      </c>
      <c r="B428" s="2085">
        <f>IF(未审附注之非流动资产!B428="",0,未审附注之非流动资产!B428)</f>
        <v>0</v>
      </c>
      <c r="C428" s="2085">
        <f>IF(未审附注之非流动资产!C428="",0,未审附注之非流动资产!C428)</f>
        <v>0</v>
      </c>
      <c r="D428" s="2085">
        <f>IF(未审附注之非流动资产!D428="",0,未审附注之非流动资产!D428)</f>
        <v>0</v>
      </c>
      <c r="E428" s="2048">
        <f t="shared" si="19"/>
        <v>0</v>
      </c>
      <c r="F428" s="2142">
        <f>IF(未审附注之非流动资产!F428="",0,未审附注之非流动资产!F428)</f>
        <v>0</v>
      </c>
      <c r="G428" s="2095"/>
      <c r="H428" s="2095"/>
      <c r="I428" s="2095"/>
      <c r="J428" s="2118" t="s">
        <v>844</v>
      </c>
    </row>
    <row r="429" s="2075" customFormat="1" spans="1:10">
      <c r="A429" s="2092">
        <f>IF(未审附注之非流动资产!A429="",0,未审附注之非流动资产!A429)</f>
        <v>0</v>
      </c>
      <c r="B429" s="2085">
        <f>IF(未审附注之非流动资产!B429="",0,未审附注之非流动资产!B429)</f>
        <v>0</v>
      </c>
      <c r="C429" s="2085">
        <f>IF(未审附注之非流动资产!C429="",0,未审附注之非流动资产!C429)</f>
        <v>0</v>
      </c>
      <c r="D429" s="2085">
        <f>IF(未审附注之非流动资产!D429="",0,未审附注之非流动资产!D429)</f>
        <v>0</v>
      </c>
      <c r="E429" s="2048">
        <f t="shared" si="19"/>
        <v>0</v>
      </c>
      <c r="F429" s="2142">
        <f>IF(未审附注之非流动资产!F429="",0,未审附注之非流动资产!F429)</f>
        <v>0</v>
      </c>
      <c r="G429" s="2095"/>
      <c r="H429" s="2095"/>
      <c r="I429" s="2095"/>
      <c r="J429" s="2118" t="s">
        <v>844</v>
      </c>
    </row>
    <row r="430" s="2075" customFormat="1" spans="1:10">
      <c r="A430" s="2092">
        <f>IF(未审附注之非流动资产!A430="",0,未审附注之非流动资产!A430)</f>
        <v>0</v>
      </c>
      <c r="B430" s="2085">
        <f>IF(未审附注之非流动资产!B430="",0,未审附注之非流动资产!B430)</f>
        <v>0</v>
      </c>
      <c r="C430" s="2085">
        <f>IF(未审附注之非流动资产!C430="",0,未审附注之非流动资产!C430)</f>
        <v>0</v>
      </c>
      <c r="D430" s="2085">
        <f>IF(未审附注之非流动资产!D430="",0,未审附注之非流动资产!D430)</f>
        <v>0</v>
      </c>
      <c r="E430" s="2048">
        <f t="shared" si="19"/>
        <v>0</v>
      </c>
      <c r="F430" s="2142">
        <f>IF(未审附注之非流动资产!F430="",0,未审附注之非流动资产!F430)</f>
        <v>0</v>
      </c>
      <c r="G430" s="2095"/>
      <c r="H430" s="2095"/>
      <c r="I430" s="2095"/>
      <c r="J430" s="2118" t="s">
        <v>844</v>
      </c>
    </row>
    <row r="431" s="2075" customFormat="1" spans="1:10">
      <c r="A431" s="2092">
        <f>IF(未审附注之非流动资产!A431="",0,未审附注之非流动资产!A431)</f>
        <v>0</v>
      </c>
      <c r="B431" s="2085">
        <f>IF(未审附注之非流动资产!B431="",0,未审附注之非流动资产!B431)</f>
        <v>0</v>
      </c>
      <c r="C431" s="2085">
        <f>IF(未审附注之非流动资产!C431="",0,未审附注之非流动资产!C431)</f>
        <v>0</v>
      </c>
      <c r="D431" s="2085">
        <f>IF(未审附注之非流动资产!D431="",0,未审附注之非流动资产!D431)</f>
        <v>0</v>
      </c>
      <c r="E431" s="2048">
        <f t="shared" si="19"/>
        <v>0</v>
      </c>
      <c r="F431" s="2142">
        <f>IF(未审附注之非流动资产!F431="",0,未审附注之非流动资产!F431)</f>
        <v>0</v>
      </c>
      <c r="G431" s="2095"/>
      <c r="H431" s="2095"/>
      <c r="I431" s="2095"/>
      <c r="J431" s="2118" t="s">
        <v>844</v>
      </c>
    </row>
    <row r="432" s="2075" customFormat="1" spans="1:10">
      <c r="A432" s="2082" t="s">
        <v>676</v>
      </c>
      <c r="B432" s="2048">
        <f>ROUND(SUM(B422:B431),2)</f>
        <v>0</v>
      </c>
      <c r="C432" s="2048">
        <f>ROUND(SUM(C422:C431),2)</f>
        <v>0</v>
      </c>
      <c r="D432" s="2048">
        <f>ROUND(SUM(D422:D431),2)</f>
        <v>0</v>
      </c>
      <c r="E432" s="2048">
        <f>ROUND(SUM(E422:E431),2)</f>
        <v>0</v>
      </c>
      <c r="F432" s="2098"/>
      <c r="G432" s="2095"/>
      <c r="H432" s="2095"/>
      <c r="I432" s="2095"/>
      <c r="J432" s="2118" t="s">
        <v>845</v>
      </c>
    </row>
    <row r="433" s="2075" customFormat="1" spans="1:10">
      <c r="A433" s="2087"/>
      <c r="B433" s="2087"/>
      <c r="C433" s="2087"/>
      <c r="D433" s="2087"/>
      <c r="E433" s="2087"/>
      <c r="F433" s="2098"/>
      <c r="G433" s="2095"/>
      <c r="H433" s="2095"/>
      <c r="I433" s="2095"/>
      <c r="J433" s="2141"/>
    </row>
    <row r="434" s="2075" customFormat="1" spans="1:10">
      <c r="A434" s="2084" t="s">
        <v>846</v>
      </c>
      <c r="B434" s="2087"/>
      <c r="C434" s="2087"/>
      <c r="D434" s="2087"/>
      <c r="E434" s="2087"/>
      <c r="F434" s="2098"/>
      <c r="G434" s="2095"/>
      <c r="H434" s="2095"/>
      <c r="I434" s="2095"/>
      <c r="J434" s="2141"/>
    </row>
    <row r="435" s="2075" customFormat="1" spans="1:10">
      <c r="A435" s="2092">
        <f>IF(未审附注之非流动资产!A435="",0,未审附注之非流动资产!A435)</f>
        <v>0</v>
      </c>
      <c r="B435" s="2085">
        <f>IF(未审附注之非流动资产!B435="",0,未审附注之非流动资产!B435)</f>
        <v>0</v>
      </c>
      <c r="C435" s="2085">
        <f>IF(未审附注之非流动资产!C435="",0,未审附注之非流动资产!C435)</f>
        <v>0</v>
      </c>
      <c r="D435" s="2085">
        <f>IF(未审附注之非流动资产!D435="",0,未审附注之非流动资产!D435)</f>
        <v>0</v>
      </c>
      <c r="E435" s="2048">
        <f>ROUND(B435+C435-D435,2)</f>
        <v>0</v>
      </c>
      <c r="F435" s="2142">
        <f>IF(未审附注之非流动资产!F435="",0,未审附注之非流动资产!F435)</f>
        <v>0</v>
      </c>
      <c r="G435" s="2095"/>
      <c r="H435" s="2095"/>
      <c r="I435" s="2095"/>
      <c r="J435" s="2118" t="s">
        <v>847</v>
      </c>
    </row>
    <row r="436" s="2075" customFormat="1" spans="1:10">
      <c r="A436" s="2092">
        <f>IF(未审附注之非流动资产!A436="",0,未审附注之非流动资产!A436)</f>
        <v>0</v>
      </c>
      <c r="B436" s="2085">
        <f>IF(未审附注之非流动资产!B436="",0,未审附注之非流动资产!B436)</f>
        <v>0</v>
      </c>
      <c r="C436" s="2085">
        <f>IF(未审附注之非流动资产!C436="",0,未审附注之非流动资产!C436)</f>
        <v>0</v>
      </c>
      <c r="D436" s="2085">
        <f>IF(未审附注之非流动资产!D436="",0,未审附注之非流动资产!D436)</f>
        <v>0</v>
      </c>
      <c r="E436" s="2048">
        <f t="shared" ref="E436:E444" si="20">ROUND(B436+C436-D436,2)</f>
        <v>0</v>
      </c>
      <c r="F436" s="2142">
        <f>IF(未审附注之非流动资产!F436="",0,未审附注之非流动资产!F436)</f>
        <v>0</v>
      </c>
      <c r="G436" s="2095"/>
      <c r="H436" s="2095"/>
      <c r="I436" s="2095"/>
      <c r="J436" s="2118" t="s">
        <v>847</v>
      </c>
    </row>
    <row r="437" s="2075" customFormat="1" spans="1:10">
      <c r="A437" s="2092">
        <f>IF(未审附注之非流动资产!A437="",0,未审附注之非流动资产!A437)</f>
        <v>0</v>
      </c>
      <c r="B437" s="2085">
        <f>IF(未审附注之非流动资产!B437="",0,未审附注之非流动资产!B437)</f>
        <v>0</v>
      </c>
      <c r="C437" s="2085">
        <f>IF(未审附注之非流动资产!C437="",0,未审附注之非流动资产!C437)</f>
        <v>0</v>
      </c>
      <c r="D437" s="2085">
        <f>IF(未审附注之非流动资产!D437="",0,未审附注之非流动资产!D437)</f>
        <v>0</v>
      </c>
      <c r="E437" s="2048">
        <f t="shared" si="20"/>
        <v>0</v>
      </c>
      <c r="F437" s="2142">
        <f>IF(未审附注之非流动资产!F437="",0,未审附注之非流动资产!F437)</f>
        <v>0</v>
      </c>
      <c r="G437" s="2095"/>
      <c r="H437" s="2095"/>
      <c r="I437" s="2095"/>
      <c r="J437" s="2118" t="s">
        <v>847</v>
      </c>
    </row>
    <row r="438" s="2075" customFormat="1" spans="1:10">
      <c r="A438" s="2092">
        <f>IF(未审附注之非流动资产!A438="",0,未审附注之非流动资产!A438)</f>
        <v>0</v>
      </c>
      <c r="B438" s="2085">
        <f>IF(未审附注之非流动资产!B438="",0,未审附注之非流动资产!B438)</f>
        <v>0</v>
      </c>
      <c r="C438" s="2085">
        <f>IF(未审附注之非流动资产!C438="",0,未审附注之非流动资产!C438)</f>
        <v>0</v>
      </c>
      <c r="D438" s="2085">
        <f>IF(未审附注之非流动资产!D438="",0,未审附注之非流动资产!D438)</f>
        <v>0</v>
      </c>
      <c r="E438" s="2048">
        <f t="shared" si="20"/>
        <v>0</v>
      </c>
      <c r="F438" s="2142">
        <f>IF(未审附注之非流动资产!F438="",0,未审附注之非流动资产!F438)</f>
        <v>0</v>
      </c>
      <c r="G438" s="2095"/>
      <c r="H438" s="2095"/>
      <c r="I438" s="2095"/>
      <c r="J438" s="2118" t="s">
        <v>847</v>
      </c>
    </row>
    <row r="439" s="2075" customFormat="1" spans="1:10">
      <c r="A439" s="2092">
        <f>IF(未审附注之非流动资产!A439="",0,未审附注之非流动资产!A439)</f>
        <v>0</v>
      </c>
      <c r="B439" s="2085">
        <f>IF(未审附注之非流动资产!B439="",0,未审附注之非流动资产!B439)</f>
        <v>0</v>
      </c>
      <c r="C439" s="2085">
        <f>IF(未审附注之非流动资产!C439="",0,未审附注之非流动资产!C439)</f>
        <v>0</v>
      </c>
      <c r="D439" s="2085">
        <f>IF(未审附注之非流动资产!D439="",0,未审附注之非流动资产!D439)</f>
        <v>0</v>
      </c>
      <c r="E439" s="2048">
        <f t="shared" si="20"/>
        <v>0</v>
      </c>
      <c r="F439" s="2142">
        <f>IF(未审附注之非流动资产!F439="",0,未审附注之非流动资产!F439)</f>
        <v>0</v>
      </c>
      <c r="G439" s="2095"/>
      <c r="H439" s="2095"/>
      <c r="I439" s="2095"/>
      <c r="J439" s="2118" t="s">
        <v>847</v>
      </c>
    </row>
    <row r="440" s="2075" customFormat="1" spans="1:10">
      <c r="A440" s="2092">
        <f>IF(未审附注之非流动资产!A440="",0,未审附注之非流动资产!A440)</f>
        <v>0</v>
      </c>
      <c r="B440" s="2085">
        <f>IF(未审附注之非流动资产!B440="",0,未审附注之非流动资产!B440)</f>
        <v>0</v>
      </c>
      <c r="C440" s="2085">
        <f>IF(未审附注之非流动资产!C440="",0,未审附注之非流动资产!C440)</f>
        <v>0</v>
      </c>
      <c r="D440" s="2085">
        <f>IF(未审附注之非流动资产!D440="",0,未审附注之非流动资产!D440)</f>
        <v>0</v>
      </c>
      <c r="E440" s="2048">
        <f t="shared" si="20"/>
        <v>0</v>
      </c>
      <c r="F440" s="2142">
        <f>IF(未审附注之非流动资产!F440="",0,未审附注之非流动资产!F440)</f>
        <v>0</v>
      </c>
      <c r="G440" s="2095"/>
      <c r="H440" s="2095"/>
      <c r="I440" s="2095"/>
      <c r="J440" s="2118" t="s">
        <v>847</v>
      </c>
    </row>
    <row r="441" s="2075" customFormat="1" spans="1:10">
      <c r="A441" s="2092">
        <f>IF(未审附注之非流动资产!A441="",0,未审附注之非流动资产!A441)</f>
        <v>0</v>
      </c>
      <c r="B441" s="2085">
        <f>IF(未审附注之非流动资产!B441="",0,未审附注之非流动资产!B441)</f>
        <v>0</v>
      </c>
      <c r="C441" s="2085">
        <f>IF(未审附注之非流动资产!C441="",0,未审附注之非流动资产!C441)</f>
        <v>0</v>
      </c>
      <c r="D441" s="2085">
        <f>IF(未审附注之非流动资产!D441="",0,未审附注之非流动资产!D441)</f>
        <v>0</v>
      </c>
      <c r="E441" s="2048">
        <f t="shared" si="20"/>
        <v>0</v>
      </c>
      <c r="F441" s="2142">
        <f>IF(未审附注之非流动资产!F441="",0,未审附注之非流动资产!F441)</f>
        <v>0</v>
      </c>
      <c r="G441" s="2095"/>
      <c r="H441" s="2095"/>
      <c r="I441" s="2095"/>
      <c r="J441" s="2118" t="s">
        <v>847</v>
      </c>
    </row>
    <row r="442" s="2075" customFormat="1" spans="1:10">
      <c r="A442" s="2092">
        <f>IF(未审附注之非流动资产!A442="",0,未审附注之非流动资产!A442)</f>
        <v>0</v>
      </c>
      <c r="B442" s="2085">
        <f>IF(未审附注之非流动资产!B442="",0,未审附注之非流动资产!B442)</f>
        <v>0</v>
      </c>
      <c r="C442" s="2085">
        <f>IF(未审附注之非流动资产!C442="",0,未审附注之非流动资产!C442)</f>
        <v>0</v>
      </c>
      <c r="D442" s="2085">
        <f>IF(未审附注之非流动资产!D442="",0,未审附注之非流动资产!D442)</f>
        <v>0</v>
      </c>
      <c r="E442" s="2048">
        <f t="shared" si="20"/>
        <v>0</v>
      </c>
      <c r="F442" s="2142">
        <f>IF(未审附注之非流动资产!F442="",0,未审附注之非流动资产!F442)</f>
        <v>0</v>
      </c>
      <c r="G442" s="2095"/>
      <c r="H442" s="2095"/>
      <c r="I442" s="2095"/>
      <c r="J442" s="2118" t="s">
        <v>847</v>
      </c>
    </row>
    <row r="443" s="2075" customFormat="1" spans="1:10">
      <c r="A443" s="2092">
        <f>IF(未审附注之非流动资产!A443="",0,未审附注之非流动资产!A443)</f>
        <v>0</v>
      </c>
      <c r="B443" s="2085">
        <f>IF(未审附注之非流动资产!B443="",0,未审附注之非流动资产!B443)</f>
        <v>0</v>
      </c>
      <c r="C443" s="2085">
        <f>IF(未审附注之非流动资产!C443="",0,未审附注之非流动资产!C443)</f>
        <v>0</v>
      </c>
      <c r="D443" s="2085">
        <f>IF(未审附注之非流动资产!D443="",0,未审附注之非流动资产!D443)</f>
        <v>0</v>
      </c>
      <c r="E443" s="2048">
        <f t="shared" si="20"/>
        <v>0</v>
      </c>
      <c r="F443" s="2142">
        <f>IF(未审附注之非流动资产!F443="",0,未审附注之非流动资产!F443)</f>
        <v>0</v>
      </c>
      <c r="G443" s="2095"/>
      <c r="H443" s="2095"/>
      <c r="I443" s="2095"/>
      <c r="J443" s="2118" t="s">
        <v>847</v>
      </c>
    </row>
    <row r="444" s="2075" customFormat="1" spans="1:10">
      <c r="A444" s="2092">
        <f>IF(未审附注之非流动资产!A444="",0,未审附注之非流动资产!A444)</f>
        <v>0</v>
      </c>
      <c r="B444" s="2085">
        <f>IF(未审附注之非流动资产!B444="",0,未审附注之非流动资产!B444)</f>
        <v>0</v>
      </c>
      <c r="C444" s="2085">
        <f>IF(未审附注之非流动资产!C444="",0,未审附注之非流动资产!C444)</f>
        <v>0</v>
      </c>
      <c r="D444" s="2085">
        <f>IF(未审附注之非流动资产!D444="",0,未审附注之非流动资产!D444)</f>
        <v>0</v>
      </c>
      <c r="E444" s="2048">
        <f t="shared" si="20"/>
        <v>0</v>
      </c>
      <c r="F444" s="2142">
        <f>IF(未审附注之非流动资产!F444="",0,未审附注之非流动资产!F444)</f>
        <v>0</v>
      </c>
      <c r="G444" s="2095"/>
      <c r="H444" s="2095"/>
      <c r="I444" s="2095"/>
      <c r="J444" s="2118" t="s">
        <v>847</v>
      </c>
    </row>
    <row r="445" s="2075" customFormat="1" spans="1:10">
      <c r="A445" s="2082" t="s">
        <v>676</v>
      </c>
      <c r="B445" s="2048">
        <f>ROUND(SUM(B435:B444),2)</f>
        <v>0</v>
      </c>
      <c r="C445" s="2048">
        <f>ROUND(SUM(C435:C444),2)</f>
        <v>0</v>
      </c>
      <c r="D445" s="2048">
        <f>ROUND(SUM(D435:D444),2)</f>
        <v>0</v>
      </c>
      <c r="E445" s="2048">
        <f>ROUND(SUM(E435:E444),2)</f>
        <v>0</v>
      </c>
      <c r="F445" s="2098"/>
      <c r="G445" s="2095"/>
      <c r="H445" s="2095"/>
      <c r="I445" s="2095"/>
      <c r="J445" s="2118" t="s">
        <v>848</v>
      </c>
    </row>
    <row r="446" s="2075" customFormat="1" spans="1:10">
      <c r="A446" s="2087"/>
      <c r="B446" s="2087"/>
      <c r="C446" s="2087"/>
      <c r="D446" s="2087"/>
      <c r="E446" s="2087"/>
      <c r="F446" s="2098"/>
      <c r="G446" s="2095"/>
      <c r="H446" s="2095"/>
      <c r="I446" s="2095"/>
      <c r="J446" s="2141"/>
    </row>
    <row r="447" s="2075" customFormat="1" spans="1:10">
      <c r="A447" s="2082" t="s">
        <v>384</v>
      </c>
      <c r="B447" s="2048">
        <f>ROUND(B406+B419+B432+B445,2)</f>
        <v>0</v>
      </c>
      <c r="C447" s="2048">
        <f>ROUND(C406+C419+C432+C445,2)</f>
        <v>0</v>
      </c>
      <c r="D447" s="2048">
        <f>ROUND(D406+D419+D432+D445,2)</f>
        <v>0</v>
      </c>
      <c r="E447" s="2048">
        <f>ROUND(E406+E419+E432+E445,2)</f>
        <v>0</v>
      </c>
      <c r="F447" s="2098"/>
      <c r="G447" s="2095"/>
      <c r="H447" s="2095"/>
      <c r="I447" s="2095"/>
      <c r="J447" s="2141"/>
    </row>
    <row r="448" s="2075" customFormat="1" spans="1:10">
      <c r="A448" s="2105"/>
      <c r="B448" s="2100"/>
      <c r="C448" s="2100"/>
      <c r="D448" s="2100"/>
      <c r="E448" s="2100"/>
      <c r="F448" s="2095"/>
      <c r="G448" s="2095"/>
      <c r="H448" s="2095"/>
      <c r="I448" s="2095"/>
      <c r="J448" s="2141"/>
    </row>
    <row r="449" spans="1:9">
      <c r="A449" s="2127" t="s">
        <v>849</v>
      </c>
      <c r="B449" s="2126"/>
      <c r="C449" s="2126"/>
      <c r="D449" s="2126"/>
      <c r="E449" s="2126"/>
      <c r="F449" s="2126"/>
      <c r="G449" s="2126"/>
      <c r="H449" s="2126"/>
      <c r="I449" s="2126"/>
    </row>
    <row r="450" spans="1:9">
      <c r="A450" s="2082" t="s">
        <v>850</v>
      </c>
      <c r="B450" s="2082" t="s">
        <v>851</v>
      </c>
      <c r="C450" s="2082" t="s">
        <v>852</v>
      </c>
      <c r="D450" s="2082" t="s">
        <v>853</v>
      </c>
      <c r="E450" s="2082" t="s">
        <v>353</v>
      </c>
      <c r="F450" s="2126"/>
      <c r="G450" s="2126"/>
      <c r="H450" s="2126"/>
      <c r="I450" s="2126"/>
    </row>
    <row r="451" spans="1:10">
      <c r="A451" s="2092">
        <f>IF(未审附注之非流动资产!A451="",0,未审附注之非流动资产!A451)</f>
        <v>0</v>
      </c>
      <c r="B451" s="2092">
        <f>IF(未审附注之非流动资产!B451="",0,未审附注之非流动资产!B451)</f>
        <v>0</v>
      </c>
      <c r="C451" s="2092">
        <f>IF(未审附注之非流动资产!C451="",0,未审附注之非流动资产!C451)</f>
        <v>0</v>
      </c>
      <c r="D451" s="2142">
        <f>IF(未审附注之非流动资产!D451="",0,未审附注之非流动资产!D451)</f>
        <v>0</v>
      </c>
      <c r="E451" s="2092">
        <f>IF(未审附注之非流动资产!E451="",0,未审附注之非流动资产!E451)</f>
        <v>0</v>
      </c>
      <c r="F451" s="2126"/>
      <c r="G451" s="2126"/>
      <c r="H451" s="2126"/>
      <c r="I451" s="2126"/>
      <c r="J451" s="2118" t="s">
        <v>854</v>
      </c>
    </row>
    <row r="452" spans="1:10">
      <c r="A452" s="2092">
        <f>IF(未审附注之非流动资产!A452="",0,未审附注之非流动资产!A452)</f>
        <v>0</v>
      </c>
      <c r="B452" s="2092">
        <f>IF(未审附注之非流动资产!B452="",0,未审附注之非流动资产!B452)</f>
        <v>0</v>
      </c>
      <c r="C452" s="2092">
        <f>IF(未审附注之非流动资产!C452="",0,未审附注之非流动资产!C452)</f>
        <v>0</v>
      </c>
      <c r="D452" s="2142">
        <f>IF(未审附注之非流动资产!D452="",0,未审附注之非流动资产!D452)</f>
        <v>0</v>
      </c>
      <c r="E452" s="2092">
        <f>IF(未审附注之非流动资产!E452="",0,未审附注之非流动资产!E452)</f>
        <v>0</v>
      </c>
      <c r="F452" s="2126"/>
      <c r="G452" s="2126"/>
      <c r="H452" s="2126"/>
      <c r="I452" s="2126"/>
      <c r="J452" s="2118" t="s">
        <v>854</v>
      </c>
    </row>
    <row r="453" spans="1:10">
      <c r="A453" s="2092">
        <f>IF(未审附注之非流动资产!A453="",0,未审附注之非流动资产!A453)</f>
        <v>0</v>
      </c>
      <c r="B453" s="2092">
        <f>IF(未审附注之非流动资产!B453="",0,未审附注之非流动资产!B453)</f>
        <v>0</v>
      </c>
      <c r="C453" s="2092">
        <f>IF(未审附注之非流动资产!C453="",0,未审附注之非流动资产!C453)</f>
        <v>0</v>
      </c>
      <c r="D453" s="2142">
        <f>IF(未审附注之非流动资产!D453="",0,未审附注之非流动资产!D453)</f>
        <v>0</v>
      </c>
      <c r="E453" s="2092">
        <f>IF(未审附注之非流动资产!E453="",0,未审附注之非流动资产!E453)</f>
        <v>0</v>
      </c>
      <c r="F453" s="2126"/>
      <c r="G453" s="2126"/>
      <c r="H453" s="2126"/>
      <c r="I453" s="2126"/>
      <c r="J453" s="2118" t="s">
        <v>854</v>
      </c>
    </row>
    <row r="454" spans="1:10">
      <c r="A454" s="2092">
        <f>IF(未审附注之非流动资产!A454="",0,未审附注之非流动资产!A454)</f>
        <v>0</v>
      </c>
      <c r="B454" s="2092">
        <f>IF(未审附注之非流动资产!B454="",0,未审附注之非流动资产!B454)</f>
        <v>0</v>
      </c>
      <c r="C454" s="2092">
        <f>IF(未审附注之非流动资产!C454="",0,未审附注之非流动资产!C454)</f>
        <v>0</v>
      </c>
      <c r="D454" s="2142">
        <f>IF(未审附注之非流动资产!D454="",0,未审附注之非流动资产!D454)</f>
        <v>0</v>
      </c>
      <c r="E454" s="2092">
        <f>IF(未审附注之非流动资产!E454="",0,未审附注之非流动资产!E454)</f>
        <v>0</v>
      </c>
      <c r="F454" s="2126"/>
      <c r="G454" s="2126"/>
      <c r="H454" s="2126"/>
      <c r="I454" s="2126"/>
      <c r="J454" s="2118" t="s">
        <v>854</v>
      </c>
    </row>
    <row r="455" spans="1:10">
      <c r="A455" s="2092">
        <f>IF(未审附注之非流动资产!A455="",0,未审附注之非流动资产!A455)</f>
        <v>0</v>
      </c>
      <c r="B455" s="2092">
        <f>IF(未审附注之非流动资产!B455="",0,未审附注之非流动资产!B455)</f>
        <v>0</v>
      </c>
      <c r="C455" s="2092">
        <f>IF(未审附注之非流动资产!C455="",0,未审附注之非流动资产!C455)</f>
        <v>0</v>
      </c>
      <c r="D455" s="2142">
        <f>IF(未审附注之非流动资产!D455="",0,未审附注之非流动资产!D455)</f>
        <v>0</v>
      </c>
      <c r="E455" s="2092">
        <f>IF(未审附注之非流动资产!E455="",0,未审附注之非流动资产!E455)</f>
        <v>0</v>
      </c>
      <c r="F455" s="2126"/>
      <c r="G455" s="2126"/>
      <c r="H455" s="2126"/>
      <c r="I455" s="2126"/>
      <c r="J455" s="2118" t="s">
        <v>854</v>
      </c>
    </row>
    <row r="456" spans="1:10">
      <c r="A456" s="2092">
        <f>IF(未审附注之非流动资产!A456="",0,未审附注之非流动资产!A456)</f>
        <v>0</v>
      </c>
      <c r="B456" s="2092">
        <f>IF(未审附注之非流动资产!B456="",0,未审附注之非流动资产!B456)</f>
        <v>0</v>
      </c>
      <c r="C456" s="2092">
        <f>IF(未审附注之非流动资产!C456="",0,未审附注之非流动资产!C456)</f>
        <v>0</v>
      </c>
      <c r="D456" s="2142">
        <f>IF(未审附注之非流动资产!D456="",0,未审附注之非流动资产!D456)</f>
        <v>0</v>
      </c>
      <c r="E456" s="2092">
        <f>IF(未审附注之非流动资产!E456="",0,未审附注之非流动资产!E456)</f>
        <v>0</v>
      </c>
      <c r="F456" s="2126"/>
      <c r="G456" s="2126"/>
      <c r="H456" s="2126"/>
      <c r="I456" s="2126"/>
      <c r="J456" s="2118" t="s">
        <v>854</v>
      </c>
    </row>
    <row r="457" spans="1:10">
      <c r="A457" s="2092">
        <f>IF(未审附注之非流动资产!A457="",0,未审附注之非流动资产!A457)</f>
        <v>0</v>
      </c>
      <c r="B457" s="2092">
        <f>IF(未审附注之非流动资产!B457="",0,未审附注之非流动资产!B457)</f>
        <v>0</v>
      </c>
      <c r="C457" s="2092">
        <f>IF(未审附注之非流动资产!C457="",0,未审附注之非流动资产!C457)</f>
        <v>0</v>
      </c>
      <c r="D457" s="2142">
        <f>IF(未审附注之非流动资产!D457="",0,未审附注之非流动资产!D457)</f>
        <v>0</v>
      </c>
      <c r="E457" s="2092">
        <f>IF(未审附注之非流动资产!E457="",0,未审附注之非流动资产!E457)</f>
        <v>0</v>
      </c>
      <c r="F457" s="2126"/>
      <c r="G457" s="2126"/>
      <c r="H457" s="2126"/>
      <c r="I457" s="2126"/>
      <c r="J457" s="2118" t="s">
        <v>854</v>
      </c>
    </row>
    <row r="458" spans="1:10">
      <c r="A458" s="2092">
        <f>IF(未审附注之非流动资产!A458="",0,未审附注之非流动资产!A458)</f>
        <v>0</v>
      </c>
      <c r="B458" s="2092">
        <f>IF(未审附注之非流动资产!B458="",0,未审附注之非流动资产!B458)</f>
        <v>0</v>
      </c>
      <c r="C458" s="2092">
        <f>IF(未审附注之非流动资产!C458="",0,未审附注之非流动资产!C458)</f>
        <v>0</v>
      </c>
      <c r="D458" s="2142">
        <f>IF(未审附注之非流动资产!D458="",0,未审附注之非流动资产!D458)</f>
        <v>0</v>
      </c>
      <c r="E458" s="2092">
        <f>IF(未审附注之非流动资产!E458="",0,未审附注之非流动资产!E458)</f>
        <v>0</v>
      </c>
      <c r="F458" s="2126"/>
      <c r="G458" s="2126"/>
      <c r="H458" s="2126"/>
      <c r="I458" s="2126"/>
      <c r="J458" s="2118" t="s">
        <v>854</v>
      </c>
    </row>
    <row r="459" spans="1:10">
      <c r="A459" s="2092">
        <f>IF(未审附注之非流动资产!A459="",0,未审附注之非流动资产!A459)</f>
        <v>0</v>
      </c>
      <c r="B459" s="2092">
        <f>IF(未审附注之非流动资产!B459="",0,未审附注之非流动资产!B459)</f>
        <v>0</v>
      </c>
      <c r="C459" s="2092">
        <f>IF(未审附注之非流动资产!C459="",0,未审附注之非流动资产!C459)</f>
        <v>0</v>
      </c>
      <c r="D459" s="2142">
        <f>IF(未审附注之非流动资产!D459="",0,未审附注之非流动资产!D459)</f>
        <v>0</v>
      </c>
      <c r="E459" s="2092">
        <f>IF(未审附注之非流动资产!E459="",0,未审附注之非流动资产!E459)</f>
        <v>0</v>
      </c>
      <c r="F459" s="2126"/>
      <c r="G459" s="2126"/>
      <c r="H459" s="2126"/>
      <c r="I459" s="2126"/>
      <c r="J459" s="2118" t="s">
        <v>854</v>
      </c>
    </row>
    <row r="460" spans="1:10">
      <c r="A460" s="2092">
        <f>IF(未审附注之非流动资产!A460="",0,未审附注之非流动资产!A460)</f>
        <v>0</v>
      </c>
      <c r="B460" s="2092">
        <f>IF(未审附注之非流动资产!B460="",0,未审附注之非流动资产!B460)</f>
        <v>0</v>
      </c>
      <c r="C460" s="2092">
        <f>IF(未审附注之非流动资产!C460="",0,未审附注之非流动资产!C460)</f>
        <v>0</v>
      </c>
      <c r="D460" s="2142">
        <f>IF(未审附注之非流动资产!D460="",0,未审附注之非流动资产!D460)</f>
        <v>0</v>
      </c>
      <c r="E460" s="2092">
        <f>IF(未审附注之非流动资产!E460="",0,未审附注之非流动资产!E460)</f>
        <v>0</v>
      </c>
      <c r="F460" s="2126"/>
      <c r="G460" s="2126"/>
      <c r="H460" s="2126"/>
      <c r="I460" s="2126"/>
      <c r="J460" s="2118" t="s">
        <v>854</v>
      </c>
    </row>
    <row r="461" spans="1:9">
      <c r="A461" s="2143"/>
      <c r="B461" s="2126"/>
      <c r="C461" s="2126"/>
      <c r="D461" s="2126"/>
      <c r="E461" s="2126"/>
      <c r="F461" s="2126"/>
      <c r="G461" s="2126"/>
      <c r="H461" s="2126"/>
      <c r="I461" s="2126"/>
    </row>
    <row r="462" spans="1:9">
      <c r="A462" s="2127" t="s">
        <v>855</v>
      </c>
      <c r="B462" s="2126"/>
      <c r="C462" s="2126"/>
      <c r="D462" s="2126"/>
      <c r="E462" s="2126"/>
      <c r="F462" s="2126"/>
      <c r="G462" s="2126"/>
      <c r="H462" s="2126"/>
      <c r="I462" s="2126"/>
    </row>
    <row r="463" spans="1:9">
      <c r="A463" s="2082" t="s">
        <v>851</v>
      </c>
      <c r="B463" s="2082" t="s">
        <v>856</v>
      </c>
      <c r="C463" s="2082" t="s">
        <v>857</v>
      </c>
      <c r="D463" s="2082" t="s">
        <v>858</v>
      </c>
      <c r="E463" s="2082" t="s">
        <v>859</v>
      </c>
      <c r="F463" s="2082" t="s">
        <v>775</v>
      </c>
      <c r="G463" s="2099"/>
      <c r="H463" s="2099"/>
      <c r="I463" s="2099"/>
    </row>
    <row r="464" spans="1:10">
      <c r="A464" s="2084" t="s">
        <v>860</v>
      </c>
      <c r="B464" s="2085">
        <f>IF(未审附注之非流动资产!B464="",0,未审附注之非流动资产!B464)</f>
        <v>0</v>
      </c>
      <c r="C464" s="2111">
        <f>IF(未审附注之非流动资产!C464="",0,未审附注之非流动资产!C464)</f>
        <v>0</v>
      </c>
      <c r="D464" s="2144">
        <f>IF(未审附注之非流动资产!D464="",0,未审附注之非流动资产!D464)</f>
        <v>0</v>
      </c>
      <c r="E464" s="2085">
        <f>IF(未审附注之非流动资产!E464="",0,未审附注之非流动资产!E464)</f>
        <v>0</v>
      </c>
      <c r="F464" s="2085">
        <f>IF(未审附注之非流动资产!F464="",0,未审附注之非流动资产!F464)</f>
        <v>0</v>
      </c>
      <c r="G464" s="2099"/>
      <c r="H464" s="2099"/>
      <c r="I464" s="2099"/>
      <c r="J464" s="2135" t="s">
        <v>861</v>
      </c>
    </row>
    <row r="465" spans="1:10">
      <c r="A465" s="2084" t="s">
        <v>862</v>
      </c>
      <c r="B465" s="2085">
        <f>IF(未审附注之非流动资产!B465="",0,未审附注之非流动资产!B465)</f>
        <v>0</v>
      </c>
      <c r="C465" s="2111">
        <f>IF(未审附注之非流动资产!C465="",0,未审附注之非流动资产!C465)</f>
        <v>0</v>
      </c>
      <c r="D465" s="2144">
        <f>IF(未审附注之非流动资产!D465="",0,未审附注之非流动资产!D465)</f>
        <v>0</v>
      </c>
      <c r="E465" s="2085">
        <f>IF(未审附注之非流动资产!E465="",0,未审附注之非流动资产!E465)</f>
        <v>0</v>
      </c>
      <c r="F465" s="2085">
        <f>IF(未审附注之非流动资产!F465="",0,未审附注之非流动资产!F465)</f>
        <v>0</v>
      </c>
      <c r="G465" s="2099"/>
      <c r="H465" s="2099"/>
      <c r="I465" s="2099"/>
      <c r="J465" s="2135" t="s">
        <v>863</v>
      </c>
    </row>
    <row r="466" spans="1:10">
      <c r="A466" s="2084" t="s">
        <v>864</v>
      </c>
      <c r="B466" s="2085">
        <f>IF(未审附注之非流动资产!B466="",0,未审附注之非流动资产!B466)</f>
        <v>0</v>
      </c>
      <c r="C466" s="2111">
        <f>IF(未审附注之非流动资产!C466="",0,未审附注之非流动资产!C466)</f>
        <v>0</v>
      </c>
      <c r="D466" s="2144">
        <f>IF(未审附注之非流动资产!D466="",0,未审附注之非流动资产!D466)</f>
        <v>0</v>
      </c>
      <c r="E466" s="2085">
        <f>IF(未审附注之非流动资产!E466="",0,未审附注之非流动资产!E466)</f>
        <v>0</v>
      </c>
      <c r="F466" s="2085">
        <f>IF(未审附注之非流动资产!F466="",0,未审附注之非流动资产!F466)</f>
        <v>0</v>
      </c>
      <c r="G466" s="2099"/>
      <c r="H466" s="2099"/>
      <c r="I466" s="2099"/>
      <c r="J466" s="2135" t="s">
        <v>865</v>
      </c>
    </row>
    <row r="467" spans="1:10">
      <c r="A467" s="2084" t="s">
        <v>866</v>
      </c>
      <c r="B467" s="2085">
        <f>IF(未审附注之非流动资产!B467="",0,未审附注之非流动资产!B467)</f>
        <v>0</v>
      </c>
      <c r="C467" s="2111">
        <f>IF(未审附注之非流动资产!C467="",0,未审附注之非流动资产!C467)</f>
        <v>0</v>
      </c>
      <c r="D467" s="2144">
        <f>IF(未审附注之非流动资产!D467="",0,未审附注之非流动资产!D467)</f>
        <v>0</v>
      </c>
      <c r="E467" s="2085">
        <f>IF(未审附注之非流动资产!E467="",0,未审附注之非流动资产!E467)</f>
        <v>0</v>
      </c>
      <c r="F467" s="2085">
        <f>IF(未审附注之非流动资产!F467="",0,未审附注之非流动资产!F467)</f>
        <v>0</v>
      </c>
      <c r="G467" s="2099"/>
      <c r="H467" s="2099"/>
      <c r="I467" s="2099"/>
      <c r="J467" s="2135" t="s">
        <v>867</v>
      </c>
    </row>
    <row r="468" spans="1:9">
      <c r="A468" s="2143"/>
      <c r="B468" s="2126"/>
      <c r="C468" s="2126"/>
      <c r="D468" s="2126"/>
      <c r="E468" s="2126"/>
      <c r="F468" s="2126"/>
      <c r="G468" s="2099"/>
      <c r="H468" s="2099"/>
      <c r="I468" s="2099"/>
    </row>
    <row r="469" spans="1:9">
      <c r="A469" s="2127" t="s">
        <v>868</v>
      </c>
      <c r="B469" s="2126"/>
      <c r="C469" s="2126"/>
      <c r="D469" s="2126"/>
      <c r="E469" s="2126"/>
      <c r="F469" s="2126"/>
      <c r="G469" s="2099"/>
      <c r="H469" s="2099"/>
      <c r="I469" s="2099"/>
    </row>
    <row r="470" spans="1:9">
      <c r="A470" s="2082" t="s">
        <v>850</v>
      </c>
      <c r="B470" s="2082" t="s">
        <v>851</v>
      </c>
      <c r="C470" s="2082" t="s">
        <v>869</v>
      </c>
      <c r="D470" s="2082" t="s">
        <v>870</v>
      </c>
      <c r="E470" s="2082" t="s">
        <v>871</v>
      </c>
      <c r="F470" s="2126"/>
      <c r="G470" s="2099"/>
      <c r="H470" s="2099"/>
      <c r="I470" s="2099"/>
    </row>
    <row r="471" spans="1:10">
      <c r="A471" s="2092">
        <f>IF(未审附注之非流动资产!A471="",0,未审附注之非流动资产!A471)</f>
        <v>0</v>
      </c>
      <c r="B471" s="2092">
        <f>IF(未审附注之非流动资产!B471="",0,未审附注之非流动资产!B471)</f>
        <v>0</v>
      </c>
      <c r="C471" s="2085">
        <f>IF(未审附注之非流动资产!C471="",0,未审附注之非流动资产!C471)</f>
        <v>0</v>
      </c>
      <c r="D471" s="2092">
        <f>IF(未审附注之非流动资产!D471="",0,未审附注之非流动资产!D471)</f>
        <v>0</v>
      </c>
      <c r="E471" s="2092">
        <f>IF(未审附注之非流动资产!E471="",0,未审附注之非流动资产!E471)</f>
        <v>0</v>
      </c>
      <c r="F471" s="2126"/>
      <c r="G471" s="2099"/>
      <c r="H471" s="2099"/>
      <c r="I471" s="2099"/>
      <c r="J471" s="2135" t="s">
        <v>872</v>
      </c>
    </row>
    <row r="472" spans="1:10">
      <c r="A472" s="2092">
        <f>IF(未审附注之非流动资产!A472="",0,未审附注之非流动资产!A472)</f>
        <v>0</v>
      </c>
      <c r="B472" s="2092">
        <f>IF(未审附注之非流动资产!B472="",0,未审附注之非流动资产!B472)</f>
        <v>0</v>
      </c>
      <c r="C472" s="2085">
        <f>IF(未审附注之非流动资产!C472="",0,未审附注之非流动资产!C472)</f>
        <v>0</v>
      </c>
      <c r="D472" s="2092">
        <f>IF(未审附注之非流动资产!D472="",0,未审附注之非流动资产!D472)</f>
        <v>0</v>
      </c>
      <c r="E472" s="2092">
        <f>IF(未审附注之非流动资产!E472="",0,未审附注之非流动资产!E472)</f>
        <v>0</v>
      </c>
      <c r="F472" s="2126"/>
      <c r="G472" s="2099"/>
      <c r="H472" s="2099"/>
      <c r="I472" s="2099"/>
      <c r="J472" s="2135" t="s">
        <v>872</v>
      </c>
    </row>
    <row r="473" spans="1:10">
      <c r="A473" s="2092">
        <f>IF(未审附注之非流动资产!A473="",0,未审附注之非流动资产!A473)</f>
        <v>0</v>
      </c>
      <c r="B473" s="2092">
        <f>IF(未审附注之非流动资产!B473="",0,未审附注之非流动资产!B473)</f>
        <v>0</v>
      </c>
      <c r="C473" s="2085">
        <f>IF(未审附注之非流动资产!C473="",0,未审附注之非流动资产!C473)</f>
        <v>0</v>
      </c>
      <c r="D473" s="2092">
        <f>IF(未审附注之非流动资产!D473="",0,未审附注之非流动资产!D473)</f>
        <v>0</v>
      </c>
      <c r="E473" s="2092">
        <f>IF(未审附注之非流动资产!E473="",0,未审附注之非流动资产!E473)</f>
        <v>0</v>
      </c>
      <c r="F473" s="2126"/>
      <c r="G473" s="2099"/>
      <c r="H473" s="2099"/>
      <c r="I473" s="2099"/>
      <c r="J473" s="2135" t="s">
        <v>872</v>
      </c>
    </row>
    <row r="474" spans="1:10">
      <c r="A474" s="2092">
        <f>IF(未审附注之非流动资产!A474="",0,未审附注之非流动资产!A474)</f>
        <v>0</v>
      </c>
      <c r="B474" s="2092">
        <f>IF(未审附注之非流动资产!B474="",0,未审附注之非流动资产!B474)</f>
        <v>0</v>
      </c>
      <c r="C474" s="2085">
        <f>IF(未审附注之非流动资产!C474="",0,未审附注之非流动资产!C474)</f>
        <v>0</v>
      </c>
      <c r="D474" s="2092">
        <f>IF(未审附注之非流动资产!D474="",0,未审附注之非流动资产!D474)</f>
        <v>0</v>
      </c>
      <c r="E474" s="2092">
        <f>IF(未审附注之非流动资产!E474="",0,未审附注之非流动资产!E474)</f>
        <v>0</v>
      </c>
      <c r="F474" s="2126"/>
      <c r="G474" s="2126"/>
      <c r="H474" s="2126"/>
      <c r="I474" s="2126"/>
      <c r="J474" s="2135" t="s">
        <v>872</v>
      </c>
    </row>
    <row r="475" spans="1:10">
      <c r="A475" s="2092">
        <f>IF(未审附注之非流动资产!A475="",0,未审附注之非流动资产!A475)</f>
        <v>0</v>
      </c>
      <c r="B475" s="2092">
        <f>IF(未审附注之非流动资产!B475="",0,未审附注之非流动资产!B475)</f>
        <v>0</v>
      </c>
      <c r="C475" s="2085">
        <f>IF(未审附注之非流动资产!C475="",0,未审附注之非流动资产!C475)</f>
        <v>0</v>
      </c>
      <c r="D475" s="2092">
        <f>IF(未审附注之非流动资产!D475="",0,未审附注之非流动资产!D475)</f>
        <v>0</v>
      </c>
      <c r="E475" s="2092">
        <f>IF(未审附注之非流动资产!E475="",0,未审附注之非流动资产!E475)</f>
        <v>0</v>
      </c>
      <c r="F475" s="2126"/>
      <c r="G475" s="2126"/>
      <c r="H475" s="2126"/>
      <c r="I475" s="2126"/>
      <c r="J475" s="2135" t="s">
        <v>872</v>
      </c>
    </row>
    <row r="476" spans="1:10">
      <c r="A476" s="2092">
        <f>IF(未审附注之非流动资产!A476="",0,未审附注之非流动资产!A476)</f>
        <v>0</v>
      </c>
      <c r="B476" s="2092">
        <f>IF(未审附注之非流动资产!B476="",0,未审附注之非流动资产!B476)</f>
        <v>0</v>
      </c>
      <c r="C476" s="2085">
        <f>IF(未审附注之非流动资产!C476="",0,未审附注之非流动资产!C476)</f>
        <v>0</v>
      </c>
      <c r="D476" s="2092">
        <f>IF(未审附注之非流动资产!D476="",0,未审附注之非流动资产!D476)</f>
        <v>0</v>
      </c>
      <c r="E476" s="2092">
        <f>IF(未审附注之非流动资产!E476="",0,未审附注之非流动资产!E476)</f>
        <v>0</v>
      </c>
      <c r="F476" s="2126"/>
      <c r="G476" s="2126"/>
      <c r="H476" s="2126"/>
      <c r="I476" s="2126"/>
      <c r="J476" s="2135" t="s">
        <v>872</v>
      </c>
    </row>
    <row r="477" spans="1:10">
      <c r="A477" s="2092">
        <f>IF(未审附注之非流动资产!A477="",0,未审附注之非流动资产!A477)</f>
        <v>0</v>
      </c>
      <c r="B477" s="2092">
        <f>IF(未审附注之非流动资产!B477="",0,未审附注之非流动资产!B477)</f>
        <v>0</v>
      </c>
      <c r="C477" s="2085">
        <f>IF(未审附注之非流动资产!C477="",0,未审附注之非流动资产!C477)</f>
        <v>0</v>
      </c>
      <c r="D477" s="2092">
        <f>IF(未审附注之非流动资产!D477="",0,未审附注之非流动资产!D477)</f>
        <v>0</v>
      </c>
      <c r="E477" s="2092">
        <f>IF(未审附注之非流动资产!E477="",0,未审附注之非流动资产!E477)</f>
        <v>0</v>
      </c>
      <c r="F477" s="2126"/>
      <c r="G477" s="2126"/>
      <c r="H477" s="2126"/>
      <c r="I477" s="2126"/>
      <c r="J477" s="2135" t="s">
        <v>872</v>
      </c>
    </row>
    <row r="478" spans="1:10">
      <c r="A478" s="2092">
        <f>IF(未审附注之非流动资产!A478="",0,未审附注之非流动资产!A478)</f>
        <v>0</v>
      </c>
      <c r="B478" s="2092">
        <f>IF(未审附注之非流动资产!B478="",0,未审附注之非流动资产!B478)</f>
        <v>0</v>
      </c>
      <c r="C478" s="2085">
        <f>IF(未审附注之非流动资产!C478="",0,未审附注之非流动资产!C478)</f>
        <v>0</v>
      </c>
      <c r="D478" s="2092">
        <f>IF(未审附注之非流动资产!D478="",0,未审附注之非流动资产!D478)</f>
        <v>0</v>
      </c>
      <c r="E478" s="2092">
        <f>IF(未审附注之非流动资产!E478="",0,未审附注之非流动资产!E478)</f>
        <v>0</v>
      </c>
      <c r="F478" s="2126"/>
      <c r="G478" s="2126"/>
      <c r="H478" s="2126"/>
      <c r="I478" s="2126"/>
      <c r="J478" s="2135" t="s">
        <v>872</v>
      </c>
    </row>
    <row r="479" spans="1:10">
      <c r="A479" s="2092">
        <f>IF(未审附注之非流动资产!A479="",0,未审附注之非流动资产!A479)</f>
        <v>0</v>
      </c>
      <c r="B479" s="2092">
        <f>IF(未审附注之非流动资产!B479="",0,未审附注之非流动资产!B479)</f>
        <v>0</v>
      </c>
      <c r="C479" s="2085">
        <f>IF(未审附注之非流动资产!C479="",0,未审附注之非流动资产!C479)</f>
        <v>0</v>
      </c>
      <c r="D479" s="2092">
        <f>IF(未审附注之非流动资产!D479="",0,未审附注之非流动资产!D479)</f>
        <v>0</v>
      </c>
      <c r="E479" s="2092">
        <f>IF(未审附注之非流动资产!E479="",0,未审附注之非流动资产!E479)</f>
        <v>0</v>
      </c>
      <c r="F479" s="2126"/>
      <c r="G479" s="2126"/>
      <c r="H479" s="2126"/>
      <c r="I479" s="2126"/>
      <c r="J479" s="2135" t="s">
        <v>872</v>
      </c>
    </row>
    <row r="480" spans="1:10">
      <c r="A480" s="2092">
        <f>IF(未审附注之非流动资产!A480="",0,未审附注之非流动资产!A480)</f>
        <v>0</v>
      </c>
      <c r="B480" s="2092">
        <f>IF(未审附注之非流动资产!B480="",0,未审附注之非流动资产!B480)</f>
        <v>0</v>
      </c>
      <c r="C480" s="2085">
        <f>IF(未审附注之非流动资产!C480="",0,未审附注之非流动资产!C480)</f>
        <v>0</v>
      </c>
      <c r="D480" s="2092">
        <f>IF(未审附注之非流动资产!D480="",0,未审附注之非流动资产!D480)</f>
        <v>0</v>
      </c>
      <c r="E480" s="2092">
        <f>IF(未审附注之非流动资产!E480="",0,未审附注之非流动资产!E480)</f>
        <v>0</v>
      </c>
      <c r="F480" s="2126"/>
      <c r="G480" s="2126"/>
      <c r="H480" s="2126"/>
      <c r="I480" s="2126"/>
      <c r="J480" s="2135" t="s">
        <v>872</v>
      </c>
    </row>
    <row r="481" spans="1:10">
      <c r="A481" s="2082" t="s">
        <v>384</v>
      </c>
      <c r="B481" s="2048"/>
      <c r="C481" s="2048">
        <f>ROUND(SUM(C471:C480),2)</f>
        <v>0</v>
      </c>
      <c r="D481" s="2048"/>
      <c r="E481" s="2048"/>
      <c r="F481" s="2126"/>
      <c r="G481" s="2126"/>
      <c r="H481" s="2126"/>
      <c r="I481" s="2126"/>
      <c r="J481" s="2135" t="s">
        <v>872</v>
      </c>
    </row>
    <row r="482" spans="1:9">
      <c r="A482" s="2143"/>
      <c r="B482" s="2126"/>
      <c r="C482" s="2126"/>
      <c r="D482" s="2126"/>
      <c r="E482" s="2126"/>
      <c r="F482" s="2126"/>
      <c r="G482" s="2126"/>
      <c r="H482" s="2126"/>
      <c r="I482" s="2126"/>
    </row>
    <row r="483" spans="1:9">
      <c r="A483" s="2143"/>
      <c r="B483" s="2126"/>
      <c r="C483" s="2126"/>
      <c r="D483" s="2126"/>
      <c r="E483" s="2126"/>
      <c r="F483" s="2126"/>
      <c r="G483" s="2126"/>
      <c r="H483" s="2126"/>
      <c r="I483" s="2126"/>
    </row>
    <row r="484" spans="1:9">
      <c r="A484" s="2125" t="s">
        <v>873</v>
      </c>
      <c r="B484" s="2126"/>
      <c r="C484" s="2126"/>
      <c r="D484" s="2126"/>
      <c r="E484" s="2126"/>
      <c r="F484" s="2126"/>
      <c r="G484" s="2126"/>
      <c r="H484" s="2126"/>
      <c r="I484" s="2126"/>
    </row>
    <row r="485" spans="1:9">
      <c r="A485" s="2127" t="s">
        <v>874</v>
      </c>
      <c r="B485" s="2126"/>
      <c r="C485" s="2126"/>
      <c r="D485" s="2126"/>
      <c r="E485" s="2126"/>
      <c r="F485" s="2126"/>
      <c r="G485" s="2126"/>
      <c r="H485" s="2126"/>
      <c r="I485" s="2126"/>
    </row>
    <row r="486" spans="1:9">
      <c r="A486" s="2082" t="s">
        <v>875</v>
      </c>
      <c r="B486" s="2082" t="s">
        <v>876</v>
      </c>
      <c r="C486" s="2082" t="s">
        <v>877</v>
      </c>
      <c r="D486" s="2082" t="s">
        <v>878</v>
      </c>
      <c r="E486" s="2082" t="s">
        <v>879</v>
      </c>
      <c r="F486" s="2126"/>
      <c r="G486" s="2126"/>
      <c r="H486" s="2126"/>
      <c r="I486" s="2126"/>
    </row>
    <row r="487" spans="1:10">
      <c r="A487" s="2092">
        <f>IF(未审附注之非流动资产!A487="",0,未审附注之非流动资产!A487)</f>
        <v>0</v>
      </c>
      <c r="B487" s="2113">
        <f>IF(未审附注之非流动资产!B487="",0,未审附注之非流动资产!B487)</f>
        <v>0</v>
      </c>
      <c r="C487" s="2085">
        <f>IF(未审附注之非流动资产!C487="",0,未审附注之非流动资产!C487)</f>
        <v>0</v>
      </c>
      <c r="D487" s="2085">
        <f>IF(未审附注之非流动资产!D487="",0,未审附注之非流动资产!D487)</f>
        <v>0</v>
      </c>
      <c r="E487" s="2085">
        <f>IF(未审附注之非流动资产!E487="",0,未审附注之非流动资产!E487)</f>
        <v>0</v>
      </c>
      <c r="F487" s="2126"/>
      <c r="G487" s="2126"/>
      <c r="H487" s="2126"/>
      <c r="I487" s="2126"/>
      <c r="J487" s="2135" t="s">
        <v>880</v>
      </c>
    </row>
    <row r="488" spans="1:10">
      <c r="A488" s="2092">
        <f>IF(未审附注之非流动资产!A488="",0,未审附注之非流动资产!A488)</f>
        <v>0</v>
      </c>
      <c r="B488" s="2113">
        <f>IF(未审附注之非流动资产!B488="",0,未审附注之非流动资产!B488)</f>
        <v>0</v>
      </c>
      <c r="C488" s="2085">
        <f>IF(未审附注之非流动资产!C488="",0,未审附注之非流动资产!C488)</f>
        <v>0</v>
      </c>
      <c r="D488" s="2085">
        <f>IF(未审附注之非流动资产!D488="",0,未审附注之非流动资产!D488)</f>
        <v>0</v>
      </c>
      <c r="E488" s="2085">
        <f>IF(未审附注之非流动资产!E488="",0,未审附注之非流动资产!E488)</f>
        <v>0</v>
      </c>
      <c r="F488" s="2126"/>
      <c r="G488" s="2126"/>
      <c r="H488" s="2126"/>
      <c r="I488" s="2126"/>
      <c r="J488" s="2135" t="s">
        <v>880</v>
      </c>
    </row>
    <row r="489" spans="1:10">
      <c r="A489" s="2092">
        <f>IF(未审附注之非流动资产!A489="",0,未审附注之非流动资产!A489)</f>
        <v>0</v>
      </c>
      <c r="B489" s="2113">
        <f>IF(未审附注之非流动资产!B489="",0,未审附注之非流动资产!B489)</f>
        <v>0</v>
      </c>
      <c r="C489" s="2085">
        <f>IF(未审附注之非流动资产!C489="",0,未审附注之非流动资产!C489)</f>
        <v>0</v>
      </c>
      <c r="D489" s="2085">
        <f>IF(未审附注之非流动资产!D489="",0,未审附注之非流动资产!D489)</f>
        <v>0</v>
      </c>
      <c r="E489" s="2085">
        <f>IF(未审附注之非流动资产!E489="",0,未审附注之非流动资产!E489)</f>
        <v>0</v>
      </c>
      <c r="F489" s="2126"/>
      <c r="G489" s="2126"/>
      <c r="H489" s="2126"/>
      <c r="I489" s="2126"/>
      <c r="J489" s="2135" t="s">
        <v>880</v>
      </c>
    </row>
    <row r="490" spans="1:10">
      <c r="A490" s="2092">
        <f>IF(未审附注之非流动资产!A490="",0,未审附注之非流动资产!A490)</f>
        <v>0</v>
      </c>
      <c r="B490" s="2113">
        <f>IF(未审附注之非流动资产!B490="",0,未审附注之非流动资产!B490)</f>
        <v>0</v>
      </c>
      <c r="C490" s="2085">
        <f>IF(未审附注之非流动资产!C490="",0,未审附注之非流动资产!C490)</f>
        <v>0</v>
      </c>
      <c r="D490" s="2085">
        <f>IF(未审附注之非流动资产!D490="",0,未审附注之非流动资产!D490)</f>
        <v>0</v>
      </c>
      <c r="E490" s="2085">
        <f>IF(未审附注之非流动资产!E490="",0,未审附注之非流动资产!E490)</f>
        <v>0</v>
      </c>
      <c r="F490" s="2126"/>
      <c r="G490" s="2126"/>
      <c r="H490" s="2126"/>
      <c r="I490" s="2126"/>
      <c r="J490" s="2135" t="s">
        <v>880</v>
      </c>
    </row>
    <row r="491" spans="1:10">
      <c r="A491" s="2092">
        <f>IF(未审附注之非流动资产!A491="",0,未审附注之非流动资产!A491)</f>
        <v>0</v>
      </c>
      <c r="B491" s="2113">
        <f>IF(未审附注之非流动资产!B491="",0,未审附注之非流动资产!B491)</f>
        <v>0</v>
      </c>
      <c r="C491" s="2085">
        <f>IF(未审附注之非流动资产!C491="",0,未审附注之非流动资产!C491)</f>
        <v>0</v>
      </c>
      <c r="D491" s="2085">
        <f>IF(未审附注之非流动资产!D491="",0,未审附注之非流动资产!D491)</f>
        <v>0</v>
      </c>
      <c r="E491" s="2085">
        <f>IF(未审附注之非流动资产!E491="",0,未审附注之非流动资产!E491)</f>
        <v>0</v>
      </c>
      <c r="F491" s="2126"/>
      <c r="G491" s="2126"/>
      <c r="H491" s="2126"/>
      <c r="I491" s="2126"/>
      <c r="J491" s="2135" t="s">
        <v>880</v>
      </c>
    </row>
    <row r="492" spans="1:10">
      <c r="A492" s="2092">
        <f>IF(未审附注之非流动资产!A492="",0,未审附注之非流动资产!A492)</f>
        <v>0</v>
      </c>
      <c r="B492" s="2113">
        <f>IF(未审附注之非流动资产!B492="",0,未审附注之非流动资产!B492)</f>
        <v>0</v>
      </c>
      <c r="C492" s="2085">
        <f>IF(未审附注之非流动资产!C492="",0,未审附注之非流动资产!C492)</f>
        <v>0</v>
      </c>
      <c r="D492" s="2085">
        <f>IF(未审附注之非流动资产!D492="",0,未审附注之非流动资产!D492)</f>
        <v>0</v>
      </c>
      <c r="E492" s="2085">
        <f>IF(未审附注之非流动资产!E492="",0,未审附注之非流动资产!E492)</f>
        <v>0</v>
      </c>
      <c r="F492" s="2126"/>
      <c r="G492" s="2126"/>
      <c r="H492" s="2126"/>
      <c r="I492" s="2126"/>
      <c r="J492" s="2135" t="s">
        <v>880</v>
      </c>
    </row>
    <row r="493" spans="1:10">
      <c r="A493" s="2092">
        <f>IF(未审附注之非流动资产!A493="",0,未审附注之非流动资产!A493)</f>
        <v>0</v>
      </c>
      <c r="B493" s="2113">
        <f>IF(未审附注之非流动资产!B493="",0,未审附注之非流动资产!B493)</f>
        <v>0</v>
      </c>
      <c r="C493" s="2085">
        <f>IF(未审附注之非流动资产!C493="",0,未审附注之非流动资产!C493)</f>
        <v>0</v>
      </c>
      <c r="D493" s="2085">
        <f>IF(未审附注之非流动资产!D493="",0,未审附注之非流动资产!D493)</f>
        <v>0</v>
      </c>
      <c r="E493" s="2085">
        <f>IF(未审附注之非流动资产!E493="",0,未审附注之非流动资产!E493)</f>
        <v>0</v>
      </c>
      <c r="F493" s="2126"/>
      <c r="G493" s="2126"/>
      <c r="H493" s="2126"/>
      <c r="I493" s="2126"/>
      <c r="J493" s="2135" t="s">
        <v>880</v>
      </c>
    </row>
    <row r="494" spans="1:10">
      <c r="A494" s="2092">
        <f>IF(未审附注之非流动资产!A494="",0,未审附注之非流动资产!A494)</f>
        <v>0</v>
      </c>
      <c r="B494" s="2113">
        <f>IF(未审附注之非流动资产!B494="",0,未审附注之非流动资产!B494)</f>
        <v>0</v>
      </c>
      <c r="C494" s="2085">
        <f>IF(未审附注之非流动资产!C494="",0,未审附注之非流动资产!C494)</f>
        <v>0</v>
      </c>
      <c r="D494" s="2085">
        <f>IF(未审附注之非流动资产!D494="",0,未审附注之非流动资产!D494)</f>
        <v>0</v>
      </c>
      <c r="E494" s="2085">
        <f>IF(未审附注之非流动资产!E494="",0,未审附注之非流动资产!E494)</f>
        <v>0</v>
      </c>
      <c r="F494" s="2126"/>
      <c r="G494" s="2126"/>
      <c r="H494" s="2126"/>
      <c r="I494" s="2126"/>
      <c r="J494" s="2135" t="s">
        <v>880</v>
      </c>
    </row>
    <row r="495" spans="1:10">
      <c r="A495" s="2092">
        <f>IF(未审附注之非流动资产!A495="",0,未审附注之非流动资产!A495)</f>
        <v>0</v>
      </c>
      <c r="B495" s="2113">
        <f>IF(未审附注之非流动资产!B495="",0,未审附注之非流动资产!B495)</f>
        <v>0</v>
      </c>
      <c r="C495" s="2085">
        <f>IF(未审附注之非流动资产!C495="",0,未审附注之非流动资产!C495)</f>
        <v>0</v>
      </c>
      <c r="D495" s="2085">
        <f>IF(未审附注之非流动资产!D495="",0,未审附注之非流动资产!D495)</f>
        <v>0</v>
      </c>
      <c r="E495" s="2085">
        <f>IF(未审附注之非流动资产!E495="",0,未审附注之非流动资产!E495)</f>
        <v>0</v>
      </c>
      <c r="F495" s="2126"/>
      <c r="G495" s="2126"/>
      <c r="H495" s="2126"/>
      <c r="I495" s="2126"/>
      <c r="J495" s="2135" t="s">
        <v>880</v>
      </c>
    </row>
    <row r="496" spans="1:10">
      <c r="A496" s="2092">
        <f>IF(未审附注之非流动资产!A496="",0,未审附注之非流动资产!A496)</f>
        <v>0</v>
      </c>
      <c r="B496" s="2113">
        <f>IF(未审附注之非流动资产!B496="",0,未审附注之非流动资产!B496)</f>
        <v>0</v>
      </c>
      <c r="C496" s="2085">
        <f>IF(未审附注之非流动资产!C496="",0,未审附注之非流动资产!C496)</f>
        <v>0</v>
      </c>
      <c r="D496" s="2085">
        <f>IF(未审附注之非流动资产!D496="",0,未审附注之非流动资产!D496)</f>
        <v>0</v>
      </c>
      <c r="E496" s="2085">
        <f>IF(未审附注之非流动资产!E496="",0,未审附注之非流动资产!E496)</f>
        <v>0</v>
      </c>
      <c r="F496" s="2126"/>
      <c r="G496" s="2126"/>
      <c r="H496" s="2126"/>
      <c r="I496" s="2126"/>
      <c r="J496" s="2135" t="s">
        <v>880</v>
      </c>
    </row>
    <row r="497" spans="1:10">
      <c r="A497" s="2082" t="s">
        <v>384</v>
      </c>
      <c r="B497" s="2048"/>
      <c r="C497" s="2048">
        <f>ROUND(SUM(C487:C496),2)</f>
        <v>0</v>
      </c>
      <c r="D497" s="2048">
        <f>ROUND(SUM(D487:D496),2)</f>
        <v>0</v>
      </c>
      <c r="E497" s="2048">
        <f>ROUND(SUM(E487:E496),2)</f>
        <v>0</v>
      </c>
      <c r="F497" s="2126"/>
      <c r="G497" s="2126"/>
      <c r="H497" s="2126"/>
      <c r="I497" s="2126"/>
      <c r="J497" s="2135" t="s">
        <v>880</v>
      </c>
    </row>
    <row r="498" spans="1:9">
      <c r="A498" s="2127"/>
      <c r="B498" s="2126"/>
      <c r="C498" s="2126"/>
      <c r="D498" s="2126"/>
      <c r="E498" s="2126"/>
      <c r="F498" s="2126"/>
      <c r="G498" s="2126"/>
      <c r="H498" s="2126"/>
      <c r="I498" s="2126"/>
    </row>
    <row r="499" spans="1:9">
      <c r="A499" s="2127" t="s">
        <v>881</v>
      </c>
      <c r="B499" s="2126"/>
      <c r="C499" s="2126"/>
      <c r="D499" s="2126"/>
      <c r="E499" s="2126"/>
      <c r="F499" s="2126"/>
      <c r="G499" s="2126"/>
      <c r="H499" s="2126"/>
      <c r="I499" s="2126"/>
    </row>
    <row r="500" spans="1:9">
      <c r="A500" s="2082" t="s">
        <v>372</v>
      </c>
      <c r="B500" s="2082" t="s">
        <v>316</v>
      </c>
      <c r="C500" s="2082" t="s">
        <v>581</v>
      </c>
      <c r="D500" s="2082" t="s">
        <v>582</v>
      </c>
      <c r="E500" s="2082" t="s">
        <v>315</v>
      </c>
      <c r="F500" s="2126"/>
      <c r="G500" s="2126"/>
      <c r="H500" s="2126"/>
      <c r="I500" s="2126"/>
    </row>
    <row r="501" spans="1:10">
      <c r="A501" s="2129" t="s">
        <v>714</v>
      </c>
      <c r="B501" s="2048">
        <f>ROUND(SUM(B502:B504),2)</f>
        <v>0</v>
      </c>
      <c r="C501" s="2048">
        <f>ROUND(SUM(C502:C504),2)</f>
        <v>0</v>
      </c>
      <c r="D501" s="2048">
        <f>ROUND(SUM(D502:D504),2)</f>
        <v>0</v>
      </c>
      <c r="E501" s="2048">
        <f>ROUND(SUM(E502:E504),2)</f>
        <v>0</v>
      </c>
      <c r="F501" s="2126"/>
      <c r="G501" s="2126"/>
      <c r="H501" s="2126"/>
      <c r="I501" s="2126"/>
      <c r="J501" s="2135" t="s">
        <v>882</v>
      </c>
    </row>
    <row r="502" spans="1:10">
      <c r="A502" s="2137" t="s">
        <v>883</v>
      </c>
      <c r="B502" s="2085">
        <f>IF(未审附注之非流动资产!B502="",0,未审附注之非流动资产!B502)</f>
        <v>0</v>
      </c>
      <c r="C502" s="2085">
        <f>IF(未审附注之非流动资产!C502="",0,未审附注之非流动资产!C502)</f>
        <v>0</v>
      </c>
      <c r="D502" s="2085">
        <f>IF(未审附注之非流动资产!D502="",0,未审附注之非流动资产!D502)</f>
        <v>0</v>
      </c>
      <c r="E502" s="2048">
        <f>ROUND(B502+C502-D502,2)</f>
        <v>0</v>
      </c>
      <c r="F502" s="2126"/>
      <c r="G502" s="2126"/>
      <c r="H502" s="2126"/>
      <c r="I502" s="2126"/>
      <c r="J502" s="2135" t="s">
        <v>884</v>
      </c>
    </row>
    <row r="503" spans="1:10">
      <c r="A503" s="2137" t="s">
        <v>885</v>
      </c>
      <c r="B503" s="2085">
        <f>IF(未审附注之非流动资产!B503="",0,未审附注之非流动资产!B503)</f>
        <v>0</v>
      </c>
      <c r="C503" s="2085">
        <f>IF(未审附注之非流动资产!C503="",0,未审附注之非流动资产!C503)</f>
        <v>0</v>
      </c>
      <c r="D503" s="2085">
        <f>IF(未审附注之非流动资产!D503="",0,未审附注之非流动资产!D503)</f>
        <v>0</v>
      </c>
      <c r="E503" s="2048">
        <f>ROUND(B503+C503-D503,2)</f>
        <v>0</v>
      </c>
      <c r="F503" s="2126"/>
      <c r="G503" s="2126"/>
      <c r="H503" s="2126"/>
      <c r="I503" s="2126"/>
      <c r="J503" s="2135" t="s">
        <v>886</v>
      </c>
    </row>
    <row r="504" spans="1:10">
      <c r="A504" s="2137" t="s">
        <v>887</v>
      </c>
      <c r="B504" s="2085">
        <f>IF(未审附注之非流动资产!B504="",0,未审附注之非流动资产!B504)</f>
        <v>0</v>
      </c>
      <c r="C504" s="2085">
        <f>IF(未审附注之非流动资产!C504="",0,未审附注之非流动资产!C504)</f>
        <v>0</v>
      </c>
      <c r="D504" s="2085">
        <f>IF(未审附注之非流动资产!D504="",0,未审附注之非流动资产!D504)</f>
        <v>0</v>
      </c>
      <c r="E504" s="2048">
        <f>ROUND(B504+C504-D504,2)</f>
        <v>0</v>
      </c>
      <c r="F504" s="2126"/>
      <c r="G504" s="2126"/>
      <c r="H504" s="2126"/>
      <c r="I504" s="2126"/>
      <c r="J504" s="2135" t="s">
        <v>888</v>
      </c>
    </row>
    <row r="505" spans="1:9">
      <c r="A505" s="2137"/>
      <c r="B505" s="2083"/>
      <c r="C505" s="2083"/>
      <c r="D505" s="2083"/>
      <c r="E505" s="2083"/>
      <c r="F505" s="2126"/>
      <c r="G505" s="2126"/>
      <c r="H505" s="2126"/>
      <c r="I505" s="2126"/>
    </row>
    <row r="506" spans="1:10">
      <c r="A506" s="2129" t="s">
        <v>889</v>
      </c>
      <c r="B506" s="2048">
        <f>ROUND(SUM(B507:B509),2)</f>
        <v>0</v>
      </c>
      <c r="C506" s="2048">
        <f>ROUND(SUM(C507:C509),2)</f>
        <v>0</v>
      </c>
      <c r="D506" s="2048">
        <f>ROUND(SUM(D507:D509),2)</f>
        <v>0</v>
      </c>
      <c r="E506" s="2048">
        <f>ROUND(SUM(E507:E509),2)</f>
        <v>0</v>
      </c>
      <c r="F506" s="2126"/>
      <c r="G506" s="2126"/>
      <c r="H506" s="2126"/>
      <c r="I506" s="2126"/>
      <c r="J506" s="2135" t="s">
        <v>890</v>
      </c>
    </row>
    <row r="507" spans="1:10">
      <c r="A507" s="2137" t="s">
        <v>883</v>
      </c>
      <c r="B507" s="2085">
        <f>IF(未审附注之非流动资产!B507="",0,未审附注之非流动资产!B507)</f>
        <v>0</v>
      </c>
      <c r="C507" s="2085">
        <f>IF(未审附注之非流动资产!C507="",0,未审附注之非流动资产!C507)</f>
        <v>0</v>
      </c>
      <c r="D507" s="2085">
        <f>IF(未审附注之非流动资产!D507="",0,未审附注之非流动资产!D507)</f>
        <v>0</v>
      </c>
      <c r="E507" s="2048">
        <f>ROUND(B507+C507-D507,2)</f>
        <v>0</v>
      </c>
      <c r="F507" s="2126"/>
      <c r="G507" s="2126"/>
      <c r="H507" s="2126"/>
      <c r="I507" s="2126"/>
      <c r="J507" s="2135" t="s">
        <v>891</v>
      </c>
    </row>
    <row r="508" spans="1:10">
      <c r="A508" s="2137" t="s">
        <v>885</v>
      </c>
      <c r="B508" s="2085">
        <f>IF(未审附注之非流动资产!B508="",0,未审附注之非流动资产!B508)</f>
        <v>0</v>
      </c>
      <c r="C508" s="2085">
        <f>IF(未审附注之非流动资产!C508="",0,未审附注之非流动资产!C508)</f>
        <v>0</v>
      </c>
      <c r="D508" s="2085">
        <f>IF(未审附注之非流动资产!D508="",0,未审附注之非流动资产!D508)</f>
        <v>0</v>
      </c>
      <c r="E508" s="2048">
        <f>ROUND(B508+C508-D508,2)</f>
        <v>0</v>
      </c>
      <c r="F508" s="2126"/>
      <c r="G508" s="2126"/>
      <c r="H508" s="2126"/>
      <c r="I508" s="2126"/>
      <c r="J508" s="2135" t="s">
        <v>892</v>
      </c>
    </row>
    <row r="509" spans="1:10">
      <c r="A509" s="2137" t="s">
        <v>887</v>
      </c>
      <c r="B509" s="2085">
        <f>IF(未审附注之非流动资产!B509="",0,未审附注之非流动资产!B509)</f>
        <v>0</v>
      </c>
      <c r="C509" s="2085">
        <f>IF(未审附注之非流动资产!C509="",0,未审附注之非流动资产!C509)</f>
        <v>0</v>
      </c>
      <c r="D509" s="2085">
        <f>IF(未审附注之非流动资产!D509="",0,未审附注之非流动资产!D509)</f>
        <v>0</v>
      </c>
      <c r="E509" s="2048">
        <f>ROUND(B509+C509-D509,2)</f>
        <v>0</v>
      </c>
      <c r="F509" s="2126"/>
      <c r="G509" s="2126"/>
      <c r="H509" s="2126"/>
      <c r="I509" s="2126"/>
      <c r="J509" s="2135" t="s">
        <v>893</v>
      </c>
    </row>
    <row r="510" spans="1:9">
      <c r="A510" s="2137"/>
      <c r="B510" s="2083"/>
      <c r="C510" s="2083"/>
      <c r="D510" s="2083"/>
      <c r="E510" s="2083"/>
      <c r="F510" s="2126"/>
      <c r="G510" s="2126"/>
      <c r="H510" s="2126"/>
      <c r="I510" s="2126"/>
    </row>
    <row r="511" spans="1:10">
      <c r="A511" s="2129" t="s">
        <v>894</v>
      </c>
      <c r="B511" s="2048">
        <f>ROUND(SUM(B512:B514),2)</f>
        <v>0</v>
      </c>
      <c r="C511" s="2048">
        <f>ROUND(SUM(C512:C514),2)</f>
        <v>0</v>
      </c>
      <c r="D511" s="2048">
        <f>ROUND(SUM(D512:D514),2)</f>
        <v>0</v>
      </c>
      <c r="E511" s="2048">
        <f>ROUND(SUM(E512:E514),2)</f>
        <v>0</v>
      </c>
      <c r="F511" s="2126"/>
      <c r="G511" s="2126"/>
      <c r="H511" s="2126"/>
      <c r="I511" s="2126"/>
      <c r="J511" s="2135" t="s">
        <v>895</v>
      </c>
    </row>
    <row r="512" spans="1:10">
      <c r="A512" s="2137" t="s">
        <v>883</v>
      </c>
      <c r="B512" s="2085">
        <f>IF(未审附注之非流动资产!B512="",0,未审附注之非流动资产!B512)</f>
        <v>0</v>
      </c>
      <c r="C512" s="2085">
        <f>IF(未审附注之非流动资产!C512="",0,未审附注之非流动资产!C512)</f>
        <v>0</v>
      </c>
      <c r="D512" s="2085">
        <f>IF(未审附注之非流动资产!D512="",0,未审附注之非流动资产!D512)</f>
        <v>0</v>
      </c>
      <c r="E512" s="2048">
        <f>ROUND(B512+C512-D512,2)</f>
        <v>0</v>
      </c>
      <c r="F512" s="2126"/>
      <c r="G512" s="2126"/>
      <c r="H512" s="2126"/>
      <c r="I512" s="2126"/>
      <c r="J512" s="2135" t="s">
        <v>896</v>
      </c>
    </row>
    <row r="513" spans="1:10">
      <c r="A513" s="2137" t="s">
        <v>885</v>
      </c>
      <c r="B513" s="2085">
        <f>IF(未审附注之非流动资产!B513="",0,未审附注之非流动资产!B513)</f>
        <v>0</v>
      </c>
      <c r="C513" s="2085">
        <f>IF(未审附注之非流动资产!C513="",0,未审附注之非流动资产!C513)</f>
        <v>0</v>
      </c>
      <c r="D513" s="2085">
        <f>IF(未审附注之非流动资产!D513="",0,未审附注之非流动资产!D513)</f>
        <v>0</v>
      </c>
      <c r="E513" s="2048">
        <f>ROUND(B513+C513-D513,2)</f>
        <v>0</v>
      </c>
      <c r="F513" s="2126"/>
      <c r="G513" s="2126"/>
      <c r="H513" s="2126"/>
      <c r="I513" s="2126"/>
      <c r="J513" s="2135" t="s">
        <v>897</v>
      </c>
    </row>
    <row r="514" spans="1:10">
      <c r="A514" s="2137" t="s">
        <v>887</v>
      </c>
      <c r="B514" s="2085">
        <f>IF(未审附注之非流动资产!B514="",0,未审附注之非流动资产!B514)</f>
        <v>0</v>
      </c>
      <c r="C514" s="2085">
        <f>IF(未审附注之非流动资产!C514="",0,未审附注之非流动资产!C514)</f>
        <v>0</v>
      </c>
      <c r="D514" s="2085">
        <f>IF(未审附注之非流动资产!D514="",0,未审附注之非流动资产!D514)</f>
        <v>0</v>
      </c>
      <c r="E514" s="2048">
        <f>ROUND(B514+C514-D514,2)</f>
        <v>0</v>
      </c>
      <c r="F514" s="2126"/>
      <c r="G514" s="2126"/>
      <c r="H514" s="2126"/>
      <c r="I514" s="2126"/>
      <c r="J514" s="2135" t="s">
        <v>898</v>
      </c>
    </row>
    <row r="515" spans="1:9">
      <c r="A515" s="2137"/>
      <c r="B515" s="2083"/>
      <c r="C515" s="2083"/>
      <c r="D515" s="2083"/>
      <c r="E515" s="2083"/>
      <c r="F515" s="2126"/>
      <c r="G515" s="2126"/>
      <c r="H515" s="2126"/>
      <c r="I515" s="2126"/>
    </row>
    <row r="516" spans="1:9">
      <c r="A516" s="2129" t="s">
        <v>899</v>
      </c>
      <c r="B516" s="2048">
        <f>ROUND(SUM(B517:B519),2)</f>
        <v>0</v>
      </c>
      <c r="C516" s="2048">
        <f>ROUND(SUM(C517:C519),2)</f>
        <v>0</v>
      </c>
      <c r="D516" s="2048">
        <f>ROUND(SUM(D517:D519),2)</f>
        <v>0</v>
      </c>
      <c r="E516" s="2048">
        <f>ROUND(SUM(E517:E519),2)</f>
        <v>0</v>
      </c>
      <c r="F516" s="2126"/>
      <c r="G516" s="2126"/>
      <c r="H516" s="2126"/>
      <c r="I516" s="2126"/>
    </row>
    <row r="517" spans="1:9">
      <c r="A517" s="2137" t="s">
        <v>883</v>
      </c>
      <c r="B517" s="1830">
        <f t="shared" ref="B517:D519" si="21">ROUND(B502-B507-B512,2)</f>
        <v>0</v>
      </c>
      <c r="C517" s="1830">
        <f t="shared" si="21"/>
        <v>0</v>
      </c>
      <c r="D517" s="1830">
        <f t="shared" si="21"/>
        <v>0</v>
      </c>
      <c r="E517" s="2048">
        <f>ROUND(B517+C517-D517,2)</f>
        <v>0</v>
      </c>
      <c r="F517" s="2126"/>
      <c r="G517" s="2126"/>
      <c r="H517" s="2126"/>
      <c r="I517" s="2126"/>
    </row>
    <row r="518" spans="1:9">
      <c r="A518" s="2137" t="s">
        <v>885</v>
      </c>
      <c r="B518" s="1830">
        <f t="shared" si="21"/>
        <v>0</v>
      </c>
      <c r="C518" s="1830">
        <f t="shared" si="21"/>
        <v>0</v>
      </c>
      <c r="D518" s="1830">
        <f t="shared" si="21"/>
        <v>0</v>
      </c>
      <c r="E518" s="2048">
        <f>ROUND(B518+C518-D518,2)</f>
        <v>0</v>
      </c>
      <c r="F518" s="2126"/>
      <c r="G518" s="2126"/>
      <c r="H518" s="2126"/>
      <c r="I518" s="2126"/>
    </row>
    <row r="519" spans="1:9">
      <c r="A519" s="2137" t="s">
        <v>887</v>
      </c>
      <c r="B519" s="1830">
        <f t="shared" si="21"/>
        <v>0</v>
      </c>
      <c r="C519" s="1830">
        <f t="shared" si="21"/>
        <v>0</v>
      </c>
      <c r="D519" s="1830">
        <f t="shared" si="21"/>
        <v>0</v>
      </c>
      <c r="E519" s="2048">
        <f>ROUND(B519+C519-D519,2)</f>
        <v>0</v>
      </c>
      <c r="F519" s="2126"/>
      <c r="G519" s="2126"/>
      <c r="H519" s="2126"/>
      <c r="I519" s="2126"/>
    </row>
    <row r="520" spans="1:9">
      <c r="A520" s="2126"/>
      <c r="B520" s="2126"/>
      <c r="C520" s="2126"/>
      <c r="D520" s="2126"/>
      <c r="E520" s="2126"/>
      <c r="F520" s="2126"/>
      <c r="G520" s="2126"/>
      <c r="H520" s="2126"/>
      <c r="I520" s="2126"/>
    </row>
    <row r="521" spans="1:9">
      <c r="A521" s="2136"/>
      <c r="B521" s="2126"/>
      <c r="C521" s="2126"/>
      <c r="D521" s="2126"/>
      <c r="E521" s="2126"/>
      <c r="F521" s="2126"/>
      <c r="G521" s="2126"/>
      <c r="H521" s="2126"/>
      <c r="I521" s="2126"/>
    </row>
    <row r="522" spans="1:9">
      <c r="A522" s="2134" t="s">
        <v>900</v>
      </c>
      <c r="B522" s="2126"/>
      <c r="C522" s="2126"/>
      <c r="D522" s="2126"/>
      <c r="E522" s="2126"/>
      <c r="F522" s="2126"/>
      <c r="G522" s="2126"/>
      <c r="H522" s="2126"/>
      <c r="I522" s="2126"/>
    </row>
    <row r="523" spans="1:9">
      <c r="A523" s="2133" t="s">
        <v>901</v>
      </c>
      <c r="B523" s="2126"/>
      <c r="C523" s="2126"/>
      <c r="D523" s="2126"/>
      <c r="E523" s="2126"/>
      <c r="F523" s="2126"/>
      <c r="G523" s="2126"/>
      <c r="H523" s="2126"/>
      <c r="I523" s="2126"/>
    </row>
    <row r="524" spans="1:9">
      <c r="A524" s="2082" t="s">
        <v>372</v>
      </c>
      <c r="B524" s="2082" t="s">
        <v>316</v>
      </c>
      <c r="C524" s="2082" t="s">
        <v>581</v>
      </c>
      <c r="D524" s="2082" t="s">
        <v>582</v>
      </c>
      <c r="E524" s="2082" t="s">
        <v>315</v>
      </c>
      <c r="F524" s="2126"/>
      <c r="G524" s="2126"/>
      <c r="H524" s="2126"/>
      <c r="I524" s="2126"/>
    </row>
    <row r="525" spans="1:10">
      <c r="A525" s="2129" t="s">
        <v>714</v>
      </c>
      <c r="B525" s="2048">
        <f>ROUND(SUM(B526:B535),2)</f>
        <v>0</v>
      </c>
      <c r="C525" s="2048">
        <f>ROUND(SUM(C526:C535),2)</f>
        <v>0</v>
      </c>
      <c r="D525" s="2048">
        <f>ROUND(SUM(D526:D535),2)</f>
        <v>0</v>
      </c>
      <c r="E525" s="2048">
        <f>ROUND(SUM(E526:E535),2)</f>
        <v>0</v>
      </c>
      <c r="F525" s="2126"/>
      <c r="G525" s="2126"/>
      <c r="H525" s="2126"/>
      <c r="I525" s="2126"/>
      <c r="J525" s="2118" t="s">
        <v>902</v>
      </c>
    </row>
    <row r="526" s="2075" customFormat="1" spans="1:10">
      <c r="A526" s="2092">
        <f>IF(未审附注之非流动资产!A526="",0,未审附注之非流动资产!A526)</f>
        <v>0</v>
      </c>
      <c r="B526" s="2085">
        <f>IF(未审附注之非流动资产!B526="",0,未审附注之非流动资产!B526)</f>
        <v>0</v>
      </c>
      <c r="C526" s="2085">
        <f>IF(未审附注之非流动资产!C526="",0,未审附注之非流动资产!C526)</f>
        <v>0</v>
      </c>
      <c r="D526" s="2085">
        <f>IF(未审附注之非流动资产!D526="",0,未审附注之非流动资产!D526)</f>
        <v>0</v>
      </c>
      <c r="E526" s="2048">
        <f>ROUND(B526+C526-D526,2)</f>
        <v>0</v>
      </c>
      <c r="F526" s="2080"/>
      <c r="G526" s="2080"/>
      <c r="H526" s="2080"/>
      <c r="I526" s="2080"/>
      <c r="J526" s="2118" t="s">
        <v>903</v>
      </c>
    </row>
    <row r="527" s="2075" customFormat="1" spans="1:10">
      <c r="A527" s="2092">
        <f>IF(未审附注之非流动资产!A527="",0,未审附注之非流动资产!A527)</f>
        <v>0</v>
      </c>
      <c r="B527" s="2085">
        <f>IF(未审附注之非流动资产!B527="",0,未审附注之非流动资产!B527)</f>
        <v>0</v>
      </c>
      <c r="C527" s="2085">
        <f>IF(未审附注之非流动资产!C527="",0,未审附注之非流动资产!C527)</f>
        <v>0</v>
      </c>
      <c r="D527" s="2085">
        <f>IF(未审附注之非流动资产!D527="",0,未审附注之非流动资产!D527)</f>
        <v>0</v>
      </c>
      <c r="E527" s="2048">
        <f t="shared" ref="E527:E535" si="22">ROUND(B527+C527-D527,2)</f>
        <v>0</v>
      </c>
      <c r="F527" s="2080"/>
      <c r="G527" s="2080"/>
      <c r="H527" s="2080"/>
      <c r="I527" s="2080"/>
      <c r="J527" s="2118" t="s">
        <v>903</v>
      </c>
    </row>
    <row r="528" s="2075" customFormat="1" spans="1:10">
      <c r="A528" s="2092">
        <f>IF(未审附注之非流动资产!A528="",0,未审附注之非流动资产!A528)</f>
        <v>0</v>
      </c>
      <c r="B528" s="2085">
        <f>IF(未审附注之非流动资产!B528="",0,未审附注之非流动资产!B528)</f>
        <v>0</v>
      </c>
      <c r="C528" s="2085">
        <f>IF(未审附注之非流动资产!C528="",0,未审附注之非流动资产!C528)</f>
        <v>0</v>
      </c>
      <c r="D528" s="2085">
        <f>IF(未审附注之非流动资产!D528="",0,未审附注之非流动资产!D528)</f>
        <v>0</v>
      </c>
      <c r="E528" s="2048">
        <f t="shared" si="22"/>
        <v>0</v>
      </c>
      <c r="F528" s="2080"/>
      <c r="G528" s="2080"/>
      <c r="H528" s="2080"/>
      <c r="I528" s="2080"/>
      <c r="J528" s="2118" t="s">
        <v>903</v>
      </c>
    </row>
    <row r="529" s="2075" customFormat="1" spans="1:10">
      <c r="A529" s="2092">
        <f>IF(未审附注之非流动资产!A529="",0,未审附注之非流动资产!A529)</f>
        <v>0</v>
      </c>
      <c r="B529" s="2085">
        <f>IF(未审附注之非流动资产!B529="",0,未审附注之非流动资产!B529)</f>
        <v>0</v>
      </c>
      <c r="C529" s="2085">
        <f>IF(未审附注之非流动资产!C529="",0,未审附注之非流动资产!C529)</f>
        <v>0</v>
      </c>
      <c r="D529" s="2085">
        <f>IF(未审附注之非流动资产!D529="",0,未审附注之非流动资产!D529)</f>
        <v>0</v>
      </c>
      <c r="E529" s="2048">
        <f t="shared" si="22"/>
        <v>0</v>
      </c>
      <c r="F529" s="2080"/>
      <c r="G529" s="2080"/>
      <c r="H529" s="2080"/>
      <c r="I529" s="2080"/>
      <c r="J529" s="2118" t="s">
        <v>903</v>
      </c>
    </row>
    <row r="530" s="2075" customFormat="1" spans="1:10">
      <c r="A530" s="2092">
        <f>IF(未审附注之非流动资产!A530="",0,未审附注之非流动资产!A530)</f>
        <v>0</v>
      </c>
      <c r="B530" s="2085">
        <f>IF(未审附注之非流动资产!B530="",0,未审附注之非流动资产!B530)</f>
        <v>0</v>
      </c>
      <c r="C530" s="2085">
        <f>IF(未审附注之非流动资产!C530="",0,未审附注之非流动资产!C530)</f>
        <v>0</v>
      </c>
      <c r="D530" s="2085">
        <f>IF(未审附注之非流动资产!D530="",0,未审附注之非流动资产!D530)</f>
        <v>0</v>
      </c>
      <c r="E530" s="2048">
        <f t="shared" si="22"/>
        <v>0</v>
      </c>
      <c r="F530" s="2080"/>
      <c r="G530" s="2080"/>
      <c r="H530" s="2080"/>
      <c r="I530" s="2080"/>
      <c r="J530" s="2118" t="s">
        <v>903</v>
      </c>
    </row>
    <row r="531" s="2075" customFormat="1" spans="1:10">
      <c r="A531" s="2092">
        <f>IF(未审附注之非流动资产!A531="",0,未审附注之非流动资产!A531)</f>
        <v>0</v>
      </c>
      <c r="B531" s="2085">
        <f>IF(未审附注之非流动资产!B531="",0,未审附注之非流动资产!B531)</f>
        <v>0</v>
      </c>
      <c r="C531" s="2085">
        <f>IF(未审附注之非流动资产!C531="",0,未审附注之非流动资产!C531)</f>
        <v>0</v>
      </c>
      <c r="D531" s="2085">
        <f>IF(未审附注之非流动资产!D531="",0,未审附注之非流动资产!D531)</f>
        <v>0</v>
      </c>
      <c r="E531" s="2048">
        <f t="shared" si="22"/>
        <v>0</v>
      </c>
      <c r="F531" s="2080"/>
      <c r="G531" s="2080"/>
      <c r="H531" s="2080"/>
      <c r="I531" s="2080"/>
      <c r="J531" s="2118" t="s">
        <v>903</v>
      </c>
    </row>
    <row r="532" s="2075" customFormat="1" spans="1:10">
      <c r="A532" s="2092">
        <f>IF(未审附注之非流动资产!A532="",0,未审附注之非流动资产!A532)</f>
        <v>0</v>
      </c>
      <c r="B532" s="2085">
        <f>IF(未审附注之非流动资产!B532="",0,未审附注之非流动资产!B532)</f>
        <v>0</v>
      </c>
      <c r="C532" s="2085">
        <f>IF(未审附注之非流动资产!C532="",0,未审附注之非流动资产!C532)</f>
        <v>0</v>
      </c>
      <c r="D532" s="2085">
        <f>IF(未审附注之非流动资产!D532="",0,未审附注之非流动资产!D532)</f>
        <v>0</v>
      </c>
      <c r="E532" s="2048">
        <f t="shared" si="22"/>
        <v>0</v>
      </c>
      <c r="F532" s="2080"/>
      <c r="G532" s="2080"/>
      <c r="H532" s="2080"/>
      <c r="I532" s="2080"/>
      <c r="J532" s="2118" t="s">
        <v>903</v>
      </c>
    </row>
    <row r="533" s="2075" customFormat="1" spans="1:10">
      <c r="A533" s="2092">
        <f>IF(未审附注之非流动资产!A533="",0,未审附注之非流动资产!A533)</f>
        <v>0</v>
      </c>
      <c r="B533" s="2085">
        <f>IF(未审附注之非流动资产!B533="",0,未审附注之非流动资产!B533)</f>
        <v>0</v>
      </c>
      <c r="C533" s="2085">
        <f>IF(未审附注之非流动资产!C533="",0,未审附注之非流动资产!C533)</f>
        <v>0</v>
      </c>
      <c r="D533" s="2085">
        <f>IF(未审附注之非流动资产!D533="",0,未审附注之非流动资产!D533)</f>
        <v>0</v>
      </c>
      <c r="E533" s="2048">
        <f t="shared" si="22"/>
        <v>0</v>
      </c>
      <c r="F533" s="2080"/>
      <c r="G533" s="2080"/>
      <c r="H533" s="2080"/>
      <c r="I533" s="2080"/>
      <c r="J533" s="2118" t="s">
        <v>903</v>
      </c>
    </row>
    <row r="534" s="2075" customFormat="1" spans="1:10">
      <c r="A534" s="2092">
        <f>IF(未审附注之非流动资产!A534="",0,未审附注之非流动资产!A534)</f>
        <v>0</v>
      </c>
      <c r="B534" s="2085">
        <f>IF(未审附注之非流动资产!B534="",0,未审附注之非流动资产!B534)</f>
        <v>0</v>
      </c>
      <c r="C534" s="2085">
        <f>IF(未审附注之非流动资产!C534="",0,未审附注之非流动资产!C534)</f>
        <v>0</v>
      </c>
      <c r="D534" s="2085">
        <f>IF(未审附注之非流动资产!D534="",0,未审附注之非流动资产!D534)</f>
        <v>0</v>
      </c>
      <c r="E534" s="2048">
        <f t="shared" si="22"/>
        <v>0</v>
      </c>
      <c r="F534" s="2080"/>
      <c r="G534" s="2080"/>
      <c r="H534" s="2080"/>
      <c r="I534" s="2080"/>
      <c r="J534" s="2118" t="s">
        <v>903</v>
      </c>
    </row>
    <row r="535" s="2075" customFormat="1" spans="1:10">
      <c r="A535" s="2092">
        <f>IF(未审附注之非流动资产!A535="",0,未审附注之非流动资产!A535)</f>
        <v>0</v>
      </c>
      <c r="B535" s="2085">
        <f>IF(未审附注之非流动资产!B535="",0,未审附注之非流动资产!B535)</f>
        <v>0</v>
      </c>
      <c r="C535" s="2085">
        <f>IF(未审附注之非流动资产!C535="",0,未审附注之非流动资产!C535)</f>
        <v>0</v>
      </c>
      <c r="D535" s="2085">
        <f>IF(未审附注之非流动资产!D535="",0,未审附注之非流动资产!D535)</f>
        <v>0</v>
      </c>
      <c r="E535" s="2048">
        <f t="shared" si="22"/>
        <v>0</v>
      </c>
      <c r="F535" s="2080"/>
      <c r="G535" s="2080"/>
      <c r="H535" s="2080"/>
      <c r="I535" s="2080"/>
      <c r="J535" s="2118" t="s">
        <v>903</v>
      </c>
    </row>
    <row r="536" spans="1:9">
      <c r="A536" s="2137"/>
      <c r="B536" s="2083"/>
      <c r="C536" s="2083"/>
      <c r="D536" s="2083"/>
      <c r="E536" s="2083"/>
      <c r="F536" s="2126"/>
      <c r="G536" s="2126"/>
      <c r="H536" s="2126"/>
      <c r="I536" s="2126"/>
    </row>
    <row r="537" spans="1:10">
      <c r="A537" s="2129" t="s">
        <v>904</v>
      </c>
      <c r="B537" s="2048">
        <f>ROUND(SUM(B538:B547),2)</f>
        <v>0</v>
      </c>
      <c r="C537" s="2048">
        <f>ROUND(SUM(C538:C547),2)</f>
        <v>0</v>
      </c>
      <c r="D537" s="2048">
        <f>ROUND(SUM(D538:D547),2)</f>
        <v>0</v>
      </c>
      <c r="E537" s="2048">
        <f>ROUND(SUM(E538:E547),2)</f>
        <v>0</v>
      </c>
      <c r="F537" s="2126"/>
      <c r="G537" s="2126"/>
      <c r="H537" s="2126"/>
      <c r="I537" s="2126"/>
      <c r="J537" s="2118" t="s">
        <v>905</v>
      </c>
    </row>
    <row r="538" s="2075" customFormat="1" spans="1:10">
      <c r="A538" s="2087">
        <f>IF(A526="","",A526)</f>
        <v>0</v>
      </c>
      <c r="B538" s="2085">
        <f>IF(未审附注之非流动资产!B538="",0,未审附注之非流动资产!B538)</f>
        <v>0</v>
      </c>
      <c r="C538" s="2085">
        <f>IF(未审附注之非流动资产!C538="",0,未审附注之非流动资产!C538)</f>
        <v>0</v>
      </c>
      <c r="D538" s="2085">
        <f>IF(未审附注之非流动资产!D538="",0,未审附注之非流动资产!D538)</f>
        <v>0</v>
      </c>
      <c r="E538" s="2048">
        <f>ROUND(B538+C538-D538,2)</f>
        <v>0</v>
      </c>
      <c r="F538" s="2080"/>
      <c r="G538" s="2080"/>
      <c r="H538" s="2080"/>
      <c r="I538" s="2080"/>
      <c r="J538" s="2118" t="s">
        <v>906</v>
      </c>
    </row>
    <row r="539" s="2075" customFormat="1" spans="1:10">
      <c r="A539" s="2087">
        <f t="shared" ref="A539:A547" si="23">IF(A527="","",A527)</f>
        <v>0</v>
      </c>
      <c r="B539" s="2085">
        <f>IF(未审附注之非流动资产!B539="",0,未审附注之非流动资产!B539)</f>
        <v>0</v>
      </c>
      <c r="C539" s="2085">
        <f>IF(未审附注之非流动资产!C539="",0,未审附注之非流动资产!C539)</f>
        <v>0</v>
      </c>
      <c r="D539" s="2085">
        <f>IF(未审附注之非流动资产!D539="",0,未审附注之非流动资产!D539)</f>
        <v>0</v>
      </c>
      <c r="E539" s="2048">
        <f t="shared" ref="E539:E547" si="24">ROUND(B539+C539-D539,2)</f>
        <v>0</v>
      </c>
      <c r="F539" s="2080"/>
      <c r="G539" s="2080"/>
      <c r="H539" s="2080"/>
      <c r="I539" s="2080"/>
      <c r="J539" s="2118" t="s">
        <v>906</v>
      </c>
    </row>
    <row r="540" s="2075" customFormat="1" spans="1:10">
      <c r="A540" s="2087">
        <f t="shared" si="23"/>
        <v>0</v>
      </c>
      <c r="B540" s="2085">
        <f>IF(未审附注之非流动资产!B540="",0,未审附注之非流动资产!B540)</f>
        <v>0</v>
      </c>
      <c r="C540" s="2085">
        <f>IF(未审附注之非流动资产!C540="",0,未审附注之非流动资产!C540)</f>
        <v>0</v>
      </c>
      <c r="D540" s="2085">
        <f>IF(未审附注之非流动资产!D540="",0,未审附注之非流动资产!D540)</f>
        <v>0</v>
      </c>
      <c r="E540" s="2048">
        <f t="shared" si="24"/>
        <v>0</v>
      </c>
      <c r="F540" s="2080"/>
      <c r="G540" s="2080"/>
      <c r="H540" s="2080"/>
      <c r="I540" s="2080"/>
      <c r="J540" s="2118" t="s">
        <v>906</v>
      </c>
    </row>
    <row r="541" s="2075" customFormat="1" spans="1:10">
      <c r="A541" s="2087">
        <f t="shared" si="23"/>
        <v>0</v>
      </c>
      <c r="B541" s="2085">
        <f>IF(未审附注之非流动资产!B541="",0,未审附注之非流动资产!B541)</f>
        <v>0</v>
      </c>
      <c r="C541" s="2085">
        <f>IF(未审附注之非流动资产!C541="",0,未审附注之非流动资产!C541)</f>
        <v>0</v>
      </c>
      <c r="D541" s="2085">
        <f>IF(未审附注之非流动资产!D541="",0,未审附注之非流动资产!D541)</f>
        <v>0</v>
      </c>
      <c r="E541" s="2048">
        <f t="shared" si="24"/>
        <v>0</v>
      </c>
      <c r="F541" s="2080"/>
      <c r="G541" s="2080"/>
      <c r="H541" s="2080"/>
      <c r="I541" s="2080"/>
      <c r="J541" s="2118" t="s">
        <v>906</v>
      </c>
    </row>
    <row r="542" s="2075" customFormat="1" spans="1:10">
      <c r="A542" s="2087">
        <f t="shared" si="23"/>
        <v>0</v>
      </c>
      <c r="B542" s="2085">
        <f>IF(未审附注之非流动资产!B542="",0,未审附注之非流动资产!B542)</f>
        <v>0</v>
      </c>
      <c r="C542" s="2085">
        <f>IF(未审附注之非流动资产!C542="",0,未审附注之非流动资产!C542)</f>
        <v>0</v>
      </c>
      <c r="D542" s="2085">
        <f>IF(未审附注之非流动资产!D542="",0,未审附注之非流动资产!D542)</f>
        <v>0</v>
      </c>
      <c r="E542" s="2048">
        <f t="shared" si="24"/>
        <v>0</v>
      </c>
      <c r="F542" s="2080"/>
      <c r="G542" s="2080"/>
      <c r="H542" s="2080"/>
      <c r="I542" s="2080"/>
      <c r="J542" s="2118" t="s">
        <v>906</v>
      </c>
    </row>
    <row r="543" s="2075" customFormat="1" spans="1:10">
      <c r="A543" s="2087">
        <f t="shared" si="23"/>
        <v>0</v>
      </c>
      <c r="B543" s="2085">
        <f>IF(未审附注之非流动资产!B543="",0,未审附注之非流动资产!B543)</f>
        <v>0</v>
      </c>
      <c r="C543" s="2085">
        <f>IF(未审附注之非流动资产!C543="",0,未审附注之非流动资产!C543)</f>
        <v>0</v>
      </c>
      <c r="D543" s="2085">
        <f>IF(未审附注之非流动资产!D543="",0,未审附注之非流动资产!D543)</f>
        <v>0</v>
      </c>
      <c r="E543" s="2048">
        <f t="shared" si="24"/>
        <v>0</v>
      </c>
      <c r="F543" s="2080"/>
      <c r="G543" s="2080"/>
      <c r="H543" s="2080"/>
      <c r="I543" s="2080"/>
      <c r="J543" s="2118" t="s">
        <v>906</v>
      </c>
    </row>
    <row r="544" s="2075" customFormat="1" spans="1:10">
      <c r="A544" s="2087">
        <f t="shared" si="23"/>
        <v>0</v>
      </c>
      <c r="B544" s="2085">
        <f>IF(未审附注之非流动资产!B544="",0,未审附注之非流动资产!B544)</f>
        <v>0</v>
      </c>
      <c r="C544" s="2085">
        <f>IF(未审附注之非流动资产!C544="",0,未审附注之非流动资产!C544)</f>
        <v>0</v>
      </c>
      <c r="D544" s="2085">
        <f>IF(未审附注之非流动资产!D544="",0,未审附注之非流动资产!D544)</f>
        <v>0</v>
      </c>
      <c r="E544" s="2048">
        <f t="shared" si="24"/>
        <v>0</v>
      </c>
      <c r="F544" s="2080"/>
      <c r="G544" s="2080"/>
      <c r="H544" s="2080"/>
      <c r="I544" s="2080"/>
      <c r="J544" s="2118" t="s">
        <v>906</v>
      </c>
    </row>
    <row r="545" s="2075" customFormat="1" spans="1:10">
      <c r="A545" s="2087">
        <f t="shared" si="23"/>
        <v>0</v>
      </c>
      <c r="B545" s="2085">
        <f>IF(未审附注之非流动资产!B545="",0,未审附注之非流动资产!B545)</f>
        <v>0</v>
      </c>
      <c r="C545" s="2085">
        <f>IF(未审附注之非流动资产!C545="",0,未审附注之非流动资产!C545)</f>
        <v>0</v>
      </c>
      <c r="D545" s="2085">
        <f>IF(未审附注之非流动资产!D545="",0,未审附注之非流动资产!D545)</f>
        <v>0</v>
      </c>
      <c r="E545" s="2048">
        <f t="shared" si="24"/>
        <v>0</v>
      </c>
      <c r="F545" s="2080"/>
      <c r="G545" s="2080"/>
      <c r="H545" s="2080"/>
      <c r="I545" s="2080"/>
      <c r="J545" s="2118" t="s">
        <v>906</v>
      </c>
    </row>
    <row r="546" s="2075" customFormat="1" spans="1:10">
      <c r="A546" s="2087">
        <f t="shared" si="23"/>
        <v>0</v>
      </c>
      <c r="B546" s="2085">
        <f>IF(未审附注之非流动资产!B546="",0,未审附注之非流动资产!B546)</f>
        <v>0</v>
      </c>
      <c r="C546" s="2085">
        <f>IF(未审附注之非流动资产!C546="",0,未审附注之非流动资产!C546)</f>
        <v>0</v>
      </c>
      <c r="D546" s="2085">
        <f>IF(未审附注之非流动资产!D546="",0,未审附注之非流动资产!D546)</f>
        <v>0</v>
      </c>
      <c r="E546" s="2048">
        <f t="shared" si="24"/>
        <v>0</v>
      </c>
      <c r="F546" s="2080"/>
      <c r="G546" s="2080"/>
      <c r="H546" s="2080"/>
      <c r="I546" s="2080"/>
      <c r="J546" s="2118" t="s">
        <v>906</v>
      </c>
    </row>
    <row r="547" s="2075" customFormat="1" spans="1:10">
      <c r="A547" s="2087">
        <f t="shared" si="23"/>
        <v>0</v>
      </c>
      <c r="B547" s="2085">
        <f>IF(未审附注之非流动资产!B547="",0,未审附注之非流动资产!B547)</f>
        <v>0</v>
      </c>
      <c r="C547" s="2085">
        <f>IF(未审附注之非流动资产!C547="",0,未审附注之非流动资产!C547)</f>
        <v>0</v>
      </c>
      <c r="D547" s="2085">
        <f>IF(未审附注之非流动资产!D547="",0,未审附注之非流动资产!D547)</f>
        <v>0</v>
      </c>
      <c r="E547" s="2048">
        <f t="shared" si="24"/>
        <v>0</v>
      </c>
      <c r="F547" s="2080"/>
      <c r="G547" s="2080"/>
      <c r="H547" s="2080"/>
      <c r="I547" s="2080"/>
      <c r="J547" s="2118" t="s">
        <v>906</v>
      </c>
    </row>
    <row r="548" spans="1:9">
      <c r="A548" s="2137"/>
      <c r="B548" s="2083"/>
      <c r="C548" s="2083"/>
      <c r="D548" s="2083"/>
      <c r="E548" s="2083"/>
      <c r="F548" s="2126"/>
      <c r="G548" s="2126"/>
      <c r="H548" s="2126"/>
      <c r="I548" s="2126"/>
    </row>
    <row r="549" spans="1:10">
      <c r="A549" s="2129" t="s">
        <v>907</v>
      </c>
      <c r="B549" s="2048">
        <f>ROUND(SUM(B550:B559),2)</f>
        <v>0</v>
      </c>
      <c r="C549" s="2048">
        <f>ROUND(SUM(C550:C559),2)</f>
        <v>0</v>
      </c>
      <c r="D549" s="2048">
        <f>ROUND(SUM(D550:D559),2)</f>
        <v>0</v>
      </c>
      <c r="E549" s="2048">
        <f>ROUND(SUM(E550:E559),2)</f>
        <v>0</v>
      </c>
      <c r="F549" s="2126"/>
      <c r="G549" s="2126"/>
      <c r="H549" s="2126"/>
      <c r="I549" s="2126"/>
      <c r="J549" s="2118" t="s">
        <v>908</v>
      </c>
    </row>
    <row r="550" s="2075" customFormat="1" spans="1:10">
      <c r="A550" s="2087">
        <f>IF(A526="","",A526)</f>
        <v>0</v>
      </c>
      <c r="B550" s="2085">
        <f>IF(未审附注之非流动资产!B550="",0,未审附注之非流动资产!B550)</f>
        <v>0</v>
      </c>
      <c r="C550" s="2085">
        <f>IF(未审附注之非流动资产!C550="",0,未审附注之非流动资产!C550)</f>
        <v>0</v>
      </c>
      <c r="D550" s="2085">
        <f>IF(未审附注之非流动资产!D550="",0,未审附注之非流动资产!D550)</f>
        <v>0</v>
      </c>
      <c r="E550" s="2048">
        <f>ROUND(B550+C550-D550,2)</f>
        <v>0</v>
      </c>
      <c r="F550" s="2080"/>
      <c r="G550" s="2080"/>
      <c r="H550" s="2080"/>
      <c r="I550" s="2080"/>
      <c r="J550" s="2118" t="s">
        <v>909</v>
      </c>
    </row>
    <row r="551" s="2075" customFormat="1" spans="1:10">
      <c r="A551" s="2087">
        <f t="shared" ref="A551:A559" si="25">IF(A527="","",A527)</f>
        <v>0</v>
      </c>
      <c r="B551" s="2085">
        <f>IF(未审附注之非流动资产!B551="",0,未审附注之非流动资产!B551)</f>
        <v>0</v>
      </c>
      <c r="C551" s="2085">
        <f>IF(未审附注之非流动资产!C551="",0,未审附注之非流动资产!C551)</f>
        <v>0</v>
      </c>
      <c r="D551" s="2085">
        <f>IF(未审附注之非流动资产!D551="",0,未审附注之非流动资产!D551)</f>
        <v>0</v>
      </c>
      <c r="E551" s="2048">
        <f t="shared" ref="E551:E559" si="26">ROUND(B551+C551-D551,2)</f>
        <v>0</v>
      </c>
      <c r="F551" s="2080"/>
      <c r="G551" s="2080"/>
      <c r="H551" s="2080"/>
      <c r="I551" s="2080"/>
      <c r="J551" s="2118" t="s">
        <v>909</v>
      </c>
    </row>
    <row r="552" s="2075" customFormat="1" spans="1:10">
      <c r="A552" s="2087">
        <f t="shared" si="25"/>
        <v>0</v>
      </c>
      <c r="B552" s="2085">
        <f>IF(未审附注之非流动资产!B552="",0,未审附注之非流动资产!B552)</f>
        <v>0</v>
      </c>
      <c r="C552" s="2085">
        <f>IF(未审附注之非流动资产!C552="",0,未审附注之非流动资产!C552)</f>
        <v>0</v>
      </c>
      <c r="D552" s="2085">
        <f>IF(未审附注之非流动资产!D552="",0,未审附注之非流动资产!D552)</f>
        <v>0</v>
      </c>
      <c r="E552" s="2048">
        <f t="shared" si="26"/>
        <v>0</v>
      </c>
      <c r="F552" s="2080"/>
      <c r="G552" s="2080"/>
      <c r="H552" s="2080"/>
      <c r="I552" s="2080"/>
      <c r="J552" s="2118" t="s">
        <v>909</v>
      </c>
    </row>
    <row r="553" s="2075" customFormat="1" spans="1:10">
      <c r="A553" s="2087">
        <f t="shared" si="25"/>
        <v>0</v>
      </c>
      <c r="B553" s="2085">
        <f>IF(未审附注之非流动资产!B553="",0,未审附注之非流动资产!B553)</f>
        <v>0</v>
      </c>
      <c r="C553" s="2085">
        <f>IF(未审附注之非流动资产!C553="",0,未审附注之非流动资产!C553)</f>
        <v>0</v>
      </c>
      <c r="D553" s="2085">
        <f>IF(未审附注之非流动资产!D553="",0,未审附注之非流动资产!D553)</f>
        <v>0</v>
      </c>
      <c r="E553" s="2048">
        <f t="shared" si="26"/>
        <v>0</v>
      </c>
      <c r="F553" s="2080"/>
      <c r="G553" s="2080"/>
      <c r="H553" s="2080"/>
      <c r="I553" s="2080"/>
      <c r="J553" s="2118" t="s">
        <v>909</v>
      </c>
    </row>
    <row r="554" s="2075" customFormat="1" spans="1:10">
      <c r="A554" s="2087">
        <f t="shared" si="25"/>
        <v>0</v>
      </c>
      <c r="B554" s="2085">
        <f>IF(未审附注之非流动资产!B554="",0,未审附注之非流动资产!B554)</f>
        <v>0</v>
      </c>
      <c r="C554" s="2085">
        <f>IF(未审附注之非流动资产!C554="",0,未审附注之非流动资产!C554)</f>
        <v>0</v>
      </c>
      <c r="D554" s="2085">
        <f>IF(未审附注之非流动资产!D554="",0,未审附注之非流动资产!D554)</f>
        <v>0</v>
      </c>
      <c r="E554" s="2048">
        <f t="shared" si="26"/>
        <v>0</v>
      </c>
      <c r="F554" s="2080"/>
      <c r="G554" s="2080"/>
      <c r="H554" s="2080"/>
      <c r="I554" s="2080"/>
      <c r="J554" s="2118" t="s">
        <v>909</v>
      </c>
    </row>
    <row r="555" s="2075" customFormat="1" spans="1:10">
      <c r="A555" s="2087">
        <f t="shared" si="25"/>
        <v>0</v>
      </c>
      <c r="B555" s="2085">
        <f>IF(未审附注之非流动资产!B555="",0,未审附注之非流动资产!B555)</f>
        <v>0</v>
      </c>
      <c r="C555" s="2085">
        <f>IF(未审附注之非流动资产!C555="",0,未审附注之非流动资产!C555)</f>
        <v>0</v>
      </c>
      <c r="D555" s="2085">
        <f>IF(未审附注之非流动资产!D555="",0,未审附注之非流动资产!D555)</f>
        <v>0</v>
      </c>
      <c r="E555" s="2048">
        <f t="shared" si="26"/>
        <v>0</v>
      </c>
      <c r="F555" s="2080"/>
      <c r="G555" s="2080"/>
      <c r="H555" s="2080"/>
      <c r="I555" s="2080"/>
      <c r="J555" s="2118" t="s">
        <v>909</v>
      </c>
    </row>
    <row r="556" s="2075" customFormat="1" spans="1:10">
      <c r="A556" s="2087">
        <f t="shared" si="25"/>
        <v>0</v>
      </c>
      <c r="B556" s="2085">
        <f>IF(未审附注之非流动资产!B556="",0,未审附注之非流动资产!B556)</f>
        <v>0</v>
      </c>
      <c r="C556" s="2085">
        <f>IF(未审附注之非流动资产!C556="",0,未审附注之非流动资产!C556)</f>
        <v>0</v>
      </c>
      <c r="D556" s="2085">
        <f>IF(未审附注之非流动资产!D556="",0,未审附注之非流动资产!D556)</f>
        <v>0</v>
      </c>
      <c r="E556" s="2048">
        <f t="shared" si="26"/>
        <v>0</v>
      </c>
      <c r="F556" s="2080"/>
      <c r="G556" s="2080"/>
      <c r="H556" s="2080"/>
      <c r="I556" s="2080"/>
      <c r="J556" s="2118" t="s">
        <v>909</v>
      </c>
    </row>
    <row r="557" s="2075" customFormat="1" spans="1:10">
      <c r="A557" s="2087">
        <f t="shared" si="25"/>
        <v>0</v>
      </c>
      <c r="B557" s="2085">
        <f>IF(未审附注之非流动资产!B557="",0,未审附注之非流动资产!B557)</f>
        <v>0</v>
      </c>
      <c r="C557" s="2085">
        <f>IF(未审附注之非流动资产!C557="",0,未审附注之非流动资产!C557)</f>
        <v>0</v>
      </c>
      <c r="D557" s="2085">
        <f>IF(未审附注之非流动资产!D557="",0,未审附注之非流动资产!D557)</f>
        <v>0</v>
      </c>
      <c r="E557" s="2048">
        <f t="shared" si="26"/>
        <v>0</v>
      </c>
      <c r="F557" s="2080"/>
      <c r="G557" s="2080"/>
      <c r="H557" s="2080"/>
      <c r="I557" s="2080"/>
      <c r="J557" s="2118" t="s">
        <v>909</v>
      </c>
    </row>
    <row r="558" s="2075" customFormat="1" spans="1:10">
      <c r="A558" s="2087">
        <f t="shared" si="25"/>
        <v>0</v>
      </c>
      <c r="B558" s="2085">
        <f>IF(未审附注之非流动资产!B558="",0,未审附注之非流动资产!B558)</f>
        <v>0</v>
      </c>
      <c r="C558" s="2085">
        <f>IF(未审附注之非流动资产!C558="",0,未审附注之非流动资产!C558)</f>
        <v>0</v>
      </c>
      <c r="D558" s="2085">
        <f>IF(未审附注之非流动资产!D558="",0,未审附注之非流动资产!D558)</f>
        <v>0</v>
      </c>
      <c r="E558" s="2048">
        <f t="shared" si="26"/>
        <v>0</v>
      </c>
      <c r="F558" s="2080"/>
      <c r="G558" s="2080"/>
      <c r="H558" s="2080"/>
      <c r="I558" s="2080"/>
      <c r="J558" s="2118" t="s">
        <v>909</v>
      </c>
    </row>
    <row r="559" s="2075" customFormat="1" spans="1:10">
      <c r="A559" s="2087">
        <f t="shared" si="25"/>
        <v>0</v>
      </c>
      <c r="B559" s="2085">
        <f>IF(未审附注之非流动资产!B559="",0,未审附注之非流动资产!B559)</f>
        <v>0</v>
      </c>
      <c r="C559" s="2085">
        <f>IF(未审附注之非流动资产!C559="",0,未审附注之非流动资产!C559)</f>
        <v>0</v>
      </c>
      <c r="D559" s="2085">
        <f>IF(未审附注之非流动资产!D559="",0,未审附注之非流动资产!D559)</f>
        <v>0</v>
      </c>
      <c r="E559" s="2048">
        <f t="shared" si="26"/>
        <v>0</v>
      </c>
      <c r="F559" s="2080"/>
      <c r="G559" s="2080"/>
      <c r="H559" s="2080"/>
      <c r="I559" s="2080"/>
      <c r="J559" s="2118" t="s">
        <v>909</v>
      </c>
    </row>
    <row r="560" spans="1:9">
      <c r="A560" s="2137"/>
      <c r="B560" s="2083"/>
      <c r="C560" s="2083"/>
      <c r="D560" s="2083"/>
      <c r="E560" s="2083"/>
      <c r="F560" s="2126"/>
      <c r="G560" s="2126"/>
      <c r="H560" s="2126"/>
      <c r="I560" s="2126"/>
    </row>
    <row r="561" spans="1:9">
      <c r="A561" s="2129" t="s">
        <v>910</v>
      </c>
      <c r="B561" s="2048">
        <f>ROUND(SUM(B562:B571),2)</f>
        <v>0</v>
      </c>
      <c r="C561" s="2048">
        <f>ROUND(SUM(C562:C571),2)</f>
        <v>0</v>
      </c>
      <c r="D561" s="2048">
        <f>ROUND(SUM(D562:D571),2)</f>
        <v>0</v>
      </c>
      <c r="E561" s="2048">
        <f>ROUND(SUM(E562:E571),2)</f>
        <v>0</v>
      </c>
      <c r="F561" s="2126"/>
      <c r="G561" s="2126"/>
      <c r="H561" s="2126"/>
      <c r="I561" s="2126"/>
    </row>
    <row r="562" s="2075" customFormat="1" spans="1:10">
      <c r="A562" s="2087">
        <f>IF(A526="","",A526)</f>
        <v>0</v>
      </c>
      <c r="B562" s="1830">
        <f t="shared" ref="B562:D571" si="27">ROUND(B526-B538-B550,2)</f>
        <v>0</v>
      </c>
      <c r="C562" s="1830">
        <f t="shared" si="27"/>
        <v>0</v>
      </c>
      <c r="D562" s="1830">
        <f t="shared" si="27"/>
        <v>0</v>
      </c>
      <c r="E562" s="2048">
        <f>ROUND(B562+C562-D562,2)</f>
        <v>0</v>
      </c>
      <c r="F562" s="2080"/>
      <c r="G562" s="2080"/>
      <c r="H562" s="2080"/>
      <c r="I562" s="2080"/>
      <c r="J562" s="2141"/>
    </row>
    <row r="563" s="2075" customFormat="1" spans="1:10">
      <c r="A563" s="2087">
        <f t="shared" ref="A563:A571" si="28">IF(A527="","",A527)</f>
        <v>0</v>
      </c>
      <c r="B563" s="1830">
        <f t="shared" si="27"/>
        <v>0</v>
      </c>
      <c r="C563" s="1830">
        <f t="shared" si="27"/>
        <v>0</v>
      </c>
      <c r="D563" s="1830">
        <f t="shared" si="27"/>
        <v>0</v>
      </c>
      <c r="E563" s="2048">
        <f t="shared" ref="E563:E571" si="29">ROUND(B563+C563-D563,2)</f>
        <v>0</v>
      </c>
      <c r="F563" s="2080"/>
      <c r="G563" s="2080"/>
      <c r="H563" s="2080"/>
      <c r="I563" s="2080"/>
      <c r="J563" s="2141"/>
    </row>
    <row r="564" s="2075" customFormat="1" spans="1:10">
      <c r="A564" s="2087">
        <f t="shared" si="28"/>
        <v>0</v>
      </c>
      <c r="B564" s="1830">
        <f t="shared" si="27"/>
        <v>0</v>
      </c>
      <c r="C564" s="1830">
        <f t="shared" si="27"/>
        <v>0</v>
      </c>
      <c r="D564" s="1830">
        <f t="shared" si="27"/>
        <v>0</v>
      </c>
      <c r="E564" s="2048">
        <f t="shared" si="29"/>
        <v>0</v>
      </c>
      <c r="F564" s="2080"/>
      <c r="G564" s="2080"/>
      <c r="H564" s="2080"/>
      <c r="I564" s="2080"/>
      <c r="J564" s="2141"/>
    </row>
    <row r="565" s="2075" customFormat="1" spans="1:10">
      <c r="A565" s="2087">
        <f t="shared" si="28"/>
        <v>0</v>
      </c>
      <c r="B565" s="1830">
        <f t="shared" si="27"/>
        <v>0</v>
      </c>
      <c r="C565" s="1830">
        <f t="shared" si="27"/>
        <v>0</v>
      </c>
      <c r="D565" s="1830">
        <f t="shared" si="27"/>
        <v>0</v>
      </c>
      <c r="E565" s="2048">
        <f t="shared" si="29"/>
        <v>0</v>
      </c>
      <c r="F565" s="2080"/>
      <c r="G565" s="2080"/>
      <c r="H565" s="2080"/>
      <c r="I565" s="2080"/>
      <c r="J565" s="2141"/>
    </row>
    <row r="566" s="2075" customFormat="1" spans="1:10">
      <c r="A566" s="2087">
        <f t="shared" si="28"/>
        <v>0</v>
      </c>
      <c r="B566" s="1830">
        <f t="shared" si="27"/>
        <v>0</v>
      </c>
      <c r="C566" s="1830">
        <f t="shared" si="27"/>
        <v>0</v>
      </c>
      <c r="D566" s="1830">
        <f t="shared" si="27"/>
        <v>0</v>
      </c>
      <c r="E566" s="2048">
        <f t="shared" si="29"/>
        <v>0</v>
      </c>
      <c r="F566" s="2080"/>
      <c r="G566" s="2080"/>
      <c r="H566" s="2080"/>
      <c r="I566" s="2080"/>
      <c r="J566" s="2141"/>
    </row>
    <row r="567" s="2075" customFormat="1" spans="1:10">
      <c r="A567" s="2087">
        <f t="shared" si="28"/>
        <v>0</v>
      </c>
      <c r="B567" s="1830">
        <f t="shared" si="27"/>
        <v>0</v>
      </c>
      <c r="C567" s="1830">
        <f t="shared" si="27"/>
        <v>0</v>
      </c>
      <c r="D567" s="1830">
        <f t="shared" si="27"/>
        <v>0</v>
      </c>
      <c r="E567" s="2048">
        <f t="shared" si="29"/>
        <v>0</v>
      </c>
      <c r="F567" s="2080"/>
      <c r="G567" s="2080"/>
      <c r="H567" s="2080"/>
      <c r="I567" s="2080"/>
      <c r="J567" s="2141"/>
    </row>
    <row r="568" s="2075" customFormat="1" spans="1:10">
      <c r="A568" s="2087">
        <f t="shared" si="28"/>
        <v>0</v>
      </c>
      <c r="B568" s="1830">
        <f t="shared" si="27"/>
        <v>0</v>
      </c>
      <c r="C568" s="1830">
        <f t="shared" si="27"/>
        <v>0</v>
      </c>
      <c r="D568" s="1830">
        <f t="shared" si="27"/>
        <v>0</v>
      </c>
      <c r="E568" s="2048">
        <f t="shared" si="29"/>
        <v>0</v>
      </c>
      <c r="F568" s="2080"/>
      <c r="G568" s="2080"/>
      <c r="H568" s="2080"/>
      <c r="I568" s="2080"/>
      <c r="J568" s="2141"/>
    </row>
    <row r="569" s="2075" customFormat="1" spans="1:10">
      <c r="A569" s="2087">
        <f t="shared" si="28"/>
        <v>0</v>
      </c>
      <c r="B569" s="1830">
        <f t="shared" si="27"/>
        <v>0</v>
      </c>
      <c r="C569" s="1830">
        <f t="shared" si="27"/>
        <v>0</v>
      </c>
      <c r="D569" s="1830">
        <f t="shared" si="27"/>
        <v>0</v>
      </c>
      <c r="E569" s="2048">
        <f t="shared" si="29"/>
        <v>0</v>
      </c>
      <c r="F569" s="2080"/>
      <c r="G569" s="2080"/>
      <c r="H569" s="2080"/>
      <c r="I569" s="2080"/>
      <c r="J569" s="2141"/>
    </row>
    <row r="570" s="2075" customFormat="1" spans="1:10">
      <c r="A570" s="2087">
        <f t="shared" si="28"/>
        <v>0</v>
      </c>
      <c r="B570" s="1830">
        <f t="shared" si="27"/>
        <v>0</v>
      </c>
      <c r="C570" s="1830">
        <f t="shared" si="27"/>
        <v>0</v>
      </c>
      <c r="D570" s="1830">
        <f t="shared" si="27"/>
        <v>0</v>
      </c>
      <c r="E570" s="2048">
        <f t="shared" si="29"/>
        <v>0</v>
      </c>
      <c r="F570" s="2080"/>
      <c r="G570" s="2080"/>
      <c r="H570" s="2080"/>
      <c r="I570" s="2080"/>
      <c r="J570" s="2141"/>
    </row>
    <row r="571" s="2075" customFormat="1" spans="1:10">
      <c r="A571" s="2087">
        <f t="shared" si="28"/>
        <v>0</v>
      </c>
      <c r="B571" s="1830">
        <f t="shared" si="27"/>
        <v>0</v>
      </c>
      <c r="C571" s="1830">
        <f t="shared" si="27"/>
        <v>0</v>
      </c>
      <c r="D571" s="1830">
        <f t="shared" si="27"/>
        <v>0</v>
      </c>
      <c r="E571" s="2048">
        <f t="shared" si="29"/>
        <v>0</v>
      </c>
      <c r="F571" s="2080"/>
      <c r="G571" s="2080"/>
      <c r="H571" s="2080"/>
      <c r="I571" s="2080"/>
      <c r="J571" s="2141"/>
    </row>
    <row r="572" spans="1:9">
      <c r="A572" s="2143"/>
      <c r="B572" s="2126"/>
      <c r="C572" s="2126"/>
      <c r="D572" s="2126"/>
      <c r="E572" s="2126"/>
      <c r="F572" s="2126"/>
      <c r="G572" s="2126"/>
      <c r="H572" s="2126"/>
      <c r="I572" s="2126"/>
    </row>
    <row r="573" spans="1:9">
      <c r="A573" s="2127" t="s">
        <v>911</v>
      </c>
      <c r="B573" s="2126"/>
      <c r="C573" s="2126"/>
      <c r="D573" s="2126"/>
      <c r="E573" s="2126"/>
      <c r="F573" s="2126"/>
      <c r="G573" s="2126"/>
      <c r="H573" s="2126"/>
      <c r="I573" s="2126"/>
    </row>
    <row r="574" spans="1:9">
      <c r="A574" s="2082" t="s">
        <v>372</v>
      </c>
      <c r="B574" s="2082" t="s">
        <v>912</v>
      </c>
      <c r="C574" s="2082" t="s">
        <v>913</v>
      </c>
      <c r="D574" s="2082" t="s">
        <v>914</v>
      </c>
      <c r="E574" s="2126"/>
      <c r="F574" s="2126"/>
      <c r="G574" s="2126"/>
      <c r="H574" s="2126"/>
      <c r="I574" s="2126"/>
    </row>
    <row r="575" s="2075" customFormat="1" spans="1:10">
      <c r="A575" s="2092">
        <f>IF(未审附注之非流动资产!A575="",0,未审附注之非流动资产!A575)</f>
        <v>0</v>
      </c>
      <c r="B575" s="2085">
        <f>IF(未审附注之非流动资产!B575="",0,未审附注之非流动资产!B575)</f>
        <v>0</v>
      </c>
      <c r="C575" s="2085">
        <f>IF(未审附注之非流动资产!C575="",0,未审附注之非流动资产!C575)</f>
        <v>0</v>
      </c>
      <c r="D575" s="2048">
        <f>ROUND(B575+C575,2)</f>
        <v>0</v>
      </c>
      <c r="E575" s="2126"/>
      <c r="F575" s="2080"/>
      <c r="G575" s="2080"/>
      <c r="H575" s="2080"/>
      <c r="I575" s="2080"/>
      <c r="J575" s="2118" t="s">
        <v>915</v>
      </c>
    </row>
    <row r="576" s="2075" customFormat="1" spans="1:10">
      <c r="A576" s="2092">
        <f>IF(未审附注之非流动资产!A576="",0,未审附注之非流动资产!A576)</f>
        <v>0</v>
      </c>
      <c r="B576" s="2085">
        <f>IF(未审附注之非流动资产!B576="",0,未审附注之非流动资产!B576)</f>
        <v>0</v>
      </c>
      <c r="C576" s="2085">
        <f>IF(未审附注之非流动资产!C576="",0,未审附注之非流动资产!C576)</f>
        <v>0</v>
      </c>
      <c r="D576" s="2048">
        <f t="shared" ref="D576:D584" si="30">ROUND(B576+C576,2)</f>
        <v>0</v>
      </c>
      <c r="E576" s="2126"/>
      <c r="F576" s="2080"/>
      <c r="G576" s="2080"/>
      <c r="H576" s="2080"/>
      <c r="I576" s="2080"/>
      <c r="J576" s="2118" t="s">
        <v>915</v>
      </c>
    </row>
    <row r="577" s="2075" customFormat="1" spans="1:10">
      <c r="A577" s="2092">
        <f>IF(未审附注之非流动资产!A577="",0,未审附注之非流动资产!A577)</f>
        <v>0</v>
      </c>
      <c r="B577" s="2085">
        <f>IF(未审附注之非流动资产!B577="",0,未审附注之非流动资产!B577)</f>
        <v>0</v>
      </c>
      <c r="C577" s="2085">
        <f>IF(未审附注之非流动资产!C577="",0,未审附注之非流动资产!C577)</f>
        <v>0</v>
      </c>
      <c r="D577" s="2048">
        <f t="shared" si="30"/>
        <v>0</v>
      </c>
      <c r="E577" s="2126"/>
      <c r="F577" s="2080"/>
      <c r="G577" s="2080"/>
      <c r="H577" s="2080"/>
      <c r="I577" s="2080"/>
      <c r="J577" s="2118" t="s">
        <v>915</v>
      </c>
    </row>
    <row r="578" s="2075" customFormat="1" spans="1:10">
      <c r="A578" s="2092">
        <f>IF(未审附注之非流动资产!A578="",0,未审附注之非流动资产!A578)</f>
        <v>0</v>
      </c>
      <c r="B578" s="2085">
        <f>IF(未审附注之非流动资产!B578="",0,未审附注之非流动资产!B578)</f>
        <v>0</v>
      </c>
      <c r="C578" s="2085">
        <f>IF(未审附注之非流动资产!C578="",0,未审附注之非流动资产!C578)</f>
        <v>0</v>
      </c>
      <c r="D578" s="2048">
        <f t="shared" si="30"/>
        <v>0</v>
      </c>
      <c r="E578" s="2126"/>
      <c r="F578" s="2080"/>
      <c r="G578" s="2080"/>
      <c r="H578" s="2080"/>
      <c r="I578" s="2080"/>
      <c r="J578" s="2118" t="s">
        <v>915</v>
      </c>
    </row>
    <row r="579" s="2075" customFormat="1" spans="1:10">
      <c r="A579" s="2092">
        <f>IF(未审附注之非流动资产!A579="",0,未审附注之非流动资产!A579)</f>
        <v>0</v>
      </c>
      <c r="B579" s="2085">
        <f>IF(未审附注之非流动资产!B579="",0,未审附注之非流动资产!B579)</f>
        <v>0</v>
      </c>
      <c r="C579" s="2085">
        <f>IF(未审附注之非流动资产!C579="",0,未审附注之非流动资产!C579)</f>
        <v>0</v>
      </c>
      <c r="D579" s="2048">
        <f t="shared" si="30"/>
        <v>0</v>
      </c>
      <c r="E579" s="2126"/>
      <c r="F579" s="2080"/>
      <c r="G579" s="2080"/>
      <c r="H579" s="2080"/>
      <c r="I579" s="2080"/>
      <c r="J579" s="2118" t="s">
        <v>915</v>
      </c>
    </row>
    <row r="580" s="2075" customFormat="1" spans="1:10">
      <c r="A580" s="2092">
        <f>IF(未审附注之非流动资产!A580="",0,未审附注之非流动资产!A580)</f>
        <v>0</v>
      </c>
      <c r="B580" s="2085">
        <f>IF(未审附注之非流动资产!B580="",0,未审附注之非流动资产!B580)</f>
        <v>0</v>
      </c>
      <c r="C580" s="2085">
        <f>IF(未审附注之非流动资产!C580="",0,未审附注之非流动资产!C580)</f>
        <v>0</v>
      </c>
      <c r="D580" s="2048">
        <f t="shared" si="30"/>
        <v>0</v>
      </c>
      <c r="E580" s="2126"/>
      <c r="F580" s="2080"/>
      <c r="G580" s="2080"/>
      <c r="H580" s="2080"/>
      <c r="I580" s="2080"/>
      <c r="J580" s="2118" t="s">
        <v>915</v>
      </c>
    </row>
    <row r="581" s="2075" customFormat="1" spans="1:10">
      <c r="A581" s="2092">
        <f>IF(未审附注之非流动资产!A581="",0,未审附注之非流动资产!A581)</f>
        <v>0</v>
      </c>
      <c r="B581" s="2085">
        <f>IF(未审附注之非流动资产!B581="",0,未审附注之非流动资产!B581)</f>
        <v>0</v>
      </c>
      <c r="C581" s="2085">
        <f>IF(未审附注之非流动资产!C581="",0,未审附注之非流动资产!C581)</f>
        <v>0</v>
      </c>
      <c r="D581" s="2048">
        <f t="shared" si="30"/>
        <v>0</v>
      </c>
      <c r="E581" s="2126"/>
      <c r="F581" s="2080"/>
      <c r="G581" s="2080"/>
      <c r="H581" s="2080"/>
      <c r="I581" s="2080"/>
      <c r="J581" s="2118" t="s">
        <v>915</v>
      </c>
    </row>
    <row r="582" s="2075" customFormat="1" spans="1:10">
      <c r="A582" s="2092">
        <f>IF(未审附注之非流动资产!A582="",0,未审附注之非流动资产!A582)</f>
        <v>0</v>
      </c>
      <c r="B582" s="2085">
        <f>IF(未审附注之非流动资产!B582="",0,未审附注之非流动资产!B582)</f>
        <v>0</v>
      </c>
      <c r="C582" s="2085">
        <f>IF(未审附注之非流动资产!C582="",0,未审附注之非流动资产!C582)</f>
        <v>0</v>
      </c>
      <c r="D582" s="2048">
        <f t="shared" si="30"/>
        <v>0</v>
      </c>
      <c r="E582" s="2126"/>
      <c r="F582" s="2080"/>
      <c r="G582" s="2080"/>
      <c r="H582" s="2080"/>
      <c r="I582" s="2080"/>
      <c r="J582" s="2118" t="s">
        <v>915</v>
      </c>
    </row>
    <row r="583" s="2075" customFormat="1" spans="1:10">
      <c r="A583" s="2092">
        <f>IF(未审附注之非流动资产!A583="",0,未审附注之非流动资产!A583)</f>
        <v>0</v>
      </c>
      <c r="B583" s="2085">
        <f>IF(未审附注之非流动资产!B583="",0,未审附注之非流动资产!B583)</f>
        <v>0</v>
      </c>
      <c r="C583" s="2085">
        <f>IF(未审附注之非流动资产!C583="",0,未审附注之非流动资产!C583)</f>
        <v>0</v>
      </c>
      <c r="D583" s="2048">
        <f t="shared" si="30"/>
        <v>0</v>
      </c>
      <c r="E583" s="2126"/>
      <c r="F583" s="2080"/>
      <c r="G583" s="2080"/>
      <c r="H583" s="2080"/>
      <c r="I583" s="2080"/>
      <c r="J583" s="2118" t="s">
        <v>915</v>
      </c>
    </row>
    <row r="584" s="2075" customFormat="1" spans="1:10">
      <c r="A584" s="2092">
        <f>IF(未审附注之非流动资产!A584="",0,未审附注之非流动资产!A584)</f>
        <v>0</v>
      </c>
      <c r="B584" s="2085">
        <f>IF(未审附注之非流动资产!B584="",0,未审附注之非流动资产!B584)</f>
        <v>0</v>
      </c>
      <c r="C584" s="2085">
        <f>IF(未审附注之非流动资产!C584="",0,未审附注之非流动资产!C584)</f>
        <v>0</v>
      </c>
      <c r="D584" s="2048">
        <f t="shared" si="30"/>
        <v>0</v>
      </c>
      <c r="E584" s="2126"/>
      <c r="F584" s="2080"/>
      <c r="G584" s="2080"/>
      <c r="H584" s="2080"/>
      <c r="I584" s="2080"/>
      <c r="J584" s="2118" t="s">
        <v>915</v>
      </c>
    </row>
    <row r="585" spans="1:10">
      <c r="A585" s="2082" t="s">
        <v>384</v>
      </c>
      <c r="B585" s="2048">
        <f>ROUND(SUM(B575:B584),2)</f>
        <v>0</v>
      </c>
      <c r="C585" s="2048">
        <f>ROUND(SUM(C575:C584),2)</f>
        <v>0</v>
      </c>
      <c r="D585" s="2048">
        <f>ROUND(SUM(D575:D584),2)</f>
        <v>0</v>
      </c>
      <c r="E585" s="2126"/>
      <c r="F585" s="2126"/>
      <c r="G585" s="2126"/>
      <c r="H585" s="2126"/>
      <c r="I585" s="2126"/>
      <c r="J585" s="2118" t="s">
        <v>916</v>
      </c>
    </row>
    <row r="586" spans="1:9">
      <c r="A586" s="2143"/>
      <c r="B586" s="2126"/>
      <c r="C586" s="2126"/>
      <c r="D586" s="2126"/>
      <c r="E586" s="2126"/>
      <c r="F586" s="2126"/>
      <c r="G586" s="2126"/>
      <c r="H586" s="2126"/>
      <c r="I586" s="2126"/>
    </row>
    <row r="587" spans="1:9">
      <c r="A587" s="2127" t="s">
        <v>917</v>
      </c>
      <c r="B587" s="2126"/>
      <c r="C587" s="2126"/>
      <c r="D587" s="2126"/>
      <c r="E587" s="2126"/>
      <c r="F587" s="2126"/>
      <c r="G587" s="2126"/>
      <c r="H587" s="2126"/>
      <c r="I587" s="2126"/>
    </row>
    <row r="588" spans="1:9">
      <c r="A588" s="2082" t="s">
        <v>372</v>
      </c>
      <c r="B588" s="2082" t="s">
        <v>918</v>
      </c>
      <c r="C588" s="2082" t="s">
        <v>919</v>
      </c>
      <c r="D588" s="2082" t="s">
        <v>920</v>
      </c>
      <c r="E588" s="2082" t="s">
        <v>921</v>
      </c>
      <c r="F588" s="2126"/>
      <c r="G588" s="2126"/>
      <c r="H588" s="2126"/>
      <c r="I588" s="2126"/>
    </row>
    <row r="589" s="2075" customFormat="1" spans="1:10">
      <c r="A589" s="2092">
        <f>IF(未审附注之非流动资产!A589="",0,未审附注之非流动资产!A589)</f>
        <v>0</v>
      </c>
      <c r="B589" s="2085">
        <f>IF(未审附注之非流动资产!B589="",0,未审附注之非流动资产!B589)</f>
        <v>0</v>
      </c>
      <c r="C589" s="2085">
        <f>IF(未审附注之非流动资产!C589="",0,未审附注之非流动资产!C589)</f>
        <v>0</v>
      </c>
      <c r="D589" s="2092">
        <f>IF(未审附注之非流动资产!D589="",0,未审附注之非流动资产!D589)</f>
        <v>0</v>
      </c>
      <c r="E589" s="2092">
        <f>IF(未审附注之非流动资产!E589="",0,未审附注之非流动资产!E589)</f>
        <v>0</v>
      </c>
      <c r="F589" s="2080"/>
      <c r="G589" s="2080"/>
      <c r="H589" s="2080"/>
      <c r="I589" s="2080"/>
      <c r="J589" s="2118" t="s">
        <v>922</v>
      </c>
    </row>
    <row r="590" s="2075" customFormat="1" spans="1:10">
      <c r="A590" s="2092">
        <f>IF(未审附注之非流动资产!A590="",0,未审附注之非流动资产!A590)</f>
        <v>0</v>
      </c>
      <c r="B590" s="2085">
        <f>IF(未审附注之非流动资产!B590="",0,未审附注之非流动资产!B590)</f>
        <v>0</v>
      </c>
      <c r="C590" s="2085">
        <f>IF(未审附注之非流动资产!C590="",0,未审附注之非流动资产!C590)</f>
        <v>0</v>
      </c>
      <c r="D590" s="2092">
        <f>IF(未审附注之非流动资产!D590="",0,未审附注之非流动资产!D590)</f>
        <v>0</v>
      </c>
      <c r="E590" s="2092">
        <f>IF(未审附注之非流动资产!E590="",0,未审附注之非流动资产!E590)</f>
        <v>0</v>
      </c>
      <c r="F590" s="2080"/>
      <c r="G590" s="2080"/>
      <c r="H590" s="2080"/>
      <c r="I590" s="2080"/>
      <c r="J590" s="2118" t="s">
        <v>922</v>
      </c>
    </row>
    <row r="591" s="2075" customFormat="1" spans="1:10">
      <c r="A591" s="2092">
        <f>IF(未审附注之非流动资产!A591="",0,未审附注之非流动资产!A591)</f>
        <v>0</v>
      </c>
      <c r="B591" s="2085">
        <f>IF(未审附注之非流动资产!B591="",0,未审附注之非流动资产!B591)</f>
        <v>0</v>
      </c>
      <c r="C591" s="2085">
        <f>IF(未审附注之非流动资产!C591="",0,未审附注之非流动资产!C591)</f>
        <v>0</v>
      </c>
      <c r="D591" s="2092">
        <f>IF(未审附注之非流动资产!D591="",0,未审附注之非流动资产!D591)</f>
        <v>0</v>
      </c>
      <c r="E591" s="2092">
        <f>IF(未审附注之非流动资产!E591="",0,未审附注之非流动资产!E591)</f>
        <v>0</v>
      </c>
      <c r="F591" s="2080"/>
      <c r="G591" s="2080"/>
      <c r="H591" s="2080"/>
      <c r="I591" s="2080"/>
      <c r="J591" s="2118" t="s">
        <v>922</v>
      </c>
    </row>
    <row r="592" s="2075" customFormat="1" spans="1:10">
      <c r="A592" s="2092">
        <f>IF(未审附注之非流动资产!A592="",0,未审附注之非流动资产!A592)</f>
        <v>0</v>
      </c>
      <c r="B592" s="2085">
        <f>IF(未审附注之非流动资产!B592="",0,未审附注之非流动资产!B592)</f>
        <v>0</v>
      </c>
      <c r="C592" s="2085">
        <f>IF(未审附注之非流动资产!C592="",0,未审附注之非流动资产!C592)</f>
        <v>0</v>
      </c>
      <c r="D592" s="2092">
        <f>IF(未审附注之非流动资产!D592="",0,未审附注之非流动资产!D592)</f>
        <v>0</v>
      </c>
      <c r="E592" s="2092">
        <f>IF(未审附注之非流动资产!E592="",0,未审附注之非流动资产!E592)</f>
        <v>0</v>
      </c>
      <c r="F592" s="2080"/>
      <c r="G592" s="2080"/>
      <c r="H592" s="2080"/>
      <c r="I592" s="2080"/>
      <c r="J592" s="2118" t="s">
        <v>922</v>
      </c>
    </row>
    <row r="593" s="2075" customFormat="1" spans="1:10">
      <c r="A593" s="2092">
        <f>IF(未审附注之非流动资产!A593="",0,未审附注之非流动资产!A593)</f>
        <v>0</v>
      </c>
      <c r="B593" s="2085">
        <f>IF(未审附注之非流动资产!B593="",0,未审附注之非流动资产!B593)</f>
        <v>0</v>
      </c>
      <c r="C593" s="2085">
        <f>IF(未审附注之非流动资产!C593="",0,未审附注之非流动资产!C593)</f>
        <v>0</v>
      </c>
      <c r="D593" s="2092">
        <f>IF(未审附注之非流动资产!D593="",0,未审附注之非流动资产!D593)</f>
        <v>0</v>
      </c>
      <c r="E593" s="2092">
        <f>IF(未审附注之非流动资产!E593="",0,未审附注之非流动资产!E593)</f>
        <v>0</v>
      </c>
      <c r="F593" s="2080"/>
      <c r="G593" s="2080"/>
      <c r="H593" s="2080"/>
      <c r="I593" s="2080"/>
      <c r="J593" s="2118" t="s">
        <v>922</v>
      </c>
    </row>
    <row r="594" s="2075" customFormat="1" spans="1:10">
      <c r="A594" s="2092">
        <f>IF(未审附注之非流动资产!A594="",0,未审附注之非流动资产!A594)</f>
        <v>0</v>
      </c>
      <c r="B594" s="2085">
        <f>IF(未审附注之非流动资产!B594="",0,未审附注之非流动资产!B594)</f>
        <v>0</v>
      </c>
      <c r="C594" s="2085">
        <f>IF(未审附注之非流动资产!C594="",0,未审附注之非流动资产!C594)</f>
        <v>0</v>
      </c>
      <c r="D594" s="2092">
        <f>IF(未审附注之非流动资产!D594="",0,未审附注之非流动资产!D594)</f>
        <v>0</v>
      </c>
      <c r="E594" s="2092">
        <f>IF(未审附注之非流动资产!E594="",0,未审附注之非流动资产!E594)</f>
        <v>0</v>
      </c>
      <c r="F594" s="2080"/>
      <c r="G594" s="2080"/>
      <c r="H594" s="2080"/>
      <c r="I594" s="2080"/>
      <c r="J594" s="2118" t="s">
        <v>922</v>
      </c>
    </row>
    <row r="595" s="2075" customFormat="1" spans="1:10">
      <c r="A595" s="2092">
        <f>IF(未审附注之非流动资产!A595="",0,未审附注之非流动资产!A595)</f>
        <v>0</v>
      </c>
      <c r="B595" s="2085">
        <f>IF(未审附注之非流动资产!B595="",0,未审附注之非流动资产!B595)</f>
        <v>0</v>
      </c>
      <c r="C595" s="2085">
        <f>IF(未审附注之非流动资产!C595="",0,未审附注之非流动资产!C595)</f>
        <v>0</v>
      </c>
      <c r="D595" s="2092">
        <f>IF(未审附注之非流动资产!D595="",0,未审附注之非流动资产!D595)</f>
        <v>0</v>
      </c>
      <c r="E595" s="2092">
        <f>IF(未审附注之非流动资产!E595="",0,未审附注之非流动资产!E595)</f>
        <v>0</v>
      </c>
      <c r="F595" s="2080"/>
      <c r="G595" s="2080"/>
      <c r="H595" s="2080"/>
      <c r="I595" s="2080"/>
      <c r="J595" s="2118" t="s">
        <v>922</v>
      </c>
    </row>
    <row r="596" s="2075" customFormat="1" spans="1:10">
      <c r="A596" s="2092">
        <f>IF(未审附注之非流动资产!A596="",0,未审附注之非流动资产!A596)</f>
        <v>0</v>
      </c>
      <c r="B596" s="2085">
        <f>IF(未审附注之非流动资产!B596="",0,未审附注之非流动资产!B596)</f>
        <v>0</v>
      </c>
      <c r="C596" s="2085">
        <f>IF(未审附注之非流动资产!C596="",0,未审附注之非流动资产!C596)</f>
        <v>0</v>
      </c>
      <c r="D596" s="2092">
        <f>IF(未审附注之非流动资产!D596="",0,未审附注之非流动资产!D596)</f>
        <v>0</v>
      </c>
      <c r="E596" s="2092">
        <f>IF(未审附注之非流动资产!E596="",0,未审附注之非流动资产!E596)</f>
        <v>0</v>
      </c>
      <c r="F596" s="2080"/>
      <c r="G596" s="2080"/>
      <c r="H596" s="2080"/>
      <c r="I596" s="2080"/>
      <c r="J596" s="2118" t="s">
        <v>922</v>
      </c>
    </row>
    <row r="597" s="2075" customFormat="1" spans="1:10">
      <c r="A597" s="2092">
        <f>IF(未审附注之非流动资产!A597="",0,未审附注之非流动资产!A597)</f>
        <v>0</v>
      </c>
      <c r="B597" s="2085">
        <f>IF(未审附注之非流动资产!B597="",0,未审附注之非流动资产!B597)</f>
        <v>0</v>
      </c>
      <c r="C597" s="2085">
        <f>IF(未审附注之非流动资产!C597="",0,未审附注之非流动资产!C597)</f>
        <v>0</v>
      </c>
      <c r="D597" s="2092">
        <f>IF(未审附注之非流动资产!D597="",0,未审附注之非流动资产!D597)</f>
        <v>0</v>
      </c>
      <c r="E597" s="2092">
        <f>IF(未审附注之非流动资产!E597="",0,未审附注之非流动资产!E597)</f>
        <v>0</v>
      </c>
      <c r="F597" s="2080"/>
      <c r="G597" s="2080"/>
      <c r="H597" s="2080"/>
      <c r="I597" s="2080"/>
      <c r="J597" s="2118" t="s">
        <v>922</v>
      </c>
    </row>
    <row r="598" s="2075" customFormat="1" spans="1:10">
      <c r="A598" s="2092">
        <f>IF(未审附注之非流动资产!A598="",0,未审附注之非流动资产!A598)</f>
        <v>0</v>
      </c>
      <c r="B598" s="2085">
        <f>IF(未审附注之非流动资产!B598="",0,未审附注之非流动资产!B598)</f>
        <v>0</v>
      </c>
      <c r="C598" s="2085">
        <f>IF(未审附注之非流动资产!C598="",0,未审附注之非流动资产!C598)</f>
        <v>0</v>
      </c>
      <c r="D598" s="2092">
        <f>IF(未审附注之非流动资产!D598="",0,未审附注之非流动资产!D598)</f>
        <v>0</v>
      </c>
      <c r="E598" s="2092">
        <f>IF(未审附注之非流动资产!E598="",0,未审附注之非流动资产!E598)</f>
        <v>0</v>
      </c>
      <c r="F598" s="2080"/>
      <c r="G598" s="2080"/>
      <c r="H598" s="2080"/>
      <c r="I598" s="2080"/>
      <c r="J598" s="2118" t="s">
        <v>922</v>
      </c>
    </row>
    <row r="599" spans="1:10">
      <c r="A599" s="2082" t="s">
        <v>384</v>
      </c>
      <c r="B599" s="2048">
        <f>ROUND(SUM(B589:B598),2)</f>
        <v>0</v>
      </c>
      <c r="C599" s="2048">
        <f>ROUND(SUM(C589:C598),2)</f>
        <v>0</v>
      </c>
      <c r="D599" s="2048"/>
      <c r="E599" s="2048"/>
      <c r="F599" s="2126"/>
      <c r="G599" s="2126"/>
      <c r="H599" s="2126"/>
      <c r="I599" s="2126"/>
      <c r="J599" s="2118" t="s">
        <v>923</v>
      </c>
    </row>
    <row r="600" spans="1:9">
      <c r="A600" s="2145"/>
      <c r="B600" s="2100"/>
      <c r="C600" s="2126"/>
      <c r="D600" s="2126"/>
      <c r="E600" s="2126"/>
      <c r="F600" s="2126"/>
      <c r="G600" s="2126"/>
      <c r="H600" s="2126"/>
      <c r="I600" s="2126"/>
    </row>
    <row r="601" spans="1:9">
      <c r="A601" s="2143"/>
      <c r="B601" s="2126"/>
      <c r="C601" s="2126"/>
      <c r="D601" s="2126"/>
      <c r="E601" s="2126"/>
      <c r="F601" s="2126"/>
      <c r="G601" s="2126"/>
      <c r="H601" s="2126"/>
      <c r="I601" s="2126"/>
    </row>
    <row r="602" spans="1:9">
      <c r="A602" s="2125" t="s">
        <v>924</v>
      </c>
      <c r="B602" s="2126"/>
      <c r="C602" s="2126"/>
      <c r="D602" s="2126"/>
      <c r="E602" s="2126"/>
      <c r="F602" s="2126"/>
      <c r="G602" s="2126"/>
      <c r="H602" s="2126"/>
      <c r="I602" s="2126"/>
    </row>
    <row r="603" spans="1:9">
      <c r="A603" s="2082" t="s">
        <v>372</v>
      </c>
      <c r="B603" s="2082" t="s">
        <v>316</v>
      </c>
      <c r="C603" s="2082" t="s">
        <v>581</v>
      </c>
      <c r="D603" s="2082" t="s">
        <v>582</v>
      </c>
      <c r="E603" s="2082" t="s">
        <v>315</v>
      </c>
      <c r="F603" s="2082" t="s">
        <v>925</v>
      </c>
      <c r="G603" s="2099"/>
      <c r="H603" s="2099"/>
      <c r="I603" s="2099"/>
    </row>
    <row r="604" s="2075" customFormat="1" spans="1:10">
      <c r="A604" s="2092">
        <f>IF(未审附注之非流动资产!A604="",0,未审附注之非流动资产!A604)</f>
        <v>0</v>
      </c>
      <c r="B604" s="2085">
        <f>IF(未审附注之非流动资产!B604="",0,未审附注之非流动资产!B604)</f>
        <v>0</v>
      </c>
      <c r="C604" s="2085">
        <f>IF(未审附注之非流动资产!C604="",0,未审附注之非流动资产!C604)</f>
        <v>0</v>
      </c>
      <c r="D604" s="2085">
        <f>IF(未审附注之非流动资产!D604="",0,未审附注之非流动资产!D604)</f>
        <v>0</v>
      </c>
      <c r="E604" s="2048">
        <f>ROUND(B604+C604-D604,2)</f>
        <v>0</v>
      </c>
      <c r="F604" s="2092">
        <f>IF(未审附注之非流动资产!F604="",0,未审附注之非流动资产!F604)</f>
        <v>0</v>
      </c>
      <c r="G604" s="2099"/>
      <c r="H604" s="2099"/>
      <c r="I604" s="2099"/>
      <c r="J604" s="2118" t="s">
        <v>247</v>
      </c>
    </row>
    <row r="605" s="2075" customFormat="1" spans="1:10">
      <c r="A605" s="2092">
        <f>IF(未审附注之非流动资产!A605="",0,未审附注之非流动资产!A605)</f>
        <v>0</v>
      </c>
      <c r="B605" s="2085">
        <f>IF(未审附注之非流动资产!B605="",0,未审附注之非流动资产!B605)</f>
        <v>0</v>
      </c>
      <c r="C605" s="2085">
        <f>IF(未审附注之非流动资产!C605="",0,未审附注之非流动资产!C605)</f>
        <v>0</v>
      </c>
      <c r="D605" s="2085">
        <f>IF(未审附注之非流动资产!D605="",0,未审附注之非流动资产!D605)</f>
        <v>0</v>
      </c>
      <c r="E605" s="2048">
        <f t="shared" ref="E605:E613" si="31">ROUND(B605+C605-D605,2)</f>
        <v>0</v>
      </c>
      <c r="F605" s="2092">
        <f>IF(未审附注之非流动资产!F605="",0,未审附注之非流动资产!F605)</f>
        <v>0</v>
      </c>
      <c r="G605" s="2099"/>
      <c r="H605" s="2099"/>
      <c r="I605" s="2099"/>
      <c r="J605" s="2118" t="s">
        <v>247</v>
      </c>
    </row>
    <row r="606" s="2075" customFormat="1" spans="1:10">
      <c r="A606" s="2092">
        <f>IF(未审附注之非流动资产!A606="",0,未审附注之非流动资产!A606)</f>
        <v>0</v>
      </c>
      <c r="B606" s="2085">
        <f>IF(未审附注之非流动资产!B606="",0,未审附注之非流动资产!B606)</f>
        <v>0</v>
      </c>
      <c r="C606" s="2085">
        <f>IF(未审附注之非流动资产!C606="",0,未审附注之非流动资产!C606)</f>
        <v>0</v>
      </c>
      <c r="D606" s="2085">
        <f>IF(未审附注之非流动资产!D606="",0,未审附注之非流动资产!D606)</f>
        <v>0</v>
      </c>
      <c r="E606" s="2048">
        <f t="shared" si="31"/>
        <v>0</v>
      </c>
      <c r="F606" s="2092">
        <f>IF(未审附注之非流动资产!F606="",0,未审附注之非流动资产!F606)</f>
        <v>0</v>
      </c>
      <c r="G606" s="2099"/>
      <c r="H606" s="2099"/>
      <c r="I606" s="2099"/>
      <c r="J606" s="2118" t="s">
        <v>247</v>
      </c>
    </row>
    <row r="607" s="2075" customFormat="1" spans="1:10">
      <c r="A607" s="2092">
        <f>IF(未审附注之非流动资产!A607="",0,未审附注之非流动资产!A607)</f>
        <v>0</v>
      </c>
      <c r="B607" s="2085">
        <f>IF(未审附注之非流动资产!B607="",0,未审附注之非流动资产!B607)</f>
        <v>0</v>
      </c>
      <c r="C607" s="2085">
        <f>IF(未审附注之非流动资产!C607="",0,未审附注之非流动资产!C607)</f>
        <v>0</v>
      </c>
      <c r="D607" s="2085">
        <f>IF(未审附注之非流动资产!D607="",0,未审附注之非流动资产!D607)</f>
        <v>0</v>
      </c>
      <c r="E607" s="2048">
        <f t="shared" si="31"/>
        <v>0</v>
      </c>
      <c r="F607" s="2092">
        <f>IF(未审附注之非流动资产!F607="",0,未审附注之非流动资产!F607)</f>
        <v>0</v>
      </c>
      <c r="G607" s="2099"/>
      <c r="H607" s="2099"/>
      <c r="I607" s="2099"/>
      <c r="J607" s="2118" t="s">
        <v>247</v>
      </c>
    </row>
    <row r="608" s="2075" customFormat="1" spans="1:10">
      <c r="A608" s="2092">
        <f>IF(未审附注之非流动资产!A608="",0,未审附注之非流动资产!A608)</f>
        <v>0</v>
      </c>
      <c r="B608" s="2085">
        <f>IF(未审附注之非流动资产!B608="",0,未审附注之非流动资产!B608)</f>
        <v>0</v>
      </c>
      <c r="C608" s="2085">
        <f>IF(未审附注之非流动资产!C608="",0,未审附注之非流动资产!C608)</f>
        <v>0</v>
      </c>
      <c r="D608" s="2085">
        <f>IF(未审附注之非流动资产!D608="",0,未审附注之非流动资产!D608)</f>
        <v>0</v>
      </c>
      <c r="E608" s="2048">
        <f t="shared" si="31"/>
        <v>0</v>
      </c>
      <c r="F608" s="2092">
        <f>IF(未审附注之非流动资产!F608="",0,未审附注之非流动资产!F608)</f>
        <v>0</v>
      </c>
      <c r="G608" s="2099"/>
      <c r="H608" s="2099"/>
      <c r="I608" s="2099"/>
      <c r="J608" s="2118" t="s">
        <v>247</v>
      </c>
    </row>
    <row r="609" s="2075" customFormat="1" spans="1:10">
      <c r="A609" s="2092">
        <f>IF(未审附注之非流动资产!A609="",0,未审附注之非流动资产!A609)</f>
        <v>0</v>
      </c>
      <c r="B609" s="2085">
        <f>IF(未审附注之非流动资产!B609="",0,未审附注之非流动资产!B609)</f>
        <v>0</v>
      </c>
      <c r="C609" s="2085">
        <f>IF(未审附注之非流动资产!C609="",0,未审附注之非流动资产!C609)</f>
        <v>0</v>
      </c>
      <c r="D609" s="2085">
        <f>IF(未审附注之非流动资产!D609="",0,未审附注之非流动资产!D609)</f>
        <v>0</v>
      </c>
      <c r="E609" s="2048">
        <f t="shared" si="31"/>
        <v>0</v>
      </c>
      <c r="F609" s="2092">
        <f>IF(未审附注之非流动资产!F609="",0,未审附注之非流动资产!F609)</f>
        <v>0</v>
      </c>
      <c r="G609" s="2099"/>
      <c r="H609" s="2099"/>
      <c r="I609" s="2099"/>
      <c r="J609" s="2118" t="s">
        <v>247</v>
      </c>
    </row>
    <row r="610" s="2075" customFormat="1" spans="1:10">
      <c r="A610" s="2092">
        <f>IF(未审附注之非流动资产!A610="",0,未审附注之非流动资产!A610)</f>
        <v>0</v>
      </c>
      <c r="B610" s="2085">
        <f>IF(未审附注之非流动资产!B610="",0,未审附注之非流动资产!B610)</f>
        <v>0</v>
      </c>
      <c r="C610" s="2085">
        <f>IF(未审附注之非流动资产!C610="",0,未审附注之非流动资产!C610)</f>
        <v>0</v>
      </c>
      <c r="D610" s="2085">
        <f>IF(未审附注之非流动资产!D610="",0,未审附注之非流动资产!D610)</f>
        <v>0</v>
      </c>
      <c r="E610" s="2048">
        <f t="shared" si="31"/>
        <v>0</v>
      </c>
      <c r="F610" s="2092">
        <f>IF(未审附注之非流动资产!F610="",0,未审附注之非流动资产!F610)</f>
        <v>0</v>
      </c>
      <c r="G610" s="2099"/>
      <c r="H610" s="2099"/>
      <c r="I610" s="2099"/>
      <c r="J610" s="2118" t="s">
        <v>247</v>
      </c>
    </row>
    <row r="611" s="2075" customFormat="1" spans="1:10">
      <c r="A611" s="2092">
        <f>IF(未审附注之非流动资产!A611="",0,未审附注之非流动资产!A611)</f>
        <v>0</v>
      </c>
      <c r="B611" s="2085">
        <f>IF(未审附注之非流动资产!B611="",0,未审附注之非流动资产!B611)</f>
        <v>0</v>
      </c>
      <c r="C611" s="2085">
        <f>IF(未审附注之非流动资产!C611="",0,未审附注之非流动资产!C611)</f>
        <v>0</v>
      </c>
      <c r="D611" s="2085">
        <f>IF(未审附注之非流动资产!D611="",0,未审附注之非流动资产!D611)</f>
        <v>0</v>
      </c>
      <c r="E611" s="2048">
        <f t="shared" si="31"/>
        <v>0</v>
      </c>
      <c r="F611" s="2092">
        <f>IF(未审附注之非流动资产!F611="",0,未审附注之非流动资产!F611)</f>
        <v>0</v>
      </c>
      <c r="G611" s="2099"/>
      <c r="H611" s="2099"/>
      <c r="I611" s="2099"/>
      <c r="J611" s="2118" t="s">
        <v>247</v>
      </c>
    </row>
    <row r="612" s="2075" customFormat="1" spans="1:10">
      <c r="A612" s="2092">
        <f>IF(未审附注之非流动资产!A612="",0,未审附注之非流动资产!A612)</f>
        <v>0</v>
      </c>
      <c r="B612" s="2085">
        <f>IF(未审附注之非流动资产!B612="",0,未审附注之非流动资产!B612)</f>
        <v>0</v>
      </c>
      <c r="C612" s="2085">
        <f>IF(未审附注之非流动资产!C612="",0,未审附注之非流动资产!C612)</f>
        <v>0</v>
      </c>
      <c r="D612" s="2085">
        <f>IF(未审附注之非流动资产!D612="",0,未审附注之非流动资产!D612)</f>
        <v>0</v>
      </c>
      <c r="E612" s="2048">
        <f t="shared" si="31"/>
        <v>0</v>
      </c>
      <c r="F612" s="2092">
        <f>IF(未审附注之非流动资产!F612="",0,未审附注之非流动资产!F612)</f>
        <v>0</v>
      </c>
      <c r="G612" s="2099"/>
      <c r="H612" s="2099"/>
      <c r="I612" s="2099"/>
      <c r="J612" s="2118" t="s">
        <v>247</v>
      </c>
    </row>
    <row r="613" s="2075" customFormat="1" spans="1:10">
      <c r="A613" s="2092">
        <f>IF(未审附注之非流动资产!A613="",0,未审附注之非流动资产!A613)</f>
        <v>0</v>
      </c>
      <c r="B613" s="2085">
        <f>IF(未审附注之非流动资产!B613="",0,未审附注之非流动资产!B613)</f>
        <v>0</v>
      </c>
      <c r="C613" s="2085">
        <f>IF(未审附注之非流动资产!C613="",0,未审附注之非流动资产!C613)</f>
        <v>0</v>
      </c>
      <c r="D613" s="2085">
        <f>IF(未审附注之非流动资产!D613="",0,未审附注之非流动资产!D613)</f>
        <v>0</v>
      </c>
      <c r="E613" s="2048">
        <f t="shared" si="31"/>
        <v>0</v>
      </c>
      <c r="F613" s="2092">
        <f>IF(未审附注之非流动资产!F613="",0,未审附注之非流动资产!F613)</f>
        <v>0</v>
      </c>
      <c r="G613" s="2099"/>
      <c r="H613" s="2099"/>
      <c r="I613" s="2099"/>
      <c r="J613" s="2118" t="s">
        <v>247</v>
      </c>
    </row>
    <row r="614" spans="1:10">
      <c r="A614" s="2082" t="s">
        <v>384</v>
      </c>
      <c r="B614" s="2048">
        <f>ROUND(SUM(B604:B613),2)</f>
        <v>0</v>
      </c>
      <c r="C614" s="2048">
        <f>ROUND(SUM(C604:C613),2)</f>
        <v>0</v>
      </c>
      <c r="D614" s="2048">
        <f>ROUND(SUM(D604:D613),2)</f>
        <v>0</v>
      </c>
      <c r="E614" s="2048">
        <f>ROUND(SUM(E604:E613),2)</f>
        <v>0</v>
      </c>
      <c r="F614" s="2048"/>
      <c r="G614" s="2099"/>
      <c r="H614" s="2099"/>
      <c r="I614" s="2099"/>
      <c r="J614" s="2118" t="s">
        <v>926</v>
      </c>
    </row>
    <row r="615" s="2075" customFormat="1" spans="1:10">
      <c r="A615" s="2119"/>
      <c r="B615" s="2119"/>
      <c r="C615" s="2119"/>
      <c r="D615" s="2119"/>
      <c r="E615" s="2119"/>
      <c r="F615" s="2119"/>
      <c r="G615" s="2119"/>
      <c r="H615" s="2119"/>
      <c r="I615" s="2119"/>
      <c r="J615" s="2141"/>
    </row>
    <row r="616" s="2075" customFormat="1" spans="1:10">
      <c r="A616" s="2103"/>
      <c r="B616" s="2080"/>
      <c r="C616" s="2080"/>
      <c r="D616" s="2080"/>
      <c r="E616" s="2080"/>
      <c r="F616" s="2080"/>
      <c r="G616" s="2080"/>
      <c r="H616" s="2080"/>
      <c r="I616" s="2080"/>
      <c r="J616" s="2141"/>
    </row>
    <row r="617" s="2075" customFormat="1" spans="1:10">
      <c r="A617" s="2079" t="s">
        <v>927</v>
      </c>
      <c r="B617" s="2080"/>
      <c r="C617" s="2080"/>
      <c r="D617" s="2080"/>
      <c r="E617" s="2080"/>
      <c r="F617" s="2080"/>
      <c r="G617" s="2080"/>
      <c r="H617" s="2080"/>
      <c r="I617" s="2080"/>
      <c r="J617" s="2141"/>
    </row>
    <row r="618" s="2075" customFormat="1" spans="1:10">
      <c r="A618" s="2082" t="s">
        <v>372</v>
      </c>
      <c r="B618" s="2082" t="s">
        <v>928</v>
      </c>
      <c r="C618" s="2082" t="s">
        <v>627</v>
      </c>
      <c r="D618" s="2082" t="s">
        <v>581</v>
      </c>
      <c r="E618" s="2082" t="s">
        <v>582</v>
      </c>
      <c r="F618" s="2082" t="s">
        <v>315</v>
      </c>
      <c r="G618" s="2082" t="s">
        <v>929</v>
      </c>
      <c r="H618" s="2080"/>
      <c r="I618" s="2080"/>
      <c r="J618" s="2141"/>
    </row>
    <row r="619" s="2075" customFormat="1" spans="1:10">
      <c r="A619" s="2092">
        <f>IF(未审附注之非流动资产!A619="",0,未审附注之非流动资产!A619)</f>
        <v>0</v>
      </c>
      <c r="B619" s="2085">
        <f>IF(未审附注之非流动资产!B619="",0,未审附注之非流动资产!B619)</f>
        <v>0</v>
      </c>
      <c r="C619" s="2085">
        <f>IF(未审附注之非流动资产!C619="",0,未审附注之非流动资产!C619)</f>
        <v>0</v>
      </c>
      <c r="D619" s="2085">
        <f>IF(未审附注之非流动资产!D619="",0,未审附注之非流动资产!D619)</f>
        <v>0</v>
      </c>
      <c r="E619" s="2085">
        <f>IF(未审附注之非流动资产!E619="",0,未审附注之非流动资产!E619)</f>
        <v>0</v>
      </c>
      <c r="F619" s="2048">
        <f>ROUND(C619+D619-E619,2)</f>
        <v>0</v>
      </c>
      <c r="G619" s="2092">
        <f>IF(未审附注之非流动资产!G619="",0,未审附注之非流动资产!G619)</f>
        <v>0</v>
      </c>
      <c r="H619" s="2080"/>
      <c r="I619" s="2080"/>
      <c r="J619" s="2118" t="s">
        <v>249</v>
      </c>
    </row>
    <row r="620" s="2075" customFormat="1" spans="1:10">
      <c r="A620" s="2092">
        <f>IF(未审附注之非流动资产!A620="",0,未审附注之非流动资产!A620)</f>
        <v>0</v>
      </c>
      <c r="B620" s="2085">
        <f>IF(未审附注之非流动资产!B620="",0,未审附注之非流动资产!B620)</f>
        <v>0</v>
      </c>
      <c r="C620" s="2085">
        <f>IF(未审附注之非流动资产!C620="",0,未审附注之非流动资产!C620)</f>
        <v>0</v>
      </c>
      <c r="D620" s="2085">
        <f>IF(未审附注之非流动资产!D620="",0,未审附注之非流动资产!D620)</f>
        <v>0</v>
      </c>
      <c r="E620" s="2085">
        <f>IF(未审附注之非流动资产!E620="",0,未审附注之非流动资产!E620)</f>
        <v>0</v>
      </c>
      <c r="F620" s="2048">
        <f t="shared" ref="F620:F628" si="32">ROUND(C620+D620-E620,2)</f>
        <v>0</v>
      </c>
      <c r="G620" s="2092">
        <f>IF(未审附注之非流动资产!G620="",0,未审附注之非流动资产!G620)</f>
        <v>0</v>
      </c>
      <c r="H620" s="2080"/>
      <c r="I620" s="2080"/>
      <c r="J620" s="2118" t="s">
        <v>249</v>
      </c>
    </row>
    <row r="621" s="2075" customFormat="1" spans="1:10">
      <c r="A621" s="2092">
        <f>IF(未审附注之非流动资产!A621="",0,未审附注之非流动资产!A621)</f>
        <v>0</v>
      </c>
      <c r="B621" s="2085">
        <f>IF(未审附注之非流动资产!B621="",0,未审附注之非流动资产!B621)</f>
        <v>0</v>
      </c>
      <c r="C621" s="2085">
        <f>IF(未审附注之非流动资产!C621="",0,未审附注之非流动资产!C621)</f>
        <v>0</v>
      </c>
      <c r="D621" s="2085">
        <f>IF(未审附注之非流动资产!D621="",0,未审附注之非流动资产!D621)</f>
        <v>0</v>
      </c>
      <c r="E621" s="2085">
        <f>IF(未审附注之非流动资产!E621="",0,未审附注之非流动资产!E621)</f>
        <v>0</v>
      </c>
      <c r="F621" s="2048">
        <f t="shared" si="32"/>
        <v>0</v>
      </c>
      <c r="G621" s="2092">
        <f>IF(未审附注之非流动资产!G621="",0,未审附注之非流动资产!G621)</f>
        <v>0</v>
      </c>
      <c r="H621" s="2080"/>
      <c r="I621" s="2080"/>
      <c r="J621" s="2118" t="s">
        <v>249</v>
      </c>
    </row>
    <row r="622" s="2075" customFormat="1" spans="1:10">
      <c r="A622" s="2092">
        <f>IF(未审附注之非流动资产!A622="",0,未审附注之非流动资产!A622)</f>
        <v>0</v>
      </c>
      <c r="B622" s="2085">
        <f>IF(未审附注之非流动资产!B622="",0,未审附注之非流动资产!B622)</f>
        <v>0</v>
      </c>
      <c r="C622" s="2085">
        <f>IF(未审附注之非流动资产!C622="",0,未审附注之非流动资产!C622)</f>
        <v>0</v>
      </c>
      <c r="D622" s="2085">
        <f>IF(未审附注之非流动资产!D622="",0,未审附注之非流动资产!D622)</f>
        <v>0</v>
      </c>
      <c r="E622" s="2085">
        <f>IF(未审附注之非流动资产!E622="",0,未审附注之非流动资产!E622)</f>
        <v>0</v>
      </c>
      <c r="F622" s="2048">
        <f t="shared" si="32"/>
        <v>0</v>
      </c>
      <c r="G622" s="2092">
        <f>IF(未审附注之非流动资产!G622="",0,未审附注之非流动资产!G622)</f>
        <v>0</v>
      </c>
      <c r="H622" s="2080"/>
      <c r="I622" s="2080"/>
      <c r="J622" s="2118" t="s">
        <v>249</v>
      </c>
    </row>
    <row r="623" s="2075" customFormat="1" spans="1:10">
      <c r="A623" s="2092">
        <f>IF(未审附注之非流动资产!A623="",0,未审附注之非流动资产!A623)</f>
        <v>0</v>
      </c>
      <c r="B623" s="2085">
        <f>IF(未审附注之非流动资产!B623="",0,未审附注之非流动资产!B623)</f>
        <v>0</v>
      </c>
      <c r="C623" s="2085">
        <f>IF(未审附注之非流动资产!C623="",0,未审附注之非流动资产!C623)</f>
        <v>0</v>
      </c>
      <c r="D623" s="2085">
        <f>IF(未审附注之非流动资产!D623="",0,未审附注之非流动资产!D623)</f>
        <v>0</v>
      </c>
      <c r="E623" s="2085">
        <f>IF(未审附注之非流动资产!E623="",0,未审附注之非流动资产!E623)</f>
        <v>0</v>
      </c>
      <c r="F623" s="2048">
        <f t="shared" si="32"/>
        <v>0</v>
      </c>
      <c r="G623" s="2092">
        <f>IF(未审附注之非流动资产!G623="",0,未审附注之非流动资产!G623)</f>
        <v>0</v>
      </c>
      <c r="H623" s="2080"/>
      <c r="I623" s="2080"/>
      <c r="J623" s="2118" t="s">
        <v>249</v>
      </c>
    </row>
    <row r="624" s="2075" customFormat="1" spans="1:10">
      <c r="A624" s="2092">
        <f>IF(未审附注之非流动资产!A624="",0,未审附注之非流动资产!A624)</f>
        <v>0</v>
      </c>
      <c r="B624" s="2085">
        <f>IF(未审附注之非流动资产!B624="",0,未审附注之非流动资产!B624)</f>
        <v>0</v>
      </c>
      <c r="C624" s="2085">
        <f>IF(未审附注之非流动资产!C624="",0,未审附注之非流动资产!C624)</f>
        <v>0</v>
      </c>
      <c r="D624" s="2085">
        <f>IF(未审附注之非流动资产!D624="",0,未审附注之非流动资产!D624)</f>
        <v>0</v>
      </c>
      <c r="E624" s="2085">
        <f>IF(未审附注之非流动资产!E624="",0,未审附注之非流动资产!E624)</f>
        <v>0</v>
      </c>
      <c r="F624" s="2048">
        <f t="shared" si="32"/>
        <v>0</v>
      </c>
      <c r="G624" s="2092">
        <f>IF(未审附注之非流动资产!G624="",0,未审附注之非流动资产!G624)</f>
        <v>0</v>
      </c>
      <c r="H624" s="2080"/>
      <c r="I624" s="2080"/>
      <c r="J624" s="2118" t="s">
        <v>249</v>
      </c>
    </row>
    <row r="625" s="2075" customFormat="1" spans="1:10">
      <c r="A625" s="2092">
        <f>IF(未审附注之非流动资产!A625="",0,未审附注之非流动资产!A625)</f>
        <v>0</v>
      </c>
      <c r="B625" s="2085">
        <f>IF(未审附注之非流动资产!B625="",0,未审附注之非流动资产!B625)</f>
        <v>0</v>
      </c>
      <c r="C625" s="2085">
        <f>IF(未审附注之非流动资产!C625="",0,未审附注之非流动资产!C625)</f>
        <v>0</v>
      </c>
      <c r="D625" s="2085">
        <f>IF(未审附注之非流动资产!D625="",0,未审附注之非流动资产!D625)</f>
        <v>0</v>
      </c>
      <c r="E625" s="2085">
        <f>IF(未审附注之非流动资产!E625="",0,未审附注之非流动资产!E625)</f>
        <v>0</v>
      </c>
      <c r="F625" s="2048">
        <f t="shared" si="32"/>
        <v>0</v>
      </c>
      <c r="G625" s="2092">
        <f>IF(未审附注之非流动资产!G625="",0,未审附注之非流动资产!G625)</f>
        <v>0</v>
      </c>
      <c r="H625" s="2080"/>
      <c r="I625" s="2080"/>
      <c r="J625" s="2118" t="s">
        <v>249</v>
      </c>
    </row>
    <row r="626" s="2075" customFormat="1" spans="1:10">
      <c r="A626" s="2092">
        <f>IF(未审附注之非流动资产!A626="",0,未审附注之非流动资产!A626)</f>
        <v>0</v>
      </c>
      <c r="B626" s="2085">
        <f>IF(未审附注之非流动资产!B626="",0,未审附注之非流动资产!B626)</f>
        <v>0</v>
      </c>
      <c r="C626" s="2085">
        <f>IF(未审附注之非流动资产!C626="",0,未审附注之非流动资产!C626)</f>
        <v>0</v>
      </c>
      <c r="D626" s="2085">
        <f>IF(未审附注之非流动资产!D626="",0,未审附注之非流动资产!D626)</f>
        <v>0</v>
      </c>
      <c r="E626" s="2085">
        <f>IF(未审附注之非流动资产!E626="",0,未审附注之非流动资产!E626)</f>
        <v>0</v>
      </c>
      <c r="F626" s="2048">
        <f t="shared" si="32"/>
        <v>0</v>
      </c>
      <c r="G626" s="2092">
        <f>IF(未审附注之非流动资产!G626="",0,未审附注之非流动资产!G626)</f>
        <v>0</v>
      </c>
      <c r="H626" s="2080"/>
      <c r="I626" s="2080"/>
      <c r="J626" s="2118" t="s">
        <v>249</v>
      </c>
    </row>
    <row r="627" s="2075" customFormat="1" spans="1:10">
      <c r="A627" s="2092">
        <f>IF(未审附注之非流动资产!A627="",0,未审附注之非流动资产!A627)</f>
        <v>0</v>
      </c>
      <c r="B627" s="2085">
        <f>IF(未审附注之非流动资产!B627="",0,未审附注之非流动资产!B627)</f>
        <v>0</v>
      </c>
      <c r="C627" s="2085">
        <f>IF(未审附注之非流动资产!C627="",0,未审附注之非流动资产!C627)</f>
        <v>0</v>
      </c>
      <c r="D627" s="2085">
        <f>IF(未审附注之非流动资产!D627="",0,未审附注之非流动资产!D627)</f>
        <v>0</v>
      </c>
      <c r="E627" s="2085">
        <f>IF(未审附注之非流动资产!E627="",0,未审附注之非流动资产!E627)</f>
        <v>0</v>
      </c>
      <c r="F627" s="2048">
        <f t="shared" si="32"/>
        <v>0</v>
      </c>
      <c r="G627" s="2092">
        <f>IF(未审附注之非流动资产!G627="",0,未审附注之非流动资产!G627)</f>
        <v>0</v>
      </c>
      <c r="H627" s="2080"/>
      <c r="I627" s="2080"/>
      <c r="J627" s="2118" t="s">
        <v>249</v>
      </c>
    </row>
    <row r="628" s="2075" customFormat="1" spans="1:10">
      <c r="A628" s="2092">
        <f>IF(未审附注之非流动资产!A628="",0,未审附注之非流动资产!A628)</f>
        <v>0</v>
      </c>
      <c r="B628" s="2085">
        <f>IF(未审附注之非流动资产!B628="",0,未审附注之非流动资产!B628)</f>
        <v>0</v>
      </c>
      <c r="C628" s="2085">
        <f>IF(未审附注之非流动资产!C628="",0,未审附注之非流动资产!C628)</f>
        <v>0</v>
      </c>
      <c r="D628" s="2085">
        <f>IF(未审附注之非流动资产!D628="",0,未审附注之非流动资产!D628)</f>
        <v>0</v>
      </c>
      <c r="E628" s="2085">
        <f>IF(未审附注之非流动资产!E628="",0,未审附注之非流动资产!E628)</f>
        <v>0</v>
      </c>
      <c r="F628" s="2048">
        <f t="shared" si="32"/>
        <v>0</v>
      </c>
      <c r="G628" s="2092">
        <f>IF(未审附注之非流动资产!G628="",0,未审附注之非流动资产!G628)</f>
        <v>0</v>
      </c>
      <c r="H628" s="2080"/>
      <c r="I628" s="2080"/>
      <c r="J628" s="2118" t="s">
        <v>249</v>
      </c>
    </row>
    <row r="629" s="2075" customFormat="1" spans="1:10">
      <c r="A629" s="2082" t="s">
        <v>384</v>
      </c>
      <c r="B629" s="2048">
        <f>ROUND(SUM(B619:B628),2)</f>
        <v>0</v>
      </c>
      <c r="C629" s="2048">
        <f>ROUND(SUM(C619:C628),2)</f>
        <v>0</v>
      </c>
      <c r="D629" s="2048">
        <f>ROUND(SUM(D619:D628),2)</f>
        <v>0</v>
      </c>
      <c r="E629" s="2048">
        <f>ROUND(SUM(E619:E628),2)</f>
        <v>0</v>
      </c>
      <c r="F629" s="2048">
        <f>ROUND(SUM(F619:F628),2)</f>
        <v>0</v>
      </c>
      <c r="G629" s="2048"/>
      <c r="H629" s="2080"/>
      <c r="I629" s="2080"/>
      <c r="J629" s="2118" t="s">
        <v>930</v>
      </c>
    </row>
    <row r="630" s="2075" customFormat="1" spans="1:10">
      <c r="A630" s="2119"/>
      <c r="B630" s="2119"/>
      <c r="C630" s="2119"/>
      <c r="D630" s="2119"/>
      <c r="E630" s="2119"/>
      <c r="F630" s="2119"/>
      <c r="G630" s="2119"/>
      <c r="H630" s="2119"/>
      <c r="I630" s="2119"/>
      <c r="J630" s="2141"/>
    </row>
    <row r="631" s="2075" customFormat="1" spans="1:10">
      <c r="A631" s="2103"/>
      <c r="B631" s="2080"/>
      <c r="C631" s="2080"/>
      <c r="D631" s="2080"/>
      <c r="E631" s="2080"/>
      <c r="F631" s="2080"/>
      <c r="G631" s="2080"/>
      <c r="H631" s="2080"/>
      <c r="I631" s="2080"/>
      <c r="J631" s="2141"/>
    </row>
    <row r="632" s="2075" customFormat="1" spans="1:10">
      <c r="A632" s="2079" t="s">
        <v>931</v>
      </c>
      <c r="B632" s="2080"/>
      <c r="C632" s="2080"/>
      <c r="D632" s="2080"/>
      <c r="E632" s="2080"/>
      <c r="F632" s="2080"/>
      <c r="G632" s="2080"/>
      <c r="H632" s="2080"/>
      <c r="I632" s="2080"/>
      <c r="J632" s="2141"/>
    </row>
    <row r="633" s="2075" customFormat="1" spans="1:10">
      <c r="A633" s="2082" t="s">
        <v>372</v>
      </c>
      <c r="B633" s="2082" t="s">
        <v>626</v>
      </c>
      <c r="C633" s="2082" t="s">
        <v>627</v>
      </c>
      <c r="D633" s="2082" t="s">
        <v>572</v>
      </c>
      <c r="E633" s="2082" t="s">
        <v>488</v>
      </c>
      <c r="F633" s="2080"/>
      <c r="G633" s="2080"/>
      <c r="H633" s="2080"/>
      <c r="I633" s="2080"/>
      <c r="J633" s="2141"/>
    </row>
    <row r="634" s="2075" customFormat="1" spans="1:10">
      <c r="A634" s="2092">
        <f>IF(未审附注之非流动资产!A634="",0,未审附注之非流动资产!A634)</f>
        <v>0</v>
      </c>
      <c r="B634" s="2085">
        <f>IF(未审附注之非流动资产!B634="",0,未审附注之非流动资产!B634)</f>
        <v>0</v>
      </c>
      <c r="C634" s="2085">
        <f>IF(未审附注之非流动资产!C634="",0,未审附注之非流动资产!C634)</f>
        <v>0</v>
      </c>
      <c r="D634" s="2092">
        <f>IF(未审附注之非流动资产!D634="",0,未审附注之非流动资产!D634)</f>
        <v>0</v>
      </c>
      <c r="E634" s="2092">
        <f>IF(未审附注之非流动资产!E634="",0,未审附注之非流动资产!E634)</f>
        <v>0</v>
      </c>
      <c r="F634" s="2080"/>
      <c r="G634" s="2080"/>
      <c r="H634" s="2080"/>
      <c r="I634" s="2080"/>
      <c r="J634" s="2118" t="s">
        <v>253</v>
      </c>
    </row>
    <row r="635" s="2075" customFormat="1" spans="1:10">
      <c r="A635" s="2092">
        <f>IF(未审附注之非流动资产!A635="",0,未审附注之非流动资产!A635)</f>
        <v>0</v>
      </c>
      <c r="B635" s="2085">
        <f>IF(未审附注之非流动资产!B635="",0,未审附注之非流动资产!B635)</f>
        <v>0</v>
      </c>
      <c r="C635" s="2085">
        <f>IF(未审附注之非流动资产!C635="",0,未审附注之非流动资产!C635)</f>
        <v>0</v>
      </c>
      <c r="D635" s="2092">
        <f>IF(未审附注之非流动资产!D635="",0,未审附注之非流动资产!D635)</f>
        <v>0</v>
      </c>
      <c r="E635" s="2092">
        <f>IF(未审附注之非流动资产!E635="",0,未审附注之非流动资产!E635)</f>
        <v>0</v>
      </c>
      <c r="F635" s="2080"/>
      <c r="G635" s="2080"/>
      <c r="H635" s="2080"/>
      <c r="I635" s="2080"/>
      <c r="J635" s="2118" t="s">
        <v>253</v>
      </c>
    </row>
    <row r="636" s="2075" customFormat="1" spans="1:10">
      <c r="A636" s="2092">
        <f>IF(未审附注之非流动资产!A636="",0,未审附注之非流动资产!A636)</f>
        <v>0</v>
      </c>
      <c r="B636" s="2085">
        <f>IF(未审附注之非流动资产!B636="",0,未审附注之非流动资产!B636)</f>
        <v>0</v>
      </c>
      <c r="C636" s="2085">
        <f>IF(未审附注之非流动资产!C636="",0,未审附注之非流动资产!C636)</f>
        <v>0</v>
      </c>
      <c r="D636" s="2092">
        <f>IF(未审附注之非流动资产!D636="",0,未审附注之非流动资产!D636)</f>
        <v>0</v>
      </c>
      <c r="E636" s="2092">
        <f>IF(未审附注之非流动资产!E636="",0,未审附注之非流动资产!E636)</f>
        <v>0</v>
      </c>
      <c r="F636" s="2080"/>
      <c r="G636" s="2080"/>
      <c r="H636" s="2080"/>
      <c r="I636" s="2080"/>
      <c r="J636" s="2118" t="s">
        <v>253</v>
      </c>
    </row>
    <row r="637" s="2075" customFormat="1" spans="1:10">
      <c r="A637" s="2092">
        <f>IF(未审附注之非流动资产!A637="",0,未审附注之非流动资产!A637)</f>
        <v>0</v>
      </c>
      <c r="B637" s="2085">
        <f>IF(未审附注之非流动资产!B637="",0,未审附注之非流动资产!B637)</f>
        <v>0</v>
      </c>
      <c r="C637" s="2085">
        <f>IF(未审附注之非流动资产!C637="",0,未审附注之非流动资产!C637)</f>
        <v>0</v>
      </c>
      <c r="D637" s="2092">
        <f>IF(未审附注之非流动资产!D637="",0,未审附注之非流动资产!D637)</f>
        <v>0</v>
      </c>
      <c r="E637" s="2092">
        <f>IF(未审附注之非流动资产!E637="",0,未审附注之非流动资产!E637)</f>
        <v>0</v>
      </c>
      <c r="F637" s="2080"/>
      <c r="G637" s="2080"/>
      <c r="H637" s="2080"/>
      <c r="I637" s="2080"/>
      <c r="J637" s="2118" t="s">
        <v>253</v>
      </c>
    </row>
    <row r="638" s="2075" customFormat="1" spans="1:10">
      <c r="A638" s="2092">
        <f>IF(未审附注之非流动资产!A638="",0,未审附注之非流动资产!A638)</f>
        <v>0</v>
      </c>
      <c r="B638" s="2085">
        <f>IF(未审附注之非流动资产!B638="",0,未审附注之非流动资产!B638)</f>
        <v>0</v>
      </c>
      <c r="C638" s="2085">
        <f>IF(未审附注之非流动资产!C638="",0,未审附注之非流动资产!C638)</f>
        <v>0</v>
      </c>
      <c r="D638" s="2092">
        <f>IF(未审附注之非流动资产!D638="",0,未审附注之非流动资产!D638)</f>
        <v>0</v>
      </c>
      <c r="E638" s="2092">
        <f>IF(未审附注之非流动资产!E638="",0,未审附注之非流动资产!E638)</f>
        <v>0</v>
      </c>
      <c r="F638" s="2080"/>
      <c r="G638" s="2080"/>
      <c r="H638" s="2080"/>
      <c r="I638" s="2080"/>
      <c r="J638" s="2118" t="s">
        <v>253</v>
      </c>
    </row>
    <row r="639" s="2075" customFormat="1" spans="1:10">
      <c r="A639" s="2092">
        <f>IF(未审附注之非流动资产!A639="",0,未审附注之非流动资产!A639)</f>
        <v>0</v>
      </c>
      <c r="B639" s="2085">
        <f>IF(未审附注之非流动资产!B639="",0,未审附注之非流动资产!B639)</f>
        <v>0</v>
      </c>
      <c r="C639" s="2085">
        <f>IF(未审附注之非流动资产!C639="",0,未审附注之非流动资产!C639)</f>
        <v>0</v>
      </c>
      <c r="D639" s="2092">
        <f>IF(未审附注之非流动资产!D639="",0,未审附注之非流动资产!D639)</f>
        <v>0</v>
      </c>
      <c r="E639" s="2092">
        <f>IF(未审附注之非流动资产!E639="",0,未审附注之非流动资产!E639)</f>
        <v>0</v>
      </c>
      <c r="F639" s="2080"/>
      <c r="G639" s="2080"/>
      <c r="H639" s="2080"/>
      <c r="I639" s="2080"/>
      <c r="J639" s="2118" t="s">
        <v>253</v>
      </c>
    </row>
    <row r="640" s="2075" customFormat="1" spans="1:10">
      <c r="A640" s="2092">
        <f>IF(未审附注之非流动资产!A640="",0,未审附注之非流动资产!A640)</f>
        <v>0</v>
      </c>
      <c r="B640" s="2085">
        <f>IF(未审附注之非流动资产!B640="",0,未审附注之非流动资产!B640)</f>
        <v>0</v>
      </c>
      <c r="C640" s="2085">
        <f>IF(未审附注之非流动资产!C640="",0,未审附注之非流动资产!C640)</f>
        <v>0</v>
      </c>
      <c r="D640" s="2092">
        <f>IF(未审附注之非流动资产!D640="",0,未审附注之非流动资产!D640)</f>
        <v>0</v>
      </c>
      <c r="E640" s="2092">
        <f>IF(未审附注之非流动资产!E640="",0,未审附注之非流动资产!E640)</f>
        <v>0</v>
      </c>
      <c r="F640" s="2080"/>
      <c r="G640" s="2080"/>
      <c r="H640" s="2080"/>
      <c r="I640" s="2080"/>
      <c r="J640" s="2118" t="s">
        <v>253</v>
      </c>
    </row>
    <row r="641" s="2075" customFormat="1" spans="1:10">
      <c r="A641" s="2092">
        <f>IF(未审附注之非流动资产!A641="",0,未审附注之非流动资产!A641)</f>
        <v>0</v>
      </c>
      <c r="B641" s="2085">
        <f>IF(未审附注之非流动资产!B641="",0,未审附注之非流动资产!B641)</f>
        <v>0</v>
      </c>
      <c r="C641" s="2085">
        <f>IF(未审附注之非流动资产!C641="",0,未审附注之非流动资产!C641)</f>
        <v>0</v>
      </c>
      <c r="D641" s="2092">
        <f>IF(未审附注之非流动资产!D641="",0,未审附注之非流动资产!D641)</f>
        <v>0</v>
      </c>
      <c r="E641" s="2092">
        <f>IF(未审附注之非流动资产!E641="",0,未审附注之非流动资产!E641)</f>
        <v>0</v>
      </c>
      <c r="F641" s="2080"/>
      <c r="G641" s="2080"/>
      <c r="H641" s="2080"/>
      <c r="I641" s="2080"/>
      <c r="J641" s="2118" t="s">
        <v>253</v>
      </c>
    </row>
    <row r="642" s="2075" customFormat="1" spans="1:10">
      <c r="A642" s="2092">
        <f>IF(未审附注之非流动资产!A642="",0,未审附注之非流动资产!A642)</f>
        <v>0</v>
      </c>
      <c r="B642" s="2085">
        <f>IF(未审附注之非流动资产!B642="",0,未审附注之非流动资产!B642)</f>
        <v>0</v>
      </c>
      <c r="C642" s="2085">
        <f>IF(未审附注之非流动资产!C642="",0,未审附注之非流动资产!C642)</f>
        <v>0</v>
      </c>
      <c r="D642" s="2092">
        <f>IF(未审附注之非流动资产!D642="",0,未审附注之非流动资产!D642)</f>
        <v>0</v>
      </c>
      <c r="E642" s="2092">
        <f>IF(未审附注之非流动资产!E642="",0,未审附注之非流动资产!E642)</f>
        <v>0</v>
      </c>
      <c r="F642" s="2080"/>
      <c r="G642" s="2080"/>
      <c r="H642" s="2080"/>
      <c r="I642" s="2080"/>
      <c r="J642" s="2118" t="s">
        <v>253</v>
      </c>
    </row>
    <row r="643" s="2075" customFormat="1" spans="1:10">
      <c r="A643" s="2092">
        <f>IF(未审附注之非流动资产!A643="",0,未审附注之非流动资产!A643)</f>
        <v>0</v>
      </c>
      <c r="B643" s="2085">
        <f>IF(未审附注之非流动资产!B643="",0,未审附注之非流动资产!B643)</f>
        <v>0</v>
      </c>
      <c r="C643" s="2085">
        <f>IF(未审附注之非流动资产!C643="",0,未审附注之非流动资产!C643)</f>
        <v>0</v>
      </c>
      <c r="D643" s="2092">
        <f>IF(未审附注之非流动资产!D643="",0,未审附注之非流动资产!D643)</f>
        <v>0</v>
      </c>
      <c r="E643" s="2092">
        <f>IF(未审附注之非流动资产!E643="",0,未审附注之非流动资产!E643)</f>
        <v>0</v>
      </c>
      <c r="F643" s="2080"/>
      <c r="G643" s="2080"/>
      <c r="H643" s="2080"/>
      <c r="I643" s="2080"/>
      <c r="J643" s="2118" t="s">
        <v>253</v>
      </c>
    </row>
    <row r="644" s="2075" customFormat="1" spans="1:10">
      <c r="A644" s="2082" t="s">
        <v>384</v>
      </c>
      <c r="B644" s="2048">
        <f>ROUND(SUM(B634:B643),2)</f>
        <v>0</v>
      </c>
      <c r="C644" s="2048">
        <f>ROUND(SUM(C634:C643),2)</f>
        <v>0</v>
      </c>
      <c r="D644" s="2048"/>
      <c r="E644" s="2048"/>
      <c r="F644" s="2080"/>
      <c r="G644" s="2080"/>
      <c r="H644" s="2080"/>
      <c r="I644" s="2080"/>
      <c r="J644" s="2118" t="s">
        <v>932</v>
      </c>
    </row>
    <row r="645" spans="1:9">
      <c r="A645" s="2136"/>
      <c r="B645" s="2126"/>
      <c r="C645" s="2126"/>
      <c r="D645" s="2126"/>
      <c r="E645" s="2126"/>
      <c r="F645" s="2126"/>
      <c r="G645" s="2099"/>
      <c r="H645" s="2099"/>
      <c r="I645" s="2099"/>
    </row>
    <row r="646" spans="1:9">
      <c r="A646" s="2136"/>
      <c r="B646" s="2126"/>
      <c r="C646" s="2126"/>
      <c r="D646" s="2126"/>
      <c r="E646" s="2126"/>
      <c r="F646" s="2126"/>
      <c r="G646" s="2099"/>
      <c r="H646" s="2099"/>
      <c r="I646" s="2099"/>
    </row>
    <row r="647" spans="1:9">
      <c r="A647" s="2125" t="s">
        <v>933</v>
      </c>
      <c r="B647" s="2126"/>
      <c r="C647" s="2126"/>
      <c r="D647" s="2126"/>
      <c r="E647" s="2126"/>
      <c r="F647" s="2126"/>
      <c r="G647" s="2099"/>
      <c r="H647" s="2099"/>
      <c r="I647" s="2099"/>
    </row>
    <row r="648" spans="1:9">
      <c r="A648" s="2082" t="s">
        <v>372</v>
      </c>
      <c r="B648" s="2082" t="s">
        <v>315</v>
      </c>
      <c r="C648" s="2082" t="s">
        <v>316</v>
      </c>
      <c r="D648" s="2126"/>
      <c r="E648" s="2126"/>
      <c r="F648" s="2126"/>
      <c r="G648" s="2099"/>
      <c r="H648" s="2099"/>
      <c r="I648" s="2099"/>
    </row>
    <row r="649" spans="1:9">
      <c r="A649" s="2129" t="s">
        <v>934</v>
      </c>
      <c r="B649" s="2083"/>
      <c r="C649" s="2083"/>
      <c r="D649" s="2126"/>
      <c r="E649" s="2126"/>
      <c r="F649" s="2126"/>
      <c r="G649" s="2126"/>
      <c r="H649" s="2126"/>
      <c r="I649" s="2126"/>
    </row>
    <row r="650" s="2075" customFormat="1" spans="1:10">
      <c r="A650" s="2092">
        <f>IF(未审附注之非流动资产!A650="",0,未审附注之非流动资产!A650)</f>
        <v>0</v>
      </c>
      <c r="B650" s="2085">
        <f>IF(未审附注之非流动资产!B650="",0,未审附注之非流动资产!B650)</f>
        <v>0</v>
      </c>
      <c r="C650" s="2085">
        <f>IF(未审附注之非流动资产!C650="",0,未审附注之非流动资产!C650)</f>
        <v>0</v>
      </c>
      <c r="D650" s="2126"/>
      <c r="E650" s="2126"/>
      <c r="F650" s="2126"/>
      <c r="G650" s="2126"/>
      <c r="H650" s="2126"/>
      <c r="I650" s="2126"/>
      <c r="J650" s="2118" t="s">
        <v>251</v>
      </c>
    </row>
    <row r="651" s="2075" customFormat="1" spans="1:10">
      <c r="A651" s="2092">
        <f>IF(未审附注之非流动资产!A651="",0,未审附注之非流动资产!A651)</f>
        <v>0</v>
      </c>
      <c r="B651" s="2085">
        <f>IF(未审附注之非流动资产!B651="",0,未审附注之非流动资产!B651)</f>
        <v>0</v>
      </c>
      <c r="C651" s="2085">
        <f>IF(未审附注之非流动资产!C651="",0,未审附注之非流动资产!C651)</f>
        <v>0</v>
      </c>
      <c r="D651" s="2126"/>
      <c r="E651" s="2126"/>
      <c r="F651" s="2126"/>
      <c r="G651" s="2126"/>
      <c r="H651" s="2126"/>
      <c r="I651" s="2126"/>
      <c r="J651" s="2118" t="s">
        <v>251</v>
      </c>
    </row>
    <row r="652" s="2075" customFormat="1" spans="1:10">
      <c r="A652" s="2092">
        <f>IF(未审附注之非流动资产!A652="",0,未审附注之非流动资产!A652)</f>
        <v>0</v>
      </c>
      <c r="B652" s="2085">
        <f>IF(未审附注之非流动资产!B652="",0,未审附注之非流动资产!B652)</f>
        <v>0</v>
      </c>
      <c r="C652" s="2085">
        <f>IF(未审附注之非流动资产!C652="",0,未审附注之非流动资产!C652)</f>
        <v>0</v>
      </c>
      <c r="D652" s="2126"/>
      <c r="E652" s="2126"/>
      <c r="F652" s="2126"/>
      <c r="G652" s="2126"/>
      <c r="H652" s="2126"/>
      <c r="I652" s="2126"/>
      <c r="J652" s="2118" t="s">
        <v>251</v>
      </c>
    </row>
    <row r="653" s="2075" customFormat="1" spans="1:10">
      <c r="A653" s="2092">
        <f>IF(未审附注之非流动资产!A653="",0,未审附注之非流动资产!A653)</f>
        <v>0</v>
      </c>
      <c r="B653" s="2085">
        <f>IF(未审附注之非流动资产!B653="",0,未审附注之非流动资产!B653)</f>
        <v>0</v>
      </c>
      <c r="C653" s="2085">
        <f>IF(未审附注之非流动资产!C653="",0,未审附注之非流动资产!C653)</f>
        <v>0</v>
      </c>
      <c r="D653" s="2126"/>
      <c r="E653" s="2126"/>
      <c r="F653" s="2126"/>
      <c r="G653" s="2126"/>
      <c r="H653" s="2126"/>
      <c r="I653" s="2126"/>
      <c r="J653" s="2118" t="s">
        <v>251</v>
      </c>
    </row>
    <row r="654" s="2075" customFormat="1" spans="1:10">
      <c r="A654" s="2092">
        <f>IF(未审附注之非流动资产!A654="",0,未审附注之非流动资产!A654)</f>
        <v>0</v>
      </c>
      <c r="B654" s="2085">
        <f>IF(未审附注之非流动资产!B654="",0,未审附注之非流动资产!B654)</f>
        <v>0</v>
      </c>
      <c r="C654" s="2085">
        <f>IF(未审附注之非流动资产!C654="",0,未审附注之非流动资产!C654)</f>
        <v>0</v>
      </c>
      <c r="D654" s="2126"/>
      <c r="E654" s="2126"/>
      <c r="F654" s="2126"/>
      <c r="G654" s="2126"/>
      <c r="H654" s="2126"/>
      <c r="I654" s="2126"/>
      <c r="J654" s="2118" t="s">
        <v>251</v>
      </c>
    </row>
    <row r="655" s="2075" customFormat="1" spans="1:10">
      <c r="A655" s="2092">
        <f>IF(未审附注之非流动资产!A655="",0,未审附注之非流动资产!A655)</f>
        <v>0</v>
      </c>
      <c r="B655" s="2085">
        <f>IF(未审附注之非流动资产!B655="",0,未审附注之非流动资产!B655)</f>
        <v>0</v>
      </c>
      <c r="C655" s="2085">
        <f>IF(未审附注之非流动资产!C655="",0,未审附注之非流动资产!C655)</f>
        <v>0</v>
      </c>
      <c r="D655" s="2126"/>
      <c r="E655" s="2126"/>
      <c r="F655" s="2126"/>
      <c r="G655" s="2126"/>
      <c r="H655" s="2126"/>
      <c r="I655" s="2126"/>
      <c r="J655" s="2118" t="s">
        <v>251</v>
      </c>
    </row>
    <row r="656" s="2075" customFormat="1" spans="1:10">
      <c r="A656" s="2092">
        <f>IF(未审附注之非流动资产!A656="",0,未审附注之非流动资产!A656)</f>
        <v>0</v>
      </c>
      <c r="B656" s="2085">
        <f>IF(未审附注之非流动资产!B656="",0,未审附注之非流动资产!B656)</f>
        <v>0</v>
      </c>
      <c r="C656" s="2085">
        <f>IF(未审附注之非流动资产!C656="",0,未审附注之非流动资产!C656)</f>
        <v>0</v>
      </c>
      <c r="D656" s="2126"/>
      <c r="E656" s="2126"/>
      <c r="F656" s="2126"/>
      <c r="G656" s="2126"/>
      <c r="H656" s="2126"/>
      <c r="I656" s="2126"/>
      <c r="J656" s="2118" t="s">
        <v>251</v>
      </c>
    </row>
    <row r="657" s="2075" customFormat="1" spans="1:10">
      <c r="A657" s="2092">
        <f>IF(未审附注之非流动资产!A657="",0,未审附注之非流动资产!A657)</f>
        <v>0</v>
      </c>
      <c r="B657" s="2085">
        <f>IF(未审附注之非流动资产!B657="",0,未审附注之非流动资产!B657)</f>
        <v>0</v>
      </c>
      <c r="C657" s="2085">
        <f>IF(未审附注之非流动资产!C657="",0,未审附注之非流动资产!C657)</f>
        <v>0</v>
      </c>
      <c r="D657" s="2126"/>
      <c r="E657" s="2126"/>
      <c r="F657" s="2126"/>
      <c r="G657" s="2126"/>
      <c r="H657" s="2126"/>
      <c r="I657" s="2126"/>
      <c r="J657" s="2118" t="s">
        <v>251</v>
      </c>
    </row>
    <row r="658" s="2075" customFormat="1" spans="1:10">
      <c r="A658" s="2092">
        <f>IF(未审附注之非流动资产!A658="",0,未审附注之非流动资产!A658)</f>
        <v>0</v>
      </c>
      <c r="B658" s="2085">
        <f>IF(未审附注之非流动资产!B658="",0,未审附注之非流动资产!B658)</f>
        <v>0</v>
      </c>
      <c r="C658" s="2085">
        <f>IF(未审附注之非流动资产!C658="",0,未审附注之非流动资产!C658)</f>
        <v>0</v>
      </c>
      <c r="D658" s="2126"/>
      <c r="E658" s="2126"/>
      <c r="F658" s="2126"/>
      <c r="G658" s="2126"/>
      <c r="H658" s="2126"/>
      <c r="I658" s="2126"/>
      <c r="J658" s="2118" t="s">
        <v>251</v>
      </c>
    </row>
    <row r="659" s="2075" customFormat="1" spans="1:10">
      <c r="A659" s="2092">
        <f>IF(未审附注之非流动资产!A659="",0,未审附注之非流动资产!A659)</f>
        <v>0</v>
      </c>
      <c r="B659" s="2085">
        <f>IF(未审附注之非流动资产!B659="",0,未审附注之非流动资产!B659)</f>
        <v>0</v>
      </c>
      <c r="C659" s="2085">
        <f>IF(未审附注之非流动资产!C659="",0,未审附注之非流动资产!C659)</f>
        <v>0</v>
      </c>
      <c r="D659" s="2126"/>
      <c r="E659" s="2126"/>
      <c r="F659" s="2126"/>
      <c r="G659" s="2126"/>
      <c r="H659" s="2126"/>
      <c r="I659" s="2126"/>
      <c r="J659" s="2118" t="s">
        <v>251</v>
      </c>
    </row>
    <row r="660" spans="1:10">
      <c r="A660" s="2082" t="s">
        <v>384</v>
      </c>
      <c r="B660" s="2048">
        <f>ROUND(SUM(B650:B659),2)</f>
        <v>0</v>
      </c>
      <c r="C660" s="2048">
        <f>ROUND(SUM(C650:C659),2)</f>
        <v>0</v>
      </c>
      <c r="D660" s="2126"/>
      <c r="E660" s="2126"/>
      <c r="F660" s="2126"/>
      <c r="G660" s="2126"/>
      <c r="H660" s="2126"/>
      <c r="I660" s="2126"/>
      <c r="J660" s="2118" t="s">
        <v>935</v>
      </c>
    </row>
    <row r="661" spans="1:9">
      <c r="A661" s="2082"/>
      <c r="B661" s="2083"/>
      <c r="C661" s="2083"/>
      <c r="D661" s="2126"/>
      <c r="E661" s="2126"/>
      <c r="F661" s="2126"/>
      <c r="G661" s="2126"/>
      <c r="H661" s="2126"/>
      <c r="I661" s="2126"/>
    </row>
    <row r="662" spans="1:9">
      <c r="A662" s="2129" t="s">
        <v>936</v>
      </c>
      <c r="B662" s="2083"/>
      <c r="C662" s="2083"/>
      <c r="D662" s="2126"/>
      <c r="E662" s="2126"/>
      <c r="F662" s="2126"/>
      <c r="G662" s="2126"/>
      <c r="H662" s="2126"/>
      <c r="I662" s="2126"/>
    </row>
    <row r="663" s="2075" customFormat="1" spans="1:10">
      <c r="A663" s="2092">
        <f>IF(未审附注之非流动资产!A663="",0,未审附注之非流动资产!A663)</f>
        <v>0</v>
      </c>
      <c r="B663" s="2085">
        <f>IF(未审附注之非流动资产!B663="",0,未审附注之非流动资产!B663)</f>
        <v>0</v>
      </c>
      <c r="C663" s="2085">
        <f>IF(未审附注之非流动资产!C663="",0,未审附注之非流动资产!C663)</f>
        <v>0</v>
      </c>
      <c r="D663" s="2126"/>
      <c r="E663" s="2126"/>
      <c r="F663" s="2126"/>
      <c r="G663" s="2126"/>
      <c r="H663" s="2126"/>
      <c r="I663" s="2126"/>
      <c r="J663" s="2118" t="s">
        <v>236</v>
      </c>
    </row>
    <row r="664" s="2075" customFormat="1" spans="1:10">
      <c r="A664" s="2092">
        <f>IF(未审附注之非流动资产!A664="",0,未审附注之非流动资产!A664)</f>
        <v>0</v>
      </c>
      <c r="B664" s="2085">
        <f>IF(未审附注之非流动资产!B664="",0,未审附注之非流动资产!B664)</f>
        <v>0</v>
      </c>
      <c r="C664" s="2085">
        <f>IF(未审附注之非流动资产!C664="",0,未审附注之非流动资产!C664)</f>
        <v>0</v>
      </c>
      <c r="D664" s="2126"/>
      <c r="E664" s="2126"/>
      <c r="F664" s="2126"/>
      <c r="G664" s="2126"/>
      <c r="H664" s="2126"/>
      <c r="I664" s="2126"/>
      <c r="J664" s="2118" t="s">
        <v>236</v>
      </c>
    </row>
    <row r="665" s="2075" customFormat="1" spans="1:10">
      <c r="A665" s="2092">
        <f>IF(未审附注之非流动资产!A665="",0,未审附注之非流动资产!A665)</f>
        <v>0</v>
      </c>
      <c r="B665" s="2085">
        <f>IF(未审附注之非流动资产!B665="",0,未审附注之非流动资产!B665)</f>
        <v>0</v>
      </c>
      <c r="C665" s="2085">
        <f>IF(未审附注之非流动资产!C665="",0,未审附注之非流动资产!C665)</f>
        <v>0</v>
      </c>
      <c r="D665" s="2126"/>
      <c r="E665" s="2126"/>
      <c r="F665" s="2126"/>
      <c r="G665" s="2126"/>
      <c r="H665" s="2126"/>
      <c r="I665" s="2126"/>
      <c r="J665" s="2118" t="s">
        <v>236</v>
      </c>
    </row>
    <row r="666" s="2075" customFormat="1" spans="1:10">
      <c r="A666" s="2092">
        <f>IF(未审附注之非流动资产!A666="",0,未审附注之非流动资产!A666)</f>
        <v>0</v>
      </c>
      <c r="B666" s="2085">
        <f>IF(未审附注之非流动资产!B666="",0,未审附注之非流动资产!B666)</f>
        <v>0</v>
      </c>
      <c r="C666" s="2085">
        <f>IF(未审附注之非流动资产!C666="",0,未审附注之非流动资产!C666)</f>
        <v>0</v>
      </c>
      <c r="D666" s="2126"/>
      <c r="E666" s="2126"/>
      <c r="F666" s="2126"/>
      <c r="G666" s="2126"/>
      <c r="H666" s="2126"/>
      <c r="I666" s="2126"/>
      <c r="J666" s="2118" t="s">
        <v>236</v>
      </c>
    </row>
    <row r="667" s="2075" customFormat="1" spans="1:10">
      <c r="A667" s="2092">
        <f>IF(未审附注之非流动资产!A667="",0,未审附注之非流动资产!A667)</f>
        <v>0</v>
      </c>
      <c r="B667" s="2085">
        <f>IF(未审附注之非流动资产!B667="",0,未审附注之非流动资产!B667)</f>
        <v>0</v>
      </c>
      <c r="C667" s="2085">
        <f>IF(未审附注之非流动资产!C667="",0,未审附注之非流动资产!C667)</f>
        <v>0</v>
      </c>
      <c r="D667" s="2126"/>
      <c r="E667" s="2126"/>
      <c r="F667" s="2126"/>
      <c r="G667" s="2126"/>
      <c r="H667" s="2126"/>
      <c r="I667" s="2126"/>
      <c r="J667" s="2118" t="s">
        <v>236</v>
      </c>
    </row>
    <row r="668" s="2075" customFormat="1" spans="1:10">
      <c r="A668" s="2092">
        <f>IF(未审附注之非流动资产!A668="",0,未审附注之非流动资产!A668)</f>
        <v>0</v>
      </c>
      <c r="B668" s="2085">
        <f>IF(未审附注之非流动资产!B668="",0,未审附注之非流动资产!B668)</f>
        <v>0</v>
      </c>
      <c r="C668" s="2085">
        <f>IF(未审附注之非流动资产!C668="",0,未审附注之非流动资产!C668)</f>
        <v>0</v>
      </c>
      <c r="D668" s="2126"/>
      <c r="E668" s="2126"/>
      <c r="F668" s="2126"/>
      <c r="G668" s="2126"/>
      <c r="H668" s="2126"/>
      <c r="I668" s="2126"/>
      <c r="J668" s="2118" t="s">
        <v>236</v>
      </c>
    </row>
    <row r="669" s="2075" customFormat="1" spans="1:10">
      <c r="A669" s="2092">
        <f>IF(未审附注之非流动资产!A669="",0,未审附注之非流动资产!A669)</f>
        <v>0</v>
      </c>
      <c r="B669" s="2085">
        <f>IF(未审附注之非流动资产!B669="",0,未审附注之非流动资产!B669)</f>
        <v>0</v>
      </c>
      <c r="C669" s="2085">
        <f>IF(未审附注之非流动资产!C669="",0,未审附注之非流动资产!C669)</f>
        <v>0</v>
      </c>
      <c r="D669" s="2126"/>
      <c r="E669" s="2126"/>
      <c r="F669" s="2126"/>
      <c r="G669" s="2126"/>
      <c r="H669" s="2126"/>
      <c r="I669" s="2126"/>
      <c r="J669" s="2118" t="s">
        <v>236</v>
      </c>
    </row>
    <row r="670" s="2075" customFormat="1" spans="1:10">
      <c r="A670" s="2092">
        <f>IF(未审附注之非流动资产!A670="",0,未审附注之非流动资产!A670)</f>
        <v>0</v>
      </c>
      <c r="B670" s="2085">
        <f>IF(未审附注之非流动资产!B670="",0,未审附注之非流动资产!B670)</f>
        <v>0</v>
      </c>
      <c r="C670" s="2085">
        <f>IF(未审附注之非流动资产!C670="",0,未审附注之非流动资产!C670)</f>
        <v>0</v>
      </c>
      <c r="D670" s="2126"/>
      <c r="E670" s="2126"/>
      <c r="F670" s="2126"/>
      <c r="G670" s="2126"/>
      <c r="H670" s="2126"/>
      <c r="I670" s="2126"/>
      <c r="J670" s="2118" t="s">
        <v>236</v>
      </c>
    </row>
    <row r="671" s="2075" customFormat="1" spans="1:10">
      <c r="A671" s="2092">
        <f>IF(未审附注之非流动资产!A671="",0,未审附注之非流动资产!A671)</f>
        <v>0</v>
      </c>
      <c r="B671" s="2085">
        <f>IF(未审附注之非流动资产!B671="",0,未审附注之非流动资产!B671)</f>
        <v>0</v>
      </c>
      <c r="C671" s="2085">
        <f>IF(未审附注之非流动资产!C671="",0,未审附注之非流动资产!C671)</f>
        <v>0</v>
      </c>
      <c r="D671" s="2126"/>
      <c r="E671" s="2126"/>
      <c r="F671" s="2126"/>
      <c r="G671" s="2126"/>
      <c r="H671" s="2126"/>
      <c r="I671" s="2126"/>
      <c r="J671" s="2118" t="s">
        <v>236</v>
      </c>
    </row>
    <row r="672" s="2075" customFormat="1" spans="1:10">
      <c r="A672" s="2092">
        <f>IF(未审附注之非流动资产!A672="",0,未审附注之非流动资产!A672)</f>
        <v>0</v>
      </c>
      <c r="B672" s="2085">
        <f>IF(未审附注之非流动资产!B672="",0,未审附注之非流动资产!B672)</f>
        <v>0</v>
      </c>
      <c r="C672" s="2085">
        <f>IF(未审附注之非流动资产!C672="",0,未审附注之非流动资产!C672)</f>
        <v>0</v>
      </c>
      <c r="D672" s="2126"/>
      <c r="E672" s="2126"/>
      <c r="F672" s="2126"/>
      <c r="G672" s="2126"/>
      <c r="H672" s="2126"/>
      <c r="I672" s="2126"/>
      <c r="J672" s="2118" t="s">
        <v>236</v>
      </c>
    </row>
    <row r="673" spans="1:10">
      <c r="A673" s="2082" t="s">
        <v>384</v>
      </c>
      <c r="B673" s="2048">
        <f>ROUND(SUM(B663:B672),2)</f>
        <v>0</v>
      </c>
      <c r="C673" s="2048">
        <f>ROUND(SUM(C663:C672),2)</f>
        <v>0</v>
      </c>
      <c r="D673" s="2126"/>
      <c r="E673" s="2126"/>
      <c r="F673" s="2126"/>
      <c r="G673" s="2126"/>
      <c r="H673" s="2126"/>
      <c r="I673" s="2126"/>
      <c r="J673" s="2118" t="s">
        <v>937</v>
      </c>
    </row>
    <row r="674" spans="1:9">
      <c r="A674" s="2143"/>
      <c r="B674" s="2126"/>
      <c r="C674" s="2126"/>
      <c r="D674" s="2126"/>
      <c r="E674" s="2126"/>
      <c r="F674" s="2126"/>
      <c r="G674" s="2126"/>
      <c r="H674" s="2126"/>
      <c r="I674" s="2126"/>
    </row>
    <row r="675" spans="1:9">
      <c r="A675" s="2143"/>
      <c r="B675" s="2126"/>
      <c r="C675" s="2126"/>
      <c r="D675" s="2126"/>
      <c r="E675" s="2126"/>
      <c r="F675" s="2126"/>
      <c r="G675" s="2126"/>
      <c r="H675" s="2126"/>
      <c r="I675" s="2126"/>
    </row>
    <row r="676" spans="1:9">
      <c r="A676" s="2134" t="s">
        <v>938</v>
      </c>
      <c r="B676" s="2126"/>
      <c r="C676" s="2126"/>
      <c r="D676" s="2126"/>
      <c r="E676" s="2126"/>
      <c r="F676" s="2126"/>
      <c r="G676" s="2126"/>
      <c r="H676" s="2126"/>
      <c r="I676" s="2126"/>
    </row>
    <row r="677" spans="1:9">
      <c r="A677" s="2082" t="s">
        <v>372</v>
      </c>
      <c r="B677" s="2082" t="s">
        <v>316</v>
      </c>
      <c r="C677" s="2082" t="s">
        <v>607</v>
      </c>
      <c r="D677" s="2082" t="s">
        <v>582</v>
      </c>
      <c r="E677" s="2083"/>
      <c r="F677" s="2082" t="s">
        <v>315</v>
      </c>
      <c r="G677" s="2099"/>
      <c r="H677" s="2099"/>
      <c r="I677" s="2099"/>
    </row>
    <row r="678" spans="1:9">
      <c r="A678" s="2083"/>
      <c r="B678" s="2083"/>
      <c r="C678" s="2083"/>
      <c r="D678" s="2082" t="s">
        <v>611</v>
      </c>
      <c r="E678" s="2082" t="s">
        <v>612</v>
      </c>
      <c r="F678" s="2083"/>
      <c r="G678" s="2094"/>
      <c r="H678" s="2094"/>
      <c r="I678" s="2094"/>
    </row>
    <row r="679" spans="1:10">
      <c r="A679" s="2129" t="s">
        <v>939</v>
      </c>
      <c r="B679" s="2085">
        <f>IF(未审附注之非流动资产!B679="",0,未审附注之非流动资产!B679)</f>
        <v>0</v>
      </c>
      <c r="C679" s="2085">
        <f>IF(未审附注之非流动资产!C679="",0,未审附注之非流动资产!C679)</f>
        <v>0</v>
      </c>
      <c r="D679" s="2085">
        <f>IF(未审附注之非流动资产!D679="",0,未审附注之非流动资产!D679)</f>
        <v>0</v>
      </c>
      <c r="E679" s="2085">
        <f>IF(未审附注之非流动资产!E679="",0,未审附注之非流动资产!E679)</f>
        <v>0</v>
      </c>
      <c r="F679" s="2048">
        <f>ROUND(B679+C679-D679-E679,2)</f>
        <v>0</v>
      </c>
      <c r="G679" s="2100"/>
      <c r="H679" s="2100"/>
      <c r="I679" s="2100"/>
      <c r="J679" s="2135" t="s">
        <v>940</v>
      </c>
    </row>
    <row r="680" spans="1:10">
      <c r="A680" s="2129" t="s">
        <v>941</v>
      </c>
      <c r="B680" s="2085">
        <f>IF(未审附注之非流动资产!B680="",0,未审附注之非流动资产!B680)</f>
        <v>0</v>
      </c>
      <c r="C680" s="2085">
        <f>IF(未审附注之非流动资产!C680="",0,未审附注之非流动资产!C680)</f>
        <v>0</v>
      </c>
      <c r="D680" s="2085">
        <f>IF(未审附注之非流动资产!D680="",0,未审附注之非流动资产!D680)</f>
        <v>0</v>
      </c>
      <c r="E680" s="2085">
        <f>IF(未审附注之非流动资产!E680="",0,未审附注之非流动资产!E680)</f>
        <v>0</v>
      </c>
      <c r="F680" s="2048">
        <f t="shared" ref="F680:F693" si="33">ROUND(B680+C680-D680-E680,2)</f>
        <v>0</v>
      </c>
      <c r="G680" s="2100"/>
      <c r="H680" s="2100"/>
      <c r="I680" s="2100"/>
      <c r="J680" s="2135" t="s">
        <v>942</v>
      </c>
    </row>
    <row r="681" spans="1:10">
      <c r="A681" s="2129" t="s">
        <v>943</v>
      </c>
      <c r="B681" s="2085">
        <f>IF(未审附注之非流动资产!B681="",0,未审附注之非流动资产!B681)</f>
        <v>0</v>
      </c>
      <c r="C681" s="2085">
        <f>IF(未审附注之非流动资产!C681="",0,未审附注之非流动资产!C681)</f>
        <v>0</v>
      </c>
      <c r="D681" s="2085">
        <f>IF(未审附注之非流动资产!D681="",0,未审附注之非流动资产!D681)</f>
        <v>0</v>
      </c>
      <c r="E681" s="2085">
        <f>IF(未审附注之非流动资产!E681="",0,未审附注之非流动资产!E681)</f>
        <v>0</v>
      </c>
      <c r="F681" s="2048">
        <f t="shared" si="33"/>
        <v>0</v>
      </c>
      <c r="G681" s="2100"/>
      <c r="H681" s="2100"/>
      <c r="I681" s="2100"/>
      <c r="J681" s="2135" t="s">
        <v>944</v>
      </c>
    </row>
    <row r="682" spans="1:10">
      <c r="A682" s="2129" t="s">
        <v>945</v>
      </c>
      <c r="B682" s="2085">
        <f>IF(未审附注之非流动资产!B682="",0,未审附注之非流动资产!B682)</f>
        <v>0</v>
      </c>
      <c r="C682" s="2085">
        <f>IF(未审附注之非流动资产!C682="",0,未审附注之非流动资产!C682)</f>
        <v>0</v>
      </c>
      <c r="D682" s="2085">
        <f>IF(未审附注之非流动资产!D682="",0,未审附注之非流动资产!D682)</f>
        <v>0</v>
      </c>
      <c r="E682" s="2085">
        <f>IF(未审附注之非流动资产!E682="",0,未审附注之非流动资产!E682)</f>
        <v>0</v>
      </c>
      <c r="F682" s="2048">
        <f t="shared" si="33"/>
        <v>0</v>
      </c>
      <c r="G682" s="2100"/>
      <c r="H682" s="2100"/>
      <c r="I682" s="2100"/>
      <c r="J682" s="2135" t="s">
        <v>946</v>
      </c>
    </row>
    <row r="683" spans="1:10">
      <c r="A683" s="2129" t="s">
        <v>947</v>
      </c>
      <c r="B683" s="2085">
        <f>IF(未审附注之非流动资产!B683="",0,未审附注之非流动资产!B683)</f>
        <v>0</v>
      </c>
      <c r="C683" s="2085">
        <f>IF(未审附注之非流动资产!C683="",0,未审附注之非流动资产!C683)</f>
        <v>0</v>
      </c>
      <c r="D683" s="2085">
        <f>IF(未审附注之非流动资产!D683="",0,未审附注之非流动资产!D683)</f>
        <v>0</v>
      </c>
      <c r="E683" s="2085">
        <f>IF(未审附注之非流动资产!E683="",0,未审附注之非流动资产!E683)</f>
        <v>0</v>
      </c>
      <c r="F683" s="2048">
        <f t="shared" si="33"/>
        <v>0</v>
      </c>
      <c r="G683" s="2100"/>
      <c r="H683" s="2100"/>
      <c r="I683" s="2100"/>
      <c r="J683" s="2135" t="s">
        <v>948</v>
      </c>
    </row>
    <row r="684" spans="1:10">
      <c r="A684" s="2129" t="s">
        <v>949</v>
      </c>
      <c r="B684" s="2085">
        <f>IF(未审附注之非流动资产!B684="",0,未审附注之非流动资产!B684)</f>
        <v>0</v>
      </c>
      <c r="C684" s="2085">
        <f>IF(未审附注之非流动资产!C684="",0,未审附注之非流动资产!C684)</f>
        <v>0</v>
      </c>
      <c r="D684" s="2085">
        <f>IF(未审附注之非流动资产!D684="",0,未审附注之非流动资产!D684)</f>
        <v>0</v>
      </c>
      <c r="E684" s="2085">
        <f>IF(未审附注之非流动资产!E684="",0,未审附注之非流动资产!E684)</f>
        <v>0</v>
      </c>
      <c r="F684" s="2048">
        <f t="shared" si="33"/>
        <v>0</v>
      </c>
      <c r="G684" s="2100"/>
      <c r="H684" s="2100"/>
      <c r="I684" s="2100"/>
      <c r="J684" s="2135" t="s">
        <v>950</v>
      </c>
    </row>
    <row r="685" spans="1:10">
      <c r="A685" s="2129" t="s">
        <v>951</v>
      </c>
      <c r="B685" s="2085">
        <f>IF(未审附注之非流动资产!B685="",0,未审附注之非流动资产!B685)</f>
        <v>0</v>
      </c>
      <c r="C685" s="2085">
        <f>IF(未审附注之非流动资产!C685="",0,未审附注之非流动资产!C685)</f>
        <v>0</v>
      </c>
      <c r="D685" s="2085">
        <f>IF(未审附注之非流动资产!D685="",0,未审附注之非流动资产!D685)</f>
        <v>0</v>
      </c>
      <c r="E685" s="2085">
        <f>IF(未审附注之非流动资产!E685="",0,未审附注之非流动资产!E685)</f>
        <v>0</v>
      </c>
      <c r="F685" s="2048">
        <f t="shared" si="33"/>
        <v>0</v>
      </c>
      <c r="G685" s="2100"/>
      <c r="H685" s="2100"/>
      <c r="I685" s="2100"/>
      <c r="J685" s="2135" t="s">
        <v>952</v>
      </c>
    </row>
    <row r="686" spans="1:10">
      <c r="A686" s="2129" t="s">
        <v>953</v>
      </c>
      <c r="B686" s="2085">
        <f>IF(未审附注之非流动资产!B686="",0,未审附注之非流动资产!B686)</f>
        <v>0</v>
      </c>
      <c r="C686" s="2085">
        <f>IF(未审附注之非流动资产!C686="",0,未审附注之非流动资产!C686)</f>
        <v>0</v>
      </c>
      <c r="D686" s="2085">
        <f>IF(未审附注之非流动资产!D686="",0,未审附注之非流动资产!D686)</f>
        <v>0</v>
      </c>
      <c r="E686" s="2085">
        <f>IF(未审附注之非流动资产!E686="",0,未审附注之非流动资产!E686)</f>
        <v>0</v>
      </c>
      <c r="F686" s="2048">
        <f t="shared" si="33"/>
        <v>0</v>
      </c>
      <c r="G686" s="2100"/>
      <c r="H686" s="2100"/>
      <c r="I686" s="2100"/>
      <c r="J686" s="2135" t="s">
        <v>954</v>
      </c>
    </row>
    <row r="687" spans="1:10">
      <c r="A687" s="2129" t="s">
        <v>955</v>
      </c>
      <c r="B687" s="2085">
        <f>IF(未审附注之非流动资产!B687="",0,未审附注之非流动资产!B687)</f>
        <v>0</v>
      </c>
      <c r="C687" s="2085">
        <f>IF(未审附注之非流动资产!C687="",0,未审附注之非流动资产!C687)</f>
        <v>0</v>
      </c>
      <c r="D687" s="2085">
        <f>IF(未审附注之非流动资产!D687="",0,未审附注之非流动资产!D687)</f>
        <v>0</v>
      </c>
      <c r="E687" s="2085">
        <f>IF(未审附注之非流动资产!E687="",0,未审附注之非流动资产!E687)</f>
        <v>0</v>
      </c>
      <c r="F687" s="2048">
        <f t="shared" si="33"/>
        <v>0</v>
      </c>
      <c r="G687" s="2100"/>
      <c r="H687" s="2100"/>
      <c r="I687" s="2100"/>
      <c r="J687" s="2135" t="s">
        <v>956</v>
      </c>
    </row>
    <row r="688" spans="1:10">
      <c r="A688" s="2129" t="s">
        <v>957</v>
      </c>
      <c r="B688" s="2085">
        <f>IF(未审附注之非流动资产!B688="",0,未审附注之非流动资产!B688)</f>
        <v>0</v>
      </c>
      <c r="C688" s="2085">
        <f>IF(未审附注之非流动资产!C688="",0,未审附注之非流动资产!C688)</f>
        <v>0</v>
      </c>
      <c r="D688" s="2085">
        <f>IF(未审附注之非流动资产!D688="",0,未审附注之非流动资产!D688)</f>
        <v>0</v>
      </c>
      <c r="E688" s="2085">
        <f>IF(未审附注之非流动资产!E688="",0,未审附注之非流动资产!E688)</f>
        <v>0</v>
      </c>
      <c r="F688" s="2048">
        <f t="shared" si="33"/>
        <v>0</v>
      </c>
      <c r="G688" s="2100"/>
      <c r="H688" s="2100"/>
      <c r="I688" s="2100"/>
      <c r="J688" s="2135" t="s">
        <v>958</v>
      </c>
    </row>
    <row r="689" spans="1:10">
      <c r="A689" s="2129" t="s">
        <v>959</v>
      </c>
      <c r="B689" s="2085">
        <f>IF(未审附注之非流动资产!B689="",0,未审附注之非流动资产!B689)</f>
        <v>0</v>
      </c>
      <c r="C689" s="2085">
        <f>IF(未审附注之非流动资产!C689="",0,未审附注之非流动资产!C689)</f>
        <v>0</v>
      </c>
      <c r="D689" s="2085">
        <f>IF(未审附注之非流动资产!D689="",0,未审附注之非流动资产!D689)</f>
        <v>0</v>
      </c>
      <c r="E689" s="2085">
        <f>IF(未审附注之非流动资产!E689="",0,未审附注之非流动资产!E689)</f>
        <v>0</v>
      </c>
      <c r="F689" s="2048">
        <f t="shared" si="33"/>
        <v>0</v>
      </c>
      <c r="G689" s="2100"/>
      <c r="H689" s="2100"/>
      <c r="I689" s="2100"/>
      <c r="J689" s="2135" t="s">
        <v>960</v>
      </c>
    </row>
    <row r="690" spans="1:10">
      <c r="A690" s="2129" t="s">
        <v>961</v>
      </c>
      <c r="B690" s="2085">
        <f>IF(未审附注之非流动资产!B690="",0,未审附注之非流动资产!B690)</f>
        <v>0</v>
      </c>
      <c r="C690" s="2085">
        <f>IF(未审附注之非流动资产!C690="",0,未审附注之非流动资产!C690)</f>
        <v>0</v>
      </c>
      <c r="D690" s="2085">
        <f>IF(未审附注之非流动资产!D690="",0,未审附注之非流动资产!D690)</f>
        <v>0</v>
      </c>
      <c r="E690" s="2085">
        <f>IF(未审附注之非流动资产!E690="",0,未审附注之非流动资产!E690)</f>
        <v>0</v>
      </c>
      <c r="F690" s="2048">
        <f t="shared" si="33"/>
        <v>0</v>
      </c>
      <c r="G690" s="2100"/>
      <c r="H690" s="2100"/>
      <c r="I690" s="2100"/>
      <c r="J690" s="2135" t="s">
        <v>962</v>
      </c>
    </row>
    <row r="691" spans="1:10">
      <c r="A691" s="2129" t="s">
        <v>963</v>
      </c>
      <c r="B691" s="2085">
        <f>IF(未审附注之非流动资产!B691="",0,未审附注之非流动资产!B691)</f>
        <v>0</v>
      </c>
      <c r="C691" s="2085">
        <f>IF(未审附注之非流动资产!C691="",0,未审附注之非流动资产!C691)</f>
        <v>0</v>
      </c>
      <c r="D691" s="2085">
        <f>IF(未审附注之非流动资产!D691="",0,未审附注之非流动资产!D691)</f>
        <v>0</v>
      </c>
      <c r="E691" s="2085">
        <f>IF(未审附注之非流动资产!E691="",0,未审附注之非流动资产!E691)</f>
        <v>0</v>
      </c>
      <c r="F691" s="2048">
        <f t="shared" si="33"/>
        <v>0</v>
      </c>
      <c r="G691" s="2100"/>
      <c r="H691" s="2100"/>
      <c r="I691" s="2100"/>
      <c r="J691" s="2135" t="s">
        <v>964</v>
      </c>
    </row>
    <row r="692" spans="1:10">
      <c r="A692" s="2129" t="s">
        <v>965</v>
      </c>
      <c r="B692" s="2085">
        <f>IF(未审附注之非流动资产!B692="",0,未审附注之非流动资产!B692)</f>
        <v>0</v>
      </c>
      <c r="C692" s="2085">
        <f>IF(未审附注之非流动资产!C692="",0,未审附注之非流动资产!C692)</f>
        <v>0</v>
      </c>
      <c r="D692" s="2085">
        <f>IF(未审附注之非流动资产!D692="",0,未审附注之非流动资产!D692)</f>
        <v>0</v>
      </c>
      <c r="E692" s="2085">
        <f>IF(未审附注之非流动资产!E692="",0,未审附注之非流动资产!E692)</f>
        <v>0</v>
      </c>
      <c r="F692" s="2048">
        <f t="shared" si="33"/>
        <v>0</v>
      </c>
      <c r="G692" s="2100"/>
      <c r="H692" s="2100"/>
      <c r="I692" s="2100"/>
      <c r="J692" s="2135" t="s">
        <v>966</v>
      </c>
    </row>
    <row r="693" spans="1:10">
      <c r="A693" s="2129" t="s">
        <v>967</v>
      </c>
      <c r="B693" s="2085">
        <f>IF(未审附注之非流动资产!B693="",0,未审附注之非流动资产!B693)</f>
        <v>0</v>
      </c>
      <c r="C693" s="2085">
        <f>IF(未审附注之非流动资产!C693="",0,未审附注之非流动资产!C693)</f>
        <v>0</v>
      </c>
      <c r="D693" s="2085">
        <f>IF(未审附注之非流动资产!D693="",0,未审附注之非流动资产!D693)</f>
        <v>0</v>
      </c>
      <c r="E693" s="2085">
        <f>IF(未审附注之非流动资产!E693="",0,未审附注之非流动资产!E693)</f>
        <v>0</v>
      </c>
      <c r="F693" s="2048">
        <f t="shared" si="33"/>
        <v>0</v>
      </c>
      <c r="G693" s="2100"/>
      <c r="H693" s="2100"/>
      <c r="I693" s="2100"/>
      <c r="J693" s="2135" t="s">
        <v>968</v>
      </c>
    </row>
    <row r="694" spans="1:10">
      <c r="A694" s="2082" t="s">
        <v>384</v>
      </c>
      <c r="B694" s="2048">
        <f>ROUND(SUM(B679:B693),2)</f>
        <v>0</v>
      </c>
      <c r="C694" s="2048">
        <f>ROUND(SUM(C679:C693),2)</f>
        <v>0</v>
      </c>
      <c r="D694" s="2048">
        <f>ROUND(SUM(D679:D693),2)</f>
        <v>0</v>
      </c>
      <c r="E694" s="2048">
        <f>ROUND(SUM(E679:E693),2)</f>
        <v>0</v>
      </c>
      <c r="F694" s="2048">
        <f>ROUND(SUM(F679:F693),2)</f>
        <v>0</v>
      </c>
      <c r="G694" s="2100"/>
      <c r="H694" s="2100"/>
      <c r="I694" s="2100"/>
      <c r="J694" s="2135" t="s">
        <v>969</v>
      </c>
    </row>
    <row r="695" spans="1:9">
      <c r="A695" s="2136"/>
      <c r="B695" s="2126"/>
      <c r="C695" s="2126"/>
      <c r="D695" s="2126"/>
      <c r="E695" s="2126"/>
      <c r="F695" s="2126"/>
      <c r="G695" s="2126"/>
      <c r="H695" s="2126"/>
      <c r="I695" s="2126"/>
    </row>
    <row r="696" spans="1:9">
      <c r="A696" s="2136"/>
      <c r="B696" s="2126"/>
      <c r="C696" s="2126"/>
      <c r="D696" s="2126"/>
      <c r="E696" s="2126"/>
      <c r="F696" s="2126"/>
      <c r="G696" s="2126"/>
      <c r="H696" s="2126"/>
      <c r="I696" s="2126"/>
    </row>
    <row r="697" spans="1:9">
      <c r="A697" s="2125" t="s">
        <v>970</v>
      </c>
      <c r="B697" s="2126"/>
      <c r="C697" s="2126"/>
      <c r="D697" s="2126"/>
      <c r="E697" s="2126"/>
      <c r="F697" s="2126"/>
      <c r="G697" s="2126"/>
      <c r="H697" s="2126"/>
      <c r="I697" s="2126"/>
    </row>
    <row r="698" spans="1:9">
      <c r="A698" s="2082" t="s">
        <v>971</v>
      </c>
      <c r="B698" s="2082" t="s">
        <v>627</v>
      </c>
      <c r="C698" s="2082" t="s">
        <v>581</v>
      </c>
      <c r="D698" s="2082" t="s">
        <v>582</v>
      </c>
      <c r="E698" s="2082" t="s">
        <v>626</v>
      </c>
      <c r="F698" s="2082" t="s">
        <v>972</v>
      </c>
      <c r="G698" s="2126"/>
      <c r="H698" s="2126"/>
      <c r="I698" s="2126"/>
    </row>
    <row r="699" spans="1:9">
      <c r="A699" s="2129" t="s">
        <v>973</v>
      </c>
      <c r="B699" s="2083"/>
      <c r="C699" s="2083"/>
      <c r="D699" s="2083"/>
      <c r="E699" s="2083"/>
      <c r="F699" s="2083"/>
      <c r="G699" s="2126"/>
      <c r="H699" s="2126"/>
      <c r="I699" s="2126"/>
    </row>
    <row r="700" s="2075" customFormat="1" spans="1:10">
      <c r="A700" s="2092">
        <f>IF(未审附注之非流动资产!A700="",0,未审附注之非流动资产!A700)</f>
        <v>0</v>
      </c>
      <c r="B700" s="2085">
        <f>IF(未审附注之非流动资产!B700="",0,未审附注之非流动资产!B700)</f>
        <v>0</v>
      </c>
      <c r="C700" s="2085">
        <f>IF(未审附注之非流动资产!C700="",0,未审附注之非流动资产!C700)</f>
        <v>0</v>
      </c>
      <c r="D700" s="2085">
        <f>IF(未审附注之非流动资产!D700="",0,未审附注之非流动资产!D700)</f>
        <v>0</v>
      </c>
      <c r="E700" s="2048">
        <f>ROUND(B700+C700-D700,2)</f>
        <v>0</v>
      </c>
      <c r="F700" s="2092">
        <f>IF(未审附注之非流动资产!F700="",0,未审附注之非流动资产!F700)</f>
        <v>0</v>
      </c>
      <c r="G700" s="2126"/>
      <c r="H700" s="2126"/>
      <c r="I700" s="2126"/>
      <c r="J700" s="2118" t="s">
        <v>974</v>
      </c>
    </row>
    <row r="701" s="2075" customFormat="1" spans="1:10">
      <c r="A701" s="2092">
        <f>IF(未审附注之非流动资产!A701="",0,未审附注之非流动资产!A701)</f>
        <v>0</v>
      </c>
      <c r="B701" s="2085">
        <f>IF(未审附注之非流动资产!B701="",0,未审附注之非流动资产!B701)</f>
        <v>0</v>
      </c>
      <c r="C701" s="2085">
        <f>IF(未审附注之非流动资产!C701="",0,未审附注之非流动资产!C701)</f>
        <v>0</v>
      </c>
      <c r="D701" s="2085">
        <f>IF(未审附注之非流动资产!D701="",0,未审附注之非流动资产!D701)</f>
        <v>0</v>
      </c>
      <c r="E701" s="2048">
        <f t="shared" ref="E701:E709" si="34">ROUND(B701+C701-D701,2)</f>
        <v>0</v>
      </c>
      <c r="F701" s="2092">
        <f>IF(未审附注之非流动资产!F701="",0,未审附注之非流动资产!F701)</f>
        <v>0</v>
      </c>
      <c r="G701" s="2126"/>
      <c r="H701" s="2126"/>
      <c r="I701" s="2126"/>
      <c r="J701" s="2118" t="s">
        <v>974</v>
      </c>
    </row>
    <row r="702" s="2075" customFormat="1" spans="1:10">
      <c r="A702" s="2092">
        <f>IF(未审附注之非流动资产!A702="",0,未审附注之非流动资产!A702)</f>
        <v>0</v>
      </c>
      <c r="B702" s="2085">
        <f>IF(未审附注之非流动资产!B702="",0,未审附注之非流动资产!B702)</f>
        <v>0</v>
      </c>
      <c r="C702" s="2085">
        <f>IF(未审附注之非流动资产!C702="",0,未审附注之非流动资产!C702)</f>
        <v>0</v>
      </c>
      <c r="D702" s="2085">
        <f>IF(未审附注之非流动资产!D702="",0,未审附注之非流动资产!D702)</f>
        <v>0</v>
      </c>
      <c r="E702" s="2048">
        <f t="shared" si="34"/>
        <v>0</v>
      </c>
      <c r="F702" s="2092">
        <f>IF(未审附注之非流动资产!F702="",0,未审附注之非流动资产!F702)</f>
        <v>0</v>
      </c>
      <c r="G702" s="2126"/>
      <c r="H702" s="2126"/>
      <c r="I702" s="2126"/>
      <c r="J702" s="2118" t="s">
        <v>974</v>
      </c>
    </row>
    <row r="703" s="2075" customFormat="1" spans="1:10">
      <c r="A703" s="2092">
        <f>IF(未审附注之非流动资产!A703="",0,未审附注之非流动资产!A703)</f>
        <v>0</v>
      </c>
      <c r="B703" s="2085">
        <f>IF(未审附注之非流动资产!B703="",0,未审附注之非流动资产!B703)</f>
        <v>0</v>
      </c>
      <c r="C703" s="2085">
        <f>IF(未审附注之非流动资产!C703="",0,未审附注之非流动资产!C703)</f>
        <v>0</v>
      </c>
      <c r="D703" s="2085">
        <f>IF(未审附注之非流动资产!D703="",0,未审附注之非流动资产!D703)</f>
        <v>0</v>
      </c>
      <c r="E703" s="2048">
        <f t="shared" si="34"/>
        <v>0</v>
      </c>
      <c r="F703" s="2092">
        <f>IF(未审附注之非流动资产!F703="",0,未审附注之非流动资产!F703)</f>
        <v>0</v>
      </c>
      <c r="G703" s="2126"/>
      <c r="H703" s="2126"/>
      <c r="I703" s="2126"/>
      <c r="J703" s="2118" t="s">
        <v>974</v>
      </c>
    </row>
    <row r="704" s="2075" customFormat="1" spans="1:10">
      <c r="A704" s="2092">
        <f>IF(未审附注之非流动资产!A704="",0,未审附注之非流动资产!A704)</f>
        <v>0</v>
      </c>
      <c r="B704" s="2085">
        <f>IF(未审附注之非流动资产!B704="",0,未审附注之非流动资产!B704)</f>
        <v>0</v>
      </c>
      <c r="C704" s="2085">
        <f>IF(未审附注之非流动资产!C704="",0,未审附注之非流动资产!C704)</f>
        <v>0</v>
      </c>
      <c r="D704" s="2085">
        <f>IF(未审附注之非流动资产!D704="",0,未审附注之非流动资产!D704)</f>
        <v>0</v>
      </c>
      <c r="E704" s="2048">
        <f t="shared" si="34"/>
        <v>0</v>
      </c>
      <c r="F704" s="2092">
        <f>IF(未审附注之非流动资产!F704="",0,未审附注之非流动资产!F704)</f>
        <v>0</v>
      </c>
      <c r="G704" s="2126"/>
      <c r="H704" s="2126"/>
      <c r="I704" s="2126"/>
      <c r="J704" s="2118" t="s">
        <v>974</v>
      </c>
    </row>
    <row r="705" s="2075" customFormat="1" spans="1:10">
      <c r="A705" s="2092">
        <f>IF(未审附注之非流动资产!A705="",0,未审附注之非流动资产!A705)</f>
        <v>0</v>
      </c>
      <c r="B705" s="2085">
        <f>IF(未审附注之非流动资产!B705="",0,未审附注之非流动资产!B705)</f>
        <v>0</v>
      </c>
      <c r="C705" s="2085">
        <f>IF(未审附注之非流动资产!C705="",0,未审附注之非流动资产!C705)</f>
        <v>0</v>
      </c>
      <c r="D705" s="2085">
        <f>IF(未审附注之非流动资产!D705="",0,未审附注之非流动资产!D705)</f>
        <v>0</v>
      </c>
      <c r="E705" s="2048">
        <f t="shared" si="34"/>
        <v>0</v>
      </c>
      <c r="F705" s="2092">
        <f>IF(未审附注之非流动资产!F705="",0,未审附注之非流动资产!F705)</f>
        <v>0</v>
      </c>
      <c r="G705" s="2126"/>
      <c r="H705" s="2126"/>
      <c r="I705" s="2126"/>
      <c r="J705" s="2118" t="s">
        <v>974</v>
      </c>
    </row>
    <row r="706" s="2075" customFormat="1" spans="1:10">
      <c r="A706" s="2092">
        <f>IF(未审附注之非流动资产!A706="",0,未审附注之非流动资产!A706)</f>
        <v>0</v>
      </c>
      <c r="B706" s="2085">
        <f>IF(未审附注之非流动资产!B706="",0,未审附注之非流动资产!B706)</f>
        <v>0</v>
      </c>
      <c r="C706" s="2085">
        <f>IF(未审附注之非流动资产!C706="",0,未审附注之非流动资产!C706)</f>
        <v>0</v>
      </c>
      <c r="D706" s="2085">
        <f>IF(未审附注之非流动资产!D706="",0,未审附注之非流动资产!D706)</f>
        <v>0</v>
      </c>
      <c r="E706" s="2048">
        <f t="shared" si="34"/>
        <v>0</v>
      </c>
      <c r="F706" s="2092">
        <f>IF(未审附注之非流动资产!F706="",0,未审附注之非流动资产!F706)</f>
        <v>0</v>
      </c>
      <c r="G706" s="2126"/>
      <c r="H706" s="2126"/>
      <c r="I706" s="2126"/>
      <c r="J706" s="2118" t="s">
        <v>974</v>
      </c>
    </row>
    <row r="707" s="2075" customFormat="1" spans="1:10">
      <c r="A707" s="2092">
        <f>IF(未审附注之非流动资产!A707="",0,未审附注之非流动资产!A707)</f>
        <v>0</v>
      </c>
      <c r="B707" s="2085">
        <f>IF(未审附注之非流动资产!B707="",0,未审附注之非流动资产!B707)</f>
        <v>0</v>
      </c>
      <c r="C707" s="2085">
        <f>IF(未审附注之非流动资产!C707="",0,未审附注之非流动资产!C707)</f>
        <v>0</v>
      </c>
      <c r="D707" s="2085">
        <f>IF(未审附注之非流动资产!D707="",0,未审附注之非流动资产!D707)</f>
        <v>0</v>
      </c>
      <c r="E707" s="2048">
        <f t="shared" si="34"/>
        <v>0</v>
      </c>
      <c r="F707" s="2092">
        <f>IF(未审附注之非流动资产!F707="",0,未审附注之非流动资产!F707)</f>
        <v>0</v>
      </c>
      <c r="G707" s="2126"/>
      <c r="H707" s="2126"/>
      <c r="I707" s="2126"/>
      <c r="J707" s="2118" t="s">
        <v>974</v>
      </c>
    </row>
    <row r="708" s="2075" customFormat="1" spans="1:10">
      <c r="A708" s="2092">
        <f>IF(未审附注之非流动资产!A708="",0,未审附注之非流动资产!A708)</f>
        <v>0</v>
      </c>
      <c r="B708" s="2085">
        <f>IF(未审附注之非流动资产!B708="",0,未审附注之非流动资产!B708)</f>
        <v>0</v>
      </c>
      <c r="C708" s="2085">
        <f>IF(未审附注之非流动资产!C708="",0,未审附注之非流动资产!C708)</f>
        <v>0</v>
      </c>
      <c r="D708" s="2085">
        <f>IF(未审附注之非流动资产!D708="",0,未审附注之非流动资产!D708)</f>
        <v>0</v>
      </c>
      <c r="E708" s="2048">
        <f t="shared" si="34"/>
        <v>0</v>
      </c>
      <c r="F708" s="2092">
        <f>IF(未审附注之非流动资产!F708="",0,未审附注之非流动资产!F708)</f>
        <v>0</v>
      </c>
      <c r="G708" s="2126"/>
      <c r="H708" s="2126"/>
      <c r="I708" s="2126"/>
      <c r="J708" s="2118" t="s">
        <v>974</v>
      </c>
    </row>
    <row r="709" s="2075" customFormat="1" spans="1:10">
      <c r="A709" s="2092">
        <f>IF(未审附注之非流动资产!A709="",0,未审附注之非流动资产!A709)</f>
        <v>0</v>
      </c>
      <c r="B709" s="2085">
        <f>IF(未审附注之非流动资产!B709="",0,未审附注之非流动资产!B709)</f>
        <v>0</v>
      </c>
      <c r="C709" s="2085">
        <f>IF(未审附注之非流动资产!C709="",0,未审附注之非流动资产!C709)</f>
        <v>0</v>
      </c>
      <c r="D709" s="2085">
        <f>IF(未审附注之非流动资产!D709="",0,未审附注之非流动资产!D709)</f>
        <v>0</v>
      </c>
      <c r="E709" s="2048">
        <f t="shared" si="34"/>
        <v>0</v>
      </c>
      <c r="F709" s="2092">
        <f>IF(未审附注之非流动资产!F709="",0,未审附注之非流动资产!F709)</f>
        <v>0</v>
      </c>
      <c r="G709" s="2126"/>
      <c r="H709" s="2126"/>
      <c r="I709" s="2126"/>
      <c r="J709" s="2118" t="s">
        <v>974</v>
      </c>
    </row>
    <row r="710" spans="1:10">
      <c r="A710" s="2082" t="s">
        <v>676</v>
      </c>
      <c r="B710" s="2048">
        <f>ROUND(SUM(B700:B709),2)</f>
        <v>0</v>
      </c>
      <c r="C710" s="2048">
        <f>ROUND(SUM(C700:C709),2)</f>
        <v>0</v>
      </c>
      <c r="D710" s="2048">
        <f>ROUND(SUM(D700:D709),2)</f>
        <v>0</v>
      </c>
      <c r="E710" s="2048">
        <f>ROUND(SUM(E700:E709),2)</f>
        <v>0</v>
      </c>
      <c r="F710" s="2048"/>
      <c r="G710" s="2126"/>
      <c r="H710" s="2126"/>
      <c r="I710" s="2126"/>
      <c r="J710" s="2118" t="s">
        <v>975</v>
      </c>
    </row>
    <row r="711" spans="1:9">
      <c r="A711" s="2083"/>
      <c r="B711" s="2083"/>
      <c r="C711" s="2083"/>
      <c r="D711" s="2083"/>
      <c r="E711" s="2083"/>
      <c r="F711" s="2083"/>
      <c r="G711" s="2126"/>
      <c r="H711" s="2126"/>
      <c r="I711" s="2126"/>
    </row>
    <row r="712" spans="1:9">
      <c r="A712" s="2129" t="s">
        <v>976</v>
      </c>
      <c r="B712" s="2083"/>
      <c r="C712" s="2083"/>
      <c r="D712" s="2083"/>
      <c r="E712" s="2083"/>
      <c r="F712" s="2083"/>
      <c r="G712" s="2126"/>
      <c r="H712" s="2126"/>
      <c r="I712" s="2126"/>
    </row>
    <row r="713" s="2075" customFormat="1" spans="1:10">
      <c r="A713" s="2092">
        <f>IF(未审附注之非流动资产!A713="",0,未审附注之非流动资产!A713)</f>
        <v>0</v>
      </c>
      <c r="B713" s="2085">
        <f>IF(未审附注之非流动资产!B713="",0,未审附注之非流动资产!B713)</f>
        <v>0</v>
      </c>
      <c r="C713" s="2085">
        <f>IF(未审附注之非流动资产!C713="",0,未审附注之非流动资产!C713)</f>
        <v>0</v>
      </c>
      <c r="D713" s="2085">
        <f>IF(未审附注之非流动资产!D713="",0,未审附注之非流动资产!D713)</f>
        <v>0</v>
      </c>
      <c r="E713" s="2048">
        <f>ROUND(B713+C713-D713,2)</f>
        <v>0</v>
      </c>
      <c r="F713" s="2092">
        <f>IF(未审附注之非流动资产!F713="",0,未审附注之非流动资产!F713)</f>
        <v>0</v>
      </c>
      <c r="G713" s="2126"/>
      <c r="H713" s="2126"/>
      <c r="I713" s="2126"/>
      <c r="J713" s="2118" t="s">
        <v>977</v>
      </c>
    </row>
    <row r="714" s="2075" customFormat="1" spans="1:10">
      <c r="A714" s="2092">
        <f>IF(未审附注之非流动资产!A714="",0,未审附注之非流动资产!A714)</f>
        <v>0</v>
      </c>
      <c r="B714" s="2085">
        <f>IF(未审附注之非流动资产!B714="",0,未审附注之非流动资产!B714)</f>
        <v>0</v>
      </c>
      <c r="C714" s="2085">
        <f>IF(未审附注之非流动资产!C714="",0,未审附注之非流动资产!C714)</f>
        <v>0</v>
      </c>
      <c r="D714" s="2085">
        <f>IF(未审附注之非流动资产!D714="",0,未审附注之非流动资产!D714)</f>
        <v>0</v>
      </c>
      <c r="E714" s="2048">
        <f t="shared" ref="E714:E722" si="35">ROUND(B714+C714-D714,2)</f>
        <v>0</v>
      </c>
      <c r="F714" s="2092">
        <f>IF(未审附注之非流动资产!F714="",0,未审附注之非流动资产!F714)</f>
        <v>0</v>
      </c>
      <c r="G714" s="2126"/>
      <c r="H714" s="2126"/>
      <c r="I714" s="2126"/>
      <c r="J714" s="2118" t="s">
        <v>977</v>
      </c>
    </row>
    <row r="715" s="2075" customFormat="1" spans="1:10">
      <c r="A715" s="2092">
        <f>IF(未审附注之非流动资产!A715="",0,未审附注之非流动资产!A715)</f>
        <v>0</v>
      </c>
      <c r="B715" s="2085">
        <f>IF(未审附注之非流动资产!B715="",0,未审附注之非流动资产!B715)</f>
        <v>0</v>
      </c>
      <c r="C715" s="2085">
        <f>IF(未审附注之非流动资产!C715="",0,未审附注之非流动资产!C715)</f>
        <v>0</v>
      </c>
      <c r="D715" s="2085">
        <f>IF(未审附注之非流动资产!D715="",0,未审附注之非流动资产!D715)</f>
        <v>0</v>
      </c>
      <c r="E715" s="2048">
        <f t="shared" si="35"/>
        <v>0</v>
      </c>
      <c r="F715" s="2092">
        <f>IF(未审附注之非流动资产!F715="",0,未审附注之非流动资产!F715)</f>
        <v>0</v>
      </c>
      <c r="G715" s="2126"/>
      <c r="H715" s="2126"/>
      <c r="I715" s="2126"/>
      <c r="J715" s="2118" t="s">
        <v>977</v>
      </c>
    </row>
    <row r="716" s="2075" customFormat="1" spans="1:10">
      <c r="A716" s="2092">
        <f>IF(未审附注之非流动资产!A716="",0,未审附注之非流动资产!A716)</f>
        <v>0</v>
      </c>
      <c r="B716" s="2085">
        <f>IF(未审附注之非流动资产!B716="",0,未审附注之非流动资产!B716)</f>
        <v>0</v>
      </c>
      <c r="C716" s="2085">
        <f>IF(未审附注之非流动资产!C716="",0,未审附注之非流动资产!C716)</f>
        <v>0</v>
      </c>
      <c r="D716" s="2085">
        <f>IF(未审附注之非流动资产!D716="",0,未审附注之非流动资产!D716)</f>
        <v>0</v>
      </c>
      <c r="E716" s="2048">
        <f t="shared" si="35"/>
        <v>0</v>
      </c>
      <c r="F716" s="2092">
        <f>IF(未审附注之非流动资产!F716="",0,未审附注之非流动资产!F716)</f>
        <v>0</v>
      </c>
      <c r="G716" s="2126"/>
      <c r="H716" s="2126"/>
      <c r="I716" s="2126"/>
      <c r="J716" s="2118" t="s">
        <v>977</v>
      </c>
    </row>
    <row r="717" s="2075" customFormat="1" spans="1:10">
      <c r="A717" s="2092">
        <f>IF(未审附注之非流动资产!A717="",0,未审附注之非流动资产!A717)</f>
        <v>0</v>
      </c>
      <c r="B717" s="2085">
        <f>IF(未审附注之非流动资产!B717="",0,未审附注之非流动资产!B717)</f>
        <v>0</v>
      </c>
      <c r="C717" s="2085">
        <f>IF(未审附注之非流动资产!C717="",0,未审附注之非流动资产!C717)</f>
        <v>0</v>
      </c>
      <c r="D717" s="2085">
        <f>IF(未审附注之非流动资产!D717="",0,未审附注之非流动资产!D717)</f>
        <v>0</v>
      </c>
      <c r="E717" s="2048">
        <f t="shared" si="35"/>
        <v>0</v>
      </c>
      <c r="F717" s="2092">
        <f>IF(未审附注之非流动资产!F717="",0,未审附注之非流动资产!F717)</f>
        <v>0</v>
      </c>
      <c r="G717" s="2126"/>
      <c r="H717" s="2126"/>
      <c r="I717" s="2126"/>
      <c r="J717" s="2118" t="s">
        <v>977</v>
      </c>
    </row>
    <row r="718" s="2075" customFormat="1" spans="1:10">
      <c r="A718" s="2092">
        <f>IF(未审附注之非流动资产!A718="",0,未审附注之非流动资产!A718)</f>
        <v>0</v>
      </c>
      <c r="B718" s="2085">
        <f>IF(未审附注之非流动资产!B718="",0,未审附注之非流动资产!B718)</f>
        <v>0</v>
      </c>
      <c r="C718" s="2085">
        <f>IF(未审附注之非流动资产!C718="",0,未审附注之非流动资产!C718)</f>
        <v>0</v>
      </c>
      <c r="D718" s="2085">
        <f>IF(未审附注之非流动资产!D718="",0,未审附注之非流动资产!D718)</f>
        <v>0</v>
      </c>
      <c r="E718" s="2048">
        <f t="shared" si="35"/>
        <v>0</v>
      </c>
      <c r="F718" s="2092">
        <f>IF(未审附注之非流动资产!F718="",0,未审附注之非流动资产!F718)</f>
        <v>0</v>
      </c>
      <c r="G718" s="2126"/>
      <c r="H718" s="2126"/>
      <c r="I718" s="2126"/>
      <c r="J718" s="2118" t="s">
        <v>977</v>
      </c>
    </row>
    <row r="719" s="2075" customFormat="1" spans="1:10">
      <c r="A719" s="2092">
        <f>IF(未审附注之非流动资产!A719="",0,未审附注之非流动资产!A719)</f>
        <v>0</v>
      </c>
      <c r="B719" s="2085">
        <f>IF(未审附注之非流动资产!B719="",0,未审附注之非流动资产!B719)</f>
        <v>0</v>
      </c>
      <c r="C719" s="2085">
        <f>IF(未审附注之非流动资产!C719="",0,未审附注之非流动资产!C719)</f>
        <v>0</v>
      </c>
      <c r="D719" s="2085">
        <f>IF(未审附注之非流动资产!D719="",0,未审附注之非流动资产!D719)</f>
        <v>0</v>
      </c>
      <c r="E719" s="2048">
        <f t="shared" si="35"/>
        <v>0</v>
      </c>
      <c r="F719" s="2092">
        <f>IF(未审附注之非流动资产!F719="",0,未审附注之非流动资产!F719)</f>
        <v>0</v>
      </c>
      <c r="G719" s="2126"/>
      <c r="H719" s="2126"/>
      <c r="I719" s="2126"/>
      <c r="J719" s="2118" t="s">
        <v>977</v>
      </c>
    </row>
    <row r="720" s="2075" customFormat="1" spans="1:10">
      <c r="A720" s="2092">
        <f>IF(未审附注之非流动资产!A720="",0,未审附注之非流动资产!A720)</f>
        <v>0</v>
      </c>
      <c r="B720" s="2085">
        <f>IF(未审附注之非流动资产!B720="",0,未审附注之非流动资产!B720)</f>
        <v>0</v>
      </c>
      <c r="C720" s="2085">
        <f>IF(未审附注之非流动资产!C720="",0,未审附注之非流动资产!C720)</f>
        <v>0</v>
      </c>
      <c r="D720" s="2085">
        <f>IF(未审附注之非流动资产!D720="",0,未审附注之非流动资产!D720)</f>
        <v>0</v>
      </c>
      <c r="E720" s="2048">
        <f t="shared" si="35"/>
        <v>0</v>
      </c>
      <c r="F720" s="2092">
        <f>IF(未审附注之非流动资产!F720="",0,未审附注之非流动资产!F720)</f>
        <v>0</v>
      </c>
      <c r="G720" s="2126"/>
      <c r="H720" s="2126"/>
      <c r="I720" s="2126"/>
      <c r="J720" s="2118" t="s">
        <v>977</v>
      </c>
    </row>
    <row r="721" s="2075" customFormat="1" spans="1:10">
      <c r="A721" s="2092">
        <f>IF(未审附注之非流动资产!A721="",0,未审附注之非流动资产!A721)</f>
        <v>0</v>
      </c>
      <c r="B721" s="2085">
        <f>IF(未审附注之非流动资产!B721="",0,未审附注之非流动资产!B721)</f>
        <v>0</v>
      </c>
      <c r="C721" s="2085">
        <f>IF(未审附注之非流动资产!C721="",0,未审附注之非流动资产!C721)</f>
        <v>0</v>
      </c>
      <c r="D721" s="2085">
        <f>IF(未审附注之非流动资产!D721="",0,未审附注之非流动资产!D721)</f>
        <v>0</v>
      </c>
      <c r="E721" s="2048">
        <f t="shared" si="35"/>
        <v>0</v>
      </c>
      <c r="F721" s="2092">
        <f>IF(未审附注之非流动资产!F721="",0,未审附注之非流动资产!F721)</f>
        <v>0</v>
      </c>
      <c r="G721" s="2126"/>
      <c r="H721" s="2126"/>
      <c r="I721" s="2126"/>
      <c r="J721" s="2118" t="s">
        <v>977</v>
      </c>
    </row>
    <row r="722" s="2075" customFormat="1" spans="1:10">
      <c r="A722" s="2092">
        <f>IF(未审附注之非流动资产!A722="",0,未审附注之非流动资产!A722)</f>
        <v>0</v>
      </c>
      <c r="B722" s="2085">
        <f>IF(未审附注之非流动资产!B722="",0,未审附注之非流动资产!B722)</f>
        <v>0</v>
      </c>
      <c r="C722" s="2085">
        <f>IF(未审附注之非流动资产!C722="",0,未审附注之非流动资产!C722)</f>
        <v>0</v>
      </c>
      <c r="D722" s="2085">
        <f>IF(未审附注之非流动资产!D722="",0,未审附注之非流动资产!D722)</f>
        <v>0</v>
      </c>
      <c r="E722" s="2048">
        <f t="shared" si="35"/>
        <v>0</v>
      </c>
      <c r="F722" s="2092">
        <f>IF(未审附注之非流动资产!F722="",0,未审附注之非流动资产!F722)</f>
        <v>0</v>
      </c>
      <c r="G722" s="2126"/>
      <c r="H722" s="2126"/>
      <c r="I722" s="2126"/>
      <c r="J722" s="2118" t="s">
        <v>977</v>
      </c>
    </row>
    <row r="723" spans="1:10">
      <c r="A723" s="2082" t="s">
        <v>676</v>
      </c>
      <c r="B723" s="2048">
        <f>ROUND(SUM(B713:B722),2)</f>
        <v>0</v>
      </c>
      <c r="C723" s="2048">
        <f>ROUND(SUM(C713:C722),2)</f>
        <v>0</v>
      </c>
      <c r="D723" s="2048">
        <f>ROUND(SUM(D713:D722),2)</f>
        <v>0</v>
      </c>
      <c r="E723" s="2048">
        <f>ROUND(SUM(E713:E722),2)</f>
        <v>0</v>
      </c>
      <c r="F723" s="2048"/>
      <c r="G723" s="2126"/>
      <c r="H723" s="2126"/>
      <c r="I723" s="2126"/>
      <c r="J723" s="2118" t="s">
        <v>978</v>
      </c>
    </row>
    <row r="724" spans="1:9">
      <c r="A724" s="2082"/>
      <c r="B724" s="2048"/>
      <c r="C724" s="2048"/>
      <c r="D724" s="2048"/>
      <c r="E724" s="2048"/>
      <c r="F724" s="2083"/>
      <c r="G724" s="2126"/>
      <c r="H724" s="2126"/>
      <c r="I724" s="2126"/>
    </row>
    <row r="725" spans="1:10">
      <c r="A725" s="2082" t="s">
        <v>384</v>
      </c>
      <c r="B725" s="2048">
        <f>ROUND(B710+B723,2)</f>
        <v>0</v>
      </c>
      <c r="C725" s="2048">
        <f>ROUND(C710+C723,2)</f>
        <v>0</v>
      </c>
      <c r="D725" s="2048">
        <f>ROUND(D710+D723,2)</f>
        <v>0</v>
      </c>
      <c r="E725" s="2048">
        <f>ROUND(E710+E723,2)</f>
        <v>0</v>
      </c>
      <c r="F725" s="2083"/>
      <c r="G725" s="2126"/>
      <c r="H725" s="2126"/>
      <c r="I725" s="2126"/>
      <c r="J725" s="2118" t="s">
        <v>979</v>
      </c>
    </row>
    <row r="726" spans="1:10">
      <c r="A726" s="2126"/>
      <c r="B726" s="2126"/>
      <c r="C726" s="2126"/>
      <c r="D726" s="2126"/>
      <c r="E726" s="2126"/>
      <c r="F726" s="2126"/>
      <c r="G726" s="2126"/>
      <c r="H726" s="2126"/>
      <c r="I726" s="2126"/>
      <c r="J726" s="2135" t="s">
        <v>629</v>
      </c>
    </row>
  </sheetData>
  <mergeCells count="9">
    <mergeCell ref="A1:F1"/>
    <mergeCell ref="B4:D4"/>
    <mergeCell ref="E4:G4"/>
    <mergeCell ref="D677:E677"/>
    <mergeCell ref="A4:A5"/>
    <mergeCell ref="A677:A678"/>
    <mergeCell ref="B677:B678"/>
    <mergeCell ref="C677:C678"/>
    <mergeCell ref="F677:F678"/>
  </mergeCells>
  <pageMargins left="0.75" right="0.75" top="1" bottom="1" header="0.5" footer="0.5"/>
  <headerFooter alignWithMargins="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521"/>
  <sheetViews>
    <sheetView showGridLines="0" showZeros="0" zoomScale="105" zoomScaleNormal="105" workbookViewId="0">
      <pane xSplit="1" ySplit="1" topLeftCell="B2" activePane="bottomRight" state="frozen"/>
      <selection/>
      <selection pane="topRight"/>
      <selection pane="bottomLeft"/>
      <selection pane="bottomRight" activeCell="B5" sqref="B5"/>
    </sheetView>
  </sheetViews>
  <sheetFormatPr defaultColWidth="9" defaultRowHeight="12.75"/>
  <cols>
    <col min="1" max="1" width="37.75" style="2075" customWidth="1"/>
    <col min="2" max="8" width="12.25" style="2075" customWidth="1"/>
    <col min="9" max="9" width="35.75" style="2076" hidden="1" customWidth="1"/>
    <col min="10" max="16384" width="9" style="2075"/>
  </cols>
  <sheetData>
    <row r="1" s="2074" customFormat="1" ht="25.5" spans="1:10">
      <c r="A1" s="2077" t="s">
        <v>1533</v>
      </c>
      <c r="B1" s="2077"/>
      <c r="C1" s="2077"/>
      <c r="D1" s="2077"/>
      <c r="E1" s="2077"/>
      <c r="F1" s="2077"/>
      <c r="G1" s="2077"/>
      <c r="H1" s="2077"/>
      <c r="I1" s="2078"/>
      <c r="J1" s="2078"/>
    </row>
    <row r="2" spans="1:8">
      <c r="A2" s="2079" t="s">
        <v>981</v>
      </c>
      <c r="B2" s="2080"/>
      <c r="C2" s="2080"/>
      <c r="D2" s="2080"/>
      <c r="E2" s="2080"/>
      <c r="F2" s="2080"/>
      <c r="G2" s="2080"/>
      <c r="H2" s="2080"/>
    </row>
    <row r="3" spans="1:8">
      <c r="A3" s="2081" t="s">
        <v>313</v>
      </c>
      <c r="B3" s="2080"/>
      <c r="C3" s="2080"/>
      <c r="D3" s="2080"/>
      <c r="E3" s="2080"/>
      <c r="F3" s="2080"/>
      <c r="G3" s="2080"/>
      <c r="H3" s="2080"/>
    </row>
    <row r="4" spans="1:8">
      <c r="A4" s="2082" t="s">
        <v>372</v>
      </c>
      <c r="B4" s="2082" t="s">
        <v>315</v>
      </c>
      <c r="C4" s="2082" t="s">
        <v>316</v>
      </c>
      <c r="D4" s="2080"/>
      <c r="E4" s="2080"/>
      <c r="F4" s="2080"/>
      <c r="G4" s="2080"/>
      <c r="H4" s="2080"/>
    </row>
    <row r="5" spans="1:9">
      <c r="A5" s="2084" t="s">
        <v>982</v>
      </c>
      <c r="B5" s="2085">
        <f>IF(未审附注之负债及权益!B5="",0,未审附注之负债及权益!B5)</f>
        <v>0</v>
      </c>
      <c r="C5" s="2085">
        <f>IF(未审附注之负债及权益!C5="",0,未审附注之负债及权益!C5)</f>
        <v>0</v>
      </c>
      <c r="D5" s="2080"/>
      <c r="E5" s="2080"/>
      <c r="F5" s="2080"/>
      <c r="G5" s="2080"/>
      <c r="H5" s="2080"/>
      <c r="I5" s="2086" t="s">
        <v>983</v>
      </c>
    </row>
    <row r="6" spans="1:9">
      <c r="A6" s="2084" t="s">
        <v>984</v>
      </c>
      <c r="B6" s="2085">
        <f>IF(未审附注之负债及权益!B6="",0,未审附注之负债及权益!B6)</f>
        <v>0</v>
      </c>
      <c r="C6" s="2085">
        <f>IF(未审附注之负债及权益!C6="",0,未审附注之负债及权益!C6)</f>
        <v>0</v>
      </c>
      <c r="D6" s="2080"/>
      <c r="E6" s="2080"/>
      <c r="F6" s="2080"/>
      <c r="G6" s="2080"/>
      <c r="H6" s="2080"/>
      <c r="I6" s="2086" t="s">
        <v>985</v>
      </c>
    </row>
    <row r="7" spans="1:9">
      <c r="A7" s="2084" t="s">
        <v>986</v>
      </c>
      <c r="B7" s="2085">
        <f>IF(未审附注之负债及权益!B7="",0,未审附注之负债及权益!B7)</f>
        <v>0</v>
      </c>
      <c r="C7" s="2085">
        <f>IF(未审附注之负债及权益!C7="",0,未审附注之负债及权益!C7)</f>
        <v>0</v>
      </c>
      <c r="D7" s="2080"/>
      <c r="E7" s="2080"/>
      <c r="F7" s="2080"/>
      <c r="G7" s="2080"/>
      <c r="H7" s="2080"/>
      <c r="I7" s="2086" t="s">
        <v>987</v>
      </c>
    </row>
    <row r="8" spans="1:9">
      <c r="A8" s="2084" t="s">
        <v>988</v>
      </c>
      <c r="B8" s="2085">
        <f>IF(未审附注之负债及权益!B8="",0,未审附注之负债及权益!B8)</f>
        <v>0</v>
      </c>
      <c r="C8" s="2085">
        <f>IF(未审附注之负债及权益!C8="",0,未审附注之负债及权益!C8)</f>
        <v>0</v>
      </c>
      <c r="D8" s="2080"/>
      <c r="E8" s="2080"/>
      <c r="F8" s="2080"/>
      <c r="G8" s="2080"/>
      <c r="H8" s="2080"/>
      <c r="I8" s="2086" t="s">
        <v>989</v>
      </c>
    </row>
    <row r="9" spans="1:9">
      <c r="A9" s="2082" t="s">
        <v>384</v>
      </c>
      <c r="B9" s="2048">
        <f>ROUND(SUM(B5:B8),2)</f>
        <v>0</v>
      </c>
      <c r="C9" s="2048">
        <f>ROUND(SUM(C5:C8),2)</f>
        <v>0</v>
      </c>
      <c r="D9" s="2080"/>
      <c r="E9" s="2080"/>
      <c r="F9" s="2080"/>
      <c r="G9" s="2080"/>
      <c r="H9" s="2080"/>
      <c r="I9" s="2086" t="s">
        <v>990</v>
      </c>
    </row>
    <row r="10" spans="1:8">
      <c r="A10" s="2080"/>
      <c r="B10" s="2080"/>
      <c r="C10" s="2080"/>
      <c r="D10" s="2080"/>
      <c r="E10" s="2080"/>
      <c r="F10" s="2080"/>
      <c r="G10" s="2080"/>
      <c r="H10" s="2080"/>
    </row>
    <row r="11" spans="1:8">
      <c r="A11" s="2088" t="s">
        <v>991</v>
      </c>
      <c r="B11" s="2080"/>
      <c r="C11" s="2080"/>
      <c r="D11" s="2080"/>
      <c r="E11" s="2080"/>
      <c r="F11" s="2080"/>
      <c r="G11" s="2080"/>
      <c r="H11" s="2080"/>
    </row>
    <row r="12" spans="1:8">
      <c r="A12" s="2108" t="s">
        <v>992</v>
      </c>
      <c r="B12" s="2108" t="s">
        <v>993</v>
      </c>
      <c r="C12" s="2108" t="s">
        <v>994</v>
      </c>
      <c r="D12" s="2108" t="s">
        <v>995</v>
      </c>
      <c r="E12" s="2108" t="s">
        <v>996</v>
      </c>
      <c r="F12" s="2108" t="s">
        <v>997</v>
      </c>
      <c r="G12" s="2080"/>
      <c r="H12" s="2080"/>
    </row>
    <row r="13" spans="1:9">
      <c r="A13" s="2092">
        <f>IF(未审附注之负债及权益!A13="",0,未审附注之负债及权益!A13)</f>
        <v>0</v>
      </c>
      <c r="B13" s="2085">
        <f>IF(未审附注之负债及权益!B13="",0,未审附注之负债及权益!B13)</f>
        <v>0</v>
      </c>
      <c r="C13" s="2111">
        <f>IF(未审附注之负债及权益!C13="",0,未审附注之负债及权益!C13)</f>
        <v>0</v>
      </c>
      <c r="D13" s="2092">
        <f>IF(未审附注之负债及权益!D13="",0,未审附注之负债及权益!D13)</f>
        <v>0</v>
      </c>
      <c r="E13" s="2092">
        <f>IF(未审附注之负债及权益!E13="",0,未审附注之负债及权益!E13)</f>
        <v>0</v>
      </c>
      <c r="F13" s="2092">
        <f>IF(未审附注之负债及权益!F13="",0,未审附注之负债及权益!F13)</f>
        <v>0</v>
      </c>
      <c r="G13" s="2080"/>
      <c r="H13" s="2080"/>
      <c r="I13" s="2086" t="s">
        <v>998</v>
      </c>
    </row>
    <row r="14" spans="1:9">
      <c r="A14" s="2092">
        <f>IF(未审附注之负债及权益!A14="",0,未审附注之负债及权益!A14)</f>
        <v>0</v>
      </c>
      <c r="B14" s="2085">
        <f>IF(未审附注之负债及权益!B14="",0,未审附注之负债及权益!B14)</f>
        <v>0</v>
      </c>
      <c r="C14" s="2111">
        <f>IF(未审附注之负债及权益!C14="",0,未审附注之负债及权益!C14)</f>
        <v>0</v>
      </c>
      <c r="D14" s="2092">
        <f>IF(未审附注之负债及权益!D14="",0,未审附注之负债及权益!D14)</f>
        <v>0</v>
      </c>
      <c r="E14" s="2092">
        <f>IF(未审附注之负债及权益!E14="",0,未审附注之负债及权益!E14)</f>
        <v>0</v>
      </c>
      <c r="F14" s="2092">
        <f>IF(未审附注之负债及权益!F14="",0,未审附注之负债及权益!F14)</f>
        <v>0</v>
      </c>
      <c r="G14" s="2080"/>
      <c r="H14" s="2080"/>
      <c r="I14" s="2086" t="s">
        <v>998</v>
      </c>
    </row>
    <row r="15" spans="1:9">
      <c r="A15" s="2092">
        <f>IF(未审附注之负债及权益!A15="",0,未审附注之负债及权益!A15)</f>
        <v>0</v>
      </c>
      <c r="B15" s="2085">
        <f>IF(未审附注之负债及权益!B15="",0,未审附注之负债及权益!B15)</f>
        <v>0</v>
      </c>
      <c r="C15" s="2111">
        <f>IF(未审附注之负债及权益!C15="",0,未审附注之负债及权益!C15)</f>
        <v>0</v>
      </c>
      <c r="D15" s="2092">
        <f>IF(未审附注之负债及权益!D15="",0,未审附注之负债及权益!D15)</f>
        <v>0</v>
      </c>
      <c r="E15" s="2092">
        <f>IF(未审附注之负债及权益!E15="",0,未审附注之负债及权益!E15)</f>
        <v>0</v>
      </c>
      <c r="F15" s="2092">
        <f>IF(未审附注之负债及权益!F15="",0,未审附注之负债及权益!F15)</f>
        <v>0</v>
      </c>
      <c r="G15" s="2080"/>
      <c r="H15" s="2080"/>
      <c r="I15" s="2086" t="s">
        <v>998</v>
      </c>
    </row>
    <row r="16" spans="1:9">
      <c r="A16" s="2092">
        <f>IF(未审附注之负债及权益!A16="",0,未审附注之负债及权益!A16)</f>
        <v>0</v>
      </c>
      <c r="B16" s="2085">
        <f>IF(未审附注之负债及权益!B16="",0,未审附注之负债及权益!B16)</f>
        <v>0</v>
      </c>
      <c r="C16" s="2111">
        <f>IF(未审附注之负债及权益!C16="",0,未审附注之负债及权益!C16)</f>
        <v>0</v>
      </c>
      <c r="D16" s="2092">
        <f>IF(未审附注之负债及权益!D16="",0,未审附注之负债及权益!D16)</f>
        <v>0</v>
      </c>
      <c r="E16" s="2092">
        <f>IF(未审附注之负债及权益!E16="",0,未审附注之负债及权益!E16)</f>
        <v>0</v>
      </c>
      <c r="F16" s="2092">
        <f>IF(未审附注之负债及权益!F16="",0,未审附注之负债及权益!F16)</f>
        <v>0</v>
      </c>
      <c r="G16" s="2080"/>
      <c r="H16" s="2080"/>
      <c r="I16" s="2086" t="s">
        <v>998</v>
      </c>
    </row>
    <row r="17" spans="1:9">
      <c r="A17" s="2092">
        <f>IF(未审附注之负债及权益!A17="",0,未审附注之负债及权益!A17)</f>
        <v>0</v>
      </c>
      <c r="B17" s="2085">
        <f>IF(未审附注之负债及权益!B17="",0,未审附注之负债及权益!B17)</f>
        <v>0</v>
      </c>
      <c r="C17" s="2111">
        <f>IF(未审附注之负债及权益!C17="",0,未审附注之负债及权益!C17)</f>
        <v>0</v>
      </c>
      <c r="D17" s="2092">
        <f>IF(未审附注之负债及权益!D17="",0,未审附注之负债及权益!D17)</f>
        <v>0</v>
      </c>
      <c r="E17" s="2092">
        <f>IF(未审附注之负债及权益!E17="",0,未审附注之负债及权益!E17)</f>
        <v>0</v>
      </c>
      <c r="F17" s="2092">
        <f>IF(未审附注之负债及权益!F17="",0,未审附注之负债及权益!F17)</f>
        <v>0</v>
      </c>
      <c r="G17" s="2080"/>
      <c r="H17" s="2080"/>
      <c r="I17" s="2086" t="s">
        <v>998</v>
      </c>
    </row>
    <row r="18" spans="1:9">
      <c r="A18" s="2092">
        <f>IF(未审附注之负债及权益!A18="",0,未审附注之负债及权益!A18)</f>
        <v>0</v>
      </c>
      <c r="B18" s="2085">
        <f>IF(未审附注之负债及权益!B18="",0,未审附注之负债及权益!B18)</f>
        <v>0</v>
      </c>
      <c r="C18" s="2111">
        <f>IF(未审附注之负债及权益!C18="",0,未审附注之负债及权益!C18)</f>
        <v>0</v>
      </c>
      <c r="D18" s="2092">
        <f>IF(未审附注之负债及权益!D18="",0,未审附注之负债及权益!D18)</f>
        <v>0</v>
      </c>
      <c r="E18" s="2092">
        <f>IF(未审附注之负债及权益!E18="",0,未审附注之负债及权益!E18)</f>
        <v>0</v>
      </c>
      <c r="F18" s="2092">
        <f>IF(未审附注之负债及权益!F18="",0,未审附注之负债及权益!F18)</f>
        <v>0</v>
      </c>
      <c r="G18" s="2080"/>
      <c r="H18" s="2080"/>
      <c r="I18" s="2086" t="s">
        <v>998</v>
      </c>
    </row>
    <row r="19" spans="1:9">
      <c r="A19" s="2092">
        <f>IF(未审附注之负债及权益!A19="",0,未审附注之负债及权益!A19)</f>
        <v>0</v>
      </c>
      <c r="B19" s="2085">
        <f>IF(未审附注之负债及权益!B19="",0,未审附注之负债及权益!B19)</f>
        <v>0</v>
      </c>
      <c r="C19" s="2111">
        <f>IF(未审附注之负债及权益!C19="",0,未审附注之负债及权益!C19)</f>
        <v>0</v>
      </c>
      <c r="D19" s="2092">
        <f>IF(未审附注之负债及权益!D19="",0,未审附注之负债及权益!D19)</f>
        <v>0</v>
      </c>
      <c r="E19" s="2092">
        <f>IF(未审附注之负债及权益!E19="",0,未审附注之负债及权益!E19)</f>
        <v>0</v>
      </c>
      <c r="F19" s="2092">
        <f>IF(未审附注之负债及权益!F19="",0,未审附注之负债及权益!F19)</f>
        <v>0</v>
      </c>
      <c r="G19" s="2080"/>
      <c r="H19" s="2080"/>
      <c r="I19" s="2086" t="s">
        <v>998</v>
      </c>
    </row>
    <row r="20" spans="1:9">
      <c r="A20" s="2092">
        <f>IF(未审附注之负债及权益!A20="",0,未审附注之负债及权益!A20)</f>
        <v>0</v>
      </c>
      <c r="B20" s="2085">
        <f>IF(未审附注之负债及权益!B20="",0,未审附注之负债及权益!B20)</f>
        <v>0</v>
      </c>
      <c r="C20" s="2111">
        <f>IF(未审附注之负债及权益!C20="",0,未审附注之负债及权益!C20)</f>
        <v>0</v>
      </c>
      <c r="D20" s="2092">
        <f>IF(未审附注之负债及权益!D20="",0,未审附注之负债及权益!D20)</f>
        <v>0</v>
      </c>
      <c r="E20" s="2092">
        <f>IF(未审附注之负债及权益!E20="",0,未审附注之负债及权益!E20)</f>
        <v>0</v>
      </c>
      <c r="F20" s="2092">
        <f>IF(未审附注之负债及权益!F20="",0,未审附注之负债及权益!F20)</f>
        <v>0</v>
      </c>
      <c r="G20" s="2080"/>
      <c r="H20" s="2080"/>
      <c r="I20" s="2086" t="s">
        <v>998</v>
      </c>
    </row>
    <row r="21" spans="1:9">
      <c r="A21" s="2092">
        <f>IF(未审附注之负债及权益!A21="",0,未审附注之负债及权益!A21)</f>
        <v>0</v>
      </c>
      <c r="B21" s="2085">
        <f>IF(未审附注之负债及权益!B21="",0,未审附注之负债及权益!B21)</f>
        <v>0</v>
      </c>
      <c r="C21" s="2111">
        <f>IF(未审附注之负债及权益!C21="",0,未审附注之负债及权益!C21)</f>
        <v>0</v>
      </c>
      <c r="D21" s="2092">
        <f>IF(未审附注之负债及权益!D21="",0,未审附注之负债及权益!D21)</f>
        <v>0</v>
      </c>
      <c r="E21" s="2092">
        <f>IF(未审附注之负债及权益!E21="",0,未审附注之负债及权益!E21)</f>
        <v>0</v>
      </c>
      <c r="F21" s="2092">
        <f>IF(未审附注之负债及权益!F21="",0,未审附注之负债及权益!F21)</f>
        <v>0</v>
      </c>
      <c r="G21" s="2080"/>
      <c r="H21" s="2080"/>
      <c r="I21" s="2086" t="s">
        <v>998</v>
      </c>
    </row>
    <row r="22" spans="1:9">
      <c r="A22" s="2092">
        <f>IF(未审附注之负债及权益!A22="",0,未审附注之负债及权益!A22)</f>
        <v>0</v>
      </c>
      <c r="B22" s="2085">
        <f>IF(未审附注之负债及权益!B22="",0,未审附注之负债及权益!B22)</f>
        <v>0</v>
      </c>
      <c r="C22" s="2111">
        <f>IF(未审附注之负债及权益!C22="",0,未审附注之负债及权益!C22)</f>
        <v>0</v>
      </c>
      <c r="D22" s="2092">
        <f>IF(未审附注之负债及权益!D22="",0,未审附注之负债及权益!D22)</f>
        <v>0</v>
      </c>
      <c r="E22" s="2092">
        <f>IF(未审附注之负债及权益!E22="",0,未审附注之负债及权益!E22)</f>
        <v>0</v>
      </c>
      <c r="F22" s="2092">
        <f>IF(未审附注之负债及权益!F22="",0,未审附注之负债及权益!F22)</f>
        <v>0</v>
      </c>
      <c r="G22" s="2080"/>
      <c r="H22" s="2080"/>
      <c r="I22" s="2086" t="s">
        <v>998</v>
      </c>
    </row>
    <row r="23" spans="1:9">
      <c r="A23" s="2082" t="s">
        <v>384</v>
      </c>
      <c r="B23" s="2048">
        <f>ROUND(SUM(B13:B22),2)</f>
        <v>0</v>
      </c>
      <c r="C23" s="2048"/>
      <c r="D23" s="2048"/>
      <c r="E23" s="2048"/>
      <c r="F23" s="2048"/>
      <c r="G23" s="2080"/>
      <c r="H23" s="2080"/>
      <c r="I23" s="2086" t="s">
        <v>999</v>
      </c>
    </row>
    <row r="24" spans="1:8">
      <c r="A24" s="2080"/>
      <c r="B24" s="2080"/>
      <c r="C24" s="2080"/>
      <c r="D24" s="2080"/>
      <c r="E24" s="2080"/>
      <c r="F24" s="2080"/>
      <c r="G24" s="2080"/>
      <c r="H24" s="2080"/>
    </row>
    <row r="25" spans="1:8">
      <c r="A25" s="2088" t="s">
        <v>1000</v>
      </c>
      <c r="B25" s="2080"/>
      <c r="C25" s="2080"/>
      <c r="D25" s="2080"/>
      <c r="E25" s="2080"/>
      <c r="F25" s="2080"/>
      <c r="G25" s="2080"/>
      <c r="H25" s="2080"/>
    </row>
    <row r="26" spans="1:8">
      <c r="A26" s="2108" t="s">
        <v>992</v>
      </c>
      <c r="B26" s="2108" t="s">
        <v>993</v>
      </c>
      <c r="C26" s="2108" t="s">
        <v>994</v>
      </c>
      <c r="D26" s="2108" t="s">
        <v>995</v>
      </c>
      <c r="E26" s="2108" t="s">
        <v>1001</v>
      </c>
      <c r="F26" s="2108" t="s">
        <v>1002</v>
      </c>
      <c r="G26" s="2080"/>
      <c r="H26" s="2080"/>
    </row>
    <row r="27" spans="1:9">
      <c r="A27" s="2092">
        <f>IF(未审附注之负债及权益!A27="",0,未审附注之负债及权益!A27)</f>
        <v>0</v>
      </c>
      <c r="B27" s="2085">
        <f>IF(未审附注之负债及权益!B27="",0,未审附注之负债及权益!B27)</f>
        <v>0</v>
      </c>
      <c r="C27" s="2111">
        <f>IF(未审附注之负债及权益!C27="",0,未审附注之负债及权益!C27)</f>
        <v>0</v>
      </c>
      <c r="D27" s="2092">
        <f>IF(未审附注之负债及权益!D27="",0,未审附注之负债及权益!D27)</f>
        <v>0</v>
      </c>
      <c r="E27" s="2092">
        <f>IF(未审附注之负债及权益!E27="",0,未审附注之负债及权益!E27)</f>
        <v>0</v>
      </c>
      <c r="F27" s="2113">
        <f>IF(未审附注之负债及权益!F27="",0,未审附注之负债及权益!F27)</f>
        <v>0</v>
      </c>
      <c r="G27" s="2080"/>
      <c r="H27" s="2080"/>
      <c r="I27" s="2086" t="s">
        <v>1003</v>
      </c>
    </row>
    <row r="28" spans="1:9">
      <c r="A28" s="2092">
        <f>IF(未审附注之负债及权益!A28="",0,未审附注之负债及权益!A28)</f>
        <v>0</v>
      </c>
      <c r="B28" s="2085">
        <f>IF(未审附注之负债及权益!B28="",0,未审附注之负债及权益!B28)</f>
        <v>0</v>
      </c>
      <c r="C28" s="2111">
        <f>IF(未审附注之负债及权益!C28="",0,未审附注之负债及权益!C28)</f>
        <v>0</v>
      </c>
      <c r="D28" s="2092">
        <f>IF(未审附注之负债及权益!D28="",0,未审附注之负债及权益!D28)</f>
        <v>0</v>
      </c>
      <c r="E28" s="2092">
        <f>IF(未审附注之负债及权益!E28="",0,未审附注之负债及权益!E28)</f>
        <v>0</v>
      </c>
      <c r="F28" s="2113">
        <f>IF(未审附注之负债及权益!F28="",0,未审附注之负债及权益!F28)</f>
        <v>0</v>
      </c>
      <c r="G28" s="2080"/>
      <c r="H28" s="2080"/>
      <c r="I28" s="2086" t="s">
        <v>1003</v>
      </c>
    </row>
    <row r="29" spans="1:9">
      <c r="A29" s="2092">
        <f>IF(未审附注之负债及权益!A29="",0,未审附注之负债及权益!A29)</f>
        <v>0</v>
      </c>
      <c r="B29" s="2085">
        <f>IF(未审附注之负债及权益!B29="",0,未审附注之负债及权益!B29)</f>
        <v>0</v>
      </c>
      <c r="C29" s="2111">
        <f>IF(未审附注之负债及权益!C29="",0,未审附注之负债及权益!C29)</f>
        <v>0</v>
      </c>
      <c r="D29" s="2092">
        <f>IF(未审附注之负债及权益!D29="",0,未审附注之负债及权益!D29)</f>
        <v>0</v>
      </c>
      <c r="E29" s="2092">
        <f>IF(未审附注之负债及权益!E29="",0,未审附注之负债及权益!E29)</f>
        <v>0</v>
      </c>
      <c r="F29" s="2113">
        <f>IF(未审附注之负债及权益!F29="",0,未审附注之负债及权益!F29)</f>
        <v>0</v>
      </c>
      <c r="G29" s="2080"/>
      <c r="H29" s="2080"/>
      <c r="I29" s="2086" t="s">
        <v>1003</v>
      </c>
    </row>
    <row r="30" spans="1:9">
      <c r="A30" s="2092">
        <f>IF(未审附注之负债及权益!A30="",0,未审附注之负债及权益!A30)</f>
        <v>0</v>
      </c>
      <c r="B30" s="2085">
        <f>IF(未审附注之负债及权益!B30="",0,未审附注之负债及权益!B30)</f>
        <v>0</v>
      </c>
      <c r="C30" s="2111">
        <f>IF(未审附注之负债及权益!C30="",0,未审附注之负债及权益!C30)</f>
        <v>0</v>
      </c>
      <c r="D30" s="2092">
        <f>IF(未审附注之负债及权益!D30="",0,未审附注之负债及权益!D30)</f>
        <v>0</v>
      </c>
      <c r="E30" s="2092">
        <f>IF(未审附注之负债及权益!E30="",0,未审附注之负债及权益!E30)</f>
        <v>0</v>
      </c>
      <c r="F30" s="2113">
        <f>IF(未审附注之负债及权益!F30="",0,未审附注之负债及权益!F30)</f>
        <v>0</v>
      </c>
      <c r="G30" s="2080"/>
      <c r="H30" s="2080"/>
      <c r="I30" s="2086" t="s">
        <v>1003</v>
      </c>
    </row>
    <row r="31" spans="1:9">
      <c r="A31" s="2092">
        <f>IF(未审附注之负债及权益!A31="",0,未审附注之负债及权益!A31)</f>
        <v>0</v>
      </c>
      <c r="B31" s="2085">
        <f>IF(未审附注之负债及权益!B31="",0,未审附注之负债及权益!B31)</f>
        <v>0</v>
      </c>
      <c r="C31" s="2111">
        <f>IF(未审附注之负债及权益!C31="",0,未审附注之负债及权益!C31)</f>
        <v>0</v>
      </c>
      <c r="D31" s="2092">
        <f>IF(未审附注之负债及权益!D31="",0,未审附注之负债及权益!D31)</f>
        <v>0</v>
      </c>
      <c r="E31" s="2092">
        <f>IF(未审附注之负债及权益!E31="",0,未审附注之负债及权益!E31)</f>
        <v>0</v>
      </c>
      <c r="F31" s="2113">
        <f>IF(未审附注之负债及权益!F31="",0,未审附注之负债及权益!F31)</f>
        <v>0</v>
      </c>
      <c r="G31" s="2080"/>
      <c r="H31" s="2080"/>
      <c r="I31" s="2086" t="s">
        <v>1003</v>
      </c>
    </row>
    <row r="32" spans="1:9">
      <c r="A32" s="2092">
        <f>IF(未审附注之负债及权益!A32="",0,未审附注之负债及权益!A32)</f>
        <v>0</v>
      </c>
      <c r="B32" s="2085">
        <f>IF(未审附注之负债及权益!B32="",0,未审附注之负债及权益!B32)</f>
        <v>0</v>
      </c>
      <c r="C32" s="2111">
        <f>IF(未审附注之负债及权益!C32="",0,未审附注之负债及权益!C32)</f>
        <v>0</v>
      </c>
      <c r="D32" s="2092">
        <f>IF(未审附注之负债及权益!D32="",0,未审附注之负债及权益!D32)</f>
        <v>0</v>
      </c>
      <c r="E32" s="2092">
        <f>IF(未审附注之负债及权益!E32="",0,未审附注之负债及权益!E32)</f>
        <v>0</v>
      </c>
      <c r="F32" s="2113">
        <f>IF(未审附注之负债及权益!F32="",0,未审附注之负债及权益!F32)</f>
        <v>0</v>
      </c>
      <c r="G32" s="2080"/>
      <c r="H32" s="2080"/>
      <c r="I32" s="2086" t="s">
        <v>1003</v>
      </c>
    </row>
    <row r="33" spans="1:9">
      <c r="A33" s="2092">
        <f>IF(未审附注之负债及权益!A33="",0,未审附注之负债及权益!A33)</f>
        <v>0</v>
      </c>
      <c r="B33" s="2085">
        <f>IF(未审附注之负债及权益!B33="",0,未审附注之负债及权益!B33)</f>
        <v>0</v>
      </c>
      <c r="C33" s="2111">
        <f>IF(未审附注之负债及权益!C33="",0,未审附注之负债及权益!C33)</f>
        <v>0</v>
      </c>
      <c r="D33" s="2092">
        <f>IF(未审附注之负债及权益!D33="",0,未审附注之负债及权益!D33)</f>
        <v>0</v>
      </c>
      <c r="E33" s="2092">
        <f>IF(未审附注之负债及权益!E33="",0,未审附注之负债及权益!E33)</f>
        <v>0</v>
      </c>
      <c r="F33" s="2113">
        <f>IF(未审附注之负债及权益!F33="",0,未审附注之负债及权益!F33)</f>
        <v>0</v>
      </c>
      <c r="G33" s="2080"/>
      <c r="H33" s="2080"/>
      <c r="I33" s="2086" t="s">
        <v>1003</v>
      </c>
    </row>
    <row r="34" spans="1:9">
      <c r="A34" s="2092">
        <f>IF(未审附注之负债及权益!A34="",0,未审附注之负债及权益!A34)</f>
        <v>0</v>
      </c>
      <c r="B34" s="2085">
        <f>IF(未审附注之负债及权益!B34="",0,未审附注之负债及权益!B34)</f>
        <v>0</v>
      </c>
      <c r="C34" s="2111">
        <f>IF(未审附注之负债及权益!C34="",0,未审附注之负债及权益!C34)</f>
        <v>0</v>
      </c>
      <c r="D34" s="2092">
        <f>IF(未审附注之负债及权益!D34="",0,未审附注之负债及权益!D34)</f>
        <v>0</v>
      </c>
      <c r="E34" s="2092">
        <f>IF(未审附注之负债及权益!E34="",0,未审附注之负债及权益!E34)</f>
        <v>0</v>
      </c>
      <c r="F34" s="2113">
        <f>IF(未审附注之负债及权益!F34="",0,未审附注之负债及权益!F34)</f>
        <v>0</v>
      </c>
      <c r="G34" s="2080"/>
      <c r="H34" s="2080"/>
      <c r="I34" s="2086" t="s">
        <v>1003</v>
      </c>
    </row>
    <row r="35" spans="1:9">
      <c r="A35" s="2092">
        <f>IF(未审附注之负债及权益!A35="",0,未审附注之负债及权益!A35)</f>
        <v>0</v>
      </c>
      <c r="B35" s="2085">
        <f>IF(未审附注之负债及权益!B35="",0,未审附注之负债及权益!B35)</f>
        <v>0</v>
      </c>
      <c r="C35" s="2111">
        <f>IF(未审附注之负债及权益!C35="",0,未审附注之负债及权益!C35)</f>
        <v>0</v>
      </c>
      <c r="D35" s="2092">
        <f>IF(未审附注之负债及权益!D35="",0,未审附注之负债及权益!D35)</f>
        <v>0</v>
      </c>
      <c r="E35" s="2092">
        <f>IF(未审附注之负债及权益!E35="",0,未审附注之负债及权益!E35)</f>
        <v>0</v>
      </c>
      <c r="F35" s="2113">
        <f>IF(未审附注之负债及权益!F35="",0,未审附注之负债及权益!F35)</f>
        <v>0</v>
      </c>
      <c r="G35" s="2080"/>
      <c r="H35" s="2080"/>
      <c r="I35" s="2086" t="s">
        <v>1003</v>
      </c>
    </row>
    <row r="36" spans="1:9">
      <c r="A36" s="2092">
        <f>IF(未审附注之负债及权益!A36="",0,未审附注之负债及权益!A36)</f>
        <v>0</v>
      </c>
      <c r="B36" s="2085">
        <f>IF(未审附注之负债及权益!B36="",0,未审附注之负债及权益!B36)</f>
        <v>0</v>
      </c>
      <c r="C36" s="2111">
        <f>IF(未审附注之负债及权益!C36="",0,未审附注之负债及权益!C36)</f>
        <v>0</v>
      </c>
      <c r="D36" s="2092">
        <f>IF(未审附注之负债及权益!D36="",0,未审附注之负债及权益!D36)</f>
        <v>0</v>
      </c>
      <c r="E36" s="2092">
        <f>IF(未审附注之负债及权益!E36="",0,未审附注之负债及权益!E36)</f>
        <v>0</v>
      </c>
      <c r="F36" s="2113">
        <f>IF(未审附注之负债及权益!F36="",0,未审附注之负债及权益!F36)</f>
        <v>0</v>
      </c>
      <c r="G36" s="2080"/>
      <c r="H36" s="2080"/>
      <c r="I36" s="2086" t="s">
        <v>1003</v>
      </c>
    </row>
    <row r="37" spans="1:9">
      <c r="A37" s="2082" t="s">
        <v>384</v>
      </c>
      <c r="B37" s="2048">
        <f>ROUND(SUM(B27:B36),2)</f>
        <v>0</v>
      </c>
      <c r="C37" s="2048"/>
      <c r="D37" s="2048"/>
      <c r="E37" s="2048"/>
      <c r="F37" s="2048"/>
      <c r="G37" s="2080"/>
      <c r="H37" s="2080"/>
      <c r="I37" s="2086" t="s">
        <v>1004</v>
      </c>
    </row>
    <row r="38" spans="1:8">
      <c r="A38" s="2080"/>
      <c r="B38" s="2080"/>
      <c r="C38" s="2080"/>
      <c r="D38" s="2080"/>
      <c r="E38" s="2080"/>
      <c r="F38" s="2080"/>
      <c r="G38" s="2080"/>
      <c r="H38" s="2080"/>
    </row>
    <row r="39" spans="1:8">
      <c r="A39" s="2080"/>
      <c r="B39" s="2080"/>
      <c r="C39" s="2080"/>
      <c r="D39" s="2080"/>
      <c r="E39" s="2080"/>
      <c r="F39" s="2080"/>
      <c r="G39" s="2080"/>
      <c r="H39" s="2080"/>
    </row>
    <row r="40" spans="1:8">
      <c r="A40" s="2079" t="s">
        <v>1005</v>
      </c>
      <c r="B40" s="2080"/>
      <c r="C40" s="2080"/>
      <c r="D40" s="2080"/>
      <c r="E40" s="2080"/>
      <c r="F40" s="2080"/>
      <c r="G40" s="2080"/>
      <c r="H40" s="2080"/>
    </row>
    <row r="41" spans="1:8">
      <c r="A41" s="2084" t="s">
        <v>372</v>
      </c>
      <c r="B41" s="2084" t="s">
        <v>373</v>
      </c>
      <c r="C41" s="2084" t="s">
        <v>374</v>
      </c>
      <c r="D41" s="2080"/>
      <c r="E41" s="2080"/>
      <c r="F41" s="2080"/>
      <c r="G41" s="2080"/>
      <c r="H41" s="2080"/>
    </row>
    <row r="42" spans="1:9">
      <c r="A42" s="2084" t="s">
        <v>1006</v>
      </c>
      <c r="B42" s="2085">
        <f>IF(未审附注之负债及权益!B42="",0,未审附注之负债及权益!B42)</f>
        <v>0</v>
      </c>
      <c r="C42" s="2085">
        <f>IF(未审附注之负债及权益!C42="",0,未审附注之负债及权益!C42)</f>
        <v>0</v>
      </c>
      <c r="D42" s="2080"/>
      <c r="E42" s="2080"/>
      <c r="F42" s="2080"/>
      <c r="G42" s="2080"/>
      <c r="H42" s="2080"/>
      <c r="I42" s="2086" t="s">
        <v>1007</v>
      </c>
    </row>
    <row r="43" spans="1:9">
      <c r="A43" s="2084" t="s">
        <v>1008</v>
      </c>
      <c r="B43" s="2085">
        <f>IF(未审附注之负债及权益!B43="",0,未审附注之负债及权益!B43)</f>
        <v>0</v>
      </c>
      <c r="C43" s="2085">
        <f>IF(未审附注之负债及权益!C43="",0,未审附注之负债及权益!C43)</f>
        <v>0</v>
      </c>
      <c r="D43" s="2080"/>
      <c r="E43" s="2080"/>
      <c r="F43" s="2080"/>
      <c r="G43" s="2080"/>
      <c r="H43" s="2080"/>
      <c r="I43" s="2086" t="s">
        <v>1009</v>
      </c>
    </row>
    <row r="44" spans="1:9">
      <c r="A44" s="2084" t="s">
        <v>1010</v>
      </c>
      <c r="B44" s="2085">
        <f>IF(未审附注之负债及权益!B44="",0,未审附注之负债及权益!B44)</f>
        <v>0</v>
      </c>
      <c r="C44" s="2085">
        <f>IF(未审附注之负债及权益!C44="",0,未审附注之负债及权益!C44)</f>
        <v>0</v>
      </c>
      <c r="D44" s="2080"/>
      <c r="E44" s="2080"/>
      <c r="F44" s="2080"/>
      <c r="G44" s="2080"/>
      <c r="H44" s="2080"/>
      <c r="I44" s="2086" t="s">
        <v>1011</v>
      </c>
    </row>
    <row r="45" spans="1:9">
      <c r="A45" s="2084" t="s">
        <v>279</v>
      </c>
      <c r="B45" s="2085">
        <f>IF(未审附注之负债及权益!B45="",0,未审附注之负债及权益!B45)</f>
        <v>0</v>
      </c>
      <c r="C45" s="2085">
        <f>IF(未审附注之负债及权益!C45="",0,未审附注之负债及权益!C45)</f>
        <v>0</v>
      </c>
      <c r="D45" s="2080"/>
      <c r="E45" s="2080"/>
      <c r="F45" s="2080"/>
      <c r="G45" s="2080"/>
      <c r="H45" s="2080"/>
      <c r="I45" s="2086" t="s">
        <v>1012</v>
      </c>
    </row>
    <row r="46" spans="1:9">
      <c r="A46" s="2084" t="s">
        <v>384</v>
      </c>
      <c r="B46" s="2048">
        <f>ROUND(SUM(B42:B45),2)</f>
        <v>0</v>
      </c>
      <c r="C46" s="2048">
        <f>ROUND(SUM(C42:C45),2)</f>
        <v>0</v>
      </c>
      <c r="D46" s="2080"/>
      <c r="E46" s="2080"/>
      <c r="F46" s="2080"/>
      <c r="G46" s="2080"/>
      <c r="H46" s="2080"/>
      <c r="I46" s="2086" t="s">
        <v>1013</v>
      </c>
    </row>
    <row r="47" spans="1:8">
      <c r="A47" s="2103"/>
      <c r="B47" s="2080"/>
      <c r="C47" s="2080"/>
      <c r="D47" s="2080"/>
      <c r="E47" s="2080"/>
      <c r="F47" s="2080"/>
      <c r="G47" s="2080"/>
      <c r="H47" s="2080"/>
    </row>
    <row r="48" spans="1:8">
      <c r="A48" s="2103"/>
      <c r="B48" s="2080"/>
      <c r="C48" s="2080"/>
      <c r="D48" s="2080"/>
      <c r="E48" s="2080"/>
      <c r="F48" s="2080"/>
      <c r="G48" s="2080"/>
      <c r="H48" s="2080"/>
    </row>
    <row r="49" spans="1:8">
      <c r="A49" s="2079" t="s">
        <v>1014</v>
      </c>
      <c r="B49" s="2080"/>
      <c r="C49" s="2080"/>
      <c r="D49" s="2080"/>
      <c r="E49" s="2080"/>
      <c r="F49" s="2080"/>
      <c r="G49" s="2080"/>
      <c r="H49" s="2080"/>
    </row>
    <row r="50" spans="1:8">
      <c r="A50" s="2081" t="s">
        <v>313</v>
      </c>
      <c r="B50" s="2080"/>
      <c r="C50" s="2080"/>
      <c r="D50" s="2080"/>
      <c r="E50" s="2080"/>
      <c r="F50" s="2080"/>
      <c r="G50" s="2080"/>
      <c r="H50" s="2080"/>
    </row>
    <row r="51" spans="1:8">
      <c r="A51" s="2083" t="s">
        <v>390</v>
      </c>
      <c r="B51" s="2082" t="s">
        <v>315</v>
      </c>
      <c r="C51" s="2082" t="s">
        <v>316</v>
      </c>
      <c r="D51" s="2082" t="s">
        <v>1015</v>
      </c>
      <c r="E51" s="2080"/>
      <c r="F51" s="2080"/>
      <c r="G51" s="2080"/>
      <c r="H51" s="2080"/>
    </row>
    <row r="52" spans="1:9">
      <c r="A52" s="2087" t="s">
        <v>391</v>
      </c>
      <c r="B52" s="2085">
        <f>IF(未审附注之负债及权益!B52="",0,未审附注之负债及权益!B52)</f>
        <v>0</v>
      </c>
      <c r="C52" s="2085">
        <f>IF(未审附注之负债及权益!C52="",0,未审附注之负债及权益!C52)</f>
        <v>0</v>
      </c>
      <c r="D52" s="2085">
        <f>IF(未审附注之负债及权益!D52="",0,未审附注之负债及权益!D52)</f>
        <v>0</v>
      </c>
      <c r="E52" s="2080"/>
      <c r="F52" s="2080"/>
      <c r="G52" s="2080"/>
      <c r="H52" s="2080"/>
      <c r="I52" s="2086" t="s">
        <v>1016</v>
      </c>
    </row>
    <row r="53" spans="1:9">
      <c r="A53" s="2087" t="s">
        <v>393</v>
      </c>
      <c r="B53" s="2085">
        <f>IF(未审附注之负债及权益!B53="",0,未审附注之负债及权益!B53)</f>
        <v>0</v>
      </c>
      <c r="C53" s="2085">
        <f>IF(未审附注之负债及权益!C53="",0,未审附注之负债及权益!C53)</f>
        <v>0</v>
      </c>
      <c r="D53" s="2085">
        <f>IF(未审附注之负债及权益!D53="",0,未审附注之负债及权益!D53)</f>
        <v>0</v>
      </c>
      <c r="E53" s="2080"/>
      <c r="F53" s="2080"/>
      <c r="G53" s="2080"/>
      <c r="H53" s="2080"/>
      <c r="I53" s="2086" t="s">
        <v>1017</v>
      </c>
    </row>
    <row r="54" spans="1:9">
      <c r="A54" s="2082" t="s">
        <v>384</v>
      </c>
      <c r="B54" s="2048">
        <f>ROUND(SUM(B52:B53),2)</f>
        <v>0</v>
      </c>
      <c r="C54" s="2048">
        <f>ROUND(SUM(C52:C53),2)</f>
        <v>0</v>
      </c>
      <c r="D54" s="2048">
        <f>ROUND(SUM(D52:D53),2)</f>
        <v>0</v>
      </c>
      <c r="E54" s="2080"/>
      <c r="F54" s="2080"/>
      <c r="G54" s="2080"/>
      <c r="H54" s="2080"/>
      <c r="I54" s="2086" t="s">
        <v>1018</v>
      </c>
    </row>
    <row r="55" spans="1:8">
      <c r="A55" s="2103"/>
      <c r="B55" s="2080"/>
      <c r="C55" s="2080"/>
      <c r="D55" s="2080"/>
      <c r="E55" s="2080"/>
      <c r="F55" s="2080"/>
      <c r="G55" s="2080"/>
      <c r="H55" s="2080"/>
    </row>
    <row r="56" spans="1:8">
      <c r="A56" s="2103"/>
      <c r="B56" s="2080"/>
      <c r="C56" s="2080"/>
      <c r="D56" s="2080"/>
      <c r="E56" s="2080"/>
      <c r="F56" s="2080"/>
      <c r="G56" s="2080"/>
      <c r="H56" s="2080"/>
    </row>
    <row r="57" spans="1:8">
      <c r="A57" s="2079" t="s">
        <v>1019</v>
      </c>
      <c r="B57" s="2080"/>
      <c r="C57" s="2080"/>
      <c r="D57" s="2080"/>
      <c r="E57" s="2080"/>
      <c r="F57" s="2080"/>
      <c r="G57" s="2080"/>
      <c r="H57" s="2080"/>
    </row>
    <row r="58" spans="1:8">
      <c r="A58" s="2081" t="s">
        <v>1020</v>
      </c>
      <c r="B58" s="2080"/>
      <c r="C58" s="2080"/>
      <c r="D58" s="2080"/>
      <c r="E58" s="2080"/>
      <c r="F58" s="2080"/>
      <c r="G58" s="2080"/>
      <c r="H58" s="2080"/>
    </row>
    <row r="59" spans="1:8">
      <c r="A59" s="2089" t="s">
        <v>442</v>
      </c>
      <c r="B59" s="2114" t="s">
        <v>315</v>
      </c>
      <c r="C59" s="2115"/>
      <c r="D59" s="2082" t="s">
        <v>316</v>
      </c>
      <c r="E59" s="2083"/>
      <c r="F59" s="2080"/>
      <c r="G59" s="2080"/>
      <c r="H59" s="2080"/>
    </row>
    <row r="60" spans="1:8">
      <c r="A60" s="2116"/>
      <c r="B60" s="2082" t="s">
        <v>443</v>
      </c>
      <c r="C60" s="2082" t="s">
        <v>444</v>
      </c>
      <c r="D60" s="2082" t="s">
        <v>443</v>
      </c>
      <c r="E60" s="2082" t="s">
        <v>444</v>
      </c>
      <c r="F60" s="2080"/>
      <c r="G60" s="2080"/>
      <c r="H60" s="2080"/>
    </row>
    <row r="61" spans="1:9">
      <c r="A61" s="2087" t="s">
        <v>447</v>
      </c>
      <c r="B61" s="2085">
        <f>IF(未审附注之负债及权益!B61="",0,未审附注之负债及权益!B61)</f>
        <v>0</v>
      </c>
      <c r="C61" s="2117">
        <f>IF(B61=0,0,1-C62-C63-C64)</f>
        <v>0</v>
      </c>
      <c r="D61" s="2085">
        <f>IF(未审附注之负债及权益!D61="",0,未审附注之负债及权益!D61)</f>
        <v>0</v>
      </c>
      <c r="E61" s="2117">
        <f>IF(D61=0,0,1-E62-E63-E64)</f>
        <v>0</v>
      </c>
      <c r="F61" s="2080"/>
      <c r="G61" s="2080"/>
      <c r="H61" s="2080"/>
      <c r="I61" s="2118" t="s">
        <v>1021</v>
      </c>
    </row>
    <row r="62" spans="1:9">
      <c r="A62" s="2087" t="s">
        <v>449</v>
      </c>
      <c r="B62" s="2085">
        <f>IF(未审附注之负债及权益!B62="",0,未审附注之负债及权益!B62)</f>
        <v>0</v>
      </c>
      <c r="C62" s="2117">
        <f>IF(B62=0,0,IF(B61=0,ROUND(1-C63-C64,4),ROUND(B62/B65,4)))</f>
        <v>0</v>
      </c>
      <c r="D62" s="2085">
        <f>IF(未审附注之负债及权益!D62="",0,未审附注之负债及权益!D62)</f>
        <v>0</v>
      </c>
      <c r="E62" s="2117">
        <f>IF(D62=0,0,IF(D61=0,ROUND(1-E63-E64,4),ROUND(D62/D65,4)))</f>
        <v>0</v>
      </c>
      <c r="F62" s="2080"/>
      <c r="G62" s="2080"/>
      <c r="H62" s="2080"/>
      <c r="I62" s="2118" t="s">
        <v>1022</v>
      </c>
    </row>
    <row r="63" spans="1:9">
      <c r="A63" s="2087" t="s">
        <v>451</v>
      </c>
      <c r="B63" s="2085">
        <f>IF(未审附注之负债及权益!B63="",0,未审附注之负债及权益!B63)</f>
        <v>0</v>
      </c>
      <c r="C63" s="2117">
        <f>IF(B63=0,0,IF(AND(B61=0,B62=0),ROUND(1-C64,4),ROUND(B63/B65,4)))</f>
        <v>0</v>
      </c>
      <c r="D63" s="2085">
        <f>IF(未审附注之负债及权益!D63="",0,未审附注之负债及权益!D63)</f>
        <v>0</v>
      </c>
      <c r="E63" s="2117">
        <f>IF(D63=0,0,IF(AND(D61=0,D62=0),ROUND(1-E64,4),ROUND(D63/D65,4)))</f>
        <v>0</v>
      </c>
      <c r="F63" s="2080"/>
      <c r="G63" s="2080"/>
      <c r="H63" s="2080"/>
      <c r="I63" s="2118" t="s">
        <v>1023</v>
      </c>
    </row>
    <row r="64" spans="1:9">
      <c r="A64" s="2087" t="s">
        <v>556</v>
      </c>
      <c r="B64" s="2085">
        <f>IF(未审附注之负债及权益!B64="",0,未审附注之负债及权益!B64)</f>
        <v>0</v>
      </c>
      <c r="C64" s="2117">
        <f>IF(B64=0,0,ROUND(B64/B65,4))</f>
        <v>0</v>
      </c>
      <c r="D64" s="2085">
        <f>IF(未审附注之负债及权益!D64="",0,未审附注之负债及权益!D64)</f>
        <v>0</v>
      </c>
      <c r="E64" s="2117">
        <f>IF(D64=0,0,ROUND(D64/D65,4))</f>
        <v>0</v>
      </c>
      <c r="F64" s="2080"/>
      <c r="G64" s="2080"/>
      <c r="H64" s="2080"/>
      <c r="I64" s="2118" t="s">
        <v>1024</v>
      </c>
    </row>
    <row r="65" spans="1:9">
      <c r="A65" s="2082" t="s">
        <v>384</v>
      </c>
      <c r="B65" s="2048">
        <f>ROUND(SUM(B61:B64),2)</f>
        <v>0</v>
      </c>
      <c r="C65" s="2093">
        <f>IF(B65=0,0,1)</f>
        <v>0</v>
      </c>
      <c r="D65" s="2048">
        <f>ROUND(SUM(D61:D64),2)</f>
        <v>0</v>
      </c>
      <c r="E65" s="2093">
        <f>IF(D65=0,0,1)</f>
        <v>0</v>
      </c>
      <c r="F65" s="2080"/>
      <c r="G65" s="2080"/>
      <c r="H65" s="2080"/>
      <c r="I65" s="2118" t="s">
        <v>1025</v>
      </c>
    </row>
    <row r="66" spans="1:8">
      <c r="A66" s="2103"/>
      <c r="B66" s="2080"/>
      <c r="C66" s="2080"/>
      <c r="D66" s="2080"/>
      <c r="E66" s="2080"/>
      <c r="F66" s="2080"/>
      <c r="G66" s="2080"/>
      <c r="H66" s="2080"/>
    </row>
    <row r="67" spans="1:8">
      <c r="A67" s="2081" t="s">
        <v>1026</v>
      </c>
      <c r="B67" s="2080"/>
      <c r="C67" s="2080"/>
      <c r="D67" s="2080"/>
      <c r="E67" s="2080"/>
      <c r="F67" s="2080"/>
      <c r="G67" s="2080"/>
      <c r="H67" s="2080"/>
    </row>
    <row r="68" spans="1:8">
      <c r="A68" s="2082" t="s">
        <v>372</v>
      </c>
      <c r="B68" s="2082" t="s">
        <v>315</v>
      </c>
      <c r="C68" s="2082" t="s">
        <v>495</v>
      </c>
      <c r="D68" s="2082" t="s">
        <v>1027</v>
      </c>
      <c r="E68" s="2080"/>
      <c r="F68" s="2080"/>
      <c r="G68" s="2080"/>
      <c r="H68" s="2080"/>
    </row>
    <row r="69" spans="1:9">
      <c r="A69" s="2092">
        <f>IF(未审附注之负债及权益!A69="",0,未审附注之负债及权益!A69)</f>
        <v>0</v>
      </c>
      <c r="B69" s="2085">
        <f>IF(未审附注之负债及权益!B69="",0,未审附注之负债及权益!B69)</f>
        <v>0</v>
      </c>
      <c r="C69" s="2092">
        <f>IF(未审附注之负债及权益!C69="",0,未审附注之负债及权益!C69)</f>
        <v>0</v>
      </c>
      <c r="D69" s="2092">
        <f>IF(未审附注之负债及权益!D69="",0,未审附注之负债及权益!D69)</f>
        <v>0</v>
      </c>
      <c r="E69" s="2080"/>
      <c r="F69" s="2080"/>
      <c r="G69" s="2080"/>
      <c r="H69" s="2080"/>
      <c r="I69" s="2118" t="s">
        <v>1028</v>
      </c>
    </row>
    <row r="70" spans="1:9">
      <c r="A70" s="2092">
        <f>IF(未审附注之负债及权益!A70="",0,未审附注之负债及权益!A70)</f>
        <v>0</v>
      </c>
      <c r="B70" s="2085">
        <f>IF(未审附注之负债及权益!B70="",0,未审附注之负债及权益!B70)</f>
        <v>0</v>
      </c>
      <c r="C70" s="2092">
        <f>IF(未审附注之负债及权益!C70="",0,未审附注之负债及权益!C70)</f>
        <v>0</v>
      </c>
      <c r="D70" s="2092">
        <f>IF(未审附注之负债及权益!D70="",0,未审附注之负债及权益!D70)</f>
        <v>0</v>
      </c>
      <c r="E70" s="2080"/>
      <c r="F70" s="2080"/>
      <c r="G70" s="2080"/>
      <c r="H70" s="2080"/>
      <c r="I70" s="2118" t="s">
        <v>1028</v>
      </c>
    </row>
    <row r="71" spans="1:9">
      <c r="A71" s="2092">
        <f>IF(未审附注之负债及权益!A71="",0,未审附注之负债及权益!A71)</f>
        <v>0</v>
      </c>
      <c r="B71" s="2085">
        <f>IF(未审附注之负债及权益!B71="",0,未审附注之负债及权益!B71)</f>
        <v>0</v>
      </c>
      <c r="C71" s="2092">
        <f>IF(未审附注之负债及权益!C71="",0,未审附注之负债及权益!C71)</f>
        <v>0</v>
      </c>
      <c r="D71" s="2092">
        <f>IF(未审附注之负债及权益!D71="",0,未审附注之负债及权益!D71)</f>
        <v>0</v>
      </c>
      <c r="E71" s="2080"/>
      <c r="F71" s="2080"/>
      <c r="G71" s="2080"/>
      <c r="H71" s="2080"/>
      <c r="I71" s="2118" t="s">
        <v>1028</v>
      </c>
    </row>
    <row r="72" spans="1:9">
      <c r="A72" s="2092">
        <f>IF(未审附注之负债及权益!A72="",0,未审附注之负债及权益!A72)</f>
        <v>0</v>
      </c>
      <c r="B72" s="2085">
        <f>IF(未审附注之负债及权益!B72="",0,未审附注之负债及权益!B72)</f>
        <v>0</v>
      </c>
      <c r="C72" s="2092">
        <f>IF(未审附注之负债及权益!C72="",0,未审附注之负债及权益!C72)</f>
        <v>0</v>
      </c>
      <c r="D72" s="2092">
        <f>IF(未审附注之负债及权益!D72="",0,未审附注之负债及权益!D72)</f>
        <v>0</v>
      </c>
      <c r="E72" s="2080"/>
      <c r="F72" s="2080"/>
      <c r="G72" s="2080"/>
      <c r="H72" s="2080"/>
      <c r="I72" s="2118" t="s">
        <v>1028</v>
      </c>
    </row>
    <row r="73" spans="1:9">
      <c r="A73" s="2092">
        <f>IF(未审附注之负债及权益!A73="",0,未审附注之负债及权益!A73)</f>
        <v>0</v>
      </c>
      <c r="B73" s="2085">
        <f>IF(未审附注之负债及权益!B73="",0,未审附注之负债及权益!B73)</f>
        <v>0</v>
      </c>
      <c r="C73" s="2092">
        <f>IF(未审附注之负债及权益!C73="",0,未审附注之负债及权益!C73)</f>
        <v>0</v>
      </c>
      <c r="D73" s="2092">
        <f>IF(未审附注之负债及权益!D73="",0,未审附注之负债及权益!D73)</f>
        <v>0</v>
      </c>
      <c r="E73" s="2080"/>
      <c r="F73" s="2080"/>
      <c r="G73" s="2080"/>
      <c r="H73" s="2080"/>
      <c r="I73" s="2118" t="s">
        <v>1028</v>
      </c>
    </row>
    <row r="74" spans="1:9">
      <c r="A74" s="2092">
        <f>IF(未审附注之负债及权益!A74="",0,未审附注之负债及权益!A74)</f>
        <v>0</v>
      </c>
      <c r="B74" s="2085">
        <f>IF(未审附注之负债及权益!B74="",0,未审附注之负债及权益!B74)</f>
        <v>0</v>
      </c>
      <c r="C74" s="2092">
        <f>IF(未审附注之负债及权益!C74="",0,未审附注之负债及权益!C74)</f>
        <v>0</v>
      </c>
      <c r="D74" s="2092">
        <f>IF(未审附注之负债及权益!D74="",0,未审附注之负债及权益!D74)</f>
        <v>0</v>
      </c>
      <c r="E74" s="2080"/>
      <c r="F74" s="2080"/>
      <c r="G74" s="2080"/>
      <c r="H74" s="2080"/>
      <c r="I74" s="2118" t="s">
        <v>1028</v>
      </c>
    </row>
    <row r="75" spans="1:9">
      <c r="A75" s="2092">
        <f>IF(未审附注之负债及权益!A75="",0,未审附注之负债及权益!A75)</f>
        <v>0</v>
      </c>
      <c r="B75" s="2085">
        <f>IF(未审附注之负债及权益!B75="",0,未审附注之负债及权益!B75)</f>
        <v>0</v>
      </c>
      <c r="C75" s="2092">
        <f>IF(未审附注之负债及权益!C75="",0,未审附注之负债及权益!C75)</f>
        <v>0</v>
      </c>
      <c r="D75" s="2092">
        <f>IF(未审附注之负债及权益!D75="",0,未审附注之负债及权益!D75)</f>
        <v>0</v>
      </c>
      <c r="E75" s="2080"/>
      <c r="F75" s="2080"/>
      <c r="G75" s="2080"/>
      <c r="H75" s="2080"/>
      <c r="I75" s="2118" t="s">
        <v>1028</v>
      </c>
    </row>
    <row r="76" spans="1:9">
      <c r="A76" s="2092">
        <f>IF(未审附注之负债及权益!A76="",0,未审附注之负债及权益!A76)</f>
        <v>0</v>
      </c>
      <c r="B76" s="2085">
        <f>IF(未审附注之负债及权益!B76="",0,未审附注之负债及权益!B76)</f>
        <v>0</v>
      </c>
      <c r="C76" s="2092">
        <f>IF(未审附注之负债及权益!C76="",0,未审附注之负债及权益!C76)</f>
        <v>0</v>
      </c>
      <c r="D76" s="2092">
        <f>IF(未审附注之负债及权益!D76="",0,未审附注之负债及权益!D76)</f>
        <v>0</v>
      </c>
      <c r="E76" s="2080"/>
      <c r="F76" s="2080"/>
      <c r="G76" s="2080"/>
      <c r="H76" s="2080"/>
      <c r="I76" s="2118" t="s">
        <v>1028</v>
      </c>
    </row>
    <row r="77" spans="1:9">
      <c r="A77" s="2092">
        <f>IF(未审附注之负债及权益!A77="",0,未审附注之负债及权益!A77)</f>
        <v>0</v>
      </c>
      <c r="B77" s="2085">
        <f>IF(未审附注之负债及权益!B77="",0,未审附注之负债及权益!B77)</f>
        <v>0</v>
      </c>
      <c r="C77" s="2092">
        <f>IF(未审附注之负债及权益!C77="",0,未审附注之负债及权益!C77)</f>
        <v>0</v>
      </c>
      <c r="D77" s="2092">
        <f>IF(未审附注之负债及权益!D77="",0,未审附注之负债及权益!D77)</f>
        <v>0</v>
      </c>
      <c r="E77" s="2080"/>
      <c r="F77" s="2080"/>
      <c r="G77" s="2080"/>
      <c r="H77" s="2080"/>
      <c r="I77" s="2118" t="s">
        <v>1028</v>
      </c>
    </row>
    <row r="78" spans="1:9">
      <c r="A78" s="2092">
        <f>IF(未审附注之负债及权益!A78="",0,未审附注之负债及权益!A78)</f>
        <v>0</v>
      </c>
      <c r="B78" s="2085">
        <f>IF(未审附注之负债及权益!B78="",0,未审附注之负债及权益!B78)</f>
        <v>0</v>
      </c>
      <c r="C78" s="2092">
        <f>IF(未审附注之负债及权益!C78="",0,未审附注之负债及权益!C78)</f>
        <v>0</v>
      </c>
      <c r="D78" s="2092">
        <f>IF(未审附注之负债及权益!D78="",0,未审附注之负债及权益!D78)</f>
        <v>0</v>
      </c>
      <c r="E78" s="2080"/>
      <c r="F78" s="2080"/>
      <c r="G78" s="2080"/>
      <c r="H78" s="2080"/>
      <c r="I78" s="2118" t="s">
        <v>1028</v>
      </c>
    </row>
    <row r="79" spans="1:9">
      <c r="A79" s="2082" t="s">
        <v>384</v>
      </c>
      <c r="B79" s="2048">
        <f>ROUND(SUM(B69:B78),2)</f>
        <v>0</v>
      </c>
      <c r="C79" s="2048"/>
      <c r="D79" s="2048"/>
      <c r="E79" s="2080"/>
      <c r="F79" s="2080"/>
      <c r="G79" s="2080"/>
      <c r="H79" s="2080"/>
      <c r="I79" s="2118" t="s">
        <v>1029</v>
      </c>
    </row>
    <row r="80" spans="1:8">
      <c r="A80" s="2103"/>
      <c r="B80" s="2080"/>
      <c r="C80" s="2080"/>
      <c r="D80" s="2080"/>
      <c r="E80" s="2080"/>
      <c r="F80" s="2080"/>
      <c r="G80" s="2080"/>
      <c r="H80" s="2080"/>
    </row>
    <row r="81" spans="1:8">
      <c r="A81" s="2096" t="s">
        <v>1030</v>
      </c>
      <c r="B81" s="2080"/>
      <c r="C81" s="2080"/>
      <c r="D81" s="2080"/>
      <c r="E81" s="2080"/>
      <c r="F81" s="2080"/>
      <c r="G81" s="2080"/>
      <c r="H81" s="2080"/>
    </row>
    <row r="82" spans="1:8">
      <c r="A82" s="2082" t="s">
        <v>494</v>
      </c>
      <c r="B82" s="2082" t="s">
        <v>315</v>
      </c>
      <c r="C82" s="2082" t="s">
        <v>316</v>
      </c>
      <c r="D82" s="2082" t="s">
        <v>495</v>
      </c>
      <c r="E82" s="2080"/>
      <c r="F82" s="2080"/>
      <c r="G82" s="2080"/>
      <c r="H82" s="2080"/>
    </row>
    <row r="83" spans="1:9">
      <c r="A83" s="2092">
        <f>IF(未审附注之负债及权益!A83="",0,未审附注之负债及权益!A83)</f>
        <v>0</v>
      </c>
      <c r="B83" s="2085">
        <f>IF(未审附注之负债及权益!B83="",0,未审附注之负债及权益!B83)</f>
        <v>0</v>
      </c>
      <c r="C83" s="2085">
        <f>IF(未审附注之负债及权益!C83="",0,未审附注之负债及权益!C83)</f>
        <v>0</v>
      </c>
      <c r="D83" s="2092">
        <f>IF(未审附注之负债及权益!D83="",0,未审附注之负债及权益!D83)</f>
        <v>0</v>
      </c>
      <c r="E83" s="2080"/>
      <c r="F83" s="2080"/>
      <c r="G83" s="2080"/>
      <c r="H83" s="2080"/>
      <c r="I83" s="2118" t="s">
        <v>1031</v>
      </c>
    </row>
    <row r="84" spans="1:9">
      <c r="A84" s="2092">
        <f>IF(未审附注之负债及权益!A84="",0,未审附注之负债及权益!A84)</f>
        <v>0</v>
      </c>
      <c r="B84" s="2085">
        <f>IF(未审附注之负债及权益!B84="",0,未审附注之负债及权益!B84)</f>
        <v>0</v>
      </c>
      <c r="C84" s="2085">
        <f>IF(未审附注之负债及权益!C84="",0,未审附注之负债及权益!C84)</f>
        <v>0</v>
      </c>
      <c r="D84" s="2092">
        <f>IF(未审附注之负债及权益!D84="",0,未审附注之负债及权益!D84)</f>
        <v>0</v>
      </c>
      <c r="E84" s="2080"/>
      <c r="F84" s="2080"/>
      <c r="G84" s="2080"/>
      <c r="H84" s="2080"/>
      <c r="I84" s="2118" t="s">
        <v>1031</v>
      </c>
    </row>
    <row r="85" spans="1:9">
      <c r="A85" s="2092">
        <f>IF(未审附注之负债及权益!A85="",0,未审附注之负债及权益!A85)</f>
        <v>0</v>
      </c>
      <c r="B85" s="2085">
        <f>IF(未审附注之负债及权益!B85="",0,未审附注之负债及权益!B85)</f>
        <v>0</v>
      </c>
      <c r="C85" s="2085">
        <f>IF(未审附注之负债及权益!C85="",0,未审附注之负债及权益!C85)</f>
        <v>0</v>
      </c>
      <c r="D85" s="2092">
        <f>IF(未审附注之负债及权益!D85="",0,未审附注之负债及权益!D85)</f>
        <v>0</v>
      </c>
      <c r="E85" s="2080"/>
      <c r="F85" s="2080"/>
      <c r="G85" s="2080"/>
      <c r="H85" s="2080"/>
      <c r="I85" s="2118" t="s">
        <v>1031</v>
      </c>
    </row>
    <row r="86" spans="1:9">
      <c r="A86" s="2092">
        <f>IF(未审附注之负债及权益!A86="",0,未审附注之负债及权益!A86)</f>
        <v>0</v>
      </c>
      <c r="B86" s="2085">
        <f>IF(未审附注之负债及权益!B86="",0,未审附注之负债及权益!B86)</f>
        <v>0</v>
      </c>
      <c r="C86" s="2085">
        <f>IF(未审附注之负债及权益!C86="",0,未审附注之负债及权益!C86)</f>
        <v>0</v>
      </c>
      <c r="D86" s="2092">
        <f>IF(未审附注之负债及权益!D86="",0,未审附注之负债及权益!D86)</f>
        <v>0</v>
      </c>
      <c r="E86" s="2080"/>
      <c r="F86" s="2080"/>
      <c r="G86" s="2080"/>
      <c r="H86" s="2080"/>
      <c r="I86" s="2118" t="s">
        <v>1031</v>
      </c>
    </row>
    <row r="87" spans="1:9">
      <c r="A87" s="2092">
        <f>IF(未审附注之负债及权益!A87="",0,未审附注之负债及权益!A87)</f>
        <v>0</v>
      </c>
      <c r="B87" s="2085">
        <f>IF(未审附注之负债及权益!B87="",0,未审附注之负债及权益!B87)</f>
        <v>0</v>
      </c>
      <c r="C87" s="2085">
        <f>IF(未审附注之负债及权益!C87="",0,未审附注之负债及权益!C87)</f>
        <v>0</v>
      </c>
      <c r="D87" s="2092">
        <f>IF(未审附注之负债及权益!D87="",0,未审附注之负债及权益!D87)</f>
        <v>0</v>
      </c>
      <c r="E87" s="2080"/>
      <c r="F87" s="2080"/>
      <c r="G87" s="2080"/>
      <c r="H87" s="2080"/>
      <c r="I87" s="2118" t="s">
        <v>1031</v>
      </c>
    </row>
    <row r="88" spans="1:9">
      <c r="A88" s="2092">
        <f>IF(未审附注之负债及权益!A88="",0,未审附注之负债及权益!A88)</f>
        <v>0</v>
      </c>
      <c r="B88" s="2085">
        <f>IF(未审附注之负债及权益!B88="",0,未审附注之负债及权益!B88)</f>
        <v>0</v>
      </c>
      <c r="C88" s="2085">
        <f>IF(未审附注之负债及权益!C88="",0,未审附注之负债及权益!C88)</f>
        <v>0</v>
      </c>
      <c r="D88" s="2092">
        <f>IF(未审附注之负债及权益!D88="",0,未审附注之负债及权益!D88)</f>
        <v>0</v>
      </c>
      <c r="E88" s="2080"/>
      <c r="F88" s="2080"/>
      <c r="G88" s="2080"/>
      <c r="H88" s="2080"/>
      <c r="I88" s="2118" t="s">
        <v>1031</v>
      </c>
    </row>
    <row r="89" spans="1:9">
      <c r="A89" s="2092">
        <f>IF(未审附注之负债及权益!A89="",0,未审附注之负债及权益!A89)</f>
        <v>0</v>
      </c>
      <c r="B89" s="2085">
        <f>IF(未审附注之负债及权益!B89="",0,未审附注之负债及权益!B89)</f>
        <v>0</v>
      </c>
      <c r="C89" s="2085">
        <f>IF(未审附注之负债及权益!C89="",0,未审附注之负债及权益!C89)</f>
        <v>0</v>
      </c>
      <c r="D89" s="2092">
        <f>IF(未审附注之负债及权益!D89="",0,未审附注之负债及权益!D89)</f>
        <v>0</v>
      </c>
      <c r="E89" s="2080"/>
      <c r="F89" s="2080"/>
      <c r="G89" s="2080"/>
      <c r="H89" s="2080"/>
      <c r="I89" s="2118" t="s">
        <v>1031</v>
      </c>
    </row>
    <row r="90" spans="1:9">
      <c r="A90" s="2092">
        <f>IF(未审附注之负债及权益!A90="",0,未审附注之负债及权益!A90)</f>
        <v>0</v>
      </c>
      <c r="B90" s="2085">
        <f>IF(未审附注之负债及权益!B90="",0,未审附注之负债及权益!B90)</f>
        <v>0</v>
      </c>
      <c r="C90" s="2085">
        <f>IF(未审附注之负债及权益!C90="",0,未审附注之负债及权益!C90)</f>
        <v>0</v>
      </c>
      <c r="D90" s="2092">
        <f>IF(未审附注之负债及权益!D90="",0,未审附注之负债及权益!D90)</f>
        <v>0</v>
      </c>
      <c r="E90" s="2080"/>
      <c r="F90" s="2080"/>
      <c r="G90" s="2080"/>
      <c r="H90" s="2080"/>
      <c r="I90" s="2118" t="s">
        <v>1031</v>
      </c>
    </row>
    <row r="91" spans="1:9">
      <c r="A91" s="2092">
        <f>IF(未审附注之负债及权益!A91="",0,未审附注之负债及权益!A91)</f>
        <v>0</v>
      </c>
      <c r="B91" s="2085">
        <f>IF(未审附注之负债及权益!B91="",0,未审附注之负债及权益!B91)</f>
        <v>0</v>
      </c>
      <c r="C91" s="2085">
        <f>IF(未审附注之负债及权益!C91="",0,未审附注之负债及权益!C91)</f>
        <v>0</v>
      </c>
      <c r="D91" s="2092">
        <f>IF(未审附注之负债及权益!D91="",0,未审附注之负债及权益!D91)</f>
        <v>0</v>
      </c>
      <c r="E91" s="2080"/>
      <c r="F91" s="2080"/>
      <c r="G91" s="2080"/>
      <c r="H91" s="2080"/>
      <c r="I91" s="2118" t="s">
        <v>1031</v>
      </c>
    </row>
    <row r="92" spans="1:9">
      <c r="A92" s="2092">
        <f>IF(未审附注之负债及权益!A92="",0,未审附注之负债及权益!A92)</f>
        <v>0</v>
      </c>
      <c r="B92" s="2085">
        <f>IF(未审附注之负债及权益!B92="",0,未审附注之负债及权益!B92)</f>
        <v>0</v>
      </c>
      <c r="C92" s="2085">
        <f>IF(未审附注之负债及权益!C92="",0,未审附注之负债及权益!C92)</f>
        <v>0</v>
      </c>
      <c r="D92" s="2092">
        <f>IF(未审附注之负债及权益!D92="",0,未审附注之负债及权益!D92)</f>
        <v>0</v>
      </c>
      <c r="E92" s="2080"/>
      <c r="F92" s="2080"/>
      <c r="G92" s="2080"/>
      <c r="H92" s="2080"/>
      <c r="I92" s="2118" t="s">
        <v>1031</v>
      </c>
    </row>
    <row r="93" spans="1:9">
      <c r="A93" s="2082" t="s">
        <v>384</v>
      </c>
      <c r="B93" s="2048">
        <f>ROUND(SUM(B83:B92),2)</f>
        <v>0</v>
      </c>
      <c r="C93" s="2048">
        <f>ROUND(SUM(C83:C92),2)</f>
        <v>0</v>
      </c>
      <c r="D93" s="2048"/>
      <c r="E93" s="2080"/>
      <c r="F93" s="2080"/>
      <c r="G93" s="2080"/>
      <c r="H93" s="2080"/>
      <c r="I93" s="2118" t="s">
        <v>1032</v>
      </c>
    </row>
    <row r="94" spans="1:8">
      <c r="A94" s="2103"/>
      <c r="B94" s="2080"/>
      <c r="C94" s="2080"/>
      <c r="D94" s="2080"/>
      <c r="E94" s="2080"/>
      <c r="F94" s="2080"/>
      <c r="G94" s="2080"/>
      <c r="H94" s="2080"/>
    </row>
    <row r="95" spans="1:8">
      <c r="A95" s="2081" t="s">
        <v>1033</v>
      </c>
      <c r="B95" s="2080"/>
      <c r="C95" s="2080"/>
      <c r="D95" s="2080"/>
      <c r="E95" s="2080"/>
      <c r="F95" s="2080"/>
      <c r="G95" s="2080"/>
      <c r="H95" s="2080"/>
    </row>
    <row r="96" spans="1:8">
      <c r="A96" s="2082" t="s">
        <v>568</v>
      </c>
      <c r="B96" s="2082" t="s">
        <v>315</v>
      </c>
      <c r="C96" s="2082" t="s">
        <v>316</v>
      </c>
      <c r="D96" s="2082" t="s">
        <v>495</v>
      </c>
      <c r="E96" s="2080"/>
      <c r="F96" s="2080"/>
      <c r="G96" s="2080"/>
      <c r="H96" s="2080"/>
    </row>
    <row r="97" spans="1:9">
      <c r="A97" s="2092">
        <f>IF(未审附注之负债及权益!A97="",0,未审附注之负债及权益!A97)</f>
        <v>0</v>
      </c>
      <c r="B97" s="2085">
        <f>IF(未审附注之负债及权益!B97="",0,未审附注之负债及权益!B97)</f>
        <v>0</v>
      </c>
      <c r="C97" s="2085">
        <f>IF(未审附注之负债及权益!C97="",0,未审附注之负债及权益!C97)</f>
        <v>0</v>
      </c>
      <c r="D97" s="2092">
        <f>IF(未审附注之负债及权益!D97="",0,未审附注之负债及权益!D97)</f>
        <v>0</v>
      </c>
      <c r="E97" s="2080"/>
      <c r="F97" s="2080"/>
      <c r="G97" s="2080"/>
      <c r="H97" s="2080"/>
      <c r="I97" s="2118" t="s">
        <v>1034</v>
      </c>
    </row>
    <row r="98" spans="1:9">
      <c r="A98" s="2092">
        <f>IF(未审附注之负债及权益!A98="",0,未审附注之负债及权益!A98)</f>
        <v>0</v>
      </c>
      <c r="B98" s="2085">
        <f>IF(未审附注之负债及权益!B98="",0,未审附注之负债及权益!B98)</f>
        <v>0</v>
      </c>
      <c r="C98" s="2085">
        <f>IF(未审附注之负债及权益!C98="",0,未审附注之负债及权益!C98)</f>
        <v>0</v>
      </c>
      <c r="D98" s="2092">
        <f>IF(未审附注之负债及权益!D98="",0,未审附注之负债及权益!D98)</f>
        <v>0</v>
      </c>
      <c r="E98" s="2080"/>
      <c r="F98" s="2080"/>
      <c r="G98" s="2080"/>
      <c r="H98" s="2080"/>
      <c r="I98" s="2118" t="s">
        <v>1034</v>
      </c>
    </row>
    <row r="99" spans="1:9">
      <c r="A99" s="2092">
        <f>IF(未审附注之负债及权益!A99="",0,未审附注之负债及权益!A99)</f>
        <v>0</v>
      </c>
      <c r="B99" s="2085">
        <f>IF(未审附注之负债及权益!B99="",0,未审附注之负债及权益!B99)</f>
        <v>0</v>
      </c>
      <c r="C99" s="2085">
        <f>IF(未审附注之负债及权益!C99="",0,未审附注之负债及权益!C99)</f>
        <v>0</v>
      </c>
      <c r="D99" s="2092">
        <f>IF(未审附注之负债及权益!D99="",0,未审附注之负债及权益!D99)</f>
        <v>0</v>
      </c>
      <c r="E99" s="2080"/>
      <c r="F99" s="2080"/>
      <c r="G99" s="2080"/>
      <c r="H99" s="2080"/>
      <c r="I99" s="2118" t="s">
        <v>1034</v>
      </c>
    </row>
    <row r="100" spans="1:9">
      <c r="A100" s="2092">
        <f>IF(未审附注之负债及权益!A100="",0,未审附注之负债及权益!A100)</f>
        <v>0</v>
      </c>
      <c r="B100" s="2085">
        <f>IF(未审附注之负债及权益!B100="",0,未审附注之负债及权益!B100)</f>
        <v>0</v>
      </c>
      <c r="C100" s="2085">
        <f>IF(未审附注之负债及权益!C100="",0,未审附注之负债及权益!C100)</f>
        <v>0</v>
      </c>
      <c r="D100" s="2092">
        <f>IF(未审附注之负债及权益!D100="",0,未审附注之负债及权益!D100)</f>
        <v>0</v>
      </c>
      <c r="E100" s="2080"/>
      <c r="F100" s="2080"/>
      <c r="G100" s="2080"/>
      <c r="H100" s="2080"/>
      <c r="I100" s="2118" t="s">
        <v>1034</v>
      </c>
    </row>
    <row r="101" spans="1:9">
      <c r="A101" s="2092">
        <f>IF(未审附注之负债及权益!A101="",0,未审附注之负债及权益!A101)</f>
        <v>0</v>
      </c>
      <c r="B101" s="2085">
        <f>IF(未审附注之负债及权益!B101="",0,未审附注之负债及权益!B101)</f>
        <v>0</v>
      </c>
      <c r="C101" s="2085">
        <f>IF(未审附注之负债及权益!C101="",0,未审附注之负债及权益!C101)</f>
        <v>0</v>
      </c>
      <c r="D101" s="2092">
        <f>IF(未审附注之负债及权益!D101="",0,未审附注之负债及权益!D101)</f>
        <v>0</v>
      </c>
      <c r="E101" s="2080"/>
      <c r="F101" s="2080"/>
      <c r="G101" s="2080"/>
      <c r="H101" s="2080"/>
      <c r="I101" s="2118" t="s">
        <v>1034</v>
      </c>
    </row>
    <row r="102" spans="1:9">
      <c r="A102" s="2092">
        <f>IF(未审附注之负债及权益!A102="",0,未审附注之负债及权益!A102)</f>
        <v>0</v>
      </c>
      <c r="B102" s="2085">
        <f>IF(未审附注之负债及权益!B102="",0,未审附注之负债及权益!B102)</f>
        <v>0</v>
      </c>
      <c r="C102" s="2085">
        <f>IF(未审附注之负债及权益!C102="",0,未审附注之负债及权益!C102)</f>
        <v>0</v>
      </c>
      <c r="D102" s="2092">
        <f>IF(未审附注之负债及权益!D102="",0,未审附注之负债及权益!D102)</f>
        <v>0</v>
      </c>
      <c r="E102" s="2080"/>
      <c r="F102" s="2080"/>
      <c r="G102" s="2080"/>
      <c r="H102" s="2080"/>
      <c r="I102" s="2118" t="s">
        <v>1034</v>
      </c>
    </row>
    <row r="103" spans="1:9">
      <c r="A103" s="2092">
        <f>IF(未审附注之负债及权益!A103="",0,未审附注之负债及权益!A103)</f>
        <v>0</v>
      </c>
      <c r="B103" s="2085">
        <f>IF(未审附注之负债及权益!B103="",0,未审附注之负债及权益!B103)</f>
        <v>0</v>
      </c>
      <c r="C103" s="2085">
        <f>IF(未审附注之负债及权益!C103="",0,未审附注之负债及权益!C103)</f>
        <v>0</v>
      </c>
      <c r="D103" s="2092">
        <f>IF(未审附注之负债及权益!D103="",0,未审附注之负债及权益!D103)</f>
        <v>0</v>
      </c>
      <c r="E103" s="2080"/>
      <c r="F103" s="2080"/>
      <c r="G103" s="2080"/>
      <c r="H103" s="2080"/>
      <c r="I103" s="2118" t="s">
        <v>1034</v>
      </c>
    </row>
    <row r="104" spans="1:9">
      <c r="A104" s="2092">
        <f>IF(未审附注之负债及权益!A104="",0,未审附注之负债及权益!A104)</f>
        <v>0</v>
      </c>
      <c r="B104" s="2085">
        <f>IF(未审附注之负债及权益!B104="",0,未审附注之负债及权益!B104)</f>
        <v>0</v>
      </c>
      <c r="C104" s="2085">
        <f>IF(未审附注之负债及权益!C104="",0,未审附注之负债及权益!C104)</f>
        <v>0</v>
      </c>
      <c r="D104" s="2092">
        <f>IF(未审附注之负债及权益!D104="",0,未审附注之负债及权益!D104)</f>
        <v>0</v>
      </c>
      <c r="E104" s="2080"/>
      <c r="F104" s="2080"/>
      <c r="G104" s="2080"/>
      <c r="H104" s="2080"/>
      <c r="I104" s="2118" t="s">
        <v>1034</v>
      </c>
    </row>
    <row r="105" spans="1:9">
      <c r="A105" s="2092">
        <f>IF(未审附注之负债及权益!A105="",0,未审附注之负债及权益!A105)</f>
        <v>0</v>
      </c>
      <c r="B105" s="2085">
        <f>IF(未审附注之负债及权益!B105="",0,未审附注之负债及权益!B105)</f>
        <v>0</v>
      </c>
      <c r="C105" s="2085">
        <f>IF(未审附注之负债及权益!C105="",0,未审附注之负债及权益!C105)</f>
        <v>0</v>
      </c>
      <c r="D105" s="2092">
        <f>IF(未审附注之负债及权益!D105="",0,未审附注之负债及权益!D105)</f>
        <v>0</v>
      </c>
      <c r="E105" s="2080"/>
      <c r="F105" s="2080"/>
      <c r="G105" s="2080"/>
      <c r="H105" s="2080"/>
      <c r="I105" s="2118" t="s">
        <v>1034</v>
      </c>
    </row>
    <row r="106" spans="1:9">
      <c r="A106" s="2092">
        <f>IF(未审附注之负债及权益!A106="",0,未审附注之负债及权益!A106)</f>
        <v>0</v>
      </c>
      <c r="B106" s="2085">
        <f>IF(未审附注之负债及权益!B106="",0,未审附注之负债及权益!B106)</f>
        <v>0</v>
      </c>
      <c r="C106" s="2085">
        <f>IF(未审附注之负债及权益!C106="",0,未审附注之负债及权益!C106)</f>
        <v>0</v>
      </c>
      <c r="D106" s="2092">
        <f>IF(未审附注之负债及权益!D106="",0,未审附注之负债及权益!D106)</f>
        <v>0</v>
      </c>
      <c r="E106" s="2080"/>
      <c r="F106" s="2080"/>
      <c r="G106" s="2080"/>
      <c r="H106" s="2080"/>
      <c r="I106" s="2118" t="s">
        <v>1034</v>
      </c>
    </row>
    <row r="107" spans="1:9">
      <c r="A107" s="2082" t="s">
        <v>384</v>
      </c>
      <c r="B107" s="2048">
        <f>ROUND(SUM(B97:B106),2)</f>
        <v>0</v>
      </c>
      <c r="C107" s="2048">
        <f>ROUND(SUM(C97:C106),2)</f>
        <v>0</v>
      </c>
      <c r="D107" s="2048"/>
      <c r="E107" s="2080"/>
      <c r="F107" s="2080"/>
      <c r="G107" s="2080"/>
      <c r="H107" s="2080"/>
      <c r="I107" s="2118" t="s">
        <v>1035</v>
      </c>
    </row>
    <row r="108" spans="1:8">
      <c r="A108" s="2103"/>
      <c r="B108" s="2080"/>
      <c r="C108" s="2080"/>
      <c r="D108" s="2080"/>
      <c r="E108" s="2080"/>
      <c r="F108" s="2080"/>
      <c r="G108" s="2080"/>
      <c r="H108" s="2080"/>
    </row>
    <row r="109" spans="1:8">
      <c r="A109" s="2103"/>
      <c r="B109" s="2080"/>
      <c r="C109" s="2080"/>
      <c r="D109" s="2080"/>
      <c r="E109" s="2080"/>
      <c r="F109" s="2080"/>
      <c r="G109" s="2080"/>
      <c r="H109" s="2080"/>
    </row>
    <row r="110" spans="1:8">
      <c r="A110" s="2079" t="s">
        <v>1036</v>
      </c>
      <c r="B110" s="2080"/>
      <c r="C110" s="2080"/>
      <c r="D110" s="2080"/>
      <c r="E110" s="2080"/>
      <c r="F110" s="2080"/>
      <c r="G110" s="2080"/>
      <c r="H110" s="2080"/>
    </row>
    <row r="111" spans="1:8">
      <c r="A111" s="2081" t="s">
        <v>1037</v>
      </c>
      <c r="B111" s="2080"/>
      <c r="C111" s="2080"/>
      <c r="D111" s="2080"/>
      <c r="E111" s="2080"/>
      <c r="F111" s="2080"/>
      <c r="G111" s="2080"/>
      <c r="H111" s="2080"/>
    </row>
    <row r="112" spans="1:8">
      <c r="A112" s="2089" t="s">
        <v>442</v>
      </c>
      <c r="B112" s="2114" t="s">
        <v>315</v>
      </c>
      <c r="C112" s="2115"/>
      <c r="D112" s="2082" t="s">
        <v>316</v>
      </c>
      <c r="E112" s="2083"/>
      <c r="F112" s="2080"/>
      <c r="G112" s="2080"/>
      <c r="H112" s="2080"/>
    </row>
    <row r="113" spans="1:8">
      <c r="A113" s="2116"/>
      <c r="B113" s="2082" t="s">
        <v>443</v>
      </c>
      <c r="C113" s="2082" t="s">
        <v>444</v>
      </c>
      <c r="D113" s="2082" t="s">
        <v>443</v>
      </c>
      <c r="E113" s="2082" t="s">
        <v>444</v>
      </c>
      <c r="F113" s="2080"/>
      <c r="G113" s="2080"/>
      <c r="H113" s="2080"/>
    </row>
    <row r="114" spans="1:9">
      <c r="A114" s="2087" t="s">
        <v>447</v>
      </c>
      <c r="B114" s="2085">
        <f>IF(未审附注之负债及权益!B114="",0,未审附注之负债及权益!B114)</f>
        <v>0</v>
      </c>
      <c r="C114" s="2117">
        <f>IF(B114=0,0,1-C115-C116-C117)</f>
        <v>0</v>
      </c>
      <c r="D114" s="2085">
        <f>IF(未审附注之负债及权益!D114="",0,未审附注之负债及权益!D114)</f>
        <v>0</v>
      </c>
      <c r="E114" s="2117">
        <f>IF(D114=0,0,1-E115-E116-E117)</f>
        <v>0</v>
      </c>
      <c r="F114" s="2080"/>
      <c r="G114" s="2080"/>
      <c r="H114" s="2080"/>
      <c r="I114" s="2118" t="s">
        <v>1038</v>
      </c>
    </row>
    <row r="115" spans="1:9">
      <c r="A115" s="2087" t="s">
        <v>449</v>
      </c>
      <c r="B115" s="2085">
        <f>IF(未审附注之负债及权益!B115="",0,未审附注之负债及权益!B115)</f>
        <v>0</v>
      </c>
      <c r="C115" s="2117">
        <f>IF(B115=0,0,IF(B114=0,ROUND(1-C116-C117,4),ROUND(B115/B118,4)))</f>
        <v>0</v>
      </c>
      <c r="D115" s="2085">
        <f>IF(未审附注之负债及权益!D115="",0,未审附注之负债及权益!D115)</f>
        <v>0</v>
      </c>
      <c r="E115" s="2117">
        <f>IF(D115=0,0,IF(D114=0,ROUND(1-E116-E117,4),ROUND(D115/D118,4)))</f>
        <v>0</v>
      </c>
      <c r="F115" s="2080"/>
      <c r="G115" s="2080"/>
      <c r="H115" s="2080"/>
      <c r="I115" s="2118" t="s">
        <v>1039</v>
      </c>
    </row>
    <row r="116" spans="1:9">
      <c r="A116" s="2087" t="s">
        <v>451</v>
      </c>
      <c r="B116" s="2085">
        <f>IF(未审附注之负债及权益!B116="",0,未审附注之负债及权益!B116)</f>
        <v>0</v>
      </c>
      <c r="C116" s="2117">
        <f>IF(B116=0,0,IF(AND(B114=0,B115=0),ROUND(1-C117,4),ROUND(B116/B118,4)))</f>
        <v>0</v>
      </c>
      <c r="D116" s="2085">
        <f>IF(未审附注之负债及权益!D116="",0,未审附注之负债及权益!D116)</f>
        <v>0</v>
      </c>
      <c r="E116" s="2117">
        <f>IF(D116=0,0,IF(AND(D114=0,D115=0),ROUND(1-E117,4),ROUND(D116/D118,4)))</f>
        <v>0</v>
      </c>
      <c r="F116" s="2080"/>
      <c r="G116" s="2080"/>
      <c r="H116" s="2080"/>
      <c r="I116" s="2118" t="s">
        <v>1040</v>
      </c>
    </row>
    <row r="117" spans="1:9">
      <c r="A117" s="2087" t="s">
        <v>556</v>
      </c>
      <c r="B117" s="2085">
        <f>IF(未审附注之负债及权益!B117="",0,未审附注之负债及权益!B117)</f>
        <v>0</v>
      </c>
      <c r="C117" s="2117">
        <f>IF(B117=0,0,ROUND(B117/B118,4))</f>
        <v>0</v>
      </c>
      <c r="D117" s="2085">
        <f>IF(未审附注之负债及权益!D117="",0,未审附注之负债及权益!D117)</f>
        <v>0</v>
      </c>
      <c r="E117" s="2117">
        <f>IF(D117=0,0,ROUND(D117/D118,4))</f>
        <v>0</v>
      </c>
      <c r="F117" s="2080"/>
      <c r="G117" s="2080"/>
      <c r="H117" s="2080"/>
      <c r="I117" s="2118" t="s">
        <v>1041</v>
      </c>
    </row>
    <row r="118" spans="1:9">
      <c r="A118" s="2082" t="s">
        <v>384</v>
      </c>
      <c r="B118" s="2048">
        <f>ROUND(SUM(B114:B117),2)</f>
        <v>0</v>
      </c>
      <c r="C118" s="2093">
        <f>IF(B118=0,0,1)</f>
        <v>0</v>
      </c>
      <c r="D118" s="2048">
        <f>ROUND(SUM(D114:D117),2)</f>
        <v>0</v>
      </c>
      <c r="E118" s="2093">
        <f>IF(D118=0,0,1)</f>
        <v>0</v>
      </c>
      <c r="F118" s="2080"/>
      <c r="G118" s="2080"/>
      <c r="H118" s="2080"/>
      <c r="I118" s="2118" t="s">
        <v>1042</v>
      </c>
    </row>
    <row r="119" spans="1:8">
      <c r="A119" s="2103"/>
      <c r="B119" s="2080"/>
      <c r="C119" s="2080"/>
      <c r="D119" s="2080"/>
      <c r="E119" s="2080"/>
      <c r="F119" s="2080"/>
      <c r="G119" s="2080"/>
      <c r="H119" s="2080"/>
    </row>
    <row r="120" spans="1:8">
      <c r="A120" s="2081" t="s">
        <v>1043</v>
      </c>
      <c r="B120" s="2080"/>
      <c r="C120" s="2080"/>
      <c r="D120" s="2080"/>
      <c r="E120" s="2080"/>
      <c r="F120" s="2080"/>
      <c r="G120" s="2080"/>
      <c r="H120" s="2080"/>
    </row>
    <row r="121" spans="1:8">
      <c r="A121" s="2082" t="s">
        <v>372</v>
      </c>
      <c r="B121" s="2082" t="s">
        <v>315</v>
      </c>
      <c r="C121" s="2082" t="s">
        <v>495</v>
      </c>
      <c r="D121" s="2082" t="s">
        <v>1027</v>
      </c>
      <c r="E121" s="2080"/>
      <c r="F121" s="2080"/>
      <c r="G121" s="2080"/>
      <c r="H121" s="2080"/>
    </row>
    <row r="122" spans="1:9">
      <c r="A122" s="2092">
        <f>IF(未审附注之负债及权益!A122="",0,未审附注之负债及权益!A122)</f>
        <v>0</v>
      </c>
      <c r="B122" s="2085">
        <f>IF(未审附注之负债及权益!B122="",0,未审附注之负债及权益!B122)</f>
        <v>0</v>
      </c>
      <c r="C122" s="2092">
        <f>IF(未审附注之负债及权益!C122="",0,未审附注之负债及权益!C122)</f>
        <v>0</v>
      </c>
      <c r="D122" s="2092">
        <f>IF(未审附注之负债及权益!D122="",0,未审附注之负债及权益!D122)</f>
        <v>0</v>
      </c>
      <c r="E122" s="2080"/>
      <c r="F122" s="2080"/>
      <c r="G122" s="2080"/>
      <c r="H122" s="2080"/>
      <c r="I122" s="2118" t="s">
        <v>1044</v>
      </c>
    </row>
    <row r="123" spans="1:9">
      <c r="A123" s="2092">
        <f>IF(未审附注之负债及权益!A123="",0,未审附注之负债及权益!A123)</f>
        <v>0</v>
      </c>
      <c r="B123" s="2085">
        <f>IF(未审附注之负债及权益!B123="",0,未审附注之负债及权益!B123)</f>
        <v>0</v>
      </c>
      <c r="C123" s="2092">
        <f>IF(未审附注之负债及权益!C123="",0,未审附注之负债及权益!C123)</f>
        <v>0</v>
      </c>
      <c r="D123" s="2092">
        <f>IF(未审附注之负债及权益!D123="",0,未审附注之负债及权益!D123)</f>
        <v>0</v>
      </c>
      <c r="E123" s="2080"/>
      <c r="F123" s="2080"/>
      <c r="G123" s="2080"/>
      <c r="H123" s="2080"/>
      <c r="I123" s="2118" t="s">
        <v>1044</v>
      </c>
    </row>
    <row r="124" spans="1:9">
      <c r="A124" s="2092">
        <f>IF(未审附注之负债及权益!A124="",0,未审附注之负债及权益!A124)</f>
        <v>0</v>
      </c>
      <c r="B124" s="2085">
        <f>IF(未审附注之负债及权益!B124="",0,未审附注之负债及权益!B124)</f>
        <v>0</v>
      </c>
      <c r="C124" s="2092">
        <f>IF(未审附注之负债及权益!C124="",0,未审附注之负债及权益!C124)</f>
        <v>0</v>
      </c>
      <c r="D124" s="2092">
        <f>IF(未审附注之负债及权益!D124="",0,未审附注之负债及权益!D124)</f>
        <v>0</v>
      </c>
      <c r="E124" s="2080"/>
      <c r="F124" s="2080"/>
      <c r="G124" s="2080"/>
      <c r="H124" s="2080"/>
      <c r="I124" s="2118" t="s">
        <v>1044</v>
      </c>
    </row>
    <row r="125" spans="1:9">
      <c r="A125" s="2092">
        <f>IF(未审附注之负债及权益!A125="",0,未审附注之负债及权益!A125)</f>
        <v>0</v>
      </c>
      <c r="B125" s="2085">
        <f>IF(未审附注之负债及权益!B125="",0,未审附注之负债及权益!B125)</f>
        <v>0</v>
      </c>
      <c r="C125" s="2092">
        <f>IF(未审附注之负债及权益!C125="",0,未审附注之负债及权益!C125)</f>
        <v>0</v>
      </c>
      <c r="D125" s="2092">
        <f>IF(未审附注之负债及权益!D125="",0,未审附注之负债及权益!D125)</f>
        <v>0</v>
      </c>
      <c r="E125" s="2080"/>
      <c r="F125" s="2080"/>
      <c r="G125" s="2080"/>
      <c r="H125" s="2080"/>
      <c r="I125" s="2118" t="s">
        <v>1044</v>
      </c>
    </row>
    <row r="126" spans="1:9">
      <c r="A126" s="2092">
        <f>IF(未审附注之负债及权益!A126="",0,未审附注之负债及权益!A126)</f>
        <v>0</v>
      </c>
      <c r="B126" s="2085">
        <f>IF(未审附注之负债及权益!B126="",0,未审附注之负债及权益!B126)</f>
        <v>0</v>
      </c>
      <c r="C126" s="2092">
        <f>IF(未审附注之负债及权益!C126="",0,未审附注之负债及权益!C126)</f>
        <v>0</v>
      </c>
      <c r="D126" s="2092">
        <f>IF(未审附注之负债及权益!D126="",0,未审附注之负债及权益!D126)</f>
        <v>0</v>
      </c>
      <c r="E126" s="2080"/>
      <c r="F126" s="2080"/>
      <c r="G126" s="2080"/>
      <c r="H126" s="2080"/>
      <c r="I126" s="2118" t="s">
        <v>1044</v>
      </c>
    </row>
    <row r="127" spans="1:9">
      <c r="A127" s="2092">
        <f>IF(未审附注之负债及权益!A127="",0,未审附注之负债及权益!A127)</f>
        <v>0</v>
      </c>
      <c r="B127" s="2085">
        <f>IF(未审附注之负债及权益!B127="",0,未审附注之负债及权益!B127)</f>
        <v>0</v>
      </c>
      <c r="C127" s="2092">
        <f>IF(未审附注之负债及权益!C127="",0,未审附注之负债及权益!C127)</f>
        <v>0</v>
      </c>
      <c r="D127" s="2092">
        <f>IF(未审附注之负债及权益!D127="",0,未审附注之负债及权益!D127)</f>
        <v>0</v>
      </c>
      <c r="E127" s="2080"/>
      <c r="F127" s="2080"/>
      <c r="G127" s="2080"/>
      <c r="H127" s="2080"/>
      <c r="I127" s="2118" t="s">
        <v>1044</v>
      </c>
    </row>
    <row r="128" spans="1:9">
      <c r="A128" s="2092">
        <f>IF(未审附注之负债及权益!A128="",0,未审附注之负债及权益!A128)</f>
        <v>0</v>
      </c>
      <c r="B128" s="2085">
        <f>IF(未审附注之负债及权益!B128="",0,未审附注之负债及权益!B128)</f>
        <v>0</v>
      </c>
      <c r="C128" s="2092">
        <f>IF(未审附注之负债及权益!C128="",0,未审附注之负债及权益!C128)</f>
        <v>0</v>
      </c>
      <c r="D128" s="2092">
        <f>IF(未审附注之负债及权益!D128="",0,未审附注之负债及权益!D128)</f>
        <v>0</v>
      </c>
      <c r="E128" s="2080"/>
      <c r="F128" s="2080"/>
      <c r="G128" s="2080"/>
      <c r="H128" s="2080"/>
      <c r="I128" s="2118" t="s">
        <v>1044</v>
      </c>
    </row>
    <row r="129" spans="1:9">
      <c r="A129" s="2092">
        <f>IF(未审附注之负债及权益!A129="",0,未审附注之负债及权益!A129)</f>
        <v>0</v>
      </c>
      <c r="B129" s="2085">
        <f>IF(未审附注之负债及权益!B129="",0,未审附注之负债及权益!B129)</f>
        <v>0</v>
      </c>
      <c r="C129" s="2092">
        <f>IF(未审附注之负债及权益!C129="",0,未审附注之负债及权益!C129)</f>
        <v>0</v>
      </c>
      <c r="D129" s="2092">
        <f>IF(未审附注之负债及权益!D129="",0,未审附注之负债及权益!D129)</f>
        <v>0</v>
      </c>
      <c r="E129" s="2080"/>
      <c r="F129" s="2080"/>
      <c r="G129" s="2080"/>
      <c r="H129" s="2080"/>
      <c r="I129" s="2118" t="s">
        <v>1044</v>
      </c>
    </row>
    <row r="130" spans="1:9">
      <c r="A130" s="2092">
        <f>IF(未审附注之负债及权益!A130="",0,未审附注之负债及权益!A130)</f>
        <v>0</v>
      </c>
      <c r="B130" s="2085">
        <f>IF(未审附注之负债及权益!B130="",0,未审附注之负债及权益!B130)</f>
        <v>0</v>
      </c>
      <c r="C130" s="2092">
        <f>IF(未审附注之负债及权益!C130="",0,未审附注之负债及权益!C130)</f>
        <v>0</v>
      </c>
      <c r="D130" s="2092">
        <f>IF(未审附注之负债及权益!D130="",0,未审附注之负债及权益!D130)</f>
        <v>0</v>
      </c>
      <c r="E130" s="2080"/>
      <c r="F130" s="2080"/>
      <c r="G130" s="2080"/>
      <c r="H130" s="2080"/>
      <c r="I130" s="2118" t="s">
        <v>1044</v>
      </c>
    </row>
    <row r="131" spans="1:9">
      <c r="A131" s="2092">
        <f>IF(未审附注之负债及权益!A131="",0,未审附注之负债及权益!A131)</f>
        <v>0</v>
      </c>
      <c r="B131" s="2085">
        <f>IF(未审附注之负债及权益!B131="",0,未审附注之负债及权益!B131)</f>
        <v>0</v>
      </c>
      <c r="C131" s="2092">
        <f>IF(未审附注之负债及权益!C131="",0,未审附注之负债及权益!C131)</f>
        <v>0</v>
      </c>
      <c r="D131" s="2092">
        <f>IF(未审附注之负债及权益!D131="",0,未审附注之负债及权益!D131)</f>
        <v>0</v>
      </c>
      <c r="E131" s="2080"/>
      <c r="F131" s="2080"/>
      <c r="G131" s="2080"/>
      <c r="H131" s="2080"/>
      <c r="I131" s="2118" t="s">
        <v>1044</v>
      </c>
    </row>
    <row r="132" spans="1:9">
      <c r="A132" s="2082" t="s">
        <v>384</v>
      </c>
      <c r="B132" s="2048">
        <f>ROUND(SUM(B122:B131),2)</f>
        <v>0</v>
      </c>
      <c r="C132" s="2048"/>
      <c r="D132" s="2048"/>
      <c r="E132" s="2080"/>
      <c r="F132" s="2080"/>
      <c r="G132" s="2080"/>
      <c r="H132" s="2080"/>
      <c r="I132" s="2118" t="s">
        <v>1045</v>
      </c>
    </row>
    <row r="133" spans="1:8">
      <c r="A133" s="2103"/>
      <c r="B133" s="2080"/>
      <c r="C133" s="2080"/>
      <c r="D133" s="2080"/>
      <c r="E133" s="2080"/>
      <c r="F133" s="2080"/>
      <c r="G133" s="2080"/>
      <c r="H133" s="2080"/>
    </row>
    <row r="134" spans="1:8">
      <c r="A134" s="2096" t="s">
        <v>1030</v>
      </c>
      <c r="B134" s="2080"/>
      <c r="C134" s="2080"/>
      <c r="D134" s="2080"/>
      <c r="E134" s="2080"/>
      <c r="F134" s="2080"/>
      <c r="G134" s="2080"/>
      <c r="H134" s="2080"/>
    </row>
    <row r="135" spans="1:8">
      <c r="A135" s="2082" t="s">
        <v>494</v>
      </c>
      <c r="B135" s="2082" t="s">
        <v>315</v>
      </c>
      <c r="C135" s="2082" t="s">
        <v>316</v>
      </c>
      <c r="D135" s="2082" t="s">
        <v>495</v>
      </c>
      <c r="E135" s="2080"/>
      <c r="F135" s="2080"/>
      <c r="G135" s="2080"/>
      <c r="H135" s="2080"/>
    </row>
    <row r="136" spans="1:9">
      <c r="A136" s="2092">
        <f>IF(未审附注之负债及权益!A136="",0,未审附注之负债及权益!A136)</f>
        <v>0</v>
      </c>
      <c r="B136" s="2085">
        <f>IF(未审附注之负债及权益!B136="",0,未审附注之负债及权益!B136)</f>
        <v>0</v>
      </c>
      <c r="C136" s="2085">
        <f>IF(未审附注之负债及权益!C136="",0,未审附注之负债及权益!C136)</f>
        <v>0</v>
      </c>
      <c r="D136" s="2092">
        <f>IF(未审附注之负债及权益!D136="",0,未审附注之负债及权益!D136)</f>
        <v>0</v>
      </c>
      <c r="E136" s="2080"/>
      <c r="F136" s="2080"/>
      <c r="G136" s="2080"/>
      <c r="H136" s="2080"/>
      <c r="I136" s="2118" t="s">
        <v>1046</v>
      </c>
    </row>
    <row r="137" spans="1:9">
      <c r="A137" s="2092">
        <f>IF(未审附注之负债及权益!A137="",0,未审附注之负债及权益!A137)</f>
        <v>0</v>
      </c>
      <c r="B137" s="2085">
        <f>IF(未审附注之负债及权益!B137="",0,未审附注之负债及权益!B137)</f>
        <v>0</v>
      </c>
      <c r="C137" s="2085">
        <f>IF(未审附注之负债及权益!C137="",0,未审附注之负债及权益!C137)</f>
        <v>0</v>
      </c>
      <c r="D137" s="2092">
        <f>IF(未审附注之负债及权益!D137="",0,未审附注之负债及权益!D137)</f>
        <v>0</v>
      </c>
      <c r="E137" s="2080"/>
      <c r="F137" s="2080"/>
      <c r="G137" s="2080"/>
      <c r="H137" s="2080"/>
      <c r="I137" s="2118" t="s">
        <v>1046</v>
      </c>
    </row>
    <row r="138" spans="1:9">
      <c r="A138" s="2092">
        <f>IF(未审附注之负债及权益!A138="",0,未审附注之负债及权益!A138)</f>
        <v>0</v>
      </c>
      <c r="B138" s="2085">
        <f>IF(未审附注之负债及权益!B138="",0,未审附注之负债及权益!B138)</f>
        <v>0</v>
      </c>
      <c r="C138" s="2085">
        <f>IF(未审附注之负债及权益!C138="",0,未审附注之负债及权益!C138)</f>
        <v>0</v>
      </c>
      <c r="D138" s="2092">
        <f>IF(未审附注之负债及权益!D138="",0,未审附注之负债及权益!D138)</f>
        <v>0</v>
      </c>
      <c r="E138" s="2080"/>
      <c r="F138" s="2080"/>
      <c r="G138" s="2080"/>
      <c r="H138" s="2080"/>
      <c r="I138" s="2118" t="s">
        <v>1046</v>
      </c>
    </row>
    <row r="139" spans="1:9">
      <c r="A139" s="2092">
        <f>IF(未审附注之负债及权益!A139="",0,未审附注之负债及权益!A139)</f>
        <v>0</v>
      </c>
      <c r="B139" s="2085">
        <f>IF(未审附注之负债及权益!B139="",0,未审附注之负债及权益!B139)</f>
        <v>0</v>
      </c>
      <c r="C139" s="2085">
        <f>IF(未审附注之负债及权益!C139="",0,未审附注之负债及权益!C139)</f>
        <v>0</v>
      </c>
      <c r="D139" s="2092">
        <f>IF(未审附注之负债及权益!D139="",0,未审附注之负债及权益!D139)</f>
        <v>0</v>
      </c>
      <c r="E139" s="2080"/>
      <c r="F139" s="2080"/>
      <c r="G139" s="2080"/>
      <c r="H139" s="2080"/>
      <c r="I139" s="2118" t="s">
        <v>1046</v>
      </c>
    </row>
    <row r="140" spans="1:9">
      <c r="A140" s="2092">
        <f>IF(未审附注之负债及权益!A140="",0,未审附注之负债及权益!A140)</f>
        <v>0</v>
      </c>
      <c r="B140" s="2085">
        <f>IF(未审附注之负债及权益!B140="",0,未审附注之负债及权益!B140)</f>
        <v>0</v>
      </c>
      <c r="C140" s="2085">
        <f>IF(未审附注之负债及权益!C140="",0,未审附注之负债及权益!C140)</f>
        <v>0</v>
      </c>
      <c r="D140" s="2092">
        <f>IF(未审附注之负债及权益!D140="",0,未审附注之负债及权益!D140)</f>
        <v>0</v>
      </c>
      <c r="E140" s="2080"/>
      <c r="F140" s="2080"/>
      <c r="G140" s="2080"/>
      <c r="H140" s="2080"/>
      <c r="I140" s="2118" t="s">
        <v>1046</v>
      </c>
    </row>
    <row r="141" spans="1:9">
      <c r="A141" s="2092">
        <f>IF(未审附注之负债及权益!A141="",0,未审附注之负债及权益!A141)</f>
        <v>0</v>
      </c>
      <c r="B141" s="2085">
        <f>IF(未审附注之负债及权益!B141="",0,未审附注之负债及权益!B141)</f>
        <v>0</v>
      </c>
      <c r="C141" s="2085">
        <f>IF(未审附注之负债及权益!C141="",0,未审附注之负债及权益!C141)</f>
        <v>0</v>
      </c>
      <c r="D141" s="2092">
        <f>IF(未审附注之负债及权益!D141="",0,未审附注之负债及权益!D141)</f>
        <v>0</v>
      </c>
      <c r="E141" s="2080"/>
      <c r="F141" s="2080"/>
      <c r="G141" s="2080"/>
      <c r="H141" s="2080"/>
      <c r="I141" s="2118" t="s">
        <v>1046</v>
      </c>
    </row>
    <row r="142" spans="1:9">
      <c r="A142" s="2092">
        <f>IF(未审附注之负债及权益!A142="",0,未审附注之负债及权益!A142)</f>
        <v>0</v>
      </c>
      <c r="B142" s="2085">
        <f>IF(未审附注之负债及权益!B142="",0,未审附注之负债及权益!B142)</f>
        <v>0</v>
      </c>
      <c r="C142" s="2085">
        <f>IF(未审附注之负债及权益!C142="",0,未审附注之负债及权益!C142)</f>
        <v>0</v>
      </c>
      <c r="D142" s="2092">
        <f>IF(未审附注之负债及权益!D142="",0,未审附注之负债及权益!D142)</f>
        <v>0</v>
      </c>
      <c r="E142" s="2080"/>
      <c r="F142" s="2080"/>
      <c r="G142" s="2080"/>
      <c r="H142" s="2080"/>
      <c r="I142" s="2118" t="s">
        <v>1046</v>
      </c>
    </row>
    <row r="143" spans="1:9">
      <c r="A143" s="2092">
        <f>IF(未审附注之负债及权益!A143="",0,未审附注之负债及权益!A143)</f>
        <v>0</v>
      </c>
      <c r="B143" s="2085">
        <f>IF(未审附注之负债及权益!B143="",0,未审附注之负债及权益!B143)</f>
        <v>0</v>
      </c>
      <c r="C143" s="2085">
        <f>IF(未审附注之负债及权益!C143="",0,未审附注之负债及权益!C143)</f>
        <v>0</v>
      </c>
      <c r="D143" s="2092">
        <f>IF(未审附注之负债及权益!D143="",0,未审附注之负债及权益!D143)</f>
        <v>0</v>
      </c>
      <c r="E143" s="2080"/>
      <c r="F143" s="2080"/>
      <c r="G143" s="2080"/>
      <c r="H143" s="2080"/>
      <c r="I143" s="2118" t="s">
        <v>1046</v>
      </c>
    </row>
    <row r="144" spans="1:9">
      <c r="A144" s="2092">
        <f>IF(未审附注之负债及权益!A144="",0,未审附注之负债及权益!A144)</f>
        <v>0</v>
      </c>
      <c r="B144" s="2085">
        <f>IF(未审附注之负债及权益!B144="",0,未审附注之负债及权益!B144)</f>
        <v>0</v>
      </c>
      <c r="C144" s="2085">
        <f>IF(未审附注之负债及权益!C144="",0,未审附注之负债及权益!C144)</f>
        <v>0</v>
      </c>
      <c r="D144" s="2092">
        <f>IF(未审附注之负债及权益!D144="",0,未审附注之负债及权益!D144)</f>
        <v>0</v>
      </c>
      <c r="E144" s="2080"/>
      <c r="F144" s="2080"/>
      <c r="G144" s="2080"/>
      <c r="H144" s="2080"/>
      <c r="I144" s="2118" t="s">
        <v>1046</v>
      </c>
    </row>
    <row r="145" spans="1:9">
      <c r="A145" s="2092">
        <f>IF(未审附注之负债及权益!A145="",0,未审附注之负债及权益!A145)</f>
        <v>0</v>
      </c>
      <c r="B145" s="2085">
        <f>IF(未审附注之负债及权益!B145="",0,未审附注之负债及权益!B145)</f>
        <v>0</v>
      </c>
      <c r="C145" s="2085">
        <f>IF(未审附注之负债及权益!C145="",0,未审附注之负债及权益!C145)</f>
        <v>0</v>
      </c>
      <c r="D145" s="2092">
        <f>IF(未审附注之负债及权益!D145="",0,未审附注之负债及权益!D145)</f>
        <v>0</v>
      </c>
      <c r="E145" s="2080"/>
      <c r="F145" s="2080"/>
      <c r="G145" s="2080"/>
      <c r="H145" s="2080"/>
      <c r="I145" s="2118" t="s">
        <v>1046</v>
      </c>
    </row>
    <row r="146" spans="1:9">
      <c r="A146" s="2082" t="s">
        <v>384</v>
      </c>
      <c r="B146" s="2048">
        <f>ROUND(SUM(B136:B145),2)</f>
        <v>0</v>
      </c>
      <c r="C146" s="2048">
        <f>ROUND(SUM(C136:C145),2)</f>
        <v>0</v>
      </c>
      <c r="D146" s="2048"/>
      <c r="E146" s="2080"/>
      <c r="F146" s="2080"/>
      <c r="G146" s="2080"/>
      <c r="H146" s="2080"/>
      <c r="I146" s="2118" t="s">
        <v>1047</v>
      </c>
    </row>
    <row r="147" spans="1:8">
      <c r="A147" s="2103"/>
      <c r="B147" s="2080"/>
      <c r="C147" s="2080"/>
      <c r="D147" s="2080"/>
      <c r="E147" s="2080"/>
      <c r="F147" s="2080"/>
      <c r="G147" s="2080"/>
      <c r="H147" s="2080"/>
    </row>
    <row r="148" spans="1:8">
      <c r="A148" s="2081" t="s">
        <v>1033</v>
      </c>
      <c r="B148" s="2080"/>
      <c r="C148" s="2080"/>
      <c r="D148" s="2080"/>
      <c r="E148" s="2080"/>
      <c r="F148" s="2080"/>
      <c r="G148" s="2080"/>
      <c r="H148" s="2080"/>
    </row>
    <row r="149" spans="1:8">
      <c r="A149" s="2082" t="s">
        <v>568</v>
      </c>
      <c r="B149" s="2082" t="s">
        <v>315</v>
      </c>
      <c r="C149" s="2082" t="s">
        <v>316</v>
      </c>
      <c r="D149" s="2082" t="s">
        <v>495</v>
      </c>
      <c r="E149" s="2080"/>
      <c r="F149" s="2080"/>
      <c r="G149" s="2080"/>
      <c r="H149" s="2080"/>
    </row>
    <row r="150" spans="1:9">
      <c r="A150" s="2092">
        <f>IF(未审附注之负债及权益!A150="",0,未审附注之负债及权益!A150)</f>
        <v>0</v>
      </c>
      <c r="B150" s="2085">
        <f>IF(未审附注之负债及权益!B150="",0,未审附注之负债及权益!B150)</f>
        <v>0</v>
      </c>
      <c r="C150" s="2085">
        <f>IF(未审附注之负债及权益!C150="",0,未审附注之负债及权益!C150)</f>
        <v>0</v>
      </c>
      <c r="D150" s="2092">
        <f>IF(未审附注之负债及权益!D150="",0,未审附注之负债及权益!D150)</f>
        <v>0</v>
      </c>
      <c r="E150" s="2080"/>
      <c r="F150" s="2080"/>
      <c r="G150" s="2080"/>
      <c r="H150" s="2080"/>
      <c r="I150" s="2118" t="s">
        <v>1048</v>
      </c>
    </row>
    <row r="151" spans="1:9">
      <c r="A151" s="2092">
        <f>IF(未审附注之负债及权益!A151="",0,未审附注之负债及权益!A151)</f>
        <v>0</v>
      </c>
      <c r="B151" s="2085">
        <f>IF(未审附注之负债及权益!B151="",0,未审附注之负债及权益!B151)</f>
        <v>0</v>
      </c>
      <c r="C151" s="2085">
        <f>IF(未审附注之负债及权益!C151="",0,未审附注之负债及权益!C151)</f>
        <v>0</v>
      </c>
      <c r="D151" s="2092">
        <f>IF(未审附注之负债及权益!D151="",0,未审附注之负债及权益!D151)</f>
        <v>0</v>
      </c>
      <c r="E151" s="2080"/>
      <c r="F151" s="2080"/>
      <c r="G151" s="2080"/>
      <c r="H151" s="2080"/>
      <c r="I151" s="2118" t="s">
        <v>1048</v>
      </c>
    </row>
    <row r="152" spans="1:9">
      <c r="A152" s="2092">
        <f>IF(未审附注之负债及权益!A152="",0,未审附注之负债及权益!A152)</f>
        <v>0</v>
      </c>
      <c r="B152" s="2085">
        <f>IF(未审附注之负债及权益!B152="",0,未审附注之负债及权益!B152)</f>
        <v>0</v>
      </c>
      <c r="C152" s="2085">
        <f>IF(未审附注之负债及权益!C152="",0,未审附注之负债及权益!C152)</f>
        <v>0</v>
      </c>
      <c r="D152" s="2092">
        <f>IF(未审附注之负债及权益!D152="",0,未审附注之负债及权益!D152)</f>
        <v>0</v>
      </c>
      <c r="E152" s="2080"/>
      <c r="F152" s="2080"/>
      <c r="G152" s="2080"/>
      <c r="H152" s="2080"/>
      <c r="I152" s="2118" t="s">
        <v>1048</v>
      </c>
    </row>
    <row r="153" spans="1:9">
      <c r="A153" s="2092">
        <f>IF(未审附注之负债及权益!A153="",0,未审附注之负债及权益!A153)</f>
        <v>0</v>
      </c>
      <c r="B153" s="2085">
        <f>IF(未审附注之负债及权益!B153="",0,未审附注之负债及权益!B153)</f>
        <v>0</v>
      </c>
      <c r="C153" s="2085">
        <f>IF(未审附注之负债及权益!C153="",0,未审附注之负债及权益!C153)</f>
        <v>0</v>
      </c>
      <c r="D153" s="2092">
        <f>IF(未审附注之负债及权益!D153="",0,未审附注之负债及权益!D153)</f>
        <v>0</v>
      </c>
      <c r="E153" s="2080"/>
      <c r="F153" s="2080"/>
      <c r="G153" s="2080"/>
      <c r="H153" s="2080"/>
      <c r="I153" s="2118" t="s">
        <v>1048</v>
      </c>
    </row>
    <row r="154" spans="1:9">
      <c r="A154" s="2092">
        <f>IF(未审附注之负债及权益!A154="",0,未审附注之负债及权益!A154)</f>
        <v>0</v>
      </c>
      <c r="B154" s="2085">
        <f>IF(未审附注之负债及权益!B154="",0,未审附注之负债及权益!B154)</f>
        <v>0</v>
      </c>
      <c r="C154" s="2085">
        <f>IF(未审附注之负债及权益!C154="",0,未审附注之负债及权益!C154)</f>
        <v>0</v>
      </c>
      <c r="D154" s="2092">
        <f>IF(未审附注之负债及权益!D154="",0,未审附注之负债及权益!D154)</f>
        <v>0</v>
      </c>
      <c r="E154" s="2080"/>
      <c r="F154" s="2080"/>
      <c r="G154" s="2080"/>
      <c r="H154" s="2080"/>
      <c r="I154" s="2118" t="s">
        <v>1048</v>
      </c>
    </row>
    <row r="155" spans="1:9">
      <c r="A155" s="2092">
        <f>IF(未审附注之负债及权益!A155="",0,未审附注之负债及权益!A155)</f>
        <v>0</v>
      </c>
      <c r="B155" s="2085">
        <f>IF(未审附注之负债及权益!B155="",0,未审附注之负债及权益!B155)</f>
        <v>0</v>
      </c>
      <c r="C155" s="2085">
        <f>IF(未审附注之负债及权益!C155="",0,未审附注之负债及权益!C155)</f>
        <v>0</v>
      </c>
      <c r="D155" s="2092">
        <f>IF(未审附注之负债及权益!D155="",0,未审附注之负债及权益!D155)</f>
        <v>0</v>
      </c>
      <c r="E155" s="2080"/>
      <c r="F155" s="2080"/>
      <c r="G155" s="2080"/>
      <c r="H155" s="2080"/>
      <c r="I155" s="2118" t="s">
        <v>1048</v>
      </c>
    </row>
    <row r="156" spans="1:9">
      <c r="A156" s="2092">
        <f>IF(未审附注之负债及权益!A156="",0,未审附注之负债及权益!A156)</f>
        <v>0</v>
      </c>
      <c r="B156" s="2085">
        <f>IF(未审附注之负债及权益!B156="",0,未审附注之负债及权益!B156)</f>
        <v>0</v>
      </c>
      <c r="C156" s="2085">
        <f>IF(未审附注之负债及权益!C156="",0,未审附注之负债及权益!C156)</f>
        <v>0</v>
      </c>
      <c r="D156" s="2092">
        <f>IF(未审附注之负债及权益!D156="",0,未审附注之负债及权益!D156)</f>
        <v>0</v>
      </c>
      <c r="E156" s="2080"/>
      <c r="F156" s="2080"/>
      <c r="G156" s="2080"/>
      <c r="H156" s="2080"/>
      <c r="I156" s="2118" t="s">
        <v>1048</v>
      </c>
    </row>
    <row r="157" spans="1:9">
      <c r="A157" s="2092">
        <f>IF(未审附注之负债及权益!A157="",0,未审附注之负债及权益!A157)</f>
        <v>0</v>
      </c>
      <c r="B157" s="2085">
        <f>IF(未审附注之负债及权益!B157="",0,未审附注之负债及权益!B157)</f>
        <v>0</v>
      </c>
      <c r="C157" s="2085">
        <f>IF(未审附注之负债及权益!C157="",0,未审附注之负债及权益!C157)</f>
        <v>0</v>
      </c>
      <c r="D157" s="2092">
        <f>IF(未审附注之负债及权益!D157="",0,未审附注之负债及权益!D157)</f>
        <v>0</v>
      </c>
      <c r="E157" s="2080"/>
      <c r="F157" s="2080"/>
      <c r="G157" s="2080"/>
      <c r="H157" s="2080"/>
      <c r="I157" s="2118" t="s">
        <v>1048</v>
      </c>
    </row>
    <row r="158" spans="1:9">
      <c r="A158" s="2092">
        <f>IF(未审附注之负债及权益!A158="",0,未审附注之负债及权益!A158)</f>
        <v>0</v>
      </c>
      <c r="B158" s="2085">
        <f>IF(未审附注之负债及权益!B158="",0,未审附注之负债及权益!B158)</f>
        <v>0</v>
      </c>
      <c r="C158" s="2085">
        <f>IF(未审附注之负债及权益!C158="",0,未审附注之负债及权益!C158)</f>
        <v>0</v>
      </c>
      <c r="D158" s="2092">
        <f>IF(未审附注之负债及权益!D158="",0,未审附注之负债及权益!D158)</f>
        <v>0</v>
      </c>
      <c r="E158" s="2080"/>
      <c r="F158" s="2080"/>
      <c r="G158" s="2080"/>
      <c r="H158" s="2080"/>
      <c r="I158" s="2118" t="s">
        <v>1048</v>
      </c>
    </row>
    <row r="159" spans="1:9">
      <c r="A159" s="2092">
        <f>IF(未审附注之负债及权益!A159="",0,未审附注之负债及权益!A159)</f>
        <v>0</v>
      </c>
      <c r="B159" s="2085">
        <f>IF(未审附注之负债及权益!B159="",0,未审附注之负债及权益!B159)</f>
        <v>0</v>
      </c>
      <c r="C159" s="2085">
        <f>IF(未审附注之负债及权益!C159="",0,未审附注之负债及权益!C159)</f>
        <v>0</v>
      </c>
      <c r="D159" s="2092">
        <f>IF(未审附注之负债及权益!D159="",0,未审附注之负债及权益!D159)</f>
        <v>0</v>
      </c>
      <c r="E159" s="2080"/>
      <c r="F159" s="2080"/>
      <c r="G159" s="2080"/>
      <c r="H159" s="2080"/>
      <c r="I159" s="2118" t="s">
        <v>1048</v>
      </c>
    </row>
    <row r="160" spans="1:9">
      <c r="A160" s="2082" t="s">
        <v>384</v>
      </c>
      <c r="B160" s="2048">
        <f>ROUND(SUM(B150:B159),2)</f>
        <v>0</v>
      </c>
      <c r="C160" s="2048">
        <f>ROUND(SUM(C150:C159),2)</f>
        <v>0</v>
      </c>
      <c r="D160" s="2048"/>
      <c r="E160" s="2080"/>
      <c r="F160" s="2080"/>
      <c r="G160" s="2080"/>
      <c r="H160" s="2080"/>
      <c r="I160" s="2118" t="s">
        <v>1049</v>
      </c>
    </row>
    <row r="161" spans="1:8">
      <c r="A161" s="2103"/>
      <c r="B161" s="2080"/>
      <c r="C161" s="2080"/>
      <c r="D161" s="2080"/>
      <c r="E161" s="2080"/>
      <c r="F161" s="2080"/>
      <c r="G161" s="2080"/>
      <c r="H161" s="2080"/>
    </row>
    <row r="162" spans="1:8">
      <c r="A162" s="2103"/>
      <c r="B162" s="2080"/>
      <c r="C162" s="2080"/>
      <c r="D162" s="2080"/>
      <c r="E162" s="2080"/>
      <c r="F162" s="2080"/>
      <c r="G162" s="2080"/>
      <c r="H162" s="2080"/>
    </row>
    <row r="163" spans="1:8">
      <c r="A163" s="2079" t="s">
        <v>1050</v>
      </c>
      <c r="B163" s="2080"/>
      <c r="C163" s="2080"/>
      <c r="D163" s="2080"/>
      <c r="E163" s="2080"/>
      <c r="F163" s="2080"/>
      <c r="G163" s="2080"/>
      <c r="H163" s="2080"/>
    </row>
    <row r="164" spans="1:8">
      <c r="A164" s="2082" t="s">
        <v>372</v>
      </c>
      <c r="B164" s="2082" t="s">
        <v>316</v>
      </c>
      <c r="C164" s="2082" t="s">
        <v>581</v>
      </c>
      <c r="D164" s="2082" t="s">
        <v>1051</v>
      </c>
      <c r="E164" s="2082" t="s">
        <v>315</v>
      </c>
      <c r="F164" s="2080"/>
      <c r="G164" s="2080"/>
      <c r="H164" s="2080"/>
    </row>
    <row r="165" spans="1:9">
      <c r="A165" s="2084" t="s">
        <v>1052</v>
      </c>
      <c r="B165" s="2085">
        <f>IF(未审附注之负债及权益!B165="",0,未审附注之负债及权益!B165)</f>
        <v>0</v>
      </c>
      <c r="C165" s="2085">
        <f>IF(未审附注之负债及权益!C165="",0,未审附注之负债及权益!C165)</f>
        <v>0</v>
      </c>
      <c r="D165" s="2085">
        <f>IF(未审附注之负债及权益!D165="",0,未审附注之负债及权益!D165)</f>
        <v>0</v>
      </c>
      <c r="E165" s="2048">
        <f>ROUND(B165+C165-D165,2)</f>
        <v>0</v>
      </c>
      <c r="F165" s="2080"/>
      <c r="G165" s="2080"/>
      <c r="H165" s="2080"/>
      <c r="I165" s="2118" t="s">
        <v>1053</v>
      </c>
    </row>
    <row r="166" spans="1:9">
      <c r="A166" s="2084" t="s">
        <v>1054</v>
      </c>
      <c r="B166" s="2085">
        <f>IF(未审附注之负债及权益!B166="",0,未审附注之负债及权益!B166)</f>
        <v>0</v>
      </c>
      <c r="C166" s="2085">
        <f>IF(未审附注之负债及权益!C166="",0,未审附注之负债及权益!C166)</f>
        <v>0</v>
      </c>
      <c r="D166" s="2085">
        <f>IF(未审附注之负债及权益!D166="",0,未审附注之负债及权益!D166)</f>
        <v>0</v>
      </c>
      <c r="E166" s="2048">
        <f t="shared" ref="E166:E180" si="0">ROUND(B166+C166-D166,2)</f>
        <v>0</v>
      </c>
      <c r="F166" s="2080"/>
      <c r="G166" s="2080"/>
      <c r="H166" s="2080"/>
      <c r="I166" s="2118" t="s">
        <v>1055</v>
      </c>
    </row>
    <row r="167" spans="1:9">
      <c r="A167" s="2084" t="s">
        <v>1056</v>
      </c>
      <c r="B167" s="2048">
        <f>ROUND(SUM(B168:B173),2)</f>
        <v>0</v>
      </c>
      <c r="C167" s="2048">
        <f>ROUND(SUM(C168:C173),2)</f>
        <v>0</v>
      </c>
      <c r="D167" s="2048">
        <f>ROUND(SUM(D168:D173),2)</f>
        <v>0</v>
      </c>
      <c r="E167" s="2048">
        <f t="shared" si="0"/>
        <v>0</v>
      </c>
      <c r="F167" s="2080"/>
      <c r="G167" s="2080"/>
      <c r="H167" s="2080"/>
      <c r="I167" s="2118" t="s">
        <v>1057</v>
      </c>
    </row>
    <row r="168" spans="1:9">
      <c r="A168" s="2084" t="s">
        <v>1058</v>
      </c>
      <c r="B168" s="2085">
        <f>IF(未审附注之负债及权益!B168="",0,未审附注之负债及权益!B168)</f>
        <v>0</v>
      </c>
      <c r="C168" s="2085">
        <f>IF(未审附注之负债及权益!C168="",0,未审附注之负债及权益!C168)</f>
        <v>0</v>
      </c>
      <c r="D168" s="2085">
        <f>IF(未审附注之负债及权益!D168="",0,未审附注之负债及权益!D168)</f>
        <v>0</v>
      </c>
      <c r="E168" s="2048">
        <f t="shared" si="0"/>
        <v>0</v>
      </c>
      <c r="F168" s="2080"/>
      <c r="G168" s="2080"/>
      <c r="H168" s="2080"/>
      <c r="I168" s="2118" t="s">
        <v>1059</v>
      </c>
    </row>
    <row r="169" spans="1:9">
      <c r="A169" s="2087" t="s">
        <v>1060</v>
      </c>
      <c r="B169" s="2085">
        <f>IF(未审附注之负债及权益!B169="",0,未审附注之负债及权益!B169)</f>
        <v>0</v>
      </c>
      <c r="C169" s="2085">
        <f>IF(未审附注之负债及权益!C169="",0,未审附注之负债及权益!C169)</f>
        <v>0</v>
      </c>
      <c r="D169" s="2085">
        <f>IF(未审附注之负债及权益!D169="",0,未审附注之负债及权益!D169)</f>
        <v>0</v>
      </c>
      <c r="E169" s="2048">
        <f t="shared" si="0"/>
        <v>0</v>
      </c>
      <c r="F169" s="2080"/>
      <c r="G169" s="2080"/>
      <c r="H169" s="2080"/>
      <c r="I169" s="2118" t="s">
        <v>1061</v>
      </c>
    </row>
    <row r="170" spans="1:9">
      <c r="A170" s="2087" t="s">
        <v>1062</v>
      </c>
      <c r="B170" s="2085">
        <f>IF(未审附注之负债及权益!B170="",0,未审附注之负债及权益!B170)</f>
        <v>0</v>
      </c>
      <c r="C170" s="2085">
        <f>IF(未审附注之负债及权益!C170="",0,未审附注之负债及权益!C170)</f>
        <v>0</v>
      </c>
      <c r="D170" s="2085">
        <f>IF(未审附注之负债及权益!D170="",0,未审附注之负债及权益!D170)</f>
        <v>0</v>
      </c>
      <c r="E170" s="2048">
        <f t="shared" si="0"/>
        <v>0</v>
      </c>
      <c r="F170" s="2080"/>
      <c r="G170" s="2080"/>
      <c r="H170" s="2080"/>
      <c r="I170" s="2118" t="s">
        <v>1063</v>
      </c>
    </row>
    <row r="171" spans="1:9">
      <c r="A171" s="2087" t="s">
        <v>1064</v>
      </c>
      <c r="B171" s="2085">
        <f>IF(未审附注之负债及权益!B171="",0,未审附注之负债及权益!B171)</f>
        <v>0</v>
      </c>
      <c r="C171" s="2085">
        <f>IF(未审附注之负债及权益!C171="",0,未审附注之负债及权益!C171)</f>
        <v>0</v>
      </c>
      <c r="D171" s="2085">
        <f>IF(未审附注之负债及权益!D171="",0,未审附注之负债及权益!D171)</f>
        <v>0</v>
      </c>
      <c r="E171" s="2048">
        <f t="shared" si="0"/>
        <v>0</v>
      </c>
      <c r="F171" s="2080"/>
      <c r="G171" s="2080"/>
      <c r="H171" s="2080"/>
      <c r="I171" s="2118" t="s">
        <v>1065</v>
      </c>
    </row>
    <row r="172" spans="1:9">
      <c r="A172" s="2087" t="s">
        <v>1066</v>
      </c>
      <c r="B172" s="2085">
        <f>IF(未审附注之负债及权益!B172="",0,未审附注之负债及权益!B172)</f>
        <v>0</v>
      </c>
      <c r="C172" s="2085">
        <f>IF(未审附注之负债及权益!C172="",0,未审附注之负债及权益!C172)</f>
        <v>0</v>
      </c>
      <c r="D172" s="2085">
        <f>IF(未审附注之负债及权益!D172="",0,未审附注之负债及权益!D172)</f>
        <v>0</v>
      </c>
      <c r="E172" s="2048">
        <f t="shared" si="0"/>
        <v>0</v>
      </c>
      <c r="F172" s="2080"/>
      <c r="G172" s="2080"/>
      <c r="H172" s="2080"/>
      <c r="I172" s="2118" t="s">
        <v>1067</v>
      </c>
    </row>
    <row r="173" spans="1:9">
      <c r="A173" s="2087" t="s">
        <v>1068</v>
      </c>
      <c r="B173" s="2085">
        <f>IF(未审附注之负债及权益!B173="",0,未审附注之负债及权益!B173)</f>
        <v>0</v>
      </c>
      <c r="C173" s="2085">
        <f>IF(未审附注之负债及权益!C173="",0,未审附注之负债及权益!C173)</f>
        <v>0</v>
      </c>
      <c r="D173" s="2085">
        <f>IF(未审附注之负债及权益!D173="",0,未审附注之负债及权益!D173)</f>
        <v>0</v>
      </c>
      <c r="E173" s="2048">
        <f t="shared" si="0"/>
        <v>0</v>
      </c>
      <c r="F173" s="2080"/>
      <c r="G173" s="2080"/>
      <c r="H173" s="2080"/>
      <c r="I173" s="2118" t="s">
        <v>1069</v>
      </c>
    </row>
    <row r="174" spans="1:9">
      <c r="A174" s="2084" t="s">
        <v>1070</v>
      </c>
      <c r="B174" s="2085">
        <f>IF(未审附注之负债及权益!B174="",0,未审附注之负债及权益!B174)</f>
        <v>0</v>
      </c>
      <c r="C174" s="2085">
        <f>IF(未审附注之负债及权益!C174="",0,未审附注之负债及权益!C174)</f>
        <v>0</v>
      </c>
      <c r="D174" s="2085">
        <f>IF(未审附注之负债及权益!D174="",0,未审附注之负债及权益!D174)</f>
        <v>0</v>
      </c>
      <c r="E174" s="2048">
        <f t="shared" si="0"/>
        <v>0</v>
      </c>
      <c r="F174" s="2080"/>
      <c r="G174" s="2080"/>
      <c r="H174" s="2080"/>
      <c r="I174" s="2118" t="s">
        <v>1071</v>
      </c>
    </row>
    <row r="175" spans="1:9">
      <c r="A175" s="2084" t="s">
        <v>1072</v>
      </c>
      <c r="B175" s="2085">
        <f>IF(未审附注之负债及权益!B175="",0,未审附注之负债及权益!B175)</f>
        <v>0</v>
      </c>
      <c r="C175" s="2085">
        <f>IF(未审附注之负债及权益!C175="",0,未审附注之负债及权益!C175)</f>
        <v>0</v>
      </c>
      <c r="D175" s="2085">
        <f>IF(未审附注之负债及权益!D175="",0,未审附注之负债及权益!D175)</f>
        <v>0</v>
      </c>
      <c r="E175" s="2048">
        <f t="shared" si="0"/>
        <v>0</v>
      </c>
      <c r="F175" s="2080"/>
      <c r="G175" s="2080"/>
      <c r="H175" s="2080"/>
      <c r="I175" s="2118" t="s">
        <v>1073</v>
      </c>
    </row>
    <row r="176" spans="1:9">
      <c r="A176" s="2084" t="s">
        <v>1074</v>
      </c>
      <c r="B176" s="2085">
        <f>IF(未审附注之负债及权益!B176="",0,未审附注之负债及权益!B176)</f>
        <v>0</v>
      </c>
      <c r="C176" s="2085">
        <f>IF(未审附注之负债及权益!C176="",0,未审附注之负债及权益!C176)</f>
        <v>0</v>
      </c>
      <c r="D176" s="2085">
        <f>IF(未审附注之负债及权益!D176="",0,未审附注之负债及权益!D176)</f>
        <v>0</v>
      </c>
      <c r="E176" s="2048">
        <f t="shared" si="0"/>
        <v>0</v>
      </c>
      <c r="F176" s="2080"/>
      <c r="G176" s="2080"/>
      <c r="H176" s="2080"/>
      <c r="I176" s="2118" t="s">
        <v>1075</v>
      </c>
    </row>
    <row r="177" spans="1:9">
      <c r="A177" s="2084" t="s">
        <v>1076</v>
      </c>
      <c r="B177" s="2085">
        <f>IF(未审附注之负债及权益!B177="",0,未审附注之负债及权益!B177)</f>
        <v>0</v>
      </c>
      <c r="C177" s="2085">
        <f>IF(未审附注之负债及权益!C177="",0,未审附注之负债及权益!C177)</f>
        <v>0</v>
      </c>
      <c r="D177" s="2085">
        <f>IF(未审附注之负债及权益!D177="",0,未审附注之负债及权益!D177)</f>
        <v>0</v>
      </c>
      <c r="E177" s="2048">
        <f t="shared" si="0"/>
        <v>0</v>
      </c>
      <c r="F177" s="2080"/>
      <c r="G177" s="2080"/>
      <c r="H177" s="2080"/>
      <c r="I177" s="2118" t="s">
        <v>1077</v>
      </c>
    </row>
    <row r="178" spans="1:9">
      <c r="A178" s="2084" t="s">
        <v>1078</v>
      </c>
      <c r="B178" s="2085">
        <f>IF(未审附注之负债及权益!B178="",0,未审附注之负债及权益!B178)</f>
        <v>0</v>
      </c>
      <c r="C178" s="2085">
        <f>IF(未审附注之负债及权益!C178="",0,未审附注之负债及权益!C178)</f>
        <v>0</v>
      </c>
      <c r="D178" s="2085">
        <f>IF(未审附注之负债及权益!D178="",0,未审附注之负债及权益!D178)</f>
        <v>0</v>
      </c>
      <c r="E178" s="2048">
        <f t="shared" si="0"/>
        <v>0</v>
      </c>
      <c r="F178" s="2080"/>
      <c r="G178" s="2080"/>
      <c r="H178" s="2080"/>
      <c r="I178" s="2118" t="s">
        <v>1079</v>
      </c>
    </row>
    <row r="179" spans="1:9">
      <c r="A179" s="2084" t="s">
        <v>1080</v>
      </c>
      <c r="B179" s="2085">
        <f>IF(未审附注之负债及权益!B179="",0,未审附注之负债及权益!B179)</f>
        <v>0</v>
      </c>
      <c r="C179" s="2085">
        <f>IF(未审附注之负债及权益!C179="",0,未审附注之负债及权益!C179)</f>
        <v>0</v>
      </c>
      <c r="D179" s="2085">
        <f>IF(未审附注之负债及权益!D179="",0,未审附注之负债及权益!D179)</f>
        <v>0</v>
      </c>
      <c r="E179" s="2048">
        <f t="shared" si="0"/>
        <v>0</v>
      </c>
      <c r="F179" s="2080"/>
      <c r="G179" s="2080"/>
      <c r="H179" s="2080"/>
      <c r="I179" s="2118" t="s">
        <v>1081</v>
      </c>
    </row>
    <row r="180" spans="1:9">
      <c r="A180" s="2084" t="s">
        <v>384</v>
      </c>
      <c r="B180" s="2048">
        <f>ROUND(B165+B166+B167+B174+B175+B176+B177+B178,2)</f>
        <v>0</v>
      </c>
      <c r="C180" s="2048">
        <f>ROUND(C165+C166+C167+C174+C175+C176+C177+C178,2)</f>
        <v>0</v>
      </c>
      <c r="D180" s="2048">
        <f>ROUND(D165+D166+D167+D174+D175+D176+D177+D178,2)</f>
        <v>0</v>
      </c>
      <c r="E180" s="2048">
        <f t="shared" si="0"/>
        <v>0</v>
      </c>
      <c r="F180" s="2080"/>
      <c r="G180" s="2080"/>
      <c r="H180" s="2080"/>
      <c r="I180" s="2118" t="s">
        <v>1082</v>
      </c>
    </row>
    <row r="181" spans="1:8">
      <c r="A181" s="2119"/>
      <c r="B181" s="2119"/>
      <c r="C181" s="2119"/>
      <c r="D181" s="2119"/>
      <c r="E181" s="2119"/>
      <c r="F181" s="2080"/>
      <c r="G181" s="2080"/>
      <c r="H181" s="2080"/>
    </row>
    <row r="182" spans="1:8">
      <c r="A182" s="2119"/>
      <c r="B182" s="2119"/>
      <c r="C182" s="2119"/>
      <c r="D182" s="2119"/>
      <c r="E182" s="2119"/>
      <c r="F182" s="2080"/>
      <c r="G182" s="2080"/>
      <c r="H182" s="2080"/>
    </row>
    <row r="183" spans="1:8">
      <c r="A183" s="2079" t="s">
        <v>1083</v>
      </c>
      <c r="B183" s="2080"/>
      <c r="C183" s="2080"/>
      <c r="D183" s="2080"/>
      <c r="E183" s="2080"/>
      <c r="F183" s="2080"/>
      <c r="G183" s="2080"/>
      <c r="H183" s="2080"/>
    </row>
    <row r="184" spans="1:8">
      <c r="A184" s="2082" t="s">
        <v>1084</v>
      </c>
      <c r="B184" s="2082" t="s">
        <v>315</v>
      </c>
      <c r="C184" s="2082" t="s">
        <v>316</v>
      </c>
      <c r="D184" s="2080"/>
      <c r="E184" s="2080"/>
      <c r="F184" s="2080"/>
      <c r="G184" s="2080"/>
      <c r="H184" s="2080"/>
    </row>
    <row r="185" spans="1:9">
      <c r="A185" s="2084" t="s">
        <v>1085</v>
      </c>
      <c r="B185" s="2085">
        <f>IF(未审附注之负债及权益!B185="",0,未审附注之负债及权益!B185)</f>
        <v>0</v>
      </c>
      <c r="C185" s="2085">
        <f>IF(未审附注之负债及权益!C185="",0,未审附注之负债及权益!C185)</f>
        <v>0</v>
      </c>
      <c r="D185" s="2080"/>
      <c r="E185" s="2080"/>
      <c r="F185" s="2080"/>
      <c r="G185" s="2080"/>
      <c r="H185" s="2080"/>
      <c r="I185" s="2118" t="s">
        <v>1086</v>
      </c>
    </row>
    <row r="186" spans="1:9">
      <c r="A186" s="2084" t="s">
        <v>1087</v>
      </c>
      <c r="B186" s="2085">
        <f>IF(未审附注之负债及权益!B186="",0,未审附注之负债及权益!B186)</f>
        <v>0</v>
      </c>
      <c r="C186" s="2085">
        <f>IF(未审附注之负债及权益!C186="",0,未审附注之负债及权益!C186)</f>
        <v>0</v>
      </c>
      <c r="D186" s="2080"/>
      <c r="E186" s="2080"/>
      <c r="F186" s="2080"/>
      <c r="G186" s="2080"/>
      <c r="H186" s="2080"/>
      <c r="I186" s="2118" t="s">
        <v>1088</v>
      </c>
    </row>
    <row r="187" spans="1:9">
      <c r="A187" s="2084" t="s">
        <v>1089</v>
      </c>
      <c r="B187" s="2085">
        <f>IF(未审附注之负债及权益!B187="",0,未审附注之负债及权益!B187)</f>
        <v>0</v>
      </c>
      <c r="C187" s="2085">
        <f>IF(未审附注之负债及权益!C187="",0,未审附注之负债及权益!C187)</f>
        <v>0</v>
      </c>
      <c r="D187" s="2080"/>
      <c r="E187" s="2080"/>
      <c r="F187" s="2080"/>
      <c r="G187" s="2080"/>
      <c r="H187" s="2080"/>
      <c r="I187" s="2118" t="s">
        <v>1090</v>
      </c>
    </row>
    <row r="188" spans="1:9">
      <c r="A188" s="2084" t="s">
        <v>1091</v>
      </c>
      <c r="B188" s="2085">
        <f>IF(未审附注之负债及权益!B188="",0,未审附注之负债及权益!B188)</f>
        <v>0</v>
      </c>
      <c r="C188" s="2085">
        <f>IF(未审附注之负债及权益!C188="",0,未审附注之负债及权益!C188)</f>
        <v>0</v>
      </c>
      <c r="D188" s="2080"/>
      <c r="E188" s="2080"/>
      <c r="F188" s="2080"/>
      <c r="G188" s="2080"/>
      <c r="H188" s="2080"/>
      <c r="I188" s="2118" t="s">
        <v>1092</v>
      </c>
    </row>
    <row r="189" spans="1:9">
      <c r="A189" s="2084" t="s">
        <v>1093</v>
      </c>
      <c r="B189" s="2085">
        <f>IF(未审附注之负债及权益!B189="",0,未审附注之负债及权益!B189)</f>
        <v>0</v>
      </c>
      <c r="C189" s="2085">
        <f>IF(未审附注之负债及权益!C189="",0,未审附注之负债及权益!C189)</f>
        <v>0</v>
      </c>
      <c r="D189" s="2080"/>
      <c r="E189" s="2080"/>
      <c r="F189" s="2080"/>
      <c r="G189" s="2080"/>
      <c r="H189" s="2080"/>
      <c r="I189" s="2118" t="s">
        <v>1094</v>
      </c>
    </row>
    <row r="190" spans="1:9">
      <c r="A190" s="2084" t="s">
        <v>1095</v>
      </c>
      <c r="B190" s="2085">
        <f>IF(未审附注之负债及权益!B190="",0,未审附注之负债及权益!B190)</f>
        <v>0</v>
      </c>
      <c r="C190" s="2085">
        <f>IF(未审附注之负债及权益!C190="",0,未审附注之负债及权益!C190)</f>
        <v>0</v>
      </c>
      <c r="D190" s="2080"/>
      <c r="E190" s="2080"/>
      <c r="F190" s="2080"/>
      <c r="G190" s="2080"/>
      <c r="H190" s="2080"/>
      <c r="I190" s="2118" t="s">
        <v>1096</v>
      </c>
    </row>
    <row r="191" spans="1:9">
      <c r="A191" s="2084" t="s">
        <v>1097</v>
      </c>
      <c r="B191" s="2085">
        <f>IF(未审附注之负债及权益!B191="",0,未审附注之负债及权益!B191)</f>
        <v>0</v>
      </c>
      <c r="C191" s="2085">
        <f>IF(未审附注之负债及权益!C191="",0,未审附注之负债及权益!C191)</f>
        <v>0</v>
      </c>
      <c r="D191" s="2080"/>
      <c r="E191" s="2080"/>
      <c r="F191" s="2080"/>
      <c r="G191" s="2080"/>
      <c r="H191" s="2080"/>
      <c r="I191" s="2118" t="s">
        <v>1098</v>
      </c>
    </row>
    <row r="192" spans="1:9">
      <c r="A192" s="2084" t="s">
        <v>1099</v>
      </c>
      <c r="B192" s="2085">
        <f>IF(未审附注之负债及权益!B192="",0,未审附注之负债及权益!B192)</f>
        <v>0</v>
      </c>
      <c r="C192" s="2085">
        <f>IF(未审附注之负债及权益!C192="",0,未审附注之负债及权益!C192)</f>
        <v>0</v>
      </c>
      <c r="D192" s="2080"/>
      <c r="E192" s="2080"/>
      <c r="F192" s="2080"/>
      <c r="G192" s="2080"/>
      <c r="H192" s="2080"/>
      <c r="I192" s="2118" t="s">
        <v>1100</v>
      </c>
    </row>
    <row r="193" spans="1:9">
      <c r="A193" s="2084" t="s">
        <v>1101</v>
      </c>
      <c r="B193" s="2085">
        <f>IF(未审附注之负债及权益!B193="",0,未审附注之负债及权益!B193)</f>
        <v>0</v>
      </c>
      <c r="C193" s="2085">
        <f>IF(未审附注之负债及权益!C193="",0,未审附注之负债及权益!C193)</f>
        <v>0</v>
      </c>
      <c r="D193" s="2080"/>
      <c r="E193" s="2080"/>
      <c r="F193" s="2080"/>
      <c r="G193" s="2080"/>
      <c r="H193" s="2080"/>
      <c r="I193" s="2118" t="s">
        <v>1102</v>
      </c>
    </row>
    <row r="194" spans="1:9">
      <c r="A194" s="2084" t="s">
        <v>1103</v>
      </c>
      <c r="B194" s="2085">
        <f>IF(未审附注之负债及权益!B194="",0,未审附注之负债及权益!B194)</f>
        <v>0</v>
      </c>
      <c r="C194" s="2085">
        <f>IF(未审附注之负债及权益!C194="",0,未审附注之负债及权益!C194)</f>
        <v>0</v>
      </c>
      <c r="D194" s="2080"/>
      <c r="E194" s="2080"/>
      <c r="F194" s="2080"/>
      <c r="G194" s="2080"/>
      <c r="H194" s="2080"/>
      <c r="I194" s="2118" t="s">
        <v>1104</v>
      </c>
    </row>
    <row r="195" spans="1:9">
      <c r="A195" s="2084" t="s">
        <v>1105</v>
      </c>
      <c r="B195" s="2085">
        <f>IF(未审附注之负债及权益!B195="",0,未审附注之负债及权益!B195)</f>
        <v>0</v>
      </c>
      <c r="C195" s="2085">
        <f>IF(未审附注之负债及权益!C195="",0,未审附注之负债及权益!C195)</f>
        <v>0</v>
      </c>
      <c r="D195" s="2080"/>
      <c r="E195" s="2080"/>
      <c r="F195" s="2080"/>
      <c r="G195" s="2080"/>
      <c r="H195" s="2080"/>
      <c r="I195" s="2118" t="s">
        <v>1106</v>
      </c>
    </row>
    <row r="196" spans="1:9">
      <c r="A196" s="2084" t="s">
        <v>279</v>
      </c>
      <c r="B196" s="2085">
        <f>IF(未审附注之负债及权益!B196="",0,未审附注之负债及权益!B196)</f>
        <v>0</v>
      </c>
      <c r="C196" s="2085">
        <f>IF(未审附注之负债及权益!C196="",0,未审附注之负债及权益!C196)</f>
        <v>0</v>
      </c>
      <c r="D196" s="2080"/>
      <c r="E196" s="2080"/>
      <c r="F196" s="2080"/>
      <c r="G196" s="2080"/>
      <c r="H196" s="2080"/>
      <c r="I196" s="2118" t="s">
        <v>1107</v>
      </c>
    </row>
    <row r="197" spans="1:9">
      <c r="A197" s="2082" t="s">
        <v>384</v>
      </c>
      <c r="B197" s="2048">
        <f>ROUND(SUM(B185:B196),2)</f>
        <v>0</v>
      </c>
      <c r="C197" s="2048">
        <f>ROUND(SUM(C185:C196),2)</f>
        <v>0</v>
      </c>
      <c r="D197" s="2080"/>
      <c r="E197" s="2080"/>
      <c r="F197" s="2080"/>
      <c r="G197" s="2080"/>
      <c r="H197" s="2080"/>
      <c r="I197" s="2118" t="s">
        <v>1108</v>
      </c>
    </row>
    <row r="198" spans="1:8">
      <c r="A198" s="2080"/>
      <c r="B198" s="2080"/>
      <c r="C198" s="2080"/>
      <c r="D198" s="2080"/>
      <c r="E198" s="2080"/>
      <c r="F198" s="2080"/>
      <c r="G198" s="2080"/>
      <c r="H198" s="2080"/>
    </row>
    <row r="199" spans="1:8">
      <c r="A199" s="2103"/>
      <c r="B199" s="2080"/>
      <c r="C199" s="2080"/>
      <c r="D199" s="2080"/>
      <c r="E199" s="2080"/>
      <c r="F199" s="2080"/>
      <c r="G199" s="2080"/>
      <c r="H199" s="2080"/>
    </row>
    <row r="200" spans="1:8">
      <c r="A200" s="2079" t="s">
        <v>1109</v>
      </c>
      <c r="B200" s="2080"/>
      <c r="C200" s="2080"/>
      <c r="D200" s="2080"/>
      <c r="E200" s="2080"/>
      <c r="F200" s="2080"/>
      <c r="G200" s="2080"/>
      <c r="H200" s="2080"/>
    </row>
    <row r="201" spans="1:8">
      <c r="A201" s="2082" t="s">
        <v>432</v>
      </c>
      <c r="B201" s="2082" t="s">
        <v>315</v>
      </c>
      <c r="C201" s="2082" t="s">
        <v>316</v>
      </c>
      <c r="D201" s="2082" t="s">
        <v>1110</v>
      </c>
      <c r="E201" s="2080"/>
      <c r="F201" s="2080"/>
      <c r="G201" s="2080"/>
      <c r="H201" s="2080"/>
    </row>
    <row r="202" spans="1:9">
      <c r="A202" s="2092">
        <f>IF(未审附注之负债及权益!A202="",0,未审附注之负债及权益!A202)</f>
        <v>0</v>
      </c>
      <c r="B202" s="2085">
        <f>IF(未审附注之负债及权益!B202="",0,未审附注之负债及权益!B202)</f>
        <v>0</v>
      </c>
      <c r="C202" s="2085">
        <f>IF(未审附注之负债及权益!C202="",0,未审附注之负债及权益!C202)</f>
        <v>0</v>
      </c>
      <c r="D202" s="2092">
        <f>IF(未审附注之负债及权益!D202="",0,未审附注之负债及权益!D202)</f>
        <v>0</v>
      </c>
      <c r="E202" s="2080"/>
      <c r="F202" s="2080"/>
      <c r="G202" s="2080"/>
      <c r="H202" s="2080"/>
      <c r="I202" s="2086" t="s">
        <v>210</v>
      </c>
    </row>
    <row r="203" spans="1:9">
      <c r="A203" s="2092">
        <f>IF(未审附注之负债及权益!A203="",0,未审附注之负债及权益!A203)</f>
        <v>0</v>
      </c>
      <c r="B203" s="2085">
        <f>IF(未审附注之负债及权益!B203="",0,未审附注之负债及权益!B203)</f>
        <v>0</v>
      </c>
      <c r="C203" s="2085">
        <f>IF(未审附注之负债及权益!C203="",0,未审附注之负债及权益!C203)</f>
        <v>0</v>
      </c>
      <c r="D203" s="2092">
        <f>IF(未审附注之负债及权益!D203="",0,未审附注之负债及权益!D203)</f>
        <v>0</v>
      </c>
      <c r="E203" s="2080"/>
      <c r="F203" s="2080"/>
      <c r="G203" s="2080"/>
      <c r="H203" s="2080"/>
      <c r="I203" s="2086" t="s">
        <v>210</v>
      </c>
    </row>
    <row r="204" spans="1:9">
      <c r="A204" s="2092">
        <f>IF(未审附注之负债及权益!A204="",0,未审附注之负债及权益!A204)</f>
        <v>0</v>
      </c>
      <c r="B204" s="2085">
        <f>IF(未审附注之负债及权益!B204="",0,未审附注之负债及权益!B204)</f>
        <v>0</v>
      </c>
      <c r="C204" s="2085">
        <f>IF(未审附注之负债及权益!C204="",0,未审附注之负债及权益!C204)</f>
        <v>0</v>
      </c>
      <c r="D204" s="2092">
        <f>IF(未审附注之负债及权益!D204="",0,未审附注之负债及权益!D204)</f>
        <v>0</v>
      </c>
      <c r="E204" s="2080"/>
      <c r="F204" s="2080"/>
      <c r="G204" s="2080"/>
      <c r="H204" s="2080"/>
      <c r="I204" s="2086" t="s">
        <v>210</v>
      </c>
    </row>
    <row r="205" spans="1:9">
      <c r="A205" s="2092">
        <f>IF(未审附注之负债及权益!A205="",0,未审附注之负债及权益!A205)</f>
        <v>0</v>
      </c>
      <c r="B205" s="2085">
        <f>IF(未审附注之负债及权益!B205="",0,未审附注之负债及权益!B205)</f>
        <v>0</v>
      </c>
      <c r="C205" s="2085">
        <f>IF(未审附注之负债及权益!C205="",0,未审附注之负债及权益!C205)</f>
        <v>0</v>
      </c>
      <c r="D205" s="2092">
        <f>IF(未审附注之负债及权益!D205="",0,未审附注之负债及权益!D205)</f>
        <v>0</v>
      </c>
      <c r="E205" s="2080"/>
      <c r="F205" s="2080"/>
      <c r="G205" s="2080"/>
      <c r="H205" s="2080"/>
      <c r="I205" s="2086" t="s">
        <v>210</v>
      </c>
    </row>
    <row r="206" spans="1:9">
      <c r="A206" s="2092">
        <f>IF(未审附注之负债及权益!A206="",0,未审附注之负债及权益!A206)</f>
        <v>0</v>
      </c>
      <c r="B206" s="2085">
        <f>IF(未审附注之负债及权益!B206="",0,未审附注之负债及权益!B206)</f>
        <v>0</v>
      </c>
      <c r="C206" s="2085">
        <f>IF(未审附注之负债及权益!C206="",0,未审附注之负债及权益!C206)</f>
        <v>0</v>
      </c>
      <c r="D206" s="2092">
        <f>IF(未审附注之负债及权益!D206="",0,未审附注之负债及权益!D206)</f>
        <v>0</v>
      </c>
      <c r="E206" s="2080"/>
      <c r="F206" s="2080"/>
      <c r="G206" s="2080"/>
      <c r="H206" s="2080"/>
      <c r="I206" s="2086" t="s">
        <v>210</v>
      </c>
    </row>
    <row r="207" spans="1:9">
      <c r="A207" s="2092">
        <f>IF(未审附注之负债及权益!A207="",0,未审附注之负债及权益!A207)</f>
        <v>0</v>
      </c>
      <c r="B207" s="2085">
        <f>IF(未审附注之负债及权益!B207="",0,未审附注之负债及权益!B207)</f>
        <v>0</v>
      </c>
      <c r="C207" s="2085">
        <f>IF(未审附注之负债及权益!C207="",0,未审附注之负债及权益!C207)</f>
        <v>0</v>
      </c>
      <c r="D207" s="2092">
        <f>IF(未审附注之负债及权益!D207="",0,未审附注之负债及权益!D207)</f>
        <v>0</v>
      </c>
      <c r="E207" s="2080"/>
      <c r="F207" s="2080"/>
      <c r="G207" s="2080"/>
      <c r="H207" s="2080"/>
      <c r="I207" s="2086" t="s">
        <v>210</v>
      </c>
    </row>
    <row r="208" spans="1:9">
      <c r="A208" s="2092">
        <f>IF(未审附注之负债及权益!A208="",0,未审附注之负债及权益!A208)</f>
        <v>0</v>
      </c>
      <c r="B208" s="2085">
        <f>IF(未审附注之负债及权益!B208="",0,未审附注之负债及权益!B208)</f>
        <v>0</v>
      </c>
      <c r="C208" s="2085">
        <f>IF(未审附注之负债及权益!C208="",0,未审附注之负债及权益!C208)</f>
        <v>0</v>
      </c>
      <c r="D208" s="2092">
        <f>IF(未审附注之负债及权益!D208="",0,未审附注之负债及权益!D208)</f>
        <v>0</v>
      </c>
      <c r="E208" s="2080"/>
      <c r="F208" s="2080"/>
      <c r="G208" s="2080"/>
      <c r="H208" s="2080"/>
      <c r="I208" s="2086" t="s">
        <v>210</v>
      </c>
    </row>
    <row r="209" spans="1:9">
      <c r="A209" s="2092">
        <f>IF(未审附注之负债及权益!A209="",0,未审附注之负债及权益!A209)</f>
        <v>0</v>
      </c>
      <c r="B209" s="2085">
        <f>IF(未审附注之负债及权益!B209="",0,未审附注之负债及权益!B209)</f>
        <v>0</v>
      </c>
      <c r="C209" s="2085">
        <f>IF(未审附注之负债及权益!C209="",0,未审附注之负债及权益!C209)</f>
        <v>0</v>
      </c>
      <c r="D209" s="2092">
        <f>IF(未审附注之负债及权益!D209="",0,未审附注之负债及权益!D209)</f>
        <v>0</v>
      </c>
      <c r="E209" s="2080"/>
      <c r="F209" s="2080"/>
      <c r="G209" s="2080"/>
      <c r="H209" s="2080"/>
      <c r="I209" s="2086" t="s">
        <v>210</v>
      </c>
    </row>
    <row r="210" spans="1:9">
      <c r="A210" s="2092">
        <f>IF(未审附注之负债及权益!A210="",0,未审附注之负债及权益!A210)</f>
        <v>0</v>
      </c>
      <c r="B210" s="2085">
        <f>IF(未审附注之负债及权益!B210="",0,未审附注之负债及权益!B210)</f>
        <v>0</v>
      </c>
      <c r="C210" s="2085">
        <f>IF(未审附注之负债及权益!C210="",0,未审附注之负债及权益!C210)</f>
        <v>0</v>
      </c>
      <c r="D210" s="2092">
        <f>IF(未审附注之负债及权益!D210="",0,未审附注之负债及权益!D210)</f>
        <v>0</v>
      </c>
      <c r="E210" s="2080"/>
      <c r="F210" s="2080"/>
      <c r="G210" s="2080"/>
      <c r="H210" s="2080"/>
      <c r="I210" s="2086" t="s">
        <v>210</v>
      </c>
    </row>
    <row r="211" spans="1:9">
      <c r="A211" s="2092">
        <f>IF(未审附注之负债及权益!A211="",0,未审附注之负债及权益!A211)</f>
        <v>0</v>
      </c>
      <c r="B211" s="2085">
        <f>IF(未审附注之负债及权益!B211="",0,未审附注之负债及权益!B211)</f>
        <v>0</v>
      </c>
      <c r="C211" s="2085">
        <f>IF(未审附注之负债及权益!C211="",0,未审附注之负债及权益!C211)</f>
        <v>0</v>
      </c>
      <c r="D211" s="2092">
        <f>IF(未审附注之负债及权益!D211="",0,未审附注之负债及权益!D211)</f>
        <v>0</v>
      </c>
      <c r="E211" s="2080"/>
      <c r="F211" s="2080"/>
      <c r="G211" s="2080"/>
      <c r="H211" s="2080"/>
      <c r="I211" s="2086" t="s">
        <v>210</v>
      </c>
    </row>
    <row r="212" spans="1:9">
      <c r="A212" s="2082" t="s">
        <v>384</v>
      </c>
      <c r="B212" s="2048">
        <f>ROUND(SUM(B202:B211),2)</f>
        <v>0</v>
      </c>
      <c r="C212" s="2048">
        <f>ROUND(SUM(C202:C211),2)</f>
        <v>0</v>
      </c>
      <c r="D212" s="2048"/>
      <c r="E212" s="2080"/>
      <c r="F212" s="2080"/>
      <c r="G212" s="2080"/>
      <c r="H212" s="2080"/>
      <c r="I212" s="2086" t="s">
        <v>1111</v>
      </c>
    </row>
    <row r="213" spans="1:8">
      <c r="A213" s="2080"/>
      <c r="B213" s="2080"/>
      <c r="C213" s="2080"/>
      <c r="D213" s="2080"/>
      <c r="E213" s="2080"/>
      <c r="F213" s="2080"/>
      <c r="G213" s="2080"/>
      <c r="H213" s="2080"/>
    </row>
    <row r="214" spans="1:8">
      <c r="A214" s="2103"/>
      <c r="B214" s="2080"/>
      <c r="C214" s="2080"/>
      <c r="D214" s="2080"/>
      <c r="E214" s="2080"/>
      <c r="F214" s="2080"/>
      <c r="G214" s="2080"/>
      <c r="H214" s="2080"/>
    </row>
    <row r="215" spans="1:8">
      <c r="A215" s="2079" t="s">
        <v>1112</v>
      </c>
      <c r="B215" s="2080"/>
      <c r="C215" s="2080"/>
      <c r="D215" s="2080"/>
      <c r="E215" s="2080"/>
      <c r="F215" s="2080"/>
      <c r="G215" s="2080"/>
      <c r="H215" s="2080"/>
    </row>
    <row r="216" spans="1:8">
      <c r="A216" s="2082" t="s">
        <v>1113</v>
      </c>
      <c r="B216" s="2082" t="s">
        <v>315</v>
      </c>
      <c r="C216" s="2082" t="s">
        <v>316</v>
      </c>
      <c r="D216" s="2082" t="s">
        <v>1110</v>
      </c>
      <c r="E216" s="2080"/>
      <c r="F216" s="2080"/>
      <c r="G216" s="2080"/>
      <c r="H216" s="2080"/>
    </row>
    <row r="217" spans="1:9">
      <c r="A217" s="2092">
        <f>IF(未审附注之负债及权益!A217="",0,未审附注之负债及权益!A217)</f>
        <v>0</v>
      </c>
      <c r="B217" s="2085">
        <f>IF(未审附注之负债及权益!B217="",0,未审附注之负债及权益!B217)</f>
        <v>0</v>
      </c>
      <c r="C217" s="2085">
        <f>IF(未审附注之负债及权益!C217="",0,未审附注之负债及权益!C217)</f>
        <v>0</v>
      </c>
      <c r="D217" s="2092">
        <f>IF(未审附注之负债及权益!D217="",0,未审附注之负债及权益!D217)</f>
        <v>0</v>
      </c>
      <c r="E217" s="2080"/>
      <c r="F217" s="2080"/>
      <c r="G217" s="2080"/>
      <c r="H217" s="2080"/>
      <c r="I217" s="2086" t="s">
        <v>212</v>
      </c>
    </row>
    <row r="218" spans="1:9">
      <c r="A218" s="2092">
        <f>IF(未审附注之负债及权益!A218="",0,未审附注之负债及权益!A218)</f>
        <v>0</v>
      </c>
      <c r="B218" s="2085">
        <f>IF(未审附注之负债及权益!B218="",0,未审附注之负债及权益!B218)</f>
        <v>0</v>
      </c>
      <c r="C218" s="2085">
        <f>IF(未审附注之负债及权益!C218="",0,未审附注之负债及权益!C218)</f>
        <v>0</v>
      </c>
      <c r="D218" s="2092">
        <f>IF(未审附注之负债及权益!D218="",0,未审附注之负债及权益!D218)</f>
        <v>0</v>
      </c>
      <c r="E218" s="2080"/>
      <c r="F218" s="2080"/>
      <c r="G218" s="2080"/>
      <c r="H218" s="2080"/>
      <c r="I218" s="2086" t="s">
        <v>212</v>
      </c>
    </row>
    <row r="219" spans="1:9">
      <c r="A219" s="2092">
        <f>IF(未审附注之负债及权益!A219="",0,未审附注之负债及权益!A219)</f>
        <v>0</v>
      </c>
      <c r="B219" s="2085">
        <f>IF(未审附注之负债及权益!B219="",0,未审附注之负债及权益!B219)</f>
        <v>0</v>
      </c>
      <c r="C219" s="2085">
        <f>IF(未审附注之负债及权益!C219="",0,未审附注之负债及权益!C219)</f>
        <v>0</v>
      </c>
      <c r="D219" s="2092">
        <f>IF(未审附注之负债及权益!D219="",0,未审附注之负债及权益!D219)</f>
        <v>0</v>
      </c>
      <c r="E219" s="2080"/>
      <c r="F219" s="2080"/>
      <c r="G219" s="2080"/>
      <c r="H219" s="2080"/>
      <c r="I219" s="2086" t="s">
        <v>212</v>
      </c>
    </row>
    <row r="220" spans="1:9">
      <c r="A220" s="2092">
        <f>IF(未审附注之负债及权益!A220="",0,未审附注之负债及权益!A220)</f>
        <v>0</v>
      </c>
      <c r="B220" s="2085">
        <f>IF(未审附注之负债及权益!B220="",0,未审附注之负债及权益!B220)</f>
        <v>0</v>
      </c>
      <c r="C220" s="2085">
        <f>IF(未审附注之负债及权益!C220="",0,未审附注之负债及权益!C220)</f>
        <v>0</v>
      </c>
      <c r="D220" s="2092">
        <f>IF(未审附注之负债及权益!D220="",0,未审附注之负债及权益!D220)</f>
        <v>0</v>
      </c>
      <c r="E220" s="2080"/>
      <c r="F220" s="2080"/>
      <c r="G220" s="2080"/>
      <c r="H220" s="2080"/>
      <c r="I220" s="2086" t="s">
        <v>212</v>
      </c>
    </row>
    <row r="221" spans="1:9">
      <c r="A221" s="2092">
        <f>IF(未审附注之负债及权益!A221="",0,未审附注之负债及权益!A221)</f>
        <v>0</v>
      </c>
      <c r="B221" s="2085">
        <f>IF(未审附注之负债及权益!B221="",0,未审附注之负债及权益!B221)</f>
        <v>0</v>
      </c>
      <c r="C221" s="2085">
        <f>IF(未审附注之负债及权益!C221="",0,未审附注之负债及权益!C221)</f>
        <v>0</v>
      </c>
      <c r="D221" s="2092">
        <f>IF(未审附注之负债及权益!D221="",0,未审附注之负债及权益!D221)</f>
        <v>0</v>
      </c>
      <c r="E221" s="2080"/>
      <c r="F221" s="2080"/>
      <c r="G221" s="2080"/>
      <c r="H221" s="2080"/>
      <c r="I221" s="2086" t="s">
        <v>212</v>
      </c>
    </row>
    <row r="222" spans="1:9">
      <c r="A222" s="2092">
        <f>IF(未审附注之负债及权益!A222="",0,未审附注之负债及权益!A222)</f>
        <v>0</v>
      </c>
      <c r="B222" s="2085">
        <f>IF(未审附注之负债及权益!B222="",0,未审附注之负债及权益!B222)</f>
        <v>0</v>
      </c>
      <c r="C222" s="2085">
        <f>IF(未审附注之负债及权益!C222="",0,未审附注之负债及权益!C222)</f>
        <v>0</v>
      </c>
      <c r="D222" s="2092">
        <f>IF(未审附注之负债及权益!D222="",0,未审附注之负债及权益!D222)</f>
        <v>0</v>
      </c>
      <c r="E222" s="2080"/>
      <c r="F222" s="2080"/>
      <c r="G222" s="2080"/>
      <c r="H222" s="2080"/>
      <c r="I222" s="2086" t="s">
        <v>212</v>
      </c>
    </row>
    <row r="223" spans="1:9">
      <c r="A223" s="2092">
        <f>IF(未审附注之负债及权益!A223="",0,未审附注之负债及权益!A223)</f>
        <v>0</v>
      </c>
      <c r="B223" s="2085">
        <f>IF(未审附注之负债及权益!B223="",0,未审附注之负债及权益!B223)</f>
        <v>0</v>
      </c>
      <c r="C223" s="2085">
        <f>IF(未审附注之负债及权益!C223="",0,未审附注之负债及权益!C223)</f>
        <v>0</v>
      </c>
      <c r="D223" s="2092">
        <f>IF(未审附注之负债及权益!D223="",0,未审附注之负债及权益!D223)</f>
        <v>0</v>
      </c>
      <c r="E223" s="2080"/>
      <c r="F223" s="2080"/>
      <c r="G223" s="2080"/>
      <c r="H223" s="2080"/>
      <c r="I223" s="2086" t="s">
        <v>212</v>
      </c>
    </row>
    <row r="224" spans="1:9">
      <c r="A224" s="2092">
        <f>IF(未审附注之负债及权益!A224="",0,未审附注之负债及权益!A224)</f>
        <v>0</v>
      </c>
      <c r="B224" s="2085">
        <f>IF(未审附注之负债及权益!B224="",0,未审附注之负债及权益!B224)</f>
        <v>0</v>
      </c>
      <c r="C224" s="2085">
        <f>IF(未审附注之负债及权益!C224="",0,未审附注之负债及权益!C224)</f>
        <v>0</v>
      </c>
      <c r="D224" s="2092">
        <f>IF(未审附注之负债及权益!D224="",0,未审附注之负债及权益!D224)</f>
        <v>0</v>
      </c>
      <c r="E224" s="2080"/>
      <c r="F224" s="2080"/>
      <c r="G224" s="2080"/>
      <c r="H224" s="2080"/>
      <c r="I224" s="2086" t="s">
        <v>212</v>
      </c>
    </row>
    <row r="225" spans="1:9">
      <c r="A225" s="2092">
        <f>IF(未审附注之负债及权益!A225="",0,未审附注之负债及权益!A225)</f>
        <v>0</v>
      </c>
      <c r="B225" s="2085">
        <f>IF(未审附注之负债及权益!B225="",0,未审附注之负债及权益!B225)</f>
        <v>0</v>
      </c>
      <c r="C225" s="2085">
        <f>IF(未审附注之负债及权益!C225="",0,未审附注之负债及权益!C225)</f>
        <v>0</v>
      </c>
      <c r="D225" s="2092">
        <f>IF(未审附注之负债及权益!D225="",0,未审附注之负债及权益!D225)</f>
        <v>0</v>
      </c>
      <c r="E225" s="2080"/>
      <c r="F225" s="2080"/>
      <c r="G225" s="2080"/>
      <c r="H225" s="2080"/>
      <c r="I225" s="2086" t="s">
        <v>212</v>
      </c>
    </row>
    <row r="226" spans="1:9">
      <c r="A226" s="2092">
        <f>IF(未审附注之负债及权益!A226="",0,未审附注之负债及权益!A226)</f>
        <v>0</v>
      </c>
      <c r="B226" s="2085">
        <f>IF(未审附注之负债及权益!B226="",0,未审附注之负债及权益!B226)</f>
        <v>0</v>
      </c>
      <c r="C226" s="2085">
        <f>IF(未审附注之负债及权益!C226="",0,未审附注之负债及权益!C226)</f>
        <v>0</v>
      </c>
      <c r="D226" s="2092">
        <f>IF(未审附注之负债及权益!D226="",0,未审附注之负债及权益!D226)</f>
        <v>0</v>
      </c>
      <c r="E226" s="2080"/>
      <c r="F226" s="2080"/>
      <c r="G226" s="2080"/>
      <c r="H226" s="2080"/>
      <c r="I226" s="2086" t="s">
        <v>212</v>
      </c>
    </row>
    <row r="227" spans="1:9">
      <c r="A227" s="2082" t="s">
        <v>384</v>
      </c>
      <c r="B227" s="2048">
        <f>ROUND(SUM(B217:B226),2)</f>
        <v>0</v>
      </c>
      <c r="C227" s="2048">
        <f>ROUND(SUM(C217:C226),2)</f>
        <v>0</v>
      </c>
      <c r="D227" s="2048"/>
      <c r="E227" s="2080"/>
      <c r="F227" s="2080"/>
      <c r="G227" s="2080"/>
      <c r="H227" s="2080"/>
      <c r="I227" s="2086" t="s">
        <v>1114</v>
      </c>
    </row>
    <row r="228" spans="1:8">
      <c r="A228" s="2103"/>
      <c r="B228" s="2080"/>
      <c r="C228" s="2080"/>
      <c r="D228" s="2080"/>
      <c r="E228" s="2080"/>
      <c r="F228" s="2080"/>
      <c r="G228" s="2080"/>
      <c r="H228" s="2080"/>
    </row>
    <row r="229" spans="1:8">
      <c r="A229" s="2103"/>
      <c r="B229" s="2080"/>
      <c r="C229" s="2080"/>
      <c r="D229" s="2080"/>
      <c r="E229" s="2080"/>
      <c r="F229" s="2080"/>
      <c r="G229" s="2080"/>
      <c r="H229" s="2080"/>
    </row>
    <row r="230" spans="1:8">
      <c r="A230" s="2079" t="s">
        <v>1115</v>
      </c>
      <c r="B230" s="2080"/>
      <c r="C230" s="2080"/>
      <c r="D230" s="2080"/>
      <c r="E230" s="2080"/>
      <c r="F230" s="2080"/>
      <c r="G230" s="2080"/>
      <c r="H230" s="2080"/>
    </row>
    <row r="231" spans="1:8">
      <c r="A231" s="2081" t="s">
        <v>1116</v>
      </c>
      <c r="B231" s="2080"/>
      <c r="C231" s="2080"/>
      <c r="D231" s="2080"/>
      <c r="E231" s="2080"/>
      <c r="F231" s="2080"/>
      <c r="G231" s="2080"/>
      <c r="H231" s="2080"/>
    </row>
    <row r="232" spans="1:8">
      <c r="A232" s="2089" t="s">
        <v>442</v>
      </c>
      <c r="B232" s="2114" t="s">
        <v>315</v>
      </c>
      <c r="C232" s="2115"/>
      <c r="D232" s="2082" t="s">
        <v>316</v>
      </c>
      <c r="E232" s="2083"/>
      <c r="F232" s="2080"/>
      <c r="G232" s="2080"/>
      <c r="H232" s="2080"/>
    </row>
    <row r="233" spans="1:8">
      <c r="A233" s="2116"/>
      <c r="B233" s="2082" t="s">
        <v>443</v>
      </c>
      <c r="C233" s="2082" t="s">
        <v>444</v>
      </c>
      <c r="D233" s="2082" t="s">
        <v>443</v>
      </c>
      <c r="E233" s="2082" t="s">
        <v>444</v>
      </c>
      <c r="F233" s="2080"/>
      <c r="G233" s="2080"/>
      <c r="H233" s="2080"/>
    </row>
    <row r="234" spans="1:9">
      <c r="A234" s="2087" t="s">
        <v>447</v>
      </c>
      <c r="B234" s="2085">
        <f>IF(未审附注之负债及权益!B234="",0,未审附注之负债及权益!B234)</f>
        <v>0</v>
      </c>
      <c r="C234" s="2117">
        <f>IF(B234=0,0,1-C235-C236-C237)</f>
        <v>0</v>
      </c>
      <c r="D234" s="2085">
        <f>IF(未审附注之负债及权益!D234="",0,未审附注之负债及权益!D234)</f>
        <v>0</v>
      </c>
      <c r="E234" s="2117">
        <f>IF(D234=0,0,1-E235-E236-E237)</f>
        <v>0</v>
      </c>
      <c r="F234" s="2080"/>
      <c r="G234" s="2080"/>
      <c r="H234" s="2080"/>
      <c r="I234" s="2118" t="s">
        <v>1117</v>
      </c>
    </row>
    <row r="235" spans="1:9">
      <c r="A235" s="2087" t="s">
        <v>449</v>
      </c>
      <c r="B235" s="2085">
        <f>IF(未审附注之负债及权益!B235="",0,未审附注之负债及权益!B235)</f>
        <v>0</v>
      </c>
      <c r="C235" s="2117">
        <f>IF(B235=0,0,IF(B234=0,ROUND(1-C236-C237,4),ROUND(B235/B238,4)))</f>
        <v>0</v>
      </c>
      <c r="D235" s="2085">
        <f>IF(未审附注之负债及权益!D235="",0,未审附注之负债及权益!D235)</f>
        <v>0</v>
      </c>
      <c r="E235" s="2117">
        <f>IF(D235=0,0,IF(D234=0,ROUND(1-E236-E237,4),ROUND(D235/D238,4)))</f>
        <v>0</v>
      </c>
      <c r="F235" s="2080"/>
      <c r="G235" s="2080"/>
      <c r="H235" s="2080"/>
      <c r="I235" s="2118" t="s">
        <v>1118</v>
      </c>
    </row>
    <row r="236" spans="1:9">
      <c r="A236" s="2087" t="s">
        <v>451</v>
      </c>
      <c r="B236" s="2085">
        <f>IF(未审附注之负债及权益!B236="",0,未审附注之负债及权益!B236)</f>
        <v>0</v>
      </c>
      <c r="C236" s="2117">
        <f>IF(B236=0,0,IF(AND(B234=0,B235=0),ROUND(1-C237,4),ROUND(B236/B238,4)))</f>
        <v>0</v>
      </c>
      <c r="D236" s="2085">
        <f>IF(未审附注之负债及权益!D236="",0,未审附注之负债及权益!D236)</f>
        <v>0</v>
      </c>
      <c r="E236" s="2117">
        <f>IF(D236=0,0,IF(AND(D234=0,D235=0),ROUND(1-E237,4),ROUND(D236/D238,4)))</f>
        <v>0</v>
      </c>
      <c r="F236" s="2080"/>
      <c r="G236" s="2080"/>
      <c r="H236" s="2080"/>
      <c r="I236" s="2118" t="s">
        <v>1119</v>
      </c>
    </row>
    <row r="237" spans="1:9">
      <c r="A237" s="2087" t="s">
        <v>556</v>
      </c>
      <c r="B237" s="2085">
        <f>IF(未审附注之负债及权益!B237="",0,未审附注之负债及权益!B237)</f>
        <v>0</v>
      </c>
      <c r="C237" s="2117">
        <f>IF(B237=0,0,ROUND(B237/B238,4))</f>
        <v>0</v>
      </c>
      <c r="D237" s="2085">
        <f>IF(未审附注之负债及权益!D237="",0,未审附注之负债及权益!D237)</f>
        <v>0</v>
      </c>
      <c r="E237" s="2117">
        <f>IF(D237=0,0,ROUND(D237/D238,4))</f>
        <v>0</v>
      </c>
      <c r="F237" s="2080"/>
      <c r="G237" s="2080"/>
      <c r="H237" s="2080"/>
      <c r="I237" s="2118" t="s">
        <v>1120</v>
      </c>
    </row>
    <row r="238" spans="1:9">
      <c r="A238" s="2082" t="s">
        <v>384</v>
      </c>
      <c r="B238" s="2048">
        <f>ROUND(SUM(B234:B237),2)</f>
        <v>0</v>
      </c>
      <c r="C238" s="2093">
        <f>IF(B238=0,0,1)</f>
        <v>0</v>
      </c>
      <c r="D238" s="2048">
        <f>ROUND(SUM(D234:D237),2)</f>
        <v>0</v>
      </c>
      <c r="E238" s="2093">
        <f>IF(D238=0,0,1)</f>
        <v>0</v>
      </c>
      <c r="F238" s="2080"/>
      <c r="G238" s="2080"/>
      <c r="H238" s="2080"/>
      <c r="I238" s="2118" t="s">
        <v>1121</v>
      </c>
    </row>
    <row r="239" spans="1:8">
      <c r="A239" s="2103"/>
      <c r="B239" s="2080"/>
      <c r="C239" s="2080"/>
      <c r="D239" s="2080"/>
      <c r="E239" s="2080"/>
      <c r="F239" s="2080"/>
      <c r="G239" s="2080"/>
      <c r="H239" s="2080"/>
    </row>
    <row r="240" spans="1:8">
      <c r="A240" s="2081" t="s">
        <v>1122</v>
      </c>
      <c r="B240" s="2080"/>
      <c r="C240" s="2080"/>
      <c r="D240" s="2080"/>
      <c r="E240" s="2080"/>
      <c r="F240" s="2080"/>
      <c r="G240" s="2080"/>
      <c r="H240" s="2080"/>
    </row>
    <row r="241" spans="1:8">
      <c r="A241" s="2082" t="s">
        <v>372</v>
      </c>
      <c r="B241" s="2082" t="s">
        <v>315</v>
      </c>
      <c r="C241" s="2082" t="s">
        <v>495</v>
      </c>
      <c r="D241" s="2082" t="s">
        <v>1027</v>
      </c>
      <c r="E241" s="2080"/>
      <c r="F241" s="2080"/>
      <c r="G241" s="2080"/>
      <c r="H241" s="2080"/>
    </row>
    <row r="242" spans="1:9">
      <c r="A242" s="2092">
        <f>IF(未审附注之负债及权益!A242="",0,未审附注之负债及权益!A242)</f>
        <v>0</v>
      </c>
      <c r="B242" s="2085">
        <f>IF(未审附注之负债及权益!B242="",0,未审附注之负债及权益!B242)</f>
        <v>0</v>
      </c>
      <c r="C242" s="2085">
        <f>IF(未审附注之负债及权益!C242="",0,未审附注之负债及权益!C242)</f>
        <v>0</v>
      </c>
      <c r="D242" s="2092">
        <f>IF(未审附注之负债及权益!D242="",0,未审附注之负债及权益!D242)</f>
        <v>0</v>
      </c>
      <c r="E242" s="2080"/>
      <c r="F242" s="2080"/>
      <c r="G242" s="2080"/>
      <c r="H242" s="2080"/>
      <c r="I242" s="2118" t="s">
        <v>1123</v>
      </c>
    </row>
    <row r="243" spans="1:9">
      <c r="A243" s="2092">
        <f>IF(未审附注之负债及权益!A243="",0,未审附注之负债及权益!A243)</f>
        <v>0</v>
      </c>
      <c r="B243" s="2085">
        <f>IF(未审附注之负债及权益!B243="",0,未审附注之负债及权益!B243)</f>
        <v>0</v>
      </c>
      <c r="C243" s="2085">
        <f>IF(未审附注之负债及权益!C243="",0,未审附注之负债及权益!C243)</f>
        <v>0</v>
      </c>
      <c r="D243" s="2092">
        <f>IF(未审附注之负债及权益!D243="",0,未审附注之负债及权益!D243)</f>
        <v>0</v>
      </c>
      <c r="E243" s="2080"/>
      <c r="F243" s="2080"/>
      <c r="G243" s="2080"/>
      <c r="H243" s="2080"/>
      <c r="I243" s="2118" t="s">
        <v>1123</v>
      </c>
    </row>
    <row r="244" spans="1:9">
      <c r="A244" s="2092">
        <f>IF(未审附注之负债及权益!A244="",0,未审附注之负债及权益!A244)</f>
        <v>0</v>
      </c>
      <c r="B244" s="2085">
        <f>IF(未审附注之负债及权益!B244="",0,未审附注之负债及权益!B244)</f>
        <v>0</v>
      </c>
      <c r="C244" s="2085">
        <f>IF(未审附注之负债及权益!C244="",0,未审附注之负债及权益!C244)</f>
        <v>0</v>
      </c>
      <c r="D244" s="2092">
        <f>IF(未审附注之负债及权益!D244="",0,未审附注之负债及权益!D244)</f>
        <v>0</v>
      </c>
      <c r="E244" s="2080"/>
      <c r="F244" s="2080"/>
      <c r="G244" s="2080"/>
      <c r="H244" s="2080"/>
      <c r="I244" s="2118" t="s">
        <v>1123</v>
      </c>
    </row>
    <row r="245" spans="1:9">
      <c r="A245" s="2092">
        <f>IF(未审附注之负债及权益!A245="",0,未审附注之负债及权益!A245)</f>
        <v>0</v>
      </c>
      <c r="B245" s="2085">
        <f>IF(未审附注之负债及权益!B245="",0,未审附注之负债及权益!B245)</f>
        <v>0</v>
      </c>
      <c r="C245" s="2085">
        <f>IF(未审附注之负债及权益!C245="",0,未审附注之负债及权益!C245)</f>
        <v>0</v>
      </c>
      <c r="D245" s="2092">
        <f>IF(未审附注之负债及权益!D245="",0,未审附注之负债及权益!D245)</f>
        <v>0</v>
      </c>
      <c r="E245" s="2080"/>
      <c r="F245" s="2080"/>
      <c r="G245" s="2080"/>
      <c r="H245" s="2080"/>
      <c r="I245" s="2118" t="s">
        <v>1123</v>
      </c>
    </row>
    <row r="246" spans="1:9">
      <c r="A246" s="2092">
        <f>IF(未审附注之负债及权益!A246="",0,未审附注之负债及权益!A246)</f>
        <v>0</v>
      </c>
      <c r="B246" s="2085">
        <f>IF(未审附注之负债及权益!B246="",0,未审附注之负债及权益!B246)</f>
        <v>0</v>
      </c>
      <c r="C246" s="2085">
        <f>IF(未审附注之负债及权益!C246="",0,未审附注之负债及权益!C246)</f>
        <v>0</v>
      </c>
      <c r="D246" s="2092">
        <f>IF(未审附注之负债及权益!D246="",0,未审附注之负债及权益!D246)</f>
        <v>0</v>
      </c>
      <c r="E246" s="2080"/>
      <c r="F246" s="2080"/>
      <c r="G246" s="2080"/>
      <c r="H246" s="2080"/>
      <c r="I246" s="2118" t="s">
        <v>1123</v>
      </c>
    </row>
    <row r="247" spans="1:9">
      <c r="A247" s="2092">
        <f>IF(未审附注之负债及权益!A247="",0,未审附注之负债及权益!A247)</f>
        <v>0</v>
      </c>
      <c r="B247" s="2085">
        <f>IF(未审附注之负债及权益!B247="",0,未审附注之负债及权益!B247)</f>
        <v>0</v>
      </c>
      <c r="C247" s="2085">
        <f>IF(未审附注之负债及权益!C247="",0,未审附注之负债及权益!C247)</f>
        <v>0</v>
      </c>
      <c r="D247" s="2092">
        <f>IF(未审附注之负债及权益!D247="",0,未审附注之负债及权益!D247)</f>
        <v>0</v>
      </c>
      <c r="E247" s="2080"/>
      <c r="F247" s="2080"/>
      <c r="G247" s="2080"/>
      <c r="H247" s="2080"/>
      <c r="I247" s="2118" t="s">
        <v>1123</v>
      </c>
    </row>
    <row r="248" spans="1:9">
      <c r="A248" s="2092">
        <f>IF(未审附注之负债及权益!A248="",0,未审附注之负债及权益!A248)</f>
        <v>0</v>
      </c>
      <c r="B248" s="2085">
        <f>IF(未审附注之负债及权益!B248="",0,未审附注之负债及权益!B248)</f>
        <v>0</v>
      </c>
      <c r="C248" s="2085">
        <f>IF(未审附注之负债及权益!C248="",0,未审附注之负债及权益!C248)</f>
        <v>0</v>
      </c>
      <c r="D248" s="2092">
        <f>IF(未审附注之负债及权益!D248="",0,未审附注之负债及权益!D248)</f>
        <v>0</v>
      </c>
      <c r="E248" s="2080"/>
      <c r="F248" s="2080"/>
      <c r="G248" s="2080"/>
      <c r="H248" s="2080"/>
      <c r="I248" s="2118" t="s">
        <v>1123</v>
      </c>
    </row>
    <row r="249" spans="1:9">
      <c r="A249" s="2092">
        <f>IF(未审附注之负债及权益!A249="",0,未审附注之负债及权益!A249)</f>
        <v>0</v>
      </c>
      <c r="B249" s="2085">
        <f>IF(未审附注之负债及权益!B249="",0,未审附注之负债及权益!B249)</f>
        <v>0</v>
      </c>
      <c r="C249" s="2085">
        <f>IF(未审附注之负债及权益!C249="",0,未审附注之负债及权益!C249)</f>
        <v>0</v>
      </c>
      <c r="D249" s="2092">
        <f>IF(未审附注之负债及权益!D249="",0,未审附注之负债及权益!D249)</f>
        <v>0</v>
      </c>
      <c r="E249" s="2080"/>
      <c r="F249" s="2080"/>
      <c r="G249" s="2080"/>
      <c r="H249" s="2080"/>
      <c r="I249" s="2118" t="s">
        <v>1123</v>
      </c>
    </row>
    <row r="250" spans="1:9">
      <c r="A250" s="2092">
        <f>IF(未审附注之负债及权益!A250="",0,未审附注之负债及权益!A250)</f>
        <v>0</v>
      </c>
      <c r="B250" s="2085">
        <f>IF(未审附注之负债及权益!B250="",0,未审附注之负债及权益!B250)</f>
        <v>0</v>
      </c>
      <c r="C250" s="2085">
        <f>IF(未审附注之负债及权益!C250="",0,未审附注之负债及权益!C250)</f>
        <v>0</v>
      </c>
      <c r="D250" s="2092">
        <f>IF(未审附注之负债及权益!D250="",0,未审附注之负债及权益!D250)</f>
        <v>0</v>
      </c>
      <c r="E250" s="2080"/>
      <c r="F250" s="2080"/>
      <c r="G250" s="2080"/>
      <c r="H250" s="2080"/>
      <c r="I250" s="2118" t="s">
        <v>1123</v>
      </c>
    </row>
    <row r="251" spans="1:9">
      <c r="A251" s="2092">
        <f>IF(未审附注之负债及权益!A251="",0,未审附注之负债及权益!A251)</f>
        <v>0</v>
      </c>
      <c r="B251" s="2085">
        <f>IF(未审附注之负债及权益!B251="",0,未审附注之负债及权益!B251)</f>
        <v>0</v>
      </c>
      <c r="C251" s="2085">
        <f>IF(未审附注之负债及权益!C251="",0,未审附注之负债及权益!C251)</f>
        <v>0</v>
      </c>
      <c r="D251" s="2092">
        <f>IF(未审附注之负债及权益!D251="",0,未审附注之负债及权益!D251)</f>
        <v>0</v>
      </c>
      <c r="E251" s="2080"/>
      <c r="F251" s="2080"/>
      <c r="G251" s="2080"/>
      <c r="H251" s="2080"/>
      <c r="I251" s="2118" t="s">
        <v>1123</v>
      </c>
    </row>
    <row r="252" spans="1:9">
      <c r="A252" s="2082" t="s">
        <v>346</v>
      </c>
      <c r="B252" s="2048">
        <f>ROUND(SUM(B242:B251),2)</f>
        <v>0</v>
      </c>
      <c r="C252" s="2048"/>
      <c r="D252" s="2048"/>
      <c r="E252" s="2080"/>
      <c r="F252" s="2080"/>
      <c r="G252" s="2080"/>
      <c r="H252" s="2080"/>
      <c r="I252" s="2118" t="s">
        <v>1124</v>
      </c>
    </row>
    <row r="253" spans="1:8">
      <c r="A253" s="2103"/>
      <c r="B253" s="2080"/>
      <c r="C253" s="2080"/>
      <c r="D253" s="2080"/>
      <c r="E253" s="2080"/>
      <c r="F253" s="2080"/>
      <c r="G253" s="2080"/>
      <c r="H253" s="2080"/>
    </row>
    <row r="254" spans="1:8">
      <c r="A254" s="2096" t="s">
        <v>1030</v>
      </c>
      <c r="B254" s="2080"/>
      <c r="C254" s="2080"/>
      <c r="D254" s="2080"/>
      <c r="E254" s="2080"/>
      <c r="F254" s="2080"/>
      <c r="G254" s="2080"/>
      <c r="H254" s="2080"/>
    </row>
    <row r="255" spans="1:8">
      <c r="A255" s="2082" t="s">
        <v>494</v>
      </c>
      <c r="B255" s="2082" t="s">
        <v>315</v>
      </c>
      <c r="C255" s="2082" t="s">
        <v>316</v>
      </c>
      <c r="D255" s="2082" t="s">
        <v>495</v>
      </c>
      <c r="E255" s="2080"/>
      <c r="F255" s="2080"/>
      <c r="G255" s="2080"/>
      <c r="H255" s="2080"/>
    </row>
    <row r="256" spans="1:9">
      <c r="A256" s="2092">
        <f>IF(未审附注之负债及权益!A256="",0,未审附注之负债及权益!A256)</f>
        <v>0</v>
      </c>
      <c r="B256" s="2085">
        <f>IF(未审附注之负债及权益!B256="",0,未审附注之负债及权益!B256)</f>
        <v>0</v>
      </c>
      <c r="C256" s="2085">
        <f>IF(未审附注之负债及权益!C256="",0,未审附注之负债及权益!C256)</f>
        <v>0</v>
      </c>
      <c r="D256" s="2092">
        <f>IF(未审附注之负债及权益!D256="",0,未审附注之负债及权益!D256)</f>
        <v>0</v>
      </c>
      <c r="E256" s="2080"/>
      <c r="F256" s="2080"/>
      <c r="G256" s="2080"/>
      <c r="H256" s="2080"/>
      <c r="I256" s="2118" t="s">
        <v>1125</v>
      </c>
    </row>
    <row r="257" spans="1:9">
      <c r="A257" s="2092">
        <f>IF(未审附注之负债及权益!A257="",0,未审附注之负债及权益!A257)</f>
        <v>0</v>
      </c>
      <c r="B257" s="2085">
        <f>IF(未审附注之负债及权益!B257="",0,未审附注之负债及权益!B257)</f>
        <v>0</v>
      </c>
      <c r="C257" s="2085">
        <f>IF(未审附注之负债及权益!C257="",0,未审附注之负债及权益!C257)</f>
        <v>0</v>
      </c>
      <c r="D257" s="2092">
        <f>IF(未审附注之负债及权益!D257="",0,未审附注之负债及权益!D257)</f>
        <v>0</v>
      </c>
      <c r="E257" s="2080"/>
      <c r="F257" s="2080"/>
      <c r="G257" s="2080"/>
      <c r="H257" s="2080"/>
      <c r="I257" s="2118" t="s">
        <v>1125</v>
      </c>
    </row>
    <row r="258" spans="1:9">
      <c r="A258" s="2092">
        <f>IF(未审附注之负债及权益!A258="",0,未审附注之负债及权益!A258)</f>
        <v>0</v>
      </c>
      <c r="B258" s="2085">
        <f>IF(未审附注之负债及权益!B258="",0,未审附注之负债及权益!B258)</f>
        <v>0</v>
      </c>
      <c r="C258" s="2085">
        <f>IF(未审附注之负债及权益!C258="",0,未审附注之负债及权益!C258)</f>
        <v>0</v>
      </c>
      <c r="D258" s="2092">
        <f>IF(未审附注之负债及权益!D258="",0,未审附注之负债及权益!D258)</f>
        <v>0</v>
      </c>
      <c r="E258" s="2080"/>
      <c r="F258" s="2080"/>
      <c r="G258" s="2080"/>
      <c r="H258" s="2080"/>
      <c r="I258" s="2118" t="s">
        <v>1125</v>
      </c>
    </row>
    <row r="259" spans="1:9">
      <c r="A259" s="2092">
        <f>IF(未审附注之负债及权益!A259="",0,未审附注之负债及权益!A259)</f>
        <v>0</v>
      </c>
      <c r="B259" s="2085">
        <f>IF(未审附注之负债及权益!B259="",0,未审附注之负债及权益!B259)</f>
        <v>0</v>
      </c>
      <c r="C259" s="2085">
        <f>IF(未审附注之负债及权益!C259="",0,未审附注之负债及权益!C259)</f>
        <v>0</v>
      </c>
      <c r="D259" s="2092">
        <f>IF(未审附注之负债及权益!D259="",0,未审附注之负债及权益!D259)</f>
        <v>0</v>
      </c>
      <c r="E259" s="2080"/>
      <c r="F259" s="2080"/>
      <c r="G259" s="2080"/>
      <c r="H259" s="2080"/>
      <c r="I259" s="2118" t="s">
        <v>1125</v>
      </c>
    </row>
    <row r="260" spans="1:9">
      <c r="A260" s="2092">
        <f>IF(未审附注之负债及权益!A260="",0,未审附注之负债及权益!A260)</f>
        <v>0</v>
      </c>
      <c r="B260" s="2085">
        <f>IF(未审附注之负债及权益!B260="",0,未审附注之负债及权益!B260)</f>
        <v>0</v>
      </c>
      <c r="C260" s="2085">
        <f>IF(未审附注之负债及权益!C260="",0,未审附注之负债及权益!C260)</f>
        <v>0</v>
      </c>
      <c r="D260" s="2092">
        <f>IF(未审附注之负债及权益!D260="",0,未审附注之负债及权益!D260)</f>
        <v>0</v>
      </c>
      <c r="E260" s="2080"/>
      <c r="F260" s="2080"/>
      <c r="G260" s="2080"/>
      <c r="H260" s="2080"/>
      <c r="I260" s="2118" t="s">
        <v>1125</v>
      </c>
    </row>
    <row r="261" spans="1:9">
      <c r="A261" s="2092">
        <f>IF(未审附注之负债及权益!A261="",0,未审附注之负债及权益!A261)</f>
        <v>0</v>
      </c>
      <c r="B261" s="2085">
        <f>IF(未审附注之负债及权益!B261="",0,未审附注之负债及权益!B261)</f>
        <v>0</v>
      </c>
      <c r="C261" s="2085">
        <f>IF(未审附注之负债及权益!C261="",0,未审附注之负债及权益!C261)</f>
        <v>0</v>
      </c>
      <c r="D261" s="2092">
        <f>IF(未审附注之负债及权益!D261="",0,未审附注之负债及权益!D261)</f>
        <v>0</v>
      </c>
      <c r="E261" s="2080"/>
      <c r="F261" s="2080"/>
      <c r="G261" s="2080"/>
      <c r="H261" s="2080"/>
      <c r="I261" s="2118" t="s">
        <v>1125</v>
      </c>
    </row>
    <row r="262" spans="1:9">
      <c r="A262" s="2092">
        <f>IF(未审附注之负债及权益!A262="",0,未审附注之负债及权益!A262)</f>
        <v>0</v>
      </c>
      <c r="B262" s="2085">
        <f>IF(未审附注之负债及权益!B262="",0,未审附注之负债及权益!B262)</f>
        <v>0</v>
      </c>
      <c r="C262" s="2085">
        <f>IF(未审附注之负债及权益!C262="",0,未审附注之负债及权益!C262)</f>
        <v>0</v>
      </c>
      <c r="D262" s="2092">
        <f>IF(未审附注之负债及权益!D262="",0,未审附注之负债及权益!D262)</f>
        <v>0</v>
      </c>
      <c r="E262" s="2080"/>
      <c r="F262" s="2080"/>
      <c r="G262" s="2080"/>
      <c r="H262" s="2080"/>
      <c r="I262" s="2118" t="s">
        <v>1125</v>
      </c>
    </row>
    <row r="263" spans="1:9">
      <c r="A263" s="2092">
        <f>IF(未审附注之负债及权益!A263="",0,未审附注之负债及权益!A263)</f>
        <v>0</v>
      </c>
      <c r="B263" s="2085">
        <f>IF(未审附注之负债及权益!B263="",0,未审附注之负债及权益!B263)</f>
        <v>0</v>
      </c>
      <c r="C263" s="2085">
        <f>IF(未审附注之负债及权益!C263="",0,未审附注之负债及权益!C263)</f>
        <v>0</v>
      </c>
      <c r="D263" s="2092">
        <f>IF(未审附注之负债及权益!D263="",0,未审附注之负债及权益!D263)</f>
        <v>0</v>
      </c>
      <c r="E263" s="2080"/>
      <c r="F263" s="2080"/>
      <c r="G263" s="2080"/>
      <c r="H263" s="2080"/>
      <c r="I263" s="2118" t="s">
        <v>1125</v>
      </c>
    </row>
    <row r="264" spans="1:9">
      <c r="A264" s="2092">
        <f>IF(未审附注之负债及权益!A264="",0,未审附注之负债及权益!A264)</f>
        <v>0</v>
      </c>
      <c r="B264" s="2085">
        <f>IF(未审附注之负债及权益!B264="",0,未审附注之负债及权益!B264)</f>
        <v>0</v>
      </c>
      <c r="C264" s="2085">
        <f>IF(未审附注之负债及权益!C264="",0,未审附注之负债及权益!C264)</f>
        <v>0</v>
      </c>
      <c r="D264" s="2092">
        <f>IF(未审附注之负债及权益!D264="",0,未审附注之负债及权益!D264)</f>
        <v>0</v>
      </c>
      <c r="E264" s="2080"/>
      <c r="F264" s="2080"/>
      <c r="G264" s="2080"/>
      <c r="H264" s="2080"/>
      <c r="I264" s="2118" t="s">
        <v>1125</v>
      </c>
    </row>
    <row r="265" spans="1:9">
      <c r="A265" s="2092">
        <f>IF(未审附注之负债及权益!A265="",0,未审附注之负债及权益!A265)</f>
        <v>0</v>
      </c>
      <c r="B265" s="2085">
        <f>IF(未审附注之负债及权益!B265="",0,未审附注之负债及权益!B265)</f>
        <v>0</v>
      </c>
      <c r="C265" s="2085">
        <f>IF(未审附注之负债及权益!C265="",0,未审附注之负债及权益!C265)</f>
        <v>0</v>
      </c>
      <c r="D265" s="2092">
        <f>IF(未审附注之负债及权益!D265="",0,未审附注之负债及权益!D265)</f>
        <v>0</v>
      </c>
      <c r="E265" s="2080"/>
      <c r="F265" s="2080"/>
      <c r="G265" s="2080"/>
      <c r="H265" s="2080"/>
      <c r="I265" s="2118" t="s">
        <v>1125</v>
      </c>
    </row>
    <row r="266" spans="1:9">
      <c r="A266" s="2082" t="s">
        <v>384</v>
      </c>
      <c r="B266" s="2048">
        <f>ROUND(SUM(B256:B265),2)</f>
        <v>0</v>
      </c>
      <c r="C266" s="2048">
        <f>ROUND(SUM(C256:C265),2)</f>
        <v>0</v>
      </c>
      <c r="D266" s="2048"/>
      <c r="E266" s="2080"/>
      <c r="F266" s="2080"/>
      <c r="G266" s="2080"/>
      <c r="H266" s="2080"/>
      <c r="I266" s="2118" t="s">
        <v>1126</v>
      </c>
    </row>
    <row r="267" spans="1:8">
      <c r="A267" s="2103"/>
      <c r="B267" s="2080"/>
      <c r="C267" s="2080"/>
      <c r="D267" s="2080"/>
      <c r="E267" s="2080"/>
      <c r="F267" s="2080"/>
      <c r="G267" s="2080"/>
      <c r="H267" s="2080"/>
    </row>
    <row r="268" spans="1:8">
      <c r="A268" s="2081" t="s">
        <v>1033</v>
      </c>
      <c r="B268" s="2080"/>
      <c r="C268" s="2080"/>
      <c r="D268" s="2080"/>
      <c r="E268" s="2080"/>
      <c r="F268" s="2080"/>
      <c r="G268" s="2080"/>
      <c r="H268" s="2080"/>
    </row>
    <row r="269" spans="1:8">
      <c r="A269" s="2082" t="s">
        <v>568</v>
      </c>
      <c r="B269" s="2082" t="s">
        <v>315</v>
      </c>
      <c r="C269" s="2082" t="s">
        <v>316</v>
      </c>
      <c r="D269" s="2082" t="s">
        <v>495</v>
      </c>
      <c r="E269" s="2080"/>
      <c r="F269" s="2080"/>
      <c r="G269" s="2080"/>
      <c r="H269" s="2080"/>
    </row>
    <row r="270" spans="1:9">
      <c r="A270" s="2092">
        <f>IF(未审附注之负债及权益!A270="",0,未审附注之负债及权益!A270)</f>
        <v>0</v>
      </c>
      <c r="B270" s="2085">
        <f>IF(未审附注之负债及权益!B270="",0,未审附注之负债及权益!B270)</f>
        <v>0</v>
      </c>
      <c r="C270" s="2085">
        <f>IF(未审附注之负债及权益!C270="",0,未审附注之负债及权益!C270)</f>
        <v>0</v>
      </c>
      <c r="D270" s="2092">
        <f>IF(未审附注之负债及权益!D270="",0,未审附注之负债及权益!D270)</f>
        <v>0</v>
      </c>
      <c r="E270" s="2080"/>
      <c r="F270" s="2080"/>
      <c r="G270" s="2080"/>
      <c r="H270" s="2080"/>
      <c r="I270" s="2118" t="s">
        <v>1127</v>
      </c>
    </row>
    <row r="271" spans="1:9">
      <c r="A271" s="2092">
        <f>IF(未审附注之负债及权益!A271="",0,未审附注之负债及权益!A271)</f>
        <v>0</v>
      </c>
      <c r="B271" s="2085">
        <f>IF(未审附注之负债及权益!B271="",0,未审附注之负债及权益!B271)</f>
        <v>0</v>
      </c>
      <c r="C271" s="2085">
        <f>IF(未审附注之负债及权益!C271="",0,未审附注之负债及权益!C271)</f>
        <v>0</v>
      </c>
      <c r="D271" s="2092">
        <f>IF(未审附注之负债及权益!D271="",0,未审附注之负债及权益!D271)</f>
        <v>0</v>
      </c>
      <c r="E271" s="2080"/>
      <c r="F271" s="2080"/>
      <c r="G271" s="2080"/>
      <c r="H271" s="2080"/>
      <c r="I271" s="2118" t="s">
        <v>1127</v>
      </c>
    </row>
    <row r="272" spans="1:9">
      <c r="A272" s="2092">
        <f>IF(未审附注之负债及权益!A272="",0,未审附注之负债及权益!A272)</f>
        <v>0</v>
      </c>
      <c r="B272" s="2085">
        <f>IF(未审附注之负债及权益!B272="",0,未审附注之负债及权益!B272)</f>
        <v>0</v>
      </c>
      <c r="C272" s="2085">
        <f>IF(未审附注之负债及权益!C272="",0,未审附注之负债及权益!C272)</f>
        <v>0</v>
      </c>
      <c r="D272" s="2092">
        <f>IF(未审附注之负债及权益!D272="",0,未审附注之负债及权益!D272)</f>
        <v>0</v>
      </c>
      <c r="E272" s="2080"/>
      <c r="F272" s="2080"/>
      <c r="G272" s="2080"/>
      <c r="H272" s="2080"/>
      <c r="I272" s="2118" t="s">
        <v>1127</v>
      </c>
    </row>
    <row r="273" spans="1:9">
      <c r="A273" s="2092">
        <f>IF(未审附注之负债及权益!A273="",0,未审附注之负债及权益!A273)</f>
        <v>0</v>
      </c>
      <c r="B273" s="2085">
        <f>IF(未审附注之负债及权益!B273="",0,未审附注之负债及权益!B273)</f>
        <v>0</v>
      </c>
      <c r="C273" s="2085">
        <f>IF(未审附注之负债及权益!C273="",0,未审附注之负债及权益!C273)</f>
        <v>0</v>
      </c>
      <c r="D273" s="2092">
        <f>IF(未审附注之负债及权益!D273="",0,未审附注之负债及权益!D273)</f>
        <v>0</v>
      </c>
      <c r="E273" s="2080"/>
      <c r="F273" s="2080"/>
      <c r="G273" s="2080"/>
      <c r="H273" s="2080"/>
      <c r="I273" s="2118" t="s">
        <v>1127</v>
      </c>
    </row>
    <row r="274" spans="1:9">
      <c r="A274" s="2092">
        <f>IF(未审附注之负债及权益!A274="",0,未审附注之负债及权益!A274)</f>
        <v>0</v>
      </c>
      <c r="B274" s="2085">
        <f>IF(未审附注之负债及权益!B274="",0,未审附注之负债及权益!B274)</f>
        <v>0</v>
      </c>
      <c r="C274" s="2085">
        <f>IF(未审附注之负债及权益!C274="",0,未审附注之负债及权益!C274)</f>
        <v>0</v>
      </c>
      <c r="D274" s="2092">
        <f>IF(未审附注之负债及权益!D274="",0,未审附注之负债及权益!D274)</f>
        <v>0</v>
      </c>
      <c r="E274" s="2080"/>
      <c r="F274" s="2080"/>
      <c r="G274" s="2080"/>
      <c r="H274" s="2080"/>
      <c r="I274" s="2118" t="s">
        <v>1127</v>
      </c>
    </row>
    <row r="275" spans="1:9">
      <c r="A275" s="2092">
        <f>IF(未审附注之负债及权益!A275="",0,未审附注之负债及权益!A275)</f>
        <v>0</v>
      </c>
      <c r="B275" s="2085">
        <f>IF(未审附注之负债及权益!B275="",0,未审附注之负债及权益!B275)</f>
        <v>0</v>
      </c>
      <c r="C275" s="2085">
        <f>IF(未审附注之负债及权益!C275="",0,未审附注之负债及权益!C275)</f>
        <v>0</v>
      </c>
      <c r="D275" s="2092">
        <f>IF(未审附注之负债及权益!D275="",0,未审附注之负债及权益!D275)</f>
        <v>0</v>
      </c>
      <c r="E275" s="2080"/>
      <c r="F275" s="2080"/>
      <c r="G275" s="2080"/>
      <c r="H275" s="2080"/>
      <c r="I275" s="2118" t="s">
        <v>1127</v>
      </c>
    </row>
    <row r="276" spans="1:9">
      <c r="A276" s="2092">
        <f>IF(未审附注之负债及权益!A276="",0,未审附注之负债及权益!A276)</f>
        <v>0</v>
      </c>
      <c r="B276" s="2085">
        <f>IF(未审附注之负债及权益!B276="",0,未审附注之负债及权益!B276)</f>
        <v>0</v>
      </c>
      <c r="C276" s="2085">
        <f>IF(未审附注之负债及权益!C276="",0,未审附注之负债及权益!C276)</f>
        <v>0</v>
      </c>
      <c r="D276" s="2092">
        <f>IF(未审附注之负债及权益!D276="",0,未审附注之负债及权益!D276)</f>
        <v>0</v>
      </c>
      <c r="E276" s="2080"/>
      <c r="F276" s="2080"/>
      <c r="G276" s="2080"/>
      <c r="H276" s="2080"/>
      <c r="I276" s="2118" t="s">
        <v>1127</v>
      </c>
    </row>
    <row r="277" spans="1:9">
      <c r="A277" s="2092">
        <f>IF(未审附注之负债及权益!A277="",0,未审附注之负债及权益!A277)</f>
        <v>0</v>
      </c>
      <c r="B277" s="2085">
        <f>IF(未审附注之负债及权益!B277="",0,未审附注之负债及权益!B277)</f>
        <v>0</v>
      </c>
      <c r="C277" s="2085">
        <f>IF(未审附注之负债及权益!C277="",0,未审附注之负债及权益!C277)</f>
        <v>0</v>
      </c>
      <c r="D277" s="2092">
        <f>IF(未审附注之负债及权益!D277="",0,未审附注之负债及权益!D277)</f>
        <v>0</v>
      </c>
      <c r="E277" s="2080"/>
      <c r="F277" s="2080"/>
      <c r="G277" s="2080"/>
      <c r="H277" s="2080"/>
      <c r="I277" s="2118" t="s">
        <v>1127</v>
      </c>
    </row>
    <row r="278" spans="1:9">
      <c r="A278" s="2092">
        <f>IF(未审附注之负债及权益!A278="",0,未审附注之负债及权益!A278)</f>
        <v>0</v>
      </c>
      <c r="B278" s="2085">
        <f>IF(未审附注之负债及权益!B278="",0,未审附注之负债及权益!B278)</f>
        <v>0</v>
      </c>
      <c r="C278" s="2085">
        <f>IF(未审附注之负债及权益!C278="",0,未审附注之负债及权益!C278)</f>
        <v>0</v>
      </c>
      <c r="D278" s="2092">
        <f>IF(未审附注之负债及权益!D278="",0,未审附注之负债及权益!D278)</f>
        <v>0</v>
      </c>
      <c r="E278" s="2080"/>
      <c r="F278" s="2080"/>
      <c r="G278" s="2080"/>
      <c r="H278" s="2080"/>
      <c r="I278" s="2118" t="s">
        <v>1127</v>
      </c>
    </row>
    <row r="279" spans="1:9">
      <c r="A279" s="2092">
        <f>IF(未审附注之负债及权益!A279="",0,未审附注之负债及权益!A279)</f>
        <v>0</v>
      </c>
      <c r="B279" s="2085">
        <f>IF(未审附注之负债及权益!B279="",0,未审附注之负债及权益!B279)</f>
        <v>0</v>
      </c>
      <c r="C279" s="2085">
        <f>IF(未审附注之负债及权益!C279="",0,未审附注之负债及权益!C279)</f>
        <v>0</v>
      </c>
      <c r="D279" s="2092">
        <f>IF(未审附注之负债及权益!D279="",0,未审附注之负债及权益!D279)</f>
        <v>0</v>
      </c>
      <c r="E279" s="2080"/>
      <c r="F279" s="2080"/>
      <c r="G279" s="2080"/>
      <c r="H279" s="2080"/>
      <c r="I279" s="2118" t="s">
        <v>1127</v>
      </c>
    </row>
    <row r="280" spans="1:9">
      <c r="A280" s="2082" t="s">
        <v>384</v>
      </c>
      <c r="B280" s="2048">
        <f>ROUND(SUM(B270:B279),2)</f>
        <v>0</v>
      </c>
      <c r="C280" s="2048">
        <f>ROUND(SUM(C270:C279),2)</f>
        <v>0</v>
      </c>
      <c r="D280" s="2048"/>
      <c r="E280" s="2080"/>
      <c r="F280" s="2080"/>
      <c r="G280" s="2080"/>
      <c r="H280" s="2080"/>
      <c r="I280" s="2118" t="s">
        <v>1128</v>
      </c>
    </row>
    <row r="281" spans="1:8">
      <c r="A281" s="2094"/>
      <c r="B281" s="2100"/>
      <c r="C281" s="2100"/>
      <c r="D281" s="2100"/>
      <c r="E281" s="2080"/>
      <c r="F281" s="2080"/>
      <c r="G281" s="2080"/>
      <c r="H281" s="2080"/>
    </row>
    <row r="282" spans="1:8">
      <c r="A282" s="2103"/>
      <c r="B282" s="2080"/>
      <c r="C282" s="2080"/>
      <c r="D282" s="2080"/>
      <c r="E282" s="2080"/>
      <c r="F282" s="2080"/>
      <c r="G282" s="2080"/>
      <c r="H282" s="2080"/>
    </row>
    <row r="283" spans="1:8">
      <c r="A283" s="2079" t="s">
        <v>1129</v>
      </c>
      <c r="B283" s="2080"/>
      <c r="C283" s="2080"/>
      <c r="D283" s="2080"/>
      <c r="E283" s="2080"/>
      <c r="F283" s="2080"/>
      <c r="G283" s="2080"/>
      <c r="H283" s="2080"/>
    </row>
    <row r="284" spans="1:8">
      <c r="A284" s="2081" t="s">
        <v>1130</v>
      </c>
      <c r="B284" s="2080"/>
      <c r="C284" s="2080"/>
      <c r="D284" s="2080"/>
      <c r="E284" s="2080"/>
      <c r="F284" s="2080"/>
      <c r="G284" s="2080"/>
      <c r="H284" s="2080"/>
    </row>
    <row r="285" spans="1:8">
      <c r="A285" s="2082" t="s">
        <v>372</v>
      </c>
      <c r="B285" s="2082" t="s">
        <v>315</v>
      </c>
      <c r="C285" s="2082" t="s">
        <v>316</v>
      </c>
      <c r="D285" s="2080"/>
      <c r="E285" s="2080"/>
      <c r="F285" s="2080"/>
      <c r="G285" s="2080"/>
      <c r="H285" s="2080"/>
    </row>
    <row r="286" spans="1:9">
      <c r="A286" s="2084" t="s">
        <v>226</v>
      </c>
      <c r="B286" s="2085">
        <f>IF(未审附注之负债及权益!B286="",0,未审附注之负债及权益!B286)</f>
        <v>0</v>
      </c>
      <c r="C286" s="2085">
        <f>IF(未审附注之负债及权益!C286="",0,未审附注之负债及权益!C286)</f>
        <v>0</v>
      </c>
      <c r="D286" s="2080"/>
      <c r="E286" s="2080"/>
      <c r="F286" s="2080"/>
      <c r="G286" s="2080"/>
      <c r="H286" s="2080"/>
      <c r="I286" s="2086" t="s">
        <v>1131</v>
      </c>
    </row>
    <row r="287" spans="1:9">
      <c r="A287" s="2084" t="s">
        <v>228</v>
      </c>
      <c r="B287" s="2085">
        <f>IF(未审附注之负债及权益!B287="",0,未审附注之负债及权益!B287)</f>
        <v>0</v>
      </c>
      <c r="C287" s="2085">
        <f>IF(未审附注之负债及权益!C287="",0,未审附注之负债及权益!C287)</f>
        <v>0</v>
      </c>
      <c r="D287" s="2080"/>
      <c r="E287" s="2080"/>
      <c r="F287" s="2080"/>
      <c r="G287" s="2080"/>
      <c r="H287" s="2080"/>
      <c r="I287" s="2086" t="s">
        <v>1132</v>
      </c>
    </row>
    <row r="288" spans="1:9">
      <c r="A288" s="2084" t="s">
        <v>230</v>
      </c>
      <c r="B288" s="2085">
        <f>IF(未审附注之负债及权益!B288="",0,未审附注之负债及权益!B288)</f>
        <v>0</v>
      </c>
      <c r="C288" s="2085">
        <f>IF(未审附注之负债及权益!C288="",0,未审附注之负债及权益!C288)</f>
        <v>0</v>
      </c>
      <c r="D288" s="2080"/>
      <c r="E288" s="2080"/>
      <c r="F288" s="2080"/>
      <c r="G288" s="2080"/>
      <c r="H288" s="2080"/>
      <c r="I288" s="2086" t="s">
        <v>1133</v>
      </c>
    </row>
    <row r="289" spans="1:9">
      <c r="A289" s="2082" t="s">
        <v>384</v>
      </c>
      <c r="B289" s="2048">
        <f>ROUND(SUM(B286:B288),2)</f>
        <v>0</v>
      </c>
      <c r="C289" s="2048">
        <f>ROUND(SUM(C286:C288),2)</f>
        <v>0</v>
      </c>
      <c r="D289" s="2080"/>
      <c r="E289" s="2080"/>
      <c r="F289" s="2080"/>
      <c r="G289" s="2080"/>
      <c r="H289" s="2080"/>
      <c r="I289" s="2086" t="s">
        <v>1134</v>
      </c>
    </row>
    <row r="290" spans="1:8">
      <c r="A290" s="2094"/>
      <c r="B290" s="2100"/>
      <c r="C290" s="2100"/>
      <c r="D290" s="2100"/>
      <c r="E290" s="2080"/>
      <c r="F290" s="2080"/>
      <c r="G290" s="2080"/>
      <c r="H290" s="2080"/>
    </row>
    <row r="291" spans="1:8">
      <c r="A291" s="2081" t="s">
        <v>1135</v>
      </c>
      <c r="B291" s="2080"/>
      <c r="C291" s="2080"/>
      <c r="D291" s="2080"/>
      <c r="E291" s="2080"/>
      <c r="F291" s="2080"/>
      <c r="G291" s="2080"/>
      <c r="H291" s="2080"/>
    </row>
    <row r="292" spans="1:8">
      <c r="A292" s="2082" t="s">
        <v>372</v>
      </c>
      <c r="B292" s="2082" t="s">
        <v>315</v>
      </c>
      <c r="C292" s="2082" t="s">
        <v>316</v>
      </c>
      <c r="D292" s="2080"/>
      <c r="E292" s="2080"/>
      <c r="F292" s="2080"/>
      <c r="G292" s="2080"/>
      <c r="H292" s="2080"/>
    </row>
    <row r="293" spans="1:9">
      <c r="A293" s="2084" t="s">
        <v>982</v>
      </c>
      <c r="B293" s="2085">
        <f>IF(未审附注之负债及权益!B293="",0,未审附注之负债及权益!B293)</f>
        <v>0</v>
      </c>
      <c r="C293" s="2085">
        <f>IF(未审附注之负债及权益!C293="",0,未审附注之负债及权益!C293)</f>
        <v>0</v>
      </c>
      <c r="D293" s="2080"/>
      <c r="E293" s="2080"/>
      <c r="F293" s="2080"/>
      <c r="G293" s="2080"/>
      <c r="H293" s="2080"/>
      <c r="I293" s="2086" t="s">
        <v>1136</v>
      </c>
    </row>
    <row r="294" spans="1:9">
      <c r="A294" s="2084" t="s">
        <v>984</v>
      </c>
      <c r="B294" s="2085">
        <f>IF(未审附注之负债及权益!B294="",0,未审附注之负债及权益!B294)</f>
        <v>0</v>
      </c>
      <c r="C294" s="2085">
        <f>IF(未审附注之负债及权益!C294="",0,未审附注之负债及权益!C294)</f>
        <v>0</v>
      </c>
      <c r="D294" s="2080"/>
      <c r="E294" s="2080"/>
      <c r="F294" s="2080"/>
      <c r="G294" s="2080"/>
      <c r="H294" s="2080"/>
      <c r="I294" s="2086" t="s">
        <v>1137</v>
      </c>
    </row>
    <row r="295" spans="1:9">
      <c r="A295" s="2084" t="s">
        <v>986</v>
      </c>
      <c r="B295" s="2085">
        <f>IF(未审附注之负债及权益!B295="",0,未审附注之负债及权益!B295)</f>
        <v>0</v>
      </c>
      <c r="C295" s="2085">
        <f>IF(未审附注之负债及权益!C295="",0,未审附注之负债及权益!C295)</f>
        <v>0</v>
      </c>
      <c r="D295" s="2080"/>
      <c r="E295" s="2080"/>
      <c r="F295" s="2080"/>
      <c r="G295" s="2080"/>
      <c r="H295" s="2080"/>
      <c r="I295" s="2086" t="s">
        <v>1138</v>
      </c>
    </row>
    <row r="296" spans="1:9">
      <c r="A296" s="2084" t="s">
        <v>988</v>
      </c>
      <c r="B296" s="2120">
        <f>ROUND(B297-B293-B294-B295,2)</f>
        <v>0</v>
      </c>
      <c r="C296" s="2120">
        <f>ROUND(C297-C293-C294-C295,2)</f>
        <v>0</v>
      </c>
      <c r="D296" s="2080"/>
      <c r="E296" s="2080"/>
      <c r="F296" s="2080"/>
      <c r="G296" s="2080"/>
      <c r="H296" s="2080"/>
      <c r="I296" s="2086" t="s">
        <v>1139</v>
      </c>
    </row>
    <row r="297" spans="1:9">
      <c r="A297" s="2082" t="s">
        <v>384</v>
      </c>
      <c r="B297" s="2048">
        <f>ROUND(B286,2)</f>
        <v>0</v>
      </c>
      <c r="C297" s="2048">
        <f>ROUND(C286,2)</f>
        <v>0</v>
      </c>
      <c r="D297" s="2080"/>
      <c r="E297" s="2080"/>
      <c r="F297" s="2080"/>
      <c r="G297" s="2080"/>
      <c r="H297" s="2080"/>
      <c r="I297" s="2086" t="s">
        <v>1140</v>
      </c>
    </row>
    <row r="298" spans="1:8">
      <c r="A298" s="2080"/>
      <c r="B298" s="2080"/>
      <c r="C298" s="2080"/>
      <c r="D298" s="2080"/>
      <c r="E298" s="2080"/>
      <c r="F298" s="2080"/>
      <c r="G298" s="2080"/>
      <c r="H298" s="2080"/>
    </row>
    <row r="299" spans="1:8">
      <c r="A299" s="2088" t="s">
        <v>1141</v>
      </c>
      <c r="B299" s="2080"/>
      <c r="C299" s="2080"/>
      <c r="D299" s="2080"/>
      <c r="E299" s="2080"/>
      <c r="F299" s="2080"/>
      <c r="G299" s="2080"/>
      <c r="H299" s="2080"/>
    </row>
    <row r="300" spans="1:8">
      <c r="A300" s="2108" t="s">
        <v>992</v>
      </c>
      <c r="B300" s="2108" t="s">
        <v>993</v>
      </c>
      <c r="C300" s="2108" t="s">
        <v>994</v>
      </c>
      <c r="D300" s="2108" t="s">
        <v>1142</v>
      </c>
      <c r="E300" s="2108" t="s">
        <v>1027</v>
      </c>
      <c r="F300" s="2108" t="s">
        <v>1143</v>
      </c>
      <c r="G300" s="2108" t="s">
        <v>1001</v>
      </c>
      <c r="H300" s="2108" t="s">
        <v>1144</v>
      </c>
    </row>
    <row r="301" spans="1:9">
      <c r="A301" s="2092">
        <f>IF(未审附注之负债及权益!A301="",0,未审附注之负债及权益!A301)</f>
        <v>0</v>
      </c>
      <c r="B301" s="2085">
        <f>IF(未审附注之负债及权益!B301="",0,未审附注之负债及权益!B301)</f>
        <v>0</v>
      </c>
      <c r="C301" s="2111">
        <f>IF(未审附注之负债及权益!C301="",0,未审附注之负债及权益!C301)</f>
        <v>0</v>
      </c>
      <c r="D301" s="2092">
        <f>IF(未审附注之负债及权益!D301="",0,未审附注之负债及权益!D301)</f>
        <v>0</v>
      </c>
      <c r="E301" s="2092">
        <f>IF(未审附注之负债及权益!E301="",0,未审附注之负债及权益!E301)</f>
        <v>0</v>
      </c>
      <c r="F301" s="2092">
        <f>IF(未审附注之负债及权益!F301="",0,未审附注之负债及权益!F301)</f>
        <v>0</v>
      </c>
      <c r="G301" s="2092">
        <f>IF(未审附注之负债及权益!G301="",0,未审附注之负债及权益!G301)</f>
        <v>0</v>
      </c>
      <c r="H301" s="2113">
        <f>IF(未审附注之负债及权益!H301="",0,未审附注之负债及权益!H301)</f>
        <v>0</v>
      </c>
      <c r="I301" s="2086" t="s">
        <v>1145</v>
      </c>
    </row>
    <row r="302" spans="1:9">
      <c r="A302" s="2092">
        <f>IF(未审附注之负债及权益!A302="",0,未审附注之负债及权益!A302)</f>
        <v>0</v>
      </c>
      <c r="B302" s="2085">
        <f>IF(未审附注之负债及权益!B302="",0,未审附注之负债及权益!B302)</f>
        <v>0</v>
      </c>
      <c r="C302" s="2111">
        <f>IF(未审附注之负债及权益!C302="",0,未审附注之负债及权益!C302)</f>
        <v>0</v>
      </c>
      <c r="D302" s="2092">
        <f>IF(未审附注之负债及权益!D302="",0,未审附注之负债及权益!D302)</f>
        <v>0</v>
      </c>
      <c r="E302" s="2092">
        <f>IF(未审附注之负债及权益!E302="",0,未审附注之负债及权益!E302)</f>
        <v>0</v>
      </c>
      <c r="F302" s="2092">
        <f>IF(未审附注之负债及权益!F302="",0,未审附注之负债及权益!F302)</f>
        <v>0</v>
      </c>
      <c r="G302" s="2092">
        <f>IF(未审附注之负债及权益!G302="",0,未审附注之负债及权益!G302)</f>
        <v>0</v>
      </c>
      <c r="H302" s="2113">
        <f>IF(未审附注之负债及权益!H302="",0,未审附注之负债及权益!H302)</f>
        <v>0</v>
      </c>
      <c r="I302" s="2086" t="s">
        <v>1145</v>
      </c>
    </row>
    <row r="303" spans="1:9">
      <c r="A303" s="2092">
        <f>IF(未审附注之负债及权益!A303="",0,未审附注之负债及权益!A303)</f>
        <v>0</v>
      </c>
      <c r="B303" s="2085">
        <f>IF(未审附注之负债及权益!B303="",0,未审附注之负债及权益!B303)</f>
        <v>0</v>
      </c>
      <c r="C303" s="2111">
        <f>IF(未审附注之负债及权益!C303="",0,未审附注之负债及权益!C303)</f>
        <v>0</v>
      </c>
      <c r="D303" s="2092">
        <f>IF(未审附注之负债及权益!D303="",0,未审附注之负债及权益!D303)</f>
        <v>0</v>
      </c>
      <c r="E303" s="2092">
        <f>IF(未审附注之负债及权益!E303="",0,未审附注之负债及权益!E303)</f>
        <v>0</v>
      </c>
      <c r="F303" s="2092">
        <f>IF(未审附注之负债及权益!F303="",0,未审附注之负债及权益!F303)</f>
        <v>0</v>
      </c>
      <c r="G303" s="2092">
        <f>IF(未审附注之负债及权益!G303="",0,未审附注之负债及权益!G303)</f>
        <v>0</v>
      </c>
      <c r="H303" s="2113">
        <f>IF(未审附注之负债及权益!H303="",0,未审附注之负债及权益!H303)</f>
        <v>0</v>
      </c>
      <c r="I303" s="2086" t="s">
        <v>1145</v>
      </c>
    </row>
    <row r="304" spans="1:9">
      <c r="A304" s="2092">
        <f>IF(未审附注之负债及权益!A304="",0,未审附注之负债及权益!A304)</f>
        <v>0</v>
      </c>
      <c r="B304" s="2085">
        <f>IF(未审附注之负债及权益!B304="",0,未审附注之负债及权益!B304)</f>
        <v>0</v>
      </c>
      <c r="C304" s="2111">
        <f>IF(未审附注之负债及权益!C304="",0,未审附注之负债及权益!C304)</f>
        <v>0</v>
      </c>
      <c r="D304" s="2092">
        <f>IF(未审附注之负债及权益!D304="",0,未审附注之负债及权益!D304)</f>
        <v>0</v>
      </c>
      <c r="E304" s="2092">
        <f>IF(未审附注之负债及权益!E304="",0,未审附注之负债及权益!E304)</f>
        <v>0</v>
      </c>
      <c r="F304" s="2092">
        <f>IF(未审附注之负债及权益!F304="",0,未审附注之负债及权益!F304)</f>
        <v>0</v>
      </c>
      <c r="G304" s="2092">
        <f>IF(未审附注之负债及权益!G304="",0,未审附注之负债及权益!G304)</f>
        <v>0</v>
      </c>
      <c r="H304" s="2113">
        <f>IF(未审附注之负债及权益!H304="",0,未审附注之负债及权益!H304)</f>
        <v>0</v>
      </c>
      <c r="I304" s="2086" t="s">
        <v>1145</v>
      </c>
    </row>
    <row r="305" spans="1:9">
      <c r="A305" s="2092">
        <f>IF(未审附注之负债及权益!A305="",0,未审附注之负债及权益!A305)</f>
        <v>0</v>
      </c>
      <c r="B305" s="2085">
        <f>IF(未审附注之负债及权益!B305="",0,未审附注之负债及权益!B305)</f>
        <v>0</v>
      </c>
      <c r="C305" s="2111">
        <f>IF(未审附注之负债及权益!C305="",0,未审附注之负债及权益!C305)</f>
        <v>0</v>
      </c>
      <c r="D305" s="2092">
        <f>IF(未审附注之负债及权益!D305="",0,未审附注之负债及权益!D305)</f>
        <v>0</v>
      </c>
      <c r="E305" s="2092">
        <f>IF(未审附注之负债及权益!E305="",0,未审附注之负债及权益!E305)</f>
        <v>0</v>
      </c>
      <c r="F305" s="2092">
        <f>IF(未审附注之负债及权益!F305="",0,未审附注之负债及权益!F305)</f>
        <v>0</v>
      </c>
      <c r="G305" s="2092">
        <f>IF(未审附注之负债及权益!G305="",0,未审附注之负债及权益!G305)</f>
        <v>0</v>
      </c>
      <c r="H305" s="2113">
        <f>IF(未审附注之负债及权益!H305="",0,未审附注之负债及权益!H305)</f>
        <v>0</v>
      </c>
      <c r="I305" s="2086" t="s">
        <v>1145</v>
      </c>
    </row>
    <row r="306" spans="1:9">
      <c r="A306" s="2092">
        <f>IF(未审附注之负债及权益!A306="",0,未审附注之负债及权益!A306)</f>
        <v>0</v>
      </c>
      <c r="B306" s="2085">
        <f>IF(未审附注之负债及权益!B306="",0,未审附注之负债及权益!B306)</f>
        <v>0</v>
      </c>
      <c r="C306" s="2111">
        <f>IF(未审附注之负债及权益!C306="",0,未审附注之负债及权益!C306)</f>
        <v>0</v>
      </c>
      <c r="D306" s="2092">
        <f>IF(未审附注之负债及权益!D306="",0,未审附注之负债及权益!D306)</f>
        <v>0</v>
      </c>
      <c r="E306" s="2092">
        <f>IF(未审附注之负债及权益!E306="",0,未审附注之负债及权益!E306)</f>
        <v>0</v>
      </c>
      <c r="F306" s="2092">
        <f>IF(未审附注之负债及权益!F306="",0,未审附注之负债及权益!F306)</f>
        <v>0</v>
      </c>
      <c r="G306" s="2092">
        <f>IF(未审附注之负债及权益!G306="",0,未审附注之负债及权益!G306)</f>
        <v>0</v>
      </c>
      <c r="H306" s="2113">
        <f>IF(未审附注之负债及权益!H306="",0,未审附注之负债及权益!H306)</f>
        <v>0</v>
      </c>
      <c r="I306" s="2086" t="s">
        <v>1145</v>
      </c>
    </row>
    <row r="307" spans="1:9">
      <c r="A307" s="2092">
        <f>IF(未审附注之负债及权益!A307="",0,未审附注之负债及权益!A307)</f>
        <v>0</v>
      </c>
      <c r="B307" s="2085">
        <f>IF(未审附注之负债及权益!B307="",0,未审附注之负债及权益!B307)</f>
        <v>0</v>
      </c>
      <c r="C307" s="2111">
        <f>IF(未审附注之负债及权益!C307="",0,未审附注之负债及权益!C307)</f>
        <v>0</v>
      </c>
      <c r="D307" s="2092">
        <f>IF(未审附注之负债及权益!D307="",0,未审附注之负债及权益!D307)</f>
        <v>0</v>
      </c>
      <c r="E307" s="2092">
        <f>IF(未审附注之负债及权益!E307="",0,未审附注之负债及权益!E307)</f>
        <v>0</v>
      </c>
      <c r="F307" s="2092">
        <f>IF(未审附注之负债及权益!F307="",0,未审附注之负债及权益!F307)</f>
        <v>0</v>
      </c>
      <c r="G307" s="2092">
        <f>IF(未审附注之负债及权益!G307="",0,未审附注之负债及权益!G307)</f>
        <v>0</v>
      </c>
      <c r="H307" s="2113">
        <f>IF(未审附注之负债及权益!H307="",0,未审附注之负债及权益!H307)</f>
        <v>0</v>
      </c>
      <c r="I307" s="2086" t="s">
        <v>1145</v>
      </c>
    </row>
    <row r="308" spans="1:9">
      <c r="A308" s="2092">
        <f>IF(未审附注之负债及权益!A308="",0,未审附注之负债及权益!A308)</f>
        <v>0</v>
      </c>
      <c r="B308" s="2085">
        <f>IF(未审附注之负债及权益!B308="",0,未审附注之负债及权益!B308)</f>
        <v>0</v>
      </c>
      <c r="C308" s="2111">
        <f>IF(未审附注之负债及权益!C308="",0,未审附注之负债及权益!C308)</f>
        <v>0</v>
      </c>
      <c r="D308" s="2092">
        <f>IF(未审附注之负债及权益!D308="",0,未审附注之负债及权益!D308)</f>
        <v>0</v>
      </c>
      <c r="E308" s="2092">
        <f>IF(未审附注之负债及权益!E308="",0,未审附注之负债及权益!E308)</f>
        <v>0</v>
      </c>
      <c r="F308" s="2092">
        <f>IF(未审附注之负债及权益!F308="",0,未审附注之负债及权益!F308)</f>
        <v>0</v>
      </c>
      <c r="G308" s="2092">
        <f>IF(未审附注之负债及权益!G308="",0,未审附注之负债及权益!G308)</f>
        <v>0</v>
      </c>
      <c r="H308" s="2113">
        <f>IF(未审附注之负债及权益!H308="",0,未审附注之负债及权益!H308)</f>
        <v>0</v>
      </c>
      <c r="I308" s="2086" t="s">
        <v>1145</v>
      </c>
    </row>
    <row r="309" spans="1:9">
      <c r="A309" s="2092">
        <f>IF(未审附注之负债及权益!A309="",0,未审附注之负债及权益!A309)</f>
        <v>0</v>
      </c>
      <c r="B309" s="2085">
        <f>IF(未审附注之负债及权益!B309="",0,未审附注之负债及权益!B309)</f>
        <v>0</v>
      </c>
      <c r="C309" s="2111">
        <f>IF(未审附注之负债及权益!C309="",0,未审附注之负债及权益!C309)</f>
        <v>0</v>
      </c>
      <c r="D309" s="2092">
        <f>IF(未审附注之负债及权益!D309="",0,未审附注之负债及权益!D309)</f>
        <v>0</v>
      </c>
      <c r="E309" s="2092">
        <f>IF(未审附注之负债及权益!E309="",0,未审附注之负债及权益!E309)</f>
        <v>0</v>
      </c>
      <c r="F309" s="2092">
        <f>IF(未审附注之负债及权益!F309="",0,未审附注之负债及权益!F309)</f>
        <v>0</v>
      </c>
      <c r="G309" s="2092">
        <f>IF(未审附注之负债及权益!G309="",0,未审附注之负债及权益!G309)</f>
        <v>0</v>
      </c>
      <c r="H309" s="2113">
        <f>IF(未审附注之负债及权益!H309="",0,未审附注之负债及权益!H309)</f>
        <v>0</v>
      </c>
      <c r="I309" s="2086" t="s">
        <v>1145</v>
      </c>
    </row>
    <row r="310" spans="1:9">
      <c r="A310" s="2092">
        <f>IF(未审附注之负债及权益!A310="",0,未审附注之负债及权益!A310)</f>
        <v>0</v>
      </c>
      <c r="B310" s="2085">
        <f>IF(未审附注之负债及权益!B310="",0,未审附注之负债及权益!B310)</f>
        <v>0</v>
      </c>
      <c r="C310" s="2111">
        <f>IF(未审附注之负债及权益!C310="",0,未审附注之负债及权益!C310)</f>
        <v>0</v>
      </c>
      <c r="D310" s="2092">
        <f>IF(未审附注之负债及权益!D310="",0,未审附注之负债及权益!D310)</f>
        <v>0</v>
      </c>
      <c r="E310" s="2092">
        <f>IF(未审附注之负债及权益!E310="",0,未审附注之负债及权益!E310)</f>
        <v>0</v>
      </c>
      <c r="F310" s="2092">
        <f>IF(未审附注之负债及权益!F310="",0,未审附注之负债及权益!F310)</f>
        <v>0</v>
      </c>
      <c r="G310" s="2092">
        <f>IF(未审附注之负债及权益!G310="",0,未审附注之负债及权益!G310)</f>
        <v>0</v>
      </c>
      <c r="H310" s="2113">
        <f>IF(未审附注之负债及权益!H310="",0,未审附注之负债及权益!H310)</f>
        <v>0</v>
      </c>
      <c r="I310" s="2086" t="s">
        <v>1145</v>
      </c>
    </row>
    <row r="311" spans="1:9">
      <c r="A311" s="2082" t="s">
        <v>384</v>
      </c>
      <c r="B311" s="2048">
        <f>ROUND(SUM(B301:B310),2)</f>
        <v>0</v>
      </c>
      <c r="C311" s="2098"/>
      <c r="D311" s="2098"/>
      <c r="E311" s="2098"/>
      <c r="F311" s="2098"/>
      <c r="G311" s="2098"/>
      <c r="H311" s="2098"/>
      <c r="I311" s="2086" t="s">
        <v>1146</v>
      </c>
    </row>
    <row r="312" spans="1:8">
      <c r="A312" s="2103"/>
      <c r="B312" s="2080"/>
      <c r="C312" s="2080"/>
      <c r="D312" s="2080"/>
      <c r="E312" s="2080"/>
      <c r="F312" s="2080"/>
      <c r="G312" s="2080"/>
      <c r="H312" s="2080"/>
    </row>
    <row r="313" spans="1:8">
      <c r="A313" s="2081" t="s">
        <v>1147</v>
      </c>
      <c r="B313" s="2080"/>
      <c r="C313" s="2080"/>
      <c r="D313" s="2080"/>
      <c r="E313" s="2080"/>
      <c r="F313" s="2080"/>
      <c r="G313" s="2080"/>
      <c r="H313" s="2080"/>
    </row>
    <row r="314" spans="1:8">
      <c r="A314" s="2082" t="s">
        <v>372</v>
      </c>
      <c r="B314" s="2108" t="s">
        <v>1148</v>
      </c>
      <c r="C314" s="2108" t="s">
        <v>1149</v>
      </c>
      <c r="D314" s="2108" t="s">
        <v>1150</v>
      </c>
      <c r="E314" s="2108" t="s">
        <v>1151</v>
      </c>
      <c r="F314" s="2108" t="s">
        <v>1152</v>
      </c>
      <c r="G314" s="2108" t="s">
        <v>1153</v>
      </c>
      <c r="H314" s="2108" t="s">
        <v>515</v>
      </c>
    </row>
    <row r="315" spans="1:9">
      <c r="A315" s="2092">
        <f>IF(未审附注之负债及权益!A315="",0,未审附注之负债及权益!A315)</f>
        <v>0</v>
      </c>
      <c r="B315" s="2092">
        <f>IF(未审附注之负债及权益!B315="",0,未审附注之负债及权益!B315)</f>
        <v>0</v>
      </c>
      <c r="C315" s="2092">
        <f>IF(未审附注之负债及权益!C315="",0,未审附注之负债及权益!C315)</f>
        <v>0</v>
      </c>
      <c r="D315" s="2113">
        <f>IF(未审附注之负债及权益!D315="",0,未审附注之负债及权益!D315)</f>
        <v>0</v>
      </c>
      <c r="E315" s="2085">
        <f>IF(未审附注之负债及权益!E315="",0,未审附注之负债及权益!E315)</f>
        <v>0</v>
      </c>
      <c r="F315" s="2085">
        <f>IF(未审附注之负债及权益!F315="",0,未审附注之负债及权益!F315)</f>
        <v>0</v>
      </c>
      <c r="G315" s="2085">
        <f>IF(未审附注之负债及权益!G315="",0,未审附注之负债及权益!G315)</f>
        <v>0</v>
      </c>
      <c r="H315" s="2085">
        <f>IF(未审附注之负债及权益!H315="",0,未审附注之负债及权益!H315)</f>
        <v>0</v>
      </c>
      <c r="I315" s="2086" t="s">
        <v>1154</v>
      </c>
    </row>
    <row r="316" spans="1:9">
      <c r="A316" s="2092">
        <f>IF(未审附注之负债及权益!A316="",0,未审附注之负债及权益!A316)</f>
        <v>0</v>
      </c>
      <c r="B316" s="2092">
        <f>IF(未审附注之负债及权益!B316="",0,未审附注之负债及权益!B316)</f>
        <v>0</v>
      </c>
      <c r="C316" s="2092">
        <f>IF(未审附注之负债及权益!C316="",0,未审附注之负债及权益!C316)</f>
        <v>0</v>
      </c>
      <c r="D316" s="2113">
        <f>IF(未审附注之负债及权益!D316="",0,未审附注之负债及权益!D316)</f>
        <v>0</v>
      </c>
      <c r="E316" s="2085">
        <f>IF(未审附注之负债及权益!E316="",0,未审附注之负债及权益!E316)</f>
        <v>0</v>
      </c>
      <c r="F316" s="2085">
        <f>IF(未审附注之负债及权益!F316="",0,未审附注之负债及权益!F316)</f>
        <v>0</v>
      </c>
      <c r="G316" s="2085">
        <f>IF(未审附注之负债及权益!G316="",0,未审附注之负债及权益!G316)</f>
        <v>0</v>
      </c>
      <c r="H316" s="2085">
        <f>IF(未审附注之负债及权益!H316="",0,未审附注之负债及权益!H316)</f>
        <v>0</v>
      </c>
      <c r="I316" s="2086" t="s">
        <v>1154</v>
      </c>
    </row>
    <row r="317" spans="1:9">
      <c r="A317" s="2092">
        <f>IF(未审附注之负债及权益!A317="",0,未审附注之负债及权益!A317)</f>
        <v>0</v>
      </c>
      <c r="B317" s="2092">
        <f>IF(未审附注之负债及权益!B317="",0,未审附注之负债及权益!B317)</f>
        <v>0</v>
      </c>
      <c r="C317" s="2092">
        <f>IF(未审附注之负债及权益!C317="",0,未审附注之负债及权益!C317)</f>
        <v>0</v>
      </c>
      <c r="D317" s="2113">
        <f>IF(未审附注之负债及权益!D317="",0,未审附注之负债及权益!D317)</f>
        <v>0</v>
      </c>
      <c r="E317" s="2085">
        <f>IF(未审附注之负债及权益!E317="",0,未审附注之负债及权益!E317)</f>
        <v>0</v>
      </c>
      <c r="F317" s="2085">
        <f>IF(未审附注之负债及权益!F317="",0,未审附注之负债及权益!F317)</f>
        <v>0</v>
      </c>
      <c r="G317" s="2085">
        <f>IF(未审附注之负债及权益!G317="",0,未审附注之负债及权益!G317)</f>
        <v>0</v>
      </c>
      <c r="H317" s="2085">
        <f>IF(未审附注之负债及权益!H317="",0,未审附注之负债及权益!H317)</f>
        <v>0</v>
      </c>
      <c r="I317" s="2086" t="s">
        <v>1154</v>
      </c>
    </row>
    <row r="318" spans="1:9">
      <c r="A318" s="2092">
        <f>IF(未审附注之负债及权益!A318="",0,未审附注之负债及权益!A318)</f>
        <v>0</v>
      </c>
      <c r="B318" s="2092">
        <f>IF(未审附注之负债及权益!B318="",0,未审附注之负债及权益!B318)</f>
        <v>0</v>
      </c>
      <c r="C318" s="2092">
        <f>IF(未审附注之负债及权益!C318="",0,未审附注之负债及权益!C318)</f>
        <v>0</v>
      </c>
      <c r="D318" s="2113">
        <f>IF(未审附注之负债及权益!D318="",0,未审附注之负债及权益!D318)</f>
        <v>0</v>
      </c>
      <c r="E318" s="2085">
        <f>IF(未审附注之负债及权益!E318="",0,未审附注之负债及权益!E318)</f>
        <v>0</v>
      </c>
      <c r="F318" s="2085">
        <f>IF(未审附注之负债及权益!F318="",0,未审附注之负债及权益!F318)</f>
        <v>0</v>
      </c>
      <c r="G318" s="2085">
        <f>IF(未审附注之负债及权益!G318="",0,未审附注之负债及权益!G318)</f>
        <v>0</v>
      </c>
      <c r="H318" s="2085">
        <f>IF(未审附注之负债及权益!H318="",0,未审附注之负债及权益!H318)</f>
        <v>0</v>
      </c>
      <c r="I318" s="2086" t="s">
        <v>1154</v>
      </c>
    </row>
    <row r="319" spans="1:9">
      <c r="A319" s="2092">
        <f>IF(未审附注之负债及权益!A319="",0,未审附注之负债及权益!A319)</f>
        <v>0</v>
      </c>
      <c r="B319" s="2092">
        <f>IF(未审附注之负债及权益!B319="",0,未审附注之负债及权益!B319)</f>
        <v>0</v>
      </c>
      <c r="C319" s="2092">
        <f>IF(未审附注之负债及权益!C319="",0,未审附注之负债及权益!C319)</f>
        <v>0</v>
      </c>
      <c r="D319" s="2113">
        <f>IF(未审附注之负债及权益!D319="",0,未审附注之负债及权益!D319)</f>
        <v>0</v>
      </c>
      <c r="E319" s="2085">
        <f>IF(未审附注之负债及权益!E319="",0,未审附注之负债及权益!E319)</f>
        <v>0</v>
      </c>
      <c r="F319" s="2085">
        <f>IF(未审附注之负债及权益!F319="",0,未审附注之负债及权益!F319)</f>
        <v>0</v>
      </c>
      <c r="G319" s="2085">
        <f>IF(未审附注之负债及权益!G319="",0,未审附注之负债及权益!G319)</f>
        <v>0</v>
      </c>
      <c r="H319" s="2085">
        <f>IF(未审附注之负债及权益!H319="",0,未审附注之负债及权益!H319)</f>
        <v>0</v>
      </c>
      <c r="I319" s="2086" t="s">
        <v>1154</v>
      </c>
    </row>
    <row r="320" spans="1:9">
      <c r="A320" s="2092">
        <f>IF(未审附注之负债及权益!A320="",0,未审附注之负债及权益!A320)</f>
        <v>0</v>
      </c>
      <c r="B320" s="2092">
        <f>IF(未审附注之负债及权益!B320="",0,未审附注之负债及权益!B320)</f>
        <v>0</v>
      </c>
      <c r="C320" s="2092">
        <f>IF(未审附注之负债及权益!C320="",0,未审附注之负债及权益!C320)</f>
        <v>0</v>
      </c>
      <c r="D320" s="2113">
        <f>IF(未审附注之负债及权益!D320="",0,未审附注之负债及权益!D320)</f>
        <v>0</v>
      </c>
      <c r="E320" s="2085">
        <f>IF(未审附注之负债及权益!E320="",0,未审附注之负债及权益!E320)</f>
        <v>0</v>
      </c>
      <c r="F320" s="2085">
        <f>IF(未审附注之负债及权益!F320="",0,未审附注之负债及权益!F320)</f>
        <v>0</v>
      </c>
      <c r="G320" s="2085">
        <f>IF(未审附注之负债及权益!G320="",0,未审附注之负债及权益!G320)</f>
        <v>0</v>
      </c>
      <c r="H320" s="2085">
        <f>IF(未审附注之负债及权益!H320="",0,未审附注之负债及权益!H320)</f>
        <v>0</v>
      </c>
      <c r="I320" s="2086" t="s">
        <v>1154</v>
      </c>
    </row>
    <row r="321" spans="1:9">
      <c r="A321" s="2092">
        <f>IF(未审附注之负债及权益!A321="",0,未审附注之负债及权益!A321)</f>
        <v>0</v>
      </c>
      <c r="B321" s="2092">
        <f>IF(未审附注之负债及权益!B321="",0,未审附注之负债及权益!B321)</f>
        <v>0</v>
      </c>
      <c r="C321" s="2092">
        <f>IF(未审附注之负债及权益!C321="",0,未审附注之负债及权益!C321)</f>
        <v>0</v>
      </c>
      <c r="D321" s="2113">
        <f>IF(未审附注之负债及权益!D321="",0,未审附注之负债及权益!D321)</f>
        <v>0</v>
      </c>
      <c r="E321" s="2085">
        <f>IF(未审附注之负债及权益!E321="",0,未审附注之负债及权益!E321)</f>
        <v>0</v>
      </c>
      <c r="F321" s="2085">
        <f>IF(未审附注之负债及权益!F321="",0,未审附注之负债及权益!F321)</f>
        <v>0</v>
      </c>
      <c r="G321" s="2085">
        <f>IF(未审附注之负债及权益!G321="",0,未审附注之负债及权益!G321)</f>
        <v>0</v>
      </c>
      <c r="H321" s="2085">
        <f>IF(未审附注之负债及权益!H321="",0,未审附注之负债及权益!H321)</f>
        <v>0</v>
      </c>
      <c r="I321" s="2086" t="s">
        <v>1154</v>
      </c>
    </row>
    <row r="322" spans="1:9">
      <c r="A322" s="2092">
        <f>IF(未审附注之负债及权益!A322="",0,未审附注之负债及权益!A322)</f>
        <v>0</v>
      </c>
      <c r="B322" s="2092">
        <f>IF(未审附注之负债及权益!B322="",0,未审附注之负债及权益!B322)</f>
        <v>0</v>
      </c>
      <c r="C322" s="2092">
        <f>IF(未审附注之负债及权益!C322="",0,未审附注之负债及权益!C322)</f>
        <v>0</v>
      </c>
      <c r="D322" s="2113">
        <f>IF(未审附注之负债及权益!D322="",0,未审附注之负债及权益!D322)</f>
        <v>0</v>
      </c>
      <c r="E322" s="2085">
        <f>IF(未审附注之负债及权益!E322="",0,未审附注之负债及权益!E322)</f>
        <v>0</v>
      </c>
      <c r="F322" s="2085">
        <f>IF(未审附注之负债及权益!F322="",0,未审附注之负债及权益!F322)</f>
        <v>0</v>
      </c>
      <c r="G322" s="2085">
        <f>IF(未审附注之负债及权益!G322="",0,未审附注之负债及权益!G322)</f>
        <v>0</v>
      </c>
      <c r="H322" s="2085">
        <f>IF(未审附注之负债及权益!H322="",0,未审附注之负债及权益!H322)</f>
        <v>0</v>
      </c>
      <c r="I322" s="2086" t="s">
        <v>1154</v>
      </c>
    </row>
    <row r="323" spans="1:9">
      <c r="A323" s="2092">
        <f>IF(未审附注之负债及权益!A323="",0,未审附注之负债及权益!A323)</f>
        <v>0</v>
      </c>
      <c r="B323" s="2092">
        <f>IF(未审附注之负债及权益!B323="",0,未审附注之负债及权益!B323)</f>
        <v>0</v>
      </c>
      <c r="C323" s="2092">
        <f>IF(未审附注之负债及权益!C323="",0,未审附注之负债及权益!C323)</f>
        <v>0</v>
      </c>
      <c r="D323" s="2113">
        <f>IF(未审附注之负债及权益!D323="",0,未审附注之负债及权益!D323)</f>
        <v>0</v>
      </c>
      <c r="E323" s="2085">
        <f>IF(未审附注之负债及权益!E323="",0,未审附注之负债及权益!E323)</f>
        <v>0</v>
      </c>
      <c r="F323" s="2085">
        <f>IF(未审附注之负债及权益!F323="",0,未审附注之负债及权益!F323)</f>
        <v>0</v>
      </c>
      <c r="G323" s="2085">
        <f>IF(未审附注之负债及权益!G323="",0,未审附注之负债及权益!G323)</f>
        <v>0</v>
      </c>
      <c r="H323" s="2085">
        <f>IF(未审附注之负债及权益!H323="",0,未审附注之负债及权益!H323)</f>
        <v>0</v>
      </c>
      <c r="I323" s="2086" t="s">
        <v>1154</v>
      </c>
    </row>
    <row r="324" spans="1:9">
      <c r="A324" s="2092">
        <f>IF(未审附注之负债及权益!A324="",0,未审附注之负债及权益!A324)</f>
        <v>0</v>
      </c>
      <c r="B324" s="2092">
        <f>IF(未审附注之负债及权益!B324="",0,未审附注之负债及权益!B324)</f>
        <v>0</v>
      </c>
      <c r="C324" s="2092">
        <f>IF(未审附注之负债及权益!C324="",0,未审附注之负债及权益!C324)</f>
        <v>0</v>
      </c>
      <c r="D324" s="2113">
        <f>IF(未审附注之负债及权益!D324="",0,未审附注之负债及权益!D324)</f>
        <v>0</v>
      </c>
      <c r="E324" s="2085">
        <f>IF(未审附注之负债及权益!E324="",0,未审附注之负债及权益!E324)</f>
        <v>0</v>
      </c>
      <c r="F324" s="2085">
        <f>IF(未审附注之负债及权益!F324="",0,未审附注之负债及权益!F324)</f>
        <v>0</v>
      </c>
      <c r="G324" s="2085">
        <f>IF(未审附注之负债及权益!G324="",0,未审附注之负债及权益!G324)</f>
        <v>0</v>
      </c>
      <c r="H324" s="2085">
        <f>IF(未审附注之负债及权益!H324="",0,未审附注之负债及权益!H324)</f>
        <v>0</v>
      </c>
      <c r="I324" s="2086" t="s">
        <v>1154</v>
      </c>
    </row>
    <row r="325" spans="1:9">
      <c r="A325" s="2082" t="s">
        <v>384</v>
      </c>
      <c r="B325" s="2098"/>
      <c r="C325" s="2098"/>
      <c r="D325" s="2098"/>
      <c r="E325" s="2048">
        <f>ROUND(SUM(E315:E324),2)</f>
        <v>0</v>
      </c>
      <c r="F325" s="2048">
        <f>ROUND(SUM(F315:F324),2)</f>
        <v>0</v>
      </c>
      <c r="G325" s="2048">
        <f>ROUND(SUM(G315:G324),2)</f>
        <v>0</v>
      </c>
      <c r="H325" s="2048">
        <f>ROUND(SUM(H315:H324),2)</f>
        <v>0</v>
      </c>
      <c r="I325" s="2086" t="s">
        <v>1155</v>
      </c>
    </row>
    <row r="326" spans="1:8">
      <c r="A326" s="2094"/>
      <c r="B326" s="2095"/>
      <c r="C326" s="2095"/>
      <c r="D326" s="2095"/>
      <c r="E326" s="2095"/>
      <c r="F326" s="2095"/>
      <c r="G326" s="2080"/>
      <c r="H326" s="2080"/>
    </row>
    <row r="327" spans="1:8">
      <c r="A327" s="2081" t="s">
        <v>1156</v>
      </c>
      <c r="B327" s="2080"/>
      <c r="C327" s="2080"/>
      <c r="D327" s="2080"/>
      <c r="E327" s="2080"/>
      <c r="F327" s="2080"/>
      <c r="G327" s="2080"/>
      <c r="H327" s="2080"/>
    </row>
    <row r="328" spans="1:8">
      <c r="A328" s="2082" t="s">
        <v>372</v>
      </c>
      <c r="B328" s="2084" t="s">
        <v>626</v>
      </c>
      <c r="C328" s="2084" t="s">
        <v>627</v>
      </c>
      <c r="D328" s="2108" t="s">
        <v>1149</v>
      </c>
      <c r="E328" s="2080"/>
      <c r="F328" s="2080"/>
      <c r="G328" s="2080"/>
      <c r="H328" s="2080"/>
    </row>
    <row r="329" spans="1:9">
      <c r="A329" s="2092">
        <f>IF(未审附注之负债及权益!A329="",0,未审附注之负债及权益!A329)</f>
        <v>0</v>
      </c>
      <c r="B329" s="2085">
        <f>IF(未审附注之负债及权益!B329="",0,未审附注之负债及权益!B329)</f>
        <v>0</v>
      </c>
      <c r="C329" s="2085">
        <f>IF(未审附注之负债及权益!C329="",0,未审附注之负债及权益!C329)</f>
        <v>0</v>
      </c>
      <c r="D329" s="2092">
        <f>IF(未审附注之负债及权益!D329="",0,未审附注之负债及权益!D329)</f>
        <v>0</v>
      </c>
      <c r="E329" s="2080"/>
      <c r="F329" s="2080"/>
      <c r="G329" s="2080"/>
      <c r="H329" s="2080"/>
      <c r="I329" s="2086" t="s">
        <v>1157</v>
      </c>
    </row>
    <row r="330" spans="1:9">
      <c r="A330" s="2092">
        <f>IF(未审附注之负债及权益!A330="",0,未审附注之负债及权益!A330)</f>
        <v>0</v>
      </c>
      <c r="B330" s="2085">
        <f>IF(未审附注之负债及权益!B330="",0,未审附注之负债及权益!B330)</f>
        <v>0</v>
      </c>
      <c r="C330" s="2085">
        <f>IF(未审附注之负债及权益!C330="",0,未审附注之负债及权益!C330)</f>
        <v>0</v>
      </c>
      <c r="D330" s="2092">
        <f>IF(未审附注之负债及权益!D330="",0,未审附注之负债及权益!D330)</f>
        <v>0</v>
      </c>
      <c r="E330" s="2080"/>
      <c r="F330" s="2080"/>
      <c r="G330" s="2080"/>
      <c r="H330" s="2080"/>
      <c r="I330" s="2086" t="s">
        <v>1157</v>
      </c>
    </row>
    <row r="331" spans="1:9">
      <c r="A331" s="2092">
        <f>IF(未审附注之负债及权益!A331="",0,未审附注之负债及权益!A331)</f>
        <v>0</v>
      </c>
      <c r="B331" s="2085">
        <f>IF(未审附注之负债及权益!B331="",0,未审附注之负债及权益!B331)</f>
        <v>0</v>
      </c>
      <c r="C331" s="2085">
        <f>IF(未审附注之负债及权益!C331="",0,未审附注之负债及权益!C331)</f>
        <v>0</v>
      </c>
      <c r="D331" s="2092">
        <f>IF(未审附注之负债及权益!D331="",0,未审附注之负债及权益!D331)</f>
        <v>0</v>
      </c>
      <c r="E331" s="2080"/>
      <c r="F331" s="2080"/>
      <c r="G331" s="2080"/>
      <c r="H331" s="2080"/>
      <c r="I331" s="2086" t="s">
        <v>1157</v>
      </c>
    </row>
    <row r="332" spans="1:9">
      <c r="A332" s="2092">
        <f>IF(未审附注之负债及权益!A332="",0,未审附注之负债及权益!A332)</f>
        <v>0</v>
      </c>
      <c r="B332" s="2085">
        <f>IF(未审附注之负债及权益!B332="",0,未审附注之负债及权益!B332)</f>
        <v>0</v>
      </c>
      <c r="C332" s="2085">
        <f>IF(未审附注之负债及权益!C332="",0,未审附注之负债及权益!C332)</f>
        <v>0</v>
      </c>
      <c r="D332" s="2092">
        <f>IF(未审附注之负债及权益!D332="",0,未审附注之负债及权益!D332)</f>
        <v>0</v>
      </c>
      <c r="E332" s="2080"/>
      <c r="F332" s="2080"/>
      <c r="G332" s="2080"/>
      <c r="H332" s="2080"/>
      <c r="I332" s="2086" t="s">
        <v>1157</v>
      </c>
    </row>
    <row r="333" spans="1:9">
      <c r="A333" s="2092">
        <f>IF(未审附注之负债及权益!A333="",0,未审附注之负债及权益!A333)</f>
        <v>0</v>
      </c>
      <c r="B333" s="2085">
        <f>IF(未审附注之负债及权益!B333="",0,未审附注之负债及权益!B333)</f>
        <v>0</v>
      </c>
      <c r="C333" s="2085">
        <f>IF(未审附注之负债及权益!C333="",0,未审附注之负债及权益!C333)</f>
        <v>0</v>
      </c>
      <c r="D333" s="2092">
        <f>IF(未审附注之负债及权益!D333="",0,未审附注之负债及权益!D333)</f>
        <v>0</v>
      </c>
      <c r="E333" s="2080"/>
      <c r="F333" s="2080"/>
      <c r="G333" s="2080"/>
      <c r="H333" s="2080"/>
      <c r="I333" s="2086" t="s">
        <v>1157</v>
      </c>
    </row>
    <row r="334" spans="1:9">
      <c r="A334" s="2092">
        <f>IF(未审附注之负债及权益!A334="",0,未审附注之负债及权益!A334)</f>
        <v>0</v>
      </c>
      <c r="B334" s="2085">
        <f>IF(未审附注之负债及权益!B334="",0,未审附注之负债及权益!B334)</f>
        <v>0</v>
      </c>
      <c r="C334" s="2085">
        <f>IF(未审附注之负债及权益!C334="",0,未审附注之负债及权益!C334)</f>
        <v>0</v>
      </c>
      <c r="D334" s="2092">
        <f>IF(未审附注之负债及权益!D334="",0,未审附注之负债及权益!D334)</f>
        <v>0</v>
      </c>
      <c r="E334" s="2080"/>
      <c r="F334" s="2080"/>
      <c r="G334" s="2080"/>
      <c r="H334" s="2080"/>
      <c r="I334" s="2086" t="s">
        <v>1157</v>
      </c>
    </row>
    <row r="335" spans="1:9">
      <c r="A335" s="2092">
        <f>IF(未审附注之负债及权益!A335="",0,未审附注之负债及权益!A335)</f>
        <v>0</v>
      </c>
      <c r="B335" s="2085">
        <f>IF(未审附注之负债及权益!B335="",0,未审附注之负债及权益!B335)</f>
        <v>0</v>
      </c>
      <c r="C335" s="2085">
        <f>IF(未审附注之负债及权益!C335="",0,未审附注之负债及权益!C335)</f>
        <v>0</v>
      </c>
      <c r="D335" s="2092">
        <f>IF(未审附注之负债及权益!D335="",0,未审附注之负债及权益!D335)</f>
        <v>0</v>
      </c>
      <c r="E335" s="2080"/>
      <c r="F335" s="2080"/>
      <c r="G335" s="2080"/>
      <c r="H335" s="2080"/>
      <c r="I335" s="2086" t="s">
        <v>1157</v>
      </c>
    </row>
    <row r="336" spans="1:9">
      <c r="A336" s="2092">
        <f>IF(未审附注之负债及权益!A336="",0,未审附注之负债及权益!A336)</f>
        <v>0</v>
      </c>
      <c r="B336" s="2085">
        <f>IF(未审附注之负债及权益!B336="",0,未审附注之负债及权益!B336)</f>
        <v>0</v>
      </c>
      <c r="C336" s="2085">
        <f>IF(未审附注之负债及权益!C336="",0,未审附注之负债及权益!C336)</f>
        <v>0</v>
      </c>
      <c r="D336" s="2092">
        <f>IF(未审附注之负债及权益!D336="",0,未审附注之负债及权益!D336)</f>
        <v>0</v>
      </c>
      <c r="E336" s="2080"/>
      <c r="F336" s="2080"/>
      <c r="G336" s="2080"/>
      <c r="H336" s="2080"/>
      <c r="I336" s="2086" t="s">
        <v>1157</v>
      </c>
    </row>
    <row r="337" spans="1:9">
      <c r="A337" s="2092">
        <f>IF(未审附注之负债及权益!A337="",0,未审附注之负债及权益!A337)</f>
        <v>0</v>
      </c>
      <c r="B337" s="2085">
        <f>IF(未审附注之负债及权益!B337="",0,未审附注之负债及权益!B337)</f>
        <v>0</v>
      </c>
      <c r="C337" s="2085">
        <f>IF(未审附注之负债及权益!C337="",0,未审附注之负债及权益!C337)</f>
        <v>0</v>
      </c>
      <c r="D337" s="2092">
        <f>IF(未审附注之负债及权益!D337="",0,未审附注之负债及权益!D337)</f>
        <v>0</v>
      </c>
      <c r="E337" s="2080"/>
      <c r="F337" s="2080"/>
      <c r="G337" s="2080"/>
      <c r="H337" s="2080"/>
      <c r="I337" s="2086" t="s">
        <v>1157</v>
      </c>
    </row>
    <row r="338" spans="1:9">
      <c r="A338" s="2092">
        <f>IF(未审附注之负债及权益!A338="",0,未审附注之负债及权益!A338)</f>
        <v>0</v>
      </c>
      <c r="B338" s="2085">
        <f>IF(未审附注之负债及权益!B338="",0,未审附注之负债及权益!B338)</f>
        <v>0</v>
      </c>
      <c r="C338" s="2085">
        <f>IF(未审附注之负债及权益!C338="",0,未审附注之负债及权益!C338)</f>
        <v>0</v>
      </c>
      <c r="D338" s="2092">
        <f>IF(未审附注之负债及权益!D338="",0,未审附注之负债及权益!D338)</f>
        <v>0</v>
      </c>
      <c r="E338" s="2080"/>
      <c r="F338" s="2080"/>
      <c r="G338" s="2080"/>
      <c r="H338" s="2080"/>
      <c r="I338" s="2086" t="s">
        <v>1157</v>
      </c>
    </row>
    <row r="339" spans="1:9">
      <c r="A339" s="2082" t="s">
        <v>384</v>
      </c>
      <c r="B339" s="2048">
        <f>ROUND(SUM(B329:B338),2)</f>
        <v>0</v>
      </c>
      <c r="C339" s="2048">
        <f>ROUND(SUM(C329:C338),2)</f>
        <v>0</v>
      </c>
      <c r="D339" s="2098"/>
      <c r="E339" s="2080"/>
      <c r="F339" s="2080"/>
      <c r="G339" s="2080"/>
      <c r="H339" s="2080"/>
      <c r="I339" s="2086" t="s">
        <v>1158</v>
      </c>
    </row>
    <row r="340" spans="1:9">
      <c r="A340" s="2099"/>
      <c r="B340" s="2100"/>
      <c r="C340" s="2100"/>
      <c r="D340" s="2095"/>
      <c r="E340" s="2080"/>
      <c r="F340" s="2080"/>
      <c r="G340" s="2080"/>
      <c r="H340" s="2080"/>
      <c r="I340" s="2086"/>
    </row>
    <row r="341" spans="1:8">
      <c r="A341" s="2103"/>
      <c r="B341" s="2080"/>
      <c r="C341" s="2080"/>
      <c r="D341" s="2080"/>
      <c r="E341" s="2080"/>
      <c r="F341" s="2080"/>
      <c r="G341" s="2080"/>
      <c r="H341" s="2080"/>
    </row>
    <row r="342" spans="1:8">
      <c r="A342" s="2079" t="s">
        <v>1159</v>
      </c>
      <c r="B342" s="2080"/>
      <c r="C342" s="2080"/>
      <c r="D342" s="2080"/>
      <c r="E342" s="2080"/>
      <c r="F342" s="2080"/>
      <c r="G342" s="2080"/>
      <c r="H342" s="2080"/>
    </row>
    <row r="343" spans="1:8">
      <c r="A343" s="2082" t="s">
        <v>372</v>
      </c>
      <c r="B343" s="2082" t="s">
        <v>315</v>
      </c>
      <c r="C343" s="2082" t="s">
        <v>316</v>
      </c>
      <c r="D343" s="2080"/>
      <c r="E343" s="2080"/>
      <c r="F343" s="2080"/>
      <c r="G343" s="2080"/>
      <c r="H343" s="2080"/>
    </row>
    <row r="344" spans="1:9">
      <c r="A344" s="2092">
        <f>IF(未审附注之负债及权益!A344="",0,未审附注之负债及权益!A344)</f>
        <v>0</v>
      </c>
      <c r="B344" s="2085">
        <f>IF(未审附注之负债及权益!B344="",0,未审附注之负债及权益!B344)</f>
        <v>0</v>
      </c>
      <c r="C344" s="2085">
        <f>IF(未审附注之负债及权益!C344="",0,未审附注之负债及权益!C344)</f>
        <v>0</v>
      </c>
      <c r="D344" s="2080"/>
      <c r="E344" s="2080"/>
      <c r="F344" s="2080"/>
      <c r="G344" s="2080"/>
      <c r="H344" s="2080"/>
      <c r="I344" s="2086" t="s">
        <v>218</v>
      </c>
    </row>
    <row r="345" spans="1:9">
      <c r="A345" s="2092">
        <f>IF(未审附注之负债及权益!A345="",0,未审附注之负债及权益!A345)</f>
        <v>0</v>
      </c>
      <c r="B345" s="2085">
        <f>IF(未审附注之负债及权益!B345="",0,未审附注之负债及权益!B345)</f>
        <v>0</v>
      </c>
      <c r="C345" s="2085">
        <f>IF(未审附注之负债及权益!C345="",0,未审附注之负债及权益!C345)</f>
        <v>0</v>
      </c>
      <c r="D345" s="2080"/>
      <c r="E345" s="2080"/>
      <c r="F345" s="2080"/>
      <c r="G345" s="2080"/>
      <c r="H345" s="2080"/>
      <c r="I345" s="2086" t="s">
        <v>218</v>
      </c>
    </row>
    <row r="346" spans="1:9">
      <c r="A346" s="2092">
        <f>IF(未审附注之负债及权益!A346="",0,未审附注之负债及权益!A346)</f>
        <v>0</v>
      </c>
      <c r="B346" s="2085">
        <f>IF(未审附注之负债及权益!B346="",0,未审附注之负债及权益!B346)</f>
        <v>0</v>
      </c>
      <c r="C346" s="2085">
        <f>IF(未审附注之负债及权益!C346="",0,未审附注之负债及权益!C346)</f>
        <v>0</v>
      </c>
      <c r="D346" s="2080"/>
      <c r="E346" s="2080"/>
      <c r="F346" s="2080"/>
      <c r="G346" s="2080"/>
      <c r="H346" s="2080"/>
      <c r="I346" s="2086" t="s">
        <v>218</v>
      </c>
    </row>
    <row r="347" spans="1:9">
      <c r="A347" s="2092">
        <f>IF(未审附注之负债及权益!A347="",0,未审附注之负债及权益!A347)</f>
        <v>0</v>
      </c>
      <c r="B347" s="2085">
        <f>IF(未审附注之负债及权益!B347="",0,未审附注之负债及权益!B347)</f>
        <v>0</v>
      </c>
      <c r="C347" s="2085">
        <f>IF(未审附注之负债及权益!C347="",0,未审附注之负债及权益!C347)</f>
        <v>0</v>
      </c>
      <c r="D347" s="2080"/>
      <c r="E347" s="2080"/>
      <c r="F347" s="2080"/>
      <c r="G347" s="2080"/>
      <c r="H347" s="2080"/>
      <c r="I347" s="2086" t="s">
        <v>218</v>
      </c>
    </row>
    <row r="348" spans="1:9">
      <c r="A348" s="2092">
        <f>IF(未审附注之负债及权益!A348="",0,未审附注之负债及权益!A348)</f>
        <v>0</v>
      </c>
      <c r="B348" s="2085">
        <f>IF(未审附注之负债及权益!B348="",0,未审附注之负债及权益!B348)</f>
        <v>0</v>
      </c>
      <c r="C348" s="2085">
        <f>IF(未审附注之负债及权益!C348="",0,未审附注之负债及权益!C348)</f>
        <v>0</v>
      </c>
      <c r="D348" s="2080"/>
      <c r="E348" s="2080"/>
      <c r="F348" s="2080"/>
      <c r="G348" s="2080"/>
      <c r="H348" s="2080"/>
      <c r="I348" s="2086" t="s">
        <v>218</v>
      </c>
    </row>
    <row r="349" spans="1:9">
      <c r="A349" s="2092">
        <f>IF(未审附注之负债及权益!A349="",0,未审附注之负债及权益!A349)</f>
        <v>0</v>
      </c>
      <c r="B349" s="2085">
        <f>IF(未审附注之负债及权益!B349="",0,未审附注之负债及权益!B349)</f>
        <v>0</v>
      </c>
      <c r="C349" s="2085">
        <f>IF(未审附注之负债及权益!C349="",0,未审附注之负债及权益!C349)</f>
        <v>0</v>
      </c>
      <c r="D349" s="2080"/>
      <c r="E349" s="2080"/>
      <c r="F349" s="2080"/>
      <c r="G349" s="2080"/>
      <c r="H349" s="2080"/>
      <c r="I349" s="2086" t="s">
        <v>218</v>
      </c>
    </row>
    <row r="350" spans="1:9">
      <c r="A350" s="2092">
        <f>IF(未审附注之负债及权益!A350="",0,未审附注之负债及权益!A350)</f>
        <v>0</v>
      </c>
      <c r="B350" s="2085">
        <f>IF(未审附注之负债及权益!B350="",0,未审附注之负债及权益!B350)</f>
        <v>0</v>
      </c>
      <c r="C350" s="2085">
        <f>IF(未审附注之负债及权益!C350="",0,未审附注之负债及权益!C350)</f>
        <v>0</v>
      </c>
      <c r="D350" s="2080"/>
      <c r="E350" s="2080"/>
      <c r="F350" s="2080"/>
      <c r="G350" s="2080"/>
      <c r="H350" s="2080"/>
      <c r="I350" s="2086" t="s">
        <v>218</v>
      </c>
    </row>
    <row r="351" spans="1:9">
      <c r="A351" s="2092">
        <f>IF(未审附注之负债及权益!A351="",0,未审附注之负债及权益!A351)</f>
        <v>0</v>
      </c>
      <c r="B351" s="2085">
        <f>IF(未审附注之负债及权益!B351="",0,未审附注之负债及权益!B351)</f>
        <v>0</v>
      </c>
      <c r="C351" s="2085">
        <f>IF(未审附注之负债及权益!C351="",0,未审附注之负债及权益!C351)</f>
        <v>0</v>
      </c>
      <c r="D351" s="2080"/>
      <c r="E351" s="2080"/>
      <c r="F351" s="2080"/>
      <c r="G351" s="2080"/>
      <c r="H351" s="2080"/>
      <c r="I351" s="2086" t="s">
        <v>218</v>
      </c>
    </row>
    <row r="352" spans="1:9">
      <c r="A352" s="2092">
        <f>IF(未审附注之负债及权益!A352="",0,未审附注之负债及权益!A352)</f>
        <v>0</v>
      </c>
      <c r="B352" s="2085">
        <f>IF(未审附注之负债及权益!B352="",0,未审附注之负债及权益!B352)</f>
        <v>0</v>
      </c>
      <c r="C352" s="2085">
        <f>IF(未审附注之负债及权益!C352="",0,未审附注之负债及权益!C352)</f>
        <v>0</v>
      </c>
      <c r="D352" s="2080"/>
      <c r="E352" s="2080"/>
      <c r="F352" s="2080"/>
      <c r="G352" s="2080"/>
      <c r="H352" s="2080"/>
      <c r="I352" s="2086" t="s">
        <v>218</v>
      </c>
    </row>
    <row r="353" spans="1:9">
      <c r="A353" s="2092">
        <f>IF(未审附注之负债及权益!A353="",0,未审附注之负债及权益!A353)</f>
        <v>0</v>
      </c>
      <c r="B353" s="2085">
        <f>IF(未审附注之负债及权益!B353="",0,未审附注之负债及权益!B353)</f>
        <v>0</v>
      </c>
      <c r="C353" s="2085">
        <f>IF(未审附注之负债及权益!C353="",0,未审附注之负债及权益!C353)</f>
        <v>0</v>
      </c>
      <c r="D353" s="2080"/>
      <c r="E353" s="2080"/>
      <c r="F353" s="2080"/>
      <c r="G353" s="2080"/>
      <c r="H353" s="2080"/>
      <c r="I353" s="2086" t="s">
        <v>218</v>
      </c>
    </row>
    <row r="354" spans="1:9">
      <c r="A354" s="2082" t="s">
        <v>384</v>
      </c>
      <c r="B354" s="2048">
        <f>ROUND(SUM(B344:B353),2)</f>
        <v>0</v>
      </c>
      <c r="C354" s="2048">
        <f>ROUND(SUM(C344:C353),2)</f>
        <v>0</v>
      </c>
      <c r="D354" s="2080"/>
      <c r="E354" s="2080"/>
      <c r="F354" s="2080"/>
      <c r="G354" s="2080"/>
      <c r="H354" s="2080"/>
      <c r="I354" s="2086" t="s">
        <v>1160</v>
      </c>
    </row>
    <row r="355" spans="1:8">
      <c r="A355" s="2103"/>
      <c r="B355" s="2080"/>
      <c r="C355" s="2080"/>
      <c r="D355" s="2080"/>
      <c r="E355" s="2080"/>
      <c r="F355" s="2080"/>
      <c r="G355" s="2080"/>
      <c r="H355" s="2080"/>
    </row>
    <row r="356" spans="1:8">
      <c r="A356" s="2103"/>
      <c r="B356" s="2080"/>
      <c r="C356" s="2080"/>
      <c r="D356" s="2080"/>
      <c r="E356" s="2080"/>
      <c r="F356" s="2080"/>
      <c r="G356" s="2080"/>
      <c r="H356" s="2080"/>
    </row>
    <row r="357" spans="1:8">
      <c r="A357" s="2079" t="s">
        <v>1161</v>
      </c>
      <c r="B357" s="2080"/>
      <c r="C357" s="2080"/>
      <c r="D357" s="2080"/>
      <c r="E357" s="2080"/>
      <c r="F357" s="2080"/>
      <c r="G357" s="2080"/>
      <c r="H357" s="2080"/>
    </row>
    <row r="358" spans="1:8">
      <c r="A358" s="2081" t="s">
        <v>313</v>
      </c>
      <c r="B358" s="2080"/>
      <c r="C358" s="2080"/>
      <c r="D358" s="2080"/>
      <c r="E358" s="2080"/>
      <c r="F358" s="2080"/>
      <c r="G358" s="2080"/>
      <c r="H358" s="2080"/>
    </row>
    <row r="359" spans="1:8">
      <c r="A359" s="2082" t="s">
        <v>372</v>
      </c>
      <c r="B359" s="2082" t="s">
        <v>315</v>
      </c>
      <c r="C359" s="2082" t="s">
        <v>316</v>
      </c>
      <c r="D359" s="2080"/>
      <c r="E359" s="2080"/>
      <c r="F359" s="2080"/>
      <c r="G359" s="2080"/>
      <c r="H359" s="2080"/>
    </row>
    <row r="360" spans="1:9">
      <c r="A360" s="2084" t="s">
        <v>982</v>
      </c>
      <c r="B360" s="2085">
        <f>IF(未审附注之负债及权益!B360="",0,未审附注之负债及权益!B360)</f>
        <v>0</v>
      </c>
      <c r="C360" s="2085">
        <f>IF(未审附注之负债及权益!C360="",0,未审附注之负债及权益!C360)</f>
        <v>0</v>
      </c>
      <c r="D360" s="2080"/>
      <c r="E360" s="2080"/>
      <c r="F360" s="2080"/>
      <c r="G360" s="2080"/>
      <c r="H360" s="2080"/>
      <c r="I360" s="2086" t="s">
        <v>1162</v>
      </c>
    </row>
    <row r="361" spans="1:9">
      <c r="A361" s="2084" t="s">
        <v>984</v>
      </c>
      <c r="B361" s="2085">
        <f>IF(未审附注之负债及权益!B361="",0,未审附注之负债及权益!B361)</f>
        <v>0</v>
      </c>
      <c r="C361" s="2085">
        <f>IF(未审附注之负债及权益!C361="",0,未审附注之负债及权益!C361)</f>
        <v>0</v>
      </c>
      <c r="D361" s="2080"/>
      <c r="E361" s="2080"/>
      <c r="F361" s="2080"/>
      <c r="G361" s="2080"/>
      <c r="H361" s="2080"/>
      <c r="I361" s="2086" t="s">
        <v>1163</v>
      </c>
    </row>
    <row r="362" spans="1:9">
      <c r="A362" s="2084" t="s">
        <v>986</v>
      </c>
      <c r="B362" s="2085">
        <f>IF(未审附注之负债及权益!B362="",0,未审附注之负债及权益!B362)</f>
        <v>0</v>
      </c>
      <c r="C362" s="2085">
        <f>IF(未审附注之负债及权益!C362="",0,未审附注之负债及权益!C362)</f>
        <v>0</v>
      </c>
      <c r="D362" s="2080"/>
      <c r="E362" s="2080"/>
      <c r="F362" s="2080"/>
      <c r="G362" s="2080"/>
      <c r="H362" s="2080"/>
      <c r="I362" s="2086" t="s">
        <v>1164</v>
      </c>
    </row>
    <row r="363" spans="1:9">
      <c r="A363" s="2084" t="s">
        <v>988</v>
      </c>
      <c r="B363" s="2085">
        <f>IF(未审附注之负债及权益!B363="",0,未审附注之负债及权益!B363)</f>
        <v>0</v>
      </c>
      <c r="C363" s="2085">
        <f>IF(未审附注之负债及权益!C363="",0,未审附注之负债及权益!C363)</f>
        <v>0</v>
      </c>
      <c r="D363" s="2080"/>
      <c r="E363" s="2080"/>
      <c r="F363" s="2080"/>
      <c r="G363" s="2080"/>
      <c r="H363" s="2080"/>
      <c r="I363" s="2086" t="s">
        <v>1165</v>
      </c>
    </row>
    <row r="364" spans="1:9">
      <c r="A364" s="2082" t="s">
        <v>384</v>
      </c>
      <c r="B364" s="2048">
        <f>ROUND(SUM(B360:B363),2)</f>
        <v>0</v>
      </c>
      <c r="C364" s="2048">
        <f>ROUND(SUM(C360:C363),2)</f>
        <v>0</v>
      </c>
      <c r="D364" s="2080"/>
      <c r="E364" s="2080"/>
      <c r="F364" s="2080"/>
      <c r="G364" s="2080"/>
      <c r="H364" s="2080"/>
      <c r="I364" s="2086" t="s">
        <v>1166</v>
      </c>
    </row>
    <row r="365" spans="1:8">
      <c r="A365" s="2080"/>
      <c r="B365" s="2080"/>
      <c r="C365" s="2080"/>
      <c r="D365" s="2080"/>
      <c r="E365" s="2080"/>
      <c r="F365" s="2080"/>
      <c r="G365" s="2080"/>
      <c r="H365" s="2080"/>
    </row>
    <row r="366" spans="1:8">
      <c r="A366" s="2088" t="s">
        <v>1167</v>
      </c>
      <c r="B366" s="2080"/>
      <c r="C366" s="2080"/>
      <c r="D366" s="2080"/>
      <c r="E366" s="2080"/>
      <c r="F366" s="2080"/>
      <c r="G366" s="2080"/>
      <c r="H366" s="2080"/>
    </row>
    <row r="367" spans="1:8">
      <c r="A367" s="2108" t="s">
        <v>992</v>
      </c>
      <c r="B367" s="2108" t="s">
        <v>993</v>
      </c>
      <c r="C367" s="2108" t="s">
        <v>994</v>
      </c>
      <c r="D367" s="2108" t="s">
        <v>995</v>
      </c>
      <c r="E367" s="2108" t="s">
        <v>1168</v>
      </c>
      <c r="F367" s="2108" t="s">
        <v>1169</v>
      </c>
      <c r="G367" s="2080"/>
      <c r="H367" s="2080"/>
    </row>
    <row r="368" spans="1:9">
      <c r="A368" s="2092">
        <f>IF(未审附注之负债及权益!A368="",0,未审附注之负债及权益!A368)</f>
        <v>0</v>
      </c>
      <c r="B368" s="2085">
        <f>IF(未审附注之负债及权益!B368="",0,未审附注之负债及权益!B368)</f>
        <v>0</v>
      </c>
      <c r="C368" s="2111">
        <f>IF(未审附注之负债及权益!C368="",0,未审附注之负债及权益!C368)</f>
        <v>0</v>
      </c>
      <c r="D368" s="2092">
        <f>IF(未审附注之负债及权益!D368="",0,未审附注之负债及权益!D368)</f>
        <v>0</v>
      </c>
      <c r="E368" s="2113">
        <f>IF(未审附注之负债及权益!E368="",0,未审附注之负债及权益!E368)</f>
        <v>0</v>
      </c>
      <c r="F368" s="2113">
        <f>IF(未审附注之负债及权益!F368="",0,未审附注之负债及权益!F368)</f>
        <v>0</v>
      </c>
      <c r="G368" s="2080"/>
      <c r="H368" s="2080"/>
      <c r="I368" s="2086" t="s">
        <v>1170</v>
      </c>
    </row>
    <row r="369" spans="1:9">
      <c r="A369" s="2092">
        <f>IF(未审附注之负债及权益!A369="",0,未审附注之负债及权益!A369)</f>
        <v>0</v>
      </c>
      <c r="B369" s="2085">
        <f>IF(未审附注之负债及权益!B369="",0,未审附注之负债及权益!B369)</f>
        <v>0</v>
      </c>
      <c r="C369" s="2111">
        <f>IF(未审附注之负债及权益!C369="",0,未审附注之负债及权益!C369)</f>
        <v>0</v>
      </c>
      <c r="D369" s="2092">
        <f>IF(未审附注之负债及权益!D369="",0,未审附注之负债及权益!D369)</f>
        <v>0</v>
      </c>
      <c r="E369" s="2113">
        <f>IF(未审附注之负债及权益!E369="",0,未审附注之负债及权益!E369)</f>
        <v>0</v>
      </c>
      <c r="F369" s="2113">
        <f>IF(未审附注之负债及权益!F369="",0,未审附注之负债及权益!F369)</f>
        <v>0</v>
      </c>
      <c r="G369" s="2080"/>
      <c r="H369" s="2080"/>
      <c r="I369" s="2086" t="s">
        <v>1170</v>
      </c>
    </row>
    <row r="370" spans="1:9">
      <c r="A370" s="2092">
        <f>IF(未审附注之负债及权益!A370="",0,未审附注之负债及权益!A370)</f>
        <v>0</v>
      </c>
      <c r="B370" s="2085">
        <f>IF(未审附注之负债及权益!B370="",0,未审附注之负债及权益!B370)</f>
        <v>0</v>
      </c>
      <c r="C370" s="2111">
        <f>IF(未审附注之负债及权益!C370="",0,未审附注之负债及权益!C370)</f>
        <v>0</v>
      </c>
      <c r="D370" s="2092">
        <f>IF(未审附注之负债及权益!D370="",0,未审附注之负债及权益!D370)</f>
        <v>0</v>
      </c>
      <c r="E370" s="2113">
        <f>IF(未审附注之负债及权益!E370="",0,未审附注之负债及权益!E370)</f>
        <v>0</v>
      </c>
      <c r="F370" s="2113">
        <f>IF(未审附注之负债及权益!F370="",0,未审附注之负债及权益!F370)</f>
        <v>0</v>
      </c>
      <c r="G370" s="2080"/>
      <c r="H370" s="2080"/>
      <c r="I370" s="2086" t="s">
        <v>1170</v>
      </c>
    </row>
    <row r="371" spans="1:9">
      <c r="A371" s="2092">
        <f>IF(未审附注之负债及权益!A371="",0,未审附注之负债及权益!A371)</f>
        <v>0</v>
      </c>
      <c r="B371" s="2085">
        <f>IF(未审附注之负债及权益!B371="",0,未审附注之负债及权益!B371)</f>
        <v>0</v>
      </c>
      <c r="C371" s="2111">
        <f>IF(未审附注之负债及权益!C371="",0,未审附注之负债及权益!C371)</f>
        <v>0</v>
      </c>
      <c r="D371" s="2092">
        <f>IF(未审附注之负债及权益!D371="",0,未审附注之负债及权益!D371)</f>
        <v>0</v>
      </c>
      <c r="E371" s="2113">
        <f>IF(未审附注之负债及权益!E371="",0,未审附注之负债及权益!E371)</f>
        <v>0</v>
      </c>
      <c r="F371" s="2113">
        <f>IF(未审附注之负债及权益!F371="",0,未审附注之负债及权益!F371)</f>
        <v>0</v>
      </c>
      <c r="G371" s="2080"/>
      <c r="H371" s="2080"/>
      <c r="I371" s="2086" t="s">
        <v>1170</v>
      </c>
    </row>
    <row r="372" spans="1:9">
      <c r="A372" s="2092">
        <f>IF(未审附注之负债及权益!A372="",0,未审附注之负债及权益!A372)</f>
        <v>0</v>
      </c>
      <c r="B372" s="2085">
        <f>IF(未审附注之负债及权益!B372="",0,未审附注之负债及权益!B372)</f>
        <v>0</v>
      </c>
      <c r="C372" s="2111">
        <f>IF(未审附注之负债及权益!C372="",0,未审附注之负债及权益!C372)</f>
        <v>0</v>
      </c>
      <c r="D372" s="2092">
        <f>IF(未审附注之负债及权益!D372="",0,未审附注之负债及权益!D372)</f>
        <v>0</v>
      </c>
      <c r="E372" s="2113">
        <f>IF(未审附注之负债及权益!E372="",0,未审附注之负债及权益!E372)</f>
        <v>0</v>
      </c>
      <c r="F372" s="2113">
        <f>IF(未审附注之负债及权益!F372="",0,未审附注之负债及权益!F372)</f>
        <v>0</v>
      </c>
      <c r="G372" s="2080"/>
      <c r="H372" s="2080"/>
      <c r="I372" s="2086" t="s">
        <v>1170</v>
      </c>
    </row>
    <row r="373" spans="1:9">
      <c r="A373" s="2092">
        <f>IF(未审附注之负债及权益!A373="",0,未审附注之负债及权益!A373)</f>
        <v>0</v>
      </c>
      <c r="B373" s="2085">
        <f>IF(未审附注之负债及权益!B373="",0,未审附注之负债及权益!B373)</f>
        <v>0</v>
      </c>
      <c r="C373" s="2111">
        <f>IF(未审附注之负债及权益!C373="",0,未审附注之负债及权益!C373)</f>
        <v>0</v>
      </c>
      <c r="D373" s="2092">
        <f>IF(未审附注之负债及权益!D373="",0,未审附注之负债及权益!D373)</f>
        <v>0</v>
      </c>
      <c r="E373" s="2113">
        <f>IF(未审附注之负债及权益!E373="",0,未审附注之负债及权益!E373)</f>
        <v>0</v>
      </c>
      <c r="F373" s="2113">
        <f>IF(未审附注之负债及权益!F373="",0,未审附注之负债及权益!F373)</f>
        <v>0</v>
      </c>
      <c r="G373" s="2080"/>
      <c r="H373" s="2080"/>
      <c r="I373" s="2086" t="s">
        <v>1170</v>
      </c>
    </row>
    <row r="374" spans="1:9">
      <c r="A374" s="2092">
        <f>IF(未审附注之负债及权益!A374="",0,未审附注之负债及权益!A374)</f>
        <v>0</v>
      </c>
      <c r="B374" s="2085">
        <f>IF(未审附注之负债及权益!B374="",0,未审附注之负债及权益!B374)</f>
        <v>0</v>
      </c>
      <c r="C374" s="2111">
        <f>IF(未审附注之负债及权益!C374="",0,未审附注之负债及权益!C374)</f>
        <v>0</v>
      </c>
      <c r="D374" s="2092">
        <f>IF(未审附注之负债及权益!D374="",0,未审附注之负债及权益!D374)</f>
        <v>0</v>
      </c>
      <c r="E374" s="2113">
        <f>IF(未审附注之负债及权益!E374="",0,未审附注之负债及权益!E374)</f>
        <v>0</v>
      </c>
      <c r="F374" s="2113">
        <f>IF(未审附注之负债及权益!F374="",0,未审附注之负债及权益!F374)</f>
        <v>0</v>
      </c>
      <c r="G374" s="2080"/>
      <c r="H374" s="2080"/>
      <c r="I374" s="2086" t="s">
        <v>1170</v>
      </c>
    </row>
    <row r="375" spans="1:9">
      <c r="A375" s="2092">
        <f>IF(未审附注之负债及权益!A375="",0,未审附注之负债及权益!A375)</f>
        <v>0</v>
      </c>
      <c r="B375" s="2085">
        <f>IF(未审附注之负债及权益!B375="",0,未审附注之负债及权益!B375)</f>
        <v>0</v>
      </c>
      <c r="C375" s="2111">
        <f>IF(未审附注之负债及权益!C375="",0,未审附注之负债及权益!C375)</f>
        <v>0</v>
      </c>
      <c r="D375" s="2092">
        <f>IF(未审附注之负债及权益!D375="",0,未审附注之负债及权益!D375)</f>
        <v>0</v>
      </c>
      <c r="E375" s="2113">
        <f>IF(未审附注之负债及权益!E375="",0,未审附注之负债及权益!E375)</f>
        <v>0</v>
      </c>
      <c r="F375" s="2113">
        <f>IF(未审附注之负债及权益!F375="",0,未审附注之负债及权益!F375)</f>
        <v>0</v>
      </c>
      <c r="G375" s="2080"/>
      <c r="H375" s="2080"/>
      <c r="I375" s="2086" t="s">
        <v>1170</v>
      </c>
    </row>
    <row r="376" spans="1:9">
      <c r="A376" s="2092">
        <f>IF(未审附注之负债及权益!A376="",0,未审附注之负债及权益!A376)</f>
        <v>0</v>
      </c>
      <c r="B376" s="2085">
        <f>IF(未审附注之负债及权益!B376="",0,未审附注之负债及权益!B376)</f>
        <v>0</v>
      </c>
      <c r="C376" s="2111">
        <f>IF(未审附注之负债及权益!C376="",0,未审附注之负债及权益!C376)</f>
        <v>0</v>
      </c>
      <c r="D376" s="2092">
        <f>IF(未审附注之负债及权益!D376="",0,未审附注之负债及权益!D376)</f>
        <v>0</v>
      </c>
      <c r="E376" s="2113">
        <f>IF(未审附注之负债及权益!E376="",0,未审附注之负债及权益!E376)</f>
        <v>0</v>
      </c>
      <c r="F376" s="2113">
        <f>IF(未审附注之负债及权益!F376="",0,未审附注之负债及权益!F376)</f>
        <v>0</v>
      </c>
      <c r="G376" s="2080"/>
      <c r="H376" s="2080"/>
      <c r="I376" s="2086" t="s">
        <v>1170</v>
      </c>
    </row>
    <row r="377" spans="1:9">
      <c r="A377" s="2092">
        <f>IF(未审附注之负债及权益!A377="",0,未审附注之负债及权益!A377)</f>
        <v>0</v>
      </c>
      <c r="B377" s="2085">
        <f>IF(未审附注之负债及权益!B377="",0,未审附注之负债及权益!B377)</f>
        <v>0</v>
      </c>
      <c r="C377" s="2111">
        <f>IF(未审附注之负债及权益!C377="",0,未审附注之负债及权益!C377)</f>
        <v>0</v>
      </c>
      <c r="D377" s="2092">
        <f>IF(未审附注之负债及权益!D377="",0,未审附注之负债及权益!D377)</f>
        <v>0</v>
      </c>
      <c r="E377" s="2113">
        <f>IF(未审附注之负债及权益!E377="",0,未审附注之负债及权益!E377)</f>
        <v>0</v>
      </c>
      <c r="F377" s="2113">
        <f>IF(未审附注之负债及权益!F377="",0,未审附注之负债及权益!F377)</f>
        <v>0</v>
      </c>
      <c r="G377" s="2080"/>
      <c r="H377" s="2080"/>
      <c r="I377" s="2086" t="s">
        <v>1170</v>
      </c>
    </row>
    <row r="378" spans="1:9">
      <c r="A378" s="2082" t="s">
        <v>384</v>
      </c>
      <c r="B378" s="2048">
        <f>ROUND(SUM(B368:B377),2)</f>
        <v>0</v>
      </c>
      <c r="C378" s="2098"/>
      <c r="D378" s="2098"/>
      <c r="E378" s="2098"/>
      <c r="F378" s="2098"/>
      <c r="G378" s="2080"/>
      <c r="H378" s="2080"/>
      <c r="I378" s="2086" t="s">
        <v>1171</v>
      </c>
    </row>
    <row r="379" spans="1:8">
      <c r="A379" s="2094"/>
      <c r="B379" s="2095"/>
      <c r="C379" s="2095"/>
      <c r="D379" s="2095"/>
      <c r="E379" s="2095"/>
      <c r="F379" s="2095"/>
      <c r="G379" s="2080"/>
      <c r="H379" s="2080"/>
    </row>
    <row r="380" spans="1:8">
      <c r="A380" s="2103"/>
      <c r="B380" s="2080"/>
      <c r="C380" s="2080"/>
      <c r="D380" s="2080"/>
      <c r="E380" s="2080"/>
      <c r="F380" s="2080"/>
      <c r="G380" s="2080"/>
      <c r="H380" s="2080"/>
    </row>
    <row r="381" spans="1:8">
      <c r="A381" s="2079" t="s">
        <v>1172</v>
      </c>
      <c r="B381" s="2080"/>
      <c r="C381" s="2080"/>
      <c r="D381" s="2080"/>
      <c r="E381" s="2080"/>
      <c r="F381" s="2080"/>
      <c r="G381" s="2080"/>
      <c r="H381" s="2080"/>
    </row>
    <row r="382" spans="1:8">
      <c r="A382" s="2082" t="s">
        <v>372</v>
      </c>
      <c r="B382" s="2108" t="s">
        <v>1148</v>
      </c>
      <c r="C382" s="2108" t="s">
        <v>1149</v>
      </c>
      <c r="D382" s="2108" t="s">
        <v>1150</v>
      </c>
      <c r="E382" s="2108" t="s">
        <v>1151</v>
      </c>
      <c r="F382" s="2108" t="s">
        <v>1152</v>
      </c>
      <c r="G382" s="2108" t="s">
        <v>1153</v>
      </c>
      <c r="H382" s="2108" t="s">
        <v>515</v>
      </c>
    </row>
    <row r="383" spans="1:9">
      <c r="A383" s="2092">
        <f>IF(未审附注之负债及权益!A383="",0,未审附注之负债及权益!A383)</f>
        <v>0</v>
      </c>
      <c r="B383" s="2092">
        <f>IF(未审附注之负债及权益!B383="",0,未审附注之负债及权益!B383)</f>
        <v>0</v>
      </c>
      <c r="C383" s="2092">
        <f>IF(未审附注之负债及权益!C383="",0,未审附注之负债及权益!C383)</f>
        <v>0</v>
      </c>
      <c r="D383" s="2113">
        <f>IF(未审附注之负债及权益!D383="",0,未审附注之负债及权益!D383)</f>
        <v>0</v>
      </c>
      <c r="E383" s="2085">
        <f>IF(未审附注之负债及权益!E383="",0,未审附注之负债及权益!E383)</f>
        <v>0</v>
      </c>
      <c r="F383" s="2085">
        <f>IF(未审附注之负债及权益!F383="",0,未审附注之负债及权益!F383)</f>
        <v>0</v>
      </c>
      <c r="G383" s="2085">
        <f>IF(未审附注之负债及权益!G383="",0,未审附注之负债及权益!G383)</f>
        <v>0</v>
      </c>
      <c r="H383" s="2085">
        <f>IF(未审附注之负债及权益!H383="",0,未审附注之负债及权益!H383)</f>
        <v>0</v>
      </c>
      <c r="I383" s="2086" t="s">
        <v>228</v>
      </c>
    </row>
    <row r="384" spans="1:9">
      <c r="A384" s="2092">
        <f>IF(未审附注之负债及权益!A384="",0,未审附注之负债及权益!A384)</f>
        <v>0</v>
      </c>
      <c r="B384" s="2092">
        <f>IF(未审附注之负债及权益!B384="",0,未审附注之负债及权益!B384)</f>
        <v>0</v>
      </c>
      <c r="C384" s="2092">
        <f>IF(未审附注之负债及权益!C384="",0,未审附注之负债及权益!C384)</f>
        <v>0</v>
      </c>
      <c r="D384" s="2113">
        <f>IF(未审附注之负债及权益!D384="",0,未审附注之负债及权益!D384)</f>
        <v>0</v>
      </c>
      <c r="E384" s="2085">
        <f>IF(未审附注之负债及权益!E384="",0,未审附注之负债及权益!E384)</f>
        <v>0</v>
      </c>
      <c r="F384" s="2085">
        <f>IF(未审附注之负债及权益!F384="",0,未审附注之负债及权益!F384)</f>
        <v>0</v>
      </c>
      <c r="G384" s="2085">
        <f>IF(未审附注之负债及权益!G384="",0,未审附注之负债及权益!G384)</f>
        <v>0</v>
      </c>
      <c r="H384" s="2085">
        <f>IF(未审附注之负债及权益!H384="",0,未审附注之负债及权益!H384)</f>
        <v>0</v>
      </c>
      <c r="I384" s="2086" t="s">
        <v>228</v>
      </c>
    </row>
    <row r="385" spans="1:9">
      <c r="A385" s="2092">
        <f>IF(未审附注之负债及权益!A385="",0,未审附注之负债及权益!A385)</f>
        <v>0</v>
      </c>
      <c r="B385" s="2092">
        <f>IF(未审附注之负债及权益!B385="",0,未审附注之负债及权益!B385)</f>
        <v>0</v>
      </c>
      <c r="C385" s="2092">
        <f>IF(未审附注之负债及权益!C385="",0,未审附注之负债及权益!C385)</f>
        <v>0</v>
      </c>
      <c r="D385" s="2113">
        <f>IF(未审附注之负债及权益!D385="",0,未审附注之负债及权益!D385)</f>
        <v>0</v>
      </c>
      <c r="E385" s="2085">
        <f>IF(未审附注之负债及权益!E385="",0,未审附注之负债及权益!E385)</f>
        <v>0</v>
      </c>
      <c r="F385" s="2085">
        <f>IF(未审附注之负债及权益!F385="",0,未审附注之负债及权益!F385)</f>
        <v>0</v>
      </c>
      <c r="G385" s="2085">
        <f>IF(未审附注之负债及权益!G385="",0,未审附注之负债及权益!G385)</f>
        <v>0</v>
      </c>
      <c r="H385" s="2085">
        <f>IF(未审附注之负债及权益!H385="",0,未审附注之负债及权益!H385)</f>
        <v>0</v>
      </c>
      <c r="I385" s="2086" t="s">
        <v>228</v>
      </c>
    </row>
    <row r="386" spans="1:9">
      <c r="A386" s="2092">
        <f>IF(未审附注之负债及权益!A386="",0,未审附注之负债及权益!A386)</f>
        <v>0</v>
      </c>
      <c r="B386" s="2092">
        <f>IF(未审附注之负债及权益!B386="",0,未审附注之负债及权益!B386)</f>
        <v>0</v>
      </c>
      <c r="C386" s="2092">
        <f>IF(未审附注之负债及权益!C386="",0,未审附注之负债及权益!C386)</f>
        <v>0</v>
      </c>
      <c r="D386" s="2113">
        <f>IF(未审附注之负债及权益!D386="",0,未审附注之负债及权益!D386)</f>
        <v>0</v>
      </c>
      <c r="E386" s="2085">
        <f>IF(未审附注之负债及权益!E386="",0,未审附注之负债及权益!E386)</f>
        <v>0</v>
      </c>
      <c r="F386" s="2085">
        <f>IF(未审附注之负债及权益!F386="",0,未审附注之负债及权益!F386)</f>
        <v>0</v>
      </c>
      <c r="G386" s="2085">
        <f>IF(未审附注之负债及权益!G386="",0,未审附注之负债及权益!G386)</f>
        <v>0</v>
      </c>
      <c r="H386" s="2085">
        <f>IF(未审附注之负债及权益!H386="",0,未审附注之负债及权益!H386)</f>
        <v>0</v>
      </c>
      <c r="I386" s="2086" t="s">
        <v>228</v>
      </c>
    </row>
    <row r="387" spans="1:9">
      <c r="A387" s="2092">
        <f>IF(未审附注之负债及权益!A387="",0,未审附注之负债及权益!A387)</f>
        <v>0</v>
      </c>
      <c r="B387" s="2092">
        <f>IF(未审附注之负债及权益!B387="",0,未审附注之负债及权益!B387)</f>
        <v>0</v>
      </c>
      <c r="C387" s="2092">
        <f>IF(未审附注之负债及权益!C387="",0,未审附注之负债及权益!C387)</f>
        <v>0</v>
      </c>
      <c r="D387" s="2113">
        <f>IF(未审附注之负债及权益!D387="",0,未审附注之负债及权益!D387)</f>
        <v>0</v>
      </c>
      <c r="E387" s="2085">
        <f>IF(未审附注之负债及权益!E387="",0,未审附注之负债及权益!E387)</f>
        <v>0</v>
      </c>
      <c r="F387" s="2085">
        <f>IF(未审附注之负债及权益!F387="",0,未审附注之负债及权益!F387)</f>
        <v>0</v>
      </c>
      <c r="G387" s="2085">
        <f>IF(未审附注之负债及权益!G387="",0,未审附注之负债及权益!G387)</f>
        <v>0</v>
      </c>
      <c r="H387" s="2085">
        <f>IF(未审附注之负债及权益!H387="",0,未审附注之负债及权益!H387)</f>
        <v>0</v>
      </c>
      <c r="I387" s="2086" t="s">
        <v>228</v>
      </c>
    </row>
    <row r="388" spans="1:9">
      <c r="A388" s="2092">
        <f>IF(未审附注之负债及权益!A388="",0,未审附注之负债及权益!A388)</f>
        <v>0</v>
      </c>
      <c r="B388" s="2092">
        <f>IF(未审附注之负债及权益!B388="",0,未审附注之负债及权益!B388)</f>
        <v>0</v>
      </c>
      <c r="C388" s="2092">
        <f>IF(未审附注之负债及权益!C388="",0,未审附注之负债及权益!C388)</f>
        <v>0</v>
      </c>
      <c r="D388" s="2113">
        <f>IF(未审附注之负债及权益!D388="",0,未审附注之负债及权益!D388)</f>
        <v>0</v>
      </c>
      <c r="E388" s="2085">
        <f>IF(未审附注之负债及权益!E388="",0,未审附注之负债及权益!E388)</f>
        <v>0</v>
      </c>
      <c r="F388" s="2085">
        <f>IF(未审附注之负债及权益!F388="",0,未审附注之负债及权益!F388)</f>
        <v>0</v>
      </c>
      <c r="G388" s="2085">
        <f>IF(未审附注之负债及权益!G388="",0,未审附注之负债及权益!G388)</f>
        <v>0</v>
      </c>
      <c r="H388" s="2085">
        <f>IF(未审附注之负债及权益!H388="",0,未审附注之负债及权益!H388)</f>
        <v>0</v>
      </c>
      <c r="I388" s="2086" t="s">
        <v>228</v>
      </c>
    </row>
    <row r="389" spans="1:9">
      <c r="A389" s="2092">
        <f>IF(未审附注之负债及权益!A389="",0,未审附注之负债及权益!A389)</f>
        <v>0</v>
      </c>
      <c r="B389" s="2092">
        <f>IF(未审附注之负债及权益!B389="",0,未审附注之负债及权益!B389)</f>
        <v>0</v>
      </c>
      <c r="C389" s="2092">
        <f>IF(未审附注之负债及权益!C389="",0,未审附注之负债及权益!C389)</f>
        <v>0</v>
      </c>
      <c r="D389" s="2113">
        <f>IF(未审附注之负债及权益!D389="",0,未审附注之负债及权益!D389)</f>
        <v>0</v>
      </c>
      <c r="E389" s="2085">
        <f>IF(未审附注之负债及权益!E389="",0,未审附注之负债及权益!E389)</f>
        <v>0</v>
      </c>
      <c r="F389" s="2085">
        <f>IF(未审附注之负债及权益!F389="",0,未审附注之负债及权益!F389)</f>
        <v>0</v>
      </c>
      <c r="G389" s="2085">
        <f>IF(未审附注之负债及权益!G389="",0,未审附注之负债及权益!G389)</f>
        <v>0</v>
      </c>
      <c r="H389" s="2085">
        <f>IF(未审附注之负债及权益!H389="",0,未审附注之负债及权益!H389)</f>
        <v>0</v>
      </c>
      <c r="I389" s="2086" t="s">
        <v>228</v>
      </c>
    </row>
    <row r="390" spans="1:9">
      <c r="A390" s="2092">
        <f>IF(未审附注之负债及权益!A390="",0,未审附注之负债及权益!A390)</f>
        <v>0</v>
      </c>
      <c r="B390" s="2092">
        <f>IF(未审附注之负债及权益!B390="",0,未审附注之负债及权益!B390)</f>
        <v>0</v>
      </c>
      <c r="C390" s="2092">
        <f>IF(未审附注之负债及权益!C390="",0,未审附注之负债及权益!C390)</f>
        <v>0</v>
      </c>
      <c r="D390" s="2113">
        <f>IF(未审附注之负债及权益!D390="",0,未审附注之负债及权益!D390)</f>
        <v>0</v>
      </c>
      <c r="E390" s="2085">
        <f>IF(未审附注之负债及权益!E390="",0,未审附注之负债及权益!E390)</f>
        <v>0</v>
      </c>
      <c r="F390" s="2085">
        <f>IF(未审附注之负债及权益!F390="",0,未审附注之负债及权益!F390)</f>
        <v>0</v>
      </c>
      <c r="G390" s="2085">
        <f>IF(未审附注之负债及权益!G390="",0,未审附注之负债及权益!G390)</f>
        <v>0</v>
      </c>
      <c r="H390" s="2085">
        <f>IF(未审附注之负债及权益!H390="",0,未审附注之负债及权益!H390)</f>
        <v>0</v>
      </c>
      <c r="I390" s="2086" t="s">
        <v>228</v>
      </c>
    </row>
    <row r="391" spans="1:9">
      <c r="A391" s="2092">
        <f>IF(未审附注之负债及权益!A391="",0,未审附注之负债及权益!A391)</f>
        <v>0</v>
      </c>
      <c r="B391" s="2092">
        <f>IF(未审附注之负债及权益!B391="",0,未审附注之负债及权益!B391)</f>
        <v>0</v>
      </c>
      <c r="C391" s="2092">
        <f>IF(未审附注之负债及权益!C391="",0,未审附注之负债及权益!C391)</f>
        <v>0</v>
      </c>
      <c r="D391" s="2113">
        <f>IF(未审附注之负债及权益!D391="",0,未审附注之负债及权益!D391)</f>
        <v>0</v>
      </c>
      <c r="E391" s="2085">
        <f>IF(未审附注之负债及权益!E391="",0,未审附注之负债及权益!E391)</f>
        <v>0</v>
      </c>
      <c r="F391" s="2085">
        <f>IF(未审附注之负债及权益!F391="",0,未审附注之负债及权益!F391)</f>
        <v>0</v>
      </c>
      <c r="G391" s="2085">
        <f>IF(未审附注之负债及权益!G391="",0,未审附注之负债及权益!G391)</f>
        <v>0</v>
      </c>
      <c r="H391" s="2085">
        <f>IF(未审附注之负债及权益!H391="",0,未审附注之负债及权益!H391)</f>
        <v>0</v>
      </c>
      <c r="I391" s="2086" t="s">
        <v>228</v>
      </c>
    </row>
    <row r="392" spans="1:9">
      <c r="A392" s="2092">
        <f>IF(未审附注之负债及权益!A392="",0,未审附注之负债及权益!A392)</f>
        <v>0</v>
      </c>
      <c r="B392" s="2092">
        <f>IF(未审附注之负债及权益!B392="",0,未审附注之负债及权益!B392)</f>
        <v>0</v>
      </c>
      <c r="C392" s="2092">
        <f>IF(未审附注之负债及权益!C392="",0,未审附注之负债及权益!C392)</f>
        <v>0</v>
      </c>
      <c r="D392" s="2113">
        <f>IF(未审附注之负债及权益!D392="",0,未审附注之负债及权益!D392)</f>
        <v>0</v>
      </c>
      <c r="E392" s="2085">
        <f>IF(未审附注之负债及权益!E392="",0,未审附注之负债及权益!E392)</f>
        <v>0</v>
      </c>
      <c r="F392" s="2085">
        <f>IF(未审附注之负债及权益!F392="",0,未审附注之负债及权益!F392)</f>
        <v>0</v>
      </c>
      <c r="G392" s="2085">
        <f>IF(未审附注之负债及权益!G392="",0,未审附注之负债及权益!G392)</f>
        <v>0</v>
      </c>
      <c r="H392" s="2085">
        <f>IF(未审附注之负债及权益!H392="",0,未审附注之负债及权益!H392)</f>
        <v>0</v>
      </c>
      <c r="I392" s="2086" t="s">
        <v>228</v>
      </c>
    </row>
    <row r="393" spans="1:9">
      <c r="A393" s="2082" t="s">
        <v>384</v>
      </c>
      <c r="B393" s="2098"/>
      <c r="C393" s="2098"/>
      <c r="D393" s="2098"/>
      <c r="E393" s="2048">
        <f>ROUND(SUM(E383:E392),2)</f>
        <v>0</v>
      </c>
      <c r="F393" s="2048">
        <f>ROUND(SUM(F383:F392),2)</f>
        <v>0</v>
      </c>
      <c r="G393" s="2048">
        <f>ROUND(SUM(G383:G392),2)</f>
        <v>0</v>
      </c>
      <c r="H393" s="2048">
        <f>ROUND(SUM(H383:H392),2)</f>
        <v>0</v>
      </c>
      <c r="I393" s="2086" t="s">
        <v>1173</v>
      </c>
    </row>
    <row r="394" spans="1:8">
      <c r="A394" s="2094"/>
      <c r="B394" s="2095"/>
      <c r="C394" s="2095"/>
      <c r="D394" s="2095"/>
      <c r="E394" s="2095"/>
      <c r="F394" s="2095"/>
      <c r="G394" s="2080"/>
      <c r="H394" s="2080"/>
    </row>
    <row r="395" spans="1:8">
      <c r="A395" s="2094"/>
      <c r="B395" s="2095"/>
      <c r="C395" s="2095"/>
      <c r="D395" s="2095"/>
      <c r="E395" s="2095"/>
      <c r="F395" s="2095"/>
      <c r="G395" s="2080"/>
      <c r="H395" s="2080"/>
    </row>
    <row r="396" spans="1:8">
      <c r="A396" s="2079" t="s">
        <v>1174</v>
      </c>
      <c r="B396" s="2080"/>
      <c r="C396" s="2080"/>
      <c r="D396" s="2080"/>
      <c r="E396" s="2080"/>
      <c r="F396" s="2080"/>
      <c r="G396" s="2080"/>
      <c r="H396" s="2080"/>
    </row>
    <row r="397" spans="1:8">
      <c r="A397" s="2082" t="s">
        <v>372</v>
      </c>
      <c r="B397" s="2084" t="s">
        <v>626</v>
      </c>
      <c r="C397" s="2084" t="s">
        <v>627</v>
      </c>
      <c r="D397" s="2108" t="s">
        <v>1149</v>
      </c>
      <c r="E397" s="2080"/>
      <c r="F397" s="2080"/>
      <c r="G397" s="2080"/>
      <c r="H397" s="2080"/>
    </row>
    <row r="398" spans="1:9">
      <c r="A398" s="2092">
        <f>IF(未审附注之负债及权益!A398="",0,未审附注之负债及权益!A398)</f>
        <v>0</v>
      </c>
      <c r="B398" s="2085">
        <f>IF(未审附注之负债及权益!B398="",0,未审附注之负债及权益!B398)</f>
        <v>0</v>
      </c>
      <c r="C398" s="2085">
        <f>IF(未审附注之负债及权益!C398="",0,未审附注之负债及权益!C398)</f>
        <v>0</v>
      </c>
      <c r="D398" s="2092">
        <f>IF(未审附注之负债及权益!D398="",0,未审附注之负债及权益!D398)</f>
        <v>0</v>
      </c>
      <c r="E398" s="2080"/>
      <c r="F398" s="2080"/>
      <c r="G398" s="2080"/>
      <c r="H398" s="2080"/>
      <c r="I398" s="2086" t="s">
        <v>230</v>
      </c>
    </row>
    <row r="399" spans="1:9">
      <c r="A399" s="2092">
        <f>IF(未审附注之负债及权益!A399="",0,未审附注之负债及权益!A399)</f>
        <v>0</v>
      </c>
      <c r="B399" s="2085">
        <f>IF(未审附注之负债及权益!B399="",0,未审附注之负债及权益!B399)</f>
        <v>0</v>
      </c>
      <c r="C399" s="2085">
        <f>IF(未审附注之负债及权益!C399="",0,未审附注之负债及权益!C399)</f>
        <v>0</v>
      </c>
      <c r="D399" s="2092">
        <f>IF(未审附注之负债及权益!D399="",0,未审附注之负债及权益!D399)</f>
        <v>0</v>
      </c>
      <c r="E399" s="2080"/>
      <c r="F399" s="2080"/>
      <c r="G399" s="2080"/>
      <c r="H399" s="2080"/>
      <c r="I399" s="2086" t="s">
        <v>230</v>
      </c>
    </row>
    <row r="400" spans="1:9">
      <c r="A400" s="2092">
        <f>IF(未审附注之负债及权益!A400="",0,未审附注之负债及权益!A400)</f>
        <v>0</v>
      </c>
      <c r="B400" s="2085">
        <f>IF(未审附注之负债及权益!B400="",0,未审附注之负债及权益!B400)</f>
        <v>0</v>
      </c>
      <c r="C400" s="2085">
        <f>IF(未审附注之负债及权益!C400="",0,未审附注之负债及权益!C400)</f>
        <v>0</v>
      </c>
      <c r="D400" s="2092">
        <f>IF(未审附注之负债及权益!D400="",0,未审附注之负债及权益!D400)</f>
        <v>0</v>
      </c>
      <c r="E400" s="2080"/>
      <c r="F400" s="2080"/>
      <c r="G400" s="2080"/>
      <c r="H400" s="2080"/>
      <c r="I400" s="2086" t="s">
        <v>230</v>
      </c>
    </row>
    <row r="401" spans="1:9">
      <c r="A401" s="2092">
        <f>IF(未审附注之负债及权益!A401="",0,未审附注之负债及权益!A401)</f>
        <v>0</v>
      </c>
      <c r="B401" s="2085">
        <f>IF(未审附注之负债及权益!B401="",0,未审附注之负债及权益!B401)</f>
        <v>0</v>
      </c>
      <c r="C401" s="2085">
        <f>IF(未审附注之负债及权益!C401="",0,未审附注之负债及权益!C401)</f>
        <v>0</v>
      </c>
      <c r="D401" s="2092">
        <f>IF(未审附注之负债及权益!D401="",0,未审附注之负债及权益!D401)</f>
        <v>0</v>
      </c>
      <c r="E401" s="2080"/>
      <c r="F401" s="2080"/>
      <c r="G401" s="2080"/>
      <c r="H401" s="2080"/>
      <c r="I401" s="2086" t="s">
        <v>230</v>
      </c>
    </row>
    <row r="402" spans="1:9">
      <c r="A402" s="2092">
        <f>IF(未审附注之负债及权益!A402="",0,未审附注之负债及权益!A402)</f>
        <v>0</v>
      </c>
      <c r="B402" s="2085">
        <f>IF(未审附注之负债及权益!B402="",0,未审附注之负债及权益!B402)</f>
        <v>0</v>
      </c>
      <c r="C402" s="2085">
        <f>IF(未审附注之负债及权益!C402="",0,未审附注之负债及权益!C402)</f>
        <v>0</v>
      </c>
      <c r="D402" s="2092">
        <f>IF(未审附注之负债及权益!D402="",0,未审附注之负债及权益!D402)</f>
        <v>0</v>
      </c>
      <c r="E402" s="2080"/>
      <c r="F402" s="2080"/>
      <c r="G402" s="2080"/>
      <c r="H402" s="2080"/>
      <c r="I402" s="2086" t="s">
        <v>230</v>
      </c>
    </row>
    <row r="403" spans="1:9">
      <c r="A403" s="2092">
        <f>IF(未审附注之负债及权益!A403="",0,未审附注之负债及权益!A403)</f>
        <v>0</v>
      </c>
      <c r="B403" s="2085">
        <f>IF(未审附注之负债及权益!B403="",0,未审附注之负债及权益!B403)</f>
        <v>0</v>
      </c>
      <c r="C403" s="2085">
        <f>IF(未审附注之负债及权益!C403="",0,未审附注之负债及权益!C403)</f>
        <v>0</v>
      </c>
      <c r="D403" s="2092">
        <f>IF(未审附注之负债及权益!D403="",0,未审附注之负债及权益!D403)</f>
        <v>0</v>
      </c>
      <c r="E403" s="2080"/>
      <c r="F403" s="2080"/>
      <c r="G403" s="2080"/>
      <c r="H403" s="2080"/>
      <c r="I403" s="2086" t="s">
        <v>230</v>
      </c>
    </row>
    <row r="404" spans="1:9">
      <c r="A404" s="2092">
        <f>IF(未审附注之负债及权益!A404="",0,未审附注之负债及权益!A404)</f>
        <v>0</v>
      </c>
      <c r="B404" s="2085">
        <f>IF(未审附注之负债及权益!B404="",0,未审附注之负债及权益!B404)</f>
        <v>0</v>
      </c>
      <c r="C404" s="2085">
        <f>IF(未审附注之负债及权益!C404="",0,未审附注之负债及权益!C404)</f>
        <v>0</v>
      </c>
      <c r="D404" s="2092">
        <f>IF(未审附注之负债及权益!D404="",0,未审附注之负债及权益!D404)</f>
        <v>0</v>
      </c>
      <c r="E404" s="2080"/>
      <c r="F404" s="2080"/>
      <c r="G404" s="2080"/>
      <c r="H404" s="2080"/>
      <c r="I404" s="2086" t="s">
        <v>230</v>
      </c>
    </row>
    <row r="405" spans="1:9">
      <c r="A405" s="2092">
        <f>IF(未审附注之负债及权益!A405="",0,未审附注之负债及权益!A405)</f>
        <v>0</v>
      </c>
      <c r="B405" s="2085">
        <f>IF(未审附注之负债及权益!B405="",0,未审附注之负债及权益!B405)</f>
        <v>0</v>
      </c>
      <c r="C405" s="2085">
        <f>IF(未审附注之负债及权益!C405="",0,未审附注之负债及权益!C405)</f>
        <v>0</v>
      </c>
      <c r="D405" s="2092">
        <f>IF(未审附注之负债及权益!D405="",0,未审附注之负债及权益!D405)</f>
        <v>0</v>
      </c>
      <c r="E405" s="2080"/>
      <c r="F405" s="2080"/>
      <c r="G405" s="2080"/>
      <c r="H405" s="2080"/>
      <c r="I405" s="2086" t="s">
        <v>230</v>
      </c>
    </row>
    <row r="406" spans="1:9">
      <c r="A406" s="2092">
        <f>IF(未审附注之负债及权益!A406="",0,未审附注之负债及权益!A406)</f>
        <v>0</v>
      </c>
      <c r="B406" s="2085">
        <f>IF(未审附注之负债及权益!B406="",0,未审附注之负债及权益!B406)</f>
        <v>0</v>
      </c>
      <c r="C406" s="2085">
        <f>IF(未审附注之负债及权益!C406="",0,未审附注之负债及权益!C406)</f>
        <v>0</v>
      </c>
      <c r="D406" s="2092">
        <f>IF(未审附注之负债及权益!D406="",0,未审附注之负债及权益!D406)</f>
        <v>0</v>
      </c>
      <c r="E406" s="2080"/>
      <c r="F406" s="2080"/>
      <c r="G406" s="2080"/>
      <c r="H406" s="2080"/>
      <c r="I406" s="2086" t="s">
        <v>230</v>
      </c>
    </row>
    <row r="407" spans="1:9">
      <c r="A407" s="2092">
        <f>IF(未审附注之负债及权益!A407="",0,未审附注之负债及权益!A407)</f>
        <v>0</v>
      </c>
      <c r="B407" s="2085">
        <f>IF(未审附注之负债及权益!B407="",0,未审附注之负债及权益!B407)</f>
        <v>0</v>
      </c>
      <c r="C407" s="2085">
        <f>IF(未审附注之负债及权益!C407="",0,未审附注之负债及权益!C407)</f>
        <v>0</v>
      </c>
      <c r="D407" s="2092">
        <f>IF(未审附注之负债及权益!D407="",0,未审附注之负债及权益!D407)</f>
        <v>0</v>
      </c>
      <c r="E407" s="2080"/>
      <c r="F407" s="2080"/>
      <c r="G407" s="2080"/>
      <c r="H407" s="2080"/>
      <c r="I407" s="2086" t="s">
        <v>230</v>
      </c>
    </row>
    <row r="408" spans="1:9">
      <c r="A408" s="2082" t="s">
        <v>384</v>
      </c>
      <c r="B408" s="2048">
        <f>ROUND(SUM(B398:B407),2)</f>
        <v>0</v>
      </c>
      <c r="C408" s="2048">
        <f>ROUND(SUM(C398:C407),2)</f>
        <v>0</v>
      </c>
      <c r="D408" s="2098"/>
      <c r="E408" s="2080"/>
      <c r="F408" s="2080"/>
      <c r="G408" s="2080"/>
      <c r="H408" s="2080"/>
      <c r="I408" s="2086" t="s">
        <v>1175</v>
      </c>
    </row>
    <row r="409" spans="1:8">
      <c r="A409" s="2094"/>
      <c r="B409" s="2095"/>
      <c r="C409" s="2095"/>
      <c r="D409" s="2095"/>
      <c r="E409" s="2095"/>
      <c r="F409" s="2095"/>
      <c r="G409" s="2080"/>
      <c r="H409" s="2080"/>
    </row>
    <row r="410" spans="1:8">
      <c r="A410" s="2103"/>
      <c r="B410" s="2080"/>
      <c r="C410" s="2080"/>
      <c r="D410" s="2080"/>
      <c r="E410" s="2080"/>
      <c r="F410" s="2080"/>
      <c r="G410" s="2080"/>
      <c r="H410" s="2080"/>
    </row>
    <row r="411" spans="1:8">
      <c r="A411" s="2079" t="s">
        <v>1176</v>
      </c>
      <c r="B411" s="2080"/>
      <c r="C411" s="2080"/>
      <c r="D411" s="2080"/>
      <c r="E411" s="2080"/>
      <c r="F411" s="2080"/>
      <c r="G411" s="2080"/>
      <c r="H411" s="2080"/>
    </row>
    <row r="412" spans="1:8">
      <c r="A412" s="2082" t="s">
        <v>372</v>
      </c>
      <c r="B412" s="2108" t="s">
        <v>1148</v>
      </c>
      <c r="C412" s="2084" t="s">
        <v>627</v>
      </c>
      <c r="D412" s="2108" t="s">
        <v>581</v>
      </c>
      <c r="E412" s="2108" t="s">
        <v>582</v>
      </c>
      <c r="F412" s="2084" t="s">
        <v>626</v>
      </c>
      <c r="G412" s="2080"/>
      <c r="H412" s="2080"/>
    </row>
    <row r="413" spans="1:9">
      <c r="A413" s="2092">
        <f>IF(未审附注之负债及权益!A413="",0,未审附注之负债及权益!A413)</f>
        <v>0</v>
      </c>
      <c r="B413" s="2092">
        <f>IF(未审附注之负债及权益!B413="",0,未审附注之负债及权益!B413)</f>
        <v>0</v>
      </c>
      <c r="C413" s="2085">
        <f>IF(未审附注之负债及权益!C413="",0,未审附注之负债及权益!C413)</f>
        <v>0</v>
      </c>
      <c r="D413" s="2085">
        <f>IF(未审附注之负债及权益!D413="",0,未审附注之负债及权益!D413)</f>
        <v>0</v>
      </c>
      <c r="E413" s="2085">
        <f>IF(未审附注之负债及权益!E413="",0,未审附注之负债及权益!E413)</f>
        <v>0</v>
      </c>
      <c r="F413" s="2048">
        <f>ROUND(C413+D413-E413,2)</f>
        <v>0</v>
      </c>
      <c r="G413" s="2080"/>
      <c r="H413" s="2080"/>
      <c r="I413" s="2086" t="s">
        <v>232</v>
      </c>
    </row>
    <row r="414" spans="1:9">
      <c r="A414" s="2092">
        <f>IF(未审附注之负债及权益!A414="",0,未审附注之负债及权益!A414)</f>
        <v>0</v>
      </c>
      <c r="B414" s="2092">
        <f>IF(未审附注之负债及权益!B414="",0,未审附注之负债及权益!B414)</f>
        <v>0</v>
      </c>
      <c r="C414" s="2085">
        <f>IF(未审附注之负债及权益!C414="",0,未审附注之负债及权益!C414)</f>
        <v>0</v>
      </c>
      <c r="D414" s="2085">
        <f>IF(未审附注之负债及权益!D414="",0,未审附注之负债及权益!D414)</f>
        <v>0</v>
      </c>
      <c r="E414" s="2085">
        <f>IF(未审附注之负债及权益!E414="",0,未审附注之负债及权益!E414)</f>
        <v>0</v>
      </c>
      <c r="F414" s="2048">
        <f t="shared" ref="F414:F422" si="1">ROUND(C414+D414-E414,2)</f>
        <v>0</v>
      </c>
      <c r="G414" s="2080"/>
      <c r="H414" s="2080"/>
      <c r="I414" s="2086" t="s">
        <v>232</v>
      </c>
    </row>
    <row r="415" spans="1:9">
      <c r="A415" s="2092">
        <f>IF(未审附注之负债及权益!A415="",0,未审附注之负债及权益!A415)</f>
        <v>0</v>
      </c>
      <c r="B415" s="2092">
        <f>IF(未审附注之负债及权益!B415="",0,未审附注之负债及权益!B415)</f>
        <v>0</v>
      </c>
      <c r="C415" s="2085">
        <f>IF(未审附注之负债及权益!C415="",0,未审附注之负债及权益!C415)</f>
        <v>0</v>
      </c>
      <c r="D415" s="2085">
        <f>IF(未审附注之负债及权益!D415="",0,未审附注之负债及权益!D415)</f>
        <v>0</v>
      </c>
      <c r="E415" s="2085">
        <f>IF(未审附注之负债及权益!E415="",0,未审附注之负债及权益!E415)</f>
        <v>0</v>
      </c>
      <c r="F415" s="2048">
        <f t="shared" si="1"/>
        <v>0</v>
      </c>
      <c r="G415" s="2080"/>
      <c r="H415" s="2080"/>
      <c r="I415" s="2086" t="s">
        <v>232</v>
      </c>
    </row>
    <row r="416" spans="1:9">
      <c r="A416" s="2092">
        <f>IF(未审附注之负债及权益!A416="",0,未审附注之负债及权益!A416)</f>
        <v>0</v>
      </c>
      <c r="B416" s="2092">
        <f>IF(未审附注之负债及权益!B416="",0,未审附注之负债及权益!B416)</f>
        <v>0</v>
      </c>
      <c r="C416" s="2085">
        <f>IF(未审附注之负债及权益!C416="",0,未审附注之负债及权益!C416)</f>
        <v>0</v>
      </c>
      <c r="D416" s="2085">
        <f>IF(未审附注之负债及权益!D416="",0,未审附注之负债及权益!D416)</f>
        <v>0</v>
      </c>
      <c r="E416" s="2085">
        <f>IF(未审附注之负债及权益!E416="",0,未审附注之负债及权益!E416)</f>
        <v>0</v>
      </c>
      <c r="F416" s="2048">
        <f t="shared" si="1"/>
        <v>0</v>
      </c>
      <c r="G416" s="2080"/>
      <c r="H416" s="2080"/>
      <c r="I416" s="2086" t="s">
        <v>232</v>
      </c>
    </row>
    <row r="417" spans="1:9">
      <c r="A417" s="2092">
        <f>IF(未审附注之负债及权益!A417="",0,未审附注之负债及权益!A417)</f>
        <v>0</v>
      </c>
      <c r="B417" s="2092">
        <f>IF(未审附注之负债及权益!B417="",0,未审附注之负债及权益!B417)</f>
        <v>0</v>
      </c>
      <c r="C417" s="2085">
        <f>IF(未审附注之负债及权益!C417="",0,未审附注之负债及权益!C417)</f>
        <v>0</v>
      </c>
      <c r="D417" s="2085">
        <f>IF(未审附注之负债及权益!D417="",0,未审附注之负债及权益!D417)</f>
        <v>0</v>
      </c>
      <c r="E417" s="2085">
        <f>IF(未审附注之负债及权益!E417="",0,未审附注之负债及权益!E417)</f>
        <v>0</v>
      </c>
      <c r="F417" s="2048">
        <f t="shared" si="1"/>
        <v>0</v>
      </c>
      <c r="G417" s="2080"/>
      <c r="H417" s="2080"/>
      <c r="I417" s="2086" t="s">
        <v>232</v>
      </c>
    </row>
    <row r="418" spans="1:9">
      <c r="A418" s="2092">
        <f>IF(未审附注之负债及权益!A418="",0,未审附注之负债及权益!A418)</f>
        <v>0</v>
      </c>
      <c r="B418" s="2092">
        <f>IF(未审附注之负债及权益!B418="",0,未审附注之负债及权益!B418)</f>
        <v>0</v>
      </c>
      <c r="C418" s="2085">
        <f>IF(未审附注之负债及权益!C418="",0,未审附注之负债及权益!C418)</f>
        <v>0</v>
      </c>
      <c r="D418" s="2085">
        <f>IF(未审附注之负债及权益!D418="",0,未审附注之负债及权益!D418)</f>
        <v>0</v>
      </c>
      <c r="E418" s="2085">
        <f>IF(未审附注之负债及权益!E418="",0,未审附注之负债及权益!E418)</f>
        <v>0</v>
      </c>
      <c r="F418" s="2048">
        <f t="shared" si="1"/>
        <v>0</v>
      </c>
      <c r="G418" s="2080"/>
      <c r="H418" s="2080"/>
      <c r="I418" s="2086" t="s">
        <v>232</v>
      </c>
    </row>
    <row r="419" spans="1:9">
      <c r="A419" s="2092">
        <f>IF(未审附注之负债及权益!A419="",0,未审附注之负债及权益!A419)</f>
        <v>0</v>
      </c>
      <c r="B419" s="2092">
        <f>IF(未审附注之负债及权益!B419="",0,未审附注之负债及权益!B419)</f>
        <v>0</v>
      </c>
      <c r="C419" s="2085">
        <f>IF(未审附注之负债及权益!C419="",0,未审附注之负债及权益!C419)</f>
        <v>0</v>
      </c>
      <c r="D419" s="2085">
        <f>IF(未审附注之负债及权益!D419="",0,未审附注之负债及权益!D419)</f>
        <v>0</v>
      </c>
      <c r="E419" s="2085">
        <f>IF(未审附注之负债及权益!E419="",0,未审附注之负债及权益!E419)</f>
        <v>0</v>
      </c>
      <c r="F419" s="2048">
        <f t="shared" si="1"/>
        <v>0</v>
      </c>
      <c r="G419" s="2080"/>
      <c r="H419" s="2080"/>
      <c r="I419" s="2086" t="s">
        <v>232</v>
      </c>
    </row>
    <row r="420" spans="1:9">
      <c r="A420" s="2092">
        <f>IF(未审附注之负债及权益!A420="",0,未审附注之负债及权益!A420)</f>
        <v>0</v>
      </c>
      <c r="B420" s="2092">
        <f>IF(未审附注之负债及权益!B420="",0,未审附注之负债及权益!B420)</f>
        <v>0</v>
      </c>
      <c r="C420" s="2085">
        <f>IF(未审附注之负债及权益!C420="",0,未审附注之负债及权益!C420)</f>
        <v>0</v>
      </c>
      <c r="D420" s="2085">
        <f>IF(未审附注之负债及权益!D420="",0,未审附注之负债及权益!D420)</f>
        <v>0</v>
      </c>
      <c r="E420" s="2085">
        <f>IF(未审附注之负债及权益!E420="",0,未审附注之负债及权益!E420)</f>
        <v>0</v>
      </c>
      <c r="F420" s="2048">
        <f t="shared" si="1"/>
        <v>0</v>
      </c>
      <c r="G420" s="2080"/>
      <c r="H420" s="2080"/>
      <c r="I420" s="2086" t="s">
        <v>232</v>
      </c>
    </row>
    <row r="421" spans="1:9">
      <c r="A421" s="2092">
        <f>IF(未审附注之负债及权益!A421="",0,未审附注之负债及权益!A421)</f>
        <v>0</v>
      </c>
      <c r="B421" s="2092">
        <f>IF(未审附注之负债及权益!B421="",0,未审附注之负债及权益!B421)</f>
        <v>0</v>
      </c>
      <c r="C421" s="2085">
        <f>IF(未审附注之负债及权益!C421="",0,未审附注之负债及权益!C421)</f>
        <v>0</v>
      </c>
      <c r="D421" s="2085">
        <f>IF(未审附注之负债及权益!D421="",0,未审附注之负债及权益!D421)</f>
        <v>0</v>
      </c>
      <c r="E421" s="2085">
        <f>IF(未审附注之负债及权益!E421="",0,未审附注之负债及权益!E421)</f>
        <v>0</v>
      </c>
      <c r="F421" s="2048">
        <f t="shared" si="1"/>
        <v>0</v>
      </c>
      <c r="G421" s="2080"/>
      <c r="H421" s="2080"/>
      <c r="I421" s="2086" t="s">
        <v>232</v>
      </c>
    </row>
    <row r="422" spans="1:9">
      <c r="A422" s="2092">
        <f>IF(未审附注之负债及权益!A422="",0,未审附注之负债及权益!A422)</f>
        <v>0</v>
      </c>
      <c r="B422" s="2092">
        <f>IF(未审附注之负债及权益!B422="",0,未审附注之负债及权益!B422)</f>
        <v>0</v>
      </c>
      <c r="C422" s="2085">
        <f>IF(未审附注之负债及权益!C422="",0,未审附注之负债及权益!C422)</f>
        <v>0</v>
      </c>
      <c r="D422" s="2085">
        <f>IF(未审附注之负债及权益!D422="",0,未审附注之负债及权益!D422)</f>
        <v>0</v>
      </c>
      <c r="E422" s="2085">
        <f>IF(未审附注之负债及权益!E422="",0,未审附注之负债及权益!E422)</f>
        <v>0</v>
      </c>
      <c r="F422" s="2048">
        <f t="shared" si="1"/>
        <v>0</v>
      </c>
      <c r="G422" s="2080"/>
      <c r="H422" s="2080"/>
      <c r="I422" s="2086" t="s">
        <v>232</v>
      </c>
    </row>
    <row r="423" spans="1:9">
      <c r="A423" s="2082" t="s">
        <v>384</v>
      </c>
      <c r="B423" s="2098"/>
      <c r="C423" s="2048">
        <f>ROUND(SUM(C413:C422),2)</f>
        <v>0</v>
      </c>
      <c r="D423" s="2048">
        <f>ROUND(SUM(D413:D422),2)</f>
        <v>0</v>
      </c>
      <c r="E423" s="2048">
        <f>ROUND(SUM(E413:E422),2)</f>
        <v>0</v>
      </c>
      <c r="F423" s="2048">
        <f>ROUND(SUM(F413:F422),2)</f>
        <v>0</v>
      </c>
      <c r="G423" s="2080"/>
      <c r="H423" s="2080"/>
      <c r="I423" s="2086" t="s">
        <v>1177</v>
      </c>
    </row>
    <row r="424" spans="1:8">
      <c r="A424" s="2094"/>
      <c r="B424" s="2095"/>
      <c r="C424" s="2095"/>
      <c r="D424" s="2095"/>
      <c r="E424" s="2095"/>
      <c r="F424" s="2095"/>
      <c r="G424" s="2080"/>
      <c r="H424" s="2080"/>
    </row>
    <row r="425" spans="1:8">
      <c r="A425" s="2103"/>
      <c r="B425" s="2080"/>
      <c r="C425" s="2080"/>
      <c r="D425" s="2080"/>
      <c r="E425" s="2080"/>
      <c r="F425" s="2080"/>
      <c r="G425" s="2080"/>
      <c r="H425" s="2080"/>
    </row>
    <row r="426" spans="1:8">
      <c r="A426" s="2079" t="s">
        <v>1178</v>
      </c>
      <c r="B426" s="2080"/>
      <c r="C426" s="2080"/>
      <c r="D426" s="2080"/>
      <c r="E426" s="2080"/>
      <c r="F426" s="2080"/>
      <c r="G426" s="2080"/>
      <c r="H426" s="2080"/>
    </row>
    <row r="427" spans="1:8">
      <c r="A427" s="2082" t="s">
        <v>372</v>
      </c>
      <c r="B427" s="2108" t="s">
        <v>1148</v>
      </c>
      <c r="C427" s="2082" t="s">
        <v>1179</v>
      </c>
      <c r="D427" s="2084" t="s">
        <v>627</v>
      </c>
      <c r="E427" s="2108" t="s">
        <v>581</v>
      </c>
      <c r="F427" s="2108" t="s">
        <v>582</v>
      </c>
      <c r="G427" s="2084" t="s">
        <v>626</v>
      </c>
      <c r="H427" s="2080"/>
    </row>
    <row r="428" spans="1:9">
      <c r="A428" s="2092">
        <f>IF(未审附注之负债及权益!A428="",0,未审附注之负债及权益!A428)</f>
        <v>0</v>
      </c>
      <c r="B428" s="2092">
        <f>IF(未审附注之负债及权益!B428="",0,未审附注之负债及权益!B428)</f>
        <v>0</v>
      </c>
      <c r="C428" s="2092">
        <f>IF(未审附注之负债及权益!C428="",0,未审附注之负债及权益!C428)</f>
        <v>0</v>
      </c>
      <c r="D428" s="2085">
        <f>IF(未审附注之负债及权益!D428="",0,未审附注之负债及权益!D428)</f>
        <v>0</v>
      </c>
      <c r="E428" s="2085">
        <f>IF(未审附注之负债及权益!E428="",0,未审附注之负债及权益!E428)</f>
        <v>0</v>
      </c>
      <c r="F428" s="2085">
        <f>IF(未审附注之负债及权益!F428="",0,未审附注之负债及权益!F428)</f>
        <v>0</v>
      </c>
      <c r="G428" s="2048">
        <f>ROUND(D428+E428-F428,2)</f>
        <v>0</v>
      </c>
      <c r="H428" s="2080"/>
      <c r="I428" s="2086" t="s">
        <v>234</v>
      </c>
    </row>
    <row r="429" spans="1:9">
      <c r="A429" s="2092">
        <f>IF(未审附注之负债及权益!A429="",0,未审附注之负债及权益!A429)</f>
        <v>0</v>
      </c>
      <c r="B429" s="2092">
        <f>IF(未审附注之负债及权益!B429="",0,未审附注之负债及权益!B429)</f>
        <v>0</v>
      </c>
      <c r="C429" s="2092">
        <f>IF(未审附注之负债及权益!C429="",0,未审附注之负债及权益!C429)</f>
        <v>0</v>
      </c>
      <c r="D429" s="2085">
        <f>IF(未审附注之负债及权益!D429="",0,未审附注之负债及权益!D429)</f>
        <v>0</v>
      </c>
      <c r="E429" s="2085">
        <f>IF(未审附注之负债及权益!E429="",0,未审附注之负债及权益!E429)</f>
        <v>0</v>
      </c>
      <c r="F429" s="2085">
        <f>IF(未审附注之负债及权益!F429="",0,未审附注之负债及权益!F429)</f>
        <v>0</v>
      </c>
      <c r="G429" s="2048">
        <f t="shared" ref="G429:G437" si="2">ROUND(D429+E429-F429,2)</f>
        <v>0</v>
      </c>
      <c r="H429" s="2080"/>
      <c r="I429" s="2086" t="s">
        <v>234</v>
      </c>
    </row>
    <row r="430" spans="1:9">
      <c r="A430" s="2092">
        <f>IF(未审附注之负债及权益!A430="",0,未审附注之负债及权益!A430)</f>
        <v>0</v>
      </c>
      <c r="B430" s="2092">
        <f>IF(未审附注之负债及权益!B430="",0,未审附注之负债及权益!B430)</f>
        <v>0</v>
      </c>
      <c r="C430" s="2092">
        <f>IF(未审附注之负债及权益!C430="",0,未审附注之负债及权益!C430)</f>
        <v>0</v>
      </c>
      <c r="D430" s="2085">
        <f>IF(未审附注之负债及权益!D430="",0,未审附注之负债及权益!D430)</f>
        <v>0</v>
      </c>
      <c r="E430" s="2085">
        <f>IF(未审附注之负债及权益!E430="",0,未审附注之负债及权益!E430)</f>
        <v>0</v>
      </c>
      <c r="F430" s="2085">
        <f>IF(未审附注之负债及权益!F430="",0,未审附注之负债及权益!F430)</f>
        <v>0</v>
      </c>
      <c r="G430" s="2048">
        <f t="shared" si="2"/>
        <v>0</v>
      </c>
      <c r="H430" s="2080"/>
      <c r="I430" s="2086" t="s">
        <v>234</v>
      </c>
    </row>
    <row r="431" spans="1:9">
      <c r="A431" s="2092">
        <f>IF(未审附注之负债及权益!A431="",0,未审附注之负债及权益!A431)</f>
        <v>0</v>
      </c>
      <c r="B431" s="2092">
        <f>IF(未审附注之负债及权益!B431="",0,未审附注之负债及权益!B431)</f>
        <v>0</v>
      </c>
      <c r="C431" s="2092">
        <f>IF(未审附注之负债及权益!C431="",0,未审附注之负债及权益!C431)</f>
        <v>0</v>
      </c>
      <c r="D431" s="2085">
        <f>IF(未审附注之负债及权益!D431="",0,未审附注之负债及权益!D431)</f>
        <v>0</v>
      </c>
      <c r="E431" s="2085">
        <f>IF(未审附注之负债及权益!E431="",0,未审附注之负债及权益!E431)</f>
        <v>0</v>
      </c>
      <c r="F431" s="2085">
        <f>IF(未审附注之负债及权益!F431="",0,未审附注之负债及权益!F431)</f>
        <v>0</v>
      </c>
      <c r="G431" s="2048">
        <f t="shared" si="2"/>
        <v>0</v>
      </c>
      <c r="H431" s="2080"/>
      <c r="I431" s="2086" t="s">
        <v>234</v>
      </c>
    </row>
    <row r="432" spans="1:9">
      <c r="A432" s="2092">
        <f>IF(未审附注之负债及权益!A432="",0,未审附注之负债及权益!A432)</f>
        <v>0</v>
      </c>
      <c r="B432" s="2092">
        <f>IF(未审附注之负债及权益!B432="",0,未审附注之负债及权益!B432)</f>
        <v>0</v>
      </c>
      <c r="C432" s="2092">
        <f>IF(未审附注之负债及权益!C432="",0,未审附注之负债及权益!C432)</f>
        <v>0</v>
      </c>
      <c r="D432" s="2085">
        <f>IF(未审附注之负债及权益!D432="",0,未审附注之负债及权益!D432)</f>
        <v>0</v>
      </c>
      <c r="E432" s="2085">
        <f>IF(未审附注之负债及权益!E432="",0,未审附注之负债及权益!E432)</f>
        <v>0</v>
      </c>
      <c r="F432" s="2085">
        <f>IF(未审附注之负债及权益!F432="",0,未审附注之负债及权益!F432)</f>
        <v>0</v>
      </c>
      <c r="G432" s="2048">
        <f t="shared" si="2"/>
        <v>0</v>
      </c>
      <c r="H432" s="2080"/>
      <c r="I432" s="2086" t="s">
        <v>234</v>
      </c>
    </row>
    <row r="433" spans="1:9">
      <c r="A433" s="2092">
        <f>IF(未审附注之负债及权益!A433="",0,未审附注之负债及权益!A433)</f>
        <v>0</v>
      </c>
      <c r="B433" s="2092">
        <f>IF(未审附注之负债及权益!B433="",0,未审附注之负债及权益!B433)</f>
        <v>0</v>
      </c>
      <c r="C433" s="2092">
        <f>IF(未审附注之负债及权益!C433="",0,未审附注之负债及权益!C433)</f>
        <v>0</v>
      </c>
      <c r="D433" s="2085">
        <f>IF(未审附注之负债及权益!D433="",0,未审附注之负债及权益!D433)</f>
        <v>0</v>
      </c>
      <c r="E433" s="2085">
        <f>IF(未审附注之负债及权益!E433="",0,未审附注之负债及权益!E433)</f>
        <v>0</v>
      </c>
      <c r="F433" s="2085">
        <f>IF(未审附注之负债及权益!F433="",0,未审附注之负债及权益!F433)</f>
        <v>0</v>
      </c>
      <c r="G433" s="2048">
        <f t="shared" si="2"/>
        <v>0</v>
      </c>
      <c r="H433" s="2080"/>
      <c r="I433" s="2086" t="s">
        <v>234</v>
      </c>
    </row>
    <row r="434" spans="1:9">
      <c r="A434" s="2092">
        <f>IF(未审附注之负债及权益!A434="",0,未审附注之负债及权益!A434)</f>
        <v>0</v>
      </c>
      <c r="B434" s="2092">
        <f>IF(未审附注之负债及权益!B434="",0,未审附注之负债及权益!B434)</f>
        <v>0</v>
      </c>
      <c r="C434" s="2092">
        <f>IF(未审附注之负债及权益!C434="",0,未审附注之负债及权益!C434)</f>
        <v>0</v>
      </c>
      <c r="D434" s="2085">
        <f>IF(未审附注之负债及权益!D434="",0,未审附注之负债及权益!D434)</f>
        <v>0</v>
      </c>
      <c r="E434" s="2085">
        <f>IF(未审附注之负债及权益!E434="",0,未审附注之负债及权益!E434)</f>
        <v>0</v>
      </c>
      <c r="F434" s="2085">
        <f>IF(未审附注之负债及权益!F434="",0,未审附注之负债及权益!F434)</f>
        <v>0</v>
      </c>
      <c r="G434" s="2048">
        <f t="shared" si="2"/>
        <v>0</v>
      </c>
      <c r="H434" s="2080"/>
      <c r="I434" s="2086" t="s">
        <v>234</v>
      </c>
    </row>
    <row r="435" spans="1:9">
      <c r="A435" s="2092">
        <f>IF(未审附注之负债及权益!A435="",0,未审附注之负债及权益!A435)</f>
        <v>0</v>
      </c>
      <c r="B435" s="2092">
        <f>IF(未审附注之负债及权益!B435="",0,未审附注之负债及权益!B435)</f>
        <v>0</v>
      </c>
      <c r="C435" s="2092">
        <f>IF(未审附注之负债及权益!C435="",0,未审附注之负债及权益!C435)</f>
        <v>0</v>
      </c>
      <c r="D435" s="2085">
        <f>IF(未审附注之负债及权益!D435="",0,未审附注之负债及权益!D435)</f>
        <v>0</v>
      </c>
      <c r="E435" s="2085">
        <f>IF(未审附注之负债及权益!E435="",0,未审附注之负债及权益!E435)</f>
        <v>0</v>
      </c>
      <c r="F435" s="2085">
        <f>IF(未审附注之负债及权益!F435="",0,未审附注之负债及权益!F435)</f>
        <v>0</v>
      </c>
      <c r="G435" s="2048">
        <f t="shared" si="2"/>
        <v>0</v>
      </c>
      <c r="H435" s="2080"/>
      <c r="I435" s="2086" t="s">
        <v>234</v>
      </c>
    </row>
    <row r="436" spans="1:9">
      <c r="A436" s="2092">
        <f>IF(未审附注之负债及权益!A436="",0,未审附注之负债及权益!A436)</f>
        <v>0</v>
      </c>
      <c r="B436" s="2092">
        <f>IF(未审附注之负债及权益!B436="",0,未审附注之负债及权益!B436)</f>
        <v>0</v>
      </c>
      <c r="C436" s="2092">
        <f>IF(未审附注之负债及权益!C436="",0,未审附注之负债及权益!C436)</f>
        <v>0</v>
      </c>
      <c r="D436" s="2085">
        <f>IF(未审附注之负债及权益!D436="",0,未审附注之负债及权益!D436)</f>
        <v>0</v>
      </c>
      <c r="E436" s="2085">
        <f>IF(未审附注之负债及权益!E436="",0,未审附注之负债及权益!E436)</f>
        <v>0</v>
      </c>
      <c r="F436" s="2085">
        <f>IF(未审附注之负债及权益!F436="",0,未审附注之负债及权益!F436)</f>
        <v>0</v>
      </c>
      <c r="G436" s="2048">
        <f t="shared" si="2"/>
        <v>0</v>
      </c>
      <c r="H436" s="2080"/>
      <c r="I436" s="2086" t="s">
        <v>234</v>
      </c>
    </row>
    <row r="437" spans="1:9">
      <c r="A437" s="2092">
        <f>IF(未审附注之负债及权益!A437="",0,未审附注之负债及权益!A437)</f>
        <v>0</v>
      </c>
      <c r="B437" s="2092">
        <f>IF(未审附注之负债及权益!B437="",0,未审附注之负债及权益!B437)</f>
        <v>0</v>
      </c>
      <c r="C437" s="2092">
        <f>IF(未审附注之负债及权益!C437="",0,未审附注之负债及权益!C437)</f>
        <v>0</v>
      </c>
      <c r="D437" s="2085">
        <f>IF(未审附注之负债及权益!D437="",0,未审附注之负债及权益!D437)</f>
        <v>0</v>
      </c>
      <c r="E437" s="2085">
        <f>IF(未审附注之负债及权益!E437="",0,未审附注之负债及权益!E437)</f>
        <v>0</v>
      </c>
      <c r="F437" s="2085">
        <f>IF(未审附注之负债及权益!F437="",0,未审附注之负债及权益!F437)</f>
        <v>0</v>
      </c>
      <c r="G437" s="2048">
        <f t="shared" si="2"/>
        <v>0</v>
      </c>
      <c r="H437" s="2080"/>
      <c r="I437" s="2086" t="s">
        <v>234</v>
      </c>
    </row>
    <row r="438" spans="1:9">
      <c r="A438" s="2082" t="s">
        <v>384</v>
      </c>
      <c r="B438" s="2098"/>
      <c r="C438" s="2048"/>
      <c r="D438" s="2048">
        <f>ROUND(SUM(D428:D437),2)</f>
        <v>0</v>
      </c>
      <c r="E438" s="2048">
        <f>ROUND(SUM(E428:E437),2)</f>
        <v>0</v>
      </c>
      <c r="F438" s="2048">
        <f>ROUND(SUM(F428:F437),2)</f>
        <v>0</v>
      </c>
      <c r="G438" s="2048">
        <f>ROUND(SUM(G428:G437),2)</f>
        <v>0</v>
      </c>
      <c r="H438" s="2080"/>
      <c r="I438" s="2086" t="s">
        <v>1180</v>
      </c>
    </row>
    <row r="439" spans="1:9">
      <c r="A439" s="2099"/>
      <c r="B439" s="2100"/>
      <c r="C439" s="2100"/>
      <c r="D439" s="2095"/>
      <c r="E439" s="2080"/>
      <c r="F439" s="2080"/>
      <c r="G439" s="2080"/>
      <c r="H439" s="2080"/>
      <c r="I439" s="2086"/>
    </row>
    <row r="440" spans="1:8">
      <c r="A440" s="2103"/>
      <c r="B440" s="2080"/>
      <c r="C440" s="2080"/>
      <c r="D440" s="2080"/>
      <c r="E440" s="2080"/>
      <c r="F440" s="2080"/>
      <c r="G440" s="2080"/>
      <c r="H440" s="2080"/>
    </row>
    <row r="441" spans="1:8">
      <c r="A441" s="2079" t="s">
        <v>1181</v>
      </c>
      <c r="B441" s="2080"/>
      <c r="C441" s="2080"/>
      <c r="D441" s="2080"/>
      <c r="E441" s="2080"/>
      <c r="F441" s="2080"/>
      <c r="G441" s="2080"/>
      <c r="H441" s="2080"/>
    </row>
    <row r="442" spans="1:8">
      <c r="A442" s="2082" t="s">
        <v>372</v>
      </c>
      <c r="B442" s="2082" t="s">
        <v>315</v>
      </c>
      <c r="C442" s="2082" t="s">
        <v>316</v>
      </c>
      <c r="D442" s="2080"/>
      <c r="E442" s="2080"/>
      <c r="F442" s="2080"/>
      <c r="G442" s="2080"/>
      <c r="H442" s="2080"/>
    </row>
    <row r="443" spans="1:9">
      <c r="A443" s="2092">
        <f>IF(未审附注之负债及权益!A443="",0,未审附注之负债及权益!A443)</f>
        <v>0</v>
      </c>
      <c r="B443" s="2085">
        <f>IF(未审附注之负债及权益!B443="",0,未审附注之负债及权益!B443)</f>
        <v>0</v>
      </c>
      <c r="C443" s="2085">
        <f>IF(未审附注之负债及权益!C443="",0,未审附注之负债及权益!C443)</f>
        <v>0</v>
      </c>
      <c r="D443" s="2080"/>
      <c r="E443" s="2080"/>
      <c r="F443" s="2080"/>
      <c r="G443" s="2080"/>
      <c r="H443" s="2080"/>
      <c r="I443" s="2086" t="s">
        <v>238</v>
      </c>
    </row>
    <row r="444" spans="1:9">
      <c r="A444" s="2092">
        <f>IF(未审附注之负债及权益!A444="",0,未审附注之负债及权益!A444)</f>
        <v>0</v>
      </c>
      <c r="B444" s="2085">
        <f>IF(未审附注之负债及权益!B444="",0,未审附注之负债及权益!B444)</f>
        <v>0</v>
      </c>
      <c r="C444" s="2085">
        <f>IF(未审附注之负债及权益!C444="",0,未审附注之负债及权益!C444)</f>
        <v>0</v>
      </c>
      <c r="D444" s="2080"/>
      <c r="E444" s="2080"/>
      <c r="F444" s="2080"/>
      <c r="G444" s="2080"/>
      <c r="H444" s="2080"/>
      <c r="I444" s="2086" t="s">
        <v>238</v>
      </c>
    </row>
    <row r="445" spans="1:9">
      <c r="A445" s="2092">
        <f>IF(未审附注之负债及权益!A445="",0,未审附注之负债及权益!A445)</f>
        <v>0</v>
      </c>
      <c r="B445" s="2085">
        <f>IF(未审附注之负债及权益!B445="",0,未审附注之负债及权益!B445)</f>
        <v>0</v>
      </c>
      <c r="C445" s="2085">
        <f>IF(未审附注之负债及权益!C445="",0,未审附注之负债及权益!C445)</f>
        <v>0</v>
      </c>
      <c r="D445" s="2080"/>
      <c r="E445" s="2080"/>
      <c r="F445" s="2080"/>
      <c r="G445" s="2080"/>
      <c r="H445" s="2080"/>
      <c r="I445" s="2086" t="s">
        <v>238</v>
      </c>
    </row>
    <row r="446" spans="1:9">
      <c r="A446" s="2092">
        <f>IF(未审附注之负债及权益!A446="",0,未审附注之负债及权益!A446)</f>
        <v>0</v>
      </c>
      <c r="B446" s="2085">
        <f>IF(未审附注之负债及权益!B446="",0,未审附注之负债及权益!B446)</f>
        <v>0</v>
      </c>
      <c r="C446" s="2085">
        <f>IF(未审附注之负债及权益!C446="",0,未审附注之负债及权益!C446)</f>
        <v>0</v>
      </c>
      <c r="D446" s="2080"/>
      <c r="E446" s="2080"/>
      <c r="F446" s="2080"/>
      <c r="G446" s="2080"/>
      <c r="H446" s="2080"/>
      <c r="I446" s="2086" t="s">
        <v>238</v>
      </c>
    </row>
    <row r="447" spans="1:9">
      <c r="A447" s="2092">
        <f>IF(未审附注之负债及权益!A447="",0,未审附注之负债及权益!A447)</f>
        <v>0</v>
      </c>
      <c r="B447" s="2085">
        <f>IF(未审附注之负债及权益!B447="",0,未审附注之负债及权益!B447)</f>
        <v>0</v>
      </c>
      <c r="C447" s="2085">
        <f>IF(未审附注之负债及权益!C447="",0,未审附注之负债及权益!C447)</f>
        <v>0</v>
      </c>
      <c r="D447" s="2080"/>
      <c r="E447" s="2080"/>
      <c r="F447" s="2080"/>
      <c r="G447" s="2080"/>
      <c r="H447" s="2080"/>
      <c r="I447" s="2086" t="s">
        <v>238</v>
      </c>
    </row>
    <row r="448" spans="1:9">
      <c r="A448" s="2092">
        <f>IF(未审附注之负债及权益!A448="",0,未审附注之负债及权益!A448)</f>
        <v>0</v>
      </c>
      <c r="B448" s="2085">
        <f>IF(未审附注之负债及权益!B448="",0,未审附注之负债及权益!B448)</f>
        <v>0</v>
      </c>
      <c r="C448" s="2085">
        <f>IF(未审附注之负债及权益!C448="",0,未审附注之负债及权益!C448)</f>
        <v>0</v>
      </c>
      <c r="D448" s="2080"/>
      <c r="E448" s="2080"/>
      <c r="F448" s="2080"/>
      <c r="G448" s="2080"/>
      <c r="H448" s="2080"/>
      <c r="I448" s="2086" t="s">
        <v>238</v>
      </c>
    </row>
    <row r="449" spans="1:9">
      <c r="A449" s="2092">
        <f>IF(未审附注之负债及权益!A449="",0,未审附注之负债及权益!A449)</f>
        <v>0</v>
      </c>
      <c r="B449" s="2085">
        <f>IF(未审附注之负债及权益!B449="",0,未审附注之负债及权益!B449)</f>
        <v>0</v>
      </c>
      <c r="C449" s="2085">
        <f>IF(未审附注之负债及权益!C449="",0,未审附注之负债及权益!C449)</f>
        <v>0</v>
      </c>
      <c r="D449" s="2080"/>
      <c r="E449" s="2080"/>
      <c r="F449" s="2080"/>
      <c r="G449" s="2080"/>
      <c r="H449" s="2080"/>
      <c r="I449" s="2086" t="s">
        <v>238</v>
      </c>
    </row>
    <row r="450" spans="1:9">
      <c r="A450" s="2092">
        <f>IF(未审附注之负债及权益!A450="",0,未审附注之负债及权益!A450)</f>
        <v>0</v>
      </c>
      <c r="B450" s="2085">
        <f>IF(未审附注之负债及权益!B450="",0,未审附注之负债及权益!B450)</f>
        <v>0</v>
      </c>
      <c r="C450" s="2085">
        <f>IF(未审附注之负债及权益!C450="",0,未审附注之负债及权益!C450)</f>
        <v>0</v>
      </c>
      <c r="D450" s="2080"/>
      <c r="E450" s="2080"/>
      <c r="F450" s="2080"/>
      <c r="G450" s="2080"/>
      <c r="H450" s="2080"/>
      <c r="I450" s="2086" t="s">
        <v>238</v>
      </c>
    </row>
    <row r="451" spans="1:9">
      <c r="A451" s="2092">
        <f>IF(未审附注之负债及权益!A451="",0,未审附注之负债及权益!A451)</f>
        <v>0</v>
      </c>
      <c r="B451" s="2085">
        <f>IF(未审附注之负债及权益!B451="",0,未审附注之负债及权益!B451)</f>
        <v>0</v>
      </c>
      <c r="C451" s="2085">
        <f>IF(未审附注之负债及权益!C451="",0,未审附注之负债及权益!C451)</f>
        <v>0</v>
      </c>
      <c r="D451" s="2080"/>
      <c r="E451" s="2080"/>
      <c r="F451" s="2080"/>
      <c r="G451" s="2080"/>
      <c r="H451" s="2080"/>
      <c r="I451" s="2086" t="s">
        <v>238</v>
      </c>
    </row>
    <row r="452" spans="1:9">
      <c r="A452" s="2092">
        <f>IF(未审附注之负债及权益!A452="",0,未审附注之负债及权益!A452)</f>
        <v>0</v>
      </c>
      <c r="B452" s="2085">
        <f>IF(未审附注之负债及权益!B452="",0,未审附注之负债及权益!B452)</f>
        <v>0</v>
      </c>
      <c r="C452" s="2085">
        <f>IF(未审附注之负债及权益!C452="",0,未审附注之负债及权益!C452)</f>
        <v>0</v>
      </c>
      <c r="D452" s="2080"/>
      <c r="E452" s="2080"/>
      <c r="F452" s="2080"/>
      <c r="G452" s="2080"/>
      <c r="H452" s="2080"/>
      <c r="I452" s="2086" t="s">
        <v>238</v>
      </c>
    </row>
    <row r="453" spans="1:9">
      <c r="A453" s="2082" t="s">
        <v>384</v>
      </c>
      <c r="B453" s="2048">
        <f>ROUND(SUM(B443:B452),2)</f>
        <v>0</v>
      </c>
      <c r="C453" s="2048">
        <f>ROUND(SUM(C443:C452),2)</f>
        <v>0</v>
      </c>
      <c r="D453" s="2080"/>
      <c r="E453" s="2080"/>
      <c r="F453" s="2080"/>
      <c r="G453" s="2080"/>
      <c r="H453" s="2080"/>
      <c r="I453" s="2086" t="s">
        <v>1182</v>
      </c>
    </row>
    <row r="454" spans="1:8">
      <c r="A454" s="2080"/>
      <c r="B454" s="2080"/>
      <c r="C454" s="2080"/>
      <c r="D454" s="2080"/>
      <c r="E454" s="2080"/>
      <c r="F454" s="2080"/>
      <c r="G454" s="2080"/>
      <c r="H454" s="2080"/>
    </row>
    <row r="455" spans="1:8">
      <c r="A455" s="2080"/>
      <c r="B455" s="2080"/>
      <c r="C455" s="2080"/>
      <c r="D455" s="2080"/>
      <c r="E455" s="2080"/>
      <c r="F455" s="2080"/>
      <c r="G455" s="2080"/>
      <c r="H455" s="2080"/>
    </row>
    <row r="456" spans="1:8">
      <c r="A456" s="2079" t="s">
        <v>1183</v>
      </c>
      <c r="B456" s="2080"/>
      <c r="C456" s="2080"/>
      <c r="D456" s="2080"/>
      <c r="E456" s="2080"/>
      <c r="F456" s="2080"/>
      <c r="G456" s="2080"/>
      <c r="H456" s="2080"/>
    </row>
    <row r="457" spans="1:8">
      <c r="A457" s="2082" t="s">
        <v>1113</v>
      </c>
      <c r="B457" s="2082" t="s">
        <v>627</v>
      </c>
      <c r="C457" s="2082" t="s">
        <v>444</v>
      </c>
      <c r="D457" s="2108" t="s">
        <v>581</v>
      </c>
      <c r="E457" s="2108" t="s">
        <v>582</v>
      </c>
      <c r="F457" s="2082" t="s">
        <v>626</v>
      </c>
      <c r="G457" s="2108" t="s">
        <v>444</v>
      </c>
      <c r="H457" s="2080"/>
    </row>
    <row r="458" spans="1:9">
      <c r="A458" s="2092">
        <f>IF(未审附注之负债及权益!A458="",0,未审附注之负债及权益!A458)</f>
        <v>0</v>
      </c>
      <c r="B458" s="2085">
        <f>IF(未审附注之负债及权益!B458="",0,未审附注之负债及权益!B458)</f>
        <v>0</v>
      </c>
      <c r="C458" s="2121">
        <f>IF(B468=0,0,IF(B459=B460=B461=B462=B463=B464=B465=B466=B467=0,B458/B468,ROUND(1-C459-C460-C461-C462-C463-C464-C465-C466-C467,4)))</f>
        <v>0</v>
      </c>
      <c r="D458" s="2085">
        <f>IF(未审附注之负债及权益!D458="",0,未审附注之负债及权益!D458)</f>
        <v>0</v>
      </c>
      <c r="E458" s="2085">
        <f>IF(未审附注之负债及权益!E458="",0,未审附注之负债及权益!E458)</f>
        <v>0</v>
      </c>
      <c r="F458" s="2048">
        <f>ROUND(B458+D458-E458,2)</f>
        <v>0</v>
      </c>
      <c r="G458" s="2121">
        <f>IF(F468=0,0,IF(F459=F460=F461=F462=F463=F464=F465=F466=F467=0,F458/F468,ROUND(1-G459-G460-G461-G462-G463-G464-G465-G466-G467,4)))</f>
        <v>0</v>
      </c>
      <c r="H458" s="2080"/>
      <c r="I458" s="2086" t="s">
        <v>1184</v>
      </c>
    </row>
    <row r="459" spans="1:9">
      <c r="A459" s="2092">
        <f>IF(未审附注之负债及权益!A459="",0,未审附注之负债及权益!A459)</f>
        <v>0</v>
      </c>
      <c r="B459" s="2085">
        <f>IF(未审附注之负债及权益!B459="",0,未审附注之负债及权益!B459)</f>
        <v>0</v>
      </c>
      <c r="C459" s="2121">
        <f>IF(B$468=0,0,B459/B$468)</f>
        <v>0</v>
      </c>
      <c r="D459" s="2085">
        <f>IF(未审附注之负债及权益!D459="",0,未审附注之负债及权益!D459)</f>
        <v>0</v>
      </c>
      <c r="E459" s="2085">
        <f>IF(未审附注之负债及权益!E459="",0,未审附注之负债及权益!E459)</f>
        <v>0</v>
      </c>
      <c r="F459" s="2048">
        <f t="shared" ref="F459:F467" si="3">ROUND(B459+D459-E459,2)</f>
        <v>0</v>
      </c>
      <c r="G459" s="2121">
        <f>IF(F$468=0,0,F459/F$468)</f>
        <v>0</v>
      </c>
      <c r="H459" s="2080"/>
      <c r="I459" s="2086" t="s">
        <v>1184</v>
      </c>
    </row>
    <row r="460" spans="1:9">
      <c r="A460" s="2092">
        <f>IF(未审附注之负债及权益!A460="",0,未审附注之负债及权益!A460)</f>
        <v>0</v>
      </c>
      <c r="B460" s="2085">
        <f>IF(未审附注之负债及权益!B460="",0,未审附注之负债及权益!B460)</f>
        <v>0</v>
      </c>
      <c r="C460" s="2121">
        <f t="shared" ref="C460:C467" si="4">IF(B$468=0,0,B460/B$468)</f>
        <v>0</v>
      </c>
      <c r="D460" s="2085">
        <f>IF(未审附注之负债及权益!D460="",0,未审附注之负债及权益!D460)</f>
        <v>0</v>
      </c>
      <c r="E460" s="2085">
        <f>IF(未审附注之负债及权益!E460="",0,未审附注之负债及权益!E460)</f>
        <v>0</v>
      </c>
      <c r="F460" s="2048">
        <f t="shared" si="3"/>
        <v>0</v>
      </c>
      <c r="G460" s="2121">
        <f t="shared" ref="G460:G467" si="5">IF(F$468=0,0,F460/F$468)</f>
        <v>0</v>
      </c>
      <c r="H460" s="2080"/>
      <c r="I460" s="2086" t="s">
        <v>1184</v>
      </c>
    </row>
    <row r="461" spans="1:9">
      <c r="A461" s="2092">
        <f>IF(未审附注之负债及权益!A461="",0,未审附注之负债及权益!A461)</f>
        <v>0</v>
      </c>
      <c r="B461" s="2085">
        <f>IF(未审附注之负债及权益!B461="",0,未审附注之负债及权益!B461)</f>
        <v>0</v>
      </c>
      <c r="C461" s="2121">
        <f t="shared" si="4"/>
        <v>0</v>
      </c>
      <c r="D461" s="2085">
        <f>IF(未审附注之负债及权益!D461="",0,未审附注之负债及权益!D461)</f>
        <v>0</v>
      </c>
      <c r="E461" s="2085">
        <f>IF(未审附注之负债及权益!E461="",0,未审附注之负债及权益!E461)</f>
        <v>0</v>
      </c>
      <c r="F461" s="2048">
        <f t="shared" si="3"/>
        <v>0</v>
      </c>
      <c r="G461" s="2121">
        <f t="shared" si="5"/>
        <v>0</v>
      </c>
      <c r="H461" s="2080"/>
      <c r="I461" s="2086" t="s">
        <v>1184</v>
      </c>
    </row>
    <row r="462" spans="1:9">
      <c r="A462" s="2092">
        <f>IF(未审附注之负债及权益!A462="",0,未审附注之负债及权益!A462)</f>
        <v>0</v>
      </c>
      <c r="B462" s="2085">
        <f>IF(未审附注之负债及权益!B462="",0,未审附注之负债及权益!B462)</f>
        <v>0</v>
      </c>
      <c r="C462" s="2121">
        <f t="shared" si="4"/>
        <v>0</v>
      </c>
      <c r="D462" s="2085">
        <f>IF(未审附注之负债及权益!D462="",0,未审附注之负债及权益!D462)</f>
        <v>0</v>
      </c>
      <c r="E462" s="2085">
        <f>IF(未审附注之负债及权益!E462="",0,未审附注之负债及权益!E462)</f>
        <v>0</v>
      </c>
      <c r="F462" s="2048">
        <f t="shared" si="3"/>
        <v>0</v>
      </c>
      <c r="G462" s="2121">
        <f t="shared" si="5"/>
        <v>0</v>
      </c>
      <c r="H462" s="2080"/>
      <c r="I462" s="2086" t="s">
        <v>1184</v>
      </c>
    </row>
    <row r="463" spans="1:9">
      <c r="A463" s="2092">
        <f>IF(未审附注之负债及权益!A463="",0,未审附注之负债及权益!A463)</f>
        <v>0</v>
      </c>
      <c r="B463" s="2085">
        <f>IF(未审附注之负债及权益!B463="",0,未审附注之负债及权益!B463)</f>
        <v>0</v>
      </c>
      <c r="C463" s="2121">
        <f t="shared" si="4"/>
        <v>0</v>
      </c>
      <c r="D463" s="2085">
        <f>IF(未审附注之负债及权益!D463="",0,未审附注之负债及权益!D463)</f>
        <v>0</v>
      </c>
      <c r="E463" s="2085">
        <f>IF(未审附注之负债及权益!E463="",0,未审附注之负债及权益!E463)</f>
        <v>0</v>
      </c>
      <c r="F463" s="2048">
        <f t="shared" si="3"/>
        <v>0</v>
      </c>
      <c r="G463" s="2121">
        <f t="shared" si="5"/>
        <v>0</v>
      </c>
      <c r="H463" s="2080"/>
      <c r="I463" s="2086" t="s">
        <v>1184</v>
      </c>
    </row>
    <row r="464" spans="1:9">
      <c r="A464" s="2092">
        <f>IF(未审附注之负债及权益!A464="",0,未审附注之负债及权益!A464)</f>
        <v>0</v>
      </c>
      <c r="B464" s="2085">
        <f>IF(未审附注之负债及权益!B464="",0,未审附注之负债及权益!B464)</f>
        <v>0</v>
      </c>
      <c r="C464" s="2121">
        <f t="shared" si="4"/>
        <v>0</v>
      </c>
      <c r="D464" s="2085">
        <f>IF(未审附注之负债及权益!D464="",0,未审附注之负债及权益!D464)</f>
        <v>0</v>
      </c>
      <c r="E464" s="2085">
        <f>IF(未审附注之负债及权益!E464="",0,未审附注之负债及权益!E464)</f>
        <v>0</v>
      </c>
      <c r="F464" s="2048">
        <f t="shared" si="3"/>
        <v>0</v>
      </c>
      <c r="G464" s="2121">
        <f t="shared" si="5"/>
        <v>0</v>
      </c>
      <c r="H464" s="2080"/>
      <c r="I464" s="2086" t="s">
        <v>1184</v>
      </c>
    </row>
    <row r="465" spans="1:9">
      <c r="A465" s="2092">
        <f>IF(未审附注之负债及权益!A465="",0,未审附注之负债及权益!A465)</f>
        <v>0</v>
      </c>
      <c r="B465" s="2085">
        <f>IF(未审附注之负债及权益!B465="",0,未审附注之负债及权益!B465)</f>
        <v>0</v>
      </c>
      <c r="C465" s="2121">
        <f t="shared" si="4"/>
        <v>0</v>
      </c>
      <c r="D465" s="2085">
        <f>IF(未审附注之负债及权益!D465="",0,未审附注之负债及权益!D465)</f>
        <v>0</v>
      </c>
      <c r="E465" s="2085">
        <f>IF(未审附注之负债及权益!E465="",0,未审附注之负债及权益!E465)</f>
        <v>0</v>
      </c>
      <c r="F465" s="2048">
        <f t="shared" si="3"/>
        <v>0</v>
      </c>
      <c r="G465" s="2121">
        <f t="shared" si="5"/>
        <v>0</v>
      </c>
      <c r="H465" s="2080"/>
      <c r="I465" s="2086" t="s">
        <v>1184</v>
      </c>
    </row>
    <row r="466" spans="1:9">
      <c r="A466" s="2092">
        <f>IF(未审附注之负债及权益!A466="",0,未审附注之负债及权益!A466)</f>
        <v>0</v>
      </c>
      <c r="B466" s="2085">
        <f>IF(未审附注之负债及权益!B466="",0,未审附注之负债及权益!B466)</f>
        <v>0</v>
      </c>
      <c r="C466" s="2121">
        <f t="shared" si="4"/>
        <v>0</v>
      </c>
      <c r="D466" s="2085">
        <f>IF(未审附注之负债及权益!D466="",0,未审附注之负债及权益!D466)</f>
        <v>0</v>
      </c>
      <c r="E466" s="2085">
        <f>IF(未审附注之负债及权益!E466="",0,未审附注之负债及权益!E466)</f>
        <v>0</v>
      </c>
      <c r="F466" s="2048">
        <f t="shared" si="3"/>
        <v>0</v>
      </c>
      <c r="G466" s="2121">
        <f t="shared" si="5"/>
        <v>0</v>
      </c>
      <c r="H466" s="2080"/>
      <c r="I466" s="2086" t="s">
        <v>1184</v>
      </c>
    </row>
    <row r="467" spans="1:9">
      <c r="A467" s="2092">
        <f>IF(未审附注之负债及权益!A467="",0,未审附注之负债及权益!A467)</f>
        <v>0</v>
      </c>
      <c r="B467" s="2085">
        <f>IF(未审附注之负债及权益!B467="",0,未审附注之负债及权益!B467)</f>
        <v>0</v>
      </c>
      <c r="C467" s="2121">
        <f t="shared" si="4"/>
        <v>0</v>
      </c>
      <c r="D467" s="2085">
        <f>IF(未审附注之负债及权益!D467="",0,未审附注之负债及权益!D467)</f>
        <v>0</v>
      </c>
      <c r="E467" s="2085">
        <f>IF(未审附注之负债及权益!E467="",0,未审附注之负债及权益!E467)</f>
        <v>0</v>
      </c>
      <c r="F467" s="2048">
        <f t="shared" si="3"/>
        <v>0</v>
      </c>
      <c r="G467" s="2121">
        <f t="shared" si="5"/>
        <v>0</v>
      </c>
      <c r="H467" s="2080"/>
      <c r="I467" s="2086" t="s">
        <v>1184</v>
      </c>
    </row>
    <row r="468" spans="1:9">
      <c r="A468" s="2082" t="s">
        <v>384</v>
      </c>
      <c r="B468" s="2048">
        <f>ROUND(SUM(B458:B467),2)</f>
        <v>0</v>
      </c>
      <c r="C468" s="2093">
        <f>IF(B$468=0,0,1)</f>
        <v>0</v>
      </c>
      <c r="D468" s="2048">
        <f>ROUND(SUM(D458:D467),2)</f>
        <v>0</v>
      </c>
      <c r="E468" s="2048">
        <f>ROUND(SUM(E458:E467),2)</f>
        <v>0</v>
      </c>
      <c r="F468" s="2048">
        <f>ROUND(SUM(F458:F467),2)</f>
        <v>0</v>
      </c>
      <c r="G468" s="2093">
        <f>IF(F$468=0,0,1)</f>
        <v>0</v>
      </c>
      <c r="H468" s="2080"/>
      <c r="I468" s="2086" t="s">
        <v>1185</v>
      </c>
    </row>
    <row r="469" spans="1:8">
      <c r="A469" s="2099"/>
      <c r="B469" s="2100"/>
      <c r="C469" s="2122"/>
      <c r="D469" s="2100"/>
      <c r="E469" s="2100"/>
      <c r="F469" s="2100"/>
      <c r="G469" s="2122"/>
      <c r="H469" s="2080"/>
    </row>
    <row r="470" spans="1:8">
      <c r="A470" s="2080"/>
      <c r="B470" s="2080"/>
      <c r="C470" s="2080"/>
      <c r="D470" s="2080"/>
      <c r="E470" s="2080"/>
      <c r="F470" s="2080"/>
      <c r="G470" s="2080"/>
      <c r="H470" s="2080"/>
    </row>
    <row r="471" spans="1:8">
      <c r="A471" s="2079" t="s">
        <v>1186</v>
      </c>
      <c r="B471" s="2080"/>
      <c r="C471" s="2080"/>
      <c r="D471" s="2080"/>
      <c r="E471" s="2080"/>
      <c r="F471" s="2080"/>
      <c r="G471" s="2080"/>
      <c r="H471" s="2080"/>
    </row>
    <row r="472" spans="1:8">
      <c r="A472" s="2082" t="s">
        <v>372</v>
      </c>
      <c r="B472" s="2084" t="s">
        <v>627</v>
      </c>
      <c r="C472" s="2108" t="s">
        <v>581</v>
      </c>
      <c r="D472" s="2108" t="s">
        <v>582</v>
      </c>
      <c r="E472" s="2084" t="s">
        <v>626</v>
      </c>
      <c r="F472" s="2080"/>
      <c r="G472" s="2080"/>
      <c r="H472" s="2080"/>
    </row>
    <row r="473" spans="1:9">
      <c r="A473" s="2092">
        <f>IF(未审附注之负债及权益!A473="",0,未审附注之负债及权益!A473)</f>
        <v>0</v>
      </c>
      <c r="B473" s="2085">
        <f>IF(未审附注之负债及权益!B473="",0,未审附注之负债及权益!B473)</f>
        <v>0</v>
      </c>
      <c r="C473" s="2085">
        <f>IF(未审附注之负债及权益!C473="",0,未审附注之负债及权益!C473)</f>
        <v>0</v>
      </c>
      <c r="D473" s="2085">
        <f>IF(未审附注之负债及权益!D473="",0,未审附注之负债及权益!D473)</f>
        <v>0</v>
      </c>
      <c r="E473" s="2048">
        <f>ROUND(B473+C473-D473,2)</f>
        <v>0</v>
      </c>
      <c r="F473" s="2080"/>
      <c r="G473" s="2080"/>
      <c r="H473" s="2080"/>
      <c r="I473" s="2086" t="s">
        <v>252</v>
      </c>
    </row>
    <row r="474" spans="1:9">
      <c r="A474" s="2092">
        <f>IF(未审附注之负债及权益!A474="",0,未审附注之负债及权益!A474)</f>
        <v>0</v>
      </c>
      <c r="B474" s="2085">
        <f>IF(未审附注之负债及权益!B474="",0,未审附注之负债及权益!B474)</f>
        <v>0</v>
      </c>
      <c r="C474" s="2085">
        <f>IF(未审附注之负债及权益!C474="",0,未审附注之负债及权益!C474)</f>
        <v>0</v>
      </c>
      <c r="D474" s="2085">
        <f>IF(未审附注之负债及权益!D474="",0,未审附注之负债及权益!D474)</f>
        <v>0</v>
      </c>
      <c r="E474" s="2048">
        <f t="shared" ref="E474:E482" si="6">ROUND(B474+C474-D474,2)</f>
        <v>0</v>
      </c>
      <c r="F474" s="2080"/>
      <c r="G474" s="2080"/>
      <c r="H474" s="2080"/>
      <c r="I474" s="2086" t="s">
        <v>252</v>
      </c>
    </row>
    <row r="475" spans="1:9">
      <c r="A475" s="2092">
        <f>IF(未审附注之负债及权益!A475="",0,未审附注之负债及权益!A475)</f>
        <v>0</v>
      </c>
      <c r="B475" s="2085">
        <f>IF(未审附注之负债及权益!B475="",0,未审附注之负债及权益!B475)</f>
        <v>0</v>
      </c>
      <c r="C475" s="2085">
        <f>IF(未审附注之负债及权益!C475="",0,未审附注之负债及权益!C475)</f>
        <v>0</v>
      </c>
      <c r="D475" s="2085">
        <f>IF(未审附注之负债及权益!D475="",0,未审附注之负债及权益!D475)</f>
        <v>0</v>
      </c>
      <c r="E475" s="2048">
        <f t="shared" si="6"/>
        <v>0</v>
      </c>
      <c r="F475" s="2080"/>
      <c r="G475" s="2080"/>
      <c r="H475" s="2080"/>
      <c r="I475" s="2086" t="s">
        <v>252</v>
      </c>
    </row>
    <row r="476" spans="1:9">
      <c r="A476" s="2092">
        <f>IF(未审附注之负债及权益!A476="",0,未审附注之负债及权益!A476)</f>
        <v>0</v>
      </c>
      <c r="B476" s="2085">
        <f>IF(未审附注之负债及权益!B476="",0,未审附注之负债及权益!B476)</f>
        <v>0</v>
      </c>
      <c r="C476" s="2085">
        <f>IF(未审附注之负债及权益!C476="",0,未审附注之负债及权益!C476)</f>
        <v>0</v>
      </c>
      <c r="D476" s="2085">
        <f>IF(未审附注之负债及权益!D476="",0,未审附注之负债及权益!D476)</f>
        <v>0</v>
      </c>
      <c r="E476" s="2048">
        <f t="shared" si="6"/>
        <v>0</v>
      </c>
      <c r="F476" s="2080"/>
      <c r="G476" s="2080"/>
      <c r="H476" s="2080"/>
      <c r="I476" s="2086" t="s">
        <v>252</v>
      </c>
    </row>
    <row r="477" spans="1:9">
      <c r="A477" s="2092">
        <f>IF(未审附注之负债及权益!A477="",0,未审附注之负债及权益!A477)</f>
        <v>0</v>
      </c>
      <c r="B477" s="2085">
        <f>IF(未审附注之负债及权益!B477="",0,未审附注之负债及权益!B477)</f>
        <v>0</v>
      </c>
      <c r="C477" s="2085">
        <f>IF(未审附注之负债及权益!C477="",0,未审附注之负债及权益!C477)</f>
        <v>0</v>
      </c>
      <c r="D477" s="2085">
        <f>IF(未审附注之负债及权益!D477="",0,未审附注之负债及权益!D477)</f>
        <v>0</v>
      </c>
      <c r="E477" s="2048">
        <f t="shared" si="6"/>
        <v>0</v>
      </c>
      <c r="F477" s="2080"/>
      <c r="G477" s="2080"/>
      <c r="H477" s="2080"/>
      <c r="I477" s="2086" t="s">
        <v>252</v>
      </c>
    </row>
    <row r="478" spans="1:9">
      <c r="A478" s="2092">
        <f>IF(未审附注之负债及权益!A478="",0,未审附注之负债及权益!A478)</f>
        <v>0</v>
      </c>
      <c r="B478" s="2085">
        <f>IF(未审附注之负债及权益!B478="",0,未审附注之负债及权益!B478)</f>
        <v>0</v>
      </c>
      <c r="C478" s="2085">
        <f>IF(未审附注之负债及权益!C478="",0,未审附注之负债及权益!C478)</f>
        <v>0</v>
      </c>
      <c r="D478" s="2085">
        <f>IF(未审附注之负债及权益!D478="",0,未审附注之负债及权益!D478)</f>
        <v>0</v>
      </c>
      <c r="E478" s="2048">
        <f t="shared" si="6"/>
        <v>0</v>
      </c>
      <c r="F478" s="2080"/>
      <c r="G478" s="2080"/>
      <c r="H478" s="2080"/>
      <c r="I478" s="2086" t="s">
        <v>252</v>
      </c>
    </row>
    <row r="479" spans="1:9">
      <c r="A479" s="2092">
        <f>IF(未审附注之负债及权益!A479="",0,未审附注之负债及权益!A479)</f>
        <v>0</v>
      </c>
      <c r="B479" s="2085">
        <f>IF(未审附注之负债及权益!B479="",0,未审附注之负债及权益!B479)</f>
        <v>0</v>
      </c>
      <c r="C479" s="2085">
        <f>IF(未审附注之负债及权益!C479="",0,未审附注之负债及权益!C479)</f>
        <v>0</v>
      </c>
      <c r="D479" s="2085">
        <f>IF(未审附注之负债及权益!D479="",0,未审附注之负债及权益!D479)</f>
        <v>0</v>
      </c>
      <c r="E479" s="2048">
        <f t="shared" si="6"/>
        <v>0</v>
      </c>
      <c r="F479" s="2080"/>
      <c r="G479" s="2080"/>
      <c r="H479" s="2080"/>
      <c r="I479" s="2086" t="s">
        <v>252</v>
      </c>
    </row>
    <row r="480" spans="1:9">
      <c r="A480" s="2092">
        <f>IF(未审附注之负债及权益!A480="",0,未审附注之负债及权益!A480)</f>
        <v>0</v>
      </c>
      <c r="B480" s="2085">
        <f>IF(未审附注之负债及权益!B480="",0,未审附注之负债及权益!B480)</f>
        <v>0</v>
      </c>
      <c r="C480" s="2085">
        <f>IF(未审附注之负债及权益!C480="",0,未审附注之负债及权益!C480)</f>
        <v>0</v>
      </c>
      <c r="D480" s="2085">
        <f>IF(未审附注之负债及权益!D480="",0,未审附注之负债及权益!D480)</f>
        <v>0</v>
      </c>
      <c r="E480" s="2048">
        <f t="shared" si="6"/>
        <v>0</v>
      </c>
      <c r="F480" s="2080"/>
      <c r="G480" s="2080"/>
      <c r="H480" s="2080"/>
      <c r="I480" s="2086" t="s">
        <v>252</v>
      </c>
    </row>
    <row r="481" spans="1:9">
      <c r="A481" s="2092">
        <f>IF(未审附注之负债及权益!A481="",0,未审附注之负债及权益!A481)</f>
        <v>0</v>
      </c>
      <c r="B481" s="2085">
        <f>IF(未审附注之负债及权益!B481="",0,未审附注之负债及权益!B481)</f>
        <v>0</v>
      </c>
      <c r="C481" s="2085">
        <f>IF(未审附注之负债及权益!C481="",0,未审附注之负债及权益!C481)</f>
        <v>0</v>
      </c>
      <c r="D481" s="2085">
        <f>IF(未审附注之负债及权益!D481="",0,未审附注之负债及权益!D481)</f>
        <v>0</v>
      </c>
      <c r="E481" s="2048">
        <f t="shared" si="6"/>
        <v>0</v>
      </c>
      <c r="F481" s="2080"/>
      <c r="G481" s="2080"/>
      <c r="H481" s="2080"/>
      <c r="I481" s="2086" t="s">
        <v>252</v>
      </c>
    </row>
    <row r="482" spans="1:9">
      <c r="A482" s="2092">
        <f>IF(未审附注之负债及权益!A482="",0,未审附注之负债及权益!A482)</f>
        <v>0</v>
      </c>
      <c r="B482" s="2085">
        <f>IF(未审附注之负债及权益!B482="",0,未审附注之负债及权益!B482)</f>
        <v>0</v>
      </c>
      <c r="C482" s="2085">
        <f>IF(未审附注之负债及权益!C482="",0,未审附注之负债及权益!C482)</f>
        <v>0</v>
      </c>
      <c r="D482" s="2085">
        <f>IF(未审附注之负债及权益!D482="",0,未审附注之负债及权益!D482)</f>
        <v>0</v>
      </c>
      <c r="E482" s="2048">
        <f t="shared" si="6"/>
        <v>0</v>
      </c>
      <c r="F482" s="2080"/>
      <c r="G482" s="2080"/>
      <c r="H482" s="2080"/>
      <c r="I482" s="2086" t="s">
        <v>252</v>
      </c>
    </row>
    <row r="483" spans="1:9">
      <c r="A483" s="2082" t="s">
        <v>384</v>
      </c>
      <c r="B483" s="2048">
        <f>ROUND(SUM(B473:B482),2)</f>
        <v>0</v>
      </c>
      <c r="C483" s="2048">
        <f>ROUND(SUM(C473:C482),2)</f>
        <v>0</v>
      </c>
      <c r="D483" s="2048">
        <f>ROUND(SUM(D473:D482),2)</f>
        <v>0</v>
      </c>
      <c r="E483" s="2048">
        <f>ROUND(SUM(E473:E482),2)</f>
        <v>0</v>
      </c>
      <c r="F483" s="2080"/>
      <c r="G483" s="2080"/>
      <c r="H483" s="2080"/>
      <c r="I483" s="2086" t="s">
        <v>1187</v>
      </c>
    </row>
    <row r="484" spans="1:8">
      <c r="A484" s="2099"/>
      <c r="B484" s="2100"/>
      <c r="C484" s="2100"/>
      <c r="D484" s="2100"/>
      <c r="E484" s="2100"/>
      <c r="F484" s="2080"/>
      <c r="G484" s="2080"/>
      <c r="H484" s="2080"/>
    </row>
    <row r="485" spans="1:8">
      <c r="A485" s="2080"/>
      <c r="B485" s="2080"/>
      <c r="C485" s="2080"/>
      <c r="D485" s="2080"/>
      <c r="E485" s="2080"/>
      <c r="F485" s="2080"/>
      <c r="G485" s="2080"/>
      <c r="H485" s="2080"/>
    </row>
    <row r="486" spans="1:8">
      <c r="A486" s="2123" t="s">
        <v>1188</v>
      </c>
      <c r="B486" s="2080"/>
      <c r="C486" s="2080"/>
      <c r="D486" s="2080"/>
      <c r="E486" s="2080"/>
      <c r="F486" s="2080"/>
      <c r="G486" s="2080"/>
      <c r="H486" s="2080"/>
    </row>
    <row r="487" spans="1:8">
      <c r="A487" s="2112" t="s">
        <v>1189</v>
      </c>
      <c r="B487" s="2080"/>
      <c r="C487" s="2080"/>
      <c r="D487" s="2080"/>
      <c r="E487" s="2080"/>
      <c r="F487" s="2080"/>
      <c r="G487" s="2080"/>
      <c r="H487" s="2080"/>
    </row>
    <row r="488" spans="1:8">
      <c r="A488" s="2112" t="s">
        <v>1190</v>
      </c>
      <c r="B488" s="2080"/>
      <c r="C488" s="2080"/>
      <c r="D488" s="2080"/>
      <c r="E488" s="2080"/>
      <c r="F488" s="2080"/>
      <c r="G488" s="2080"/>
      <c r="H488" s="2080"/>
    </row>
    <row r="489" spans="1:8">
      <c r="A489" s="2112" t="s">
        <v>1191</v>
      </c>
      <c r="B489" s="2080"/>
      <c r="C489" s="2080"/>
      <c r="D489" s="2080"/>
      <c r="E489" s="2080"/>
      <c r="F489" s="2080"/>
      <c r="G489" s="2080"/>
      <c r="H489" s="2080"/>
    </row>
    <row r="490" spans="1:8">
      <c r="A490" s="2112" t="s">
        <v>1192</v>
      </c>
      <c r="B490" s="2080"/>
      <c r="C490" s="2080"/>
      <c r="D490" s="2080"/>
      <c r="E490" s="2080"/>
      <c r="F490" s="2080"/>
      <c r="G490" s="2080"/>
      <c r="H490" s="2080"/>
    </row>
    <row r="491" spans="1:8">
      <c r="A491" s="2112" t="s">
        <v>1193</v>
      </c>
      <c r="B491" s="2080"/>
      <c r="C491" s="2080"/>
      <c r="D491" s="2080"/>
      <c r="E491" s="2080"/>
      <c r="F491" s="2080"/>
      <c r="G491" s="2080"/>
      <c r="H491" s="2080"/>
    </row>
    <row r="492" spans="1:8">
      <c r="A492" s="2112"/>
      <c r="B492" s="2080"/>
      <c r="C492" s="2080"/>
      <c r="D492" s="2080"/>
      <c r="E492" s="2080"/>
      <c r="F492" s="2080"/>
      <c r="G492" s="2080"/>
      <c r="H492" s="2080"/>
    </row>
    <row r="493" spans="1:8">
      <c r="A493" s="2080"/>
      <c r="B493" s="2080"/>
      <c r="C493" s="2080"/>
      <c r="D493" s="2080"/>
      <c r="E493" s="2080"/>
      <c r="F493" s="2080"/>
      <c r="G493" s="2080"/>
      <c r="H493" s="2080"/>
    </row>
    <row r="494" spans="1:8">
      <c r="A494" s="2097" t="s">
        <v>1194</v>
      </c>
      <c r="B494" s="2080"/>
      <c r="C494" s="2080"/>
      <c r="D494" s="2080"/>
      <c r="E494" s="2080"/>
      <c r="F494" s="2080"/>
      <c r="G494" s="2080"/>
      <c r="H494" s="2080"/>
    </row>
    <row r="495" spans="1:8">
      <c r="A495" s="2124" t="s">
        <v>1195</v>
      </c>
      <c r="B495" s="2084" t="s">
        <v>627</v>
      </c>
      <c r="C495" s="2108" t="s">
        <v>581</v>
      </c>
      <c r="D495" s="2108" t="s">
        <v>582</v>
      </c>
      <c r="E495" s="2084" t="s">
        <v>626</v>
      </c>
      <c r="F495" s="2098" t="s">
        <v>1196</v>
      </c>
      <c r="G495" s="2080"/>
      <c r="H495" s="2080"/>
    </row>
    <row r="496" spans="1:9">
      <c r="A496" s="2098" t="s">
        <v>1197</v>
      </c>
      <c r="B496" s="2085">
        <f>IF(未审附注之负债及权益!B496="",0,未审附注之负债及权益!B496)</f>
        <v>0</v>
      </c>
      <c r="C496" s="2085">
        <f>IF(未审附注之负债及权益!C496="",0,未审附注之负债及权益!C496)</f>
        <v>0</v>
      </c>
      <c r="D496" s="2085">
        <f>IF(未审附注之负债及权益!D496="",0,未审附注之负债及权益!D496)</f>
        <v>0</v>
      </c>
      <c r="E496" s="2048">
        <f>ROUND(B496+C496-D496,2)</f>
        <v>0</v>
      </c>
      <c r="F496" s="2092">
        <f>IF(未审附注之负债及权益!F496="",0,未审附注之负债及权益!F496)</f>
        <v>0</v>
      </c>
      <c r="G496" s="2080"/>
      <c r="H496" s="2080"/>
      <c r="I496" s="2086" t="s">
        <v>1198</v>
      </c>
    </row>
    <row r="497" spans="1:9">
      <c r="A497" s="2098" t="s">
        <v>1199</v>
      </c>
      <c r="B497" s="2085">
        <f>IF(未审附注之负债及权益!B497="",0,未审附注之负债及权益!B497)</f>
        <v>0</v>
      </c>
      <c r="C497" s="2085">
        <f>IF(未审附注之负债及权益!C497="",0,未审附注之负债及权益!C497)</f>
        <v>0</v>
      </c>
      <c r="D497" s="2085">
        <f>IF(未审附注之负债及权益!D497="",0,未审附注之负债及权益!D497)</f>
        <v>0</v>
      </c>
      <c r="E497" s="2048">
        <f>ROUND(B497+C497-D497,2)</f>
        <v>0</v>
      </c>
      <c r="F497" s="2092">
        <f>IF(未审附注之负债及权益!F497="",0,未审附注之负债及权益!F497)</f>
        <v>0</v>
      </c>
      <c r="G497" s="2080"/>
      <c r="H497" s="2080"/>
      <c r="I497" s="2086" t="s">
        <v>1200</v>
      </c>
    </row>
    <row r="498" spans="1:9">
      <c r="A498" s="2098" t="s">
        <v>1201</v>
      </c>
      <c r="B498" s="2085">
        <f>IF(未审附注之负债及权益!B498="",0,未审附注之负债及权益!B498)</f>
        <v>0</v>
      </c>
      <c r="C498" s="2085">
        <f>IF(未审附注之负债及权益!C498="",0,未审附注之负债及权益!C498)</f>
        <v>0</v>
      </c>
      <c r="D498" s="2085">
        <f>IF(未审附注之负债及权益!D498="",0,未审附注之负债及权益!D498)</f>
        <v>0</v>
      </c>
      <c r="E498" s="2048">
        <f>ROUND(B498+C498-D498,2)</f>
        <v>0</v>
      </c>
      <c r="F498" s="2092">
        <f>IF(未审附注之负债及权益!F498="",0,未审附注之负债及权益!F498)</f>
        <v>0</v>
      </c>
      <c r="G498" s="2080"/>
      <c r="H498" s="2080"/>
      <c r="I498" s="2086" t="s">
        <v>1202</v>
      </c>
    </row>
    <row r="499" spans="1:9">
      <c r="A499" s="2098" t="s">
        <v>1203</v>
      </c>
      <c r="B499" s="2085">
        <f>IF(未审附注之负债及权益!B499="",0,未审附注之负债及权益!B499)</f>
        <v>0</v>
      </c>
      <c r="C499" s="2085">
        <f>IF(未审附注之负债及权益!C499="",0,未审附注之负债及权益!C499)</f>
        <v>0</v>
      </c>
      <c r="D499" s="2085">
        <f>IF(未审附注之负债及权益!D499="",0,未审附注之负债及权益!D499)</f>
        <v>0</v>
      </c>
      <c r="E499" s="2048">
        <f>ROUND(B499+C499-D499,2)</f>
        <v>0</v>
      </c>
      <c r="F499" s="2092">
        <f>IF(未审附注之负债及权益!F499="",0,未审附注之负债及权益!F499)</f>
        <v>0</v>
      </c>
      <c r="G499" s="2080"/>
      <c r="H499" s="2080"/>
      <c r="I499" s="2086" t="s">
        <v>1204</v>
      </c>
    </row>
    <row r="500" spans="1:9">
      <c r="A500" s="2098" t="s">
        <v>279</v>
      </c>
      <c r="B500" s="2085">
        <f>IF(未审附注之负债及权益!B500="",0,未审附注之负债及权益!B500)</f>
        <v>0</v>
      </c>
      <c r="C500" s="2085">
        <f>IF(未审附注之负债及权益!C500="",0,未审附注之负债及权益!C500)</f>
        <v>0</v>
      </c>
      <c r="D500" s="2085">
        <f>IF(未审附注之负债及权益!D500="",0,未审附注之负债及权益!D500)</f>
        <v>0</v>
      </c>
      <c r="E500" s="2048">
        <f>ROUND(B500+C500-D500,2)</f>
        <v>0</v>
      </c>
      <c r="F500" s="2092">
        <f>IF(未审附注之负债及权益!F500="",0,未审附注之负债及权益!F500)</f>
        <v>0</v>
      </c>
      <c r="G500" s="2080"/>
      <c r="H500" s="2080"/>
      <c r="I500" s="2086" t="s">
        <v>1205</v>
      </c>
    </row>
    <row r="501" spans="1:9">
      <c r="A501" s="2124" t="s">
        <v>1206</v>
      </c>
      <c r="B501" s="2048">
        <f>ROUND(SUM(B496:B500),2)</f>
        <v>0</v>
      </c>
      <c r="C501" s="2048">
        <f>ROUND(SUM(C496:C500),2)</f>
        <v>0</v>
      </c>
      <c r="D501" s="2048">
        <f>ROUND(SUM(D496:D500),2)</f>
        <v>0</v>
      </c>
      <c r="E501" s="2048">
        <f>ROUND(SUM(E496:E500),2)</f>
        <v>0</v>
      </c>
      <c r="F501" s="2098"/>
      <c r="G501" s="2080"/>
      <c r="H501" s="2080"/>
      <c r="I501" s="2086" t="s">
        <v>1207</v>
      </c>
    </row>
    <row r="502" spans="1:8">
      <c r="A502" s="2102"/>
      <c r="B502" s="2100"/>
      <c r="C502" s="2100"/>
      <c r="D502" s="2100"/>
      <c r="E502" s="2100"/>
      <c r="F502" s="2095"/>
      <c r="G502" s="2080"/>
      <c r="H502" s="2080"/>
    </row>
    <row r="503" spans="1:8">
      <c r="A503" s="2080"/>
      <c r="B503" s="2080"/>
      <c r="C503" s="2080"/>
      <c r="D503" s="2080"/>
      <c r="E503" s="2080"/>
      <c r="F503" s="2080"/>
      <c r="G503" s="2080"/>
      <c r="H503" s="2080"/>
    </row>
    <row r="504" spans="1:8">
      <c r="A504" s="2097" t="s">
        <v>1208</v>
      </c>
      <c r="B504" s="2080"/>
      <c r="C504" s="2080"/>
      <c r="D504" s="2080"/>
      <c r="E504" s="2080"/>
      <c r="F504" s="2080"/>
      <c r="G504" s="2080"/>
      <c r="H504" s="2080"/>
    </row>
    <row r="505" spans="1:8">
      <c r="A505" s="2124" t="s">
        <v>60</v>
      </c>
      <c r="B505" s="2124" t="s">
        <v>365</v>
      </c>
      <c r="C505" s="2080"/>
      <c r="D505" s="2080"/>
      <c r="E505" s="2080"/>
      <c r="F505" s="2080"/>
      <c r="G505" s="2080"/>
      <c r="H505" s="2080"/>
    </row>
    <row r="506" spans="1:9">
      <c r="A506" s="2106" t="s">
        <v>1209</v>
      </c>
      <c r="B506" s="2085">
        <f>IF(未审附注之负债及权益!B506="",0,未审附注之负债及权益!B506)</f>
        <v>0</v>
      </c>
      <c r="C506" s="2080"/>
      <c r="D506" s="2080"/>
      <c r="E506" s="2080"/>
      <c r="F506" s="2080"/>
      <c r="G506" s="2080"/>
      <c r="H506" s="2080"/>
      <c r="I506" s="2086" t="s">
        <v>1210</v>
      </c>
    </row>
    <row r="507" spans="1:9">
      <c r="A507" s="2106" t="s">
        <v>1211</v>
      </c>
      <c r="B507" s="2048">
        <f>ROUND(B508+B509,2)</f>
        <v>0</v>
      </c>
      <c r="C507" s="2080"/>
      <c r="D507" s="2080"/>
      <c r="E507" s="2080"/>
      <c r="F507" s="2080"/>
      <c r="G507" s="2080"/>
      <c r="H507" s="2080"/>
      <c r="I507" s="2086" t="s">
        <v>1212</v>
      </c>
    </row>
    <row r="508" spans="1:9">
      <c r="A508" s="2106" t="s">
        <v>1213</v>
      </c>
      <c r="B508" s="2085">
        <f>IF(未审附注之负债及权益!B508="",0,未审附注之负债及权益!B508)</f>
        <v>0</v>
      </c>
      <c r="C508" s="2080"/>
      <c r="D508" s="2080"/>
      <c r="E508" s="2080"/>
      <c r="F508" s="2080"/>
      <c r="G508" s="2080"/>
      <c r="H508" s="2080"/>
      <c r="I508" s="2086" t="s">
        <v>1214</v>
      </c>
    </row>
    <row r="509" spans="1:9">
      <c r="A509" s="2098" t="s">
        <v>1215</v>
      </c>
      <c r="B509" s="2085">
        <f>IF(未审附注之负债及权益!B509="",0,未审附注之负债及权益!B509)</f>
        <v>0</v>
      </c>
      <c r="C509" s="2080"/>
      <c r="D509" s="2080"/>
      <c r="E509" s="2080"/>
      <c r="F509" s="2080"/>
      <c r="G509" s="2080"/>
      <c r="H509" s="2080"/>
      <c r="I509" s="2086" t="s">
        <v>1216</v>
      </c>
    </row>
    <row r="510" spans="1:9">
      <c r="A510" s="2106" t="s">
        <v>1217</v>
      </c>
      <c r="B510" s="2048">
        <f>ROUND(B506+B507,2)</f>
        <v>0</v>
      </c>
      <c r="C510" s="2080"/>
      <c r="D510" s="2080"/>
      <c r="E510" s="2080"/>
      <c r="F510" s="2080"/>
      <c r="G510" s="2080"/>
      <c r="H510" s="2080"/>
      <c r="I510" s="2086" t="s">
        <v>1218</v>
      </c>
    </row>
    <row r="511" spans="1:9">
      <c r="A511" s="2106" t="s">
        <v>1219</v>
      </c>
      <c r="B511" s="2048">
        <f>ROUND(B512+B513,2)</f>
        <v>0</v>
      </c>
      <c r="C511" s="2080"/>
      <c r="D511" s="2080"/>
      <c r="E511" s="2080"/>
      <c r="F511" s="2080"/>
      <c r="G511" s="2080"/>
      <c r="H511" s="2080"/>
      <c r="I511" s="2086" t="s">
        <v>1220</v>
      </c>
    </row>
    <row r="512" spans="1:9">
      <c r="A512" s="2106" t="s">
        <v>1221</v>
      </c>
      <c r="B512" s="2085">
        <f>IF(未审附注之负债及权益!B512="",0,未审附注之负债及权益!B512)</f>
        <v>0</v>
      </c>
      <c r="C512" s="2080"/>
      <c r="D512" s="2080"/>
      <c r="E512" s="2080"/>
      <c r="F512" s="2080"/>
      <c r="G512" s="2080"/>
      <c r="H512" s="2080"/>
      <c r="I512" s="2086" t="s">
        <v>1222</v>
      </c>
    </row>
    <row r="513" spans="1:9">
      <c r="A513" s="2098" t="s">
        <v>1223</v>
      </c>
      <c r="B513" s="2085">
        <f>IF(未审附注之负债及权益!B513="",0,未审附注之负债及权益!B513)</f>
        <v>0</v>
      </c>
      <c r="C513" s="2080"/>
      <c r="D513" s="2080"/>
      <c r="E513" s="2080"/>
      <c r="F513" s="2080"/>
      <c r="G513" s="2080"/>
      <c r="H513" s="2080"/>
      <c r="I513" s="2086" t="s">
        <v>1224</v>
      </c>
    </row>
    <row r="514" spans="1:9">
      <c r="A514" s="2106" t="s">
        <v>1225</v>
      </c>
      <c r="B514" s="2048">
        <f>ROUND(B515+B516+B517+B518,2)</f>
        <v>0</v>
      </c>
      <c r="C514" s="2080"/>
      <c r="D514" s="2080"/>
      <c r="E514" s="2080"/>
      <c r="F514" s="2080"/>
      <c r="G514" s="2080"/>
      <c r="H514" s="2080"/>
      <c r="I514" s="2086" t="s">
        <v>1226</v>
      </c>
    </row>
    <row r="515" spans="1:9">
      <c r="A515" s="2106" t="s">
        <v>1227</v>
      </c>
      <c r="B515" s="2085">
        <f>IF(未审附注之负债及权益!B515="",0,未审附注之负债及权益!B515)</f>
        <v>0</v>
      </c>
      <c r="C515" s="2080"/>
      <c r="D515" s="2080"/>
      <c r="E515" s="2080"/>
      <c r="F515" s="2080"/>
      <c r="G515" s="2080"/>
      <c r="H515" s="2080"/>
      <c r="I515" s="2086" t="s">
        <v>1228</v>
      </c>
    </row>
    <row r="516" spans="1:9">
      <c r="A516" s="2098" t="s">
        <v>1229</v>
      </c>
      <c r="B516" s="2085">
        <f>IF(未审附注之负债及权益!B516="",0,未审附注之负债及权益!B516)</f>
        <v>0</v>
      </c>
      <c r="C516" s="2080"/>
      <c r="D516" s="2080"/>
      <c r="E516" s="2080"/>
      <c r="F516" s="2080"/>
      <c r="G516" s="2080"/>
      <c r="H516" s="2080"/>
      <c r="I516" s="2086" t="s">
        <v>1230</v>
      </c>
    </row>
    <row r="517" spans="1:9">
      <c r="A517" s="2098" t="s">
        <v>1231</v>
      </c>
      <c r="B517" s="2085">
        <f>IF(未审附注之负债及权益!B517="",0,未审附注之负债及权益!B517)</f>
        <v>0</v>
      </c>
      <c r="C517" s="2080"/>
      <c r="D517" s="2080"/>
      <c r="E517" s="2080"/>
      <c r="F517" s="2080"/>
      <c r="G517" s="2080"/>
      <c r="H517" s="2080"/>
      <c r="I517" s="2086" t="s">
        <v>1232</v>
      </c>
    </row>
    <row r="518" spans="1:9">
      <c r="A518" s="2098" t="s">
        <v>1233</v>
      </c>
      <c r="B518" s="2085">
        <f>IF(未审附注之负债及权益!B518="",0,未审附注之负债及权益!B518)</f>
        <v>0</v>
      </c>
      <c r="C518" s="2080"/>
      <c r="D518" s="2080"/>
      <c r="E518" s="2080"/>
      <c r="F518" s="2080"/>
      <c r="G518" s="2080"/>
      <c r="H518" s="2080"/>
      <c r="I518" s="2086" t="s">
        <v>1234</v>
      </c>
    </row>
    <row r="519" spans="1:9">
      <c r="A519" s="2106" t="s">
        <v>1235</v>
      </c>
      <c r="B519" s="2048">
        <f>ROUND(B510+B511-B514,2)</f>
        <v>0</v>
      </c>
      <c r="C519" s="2080"/>
      <c r="D519" s="2080"/>
      <c r="E519" s="2080"/>
      <c r="F519" s="2080"/>
      <c r="G519" s="2080"/>
      <c r="H519" s="2080"/>
      <c r="I519" s="2086" t="s">
        <v>1236</v>
      </c>
    </row>
    <row r="520" spans="1:9">
      <c r="A520" s="2106" t="s">
        <v>1237</v>
      </c>
      <c r="B520" s="2085">
        <f>IF(未审附注之负债及权益!B520="",0,未审附注之负债及权益!B520)</f>
        <v>0</v>
      </c>
      <c r="C520" s="2080"/>
      <c r="D520" s="2080"/>
      <c r="E520" s="2080"/>
      <c r="F520" s="2080"/>
      <c r="G520" s="2080"/>
      <c r="H520" s="2080"/>
      <c r="I520" s="2086" t="s">
        <v>1238</v>
      </c>
    </row>
    <row r="521" spans="1:9">
      <c r="A521" s="2080"/>
      <c r="B521" s="2080"/>
      <c r="C521" s="2080"/>
      <c r="D521" s="2080"/>
      <c r="E521" s="2080"/>
      <c r="F521" s="2080"/>
      <c r="G521" s="2080"/>
      <c r="H521" s="2080"/>
      <c r="I521" s="2086" t="s">
        <v>629</v>
      </c>
    </row>
  </sheetData>
  <mergeCells count="10">
    <mergeCell ref="A1:H1"/>
    <mergeCell ref="B59:C59"/>
    <mergeCell ref="D59:E59"/>
    <mergeCell ref="B112:C112"/>
    <mergeCell ref="D112:E112"/>
    <mergeCell ref="B232:C232"/>
    <mergeCell ref="D232:E232"/>
    <mergeCell ref="A59:A60"/>
    <mergeCell ref="A112:A113"/>
    <mergeCell ref="A232:A233"/>
  </mergeCells>
  <pageMargins left="0.75" right="0.75" top="1" bottom="1" header="0.5" footer="0.5"/>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93"/>
  <sheetViews>
    <sheetView showGridLines="0" showZeros="0" zoomScale="105" zoomScaleNormal="105" workbookViewId="0">
      <pane xSplit="1" ySplit="1" topLeftCell="B2" activePane="bottomRight" state="frozen"/>
      <selection/>
      <selection pane="topRight"/>
      <selection pane="bottomLeft"/>
      <selection pane="bottomRight" activeCell="B6" sqref="B6"/>
    </sheetView>
  </sheetViews>
  <sheetFormatPr defaultColWidth="9" defaultRowHeight="12.75"/>
  <cols>
    <col min="1" max="1" width="37.75" style="2075" customWidth="1"/>
    <col min="2" max="7" width="12.25" style="2075" customWidth="1"/>
    <col min="8" max="8" width="35.25" style="2076" hidden="1" customWidth="1"/>
    <col min="9" max="16384" width="9" style="2075"/>
  </cols>
  <sheetData>
    <row r="1" s="2074" customFormat="1" ht="25.5" spans="1:10">
      <c r="A1" s="2077" t="s">
        <v>1533</v>
      </c>
      <c r="B1" s="2077"/>
      <c r="C1" s="2077"/>
      <c r="D1" s="2077"/>
      <c r="E1" s="2077"/>
      <c r="F1" s="2077"/>
      <c r="G1" s="2077"/>
      <c r="H1" s="2078"/>
      <c r="I1" s="2078"/>
      <c r="J1" s="2078"/>
    </row>
    <row r="2" spans="1:7">
      <c r="A2" s="2079" t="s">
        <v>1239</v>
      </c>
      <c r="B2" s="2080"/>
      <c r="C2" s="2080"/>
      <c r="D2" s="2080"/>
      <c r="E2" s="2080"/>
      <c r="F2" s="2080"/>
      <c r="G2" s="2080"/>
    </row>
    <row r="3" spans="1:7">
      <c r="A3" s="2081" t="s">
        <v>1240</v>
      </c>
      <c r="B3" s="2080"/>
      <c r="C3" s="2080"/>
      <c r="D3" s="2080"/>
      <c r="E3" s="2080"/>
      <c r="F3" s="2080"/>
      <c r="G3" s="2080"/>
    </row>
    <row r="4" customHeight="1" spans="1:7">
      <c r="A4" s="2082" t="s">
        <v>372</v>
      </c>
      <c r="B4" s="2082" t="s">
        <v>1241</v>
      </c>
      <c r="C4" s="2083"/>
      <c r="D4" s="2083"/>
      <c r="E4" s="2082" t="s">
        <v>1242</v>
      </c>
      <c r="F4" s="2083"/>
      <c r="G4" s="2083"/>
    </row>
    <row r="5" customHeight="1" spans="1:7">
      <c r="A5" s="2083"/>
      <c r="B5" s="2082" t="s">
        <v>1243</v>
      </c>
      <c r="C5" s="2082" t="s">
        <v>1244</v>
      </c>
      <c r="D5" s="2082" t="s">
        <v>1245</v>
      </c>
      <c r="E5" s="2082" t="s">
        <v>1243</v>
      </c>
      <c r="F5" s="2082" t="s">
        <v>1244</v>
      </c>
      <c r="G5" s="2082" t="s">
        <v>1245</v>
      </c>
    </row>
    <row r="6" spans="1:8">
      <c r="A6" s="2084" t="s">
        <v>1246</v>
      </c>
      <c r="B6" s="2085">
        <f>IF(未审附注之利润及利润分配!B6="",0,未审附注之利润及利润分配!B6)</f>
        <v>0</v>
      </c>
      <c r="C6" s="2085">
        <f>IF(未审附注之利润及利润分配!C6="",0,未审附注之利润及利润分配!C6)</f>
        <v>0</v>
      </c>
      <c r="D6" s="2048">
        <f>ROUND(B6-C6,2)</f>
        <v>0</v>
      </c>
      <c r="E6" s="2085">
        <f>IF(未审附注之利润及利润分配!E6="",0,未审附注之利润及利润分配!E6)</f>
        <v>0</v>
      </c>
      <c r="F6" s="2085">
        <f>IF(未审附注之利润及利润分配!F6="",0,未审附注之利润及利润分配!F6)</f>
        <v>0</v>
      </c>
      <c r="G6" s="2048">
        <f>ROUND(E6-F6,2)</f>
        <v>0</v>
      </c>
      <c r="H6" s="2086" t="s">
        <v>1247</v>
      </c>
    </row>
    <row r="7" spans="1:8">
      <c r="A7" s="2084" t="s">
        <v>1248</v>
      </c>
      <c r="B7" s="2085">
        <f>IF(未审附注之利润及利润分配!B7="",0,未审附注之利润及利润分配!B7)</f>
        <v>0</v>
      </c>
      <c r="C7" s="2085">
        <f>IF(未审附注之利润及利润分配!C7="",0,未审附注之利润及利润分配!C7)</f>
        <v>0</v>
      </c>
      <c r="D7" s="2048">
        <f>ROUND(B7-C7,2)</f>
        <v>0</v>
      </c>
      <c r="E7" s="2085">
        <f>IF(未审附注之利润及利润分配!E7="",0,未审附注之利润及利润分配!E7)</f>
        <v>0</v>
      </c>
      <c r="F7" s="2085">
        <f>IF(未审附注之利润及利润分配!F7="",0,未审附注之利润及利润分配!F7)</f>
        <v>0</v>
      </c>
      <c r="G7" s="2048">
        <f>ROUND(E7-F7,2)</f>
        <v>0</v>
      </c>
      <c r="H7" s="2086" t="s">
        <v>1249</v>
      </c>
    </row>
    <row r="8" spans="1:8">
      <c r="A8" s="2084" t="s">
        <v>384</v>
      </c>
      <c r="B8" s="2087">
        <f>ROUND(B6+B7,2)</f>
        <v>0</v>
      </c>
      <c r="C8" s="2087">
        <f>ROUND(C6+C7,2)</f>
        <v>0</v>
      </c>
      <c r="D8" s="2048">
        <f>ROUND(B8-C8,2)</f>
        <v>0</v>
      </c>
      <c r="E8" s="2087">
        <f>ROUND(E6+E7,2)</f>
        <v>0</v>
      </c>
      <c r="F8" s="2087">
        <f>ROUND(F6+F7,2)</f>
        <v>0</v>
      </c>
      <c r="G8" s="2048">
        <f>ROUND(E8-F8,2)</f>
        <v>0</v>
      </c>
      <c r="H8" s="2086" t="s">
        <v>1250</v>
      </c>
    </row>
    <row r="9" spans="1:7">
      <c r="A9" s="2080"/>
      <c r="B9" s="2080"/>
      <c r="C9" s="2080"/>
      <c r="D9" s="2080"/>
      <c r="E9" s="2080"/>
      <c r="F9" s="2080"/>
      <c r="G9" s="2080"/>
    </row>
    <row r="10" spans="1:7">
      <c r="A10" s="2088" t="s">
        <v>1251</v>
      </c>
      <c r="B10" s="2080"/>
      <c r="C10" s="2080"/>
      <c r="D10" s="2080"/>
      <c r="E10" s="2080"/>
      <c r="F10" s="2080"/>
      <c r="G10" s="2080"/>
    </row>
    <row r="11" spans="1:7">
      <c r="A11" s="2089" t="s">
        <v>372</v>
      </c>
      <c r="B11" s="2082" t="s">
        <v>1241</v>
      </c>
      <c r="C11" s="2083"/>
      <c r="D11" s="2083"/>
      <c r="E11" s="2082" t="s">
        <v>1242</v>
      </c>
      <c r="F11" s="2083"/>
      <c r="G11" s="2083"/>
    </row>
    <row r="12" spans="1:7">
      <c r="A12" s="2090"/>
      <c r="B12" s="2082" t="s">
        <v>1243</v>
      </c>
      <c r="C12" s="2082" t="s">
        <v>1244</v>
      </c>
      <c r="D12" s="2082" t="s">
        <v>1245</v>
      </c>
      <c r="E12" s="2082" t="s">
        <v>1243</v>
      </c>
      <c r="F12" s="2082" t="s">
        <v>1244</v>
      </c>
      <c r="G12" s="2082" t="s">
        <v>1245</v>
      </c>
    </row>
    <row r="13" spans="1:7">
      <c r="A13" s="2091" t="s">
        <v>1252</v>
      </c>
      <c r="B13" s="2082"/>
      <c r="C13" s="2082"/>
      <c r="D13" s="2082"/>
      <c r="E13" s="2082"/>
      <c r="F13" s="2082"/>
      <c r="G13" s="2082"/>
    </row>
    <row r="14" spans="1:8">
      <c r="A14" s="2092">
        <f>IF(未审附注之利润及利润分配!A14="",0,未审附注之利润及利润分配!A14)</f>
        <v>0</v>
      </c>
      <c r="B14" s="2085">
        <f>IF(未审附注之利润及利润分配!B14="",0,未审附注之利润及利润分配!B14)</f>
        <v>0</v>
      </c>
      <c r="C14" s="2085">
        <f>IF(未审附注之利润及利润分配!C14="",0,未审附注之利润及利润分配!C14)</f>
        <v>0</v>
      </c>
      <c r="D14" s="2048">
        <f t="shared" ref="D14:D23" si="0">ROUND(B14-C14,2)</f>
        <v>0</v>
      </c>
      <c r="E14" s="2085">
        <f>IF(未审附注之利润及利润分配!E14="",0,未审附注之利润及利润分配!E14)</f>
        <v>0</v>
      </c>
      <c r="F14" s="2085">
        <f>IF(未审附注之利润及利润分配!F14="",0,未审附注之利润及利润分配!F14)</f>
        <v>0</v>
      </c>
      <c r="G14" s="2048">
        <f t="shared" ref="G14:G23" si="1">ROUND(E14-F14,2)</f>
        <v>0</v>
      </c>
      <c r="H14" s="2086" t="s">
        <v>1253</v>
      </c>
    </row>
    <row r="15" spans="1:8">
      <c r="A15" s="2092">
        <f>IF(未审附注之利润及利润分配!A15="",0,未审附注之利润及利润分配!A15)</f>
        <v>0</v>
      </c>
      <c r="B15" s="2085">
        <f>IF(未审附注之利润及利润分配!B15="",0,未审附注之利润及利润分配!B15)</f>
        <v>0</v>
      </c>
      <c r="C15" s="2085">
        <f>IF(未审附注之利润及利润分配!C15="",0,未审附注之利润及利润分配!C15)</f>
        <v>0</v>
      </c>
      <c r="D15" s="2048">
        <f t="shared" si="0"/>
        <v>0</v>
      </c>
      <c r="E15" s="2085">
        <f>IF(未审附注之利润及利润分配!E15="",0,未审附注之利润及利润分配!E15)</f>
        <v>0</v>
      </c>
      <c r="F15" s="2085">
        <f>IF(未审附注之利润及利润分配!F15="",0,未审附注之利润及利润分配!F15)</f>
        <v>0</v>
      </c>
      <c r="G15" s="2048">
        <f t="shared" si="1"/>
        <v>0</v>
      </c>
      <c r="H15" s="2086" t="s">
        <v>1253</v>
      </c>
    </row>
    <row r="16" spans="1:8">
      <c r="A16" s="2092">
        <f>IF(未审附注之利润及利润分配!A16="",0,未审附注之利润及利润分配!A16)</f>
        <v>0</v>
      </c>
      <c r="B16" s="2085">
        <f>IF(未审附注之利润及利润分配!B16="",0,未审附注之利润及利润分配!B16)</f>
        <v>0</v>
      </c>
      <c r="C16" s="2085">
        <f>IF(未审附注之利润及利润分配!C16="",0,未审附注之利润及利润分配!C16)</f>
        <v>0</v>
      </c>
      <c r="D16" s="2048">
        <f t="shared" si="0"/>
        <v>0</v>
      </c>
      <c r="E16" s="2085">
        <f>IF(未审附注之利润及利润分配!E16="",0,未审附注之利润及利润分配!E16)</f>
        <v>0</v>
      </c>
      <c r="F16" s="2085">
        <f>IF(未审附注之利润及利润分配!F16="",0,未审附注之利润及利润分配!F16)</f>
        <v>0</v>
      </c>
      <c r="G16" s="2048">
        <f t="shared" si="1"/>
        <v>0</v>
      </c>
      <c r="H16" s="2086" t="s">
        <v>1253</v>
      </c>
    </row>
    <row r="17" spans="1:8">
      <c r="A17" s="2092">
        <f>IF(未审附注之利润及利润分配!A17="",0,未审附注之利润及利润分配!A17)</f>
        <v>0</v>
      </c>
      <c r="B17" s="2085">
        <f>IF(未审附注之利润及利润分配!B17="",0,未审附注之利润及利润分配!B17)</f>
        <v>0</v>
      </c>
      <c r="C17" s="2085">
        <f>IF(未审附注之利润及利润分配!C17="",0,未审附注之利润及利润分配!C17)</f>
        <v>0</v>
      </c>
      <c r="D17" s="2048">
        <f t="shared" si="0"/>
        <v>0</v>
      </c>
      <c r="E17" s="2085">
        <f>IF(未审附注之利润及利润分配!E17="",0,未审附注之利润及利润分配!E17)</f>
        <v>0</v>
      </c>
      <c r="F17" s="2085">
        <f>IF(未审附注之利润及利润分配!F17="",0,未审附注之利润及利润分配!F17)</f>
        <v>0</v>
      </c>
      <c r="G17" s="2048">
        <f t="shared" si="1"/>
        <v>0</v>
      </c>
      <c r="H17" s="2086" t="s">
        <v>1253</v>
      </c>
    </row>
    <row r="18" spans="1:8">
      <c r="A18" s="2092">
        <f>IF(未审附注之利润及利润分配!A18="",0,未审附注之利润及利润分配!A18)</f>
        <v>0</v>
      </c>
      <c r="B18" s="2085">
        <f>IF(未审附注之利润及利润分配!B18="",0,未审附注之利润及利润分配!B18)</f>
        <v>0</v>
      </c>
      <c r="C18" s="2085">
        <f>IF(未审附注之利润及利润分配!C18="",0,未审附注之利润及利润分配!C18)</f>
        <v>0</v>
      </c>
      <c r="D18" s="2048">
        <f t="shared" si="0"/>
        <v>0</v>
      </c>
      <c r="E18" s="2085">
        <f>IF(未审附注之利润及利润分配!E18="",0,未审附注之利润及利润分配!E18)</f>
        <v>0</v>
      </c>
      <c r="F18" s="2085">
        <f>IF(未审附注之利润及利润分配!F18="",0,未审附注之利润及利润分配!F18)</f>
        <v>0</v>
      </c>
      <c r="G18" s="2048">
        <f t="shared" si="1"/>
        <v>0</v>
      </c>
      <c r="H18" s="2086" t="s">
        <v>1253</v>
      </c>
    </row>
    <row r="19" spans="1:8">
      <c r="A19" s="2092">
        <f>IF(未审附注之利润及利润分配!A19="",0,未审附注之利润及利润分配!A19)</f>
        <v>0</v>
      </c>
      <c r="B19" s="2085">
        <f>IF(未审附注之利润及利润分配!B19="",0,未审附注之利润及利润分配!B19)</f>
        <v>0</v>
      </c>
      <c r="C19" s="2085">
        <f>IF(未审附注之利润及利润分配!C19="",0,未审附注之利润及利润分配!C19)</f>
        <v>0</v>
      </c>
      <c r="D19" s="2048">
        <f t="shared" si="0"/>
        <v>0</v>
      </c>
      <c r="E19" s="2085">
        <f>IF(未审附注之利润及利润分配!E19="",0,未审附注之利润及利润分配!E19)</f>
        <v>0</v>
      </c>
      <c r="F19" s="2085">
        <f>IF(未审附注之利润及利润分配!F19="",0,未审附注之利润及利润分配!F19)</f>
        <v>0</v>
      </c>
      <c r="G19" s="2048">
        <f t="shared" si="1"/>
        <v>0</v>
      </c>
      <c r="H19" s="2086" t="s">
        <v>1253</v>
      </c>
    </row>
    <row r="20" spans="1:8">
      <c r="A20" s="2092">
        <f>IF(未审附注之利润及利润分配!A20="",0,未审附注之利润及利润分配!A20)</f>
        <v>0</v>
      </c>
      <c r="B20" s="2085">
        <f>IF(未审附注之利润及利润分配!B20="",0,未审附注之利润及利润分配!B20)</f>
        <v>0</v>
      </c>
      <c r="C20" s="2085">
        <f>IF(未审附注之利润及利润分配!C20="",0,未审附注之利润及利润分配!C20)</f>
        <v>0</v>
      </c>
      <c r="D20" s="2048">
        <f t="shared" si="0"/>
        <v>0</v>
      </c>
      <c r="E20" s="2085">
        <f>IF(未审附注之利润及利润分配!E20="",0,未审附注之利润及利润分配!E20)</f>
        <v>0</v>
      </c>
      <c r="F20" s="2085">
        <f>IF(未审附注之利润及利润分配!F20="",0,未审附注之利润及利润分配!F20)</f>
        <v>0</v>
      </c>
      <c r="G20" s="2048">
        <f t="shared" si="1"/>
        <v>0</v>
      </c>
      <c r="H20" s="2086" t="s">
        <v>1253</v>
      </c>
    </row>
    <row r="21" spans="1:8">
      <c r="A21" s="2092">
        <f>IF(未审附注之利润及利润分配!A21="",0,未审附注之利润及利润分配!A21)</f>
        <v>0</v>
      </c>
      <c r="B21" s="2085">
        <f>IF(未审附注之利润及利润分配!B21="",0,未审附注之利润及利润分配!B21)</f>
        <v>0</v>
      </c>
      <c r="C21" s="2085">
        <f>IF(未审附注之利润及利润分配!C21="",0,未审附注之利润及利润分配!C21)</f>
        <v>0</v>
      </c>
      <c r="D21" s="2048">
        <f t="shared" si="0"/>
        <v>0</v>
      </c>
      <c r="E21" s="2085">
        <f>IF(未审附注之利润及利润分配!E21="",0,未审附注之利润及利润分配!E21)</f>
        <v>0</v>
      </c>
      <c r="F21" s="2085">
        <f>IF(未审附注之利润及利润分配!F21="",0,未审附注之利润及利润分配!F21)</f>
        <v>0</v>
      </c>
      <c r="G21" s="2048">
        <f t="shared" si="1"/>
        <v>0</v>
      </c>
      <c r="H21" s="2086" t="s">
        <v>1253</v>
      </c>
    </row>
    <row r="22" spans="1:8">
      <c r="A22" s="2092">
        <f>IF(未审附注之利润及利润分配!A22="",0,未审附注之利润及利润分配!A22)</f>
        <v>0</v>
      </c>
      <c r="B22" s="2085">
        <f>IF(未审附注之利润及利润分配!B22="",0,未审附注之利润及利润分配!B22)</f>
        <v>0</v>
      </c>
      <c r="C22" s="2085">
        <f>IF(未审附注之利润及利润分配!C22="",0,未审附注之利润及利润分配!C22)</f>
        <v>0</v>
      </c>
      <c r="D22" s="2048">
        <f t="shared" si="0"/>
        <v>0</v>
      </c>
      <c r="E22" s="2085">
        <f>IF(未审附注之利润及利润分配!E22="",0,未审附注之利润及利润分配!E22)</f>
        <v>0</v>
      </c>
      <c r="F22" s="2085">
        <f>IF(未审附注之利润及利润分配!F22="",0,未审附注之利润及利润分配!F22)</f>
        <v>0</v>
      </c>
      <c r="G22" s="2048">
        <f t="shared" si="1"/>
        <v>0</v>
      </c>
      <c r="H22" s="2086" t="s">
        <v>1253</v>
      </c>
    </row>
    <row r="23" spans="1:8">
      <c r="A23" s="2092">
        <f>IF(未审附注之利润及利润分配!A23="",0,未审附注之利润及利润分配!A23)</f>
        <v>0</v>
      </c>
      <c r="B23" s="2085">
        <f>IF(未审附注之利润及利润分配!B23="",0,未审附注之利润及利润分配!B23)</f>
        <v>0</v>
      </c>
      <c r="C23" s="2085">
        <f>IF(未审附注之利润及利润分配!C23="",0,未审附注之利润及利润分配!C23)</f>
        <v>0</v>
      </c>
      <c r="D23" s="2048">
        <f t="shared" si="0"/>
        <v>0</v>
      </c>
      <c r="E23" s="2085">
        <f>IF(未审附注之利润及利润分配!E23="",0,未审附注之利润及利润分配!E23)</f>
        <v>0</v>
      </c>
      <c r="F23" s="2085">
        <f>IF(未审附注之利润及利润分配!F23="",0,未审附注之利润及利润分配!F23)</f>
        <v>0</v>
      </c>
      <c r="G23" s="2048">
        <f t="shared" si="1"/>
        <v>0</v>
      </c>
      <c r="H23" s="2086" t="s">
        <v>1253</v>
      </c>
    </row>
    <row r="24" spans="1:8">
      <c r="A24" s="2082" t="s">
        <v>384</v>
      </c>
      <c r="B24" s="2048">
        <f t="shared" ref="B24:G24" si="2">ROUND(SUM(B14:B23),2)</f>
        <v>0</v>
      </c>
      <c r="C24" s="2048">
        <f t="shared" si="2"/>
        <v>0</v>
      </c>
      <c r="D24" s="2048">
        <f t="shared" si="2"/>
        <v>0</v>
      </c>
      <c r="E24" s="2048">
        <f t="shared" si="2"/>
        <v>0</v>
      </c>
      <c r="F24" s="2048">
        <f t="shared" si="2"/>
        <v>0</v>
      </c>
      <c r="G24" s="2048">
        <f t="shared" si="2"/>
        <v>0</v>
      </c>
      <c r="H24" s="2086" t="s">
        <v>1254</v>
      </c>
    </row>
    <row r="25" spans="1:8">
      <c r="A25" s="2090"/>
      <c r="B25" s="2048"/>
      <c r="C25" s="2048"/>
      <c r="D25" s="2048"/>
      <c r="E25" s="2048"/>
      <c r="F25" s="2048"/>
      <c r="G25" s="2048"/>
      <c r="H25" s="2086"/>
    </row>
    <row r="26" spans="1:7">
      <c r="A26" s="2091" t="s">
        <v>1255</v>
      </c>
      <c r="B26" s="2082"/>
      <c r="C26" s="2082"/>
      <c r="D26" s="2082"/>
      <c r="E26" s="2082"/>
      <c r="F26" s="2082"/>
      <c r="G26" s="2082"/>
    </row>
    <row r="27" spans="1:8">
      <c r="A27" s="2092">
        <f>IF(未审附注之利润及利润分配!A27="",0,未审附注之利润及利润分配!A27)</f>
        <v>0</v>
      </c>
      <c r="B27" s="2085">
        <f>IF(未审附注之利润及利润分配!B27="",0,未审附注之利润及利润分配!B27)</f>
        <v>0</v>
      </c>
      <c r="C27" s="2085">
        <f>IF(未审附注之利润及利润分配!C27="",0,未审附注之利润及利润分配!C27)</f>
        <v>0</v>
      </c>
      <c r="D27" s="2048">
        <f t="shared" ref="D27:D36" si="3">ROUND(B27-C27,2)</f>
        <v>0</v>
      </c>
      <c r="E27" s="2085">
        <f>IF(未审附注之利润及利润分配!E27="",0,未审附注之利润及利润分配!E27)</f>
        <v>0</v>
      </c>
      <c r="F27" s="2085">
        <f>IF(未审附注之利润及利润分配!F27="",0,未审附注之利润及利润分配!F27)</f>
        <v>0</v>
      </c>
      <c r="G27" s="2048">
        <f t="shared" ref="G27:G36" si="4">ROUND(E27-F27,2)</f>
        <v>0</v>
      </c>
      <c r="H27" s="2086" t="s">
        <v>1256</v>
      </c>
    </row>
    <row r="28" spans="1:8">
      <c r="A28" s="2092">
        <f>IF(未审附注之利润及利润分配!A28="",0,未审附注之利润及利润分配!A28)</f>
        <v>0</v>
      </c>
      <c r="B28" s="2085">
        <f>IF(未审附注之利润及利润分配!B28="",0,未审附注之利润及利润分配!B28)</f>
        <v>0</v>
      </c>
      <c r="C28" s="2085">
        <f>IF(未审附注之利润及利润分配!C28="",0,未审附注之利润及利润分配!C28)</f>
        <v>0</v>
      </c>
      <c r="D28" s="2048">
        <f t="shared" si="3"/>
        <v>0</v>
      </c>
      <c r="E28" s="2085">
        <f>IF(未审附注之利润及利润分配!E28="",0,未审附注之利润及利润分配!E28)</f>
        <v>0</v>
      </c>
      <c r="F28" s="2085">
        <f>IF(未审附注之利润及利润分配!F28="",0,未审附注之利润及利润分配!F28)</f>
        <v>0</v>
      </c>
      <c r="G28" s="2048">
        <f t="shared" si="4"/>
        <v>0</v>
      </c>
      <c r="H28" s="2086" t="s">
        <v>1256</v>
      </c>
    </row>
    <row r="29" spans="1:8">
      <c r="A29" s="2092">
        <f>IF(未审附注之利润及利润分配!A29="",0,未审附注之利润及利润分配!A29)</f>
        <v>0</v>
      </c>
      <c r="B29" s="2085">
        <f>IF(未审附注之利润及利润分配!B29="",0,未审附注之利润及利润分配!B29)</f>
        <v>0</v>
      </c>
      <c r="C29" s="2085">
        <f>IF(未审附注之利润及利润分配!C29="",0,未审附注之利润及利润分配!C29)</f>
        <v>0</v>
      </c>
      <c r="D29" s="2048">
        <f t="shared" si="3"/>
        <v>0</v>
      </c>
      <c r="E29" s="2085">
        <f>IF(未审附注之利润及利润分配!E29="",0,未审附注之利润及利润分配!E29)</f>
        <v>0</v>
      </c>
      <c r="F29" s="2085">
        <f>IF(未审附注之利润及利润分配!F29="",0,未审附注之利润及利润分配!F29)</f>
        <v>0</v>
      </c>
      <c r="G29" s="2048">
        <f t="shared" si="4"/>
        <v>0</v>
      </c>
      <c r="H29" s="2086" t="s">
        <v>1256</v>
      </c>
    </row>
    <row r="30" spans="1:8">
      <c r="A30" s="2092">
        <f>IF(未审附注之利润及利润分配!A30="",0,未审附注之利润及利润分配!A30)</f>
        <v>0</v>
      </c>
      <c r="B30" s="2085">
        <f>IF(未审附注之利润及利润分配!B30="",0,未审附注之利润及利润分配!B30)</f>
        <v>0</v>
      </c>
      <c r="C30" s="2085">
        <f>IF(未审附注之利润及利润分配!C30="",0,未审附注之利润及利润分配!C30)</f>
        <v>0</v>
      </c>
      <c r="D30" s="2048">
        <f t="shared" si="3"/>
        <v>0</v>
      </c>
      <c r="E30" s="2085">
        <f>IF(未审附注之利润及利润分配!E30="",0,未审附注之利润及利润分配!E30)</f>
        <v>0</v>
      </c>
      <c r="F30" s="2085">
        <f>IF(未审附注之利润及利润分配!F30="",0,未审附注之利润及利润分配!F30)</f>
        <v>0</v>
      </c>
      <c r="G30" s="2048">
        <f t="shared" si="4"/>
        <v>0</v>
      </c>
      <c r="H30" s="2086" t="s">
        <v>1256</v>
      </c>
    </row>
    <row r="31" spans="1:8">
      <c r="A31" s="2092">
        <f>IF(未审附注之利润及利润分配!A31="",0,未审附注之利润及利润分配!A31)</f>
        <v>0</v>
      </c>
      <c r="B31" s="2085">
        <f>IF(未审附注之利润及利润分配!B31="",0,未审附注之利润及利润分配!B31)</f>
        <v>0</v>
      </c>
      <c r="C31" s="2085">
        <f>IF(未审附注之利润及利润分配!C31="",0,未审附注之利润及利润分配!C31)</f>
        <v>0</v>
      </c>
      <c r="D31" s="2048">
        <f t="shared" si="3"/>
        <v>0</v>
      </c>
      <c r="E31" s="2085">
        <f>IF(未审附注之利润及利润分配!E31="",0,未审附注之利润及利润分配!E31)</f>
        <v>0</v>
      </c>
      <c r="F31" s="2085">
        <f>IF(未审附注之利润及利润分配!F31="",0,未审附注之利润及利润分配!F31)</f>
        <v>0</v>
      </c>
      <c r="G31" s="2048">
        <f t="shared" si="4"/>
        <v>0</v>
      </c>
      <c r="H31" s="2086" t="s">
        <v>1256</v>
      </c>
    </row>
    <row r="32" spans="1:8">
      <c r="A32" s="2092">
        <f>IF(未审附注之利润及利润分配!A32="",0,未审附注之利润及利润分配!A32)</f>
        <v>0</v>
      </c>
      <c r="B32" s="2085">
        <f>IF(未审附注之利润及利润分配!B32="",0,未审附注之利润及利润分配!B32)</f>
        <v>0</v>
      </c>
      <c r="C32" s="2085">
        <f>IF(未审附注之利润及利润分配!C32="",0,未审附注之利润及利润分配!C32)</f>
        <v>0</v>
      </c>
      <c r="D32" s="2048">
        <f t="shared" si="3"/>
        <v>0</v>
      </c>
      <c r="E32" s="2085">
        <f>IF(未审附注之利润及利润分配!E32="",0,未审附注之利润及利润分配!E32)</f>
        <v>0</v>
      </c>
      <c r="F32" s="2085">
        <f>IF(未审附注之利润及利润分配!F32="",0,未审附注之利润及利润分配!F32)</f>
        <v>0</v>
      </c>
      <c r="G32" s="2048">
        <f t="shared" si="4"/>
        <v>0</v>
      </c>
      <c r="H32" s="2086" t="s">
        <v>1256</v>
      </c>
    </row>
    <row r="33" spans="1:8">
      <c r="A33" s="2092">
        <f>IF(未审附注之利润及利润分配!A33="",0,未审附注之利润及利润分配!A33)</f>
        <v>0</v>
      </c>
      <c r="B33" s="2085">
        <f>IF(未审附注之利润及利润分配!B33="",0,未审附注之利润及利润分配!B33)</f>
        <v>0</v>
      </c>
      <c r="C33" s="2085">
        <f>IF(未审附注之利润及利润分配!C33="",0,未审附注之利润及利润分配!C33)</f>
        <v>0</v>
      </c>
      <c r="D33" s="2048">
        <f t="shared" si="3"/>
        <v>0</v>
      </c>
      <c r="E33" s="2085">
        <f>IF(未审附注之利润及利润分配!E33="",0,未审附注之利润及利润分配!E33)</f>
        <v>0</v>
      </c>
      <c r="F33" s="2085">
        <f>IF(未审附注之利润及利润分配!F33="",0,未审附注之利润及利润分配!F33)</f>
        <v>0</v>
      </c>
      <c r="G33" s="2048">
        <f t="shared" si="4"/>
        <v>0</v>
      </c>
      <c r="H33" s="2086" t="s">
        <v>1256</v>
      </c>
    </row>
    <row r="34" spans="1:8">
      <c r="A34" s="2092">
        <f>IF(未审附注之利润及利润分配!A34="",0,未审附注之利润及利润分配!A34)</f>
        <v>0</v>
      </c>
      <c r="B34" s="2085">
        <f>IF(未审附注之利润及利润分配!B34="",0,未审附注之利润及利润分配!B34)</f>
        <v>0</v>
      </c>
      <c r="C34" s="2085">
        <f>IF(未审附注之利润及利润分配!C34="",0,未审附注之利润及利润分配!C34)</f>
        <v>0</v>
      </c>
      <c r="D34" s="2048">
        <f t="shared" si="3"/>
        <v>0</v>
      </c>
      <c r="E34" s="2085">
        <f>IF(未审附注之利润及利润分配!E34="",0,未审附注之利润及利润分配!E34)</f>
        <v>0</v>
      </c>
      <c r="F34" s="2085">
        <f>IF(未审附注之利润及利润分配!F34="",0,未审附注之利润及利润分配!F34)</f>
        <v>0</v>
      </c>
      <c r="G34" s="2048">
        <f t="shared" si="4"/>
        <v>0</v>
      </c>
      <c r="H34" s="2086" t="s">
        <v>1256</v>
      </c>
    </row>
    <row r="35" spans="1:8">
      <c r="A35" s="2092">
        <f>IF(未审附注之利润及利润分配!A35="",0,未审附注之利润及利润分配!A35)</f>
        <v>0</v>
      </c>
      <c r="B35" s="2085">
        <f>IF(未审附注之利润及利润分配!B35="",0,未审附注之利润及利润分配!B35)</f>
        <v>0</v>
      </c>
      <c r="C35" s="2085">
        <f>IF(未审附注之利润及利润分配!C35="",0,未审附注之利润及利润分配!C35)</f>
        <v>0</v>
      </c>
      <c r="D35" s="2048">
        <f t="shared" si="3"/>
        <v>0</v>
      </c>
      <c r="E35" s="2085">
        <f>IF(未审附注之利润及利润分配!E35="",0,未审附注之利润及利润分配!E35)</f>
        <v>0</v>
      </c>
      <c r="F35" s="2085">
        <f>IF(未审附注之利润及利润分配!F35="",0,未审附注之利润及利润分配!F35)</f>
        <v>0</v>
      </c>
      <c r="G35" s="2048">
        <f t="shared" si="4"/>
        <v>0</v>
      </c>
      <c r="H35" s="2086" t="s">
        <v>1256</v>
      </c>
    </row>
    <row r="36" spans="1:8">
      <c r="A36" s="2092">
        <f>IF(未审附注之利润及利润分配!A36="",0,未审附注之利润及利润分配!A36)</f>
        <v>0</v>
      </c>
      <c r="B36" s="2085">
        <f>IF(未审附注之利润及利润分配!B36="",0,未审附注之利润及利润分配!B36)</f>
        <v>0</v>
      </c>
      <c r="C36" s="2085">
        <f>IF(未审附注之利润及利润分配!C36="",0,未审附注之利润及利润分配!C36)</f>
        <v>0</v>
      </c>
      <c r="D36" s="2048">
        <f t="shared" si="3"/>
        <v>0</v>
      </c>
      <c r="E36" s="2085">
        <f>IF(未审附注之利润及利润分配!E36="",0,未审附注之利润及利润分配!E36)</f>
        <v>0</v>
      </c>
      <c r="F36" s="2085">
        <f>IF(未审附注之利润及利润分配!F36="",0,未审附注之利润及利润分配!F36)</f>
        <v>0</v>
      </c>
      <c r="G36" s="2048">
        <f t="shared" si="4"/>
        <v>0</v>
      </c>
      <c r="H36" s="2086" t="s">
        <v>1256</v>
      </c>
    </row>
    <row r="37" spans="1:8">
      <c r="A37" s="2082" t="s">
        <v>384</v>
      </c>
      <c r="B37" s="2048">
        <f t="shared" ref="B37:G37" si="5">ROUND(SUM(B27:B36),2)</f>
        <v>0</v>
      </c>
      <c r="C37" s="2048">
        <f t="shared" si="5"/>
        <v>0</v>
      </c>
      <c r="D37" s="2048">
        <f t="shared" si="5"/>
        <v>0</v>
      </c>
      <c r="E37" s="2048">
        <f t="shared" si="5"/>
        <v>0</v>
      </c>
      <c r="F37" s="2048">
        <f t="shared" si="5"/>
        <v>0</v>
      </c>
      <c r="G37" s="2048">
        <f t="shared" si="5"/>
        <v>0</v>
      </c>
      <c r="H37" s="2086" t="s">
        <v>1257</v>
      </c>
    </row>
    <row r="38" spans="1:7">
      <c r="A38" s="2080"/>
      <c r="B38" s="2080"/>
      <c r="C38" s="2080"/>
      <c r="D38" s="2080"/>
      <c r="E38" s="2080"/>
      <c r="F38" s="2080"/>
      <c r="G38" s="2080"/>
    </row>
    <row r="39" spans="1:7">
      <c r="A39" s="2088" t="s">
        <v>1258</v>
      </c>
      <c r="B39" s="2080"/>
      <c r="C39" s="2080"/>
      <c r="D39" s="2080"/>
      <c r="E39" s="2080"/>
      <c r="F39" s="2080"/>
      <c r="G39" s="2080"/>
    </row>
    <row r="40" spans="1:7">
      <c r="A40" s="2082" t="s">
        <v>1259</v>
      </c>
      <c r="B40" s="2082" t="s">
        <v>1260</v>
      </c>
      <c r="C40" s="2082" t="s">
        <v>1261</v>
      </c>
      <c r="D40" s="2080"/>
      <c r="E40" s="2080"/>
      <c r="F40" s="2080"/>
      <c r="G40" s="2080"/>
    </row>
    <row r="41" spans="1:8">
      <c r="A41" s="2092">
        <f>IF(未审附注之利润及利润分配!A41="",0,未审附注之利润及利润分配!A41)</f>
        <v>0</v>
      </c>
      <c r="B41" s="2085">
        <f>IF(未审附注之利润及利润分配!B41="",0,未审附注之利润及利润分配!B41)</f>
        <v>0</v>
      </c>
      <c r="C41" s="2093">
        <f t="shared" ref="C41:C46" si="6">IF(B$8=0,0,ROUND(B41/B$8,4))</f>
        <v>0</v>
      </c>
      <c r="D41" s="2080"/>
      <c r="E41" s="2080"/>
      <c r="F41" s="2080"/>
      <c r="G41" s="2080"/>
      <c r="H41" s="2086" t="s">
        <v>1262</v>
      </c>
    </row>
    <row r="42" spans="1:8">
      <c r="A42" s="2092">
        <f>IF(未审附注之利润及利润分配!A42="",0,未审附注之利润及利润分配!A42)</f>
        <v>0</v>
      </c>
      <c r="B42" s="2085">
        <f>IF(未审附注之利润及利润分配!B42="",0,未审附注之利润及利润分配!B42)</f>
        <v>0</v>
      </c>
      <c r="C42" s="2093">
        <f t="shared" si="6"/>
        <v>0</v>
      </c>
      <c r="D42" s="2080"/>
      <c r="E42" s="2080"/>
      <c r="F42" s="2080"/>
      <c r="G42" s="2080"/>
      <c r="H42" s="2086" t="s">
        <v>1262</v>
      </c>
    </row>
    <row r="43" spans="1:8">
      <c r="A43" s="2092">
        <f>IF(未审附注之利润及利润分配!A43="",0,未审附注之利润及利润分配!A43)</f>
        <v>0</v>
      </c>
      <c r="B43" s="2085">
        <f>IF(未审附注之利润及利润分配!B43="",0,未审附注之利润及利润分配!B43)</f>
        <v>0</v>
      </c>
      <c r="C43" s="2093">
        <f t="shared" si="6"/>
        <v>0</v>
      </c>
      <c r="D43" s="2080"/>
      <c r="E43" s="2080"/>
      <c r="F43" s="2080"/>
      <c r="G43" s="2080"/>
      <c r="H43" s="2086" t="s">
        <v>1262</v>
      </c>
    </row>
    <row r="44" spans="1:8">
      <c r="A44" s="2092">
        <f>IF(未审附注之利润及利润分配!A44="",0,未审附注之利润及利润分配!A44)</f>
        <v>0</v>
      </c>
      <c r="B44" s="2085">
        <f>IF(未审附注之利润及利润分配!B44="",0,未审附注之利润及利润分配!B44)</f>
        <v>0</v>
      </c>
      <c r="C44" s="2093">
        <f t="shared" si="6"/>
        <v>0</v>
      </c>
      <c r="D44" s="2080"/>
      <c r="E44" s="2080"/>
      <c r="F44" s="2080"/>
      <c r="G44" s="2080"/>
      <c r="H44" s="2086" t="s">
        <v>1262</v>
      </c>
    </row>
    <row r="45" spans="1:8">
      <c r="A45" s="2092">
        <f>IF(未审附注之利润及利润分配!A45="",0,未审附注之利润及利润分配!A45)</f>
        <v>0</v>
      </c>
      <c r="B45" s="2085">
        <f>IF(未审附注之利润及利润分配!B45="",0,未审附注之利润及利润分配!B45)</f>
        <v>0</v>
      </c>
      <c r="C45" s="2093">
        <f t="shared" si="6"/>
        <v>0</v>
      </c>
      <c r="D45" s="2080"/>
      <c r="E45" s="2080"/>
      <c r="F45" s="2080"/>
      <c r="G45" s="2080"/>
      <c r="H45" s="2086" t="s">
        <v>1262</v>
      </c>
    </row>
    <row r="46" spans="1:8">
      <c r="A46" s="2082" t="s">
        <v>384</v>
      </c>
      <c r="B46" s="2048">
        <f>ROUND(SUM(B41:B45),2)</f>
        <v>0</v>
      </c>
      <c r="C46" s="2093">
        <f t="shared" si="6"/>
        <v>0</v>
      </c>
      <c r="D46" s="2080"/>
      <c r="E46" s="2080"/>
      <c r="F46" s="2080"/>
      <c r="G46" s="2080"/>
      <c r="H46" s="2086" t="s">
        <v>1263</v>
      </c>
    </row>
    <row r="47" spans="1:7">
      <c r="A47" s="2094"/>
      <c r="B47" s="2095"/>
      <c r="C47" s="2095"/>
      <c r="D47" s="2080"/>
      <c r="E47" s="2080"/>
      <c r="F47" s="2080"/>
      <c r="G47" s="2080"/>
    </row>
    <row r="48" spans="1:7">
      <c r="A48" s="2096" t="s">
        <v>1264</v>
      </c>
      <c r="B48" s="2080"/>
      <c r="C48" s="2080"/>
      <c r="D48" s="2080"/>
      <c r="E48" s="2080"/>
      <c r="F48" s="2080"/>
      <c r="G48" s="2080"/>
    </row>
    <row r="49" spans="1:7">
      <c r="A49" s="2082" t="s">
        <v>1265</v>
      </c>
      <c r="B49" s="2082" t="s">
        <v>1266</v>
      </c>
      <c r="C49" s="2082" t="s">
        <v>1267</v>
      </c>
      <c r="D49" s="2082" t="s">
        <v>1268</v>
      </c>
      <c r="E49" s="2082" t="s">
        <v>1269</v>
      </c>
      <c r="F49" s="2080"/>
      <c r="G49" s="2080"/>
    </row>
    <row r="50" spans="1:7">
      <c r="A50" s="2084" t="s">
        <v>1270</v>
      </c>
      <c r="B50" s="2087"/>
      <c r="C50" s="2087"/>
      <c r="D50" s="2087"/>
      <c r="E50" s="2087"/>
      <c r="F50" s="2080"/>
      <c r="G50" s="2080"/>
    </row>
    <row r="51" spans="1:8">
      <c r="A51" s="2092">
        <f>IF(未审附注之利润及利润分配!A51="",0,未审附注之利润及利润分配!A51)</f>
        <v>0</v>
      </c>
      <c r="B51" s="2085">
        <f>IF(未审附注之利润及利润分配!B51="",0,未审附注之利润及利润分配!B51)</f>
        <v>0</v>
      </c>
      <c r="C51" s="2085">
        <f>IF(未审附注之利润及利润分配!C51="",0,未审附注之利润及利润分配!C51)</f>
        <v>0</v>
      </c>
      <c r="D51" s="2085">
        <f>IF(未审附注之利润及利润分配!D51="",0,未审附注之利润及利润分配!D51)</f>
        <v>0</v>
      </c>
      <c r="E51" s="2085">
        <f>IF(未审附注之利润及利润分配!E51="",0,未审附注之利润及利润分配!E51)</f>
        <v>0</v>
      </c>
      <c r="F51" s="2080"/>
      <c r="G51" s="2080"/>
      <c r="H51" s="2086" t="s">
        <v>1271</v>
      </c>
    </row>
    <row r="52" spans="1:8">
      <c r="A52" s="2092">
        <f>IF(未审附注之利润及利润分配!A52="",0,未审附注之利润及利润分配!A52)</f>
        <v>0</v>
      </c>
      <c r="B52" s="2085">
        <f>IF(未审附注之利润及利润分配!B52="",0,未审附注之利润及利润分配!B52)</f>
        <v>0</v>
      </c>
      <c r="C52" s="2085">
        <f>IF(未审附注之利润及利润分配!C52="",0,未审附注之利润及利润分配!C52)</f>
        <v>0</v>
      </c>
      <c r="D52" s="2085">
        <f>IF(未审附注之利润及利润分配!D52="",0,未审附注之利润及利润分配!D52)</f>
        <v>0</v>
      </c>
      <c r="E52" s="2085">
        <f>IF(未审附注之利润及利润分配!E52="",0,未审附注之利润及利润分配!E52)</f>
        <v>0</v>
      </c>
      <c r="F52" s="2080"/>
      <c r="G52" s="2080"/>
      <c r="H52" s="2086" t="s">
        <v>1271</v>
      </c>
    </row>
    <row r="53" spans="1:8">
      <c r="A53" s="2092">
        <f>IF(未审附注之利润及利润分配!A53="",0,未审附注之利润及利润分配!A53)</f>
        <v>0</v>
      </c>
      <c r="B53" s="2085">
        <f>IF(未审附注之利润及利润分配!B53="",0,未审附注之利润及利润分配!B53)</f>
        <v>0</v>
      </c>
      <c r="C53" s="2085">
        <f>IF(未审附注之利润及利润分配!C53="",0,未审附注之利润及利润分配!C53)</f>
        <v>0</v>
      </c>
      <c r="D53" s="2085">
        <f>IF(未审附注之利润及利润分配!D53="",0,未审附注之利润及利润分配!D53)</f>
        <v>0</v>
      </c>
      <c r="E53" s="2085">
        <f>IF(未审附注之利润及利润分配!E53="",0,未审附注之利润及利润分配!E53)</f>
        <v>0</v>
      </c>
      <c r="F53" s="2080"/>
      <c r="G53" s="2080"/>
      <c r="H53" s="2086" t="s">
        <v>1271</v>
      </c>
    </row>
    <row r="54" spans="1:8">
      <c r="A54" s="2092">
        <f>IF(未审附注之利润及利润分配!A54="",0,未审附注之利润及利润分配!A54)</f>
        <v>0</v>
      </c>
      <c r="B54" s="2085">
        <f>IF(未审附注之利润及利润分配!B54="",0,未审附注之利润及利润分配!B54)</f>
        <v>0</v>
      </c>
      <c r="C54" s="2085">
        <f>IF(未审附注之利润及利润分配!C54="",0,未审附注之利润及利润分配!C54)</f>
        <v>0</v>
      </c>
      <c r="D54" s="2085">
        <f>IF(未审附注之利润及利润分配!D54="",0,未审附注之利润及利润分配!D54)</f>
        <v>0</v>
      </c>
      <c r="E54" s="2085">
        <f>IF(未审附注之利润及利润分配!E54="",0,未审附注之利润及利润分配!E54)</f>
        <v>0</v>
      </c>
      <c r="F54" s="2080"/>
      <c r="G54" s="2080"/>
      <c r="H54" s="2086" t="s">
        <v>1271</v>
      </c>
    </row>
    <row r="55" spans="1:8">
      <c r="A55" s="2092">
        <f>IF(未审附注之利润及利润分配!A55="",0,未审附注之利润及利润分配!A55)</f>
        <v>0</v>
      </c>
      <c r="B55" s="2085">
        <f>IF(未审附注之利润及利润分配!B55="",0,未审附注之利润及利润分配!B55)</f>
        <v>0</v>
      </c>
      <c r="C55" s="2085">
        <f>IF(未审附注之利润及利润分配!C55="",0,未审附注之利润及利润分配!C55)</f>
        <v>0</v>
      </c>
      <c r="D55" s="2085">
        <f>IF(未审附注之利润及利润分配!D55="",0,未审附注之利润及利润分配!D55)</f>
        <v>0</v>
      </c>
      <c r="E55" s="2085">
        <f>IF(未审附注之利润及利润分配!E55="",0,未审附注之利润及利润分配!E55)</f>
        <v>0</v>
      </c>
      <c r="F55" s="2080"/>
      <c r="G55" s="2080"/>
      <c r="H55" s="2086" t="s">
        <v>1271</v>
      </c>
    </row>
    <row r="56" spans="1:8">
      <c r="A56" s="2092">
        <f>IF(未审附注之利润及利润分配!A56="",0,未审附注之利润及利润分配!A56)</f>
        <v>0</v>
      </c>
      <c r="B56" s="2085">
        <f>IF(未审附注之利润及利润分配!B56="",0,未审附注之利润及利润分配!B56)</f>
        <v>0</v>
      </c>
      <c r="C56" s="2085">
        <f>IF(未审附注之利润及利润分配!C56="",0,未审附注之利润及利润分配!C56)</f>
        <v>0</v>
      </c>
      <c r="D56" s="2085">
        <f>IF(未审附注之利润及利润分配!D56="",0,未审附注之利润及利润分配!D56)</f>
        <v>0</v>
      </c>
      <c r="E56" s="2085">
        <f>IF(未审附注之利润及利润分配!E56="",0,未审附注之利润及利润分配!E56)</f>
        <v>0</v>
      </c>
      <c r="F56" s="2080"/>
      <c r="G56" s="2080"/>
      <c r="H56" s="2086" t="s">
        <v>1271</v>
      </c>
    </row>
    <row r="57" spans="1:8">
      <c r="A57" s="2092">
        <f>IF(未审附注之利润及利润分配!A57="",0,未审附注之利润及利润分配!A57)</f>
        <v>0</v>
      </c>
      <c r="B57" s="2085">
        <f>IF(未审附注之利润及利润分配!B57="",0,未审附注之利润及利润分配!B57)</f>
        <v>0</v>
      </c>
      <c r="C57" s="2085">
        <f>IF(未审附注之利润及利润分配!C57="",0,未审附注之利润及利润分配!C57)</f>
        <v>0</v>
      </c>
      <c r="D57" s="2085">
        <f>IF(未审附注之利润及利润分配!D57="",0,未审附注之利润及利润分配!D57)</f>
        <v>0</v>
      </c>
      <c r="E57" s="2085">
        <f>IF(未审附注之利润及利润分配!E57="",0,未审附注之利润及利润分配!E57)</f>
        <v>0</v>
      </c>
      <c r="F57" s="2080"/>
      <c r="G57" s="2080"/>
      <c r="H57" s="2086" t="s">
        <v>1271</v>
      </c>
    </row>
    <row r="58" spans="1:8">
      <c r="A58" s="2092">
        <f>IF(未审附注之利润及利润分配!A58="",0,未审附注之利润及利润分配!A58)</f>
        <v>0</v>
      </c>
      <c r="B58" s="2085">
        <f>IF(未审附注之利润及利润分配!B58="",0,未审附注之利润及利润分配!B58)</f>
        <v>0</v>
      </c>
      <c r="C58" s="2085">
        <f>IF(未审附注之利润及利润分配!C58="",0,未审附注之利润及利润分配!C58)</f>
        <v>0</v>
      </c>
      <c r="D58" s="2085">
        <f>IF(未审附注之利润及利润分配!D58="",0,未审附注之利润及利润分配!D58)</f>
        <v>0</v>
      </c>
      <c r="E58" s="2085">
        <f>IF(未审附注之利润及利润分配!E58="",0,未审附注之利润及利润分配!E58)</f>
        <v>0</v>
      </c>
      <c r="F58" s="2080"/>
      <c r="G58" s="2080"/>
      <c r="H58" s="2086" t="s">
        <v>1271</v>
      </c>
    </row>
    <row r="59" spans="1:8">
      <c r="A59" s="2092">
        <f>IF(未审附注之利润及利润分配!A59="",0,未审附注之利润及利润分配!A59)</f>
        <v>0</v>
      </c>
      <c r="B59" s="2085">
        <f>IF(未审附注之利润及利润分配!B59="",0,未审附注之利润及利润分配!B59)</f>
        <v>0</v>
      </c>
      <c r="C59" s="2085">
        <f>IF(未审附注之利润及利润分配!C59="",0,未审附注之利润及利润分配!C59)</f>
        <v>0</v>
      </c>
      <c r="D59" s="2085">
        <f>IF(未审附注之利润及利润分配!D59="",0,未审附注之利润及利润分配!D59)</f>
        <v>0</v>
      </c>
      <c r="E59" s="2085">
        <f>IF(未审附注之利润及利润分配!E59="",0,未审附注之利润及利润分配!E59)</f>
        <v>0</v>
      </c>
      <c r="F59" s="2080"/>
      <c r="G59" s="2080"/>
      <c r="H59" s="2086" t="s">
        <v>1271</v>
      </c>
    </row>
    <row r="60" spans="1:8">
      <c r="A60" s="2092">
        <f>IF(未审附注之利润及利润分配!A60="",0,未审附注之利润及利润分配!A60)</f>
        <v>0</v>
      </c>
      <c r="B60" s="2085">
        <f>IF(未审附注之利润及利润分配!B60="",0,未审附注之利润及利润分配!B60)</f>
        <v>0</v>
      </c>
      <c r="C60" s="2085">
        <f>IF(未审附注之利润及利润分配!C60="",0,未审附注之利润及利润分配!C60)</f>
        <v>0</v>
      </c>
      <c r="D60" s="2085">
        <f>IF(未审附注之利润及利润分配!D60="",0,未审附注之利润及利润分配!D60)</f>
        <v>0</v>
      </c>
      <c r="E60" s="2085">
        <f>IF(未审附注之利润及利润分配!E60="",0,未审附注之利润及利润分配!E60)</f>
        <v>0</v>
      </c>
      <c r="F60" s="2080"/>
      <c r="G60" s="2080"/>
      <c r="H60" s="2086" t="s">
        <v>1271</v>
      </c>
    </row>
    <row r="61" spans="1:8">
      <c r="A61" s="2082" t="s">
        <v>676</v>
      </c>
      <c r="B61" s="2048">
        <f>ROUND(SUM(B51:B60),2)</f>
        <v>0</v>
      </c>
      <c r="C61" s="2048">
        <f>ROUND(SUM(C51:C60),2)</f>
        <v>0</v>
      </c>
      <c r="D61" s="2048">
        <f>ROUND(SUM(D51:D60),2)</f>
        <v>0</v>
      </c>
      <c r="E61" s="2048">
        <f>ROUND(SUM(E51:E60),2)</f>
        <v>0</v>
      </c>
      <c r="F61" s="2080"/>
      <c r="G61" s="2080"/>
      <c r="H61" s="2086" t="s">
        <v>1272</v>
      </c>
    </row>
    <row r="62" spans="1:7">
      <c r="A62" s="2082"/>
      <c r="B62" s="2087"/>
      <c r="C62" s="2087"/>
      <c r="D62" s="2087"/>
      <c r="E62" s="2087"/>
      <c r="F62" s="2080"/>
      <c r="G62" s="2080"/>
    </row>
    <row r="63" spans="1:7">
      <c r="A63" s="2084" t="s">
        <v>1273</v>
      </c>
      <c r="B63" s="2087"/>
      <c r="C63" s="2087"/>
      <c r="D63" s="2087"/>
      <c r="E63" s="2087"/>
      <c r="F63" s="2080"/>
      <c r="G63" s="2080"/>
    </row>
    <row r="64" spans="1:8">
      <c r="A64" s="2092">
        <f>IF(未审附注之利润及利润分配!A64="",0,未审附注之利润及利润分配!A64)</f>
        <v>0</v>
      </c>
      <c r="B64" s="2085">
        <f>IF(未审附注之利润及利润分配!B64="",0,未审附注之利润及利润分配!B64)</f>
        <v>0</v>
      </c>
      <c r="C64" s="2085">
        <f>IF(未审附注之利润及利润分配!C64="",0,未审附注之利润及利润分配!C64)</f>
        <v>0</v>
      </c>
      <c r="D64" s="2085">
        <f>IF(未审附注之利润及利润分配!D64="",0,未审附注之利润及利润分配!D64)</f>
        <v>0</v>
      </c>
      <c r="E64" s="2085">
        <f>IF(未审附注之利润及利润分配!E64="",0,未审附注之利润及利润分配!E64)</f>
        <v>0</v>
      </c>
      <c r="F64" s="2080"/>
      <c r="G64" s="2080"/>
      <c r="H64" s="2086" t="s">
        <v>1274</v>
      </c>
    </row>
    <row r="65" spans="1:8">
      <c r="A65" s="2092">
        <f>IF(未审附注之利润及利润分配!A65="",0,未审附注之利润及利润分配!A65)</f>
        <v>0</v>
      </c>
      <c r="B65" s="2085">
        <f>IF(未审附注之利润及利润分配!B65="",0,未审附注之利润及利润分配!B65)</f>
        <v>0</v>
      </c>
      <c r="C65" s="2085">
        <f>IF(未审附注之利润及利润分配!C65="",0,未审附注之利润及利润分配!C65)</f>
        <v>0</v>
      </c>
      <c r="D65" s="2085">
        <f>IF(未审附注之利润及利润分配!D65="",0,未审附注之利润及利润分配!D65)</f>
        <v>0</v>
      </c>
      <c r="E65" s="2085">
        <f>IF(未审附注之利润及利润分配!E65="",0,未审附注之利润及利润分配!E65)</f>
        <v>0</v>
      </c>
      <c r="F65" s="2080"/>
      <c r="G65" s="2080"/>
      <c r="H65" s="2086" t="s">
        <v>1274</v>
      </c>
    </row>
    <row r="66" spans="1:8">
      <c r="A66" s="2092">
        <f>IF(未审附注之利润及利润分配!A66="",0,未审附注之利润及利润分配!A66)</f>
        <v>0</v>
      </c>
      <c r="B66" s="2085">
        <f>IF(未审附注之利润及利润分配!B66="",0,未审附注之利润及利润分配!B66)</f>
        <v>0</v>
      </c>
      <c r="C66" s="2085">
        <f>IF(未审附注之利润及利润分配!C66="",0,未审附注之利润及利润分配!C66)</f>
        <v>0</v>
      </c>
      <c r="D66" s="2085">
        <f>IF(未审附注之利润及利润分配!D66="",0,未审附注之利润及利润分配!D66)</f>
        <v>0</v>
      </c>
      <c r="E66" s="2085">
        <f>IF(未审附注之利润及利润分配!E66="",0,未审附注之利润及利润分配!E66)</f>
        <v>0</v>
      </c>
      <c r="F66" s="2080"/>
      <c r="G66" s="2080"/>
      <c r="H66" s="2086" t="s">
        <v>1274</v>
      </c>
    </row>
    <row r="67" spans="1:8">
      <c r="A67" s="2092">
        <f>IF(未审附注之利润及利润分配!A67="",0,未审附注之利润及利润分配!A67)</f>
        <v>0</v>
      </c>
      <c r="B67" s="2085">
        <f>IF(未审附注之利润及利润分配!B67="",0,未审附注之利润及利润分配!B67)</f>
        <v>0</v>
      </c>
      <c r="C67" s="2085">
        <f>IF(未审附注之利润及利润分配!C67="",0,未审附注之利润及利润分配!C67)</f>
        <v>0</v>
      </c>
      <c r="D67" s="2085">
        <f>IF(未审附注之利润及利润分配!D67="",0,未审附注之利润及利润分配!D67)</f>
        <v>0</v>
      </c>
      <c r="E67" s="2085">
        <f>IF(未审附注之利润及利润分配!E67="",0,未审附注之利润及利润分配!E67)</f>
        <v>0</v>
      </c>
      <c r="F67" s="2080"/>
      <c r="G67" s="2080"/>
      <c r="H67" s="2086" t="s">
        <v>1274</v>
      </c>
    </row>
    <row r="68" spans="1:8">
      <c r="A68" s="2092">
        <f>IF(未审附注之利润及利润分配!A68="",0,未审附注之利润及利润分配!A68)</f>
        <v>0</v>
      </c>
      <c r="B68" s="2085">
        <f>IF(未审附注之利润及利润分配!B68="",0,未审附注之利润及利润分配!B68)</f>
        <v>0</v>
      </c>
      <c r="C68" s="2085">
        <f>IF(未审附注之利润及利润分配!C68="",0,未审附注之利润及利润分配!C68)</f>
        <v>0</v>
      </c>
      <c r="D68" s="2085">
        <f>IF(未审附注之利润及利润分配!D68="",0,未审附注之利润及利润分配!D68)</f>
        <v>0</v>
      </c>
      <c r="E68" s="2085">
        <f>IF(未审附注之利润及利润分配!E68="",0,未审附注之利润及利润分配!E68)</f>
        <v>0</v>
      </c>
      <c r="F68" s="2080"/>
      <c r="G68" s="2080"/>
      <c r="H68" s="2086" t="s">
        <v>1274</v>
      </c>
    </row>
    <row r="69" spans="1:8">
      <c r="A69" s="2092">
        <f>IF(未审附注之利润及利润分配!A69="",0,未审附注之利润及利润分配!A69)</f>
        <v>0</v>
      </c>
      <c r="B69" s="2085">
        <f>IF(未审附注之利润及利润分配!B69="",0,未审附注之利润及利润分配!B69)</f>
        <v>0</v>
      </c>
      <c r="C69" s="2085">
        <f>IF(未审附注之利润及利润分配!C69="",0,未审附注之利润及利润分配!C69)</f>
        <v>0</v>
      </c>
      <c r="D69" s="2085">
        <f>IF(未审附注之利润及利润分配!D69="",0,未审附注之利润及利润分配!D69)</f>
        <v>0</v>
      </c>
      <c r="E69" s="2085">
        <f>IF(未审附注之利润及利润分配!E69="",0,未审附注之利润及利润分配!E69)</f>
        <v>0</v>
      </c>
      <c r="F69" s="2080"/>
      <c r="G69" s="2080"/>
      <c r="H69" s="2086" t="s">
        <v>1274</v>
      </c>
    </row>
    <row r="70" spans="1:8">
      <c r="A70" s="2092">
        <f>IF(未审附注之利润及利润分配!A70="",0,未审附注之利润及利润分配!A70)</f>
        <v>0</v>
      </c>
      <c r="B70" s="2085">
        <f>IF(未审附注之利润及利润分配!B70="",0,未审附注之利润及利润分配!B70)</f>
        <v>0</v>
      </c>
      <c r="C70" s="2085">
        <f>IF(未审附注之利润及利润分配!C70="",0,未审附注之利润及利润分配!C70)</f>
        <v>0</v>
      </c>
      <c r="D70" s="2085">
        <f>IF(未审附注之利润及利润分配!D70="",0,未审附注之利润及利润分配!D70)</f>
        <v>0</v>
      </c>
      <c r="E70" s="2085">
        <f>IF(未审附注之利润及利润分配!E70="",0,未审附注之利润及利润分配!E70)</f>
        <v>0</v>
      </c>
      <c r="F70" s="2080"/>
      <c r="G70" s="2080"/>
      <c r="H70" s="2086" t="s">
        <v>1274</v>
      </c>
    </row>
    <row r="71" spans="1:8">
      <c r="A71" s="2092">
        <f>IF(未审附注之利润及利润分配!A71="",0,未审附注之利润及利润分配!A71)</f>
        <v>0</v>
      </c>
      <c r="B71" s="2085">
        <f>IF(未审附注之利润及利润分配!B71="",0,未审附注之利润及利润分配!B71)</f>
        <v>0</v>
      </c>
      <c r="C71" s="2085">
        <f>IF(未审附注之利润及利润分配!C71="",0,未审附注之利润及利润分配!C71)</f>
        <v>0</v>
      </c>
      <c r="D71" s="2085">
        <f>IF(未审附注之利润及利润分配!D71="",0,未审附注之利润及利润分配!D71)</f>
        <v>0</v>
      </c>
      <c r="E71" s="2085">
        <f>IF(未审附注之利润及利润分配!E71="",0,未审附注之利润及利润分配!E71)</f>
        <v>0</v>
      </c>
      <c r="F71" s="2080"/>
      <c r="G71" s="2080"/>
      <c r="H71" s="2086" t="s">
        <v>1274</v>
      </c>
    </row>
    <row r="72" spans="1:8">
      <c r="A72" s="2092">
        <f>IF(未审附注之利润及利润分配!A72="",0,未审附注之利润及利润分配!A72)</f>
        <v>0</v>
      </c>
      <c r="B72" s="2085">
        <f>IF(未审附注之利润及利润分配!B72="",0,未审附注之利润及利润分配!B72)</f>
        <v>0</v>
      </c>
      <c r="C72" s="2085">
        <f>IF(未审附注之利润及利润分配!C72="",0,未审附注之利润及利润分配!C72)</f>
        <v>0</v>
      </c>
      <c r="D72" s="2085">
        <f>IF(未审附注之利润及利润分配!D72="",0,未审附注之利润及利润分配!D72)</f>
        <v>0</v>
      </c>
      <c r="E72" s="2085">
        <f>IF(未审附注之利润及利润分配!E72="",0,未审附注之利润及利润分配!E72)</f>
        <v>0</v>
      </c>
      <c r="F72" s="2080"/>
      <c r="G72" s="2080"/>
      <c r="H72" s="2086" t="s">
        <v>1274</v>
      </c>
    </row>
    <row r="73" spans="1:8">
      <c r="A73" s="2092">
        <f>IF(未审附注之利润及利润分配!A73="",0,未审附注之利润及利润分配!A73)</f>
        <v>0</v>
      </c>
      <c r="B73" s="2085">
        <f>IF(未审附注之利润及利润分配!B73="",0,未审附注之利润及利润分配!B73)</f>
        <v>0</v>
      </c>
      <c r="C73" s="2085">
        <f>IF(未审附注之利润及利润分配!C73="",0,未审附注之利润及利润分配!C73)</f>
        <v>0</v>
      </c>
      <c r="D73" s="2085">
        <f>IF(未审附注之利润及利润分配!D73="",0,未审附注之利润及利润分配!D73)</f>
        <v>0</v>
      </c>
      <c r="E73" s="2085">
        <f>IF(未审附注之利润及利润分配!E73="",0,未审附注之利润及利润分配!E73)</f>
        <v>0</v>
      </c>
      <c r="F73" s="2080"/>
      <c r="G73" s="2080"/>
      <c r="H73" s="2086" t="s">
        <v>1274</v>
      </c>
    </row>
    <row r="74" spans="1:8">
      <c r="A74" s="2082" t="s">
        <v>676</v>
      </c>
      <c r="B74" s="2048">
        <f>ROUND(SUM(B64:B73),2)</f>
        <v>0</v>
      </c>
      <c r="C74" s="2048">
        <f>ROUND(SUM(C64:C73),2)</f>
        <v>0</v>
      </c>
      <c r="D74" s="2048">
        <f>ROUND(SUM(D64:D73),2)</f>
        <v>0</v>
      </c>
      <c r="E74" s="2048">
        <f>ROUND(SUM(E64:E73),2)</f>
        <v>0</v>
      </c>
      <c r="F74" s="2080"/>
      <c r="G74" s="2080"/>
      <c r="H74" s="2086" t="s">
        <v>1275</v>
      </c>
    </row>
    <row r="75" spans="1:7">
      <c r="A75" s="2087"/>
      <c r="B75" s="2087"/>
      <c r="C75" s="2087"/>
      <c r="D75" s="2087"/>
      <c r="E75" s="2087"/>
      <c r="F75" s="2080"/>
      <c r="G75" s="2080"/>
    </row>
    <row r="76" spans="1:8">
      <c r="A76" s="2082" t="s">
        <v>384</v>
      </c>
      <c r="B76" s="2048">
        <f>ROUND(B61+B74,2)</f>
        <v>0</v>
      </c>
      <c r="C76" s="2048">
        <f>ROUND(C61+C74,2)</f>
        <v>0</v>
      </c>
      <c r="D76" s="2048">
        <f>ROUND(D61+D74,2)</f>
        <v>0</v>
      </c>
      <c r="E76" s="2048">
        <f>ROUND(E61+E74,2)</f>
        <v>0</v>
      </c>
      <c r="F76" s="2080"/>
      <c r="G76" s="2080"/>
      <c r="H76" s="2086" t="s">
        <v>1276</v>
      </c>
    </row>
    <row r="77" spans="1:7">
      <c r="A77" s="2080"/>
      <c r="B77" s="2080"/>
      <c r="C77" s="2080"/>
      <c r="D77" s="2080"/>
      <c r="E77" s="2080"/>
      <c r="F77" s="2080"/>
      <c r="G77" s="2080"/>
    </row>
    <row r="78" spans="1:7">
      <c r="A78" s="2080"/>
      <c r="B78" s="2080"/>
      <c r="C78" s="2080" t="s">
        <v>1277</v>
      </c>
      <c r="D78" s="2080"/>
      <c r="E78" s="2080"/>
      <c r="F78" s="2080"/>
      <c r="G78" s="2080"/>
    </row>
    <row r="79" spans="1:7">
      <c r="A79" s="2097" t="s">
        <v>1278</v>
      </c>
      <c r="B79" s="2080"/>
      <c r="C79" s="2080"/>
      <c r="D79" s="2080"/>
      <c r="E79" s="2080"/>
      <c r="F79" s="2080"/>
      <c r="G79" s="2080"/>
    </row>
    <row r="80" spans="1:7">
      <c r="A80" s="2082" t="s">
        <v>372</v>
      </c>
      <c r="B80" s="2082" t="s">
        <v>1279</v>
      </c>
      <c r="C80" s="2082" t="s">
        <v>1241</v>
      </c>
      <c r="D80" s="2082" t="s">
        <v>1242</v>
      </c>
      <c r="E80" s="2080"/>
      <c r="F80" s="2080"/>
      <c r="G80" s="2080"/>
    </row>
    <row r="81" spans="1:8">
      <c r="A81" s="2092">
        <f>IF(未审附注之利润及利润分配!A81="",0,未审附注之利润及利润分配!A81)</f>
        <v>0</v>
      </c>
      <c r="B81" s="2092">
        <f>IF(未审附注之利润及利润分配!B81="",0,未审附注之利润及利润分配!B81)</f>
        <v>0</v>
      </c>
      <c r="C81" s="2085">
        <f>IF(未审附注之利润及利润分配!C81="",0,未审附注之利润及利润分配!C81)</f>
        <v>0</v>
      </c>
      <c r="D81" s="2085">
        <f>IF(未审附注之利润及利润分配!D81="",0,未审附注之利润及利润分配!D81)</f>
        <v>0</v>
      </c>
      <c r="E81" s="2080"/>
      <c r="F81" s="2080"/>
      <c r="G81" s="2080"/>
      <c r="H81" s="2086" t="s">
        <v>1280</v>
      </c>
    </row>
    <row r="82" spans="1:8">
      <c r="A82" s="2092">
        <f>IF(未审附注之利润及利润分配!A82="",0,未审附注之利润及利润分配!A82)</f>
        <v>0</v>
      </c>
      <c r="B82" s="2092">
        <f>IF(未审附注之利润及利润分配!B82="",0,未审附注之利润及利润分配!B82)</f>
        <v>0</v>
      </c>
      <c r="C82" s="2085">
        <f>IF(未审附注之利润及利润分配!C82="",0,未审附注之利润及利润分配!C82)</f>
        <v>0</v>
      </c>
      <c r="D82" s="2085">
        <f>IF(未审附注之利润及利润分配!D82="",0,未审附注之利润及利润分配!D82)</f>
        <v>0</v>
      </c>
      <c r="E82" s="2080"/>
      <c r="F82" s="2080"/>
      <c r="G82" s="2080"/>
      <c r="H82" s="2086" t="s">
        <v>1280</v>
      </c>
    </row>
    <row r="83" spans="1:8">
      <c r="A83" s="2092">
        <f>IF(未审附注之利润及利润分配!A83="",0,未审附注之利润及利润分配!A83)</f>
        <v>0</v>
      </c>
      <c r="B83" s="2092">
        <f>IF(未审附注之利润及利润分配!B83="",0,未审附注之利润及利润分配!B83)</f>
        <v>0</v>
      </c>
      <c r="C83" s="2085">
        <f>IF(未审附注之利润及利润分配!C83="",0,未审附注之利润及利润分配!C83)</f>
        <v>0</v>
      </c>
      <c r="D83" s="2085">
        <f>IF(未审附注之利润及利润分配!D83="",0,未审附注之利润及利润分配!D83)</f>
        <v>0</v>
      </c>
      <c r="E83" s="2080"/>
      <c r="F83" s="2080"/>
      <c r="G83" s="2080"/>
      <c r="H83" s="2086" t="s">
        <v>1280</v>
      </c>
    </row>
    <row r="84" spans="1:8">
      <c r="A84" s="2092">
        <f>IF(未审附注之利润及利润分配!A84="",0,未审附注之利润及利润分配!A84)</f>
        <v>0</v>
      </c>
      <c r="B84" s="2092">
        <f>IF(未审附注之利润及利润分配!B84="",0,未审附注之利润及利润分配!B84)</f>
        <v>0</v>
      </c>
      <c r="C84" s="2085">
        <f>IF(未审附注之利润及利润分配!C84="",0,未审附注之利润及利润分配!C84)</f>
        <v>0</v>
      </c>
      <c r="D84" s="2085">
        <f>IF(未审附注之利润及利润分配!D84="",0,未审附注之利润及利润分配!D84)</f>
        <v>0</v>
      </c>
      <c r="E84" s="2080"/>
      <c r="F84" s="2080"/>
      <c r="G84" s="2080"/>
      <c r="H84" s="2086" t="s">
        <v>1280</v>
      </c>
    </row>
    <row r="85" spans="1:8">
      <c r="A85" s="2092">
        <f>IF(未审附注之利润及利润分配!A85="",0,未审附注之利润及利润分配!A85)</f>
        <v>0</v>
      </c>
      <c r="B85" s="2092">
        <f>IF(未审附注之利润及利润分配!B85="",0,未审附注之利润及利润分配!B85)</f>
        <v>0</v>
      </c>
      <c r="C85" s="2085">
        <f>IF(未审附注之利润及利润分配!C85="",0,未审附注之利润及利润分配!C85)</f>
        <v>0</v>
      </c>
      <c r="D85" s="2085">
        <f>IF(未审附注之利润及利润分配!D85="",0,未审附注之利润及利润分配!D85)</f>
        <v>0</v>
      </c>
      <c r="E85" s="2080"/>
      <c r="F85" s="2080"/>
      <c r="G85" s="2080"/>
      <c r="H85" s="2086" t="s">
        <v>1280</v>
      </c>
    </row>
    <row r="86" spans="1:8">
      <c r="A86" s="2092">
        <f>IF(未审附注之利润及利润分配!A86="",0,未审附注之利润及利润分配!A86)</f>
        <v>0</v>
      </c>
      <c r="B86" s="2092">
        <f>IF(未审附注之利润及利润分配!B86="",0,未审附注之利润及利润分配!B86)</f>
        <v>0</v>
      </c>
      <c r="C86" s="2085">
        <f>IF(未审附注之利润及利润分配!C86="",0,未审附注之利润及利润分配!C86)</f>
        <v>0</v>
      </c>
      <c r="D86" s="2085">
        <f>IF(未审附注之利润及利润分配!D86="",0,未审附注之利润及利润分配!D86)</f>
        <v>0</v>
      </c>
      <c r="E86" s="2080"/>
      <c r="F86" s="2080"/>
      <c r="G86" s="2080"/>
      <c r="H86" s="2086" t="s">
        <v>1280</v>
      </c>
    </row>
    <row r="87" spans="1:8">
      <c r="A87" s="2092">
        <f>IF(未审附注之利润及利润分配!A87="",0,未审附注之利润及利润分配!A87)</f>
        <v>0</v>
      </c>
      <c r="B87" s="2092">
        <f>IF(未审附注之利润及利润分配!B87="",0,未审附注之利润及利润分配!B87)</f>
        <v>0</v>
      </c>
      <c r="C87" s="2085">
        <f>IF(未审附注之利润及利润分配!C87="",0,未审附注之利润及利润分配!C87)</f>
        <v>0</v>
      </c>
      <c r="D87" s="2085">
        <f>IF(未审附注之利润及利润分配!D87="",0,未审附注之利润及利润分配!D87)</f>
        <v>0</v>
      </c>
      <c r="E87" s="2080"/>
      <c r="F87" s="2080"/>
      <c r="G87" s="2080"/>
      <c r="H87" s="2086" t="s">
        <v>1280</v>
      </c>
    </row>
    <row r="88" spans="1:8">
      <c r="A88" s="2092">
        <f>IF(未审附注之利润及利润分配!A88="",0,未审附注之利润及利润分配!A88)</f>
        <v>0</v>
      </c>
      <c r="B88" s="2092">
        <f>IF(未审附注之利润及利润分配!B88="",0,未审附注之利润及利润分配!B88)</f>
        <v>0</v>
      </c>
      <c r="C88" s="2085">
        <f>IF(未审附注之利润及利润分配!C88="",0,未审附注之利润及利润分配!C88)</f>
        <v>0</v>
      </c>
      <c r="D88" s="2085">
        <f>IF(未审附注之利润及利润分配!D88="",0,未审附注之利润及利润分配!D88)</f>
        <v>0</v>
      </c>
      <c r="E88" s="2080"/>
      <c r="F88" s="2080"/>
      <c r="G88" s="2080"/>
      <c r="H88" s="2086" t="s">
        <v>1280</v>
      </c>
    </row>
    <row r="89" spans="1:8">
      <c r="A89" s="2092">
        <f>IF(未审附注之利润及利润分配!A89="",0,未审附注之利润及利润分配!A89)</f>
        <v>0</v>
      </c>
      <c r="B89" s="2092">
        <f>IF(未审附注之利润及利润分配!B89="",0,未审附注之利润及利润分配!B89)</f>
        <v>0</v>
      </c>
      <c r="C89" s="2085">
        <f>IF(未审附注之利润及利润分配!C89="",0,未审附注之利润及利润分配!C89)</f>
        <v>0</v>
      </c>
      <c r="D89" s="2085">
        <f>IF(未审附注之利润及利润分配!D89="",0,未审附注之利润及利润分配!D89)</f>
        <v>0</v>
      </c>
      <c r="E89" s="2080"/>
      <c r="F89" s="2080"/>
      <c r="G89" s="2080"/>
      <c r="H89" s="2086" t="s">
        <v>1280</v>
      </c>
    </row>
    <row r="90" spans="1:8">
      <c r="A90" s="2092">
        <f>IF(未审附注之利润及利润分配!A90="",0,未审附注之利润及利润分配!A90)</f>
        <v>0</v>
      </c>
      <c r="B90" s="2092">
        <f>IF(未审附注之利润及利润分配!B90="",0,未审附注之利润及利润分配!B90)</f>
        <v>0</v>
      </c>
      <c r="C90" s="2085">
        <f>IF(未审附注之利润及利润分配!C90="",0,未审附注之利润及利润分配!C90)</f>
        <v>0</v>
      </c>
      <c r="D90" s="2085">
        <f>IF(未审附注之利润及利润分配!D90="",0,未审附注之利润及利润分配!D90)</f>
        <v>0</v>
      </c>
      <c r="E90" s="2080"/>
      <c r="F90" s="2080"/>
      <c r="G90" s="2080"/>
      <c r="H90" s="2086" t="s">
        <v>1280</v>
      </c>
    </row>
    <row r="91" spans="1:8">
      <c r="A91" s="2082" t="s">
        <v>384</v>
      </c>
      <c r="B91" s="2098"/>
      <c r="C91" s="2048">
        <f>ROUND(SUM(C81:C90),2)</f>
        <v>0</v>
      </c>
      <c r="D91" s="2048">
        <f>ROUND(SUM(D81:D90),2)</f>
        <v>0</v>
      </c>
      <c r="E91" s="2080"/>
      <c r="F91" s="2080"/>
      <c r="G91" s="2080"/>
      <c r="H91" s="2086" t="s">
        <v>1281</v>
      </c>
    </row>
    <row r="92" spans="1:8">
      <c r="A92" s="2099"/>
      <c r="B92" s="2100"/>
      <c r="C92" s="2101"/>
      <c r="D92" s="2101"/>
      <c r="E92" s="2101"/>
      <c r="F92" s="2101"/>
      <c r="G92" s="2102"/>
      <c r="H92" s="2086"/>
    </row>
    <row r="93" spans="1:7">
      <c r="A93" s="2103"/>
      <c r="B93" s="2080"/>
      <c r="C93" s="2080"/>
      <c r="D93" s="2080"/>
      <c r="E93" s="2080"/>
      <c r="F93" s="2080"/>
      <c r="G93" s="2080"/>
    </row>
    <row r="94" spans="1:7">
      <c r="A94" s="2079" t="s">
        <v>1282</v>
      </c>
      <c r="B94" s="2080"/>
      <c r="C94" s="2080"/>
      <c r="D94" s="2080"/>
      <c r="E94" s="2080"/>
      <c r="F94" s="2080"/>
      <c r="G94" s="2080"/>
    </row>
    <row r="95" spans="1:7">
      <c r="A95" s="2082" t="s">
        <v>372</v>
      </c>
      <c r="B95" s="2082" t="s">
        <v>1241</v>
      </c>
      <c r="C95" s="2082" t="s">
        <v>1242</v>
      </c>
      <c r="D95" s="2080"/>
      <c r="E95" s="2080"/>
      <c r="F95" s="2080"/>
      <c r="G95" s="2080"/>
    </row>
    <row r="96" spans="1:8">
      <c r="A96" s="2084" t="s">
        <v>1283</v>
      </c>
      <c r="B96" s="2085">
        <f>IF(未审附注之利润及利润分配!B96="",0,未审附注之利润及利润分配!B96)</f>
        <v>0</v>
      </c>
      <c r="C96" s="2085">
        <f>IF(未审附注之利润及利润分配!C96="",0,未审附注之利润及利润分配!C96)</f>
        <v>0</v>
      </c>
      <c r="D96" s="2080"/>
      <c r="E96" s="2080"/>
      <c r="F96" s="2080"/>
      <c r="G96" s="2080"/>
      <c r="H96" s="2086" t="s">
        <v>1284</v>
      </c>
    </row>
    <row r="97" spans="1:8">
      <c r="A97" s="2084" t="s">
        <v>1285</v>
      </c>
      <c r="B97" s="2085">
        <f>IF(未审附注之利润及利润分配!B97="",0,未审附注之利润及利润分配!B97)</f>
        <v>0</v>
      </c>
      <c r="C97" s="2085">
        <f>IF(未审附注之利润及利润分配!C97="",0,未审附注之利润及利润分配!C97)</f>
        <v>0</v>
      </c>
      <c r="D97" s="2080"/>
      <c r="E97" s="2080"/>
      <c r="F97" s="2080"/>
      <c r="G97" s="2080"/>
      <c r="H97" s="2086" t="s">
        <v>1286</v>
      </c>
    </row>
    <row r="98" spans="1:8">
      <c r="A98" s="2084" t="s">
        <v>1287</v>
      </c>
      <c r="B98" s="2085">
        <f>IF(未审附注之利润及利润分配!B98="",0,未审附注之利润及利润分配!B98)</f>
        <v>0</v>
      </c>
      <c r="C98" s="2085">
        <f>IF(未审附注之利润及利润分配!C98="",0,未审附注之利润及利润分配!C98)</f>
        <v>0</v>
      </c>
      <c r="D98" s="2080"/>
      <c r="E98" s="2080"/>
      <c r="F98" s="2080"/>
      <c r="G98" s="2080"/>
      <c r="H98" s="2086" t="s">
        <v>1288</v>
      </c>
    </row>
    <row r="99" spans="1:8">
      <c r="A99" s="2084" t="s">
        <v>279</v>
      </c>
      <c r="B99" s="2085">
        <f>IF(未审附注之利润及利润分配!B99="",0,未审附注之利润及利润分配!B99)</f>
        <v>0</v>
      </c>
      <c r="C99" s="2085">
        <f>IF(未审附注之利润及利润分配!C99="",0,未审附注之利润及利润分配!C99)</f>
        <v>0</v>
      </c>
      <c r="D99" s="2080"/>
      <c r="E99" s="2080"/>
      <c r="F99" s="2080"/>
      <c r="G99" s="2080"/>
      <c r="H99" s="2086" t="s">
        <v>1289</v>
      </c>
    </row>
    <row r="100" spans="1:8">
      <c r="A100" s="2082" t="s">
        <v>384</v>
      </c>
      <c r="B100" s="2048">
        <f>ROUND(SUM(B96:B99),2)</f>
        <v>0</v>
      </c>
      <c r="C100" s="2048">
        <f>ROUND(SUM(C96:C99),2)</f>
        <v>0</v>
      </c>
      <c r="D100" s="2080"/>
      <c r="E100" s="2080"/>
      <c r="F100" s="2080"/>
      <c r="G100" s="2080"/>
      <c r="H100" s="2086" t="s">
        <v>1290</v>
      </c>
    </row>
    <row r="101" spans="1:7">
      <c r="A101" s="2099"/>
      <c r="B101" s="2100"/>
      <c r="C101" s="2101"/>
      <c r="D101" s="2101"/>
      <c r="E101" s="2101"/>
      <c r="F101" s="2101"/>
      <c r="G101" s="2102"/>
    </row>
    <row r="102" spans="1:7">
      <c r="A102" s="2103"/>
      <c r="B102" s="2080"/>
      <c r="C102" s="2080"/>
      <c r="D102" s="2080"/>
      <c r="E102" s="2080"/>
      <c r="F102" s="2080"/>
      <c r="G102" s="2080"/>
    </row>
    <row r="103" spans="1:7">
      <c r="A103" s="2079" t="s">
        <v>1291</v>
      </c>
      <c r="B103" s="2080"/>
      <c r="C103" s="2080"/>
      <c r="D103" s="2080"/>
      <c r="E103" s="2080"/>
      <c r="F103" s="2080"/>
      <c r="G103" s="2080"/>
    </row>
    <row r="104" spans="1:7">
      <c r="A104" s="2082" t="s">
        <v>372</v>
      </c>
      <c r="B104" s="2082" t="s">
        <v>1241</v>
      </c>
      <c r="C104" s="2082" t="s">
        <v>1242</v>
      </c>
      <c r="D104" s="2080"/>
      <c r="E104" s="2080"/>
      <c r="F104" s="2080"/>
      <c r="G104" s="2080"/>
    </row>
    <row r="105" spans="1:8">
      <c r="A105" s="2084" t="s">
        <v>1292</v>
      </c>
      <c r="B105" s="2085">
        <f>IF(未审附注之利润及利润分配!B105="",0,未审附注之利润及利润分配!B105)</f>
        <v>0</v>
      </c>
      <c r="C105" s="2085">
        <f>IF(未审附注之利润及利润分配!C105="",0,未审附注之利润及利润分配!C105)</f>
        <v>0</v>
      </c>
      <c r="D105" s="2080"/>
      <c r="E105" s="2080"/>
      <c r="F105" s="2080"/>
      <c r="G105" s="2080"/>
      <c r="H105" s="2086" t="s">
        <v>1293</v>
      </c>
    </row>
    <row r="106" spans="1:8">
      <c r="A106" s="2084" t="s">
        <v>1294</v>
      </c>
      <c r="B106" s="2085">
        <f>IF(未审附注之利润及利润分配!B106="",0,未审附注之利润及利润分配!B106)</f>
        <v>0</v>
      </c>
      <c r="C106" s="2085">
        <f>IF(未审附注之利润及利润分配!C106="",0,未审附注之利润及利润分配!C106)</f>
        <v>0</v>
      </c>
      <c r="D106" s="2080"/>
      <c r="E106" s="2080"/>
      <c r="F106" s="2080"/>
      <c r="G106" s="2080"/>
      <c r="H106" s="2086" t="s">
        <v>1295</v>
      </c>
    </row>
    <row r="107" spans="1:8">
      <c r="A107" s="2084" t="s">
        <v>1296</v>
      </c>
      <c r="B107" s="2085">
        <f>IF(未审附注之利润及利润分配!B107="",0,未审附注之利润及利润分配!B107)</f>
        <v>0</v>
      </c>
      <c r="C107" s="2085">
        <f>IF(未审附注之利润及利润分配!C107="",0,未审附注之利润及利润分配!C107)</f>
        <v>0</v>
      </c>
      <c r="D107" s="2080"/>
      <c r="E107" s="2080"/>
      <c r="F107" s="2080"/>
      <c r="G107" s="2080"/>
      <c r="H107" s="2086" t="s">
        <v>1297</v>
      </c>
    </row>
    <row r="108" spans="1:8">
      <c r="A108" s="2084" t="s">
        <v>1298</v>
      </c>
      <c r="B108" s="2085">
        <f>IF(未审附注之利润及利润分配!B108="",0,未审附注之利润及利润分配!B108)</f>
        <v>0</v>
      </c>
      <c r="C108" s="2085">
        <f>IF(未审附注之利润及利润分配!C108="",0,未审附注之利润及利润分配!C108)</f>
        <v>0</v>
      </c>
      <c r="D108" s="2080"/>
      <c r="E108" s="2080"/>
      <c r="F108" s="2080"/>
      <c r="G108" s="2080"/>
      <c r="H108" s="2086" t="s">
        <v>1299</v>
      </c>
    </row>
    <row r="109" spans="1:8">
      <c r="A109" s="2084" t="s">
        <v>1300</v>
      </c>
      <c r="B109" s="2085">
        <f>IF(未审附注之利润及利润分配!B109="",0,未审附注之利润及利润分配!B109)</f>
        <v>0</v>
      </c>
      <c r="C109" s="2085">
        <f>IF(未审附注之利润及利润分配!C109="",0,未审附注之利润及利润分配!C109)</f>
        <v>0</v>
      </c>
      <c r="D109" s="2080"/>
      <c r="E109" s="2080"/>
      <c r="F109" s="2080"/>
      <c r="G109" s="2080"/>
      <c r="H109" s="2086" t="s">
        <v>1301</v>
      </c>
    </row>
    <row r="110" spans="1:8">
      <c r="A110" s="2084" t="s">
        <v>1302</v>
      </c>
      <c r="B110" s="2085">
        <f>IF(未审附注之利润及利润分配!B110="",0,未审附注之利润及利润分配!B110)</f>
        <v>0</v>
      </c>
      <c r="C110" s="2085">
        <f>IF(未审附注之利润及利润分配!C110="",0,未审附注之利润及利润分配!C110)</f>
        <v>0</v>
      </c>
      <c r="D110" s="2080"/>
      <c r="E110" s="2080"/>
      <c r="F110" s="2080"/>
      <c r="G110" s="2080"/>
      <c r="H110" s="2086" t="s">
        <v>1303</v>
      </c>
    </row>
    <row r="111" spans="1:8">
      <c r="A111" s="2084" t="s">
        <v>1304</v>
      </c>
      <c r="B111" s="2085">
        <f>IF(未审附注之利润及利润分配!B111="",0,未审附注之利润及利润分配!B111)</f>
        <v>0</v>
      </c>
      <c r="C111" s="2085">
        <f>IF(未审附注之利润及利润分配!C111="",0,未审附注之利润及利润分配!C111)</f>
        <v>0</v>
      </c>
      <c r="D111" s="2080"/>
      <c r="E111" s="2080"/>
      <c r="F111" s="2080"/>
      <c r="G111" s="2080"/>
      <c r="H111" s="2086" t="s">
        <v>1305</v>
      </c>
    </row>
    <row r="112" spans="1:8">
      <c r="A112" s="2084" t="s">
        <v>1306</v>
      </c>
      <c r="B112" s="2085">
        <f>IF(未审附注之利润及利润分配!B112="",0,未审附注之利润及利润分配!B112)</f>
        <v>0</v>
      </c>
      <c r="C112" s="2085">
        <f>IF(未审附注之利润及利润分配!C112="",0,未审附注之利润及利润分配!C112)</f>
        <v>0</v>
      </c>
      <c r="D112" s="2080"/>
      <c r="E112" s="2080"/>
      <c r="F112" s="2080"/>
      <c r="G112" s="2080"/>
      <c r="H112" s="2086" t="s">
        <v>1307</v>
      </c>
    </row>
    <row r="113" spans="1:8">
      <c r="A113" s="2084" t="s">
        <v>1308</v>
      </c>
      <c r="B113" s="2085">
        <f>IF(未审附注之利润及利润分配!B113="",0,未审附注之利润及利润分配!B113)</f>
        <v>0</v>
      </c>
      <c r="C113" s="2085">
        <f>IF(未审附注之利润及利润分配!C113="",0,未审附注之利润及利润分配!C113)</f>
        <v>0</v>
      </c>
      <c r="D113" s="2080"/>
      <c r="E113" s="2080"/>
      <c r="F113" s="2080"/>
      <c r="G113" s="2080"/>
      <c r="H113" s="2086" t="s">
        <v>1309</v>
      </c>
    </row>
    <row r="114" spans="1:8">
      <c r="A114" s="2084" t="s">
        <v>1310</v>
      </c>
      <c r="B114" s="2085">
        <f>IF(未审附注之利润及利润分配!B114="",0,未审附注之利润及利润分配!B114)</f>
        <v>0</v>
      </c>
      <c r="C114" s="2085">
        <f>IF(未审附注之利润及利润分配!C114="",0,未审附注之利润及利润分配!C114)</f>
        <v>0</v>
      </c>
      <c r="D114" s="2080"/>
      <c r="E114" s="2080"/>
      <c r="F114" s="2080"/>
      <c r="G114" s="2080"/>
      <c r="H114" s="2086" t="s">
        <v>1311</v>
      </c>
    </row>
    <row r="115" spans="1:8">
      <c r="A115" s="2084" t="s">
        <v>1312</v>
      </c>
      <c r="B115" s="2085">
        <f>IF(未审附注之利润及利润分配!B115="",0,未审附注之利润及利润分配!B115)</f>
        <v>0</v>
      </c>
      <c r="C115" s="2085">
        <f>IF(未审附注之利润及利润分配!C115="",0,未审附注之利润及利润分配!C115)</f>
        <v>0</v>
      </c>
      <c r="D115" s="2080"/>
      <c r="E115" s="2080"/>
      <c r="F115" s="2080"/>
      <c r="G115" s="2080"/>
      <c r="H115" s="2086" t="s">
        <v>1313</v>
      </c>
    </row>
    <row r="116" spans="1:8">
      <c r="A116" s="2084" t="s">
        <v>1314</v>
      </c>
      <c r="B116" s="2085">
        <f>IF(未审附注之利润及利润分配!B116="",0,未审附注之利润及利润分配!B116)</f>
        <v>0</v>
      </c>
      <c r="C116" s="2085">
        <f>IF(未审附注之利润及利润分配!C116="",0,未审附注之利润及利润分配!C116)</f>
        <v>0</v>
      </c>
      <c r="D116" s="2080"/>
      <c r="E116" s="2080"/>
      <c r="F116" s="2080"/>
      <c r="G116" s="2080"/>
      <c r="H116" s="2086" t="s">
        <v>1315</v>
      </c>
    </row>
    <row r="117" spans="1:8">
      <c r="A117" s="2084" t="s">
        <v>1316</v>
      </c>
      <c r="B117" s="2085">
        <f>IF(未审附注之利润及利润分配!B117="",0,未审附注之利润及利润分配!B117)</f>
        <v>0</v>
      </c>
      <c r="C117" s="2085">
        <f>IF(未审附注之利润及利润分配!C117="",0,未审附注之利润及利润分配!C117)</f>
        <v>0</v>
      </c>
      <c r="D117" s="2080"/>
      <c r="E117" s="2080"/>
      <c r="F117" s="2080"/>
      <c r="G117" s="2080"/>
      <c r="H117" s="2086" t="s">
        <v>1317</v>
      </c>
    </row>
    <row r="118" spans="1:8">
      <c r="A118" s="2084" t="s">
        <v>967</v>
      </c>
      <c r="B118" s="2085">
        <f>IF(未审附注之利润及利润分配!B118="",0,未审附注之利润及利润分配!B118)</f>
        <v>0</v>
      </c>
      <c r="C118" s="2085">
        <f>IF(未审附注之利润及利润分配!C118="",0,未审附注之利润及利润分配!C118)</f>
        <v>0</v>
      </c>
      <c r="D118" s="2080"/>
      <c r="E118" s="2080"/>
      <c r="F118" s="2080"/>
      <c r="G118" s="2080"/>
      <c r="H118" s="2086" t="s">
        <v>1318</v>
      </c>
    </row>
    <row r="119" spans="1:8">
      <c r="A119" s="2084" t="s">
        <v>384</v>
      </c>
      <c r="B119" s="2048">
        <f>ROUND(SUM(B105:B118),2)</f>
        <v>0</v>
      </c>
      <c r="C119" s="2048">
        <f>ROUND(SUM(C105:C118),2)</f>
        <v>0</v>
      </c>
      <c r="D119" s="2080"/>
      <c r="E119" s="2080"/>
      <c r="F119" s="2080"/>
      <c r="G119" s="2080"/>
      <c r="H119" s="2086" t="s">
        <v>1319</v>
      </c>
    </row>
    <row r="120" spans="1:7">
      <c r="A120" s="2099"/>
      <c r="B120" s="2095"/>
      <c r="C120" s="2100"/>
      <c r="D120" s="2100"/>
      <c r="E120" s="2080"/>
      <c r="F120" s="2080"/>
      <c r="G120" s="2080"/>
    </row>
    <row r="121" spans="1:7">
      <c r="A121" s="2103"/>
      <c r="B121" s="2080"/>
      <c r="C121" s="2080"/>
      <c r="D121" s="2080"/>
      <c r="E121" s="2080"/>
      <c r="F121" s="2080"/>
      <c r="G121" s="2080"/>
    </row>
    <row r="122" spans="1:7">
      <c r="A122" s="2079" t="s">
        <v>1320</v>
      </c>
      <c r="B122" s="2080"/>
      <c r="C122" s="2080"/>
      <c r="D122" s="2080"/>
      <c r="E122" s="2080"/>
      <c r="F122" s="2080"/>
      <c r="G122" s="2080"/>
    </row>
    <row r="123" spans="1:7">
      <c r="A123" s="2082" t="s">
        <v>1321</v>
      </c>
      <c r="B123" s="2082" t="s">
        <v>1241</v>
      </c>
      <c r="C123" s="2082" t="s">
        <v>1242</v>
      </c>
      <c r="D123" s="2080"/>
      <c r="E123" s="2080"/>
      <c r="F123" s="2080"/>
      <c r="G123" s="2080"/>
    </row>
    <row r="124" spans="1:8">
      <c r="A124" s="2092">
        <f>IF(未审附注之利润及利润分配!A124="",0,未审附注之利润及利润分配!A124)</f>
        <v>0</v>
      </c>
      <c r="B124" s="2085">
        <f>IF(未审附注之利润及利润分配!B124="",0,未审附注之利润及利润分配!B124)</f>
        <v>0</v>
      </c>
      <c r="C124" s="2085">
        <f>IF(未审附注之利润及利润分配!C124="",0,未审附注之利润及利润分配!C124)</f>
        <v>0</v>
      </c>
      <c r="D124" s="2080"/>
      <c r="E124" s="2080"/>
      <c r="F124" s="2080"/>
      <c r="G124" s="2080"/>
      <c r="H124" s="2086" t="s">
        <v>1322</v>
      </c>
    </row>
    <row r="125" spans="1:8">
      <c r="A125" s="2092">
        <f>IF(未审附注之利润及利润分配!A125="",0,未审附注之利润及利润分配!A125)</f>
        <v>0</v>
      </c>
      <c r="B125" s="2085">
        <f>IF(未审附注之利润及利润分配!B125="",0,未审附注之利润及利润分配!B125)</f>
        <v>0</v>
      </c>
      <c r="C125" s="2085">
        <f>IF(未审附注之利润及利润分配!C125="",0,未审附注之利润及利润分配!C125)</f>
        <v>0</v>
      </c>
      <c r="D125" s="2080"/>
      <c r="E125" s="2080"/>
      <c r="F125" s="2080"/>
      <c r="G125" s="2080"/>
      <c r="H125" s="2086" t="s">
        <v>1322</v>
      </c>
    </row>
    <row r="126" spans="1:8">
      <c r="A126" s="2092">
        <f>IF(未审附注之利润及利润分配!A126="",0,未审附注之利润及利润分配!A126)</f>
        <v>0</v>
      </c>
      <c r="B126" s="2085">
        <f>IF(未审附注之利润及利润分配!B126="",0,未审附注之利润及利润分配!B126)</f>
        <v>0</v>
      </c>
      <c r="C126" s="2085">
        <f>IF(未审附注之利润及利润分配!C126="",0,未审附注之利润及利润分配!C126)</f>
        <v>0</v>
      </c>
      <c r="D126" s="2080"/>
      <c r="E126" s="2080"/>
      <c r="F126" s="2080"/>
      <c r="G126" s="2080"/>
      <c r="H126" s="2086" t="s">
        <v>1322</v>
      </c>
    </row>
    <row r="127" spans="1:8">
      <c r="A127" s="2092">
        <f>IF(未审附注之利润及利润分配!A127="",0,未审附注之利润及利润分配!A127)</f>
        <v>0</v>
      </c>
      <c r="B127" s="2085">
        <f>IF(未审附注之利润及利润分配!B127="",0,未审附注之利润及利润分配!B127)</f>
        <v>0</v>
      </c>
      <c r="C127" s="2085">
        <f>IF(未审附注之利润及利润分配!C127="",0,未审附注之利润及利润分配!C127)</f>
        <v>0</v>
      </c>
      <c r="D127" s="2080"/>
      <c r="E127" s="2080"/>
      <c r="F127" s="2080"/>
      <c r="G127" s="2080"/>
      <c r="H127" s="2086" t="s">
        <v>1322</v>
      </c>
    </row>
    <row r="128" spans="1:8">
      <c r="A128" s="2092">
        <f>IF(未审附注之利润及利润分配!A128="",0,未审附注之利润及利润分配!A128)</f>
        <v>0</v>
      </c>
      <c r="B128" s="2085">
        <f>IF(未审附注之利润及利润分配!B128="",0,未审附注之利润及利润分配!B128)</f>
        <v>0</v>
      </c>
      <c r="C128" s="2085">
        <f>IF(未审附注之利润及利润分配!C128="",0,未审附注之利润及利润分配!C128)</f>
        <v>0</v>
      </c>
      <c r="D128" s="2080"/>
      <c r="E128" s="2080"/>
      <c r="F128" s="2080"/>
      <c r="G128" s="2080"/>
      <c r="H128" s="2086" t="s">
        <v>1322</v>
      </c>
    </row>
    <row r="129" spans="1:8">
      <c r="A129" s="2092">
        <f>IF(未审附注之利润及利润分配!A129="",0,未审附注之利润及利润分配!A129)</f>
        <v>0</v>
      </c>
      <c r="B129" s="2085">
        <f>IF(未审附注之利润及利润分配!B129="",0,未审附注之利润及利润分配!B129)</f>
        <v>0</v>
      </c>
      <c r="C129" s="2085">
        <f>IF(未审附注之利润及利润分配!C129="",0,未审附注之利润及利润分配!C129)</f>
        <v>0</v>
      </c>
      <c r="D129" s="2080"/>
      <c r="E129" s="2080"/>
      <c r="F129" s="2080"/>
      <c r="G129" s="2080"/>
      <c r="H129" s="2086" t="s">
        <v>1322</v>
      </c>
    </row>
    <row r="130" spans="1:8">
      <c r="A130" s="2092">
        <f>IF(未审附注之利润及利润分配!A130="",0,未审附注之利润及利润分配!A130)</f>
        <v>0</v>
      </c>
      <c r="B130" s="2085">
        <f>IF(未审附注之利润及利润分配!B130="",0,未审附注之利润及利润分配!B130)</f>
        <v>0</v>
      </c>
      <c r="C130" s="2085">
        <f>IF(未审附注之利润及利润分配!C130="",0,未审附注之利润及利润分配!C130)</f>
        <v>0</v>
      </c>
      <c r="D130" s="2080"/>
      <c r="E130" s="2080"/>
      <c r="F130" s="2080"/>
      <c r="G130" s="2080"/>
      <c r="H130" s="2086" t="s">
        <v>1322</v>
      </c>
    </row>
    <row r="131" spans="1:8">
      <c r="A131" s="2092">
        <f>IF(未审附注之利润及利润分配!A131="",0,未审附注之利润及利润分配!A131)</f>
        <v>0</v>
      </c>
      <c r="B131" s="2085">
        <f>IF(未审附注之利润及利润分配!B131="",0,未审附注之利润及利润分配!B131)</f>
        <v>0</v>
      </c>
      <c r="C131" s="2085">
        <f>IF(未审附注之利润及利润分配!C131="",0,未审附注之利润及利润分配!C131)</f>
        <v>0</v>
      </c>
      <c r="D131" s="2080"/>
      <c r="E131" s="2080"/>
      <c r="F131" s="2080"/>
      <c r="G131" s="2080"/>
      <c r="H131" s="2086" t="s">
        <v>1322</v>
      </c>
    </row>
    <row r="132" spans="1:8">
      <c r="A132" s="2092">
        <f>IF(未审附注之利润及利润分配!A132="",0,未审附注之利润及利润分配!A132)</f>
        <v>0</v>
      </c>
      <c r="B132" s="2085">
        <f>IF(未审附注之利润及利润分配!B132="",0,未审附注之利润及利润分配!B132)</f>
        <v>0</v>
      </c>
      <c r="C132" s="2085">
        <f>IF(未审附注之利润及利润分配!C132="",0,未审附注之利润及利润分配!C132)</f>
        <v>0</v>
      </c>
      <c r="D132" s="2080"/>
      <c r="E132" s="2080"/>
      <c r="F132" s="2080"/>
      <c r="G132" s="2080"/>
      <c r="H132" s="2086" t="s">
        <v>1322</v>
      </c>
    </row>
    <row r="133" spans="1:8">
      <c r="A133" s="2092">
        <f>IF(未审附注之利润及利润分配!A133="",0,未审附注之利润及利润分配!A133)</f>
        <v>0</v>
      </c>
      <c r="B133" s="2085">
        <f>IF(未审附注之利润及利润分配!B133="",0,未审附注之利润及利润分配!B133)</f>
        <v>0</v>
      </c>
      <c r="C133" s="2085">
        <f>IF(未审附注之利润及利润分配!C133="",0,未审附注之利润及利润分配!C133)</f>
        <v>0</v>
      </c>
      <c r="D133" s="2080"/>
      <c r="E133" s="2080"/>
      <c r="F133" s="2080"/>
      <c r="G133" s="2080"/>
      <c r="H133" s="2086" t="s">
        <v>1322</v>
      </c>
    </row>
    <row r="134" spans="1:8">
      <c r="A134" s="2082" t="s">
        <v>384</v>
      </c>
      <c r="B134" s="2048">
        <f>ROUND(SUM(B124:B133),2)</f>
        <v>0</v>
      </c>
      <c r="C134" s="2048">
        <f>ROUND(SUM(C124:C133),2)</f>
        <v>0</v>
      </c>
      <c r="D134" s="2080"/>
      <c r="E134" s="2080"/>
      <c r="F134" s="2080"/>
      <c r="G134" s="2080"/>
      <c r="H134" s="2086" t="s">
        <v>1323</v>
      </c>
    </row>
    <row r="135" spans="1:7">
      <c r="A135" s="2103"/>
      <c r="B135" s="2080"/>
      <c r="C135" s="2080"/>
      <c r="D135" s="2080"/>
      <c r="E135" s="2080"/>
      <c r="F135" s="2080"/>
      <c r="G135" s="2080"/>
    </row>
    <row r="136" spans="1:7">
      <c r="A136" s="2079" t="s">
        <v>1324</v>
      </c>
      <c r="B136" s="2080"/>
      <c r="C136" s="2080"/>
      <c r="D136" s="2080"/>
      <c r="E136" s="2080"/>
      <c r="F136" s="2080"/>
      <c r="G136" s="2080"/>
    </row>
    <row r="137" spans="1:7">
      <c r="A137" s="2081" t="s">
        <v>1325</v>
      </c>
      <c r="B137" s="2080"/>
      <c r="C137" s="2080"/>
      <c r="D137" s="2080"/>
      <c r="E137" s="2080"/>
      <c r="F137" s="2080"/>
      <c r="G137" s="2080"/>
    </row>
    <row r="138" spans="1:7">
      <c r="A138" s="2082" t="s">
        <v>1326</v>
      </c>
      <c r="B138" s="2082" t="s">
        <v>1241</v>
      </c>
      <c r="C138" s="2082" t="s">
        <v>1242</v>
      </c>
      <c r="D138" s="2080"/>
      <c r="E138" s="2080"/>
      <c r="F138" s="2080"/>
      <c r="G138" s="2080"/>
    </row>
    <row r="139" spans="1:8">
      <c r="A139" s="2092">
        <f>IF(未审附注之利润及利润分配!A139="",0,未审附注之利润及利润分配!A139)</f>
        <v>0</v>
      </c>
      <c r="B139" s="2085">
        <f>IF(未审附注之利润及利润分配!B139="",0,未审附注之利润及利润分配!B139)</f>
        <v>0</v>
      </c>
      <c r="C139" s="2085">
        <f>IF(未审附注之利润及利润分配!C139="",0,未审附注之利润及利润分配!C139)</f>
        <v>0</v>
      </c>
      <c r="D139" s="2080"/>
      <c r="E139" s="2080"/>
      <c r="F139" s="2080"/>
      <c r="G139" s="2080"/>
      <c r="H139" s="2086" t="s">
        <v>1327</v>
      </c>
    </row>
    <row r="140" spans="1:8">
      <c r="A140" s="2092">
        <f>IF(未审附注之利润及利润分配!A140="",0,未审附注之利润及利润分配!A140)</f>
        <v>0</v>
      </c>
      <c r="B140" s="2085">
        <f>IF(未审附注之利润及利润分配!B140="",0,未审附注之利润及利润分配!B140)</f>
        <v>0</v>
      </c>
      <c r="C140" s="2085">
        <f>IF(未审附注之利润及利润分配!C140="",0,未审附注之利润及利润分配!C140)</f>
        <v>0</v>
      </c>
      <c r="D140" s="2080"/>
      <c r="E140" s="2080"/>
      <c r="F140" s="2080"/>
      <c r="G140" s="2080"/>
      <c r="H140" s="2086" t="s">
        <v>1327</v>
      </c>
    </row>
    <row r="141" spans="1:8">
      <c r="A141" s="2092">
        <f>IF(未审附注之利润及利润分配!A141="",0,未审附注之利润及利润分配!A141)</f>
        <v>0</v>
      </c>
      <c r="B141" s="2085">
        <f>IF(未审附注之利润及利润分配!B141="",0,未审附注之利润及利润分配!B141)</f>
        <v>0</v>
      </c>
      <c r="C141" s="2085">
        <f>IF(未审附注之利润及利润分配!C141="",0,未审附注之利润及利润分配!C141)</f>
        <v>0</v>
      </c>
      <c r="D141" s="2080"/>
      <c r="E141" s="2080"/>
      <c r="F141" s="2080"/>
      <c r="G141" s="2080"/>
      <c r="H141" s="2086" t="s">
        <v>1327</v>
      </c>
    </row>
    <row r="142" spans="1:8">
      <c r="A142" s="2092">
        <f>IF(未审附注之利润及利润分配!A142="",0,未审附注之利润及利润分配!A142)</f>
        <v>0</v>
      </c>
      <c r="B142" s="2085">
        <f>IF(未审附注之利润及利润分配!B142="",0,未审附注之利润及利润分配!B142)</f>
        <v>0</v>
      </c>
      <c r="C142" s="2085">
        <f>IF(未审附注之利润及利润分配!C142="",0,未审附注之利润及利润分配!C142)</f>
        <v>0</v>
      </c>
      <c r="D142" s="2080"/>
      <c r="E142" s="2080"/>
      <c r="F142" s="2080"/>
      <c r="G142" s="2080"/>
      <c r="H142" s="2086" t="s">
        <v>1327</v>
      </c>
    </row>
    <row r="143" spans="1:8">
      <c r="A143" s="2092">
        <f>IF(未审附注之利润及利润分配!A143="",0,未审附注之利润及利润分配!A143)</f>
        <v>0</v>
      </c>
      <c r="B143" s="2085">
        <f>IF(未审附注之利润及利润分配!B143="",0,未审附注之利润及利润分配!B143)</f>
        <v>0</v>
      </c>
      <c r="C143" s="2085">
        <f>IF(未审附注之利润及利润分配!C143="",0,未审附注之利润及利润分配!C143)</f>
        <v>0</v>
      </c>
      <c r="D143" s="2080"/>
      <c r="E143" s="2080"/>
      <c r="F143" s="2080"/>
      <c r="G143" s="2080"/>
      <c r="H143" s="2086" t="s">
        <v>1327</v>
      </c>
    </row>
    <row r="144" spans="1:8">
      <c r="A144" s="2092">
        <f>IF(未审附注之利润及利润分配!A144="",0,未审附注之利润及利润分配!A144)</f>
        <v>0</v>
      </c>
      <c r="B144" s="2085">
        <f>IF(未审附注之利润及利润分配!B144="",0,未审附注之利润及利润分配!B144)</f>
        <v>0</v>
      </c>
      <c r="C144" s="2085">
        <f>IF(未审附注之利润及利润分配!C144="",0,未审附注之利润及利润分配!C144)</f>
        <v>0</v>
      </c>
      <c r="D144" s="2080"/>
      <c r="E144" s="2080"/>
      <c r="F144" s="2080"/>
      <c r="G144" s="2080"/>
      <c r="H144" s="2086" t="s">
        <v>1327</v>
      </c>
    </row>
    <row r="145" spans="1:8">
      <c r="A145" s="2092">
        <f>IF(未审附注之利润及利润分配!A145="",0,未审附注之利润及利润分配!A145)</f>
        <v>0</v>
      </c>
      <c r="B145" s="2085">
        <f>IF(未审附注之利润及利润分配!B145="",0,未审附注之利润及利润分配!B145)</f>
        <v>0</v>
      </c>
      <c r="C145" s="2085">
        <f>IF(未审附注之利润及利润分配!C145="",0,未审附注之利润及利润分配!C145)</f>
        <v>0</v>
      </c>
      <c r="D145" s="2080"/>
      <c r="E145" s="2080"/>
      <c r="F145" s="2080"/>
      <c r="G145" s="2080"/>
      <c r="H145" s="2086" t="s">
        <v>1327</v>
      </c>
    </row>
    <row r="146" spans="1:8">
      <c r="A146" s="2092">
        <f>IF(未审附注之利润及利润分配!A146="",0,未审附注之利润及利润分配!A146)</f>
        <v>0</v>
      </c>
      <c r="B146" s="2085">
        <f>IF(未审附注之利润及利润分配!B146="",0,未审附注之利润及利润分配!B146)</f>
        <v>0</v>
      </c>
      <c r="C146" s="2085">
        <f>IF(未审附注之利润及利润分配!C146="",0,未审附注之利润及利润分配!C146)</f>
        <v>0</v>
      </c>
      <c r="D146" s="2080"/>
      <c r="E146" s="2080"/>
      <c r="F146" s="2080"/>
      <c r="G146" s="2080"/>
      <c r="H146" s="2086" t="s">
        <v>1327</v>
      </c>
    </row>
    <row r="147" spans="1:8">
      <c r="A147" s="2092">
        <f>IF(未审附注之利润及利润分配!A147="",0,未审附注之利润及利润分配!A147)</f>
        <v>0</v>
      </c>
      <c r="B147" s="2085">
        <f>IF(未审附注之利润及利润分配!B147="",0,未审附注之利润及利润分配!B147)</f>
        <v>0</v>
      </c>
      <c r="C147" s="2085">
        <f>IF(未审附注之利润及利润分配!C147="",0,未审附注之利润及利润分配!C147)</f>
        <v>0</v>
      </c>
      <c r="D147" s="2080"/>
      <c r="E147" s="2080"/>
      <c r="F147" s="2080"/>
      <c r="G147" s="2080"/>
      <c r="H147" s="2086" t="s">
        <v>1327</v>
      </c>
    </row>
    <row r="148" spans="1:8">
      <c r="A148" s="2092">
        <f>IF(未审附注之利润及利润分配!A148="",0,未审附注之利润及利润分配!A148)</f>
        <v>0</v>
      </c>
      <c r="B148" s="2085">
        <f>IF(未审附注之利润及利润分配!B148="",0,未审附注之利润及利润分配!B148)</f>
        <v>0</v>
      </c>
      <c r="C148" s="2085">
        <f>IF(未审附注之利润及利润分配!C148="",0,未审附注之利润及利润分配!C148)</f>
        <v>0</v>
      </c>
      <c r="D148" s="2080"/>
      <c r="E148" s="2080"/>
      <c r="F148" s="2080"/>
      <c r="G148" s="2080"/>
      <c r="H148" s="2086" t="s">
        <v>1327</v>
      </c>
    </row>
    <row r="149" spans="1:8">
      <c r="A149" s="2082" t="s">
        <v>384</v>
      </c>
      <c r="B149" s="2048">
        <f>ROUND(SUM(B139:B148),2)</f>
        <v>0</v>
      </c>
      <c r="C149" s="2048">
        <f>ROUND(SUM(C139:C148),2)</f>
        <v>0</v>
      </c>
      <c r="D149" s="2080"/>
      <c r="E149" s="2080"/>
      <c r="F149" s="2080"/>
      <c r="G149" s="2080"/>
      <c r="H149" s="2086" t="s">
        <v>1328</v>
      </c>
    </row>
    <row r="150" spans="1:7">
      <c r="A150" s="2080"/>
      <c r="B150" s="2080"/>
      <c r="C150" s="2080"/>
      <c r="D150" s="2080"/>
      <c r="E150" s="2080"/>
      <c r="F150" s="2080"/>
      <c r="G150" s="2080"/>
    </row>
    <row r="151" spans="1:7">
      <c r="A151" s="2104" t="s">
        <v>1329</v>
      </c>
      <c r="B151" s="2101"/>
      <c r="C151" s="2101"/>
      <c r="D151" s="2101"/>
      <c r="E151" s="2101"/>
      <c r="F151" s="2101"/>
      <c r="G151" s="2101"/>
    </row>
    <row r="152" spans="1:7">
      <c r="A152" s="2082" t="s">
        <v>1326</v>
      </c>
      <c r="B152" s="2082" t="s">
        <v>1330</v>
      </c>
      <c r="C152" s="2101"/>
      <c r="D152" s="2101"/>
      <c r="E152" s="2101"/>
      <c r="F152" s="2101"/>
      <c r="G152" s="2102"/>
    </row>
    <row r="153" spans="1:8">
      <c r="A153" s="2092">
        <f>IF(未审附注之利润及利润分配!A153="",0,未审附注之利润及利润分配!A153)</f>
        <v>0</v>
      </c>
      <c r="B153" s="2092">
        <f>IF(未审附注之利润及利润分配!B153="",0,未审附注之利润及利润分配!B153)</f>
        <v>0</v>
      </c>
      <c r="C153" s="2101"/>
      <c r="D153" s="2101"/>
      <c r="E153" s="2101"/>
      <c r="F153" s="2101"/>
      <c r="G153" s="2102"/>
      <c r="H153" s="2086" t="s">
        <v>1331</v>
      </c>
    </row>
    <row r="154" spans="1:8">
      <c r="A154" s="2092">
        <f>IF(未审附注之利润及利润分配!A154="",0,未审附注之利润及利润分配!A154)</f>
        <v>0</v>
      </c>
      <c r="B154" s="2092">
        <f>IF(未审附注之利润及利润分配!B154="",0,未审附注之利润及利润分配!B154)</f>
        <v>0</v>
      </c>
      <c r="C154" s="2101"/>
      <c r="D154" s="2101"/>
      <c r="E154" s="2101"/>
      <c r="F154" s="2101"/>
      <c r="G154" s="2102"/>
      <c r="H154" s="2086" t="s">
        <v>1331</v>
      </c>
    </row>
    <row r="155" spans="1:8">
      <c r="A155" s="2092">
        <f>IF(未审附注之利润及利润分配!A155="",0,未审附注之利润及利润分配!A155)</f>
        <v>0</v>
      </c>
      <c r="B155" s="2092">
        <f>IF(未审附注之利润及利润分配!B155="",0,未审附注之利润及利润分配!B155)</f>
        <v>0</v>
      </c>
      <c r="C155" s="2101"/>
      <c r="D155" s="2101"/>
      <c r="E155" s="2101"/>
      <c r="F155" s="2101"/>
      <c r="G155" s="2102"/>
      <c r="H155" s="2086" t="s">
        <v>1331</v>
      </c>
    </row>
    <row r="156" spans="1:8">
      <c r="A156" s="2092">
        <f>IF(未审附注之利润及利润分配!A156="",0,未审附注之利润及利润分配!A156)</f>
        <v>0</v>
      </c>
      <c r="B156" s="2092">
        <f>IF(未审附注之利润及利润分配!B156="",0,未审附注之利润及利润分配!B156)</f>
        <v>0</v>
      </c>
      <c r="C156" s="2101"/>
      <c r="D156" s="2101"/>
      <c r="E156" s="2101"/>
      <c r="F156" s="2101"/>
      <c r="G156" s="2102"/>
      <c r="H156" s="2086" t="s">
        <v>1331</v>
      </c>
    </row>
    <row r="157" spans="1:8">
      <c r="A157" s="2092">
        <f>IF(未审附注之利润及利润分配!A157="",0,未审附注之利润及利润分配!A157)</f>
        <v>0</v>
      </c>
      <c r="B157" s="2092">
        <f>IF(未审附注之利润及利润分配!B157="",0,未审附注之利润及利润分配!B157)</f>
        <v>0</v>
      </c>
      <c r="C157" s="2101"/>
      <c r="D157" s="2101"/>
      <c r="E157" s="2101"/>
      <c r="F157" s="2101"/>
      <c r="G157" s="2102"/>
      <c r="H157" s="2086" t="s">
        <v>1331</v>
      </c>
    </row>
    <row r="158" spans="1:8">
      <c r="A158" s="2092">
        <f>IF(未审附注之利润及利润分配!A158="",0,未审附注之利润及利润分配!A158)</f>
        <v>0</v>
      </c>
      <c r="B158" s="2092">
        <f>IF(未审附注之利润及利润分配!B158="",0,未审附注之利润及利润分配!B158)</f>
        <v>0</v>
      </c>
      <c r="C158" s="2101"/>
      <c r="D158" s="2101"/>
      <c r="E158" s="2101"/>
      <c r="F158" s="2101"/>
      <c r="G158" s="2102"/>
      <c r="H158" s="2086" t="s">
        <v>1331</v>
      </c>
    </row>
    <row r="159" spans="1:8">
      <c r="A159" s="2092">
        <f>IF(未审附注之利润及利润分配!A159="",0,未审附注之利润及利润分配!A159)</f>
        <v>0</v>
      </c>
      <c r="B159" s="2092">
        <f>IF(未审附注之利润及利润分配!B159="",0,未审附注之利润及利润分配!B159)</f>
        <v>0</v>
      </c>
      <c r="C159" s="2101"/>
      <c r="D159" s="2101"/>
      <c r="E159" s="2101"/>
      <c r="F159" s="2101"/>
      <c r="G159" s="2102"/>
      <c r="H159" s="2086" t="s">
        <v>1331</v>
      </c>
    </row>
    <row r="160" spans="1:8">
      <c r="A160" s="2092">
        <f>IF(未审附注之利润及利润分配!A160="",0,未审附注之利润及利润分配!A160)</f>
        <v>0</v>
      </c>
      <c r="B160" s="2092">
        <f>IF(未审附注之利润及利润分配!B160="",0,未审附注之利润及利润分配!B160)</f>
        <v>0</v>
      </c>
      <c r="C160" s="2101"/>
      <c r="D160" s="2101"/>
      <c r="E160" s="2101"/>
      <c r="F160" s="2101"/>
      <c r="G160" s="2102"/>
      <c r="H160" s="2086" t="s">
        <v>1331</v>
      </c>
    </row>
    <row r="161" spans="1:8">
      <c r="A161" s="2092">
        <f>IF(未审附注之利润及利润分配!A161="",0,未审附注之利润及利润分配!A161)</f>
        <v>0</v>
      </c>
      <c r="B161" s="2092">
        <f>IF(未审附注之利润及利润分配!B161="",0,未审附注之利润及利润分配!B161)</f>
        <v>0</v>
      </c>
      <c r="C161" s="2101"/>
      <c r="D161" s="2101"/>
      <c r="E161" s="2101"/>
      <c r="F161" s="2101"/>
      <c r="G161" s="2102"/>
      <c r="H161" s="2086" t="s">
        <v>1331</v>
      </c>
    </row>
    <row r="162" spans="1:8">
      <c r="A162" s="2092">
        <f>IF(未审附注之利润及利润分配!A162="",0,未审附注之利润及利润分配!A162)</f>
        <v>0</v>
      </c>
      <c r="B162" s="2092">
        <f>IF(未审附注之利润及利润分配!B162="",0,未审附注之利润及利润分配!B162)</f>
        <v>0</v>
      </c>
      <c r="C162" s="2101"/>
      <c r="D162" s="2101"/>
      <c r="E162" s="2101"/>
      <c r="F162" s="2101"/>
      <c r="G162" s="2102"/>
      <c r="H162" s="2086" t="s">
        <v>1331</v>
      </c>
    </row>
    <row r="163" spans="1:7">
      <c r="A163" s="2105"/>
      <c r="B163" s="2100"/>
      <c r="C163" s="2100"/>
      <c r="D163" s="2080"/>
      <c r="E163" s="2080"/>
      <c r="F163" s="2080"/>
      <c r="G163" s="2080"/>
    </row>
    <row r="164" spans="1:7">
      <c r="A164" s="2103"/>
      <c r="B164" s="2080"/>
      <c r="C164" s="2080"/>
      <c r="D164" s="2080"/>
      <c r="E164" s="2080"/>
      <c r="F164" s="2080"/>
      <c r="G164" s="2080"/>
    </row>
    <row r="165" spans="1:7">
      <c r="A165" s="2079" t="s">
        <v>1332</v>
      </c>
      <c r="B165" s="2080"/>
      <c r="C165" s="2080"/>
      <c r="D165" s="2080"/>
      <c r="E165" s="2080"/>
      <c r="F165" s="2080"/>
      <c r="G165" s="2080"/>
    </row>
    <row r="166" spans="1:7">
      <c r="A166" s="2082" t="s">
        <v>372</v>
      </c>
      <c r="B166" s="2082" t="s">
        <v>1241</v>
      </c>
      <c r="C166" s="2082" t="s">
        <v>1242</v>
      </c>
      <c r="D166" s="2080"/>
      <c r="E166" s="2080"/>
      <c r="F166" s="2080"/>
      <c r="G166" s="2080"/>
    </row>
    <row r="167" spans="1:8">
      <c r="A167" s="2092">
        <f>IF(未审附注之利润及利润分配!A167="",0,未审附注之利润及利润分配!A167)</f>
        <v>0</v>
      </c>
      <c r="B167" s="2085">
        <f>IF(未审附注之利润及利润分配!B167="",0,未审附注之利润及利润分配!B167)</f>
        <v>0</v>
      </c>
      <c r="C167" s="2085">
        <f>IF(未审附注之利润及利润分配!C167="",0,未审附注之利润及利润分配!C167)</f>
        <v>0</v>
      </c>
      <c r="D167" s="2080"/>
      <c r="E167" s="2080"/>
      <c r="F167" s="2080"/>
      <c r="G167" s="2080"/>
      <c r="H167" s="2086" t="s">
        <v>1333</v>
      </c>
    </row>
    <row r="168" spans="1:8">
      <c r="A168" s="2092">
        <f>IF(未审附注之利润及利润分配!A168="",0,未审附注之利润及利润分配!A168)</f>
        <v>0</v>
      </c>
      <c r="B168" s="2085">
        <f>IF(未审附注之利润及利润分配!B168="",0,未审附注之利润及利润分配!B168)</f>
        <v>0</v>
      </c>
      <c r="C168" s="2085">
        <f>IF(未审附注之利润及利润分配!C168="",0,未审附注之利润及利润分配!C168)</f>
        <v>0</v>
      </c>
      <c r="D168" s="2080"/>
      <c r="E168" s="2080"/>
      <c r="F168" s="2080"/>
      <c r="G168" s="2080"/>
      <c r="H168" s="2086" t="s">
        <v>1333</v>
      </c>
    </row>
    <row r="169" spans="1:8">
      <c r="A169" s="2092">
        <f>IF(未审附注之利润及利润分配!A169="",0,未审附注之利润及利润分配!A169)</f>
        <v>0</v>
      </c>
      <c r="B169" s="2085">
        <f>IF(未审附注之利润及利润分配!B169="",0,未审附注之利润及利润分配!B169)</f>
        <v>0</v>
      </c>
      <c r="C169" s="2085">
        <f>IF(未审附注之利润及利润分配!C169="",0,未审附注之利润及利润分配!C169)</f>
        <v>0</v>
      </c>
      <c r="D169" s="2080"/>
      <c r="E169" s="2080"/>
      <c r="F169" s="2080"/>
      <c r="G169" s="2080"/>
      <c r="H169" s="2086" t="s">
        <v>1333</v>
      </c>
    </row>
    <row r="170" spans="1:8">
      <c r="A170" s="2092">
        <f>IF(未审附注之利润及利润分配!A170="",0,未审附注之利润及利润分配!A170)</f>
        <v>0</v>
      </c>
      <c r="B170" s="2085">
        <f>IF(未审附注之利润及利润分配!B170="",0,未审附注之利润及利润分配!B170)</f>
        <v>0</v>
      </c>
      <c r="C170" s="2085">
        <f>IF(未审附注之利润及利润分配!C170="",0,未审附注之利润及利润分配!C170)</f>
        <v>0</v>
      </c>
      <c r="D170" s="2080"/>
      <c r="E170" s="2080"/>
      <c r="F170" s="2080"/>
      <c r="G170" s="2080"/>
      <c r="H170" s="2086" t="s">
        <v>1333</v>
      </c>
    </row>
    <row r="171" spans="1:8">
      <c r="A171" s="2092">
        <f>IF(未审附注之利润及利润分配!A171="",0,未审附注之利润及利润分配!A171)</f>
        <v>0</v>
      </c>
      <c r="B171" s="2085">
        <f>IF(未审附注之利润及利润分配!B171="",0,未审附注之利润及利润分配!B171)</f>
        <v>0</v>
      </c>
      <c r="C171" s="2085">
        <f>IF(未审附注之利润及利润分配!C171="",0,未审附注之利润及利润分配!C171)</f>
        <v>0</v>
      </c>
      <c r="D171" s="2080"/>
      <c r="E171" s="2080"/>
      <c r="F171" s="2080"/>
      <c r="G171" s="2080"/>
      <c r="H171" s="2086" t="s">
        <v>1333</v>
      </c>
    </row>
    <row r="172" spans="1:8">
      <c r="A172" s="2092">
        <f>IF(未审附注之利润及利润分配!A172="",0,未审附注之利润及利润分配!A172)</f>
        <v>0</v>
      </c>
      <c r="B172" s="2085">
        <f>IF(未审附注之利润及利润分配!B172="",0,未审附注之利润及利润分配!B172)</f>
        <v>0</v>
      </c>
      <c r="C172" s="2085">
        <f>IF(未审附注之利润及利润分配!C172="",0,未审附注之利润及利润分配!C172)</f>
        <v>0</v>
      </c>
      <c r="D172" s="2080"/>
      <c r="E172" s="2080"/>
      <c r="F172" s="2080"/>
      <c r="G172" s="2080"/>
      <c r="H172" s="2086" t="s">
        <v>1333</v>
      </c>
    </row>
    <row r="173" spans="1:8">
      <c r="A173" s="2092">
        <f>IF(未审附注之利润及利润分配!A173="",0,未审附注之利润及利润分配!A173)</f>
        <v>0</v>
      </c>
      <c r="B173" s="2085">
        <f>IF(未审附注之利润及利润分配!B173="",0,未审附注之利润及利润分配!B173)</f>
        <v>0</v>
      </c>
      <c r="C173" s="2085">
        <f>IF(未审附注之利润及利润分配!C173="",0,未审附注之利润及利润分配!C173)</f>
        <v>0</v>
      </c>
      <c r="D173" s="2080"/>
      <c r="E173" s="2080"/>
      <c r="F173" s="2080"/>
      <c r="G173" s="2080"/>
      <c r="H173" s="2086" t="s">
        <v>1333</v>
      </c>
    </row>
    <row r="174" spans="1:8">
      <c r="A174" s="2092">
        <f>IF(未审附注之利润及利润分配!A174="",0,未审附注之利润及利润分配!A174)</f>
        <v>0</v>
      </c>
      <c r="B174" s="2085">
        <f>IF(未审附注之利润及利润分配!B174="",0,未审附注之利润及利润分配!B174)</f>
        <v>0</v>
      </c>
      <c r="C174" s="2085">
        <f>IF(未审附注之利润及利润分配!C174="",0,未审附注之利润及利润分配!C174)</f>
        <v>0</v>
      </c>
      <c r="D174" s="2080"/>
      <c r="E174" s="2080"/>
      <c r="F174" s="2080"/>
      <c r="G174" s="2080"/>
      <c r="H174" s="2086" t="s">
        <v>1333</v>
      </c>
    </row>
    <row r="175" spans="1:8">
      <c r="A175" s="2092">
        <f>IF(未审附注之利润及利润分配!A175="",0,未审附注之利润及利润分配!A175)</f>
        <v>0</v>
      </c>
      <c r="B175" s="2085">
        <f>IF(未审附注之利润及利润分配!B175="",0,未审附注之利润及利润分配!B175)</f>
        <v>0</v>
      </c>
      <c r="C175" s="2085">
        <f>IF(未审附注之利润及利润分配!C175="",0,未审附注之利润及利润分配!C175)</f>
        <v>0</v>
      </c>
      <c r="D175" s="2080"/>
      <c r="E175" s="2080"/>
      <c r="F175" s="2080"/>
      <c r="G175" s="2080"/>
      <c r="H175" s="2086" t="s">
        <v>1333</v>
      </c>
    </row>
    <row r="176" spans="1:8">
      <c r="A176" s="2092">
        <f>IF(未审附注之利润及利润分配!A176="",0,未审附注之利润及利润分配!A176)</f>
        <v>0</v>
      </c>
      <c r="B176" s="2085">
        <f>IF(未审附注之利润及利润分配!B176="",0,未审附注之利润及利润分配!B176)</f>
        <v>0</v>
      </c>
      <c r="C176" s="2085">
        <f>IF(未审附注之利润及利润分配!C176="",0,未审附注之利润及利润分配!C176)</f>
        <v>0</v>
      </c>
      <c r="D176" s="2080"/>
      <c r="E176" s="2080"/>
      <c r="F176" s="2080"/>
      <c r="G176" s="2080"/>
      <c r="H176" s="2086" t="s">
        <v>1333</v>
      </c>
    </row>
    <row r="177" spans="1:8">
      <c r="A177" s="2082" t="s">
        <v>384</v>
      </c>
      <c r="B177" s="2048">
        <f>ROUND(SUM(B167:B176),2)</f>
        <v>0</v>
      </c>
      <c r="C177" s="2048">
        <f>ROUND(SUM(C167:C176),2)</f>
        <v>0</v>
      </c>
      <c r="D177" s="2080"/>
      <c r="E177" s="2080"/>
      <c r="F177" s="2080"/>
      <c r="G177" s="2080"/>
      <c r="H177" s="2086" t="s">
        <v>1334</v>
      </c>
    </row>
    <row r="178" spans="1:7">
      <c r="A178" s="2099"/>
      <c r="B178" s="2100"/>
      <c r="C178" s="2100"/>
      <c r="D178" s="2080"/>
      <c r="E178" s="2080"/>
      <c r="F178" s="2080"/>
      <c r="G178" s="2080"/>
    </row>
    <row r="179" spans="1:7">
      <c r="A179" s="2103"/>
      <c r="B179" s="2080"/>
      <c r="C179" s="2080"/>
      <c r="D179" s="2080"/>
      <c r="E179" s="2080"/>
      <c r="F179" s="2080"/>
      <c r="G179" s="2080"/>
    </row>
    <row r="180" spans="1:7">
      <c r="A180" s="2079" t="s">
        <v>1335</v>
      </c>
      <c r="B180" s="2080"/>
      <c r="C180" s="2080"/>
      <c r="D180" s="2080"/>
      <c r="E180" s="2080"/>
      <c r="F180" s="2080"/>
      <c r="G180" s="2080"/>
    </row>
    <row r="181" spans="1:7">
      <c r="A181" s="2082" t="s">
        <v>372</v>
      </c>
      <c r="B181" s="2082" t="s">
        <v>1241</v>
      </c>
      <c r="C181" s="2082" t="s">
        <v>1242</v>
      </c>
      <c r="D181" s="2080"/>
      <c r="E181" s="2080"/>
      <c r="F181" s="2080"/>
      <c r="G181" s="2080"/>
    </row>
    <row r="182" spans="1:8">
      <c r="A182" s="2092">
        <f>IF(未审附注之利润及利润分配!A182="",0,未审附注之利润及利润分配!A182)</f>
        <v>0</v>
      </c>
      <c r="B182" s="2085">
        <f>IF(未审附注之利润及利润分配!B182="",0,未审附注之利润及利润分配!B182)</f>
        <v>0</v>
      </c>
      <c r="C182" s="2085">
        <f>IF(未审附注之利润及利润分配!C182="",0,未审附注之利润及利润分配!C182)</f>
        <v>0</v>
      </c>
      <c r="D182" s="2080"/>
      <c r="E182" s="2080"/>
      <c r="F182" s="2080"/>
      <c r="G182" s="2080"/>
      <c r="H182" s="2086" t="s">
        <v>1336</v>
      </c>
    </row>
    <row r="183" spans="1:8">
      <c r="A183" s="2092">
        <f>IF(未审附注之利润及利润分配!A183="",0,未审附注之利润及利润分配!A183)</f>
        <v>0</v>
      </c>
      <c r="B183" s="2085">
        <f>IF(未审附注之利润及利润分配!B183="",0,未审附注之利润及利润分配!B183)</f>
        <v>0</v>
      </c>
      <c r="C183" s="2085">
        <f>IF(未审附注之利润及利润分配!C183="",0,未审附注之利润及利润分配!C183)</f>
        <v>0</v>
      </c>
      <c r="D183" s="2080"/>
      <c r="E183" s="2080"/>
      <c r="F183" s="2080"/>
      <c r="G183" s="2080"/>
      <c r="H183" s="2086" t="s">
        <v>1336</v>
      </c>
    </row>
    <row r="184" spans="1:8">
      <c r="A184" s="2092">
        <f>IF(未审附注之利润及利润分配!A184="",0,未审附注之利润及利润分配!A184)</f>
        <v>0</v>
      </c>
      <c r="B184" s="2085">
        <f>IF(未审附注之利润及利润分配!B184="",0,未审附注之利润及利润分配!B184)</f>
        <v>0</v>
      </c>
      <c r="C184" s="2085">
        <f>IF(未审附注之利润及利润分配!C184="",0,未审附注之利润及利润分配!C184)</f>
        <v>0</v>
      </c>
      <c r="D184" s="2080"/>
      <c r="E184" s="2080"/>
      <c r="F184" s="2080"/>
      <c r="G184" s="2080"/>
      <c r="H184" s="2086" t="s">
        <v>1336</v>
      </c>
    </row>
    <row r="185" spans="1:8">
      <c r="A185" s="2092">
        <f>IF(未审附注之利润及利润分配!A185="",0,未审附注之利润及利润分配!A185)</f>
        <v>0</v>
      </c>
      <c r="B185" s="2085">
        <f>IF(未审附注之利润及利润分配!B185="",0,未审附注之利润及利润分配!B185)</f>
        <v>0</v>
      </c>
      <c r="C185" s="2085">
        <f>IF(未审附注之利润及利润分配!C185="",0,未审附注之利润及利润分配!C185)</f>
        <v>0</v>
      </c>
      <c r="D185" s="2080"/>
      <c r="E185" s="2080"/>
      <c r="F185" s="2080"/>
      <c r="G185" s="2080"/>
      <c r="H185" s="2086" t="s">
        <v>1336</v>
      </c>
    </row>
    <row r="186" spans="1:8">
      <c r="A186" s="2092">
        <f>IF(未审附注之利润及利润分配!A186="",0,未审附注之利润及利润分配!A186)</f>
        <v>0</v>
      </c>
      <c r="B186" s="2085">
        <f>IF(未审附注之利润及利润分配!B186="",0,未审附注之利润及利润分配!B186)</f>
        <v>0</v>
      </c>
      <c r="C186" s="2085">
        <f>IF(未审附注之利润及利润分配!C186="",0,未审附注之利润及利润分配!C186)</f>
        <v>0</v>
      </c>
      <c r="D186" s="2080"/>
      <c r="E186" s="2080"/>
      <c r="F186" s="2080"/>
      <c r="G186" s="2080"/>
      <c r="H186" s="2086" t="s">
        <v>1336</v>
      </c>
    </row>
    <row r="187" spans="1:8">
      <c r="A187" s="2092">
        <f>IF(未审附注之利润及利润分配!A187="",0,未审附注之利润及利润分配!A187)</f>
        <v>0</v>
      </c>
      <c r="B187" s="2085">
        <f>IF(未审附注之利润及利润分配!B187="",0,未审附注之利润及利润分配!B187)</f>
        <v>0</v>
      </c>
      <c r="C187" s="2085">
        <f>IF(未审附注之利润及利润分配!C187="",0,未审附注之利润及利润分配!C187)</f>
        <v>0</v>
      </c>
      <c r="D187" s="2080"/>
      <c r="E187" s="2080"/>
      <c r="F187" s="2080"/>
      <c r="G187" s="2080"/>
      <c r="H187" s="2086" t="s">
        <v>1336</v>
      </c>
    </row>
    <row r="188" spans="1:8">
      <c r="A188" s="2092">
        <f>IF(未审附注之利润及利润分配!A188="",0,未审附注之利润及利润分配!A188)</f>
        <v>0</v>
      </c>
      <c r="B188" s="2085">
        <f>IF(未审附注之利润及利润分配!B188="",0,未审附注之利润及利润分配!B188)</f>
        <v>0</v>
      </c>
      <c r="C188" s="2085">
        <f>IF(未审附注之利润及利润分配!C188="",0,未审附注之利润及利润分配!C188)</f>
        <v>0</v>
      </c>
      <c r="D188" s="2080"/>
      <c r="E188" s="2080"/>
      <c r="F188" s="2080"/>
      <c r="G188" s="2080"/>
      <c r="H188" s="2086" t="s">
        <v>1336</v>
      </c>
    </row>
    <row r="189" spans="1:8">
      <c r="A189" s="2092">
        <f>IF(未审附注之利润及利润分配!A189="",0,未审附注之利润及利润分配!A189)</f>
        <v>0</v>
      </c>
      <c r="B189" s="2085">
        <f>IF(未审附注之利润及利润分配!B189="",0,未审附注之利润及利润分配!B189)</f>
        <v>0</v>
      </c>
      <c r="C189" s="2085">
        <f>IF(未审附注之利润及利润分配!C189="",0,未审附注之利润及利润分配!C189)</f>
        <v>0</v>
      </c>
      <c r="D189" s="2080"/>
      <c r="E189" s="2080"/>
      <c r="F189" s="2080"/>
      <c r="G189" s="2080"/>
      <c r="H189" s="2086" t="s">
        <v>1336</v>
      </c>
    </row>
    <row r="190" spans="1:8">
      <c r="A190" s="2092">
        <f>IF(未审附注之利润及利润分配!A190="",0,未审附注之利润及利润分配!A190)</f>
        <v>0</v>
      </c>
      <c r="B190" s="2085">
        <f>IF(未审附注之利润及利润分配!B190="",0,未审附注之利润及利润分配!B190)</f>
        <v>0</v>
      </c>
      <c r="C190" s="2085">
        <f>IF(未审附注之利润及利润分配!C190="",0,未审附注之利润及利润分配!C190)</f>
        <v>0</v>
      </c>
      <c r="D190" s="2080"/>
      <c r="E190" s="2080"/>
      <c r="F190" s="2080"/>
      <c r="G190" s="2080"/>
      <c r="H190" s="2086" t="s">
        <v>1336</v>
      </c>
    </row>
    <row r="191" spans="1:8">
      <c r="A191" s="2092">
        <f>IF(未审附注之利润及利润分配!A191="",0,未审附注之利润及利润分配!A191)</f>
        <v>0</v>
      </c>
      <c r="B191" s="2085">
        <f>IF(未审附注之利润及利润分配!B191="",0,未审附注之利润及利润分配!B191)</f>
        <v>0</v>
      </c>
      <c r="C191" s="2085">
        <f>IF(未审附注之利润及利润分配!C191="",0,未审附注之利润及利润分配!C191)</f>
        <v>0</v>
      </c>
      <c r="D191" s="2080"/>
      <c r="E191" s="2080"/>
      <c r="F191" s="2080"/>
      <c r="G191" s="2080"/>
      <c r="H191" s="2086" t="s">
        <v>1336</v>
      </c>
    </row>
    <row r="192" spans="1:8">
      <c r="A192" s="2082" t="s">
        <v>384</v>
      </c>
      <c r="B192" s="2048">
        <f>ROUND(SUM(B182:B191),2)</f>
        <v>0</v>
      </c>
      <c r="C192" s="2048">
        <f>ROUND(SUM(C182:C191),2)</f>
        <v>0</v>
      </c>
      <c r="D192" s="2080"/>
      <c r="E192" s="2080"/>
      <c r="F192" s="2080"/>
      <c r="G192" s="2080"/>
      <c r="H192" s="2086" t="s">
        <v>1337</v>
      </c>
    </row>
    <row r="193" spans="1:7">
      <c r="A193" s="2099"/>
      <c r="B193" s="2100"/>
      <c r="C193" s="2100"/>
      <c r="D193" s="2080"/>
      <c r="E193" s="2080"/>
      <c r="F193" s="2080"/>
      <c r="G193" s="2080"/>
    </row>
    <row r="194" spans="1:7">
      <c r="A194" s="2094"/>
      <c r="B194" s="2095"/>
      <c r="C194" s="2095"/>
      <c r="D194" s="2080"/>
      <c r="E194" s="2080"/>
      <c r="F194" s="2080"/>
      <c r="G194" s="2080"/>
    </row>
    <row r="195" spans="1:7">
      <c r="A195" s="2079" t="s">
        <v>1338</v>
      </c>
      <c r="B195" s="2080"/>
      <c r="C195" s="2080"/>
      <c r="D195" s="2080"/>
      <c r="E195" s="2080"/>
      <c r="F195" s="2080"/>
      <c r="G195" s="2080"/>
    </row>
    <row r="196" spans="1:7">
      <c r="A196" s="2082" t="s">
        <v>372</v>
      </c>
      <c r="B196" s="2084" t="s">
        <v>1241</v>
      </c>
      <c r="C196" s="2084" t="s">
        <v>1242</v>
      </c>
      <c r="D196" s="2080"/>
      <c r="E196" s="2080"/>
      <c r="F196" s="2080"/>
      <c r="G196" s="2080"/>
    </row>
    <row r="197" spans="1:8">
      <c r="A197" s="2106" t="s">
        <v>1339</v>
      </c>
      <c r="B197" s="2085">
        <f>IF(未审附注之利润及利润分配!B197="",0,未审附注之利润及利润分配!B197)</f>
        <v>0</v>
      </c>
      <c r="C197" s="2085">
        <f>IF(未审附注之利润及利润分配!C197="",0,未审附注之利润及利润分配!C197)</f>
        <v>0</v>
      </c>
      <c r="D197" s="2080"/>
      <c r="E197" s="2080"/>
      <c r="F197" s="2080"/>
      <c r="G197" s="2080"/>
      <c r="H197" s="2086" t="s">
        <v>1340</v>
      </c>
    </row>
    <row r="198" spans="1:8">
      <c r="A198" s="2106" t="s">
        <v>1341</v>
      </c>
      <c r="B198" s="2085">
        <f>IF(未审附注之利润及利润分配!B198="",0,未审附注之利润及利润分配!B198)</f>
        <v>0</v>
      </c>
      <c r="C198" s="2085">
        <f>IF(未审附注之利润及利润分配!C198="",0,未审附注之利润及利润分配!C198)</f>
        <v>0</v>
      </c>
      <c r="D198" s="2080"/>
      <c r="E198" s="2080"/>
      <c r="F198" s="2080"/>
      <c r="G198" s="2080"/>
      <c r="H198" s="2086" t="s">
        <v>1342</v>
      </c>
    </row>
    <row r="199" spans="1:8">
      <c r="A199" s="2082" t="s">
        <v>384</v>
      </c>
      <c r="B199" s="2048">
        <f>ROUND(SUM(B197:B198),2)</f>
        <v>0</v>
      </c>
      <c r="C199" s="2048">
        <f>ROUND(SUM(C197:C198),2)</f>
        <v>0</v>
      </c>
      <c r="D199" s="2080"/>
      <c r="E199" s="2080"/>
      <c r="F199" s="2080"/>
      <c r="G199" s="2080"/>
      <c r="H199" s="2086" t="s">
        <v>1343</v>
      </c>
    </row>
    <row r="200" spans="1:7">
      <c r="A200" s="2099"/>
      <c r="B200" s="2100"/>
      <c r="C200" s="2100"/>
      <c r="D200" s="2080"/>
      <c r="E200" s="2080"/>
      <c r="F200" s="2080"/>
      <c r="G200" s="2080"/>
    </row>
    <row r="201" spans="1:7">
      <c r="A201" s="2103"/>
      <c r="B201" s="2080"/>
      <c r="C201" s="2080"/>
      <c r="D201" s="2080"/>
      <c r="E201" s="2080"/>
      <c r="F201" s="2080"/>
      <c r="G201" s="2080"/>
    </row>
    <row r="202" spans="1:7">
      <c r="A202" s="2107" t="s">
        <v>1344</v>
      </c>
      <c r="B202" s="2080"/>
      <c r="C202" s="2080"/>
      <c r="D202" s="2080"/>
      <c r="E202" s="2080"/>
      <c r="F202" s="2080"/>
      <c r="G202" s="2080"/>
    </row>
    <row r="203" spans="1:7">
      <c r="A203" s="2082" t="s">
        <v>372</v>
      </c>
      <c r="B203" s="2082" t="s">
        <v>1241</v>
      </c>
      <c r="C203" s="2082" t="s">
        <v>1242</v>
      </c>
      <c r="D203" s="2080"/>
      <c r="E203" s="2080"/>
      <c r="F203" s="2080"/>
      <c r="G203" s="2080"/>
    </row>
    <row r="204" spans="1:8">
      <c r="A204" s="2092">
        <f>IF(未审附注之利润及利润分配!A204="",0,未审附注之利润及利润分配!A204)</f>
        <v>0</v>
      </c>
      <c r="B204" s="2085">
        <f>IF(未审附注之利润及利润分配!B204="",0,未审附注之利润及利润分配!B204)</f>
        <v>0</v>
      </c>
      <c r="C204" s="2085">
        <f>IF(未审附注之利润及利润分配!C204="",0,未审附注之利润及利润分配!C204)</f>
        <v>0</v>
      </c>
      <c r="D204" s="2080"/>
      <c r="E204" s="2080"/>
      <c r="F204" s="2080"/>
      <c r="G204" s="2080"/>
      <c r="H204" s="2086" t="s">
        <v>1345</v>
      </c>
    </row>
    <row r="205" spans="1:8">
      <c r="A205" s="2092">
        <f>IF(未审附注之利润及利润分配!A205="",0,未审附注之利润及利润分配!A205)</f>
        <v>0</v>
      </c>
      <c r="B205" s="2085">
        <f>IF(未审附注之利润及利润分配!B205="",0,未审附注之利润及利润分配!B205)</f>
        <v>0</v>
      </c>
      <c r="C205" s="2085">
        <f>IF(未审附注之利润及利润分配!C205="",0,未审附注之利润及利润分配!C205)</f>
        <v>0</v>
      </c>
      <c r="D205" s="2080"/>
      <c r="E205" s="2080"/>
      <c r="F205" s="2080"/>
      <c r="G205" s="2080"/>
      <c r="H205" s="2086" t="s">
        <v>1345</v>
      </c>
    </row>
    <row r="206" spans="1:8">
      <c r="A206" s="2092">
        <f>IF(未审附注之利润及利润分配!A206="",0,未审附注之利润及利润分配!A206)</f>
        <v>0</v>
      </c>
      <c r="B206" s="2085">
        <f>IF(未审附注之利润及利润分配!B206="",0,未审附注之利润及利润分配!B206)</f>
        <v>0</v>
      </c>
      <c r="C206" s="2085">
        <f>IF(未审附注之利润及利润分配!C206="",0,未审附注之利润及利润分配!C206)</f>
        <v>0</v>
      </c>
      <c r="D206" s="2080"/>
      <c r="E206" s="2080"/>
      <c r="F206" s="2080"/>
      <c r="G206" s="2080"/>
      <c r="H206" s="2086" t="s">
        <v>1345</v>
      </c>
    </row>
    <row r="207" spans="1:8">
      <c r="A207" s="2092">
        <f>IF(未审附注之利润及利润分配!A207="",0,未审附注之利润及利润分配!A207)</f>
        <v>0</v>
      </c>
      <c r="B207" s="2085">
        <f>IF(未审附注之利润及利润分配!B207="",0,未审附注之利润及利润分配!B207)</f>
        <v>0</v>
      </c>
      <c r="C207" s="2085">
        <f>IF(未审附注之利润及利润分配!C207="",0,未审附注之利润及利润分配!C207)</f>
        <v>0</v>
      </c>
      <c r="D207" s="2080"/>
      <c r="E207" s="2080"/>
      <c r="F207" s="2080"/>
      <c r="G207" s="2080"/>
      <c r="H207" s="2086" t="s">
        <v>1345</v>
      </c>
    </row>
    <row r="208" spans="1:8">
      <c r="A208" s="2092">
        <f>IF(未审附注之利润及利润分配!A208="",0,未审附注之利润及利润分配!A208)</f>
        <v>0</v>
      </c>
      <c r="B208" s="2085">
        <f>IF(未审附注之利润及利润分配!B208="",0,未审附注之利润及利润分配!B208)</f>
        <v>0</v>
      </c>
      <c r="C208" s="2085">
        <f>IF(未审附注之利润及利润分配!C208="",0,未审附注之利润及利润分配!C208)</f>
        <v>0</v>
      </c>
      <c r="D208" s="2080"/>
      <c r="E208" s="2080"/>
      <c r="F208" s="2080"/>
      <c r="G208" s="2080"/>
      <c r="H208" s="2086" t="s">
        <v>1345</v>
      </c>
    </row>
    <row r="209" spans="1:8">
      <c r="A209" s="2092">
        <f>IF(未审附注之利润及利润分配!A209="",0,未审附注之利润及利润分配!A209)</f>
        <v>0</v>
      </c>
      <c r="B209" s="2085">
        <f>IF(未审附注之利润及利润分配!B209="",0,未审附注之利润及利润分配!B209)</f>
        <v>0</v>
      </c>
      <c r="C209" s="2085">
        <f>IF(未审附注之利润及利润分配!C209="",0,未审附注之利润及利润分配!C209)</f>
        <v>0</v>
      </c>
      <c r="D209" s="2080"/>
      <c r="E209" s="2080"/>
      <c r="F209" s="2080"/>
      <c r="G209" s="2080"/>
      <c r="H209" s="2086" t="s">
        <v>1345</v>
      </c>
    </row>
    <row r="210" spans="1:8">
      <c r="A210" s="2092">
        <f>IF(未审附注之利润及利润分配!A210="",0,未审附注之利润及利润分配!A210)</f>
        <v>0</v>
      </c>
      <c r="B210" s="2085">
        <f>IF(未审附注之利润及利润分配!B210="",0,未审附注之利润及利润分配!B210)</f>
        <v>0</v>
      </c>
      <c r="C210" s="2085">
        <f>IF(未审附注之利润及利润分配!C210="",0,未审附注之利润及利润分配!C210)</f>
        <v>0</v>
      </c>
      <c r="D210" s="2080"/>
      <c r="E210" s="2080"/>
      <c r="F210" s="2080"/>
      <c r="G210" s="2080"/>
      <c r="H210" s="2086" t="s">
        <v>1345</v>
      </c>
    </row>
    <row r="211" spans="1:8">
      <c r="A211" s="2092">
        <f>IF(未审附注之利润及利润分配!A211="",0,未审附注之利润及利润分配!A211)</f>
        <v>0</v>
      </c>
      <c r="B211" s="2085">
        <f>IF(未审附注之利润及利润分配!B211="",0,未审附注之利润及利润分配!B211)</f>
        <v>0</v>
      </c>
      <c r="C211" s="2085">
        <f>IF(未审附注之利润及利润分配!C211="",0,未审附注之利润及利润分配!C211)</f>
        <v>0</v>
      </c>
      <c r="D211" s="2080"/>
      <c r="E211" s="2080"/>
      <c r="F211" s="2080"/>
      <c r="G211" s="2080"/>
      <c r="H211" s="2086" t="s">
        <v>1345</v>
      </c>
    </row>
    <row r="212" spans="1:8">
      <c r="A212" s="2092">
        <f>IF(未审附注之利润及利润分配!A212="",0,未审附注之利润及利润分配!A212)</f>
        <v>0</v>
      </c>
      <c r="B212" s="2085">
        <f>IF(未审附注之利润及利润分配!B212="",0,未审附注之利润及利润分配!B212)</f>
        <v>0</v>
      </c>
      <c r="C212" s="2085">
        <f>IF(未审附注之利润及利润分配!C212="",0,未审附注之利润及利润分配!C212)</f>
        <v>0</v>
      </c>
      <c r="D212" s="2080"/>
      <c r="E212" s="2080"/>
      <c r="F212" s="2080"/>
      <c r="G212" s="2080"/>
      <c r="H212" s="2086" t="s">
        <v>1345</v>
      </c>
    </row>
    <row r="213" spans="1:8">
      <c r="A213" s="2092">
        <f>IF(未审附注之利润及利润分配!A213="",0,未审附注之利润及利润分配!A213)</f>
        <v>0</v>
      </c>
      <c r="B213" s="2085">
        <f>IF(未审附注之利润及利润分配!B213="",0,未审附注之利润及利润分配!B213)</f>
        <v>0</v>
      </c>
      <c r="C213" s="2085">
        <f>IF(未审附注之利润及利润分配!C213="",0,未审附注之利润及利润分配!C213)</f>
        <v>0</v>
      </c>
      <c r="D213" s="2080"/>
      <c r="E213" s="2080"/>
      <c r="F213" s="2080"/>
      <c r="G213" s="2080"/>
      <c r="H213" s="2086" t="s">
        <v>1345</v>
      </c>
    </row>
    <row r="214" spans="1:8">
      <c r="A214" s="2082" t="s">
        <v>384</v>
      </c>
      <c r="B214" s="2048">
        <f>ROUND(SUM(B204:B213),2)</f>
        <v>0</v>
      </c>
      <c r="C214" s="2048">
        <f>ROUND(SUM(C204:C213),2)</f>
        <v>0</v>
      </c>
      <c r="D214" s="2080"/>
      <c r="E214" s="2080"/>
      <c r="F214" s="2080"/>
      <c r="G214" s="2080"/>
      <c r="H214" s="2086" t="s">
        <v>1346</v>
      </c>
    </row>
    <row r="215" spans="1:8">
      <c r="A215" s="2099"/>
      <c r="B215" s="2100"/>
      <c r="C215" s="2100"/>
      <c r="D215" s="2080"/>
      <c r="E215" s="2080"/>
      <c r="F215" s="2080"/>
      <c r="G215" s="2080"/>
      <c r="H215" s="2086"/>
    </row>
    <row r="216" spans="1:7">
      <c r="A216" s="2103"/>
      <c r="B216" s="2080"/>
      <c r="C216" s="2080"/>
      <c r="D216" s="2080"/>
      <c r="E216" s="2080"/>
      <c r="F216" s="2080"/>
      <c r="G216" s="2080"/>
    </row>
    <row r="217" spans="1:7">
      <c r="A217" s="2097" t="s">
        <v>1347</v>
      </c>
      <c r="B217" s="2080"/>
      <c r="C217" s="2080"/>
      <c r="D217" s="2080"/>
      <c r="E217" s="2080"/>
      <c r="F217" s="2080"/>
      <c r="G217" s="2080"/>
    </row>
    <row r="218" spans="1:7">
      <c r="A218" s="2108" t="s">
        <v>160</v>
      </c>
      <c r="B218" s="2082" t="s">
        <v>1241</v>
      </c>
      <c r="C218" s="2082" t="s">
        <v>1242</v>
      </c>
      <c r="D218" s="2080"/>
      <c r="E218" s="2080"/>
      <c r="F218" s="2080"/>
      <c r="G218" s="2080"/>
    </row>
    <row r="219" spans="1:7">
      <c r="A219" s="2109" t="s">
        <v>163</v>
      </c>
      <c r="B219" s="2108"/>
      <c r="C219" s="2108"/>
      <c r="D219" s="2080"/>
      <c r="E219" s="2080"/>
      <c r="F219" s="2080"/>
      <c r="G219" s="2080"/>
    </row>
    <row r="220" spans="1:8">
      <c r="A220" s="2106" t="s">
        <v>109</v>
      </c>
      <c r="B220" s="2085">
        <f>IF(未审附注之利润及利润分配!B220="",0,未审附注之利润及利润分配!B220)</f>
        <v>0</v>
      </c>
      <c r="C220" s="2085">
        <f>IF(未审附注之利润及利润分配!C220="",0,未审附注之利润及利润分配!C220)</f>
        <v>0</v>
      </c>
      <c r="D220" s="2080"/>
      <c r="E220" s="2080"/>
      <c r="F220" s="2080"/>
      <c r="G220" s="2080"/>
      <c r="H220" s="2086" t="s">
        <v>1348</v>
      </c>
    </row>
    <row r="221" spans="1:8">
      <c r="A221" s="2106" t="s">
        <v>164</v>
      </c>
      <c r="B221" s="2085">
        <f>IF(未审附注之利润及利润分配!B221="",0,未审附注之利润及利润分配!B221)</f>
        <v>0</v>
      </c>
      <c r="C221" s="2085">
        <f>IF(未审附注之利润及利润分配!C221="",0,未审附注之利润及利润分配!C221)</f>
        <v>0</v>
      </c>
      <c r="D221" s="2080"/>
      <c r="E221" s="2080"/>
      <c r="F221" s="2080"/>
      <c r="G221" s="2080"/>
      <c r="H221" s="2086" t="s">
        <v>1349</v>
      </c>
    </row>
    <row r="222" spans="1:8">
      <c r="A222" s="2106" t="s">
        <v>165</v>
      </c>
      <c r="B222" s="2085">
        <f>IF(未审附注之利润及利润分配!B222="",0,未审附注之利润及利润分配!B222)</f>
        <v>0</v>
      </c>
      <c r="C222" s="2085">
        <f>IF(未审附注之利润及利润分配!C222="",0,未审附注之利润及利润分配!C222)</f>
        <v>0</v>
      </c>
      <c r="D222" s="2080"/>
      <c r="E222" s="2080"/>
      <c r="F222" s="2080"/>
      <c r="G222" s="2080"/>
      <c r="H222" s="2086" t="s">
        <v>1350</v>
      </c>
    </row>
    <row r="223" spans="1:8">
      <c r="A223" s="2106" t="s">
        <v>166</v>
      </c>
      <c r="B223" s="2085">
        <f>IF(未审附注之利润及利润分配!B223="",0,未审附注之利润及利润分配!B223)</f>
        <v>0</v>
      </c>
      <c r="C223" s="2085">
        <f>IF(未审附注之利润及利润分配!C223="",0,未审附注之利润及利润分配!C223)</f>
        <v>0</v>
      </c>
      <c r="D223" s="2080"/>
      <c r="E223" s="2080"/>
      <c r="F223" s="2080"/>
      <c r="G223" s="2080"/>
      <c r="H223" s="2086" t="s">
        <v>1351</v>
      </c>
    </row>
    <row r="224" spans="1:8">
      <c r="A224" s="2106" t="s">
        <v>167</v>
      </c>
      <c r="B224" s="2085">
        <f>IF(未审附注之利润及利润分配!B224="",0,未审附注之利润及利润分配!B224)</f>
        <v>0</v>
      </c>
      <c r="C224" s="2085">
        <f>IF(未审附注之利润及利润分配!C224="",0,未审附注之利润及利润分配!C224)</f>
        <v>0</v>
      </c>
      <c r="D224" s="2080"/>
      <c r="E224" s="2080"/>
      <c r="F224" s="2080"/>
      <c r="G224" s="2080"/>
      <c r="H224" s="2086" t="s">
        <v>1352</v>
      </c>
    </row>
    <row r="225" spans="1:8">
      <c r="A225" s="2106" t="s">
        <v>168</v>
      </c>
      <c r="B225" s="2085">
        <f>IF(未审附注之利润及利润分配!B225="",0,未审附注之利润及利润分配!B225)</f>
        <v>0</v>
      </c>
      <c r="C225" s="2085">
        <f>IF(未审附注之利润及利润分配!C225="",0,未审附注之利润及利润分配!C225)</f>
        <v>0</v>
      </c>
      <c r="D225" s="2080"/>
      <c r="E225" s="2080"/>
      <c r="F225" s="2080"/>
      <c r="G225" s="2080"/>
      <c r="H225" s="2086" t="s">
        <v>1353</v>
      </c>
    </row>
    <row r="226" spans="1:8">
      <c r="A226" s="2106" t="s">
        <v>169</v>
      </c>
      <c r="B226" s="2085">
        <f>IF(未审附注之利润及利润分配!B226="",0,未审附注之利润及利润分配!B226)</f>
        <v>0</v>
      </c>
      <c r="C226" s="2085">
        <f>IF(未审附注之利润及利润分配!C226="",0,未审附注之利润及利润分配!C226)</f>
        <v>0</v>
      </c>
      <c r="D226" s="2080"/>
      <c r="E226" s="2080"/>
      <c r="F226" s="2080"/>
      <c r="G226" s="2080"/>
      <c r="H226" s="2086" t="s">
        <v>1354</v>
      </c>
    </row>
    <row r="227" spans="1:8">
      <c r="A227" s="2106" t="s">
        <v>170</v>
      </c>
      <c r="B227" s="2085">
        <f>IF(未审附注之利润及利润分配!B227="",0,未审附注之利润及利润分配!B227)</f>
        <v>0</v>
      </c>
      <c r="C227" s="2085">
        <f>IF(未审附注之利润及利润分配!C227="",0,未审附注之利润及利润分配!C227)</f>
        <v>0</v>
      </c>
      <c r="D227" s="2080"/>
      <c r="E227" s="2080"/>
      <c r="F227" s="2080"/>
      <c r="G227" s="2080"/>
      <c r="H227" s="2086" t="s">
        <v>1355</v>
      </c>
    </row>
    <row r="228" spans="1:8">
      <c r="A228" s="2106" t="s">
        <v>84</v>
      </c>
      <c r="B228" s="2085">
        <f>IF(未审附注之利润及利润分配!B228="",0,未审附注之利润及利润分配!B228)</f>
        <v>0</v>
      </c>
      <c r="C228" s="2085">
        <f>IF(未审附注之利润及利润分配!C228="",0,未审附注之利润及利润分配!C228)</f>
        <v>0</v>
      </c>
      <c r="D228" s="2080"/>
      <c r="E228" s="2080"/>
      <c r="F228" s="2080"/>
      <c r="G228" s="2080"/>
      <c r="H228" s="2086" t="s">
        <v>1356</v>
      </c>
    </row>
    <row r="229" spans="1:8">
      <c r="A229" s="2106" t="s">
        <v>171</v>
      </c>
      <c r="B229" s="2085">
        <f>IF(未审附注之利润及利润分配!B229="",0,未审附注之利润及利润分配!B229)</f>
        <v>0</v>
      </c>
      <c r="C229" s="2085">
        <f>IF(未审附注之利润及利润分配!C229="",0,未审附注之利润及利润分配!C229)</f>
        <v>0</v>
      </c>
      <c r="D229" s="2080"/>
      <c r="E229" s="2080"/>
      <c r="F229" s="2080"/>
      <c r="G229" s="2080"/>
      <c r="H229" s="2086" t="s">
        <v>1357</v>
      </c>
    </row>
    <row r="230" spans="1:8">
      <c r="A230" s="2106" t="s">
        <v>172</v>
      </c>
      <c r="B230" s="2085">
        <f>IF(未审附注之利润及利润分配!B230="",0,未审附注之利润及利润分配!B230)</f>
        <v>0</v>
      </c>
      <c r="C230" s="2085">
        <f>IF(未审附注之利润及利润分配!C230="",0,未审附注之利润及利润分配!C230)</f>
        <v>0</v>
      </c>
      <c r="D230" s="2080"/>
      <c r="E230" s="2080"/>
      <c r="F230" s="2080"/>
      <c r="G230" s="2080"/>
      <c r="H230" s="2086" t="s">
        <v>1358</v>
      </c>
    </row>
    <row r="231" spans="1:8">
      <c r="A231" s="2106" t="s">
        <v>173</v>
      </c>
      <c r="B231" s="2085">
        <f>IF(未审附注之利润及利润分配!B231="",0,未审附注之利润及利润分配!B231)</f>
        <v>0</v>
      </c>
      <c r="C231" s="2085">
        <f>IF(未审附注之利润及利润分配!C231="",0,未审附注之利润及利润分配!C231)</f>
        <v>0</v>
      </c>
      <c r="D231" s="2080"/>
      <c r="E231" s="2080"/>
      <c r="F231" s="2080"/>
      <c r="G231" s="2080"/>
      <c r="H231" s="2086" t="s">
        <v>1359</v>
      </c>
    </row>
    <row r="232" spans="1:8">
      <c r="A232" s="2106" t="s">
        <v>174</v>
      </c>
      <c r="B232" s="2085">
        <f>IF(未审附注之利润及利润分配!B232="",0,未审附注之利润及利润分配!B232)</f>
        <v>0</v>
      </c>
      <c r="C232" s="2085">
        <f>IF(未审附注之利润及利润分配!C232="",0,未审附注之利润及利润分配!C232)</f>
        <v>0</v>
      </c>
      <c r="D232" s="2080"/>
      <c r="E232" s="2080"/>
      <c r="F232" s="2080"/>
      <c r="G232" s="2080"/>
      <c r="H232" s="2086" t="s">
        <v>1360</v>
      </c>
    </row>
    <row r="233" spans="1:8">
      <c r="A233" s="2106" t="s">
        <v>175</v>
      </c>
      <c r="B233" s="2085">
        <f>IF(未审附注之利润及利润分配!B233="",0,未审附注之利润及利润分配!B233)</f>
        <v>0</v>
      </c>
      <c r="C233" s="2085">
        <f>IF(未审附注之利润及利润分配!C233="",0,未审附注之利润及利润分配!C233)</f>
        <v>0</v>
      </c>
      <c r="D233" s="2080"/>
      <c r="E233" s="2080"/>
      <c r="F233" s="2080"/>
      <c r="G233" s="2080"/>
      <c r="H233" s="2086" t="s">
        <v>1361</v>
      </c>
    </row>
    <row r="234" spans="1:8">
      <c r="A234" s="2106" t="s">
        <v>176</v>
      </c>
      <c r="B234" s="2085">
        <f>IF(未审附注之利润及利润分配!B234="",0,未审附注之利润及利润分配!B234)</f>
        <v>0</v>
      </c>
      <c r="C234" s="2085">
        <f>IF(未审附注之利润及利润分配!C234="",0,未审附注之利润及利润分配!C234)</f>
        <v>0</v>
      </c>
      <c r="D234" s="2080"/>
      <c r="E234" s="2080"/>
      <c r="F234" s="2080"/>
      <c r="G234" s="2080"/>
      <c r="H234" s="2086" t="s">
        <v>1362</v>
      </c>
    </row>
    <row r="235" spans="1:8">
      <c r="A235" s="2106" t="s">
        <v>177</v>
      </c>
      <c r="B235" s="2085">
        <f>IF(未审附注之利润及利润分配!B235="",0,未审附注之利润及利润分配!B235)</f>
        <v>0</v>
      </c>
      <c r="C235" s="2085">
        <f>IF(未审附注之利润及利润分配!C235="",0,未审附注之利润及利润分配!C235)</f>
        <v>0</v>
      </c>
      <c r="D235" s="2080"/>
      <c r="E235" s="2080"/>
      <c r="F235" s="2080"/>
      <c r="G235" s="2080"/>
      <c r="H235" s="2086" t="s">
        <v>1363</v>
      </c>
    </row>
    <row r="236" spans="1:8">
      <c r="A236" s="2106" t="s">
        <v>178</v>
      </c>
      <c r="B236" s="2048">
        <f>ROUND(SUM(B220:B235),2)</f>
        <v>0</v>
      </c>
      <c r="C236" s="2048">
        <f>ROUND(SUM(C220:C235),2)</f>
        <v>0</v>
      </c>
      <c r="D236" s="2080"/>
      <c r="E236" s="2080"/>
      <c r="F236" s="2080"/>
      <c r="G236" s="2080"/>
      <c r="H236" s="2086" t="s">
        <v>1364</v>
      </c>
    </row>
    <row r="237" spans="1:8">
      <c r="A237" s="2106"/>
      <c r="B237" s="2098"/>
      <c r="C237" s="2098"/>
      <c r="D237" s="2080"/>
      <c r="E237" s="2080"/>
      <c r="F237" s="2080"/>
      <c r="G237" s="2080"/>
      <c r="H237" s="2086"/>
    </row>
    <row r="238" spans="1:8">
      <c r="A238" s="2106" t="s">
        <v>179</v>
      </c>
      <c r="B238" s="2098"/>
      <c r="C238" s="2098"/>
      <c r="D238" s="2080"/>
      <c r="E238" s="2080"/>
      <c r="F238" s="2080"/>
      <c r="G238" s="2080"/>
      <c r="H238" s="2086"/>
    </row>
    <row r="239" spans="1:8">
      <c r="A239" s="2106" t="s">
        <v>180</v>
      </c>
      <c r="B239" s="2085">
        <f>IF(未审附注之利润及利润分配!B239="",0,未审附注之利润及利润分配!B239)</f>
        <v>0</v>
      </c>
      <c r="C239" s="2085">
        <f>IF(未审附注之利润及利润分配!C239="",0,未审附注之利润及利润分配!C239)</f>
        <v>0</v>
      </c>
      <c r="D239" s="2080"/>
      <c r="E239" s="2080"/>
      <c r="F239" s="2080"/>
      <c r="G239" s="2080"/>
      <c r="H239" s="2086" t="s">
        <v>1365</v>
      </c>
    </row>
    <row r="240" spans="1:8">
      <c r="A240" s="2106" t="s">
        <v>181</v>
      </c>
      <c r="B240" s="2085">
        <f>IF(未审附注之利润及利润分配!B240="",0,未审附注之利润及利润分配!B240)</f>
        <v>0</v>
      </c>
      <c r="C240" s="2085">
        <f>IF(未审附注之利润及利润分配!C240="",0,未审附注之利润及利润分配!C240)</f>
        <v>0</v>
      </c>
      <c r="D240" s="2080"/>
      <c r="E240" s="2080"/>
      <c r="F240" s="2080"/>
      <c r="G240" s="2080"/>
      <c r="H240" s="2086" t="s">
        <v>1366</v>
      </c>
    </row>
    <row r="241" spans="1:8">
      <c r="A241" s="2106" t="s">
        <v>182</v>
      </c>
      <c r="B241" s="2085">
        <f>IF(未审附注之利润及利润分配!B241="",0,未审附注之利润及利润分配!B241)</f>
        <v>0</v>
      </c>
      <c r="C241" s="2085">
        <f>IF(未审附注之利润及利润分配!C241="",0,未审附注之利润及利润分配!C241)</f>
        <v>0</v>
      </c>
      <c r="D241" s="2080"/>
      <c r="E241" s="2080"/>
      <c r="F241" s="2080"/>
      <c r="G241" s="2080"/>
      <c r="H241" s="2086" t="s">
        <v>1367</v>
      </c>
    </row>
    <row r="242" spans="1:8">
      <c r="A242" s="2106"/>
      <c r="B242" s="2098"/>
      <c r="C242" s="2098"/>
      <c r="D242" s="2080"/>
      <c r="E242" s="2080"/>
      <c r="F242" s="2080"/>
      <c r="G242" s="2080"/>
      <c r="H242" s="2086"/>
    </row>
    <row r="243" spans="1:8">
      <c r="A243" s="2106" t="s">
        <v>183</v>
      </c>
      <c r="B243" s="2098"/>
      <c r="C243" s="2098"/>
      <c r="D243" s="2080"/>
      <c r="E243" s="2080"/>
      <c r="F243" s="2080"/>
      <c r="G243" s="2080"/>
      <c r="H243" s="2086"/>
    </row>
    <row r="244" spans="1:8">
      <c r="A244" s="2106" t="s">
        <v>184</v>
      </c>
      <c r="B244" s="2085">
        <f>IF(未审附注之利润及利润分配!B244="",0,未审附注之利润及利润分配!B244)</f>
        <v>0</v>
      </c>
      <c r="C244" s="2085">
        <f>IF(未审附注之利润及利润分配!C244="",0,未审附注之利润及利润分配!C244)</f>
        <v>0</v>
      </c>
      <c r="D244" s="2080"/>
      <c r="E244" s="2080"/>
      <c r="F244" s="2080"/>
      <c r="G244" s="2080"/>
      <c r="H244" s="2086" t="s">
        <v>1368</v>
      </c>
    </row>
    <row r="245" spans="1:8">
      <c r="A245" s="2106" t="s">
        <v>185</v>
      </c>
      <c r="B245" s="2085">
        <f>IF(未审附注之利润及利润分配!B245="",0,未审附注之利润及利润分配!B245)</f>
        <v>0</v>
      </c>
      <c r="C245" s="2085">
        <f>IF(未审附注之利润及利润分配!C245="",0,未审附注之利润及利润分配!C245)</f>
        <v>0</v>
      </c>
      <c r="D245" s="2080"/>
      <c r="E245" s="2080"/>
      <c r="F245" s="2080"/>
      <c r="G245" s="2080"/>
      <c r="H245" s="2086" t="s">
        <v>1369</v>
      </c>
    </row>
    <row r="246" spans="1:8">
      <c r="A246" s="2106" t="s">
        <v>186</v>
      </c>
      <c r="B246" s="2085">
        <f>IF(未审附注之利润及利润分配!B246="",0,未审附注之利润及利润分配!B246)</f>
        <v>0</v>
      </c>
      <c r="C246" s="2085">
        <f>IF(未审附注之利润及利润分配!C246="",0,未审附注之利润及利润分配!C246)</f>
        <v>0</v>
      </c>
      <c r="D246" s="2080"/>
      <c r="E246" s="2080"/>
      <c r="F246" s="2080"/>
      <c r="G246" s="2080"/>
      <c r="H246" s="2086" t="s">
        <v>1370</v>
      </c>
    </row>
    <row r="247" spans="1:8">
      <c r="A247" s="2106" t="s">
        <v>187</v>
      </c>
      <c r="B247" s="2085">
        <f>IF(未审附注之利润及利润分配!B247="",0,未审附注之利润及利润分配!B247)</f>
        <v>0</v>
      </c>
      <c r="C247" s="2085">
        <f>IF(未审附注之利润及利润分配!C247="",0,未审附注之利润及利润分配!C247)</f>
        <v>0</v>
      </c>
      <c r="D247" s="2080"/>
      <c r="E247" s="2080"/>
      <c r="F247" s="2080"/>
      <c r="G247" s="2080"/>
      <c r="H247" s="2086" t="s">
        <v>1371</v>
      </c>
    </row>
    <row r="248" spans="1:8">
      <c r="A248" s="2106" t="s">
        <v>188</v>
      </c>
      <c r="B248" s="2048">
        <f>ROUND(B244-B245+B246-B247,2)</f>
        <v>0</v>
      </c>
      <c r="C248" s="2048">
        <f>ROUND(C244-C245+C246-C247,2)</f>
        <v>0</v>
      </c>
      <c r="D248" s="2080"/>
      <c r="E248" s="2080"/>
      <c r="F248" s="2080"/>
      <c r="G248" s="2080"/>
      <c r="H248" s="2086" t="s">
        <v>1372</v>
      </c>
    </row>
    <row r="249" spans="1:7">
      <c r="A249" s="2080"/>
      <c r="B249" s="2080"/>
      <c r="C249" s="2080"/>
      <c r="D249" s="2080"/>
      <c r="E249" s="2080"/>
      <c r="F249" s="2080"/>
      <c r="G249" s="2080"/>
    </row>
    <row r="250" spans="1:7">
      <c r="A250" s="2080"/>
      <c r="B250" s="2080"/>
      <c r="C250" s="2080"/>
      <c r="D250" s="2080"/>
      <c r="E250" s="2080"/>
      <c r="F250" s="2080"/>
      <c r="G250" s="2080"/>
    </row>
    <row r="251" spans="1:7">
      <c r="A251" s="2097" t="s">
        <v>1373</v>
      </c>
      <c r="B251" s="2110"/>
      <c r="C251" s="2080"/>
      <c r="D251" s="2080"/>
      <c r="E251" s="2080"/>
      <c r="F251" s="2080"/>
      <c r="G251" s="2080"/>
    </row>
    <row r="252" spans="1:7">
      <c r="A252" s="2088" t="s">
        <v>1374</v>
      </c>
      <c r="B252" s="2080"/>
      <c r="C252" s="2080"/>
      <c r="D252" s="2080"/>
      <c r="E252" s="2080"/>
      <c r="F252" s="2080"/>
      <c r="G252" s="2080"/>
    </row>
    <row r="253" spans="1:7">
      <c r="A253" s="2082" t="s">
        <v>1375</v>
      </c>
      <c r="B253" s="2082" t="s">
        <v>1376</v>
      </c>
      <c r="C253" s="2082" t="s">
        <v>1377</v>
      </c>
      <c r="D253" s="2082" t="s">
        <v>1378</v>
      </c>
      <c r="E253" s="2082" t="s">
        <v>1377</v>
      </c>
      <c r="F253" s="2080"/>
      <c r="G253" s="2080"/>
    </row>
    <row r="254" spans="1:8">
      <c r="A254" s="2092">
        <f>IF(未审附注之利润及利润分配!A254="",0,未审附注之利润及利润分配!A254)</f>
        <v>0</v>
      </c>
      <c r="B254" s="2085">
        <f>IF(未审附注之利润及利润分配!B254="",0,未审附注之利润及利润分配!B254)</f>
        <v>0</v>
      </c>
      <c r="C254" s="2111">
        <f>IF(未审附注之利润及利润分配!C254="",0,未审附注之利润及利润分配!C254)</f>
        <v>0</v>
      </c>
      <c r="D254" s="2085">
        <f>IF(未审附注之利润及利润分配!D254="",0,未审附注之利润及利润分配!D254)</f>
        <v>0</v>
      </c>
      <c r="E254" s="2111">
        <f>IF(未审附注之利润及利润分配!E254="",0,未审附注之利润及利润分配!E254)</f>
        <v>0</v>
      </c>
      <c r="F254" s="2080"/>
      <c r="G254" s="2080"/>
      <c r="H254" s="2086" t="s">
        <v>1379</v>
      </c>
    </row>
    <row r="255" spans="1:8">
      <c r="A255" s="2092">
        <f>IF(未审附注之利润及利润分配!A255="",0,未审附注之利润及利润分配!A255)</f>
        <v>0</v>
      </c>
      <c r="B255" s="2085">
        <f>IF(未审附注之利润及利润分配!B255="",0,未审附注之利润及利润分配!B255)</f>
        <v>0</v>
      </c>
      <c r="C255" s="2111">
        <f>IF(未审附注之利润及利润分配!C255="",0,未审附注之利润及利润分配!C255)</f>
        <v>0</v>
      </c>
      <c r="D255" s="2085">
        <f>IF(未审附注之利润及利润分配!D255="",0,未审附注之利润及利润分配!D255)</f>
        <v>0</v>
      </c>
      <c r="E255" s="2111">
        <f>IF(未审附注之利润及利润分配!E255="",0,未审附注之利润及利润分配!E255)</f>
        <v>0</v>
      </c>
      <c r="F255" s="2080"/>
      <c r="G255" s="2080"/>
      <c r="H255" s="2086" t="s">
        <v>1379</v>
      </c>
    </row>
    <row r="256" spans="1:8">
      <c r="A256" s="2092">
        <f>IF(未审附注之利润及利润分配!A256="",0,未审附注之利润及利润分配!A256)</f>
        <v>0</v>
      </c>
      <c r="B256" s="2085">
        <f>IF(未审附注之利润及利润分配!B256="",0,未审附注之利润及利润分配!B256)</f>
        <v>0</v>
      </c>
      <c r="C256" s="2111">
        <f>IF(未审附注之利润及利润分配!C256="",0,未审附注之利润及利润分配!C256)</f>
        <v>0</v>
      </c>
      <c r="D256" s="2085">
        <f>IF(未审附注之利润及利润分配!D256="",0,未审附注之利润及利润分配!D256)</f>
        <v>0</v>
      </c>
      <c r="E256" s="2111">
        <f>IF(未审附注之利润及利润分配!E256="",0,未审附注之利润及利润分配!E256)</f>
        <v>0</v>
      </c>
      <c r="F256" s="2080"/>
      <c r="G256" s="2080"/>
      <c r="H256" s="2086" t="s">
        <v>1379</v>
      </c>
    </row>
    <row r="257" spans="1:8">
      <c r="A257" s="2092">
        <f>IF(未审附注之利润及利润分配!A257="",0,未审附注之利润及利润分配!A257)</f>
        <v>0</v>
      </c>
      <c r="B257" s="2085">
        <f>IF(未审附注之利润及利润分配!B257="",0,未审附注之利润及利润分配!B257)</f>
        <v>0</v>
      </c>
      <c r="C257" s="2111">
        <f>IF(未审附注之利润及利润分配!C257="",0,未审附注之利润及利润分配!C257)</f>
        <v>0</v>
      </c>
      <c r="D257" s="2085">
        <f>IF(未审附注之利润及利润分配!D257="",0,未审附注之利润及利润分配!D257)</f>
        <v>0</v>
      </c>
      <c r="E257" s="2111">
        <f>IF(未审附注之利润及利润分配!E257="",0,未审附注之利润及利润分配!E257)</f>
        <v>0</v>
      </c>
      <c r="F257" s="2080"/>
      <c r="G257" s="2080"/>
      <c r="H257" s="2086" t="s">
        <v>1379</v>
      </c>
    </row>
    <row r="258" spans="1:8">
      <c r="A258" s="2092">
        <f>IF(未审附注之利润及利润分配!A258="",0,未审附注之利润及利润分配!A258)</f>
        <v>0</v>
      </c>
      <c r="B258" s="2085">
        <f>IF(未审附注之利润及利润分配!B258="",0,未审附注之利润及利润分配!B258)</f>
        <v>0</v>
      </c>
      <c r="C258" s="2111">
        <f>IF(未审附注之利润及利润分配!C258="",0,未审附注之利润及利润分配!C258)</f>
        <v>0</v>
      </c>
      <c r="D258" s="2085">
        <f>IF(未审附注之利润及利润分配!D258="",0,未审附注之利润及利润分配!D258)</f>
        <v>0</v>
      </c>
      <c r="E258" s="2111">
        <f>IF(未审附注之利润及利润分配!E258="",0,未审附注之利润及利润分配!E258)</f>
        <v>0</v>
      </c>
      <c r="F258" s="2080"/>
      <c r="G258" s="2080"/>
      <c r="H258" s="2086" t="s">
        <v>1379</v>
      </c>
    </row>
    <row r="259" spans="1:8">
      <c r="A259" s="2092">
        <f>IF(未审附注之利润及利润分配!A259="",0,未审附注之利润及利润分配!A259)</f>
        <v>0</v>
      </c>
      <c r="B259" s="2085">
        <f>IF(未审附注之利润及利润分配!B259="",0,未审附注之利润及利润分配!B259)</f>
        <v>0</v>
      </c>
      <c r="C259" s="2111">
        <f>IF(未审附注之利润及利润分配!C259="",0,未审附注之利润及利润分配!C259)</f>
        <v>0</v>
      </c>
      <c r="D259" s="2085">
        <f>IF(未审附注之利润及利润分配!D259="",0,未审附注之利润及利润分配!D259)</f>
        <v>0</v>
      </c>
      <c r="E259" s="2111">
        <f>IF(未审附注之利润及利润分配!E259="",0,未审附注之利润及利润分配!E259)</f>
        <v>0</v>
      </c>
      <c r="F259" s="2080"/>
      <c r="G259" s="2080"/>
      <c r="H259" s="2086" t="s">
        <v>1379</v>
      </c>
    </row>
    <row r="260" spans="1:8">
      <c r="A260" s="2092">
        <f>IF(未审附注之利润及利润分配!A260="",0,未审附注之利润及利润分配!A260)</f>
        <v>0</v>
      </c>
      <c r="B260" s="2085">
        <f>IF(未审附注之利润及利润分配!B260="",0,未审附注之利润及利润分配!B260)</f>
        <v>0</v>
      </c>
      <c r="C260" s="2111">
        <f>IF(未审附注之利润及利润分配!C260="",0,未审附注之利润及利润分配!C260)</f>
        <v>0</v>
      </c>
      <c r="D260" s="2085">
        <f>IF(未审附注之利润及利润分配!D260="",0,未审附注之利润及利润分配!D260)</f>
        <v>0</v>
      </c>
      <c r="E260" s="2111">
        <f>IF(未审附注之利润及利润分配!E260="",0,未审附注之利润及利润分配!E260)</f>
        <v>0</v>
      </c>
      <c r="F260" s="2080"/>
      <c r="G260" s="2080"/>
      <c r="H260" s="2086" t="s">
        <v>1379</v>
      </c>
    </row>
    <row r="261" spans="1:8">
      <c r="A261" s="2092">
        <f>IF(未审附注之利润及利润分配!A261="",0,未审附注之利润及利润分配!A261)</f>
        <v>0</v>
      </c>
      <c r="B261" s="2085">
        <f>IF(未审附注之利润及利润分配!B261="",0,未审附注之利润及利润分配!B261)</f>
        <v>0</v>
      </c>
      <c r="C261" s="2111">
        <f>IF(未审附注之利润及利润分配!C261="",0,未审附注之利润及利润分配!C261)</f>
        <v>0</v>
      </c>
      <c r="D261" s="2085">
        <f>IF(未审附注之利润及利润分配!D261="",0,未审附注之利润及利润分配!D261)</f>
        <v>0</v>
      </c>
      <c r="E261" s="2111">
        <f>IF(未审附注之利润及利润分配!E261="",0,未审附注之利润及利润分配!E261)</f>
        <v>0</v>
      </c>
      <c r="F261" s="2080"/>
      <c r="G261" s="2080"/>
      <c r="H261" s="2086" t="s">
        <v>1379</v>
      </c>
    </row>
    <row r="262" spans="1:8">
      <c r="A262" s="2092">
        <f>IF(未审附注之利润及利润分配!A262="",0,未审附注之利润及利润分配!A262)</f>
        <v>0</v>
      </c>
      <c r="B262" s="2085">
        <f>IF(未审附注之利润及利润分配!B262="",0,未审附注之利润及利润分配!B262)</f>
        <v>0</v>
      </c>
      <c r="C262" s="2111">
        <f>IF(未审附注之利润及利润分配!C262="",0,未审附注之利润及利润分配!C262)</f>
        <v>0</v>
      </c>
      <c r="D262" s="2085">
        <f>IF(未审附注之利润及利润分配!D262="",0,未审附注之利润及利润分配!D262)</f>
        <v>0</v>
      </c>
      <c r="E262" s="2111">
        <f>IF(未审附注之利润及利润分配!E262="",0,未审附注之利润及利润分配!E262)</f>
        <v>0</v>
      </c>
      <c r="F262" s="2080"/>
      <c r="G262" s="2080"/>
      <c r="H262" s="2086" t="s">
        <v>1379</v>
      </c>
    </row>
    <row r="263" spans="1:8">
      <c r="A263" s="2092">
        <f>IF(未审附注之利润及利润分配!A263="",0,未审附注之利润及利润分配!A263)</f>
        <v>0</v>
      </c>
      <c r="B263" s="2085">
        <f>IF(未审附注之利润及利润分配!B263="",0,未审附注之利润及利润分配!B263)</f>
        <v>0</v>
      </c>
      <c r="C263" s="2111">
        <f>IF(未审附注之利润及利润分配!C263="",0,未审附注之利润及利润分配!C263)</f>
        <v>0</v>
      </c>
      <c r="D263" s="2085">
        <f>IF(未审附注之利润及利润分配!D263="",0,未审附注之利润及利润分配!D263)</f>
        <v>0</v>
      </c>
      <c r="E263" s="2111">
        <f>IF(未审附注之利润及利润分配!E263="",0,未审附注之利润及利润分配!E263)</f>
        <v>0</v>
      </c>
      <c r="F263" s="2080"/>
      <c r="G263" s="2080"/>
      <c r="H263" s="2086" t="s">
        <v>1379</v>
      </c>
    </row>
    <row r="264" spans="1:8">
      <c r="A264" s="2082" t="s">
        <v>384</v>
      </c>
      <c r="B264" s="2048">
        <f>ROUND(SUM(B254:B263),2)</f>
        <v>0</v>
      </c>
      <c r="C264" s="2111">
        <f>IF(未审附注之利润及利润分配!C264="",0,未审附注之利润及利润分配!C264)</f>
        <v>0</v>
      </c>
      <c r="D264" s="2048">
        <f>ROUND(SUM(D254:D263),2)</f>
        <v>0</v>
      </c>
      <c r="E264" s="2111">
        <f>IF(未审附注之利润及利润分配!E264="",0,未审附注之利润及利润分配!E264)</f>
        <v>0</v>
      </c>
      <c r="F264" s="2080"/>
      <c r="G264" s="2080"/>
      <c r="H264" s="2086" t="s">
        <v>1380</v>
      </c>
    </row>
    <row r="265" spans="1:7">
      <c r="A265" s="2080"/>
      <c r="B265" s="2080"/>
      <c r="C265" s="2080"/>
      <c r="D265" s="2080"/>
      <c r="E265" s="2080"/>
      <c r="F265" s="2080"/>
      <c r="G265" s="2080"/>
    </row>
    <row r="266" spans="1:7">
      <c r="A266" s="2112" t="s">
        <v>1381</v>
      </c>
      <c r="B266" s="2080"/>
      <c r="C266" s="2080"/>
      <c r="D266" s="2080"/>
      <c r="E266" s="2080"/>
      <c r="F266" s="2080"/>
      <c r="G266" s="2080"/>
    </row>
    <row r="267" spans="1:7">
      <c r="A267" s="2082" t="s">
        <v>1375</v>
      </c>
      <c r="B267" s="2082" t="s">
        <v>1376</v>
      </c>
      <c r="C267" s="2082" t="s">
        <v>1377</v>
      </c>
      <c r="D267" s="2082" t="s">
        <v>1378</v>
      </c>
      <c r="E267" s="2082" t="s">
        <v>1377</v>
      </c>
      <c r="F267" s="2080"/>
      <c r="G267" s="2080"/>
    </row>
    <row r="268" spans="1:8">
      <c r="A268" s="2092">
        <f>IF(未审附注之利润及利润分配!A268="",0,未审附注之利润及利润分配!A268)</f>
        <v>0</v>
      </c>
      <c r="B268" s="2085">
        <f>IF(未审附注之利润及利润分配!B268="",0,未审附注之利润及利润分配!B268)</f>
        <v>0</v>
      </c>
      <c r="C268" s="2111">
        <f>IF(未审附注之利润及利润分配!C268="",0,未审附注之利润及利润分配!C268)</f>
        <v>0</v>
      </c>
      <c r="D268" s="2085">
        <f>IF(未审附注之利润及利润分配!D268="",0,未审附注之利润及利润分配!D268)</f>
        <v>0</v>
      </c>
      <c r="E268" s="2111">
        <f>IF(未审附注之利润及利润分配!E268="",0,未审附注之利润及利润分配!E268)</f>
        <v>0</v>
      </c>
      <c r="F268" s="2080"/>
      <c r="G268" s="2080"/>
      <c r="H268" s="2086" t="s">
        <v>1382</v>
      </c>
    </row>
    <row r="269" spans="1:8">
      <c r="A269" s="2092">
        <f>IF(未审附注之利润及利润分配!A269="",0,未审附注之利润及利润分配!A269)</f>
        <v>0</v>
      </c>
      <c r="B269" s="2085">
        <f>IF(未审附注之利润及利润分配!B269="",0,未审附注之利润及利润分配!B269)</f>
        <v>0</v>
      </c>
      <c r="C269" s="2111">
        <f>IF(未审附注之利润及利润分配!C269="",0,未审附注之利润及利润分配!C269)</f>
        <v>0</v>
      </c>
      <c r="D269" s="2085">
        <f>IF(未审附注之利润及利润分配!D269="",0,未审附注之利润及利润分配!D269)</f>
        <v>0</v>
      </c>
      <c r="E269" s="2111">
        <f>IF(未审附注之利润及利润分配!E269="",0,未审附注之利润及利润分配!E269)</f>
        <v>0</v>
      </c>
      <c r="F269" s="2080"/>
      <c r="G269" s="2080"/>
      <c r="H269" s="2086" t="s">
        <v>1382</v>
      </c>
    </row>
    <row r="270" spans="1:8">
      <c r="A270" s="2092">
        <f>IF(未审附注之利润及利润分配!A270="",0,未审附注之利润及利润分配!A270)</f>
        <v>0</v>
      </c>
      <c r="B270" s="2085">
        <f>IF(未审附注之利润及利润分配!B270="",0,未审附注之利润及利润分配!B270)</f>
        <v>0</v>
      </c>
      <c r="C270" s="2111">
        <f>IF(未审附注之利润及利润分配!C270="",0,未审附注之利润及利润分配!C270)</f>
        <v>0</v>
      </c>
      <c r="D270" s="2085">
        <f>IF(未审附注之利润及利润分配!D270="",0,未审附注之利润及利润分配!D270)</f>
        <v>0</v>
      </c>
      <c r="E270" s="2111">
        <f>IF(未审附注之利润及利润分配!E270="",0,未审附注之利润及利润分配!E270)</f>
        <v>0</v>
      </c>
      <c r="F270" s="2080"/>
      <c r="G270" s="2080"/>
      <c r="H270" s="2086" t="s">
        <v>1382</v>
      </c>
    </row>
    <row r="271" spans="1:8">
      <c r="A271" s="2092">
        <f>IF(未审附注之利润及利润分配!A271="",0,未审附注之利润及利润分配!A271)</f>
        <v>0</v>
      </c>
      <c r="B271" s="2085">
        <f>IF(未审附注之利润及利润分配!B271="",0,未审附注之利润及利润分配!B271)</f>
        <v>0</v>
      </c>
      <c r="C271" s="2111">
        <f>IF(未审附注之利润及利润分配!C271="",0,未审附注之利润及利润分配!C271)</f>
        <v>0</v>
      </c>
      <c r="D271" s="2085">
        <f>IF(未审附注之利润及利润分配!D271="",0,未审附注之利润及利润分配!D271)</f>
        <v>0</v>
      </c>
      <c r="E271" s="2111">
        <f>IF(未审附注之利润及利润分配!E271="",0,未审附注之利润及利润分配!E271)</f>
        <v>0</v>
      </c>
      <c r="F271" s="2080"/>
      <c r="G271" s="2080"/>
      <c r="H271" s="2086" t="s">
        <v>1382</v>
      </c>
    </row>
    <row r="272" spans="1:8">
      <c r="A272" s="2092">
        <f>IF(未审附注之利润及利润分配!A272="",0,未审附注之利润及利润分配!A272)</f>
        <v>0</v>
      </c>
      <c r="B272" s="2085">
        <f>IF(未审附注之利润及利润分配!B272="",0,未审附注之利润及利润分配!B272)</f>
        <v>0</v>
      </c>
      <c r="C272" s="2111">
        <f>IF(未审附注之利润及利润分配!C272="",0,未审附注之利润及利润分配!C272)</f>
        <v>0</v>
      </c>
      <c r="D272" s="2085">
        <f>IF(未审附注之利润及利润分配!D272="",0,未审附注之利润及利润分配!D272)</f>
        <v>0</v>
      </c>
      <c r="E272" s="2111">
        <f>IF(未审附注之利润及利润分配!E272="",0,未审附注之利润及利润分配!E272)</f>
        <v>0</v>
      </c>
      <c r="F272" s="2080"/>
      <c r="G272" s="2080"/>
      <c r="H272" s="2086" t="s">
        <v>1382</v>
      </c>
    </row>
    <row r="273" spans="1:8">
      <c r="A273" s="2092">
        <f>IF(未审附注之利润及利润分配!A273="",0,未审附注之利润及利润分配!A273)</f>
        <v>0</v>
      </c>
      <c r="B273" s="2085">
        <f>IF(未审附注之利润及利润分配!B273="",0,未审附注之利润及利润分配!B273)</f>
        <v>0</v>
      </c>
      <c r="C273" s="2111">
        <f>IF(未审附注之利润及利润分配!C273="",0,未审附注之利润及利润分配!C273)</f>
        <v>0</v>
      </c>
      <c r="D273" s="2085">
        <f>IF(未审附注之利润及利润分配!D273="",0,未审附注之利润及利润分配!D273)</f>
        <v>0</v>
      </c>
      <c r="E273" s="2111">
        <f>IF(未审附注之利润及利润分配!E273="",0,未审附注之利润及利润分配!E273)</f>
        <v>0</v>
      </c>
      <c r="F273" s="2080"/>
      <c r="G273" s="2080"/>
      <c r="H273" s="2086" t="s">
        <v>1382</v>
      </c>
    </row>
    <row r="274" spans="1:8">
      <c r="A274" s="2092">
        <f>IF(未审附注之利润及利润分配!A274="",0,未审附注之利润及利润分配!A274)</f>
        <v>0</v>
      </c>
      <c r="B274" s="2085">
        <f>IF(未审附注之利润及利润分配!B274="",0,未审附注之利润及利润分配!B274)</f>
        <v>0</v>
      </c>
      <c r="C274" s="2111">
        <f>IF(未审附注之利润及利润分配!C274="",0,未审附注之利润及利润分配!C274)</f>
        <v>0</v>
      </c>
      <c r="D274" s="2085">
        <f>IF(未审附注之利润及利润分配!D274="",0,未审附注之利润及利润分配!D274)</f>
        <v>0</v>
      </c>
      <c r="E274" s="2111">
        <f>IF(未审附注之利润及利润分配!E274="",0,未审附注之利润及利润分配!E274)</f>
        <v>0</v>
      </c>
      <c r="F274" s="2080"/>
      <c r="G274" s="2080"/>
      <c r="H274" s="2086" t="s">
        <v>1382</v>
      </c>
    </row>
    <row r="275" spans="1:8">
      <c r="A275" s="2092">
        <f>IF(未审附注之利润及利润分配!A275="",0,未审附注之利润及利润分配!A275)</f>
        <v>0</v>
      </c>
      <c r="B275" s="2085">
        <f>IF(未审附注之利润及利润分配!B275="",0,未审附注之利润及利润分配!B275)</f>
        <v>0</v>
      </c>
      <c r="C275" s="2111">
        <f>IF(未审附注之利润及利润分配!C275="",0,未审附注之利润及利润分配!C275)</f>
        <v>0</v>
      </c>
      <c r="D275" s="2085">
        <f>IF(未审附注之利润及利润分配!D275="",0,未审附注之利润及利润分配!D275)</f>
        <v>0</v>
      </c>
      <c r="E275" s="2111">
        <f>IF(未审附注之利润及利润分配!E275="",0,未审附注之利润及利润分配!E275)</f>
        <v>0</v>
      </c>
      <c r="F275" s="2080"/>
      <c r="G275" s="2080"/>
      <c r="H275" s="2086" t="s">
        <v>1382</v>
      </c>
    </row>
    <row r="276" spans="1:8">
      <c r="A276" s="2092">
        <f>IF(未审附注之利润及利润分配!A276="",0,未审附注之利润及利润分配!A276)</f>
        <v>0</v>
      </c>
      <c r="B276" s="2085">
        <f>IF(未审附注之利润及利润分配!B276="",0,未审附注之利润及利润分配!B276)</f>
        <v>0</v>
      </c>
      <c r="C276" s="2111">
        <f>IF(未审附注之利润及利润分配!C276="",0,未审附注之利润及利润分配!C276)</f>
        <v>0</v>
      </c>
      <c r="D276" s="2085">
        <f>IF(未审附注之利润及利润分配!D276="",0,未审附注之利润及利润分配!D276)</f>
        <v>0</v>
      </c>
      <c r="E276" s="2111">
        <f>IF(未审附注之利润及利润分配!E276="",0,未审附注之利润及利润分配!E276)</f>
        <v>0</v>
      </c>
      <c r="F276" s="2080"/>
      <c r="G276" s="2080"/>
      <c r="H276" s="2086" t="s">
        <v>1382</v>
      </c>
    </row>
    <row r="277" spans="1:8">
      <c r="A277" s="2092">
        <f>IF(未审附注之利润及利润分配!A277="",0,未审附注之利润及利润分配!A277)</f>
        <v>0</v>
      </c>
      <c r="B277" s="2085">
        <f>IF(未审附注之利润及利润分配!B277="",0,未审附注之利润及利润分配!B277)</f>
        <v>0</v>
      </c>
      <c r="C277" s="2111">
        <f>IF(未审附注之利润及利润分配!C277="",0,未审附注之利润及利润分配!C277)</f>
        <v>0</v>
      </c>
      <c r="D277" s="2085">
        <f>IF(未审附注之利润及利润分配!D277="",0,未审附注之利润及利润分配!D277)</f>
        <v>0</v>
      </c>
      <c r="E277" s="2111">
        <f>IF(未审附注之利润及利润分配!E277="",0,未审附注之利润及利润分配!E277)</f>
        <v>0</v>
      </c>
      <c r="F277" s="2080"/>
      <c r="G277" s="2080"/>
      <c r="H277" s="2086" t="s">
        <v>1382</v>
      </c>
    </row>
    <row r="278" spans="1:8">
      <c r="A278" s="2082" t="s">
        <v>384</v>
      </c>
      <c r="B278" s="2048">
        <f>ROUND(SUM(B268:B277),2)</f>
        <v>0</v>
      </c>
      <c r="C278" s="2111">
        <f>IF(未审附注之利润及利润分配!C278="",0,未审附注之利润及利润分配!C278)</f>
        <v>0</v>
      </c>
      <c r="D278" s="2048">
        <f>ROUND(SUM(D268:D277),2)</f>
        <v>0</v>
      </c>
      <c r="E278" s="2111">
        <f>IF(未审附注之利润及利润分配!E278="",0,未审附注之利润及利润分配!E278)</f>
        <v>0</v>
      </c>
      <c r="F278" s="2080"/>
      <c r="G278" s="2080"/>
      <c r="H278" s="2086" t="s">
        <v>1383</v>
      </c>
    </row>
    <row r="279" spans="1:7">
      <c r="A279" s="2080"/>
      <c r="B279" s="2080"/>
      <c r="C279" s="2080"/>
      <c r="D279" s="2080"/>
      <c r="E279" s="2080"/>
      <c r="F279" s="2080"/>
      <c r="G279" s="2080"/>
    </row>
    <row r="280" spans="1:7">
      <c r="A280" s="2088" t="s">
        <v>1384</v>
      </c>
      <c r="B280" s="2080"/>
      <c r="C280" s="2080"/>
      <c r="D280" s="2080"/>
      <c r="E280" s="2080"/>
      <c r="F280" s="2080"/>
      <c r="G280" s="2080"/>
    </row>
    <row r="281" spans="1:7">
      <c r="A281" s="2082" t="s">
        <v>568</v>
      </c>
      <c r="B281" s="2082" t="s">
        <v>1385</v>
      </c>
      <c r="C281" s="2082" t="s">
        <v>1386</v>
      </c>
      <c r="D281" s="2082" t="s">
        <v>315</v>
      </c>
      <c r="E281" s="2082" t="s">
        <v>1387</v>
      </c>
      <c r="F281" s="2082" t="s">
        <v>316</v>
      </c>
      <c r="G281" s="2082" t="s">
        <v>1387</v>
      </c>
    </row>
    <row r="282" spans="1:8">
      <c r="A282" s="2092">
        <f>IF(未审附注之利润及利润分配!A282="",0,未审附注之利润及利润分配!A282)</f>
        <v>0</v>
      </c>
      <c r="B282" s="2092">
        <f>IF(未审附注之利润及利润分配!B282="",0,未审附注之利润及利润分配!B282)</f>
        <v>0</v>
      </c>
      <c r="C282" s="2092">
        <f>IF(未审附注之利润及利润分配!C282="",0,未审附注之利润及利润分配!C282)</f>
        <v>0</v>
      </c>
      <c r="D282" s="2085">
        <f>IF(未审附注之利润及利润分配!D282="",0,未审附注之利润及利润分配!D282)</f>
        <v>0</v>
      </c>
      <c r="E282" s="2111">
        <f>IF(未审附注之利润及利润分配!E282="",0,未审附注之利润及利润分配!E282)</f>
        <v>0</v>
      </c>
      <c r="F282" s="2085">
        <f>IF(未审附注之利润及利润分配!F282="",0,未审附注之利润及利润分配!F282)</f>
        <v>0</v>
      </c>
      <c r="G282" s="2111">
        <f>IF(未审附注之利润及利润分配!G282="",0,未审附注之利润及利润分配!G282)</f>
        <v>0</v>
      </c>
      <c r="H282" s="2086" t="s">
        <v>1388</v>
      </c>
    </row>
    <row r="283" spans="1:8">
      <c r="A283" s="2092">
        <f>IF(未审附注之利润及利润分配!A283="",0,未审附注之利润及利润分配!A283)</f>
        <v>0</v>
      </c>
      <c r="B283" s="2092">
        <f>IF(未审附注之利润及利润分配!B283="",0,未审附注之利润及利润分配!B283)</f>
        <v>0</v>
      </c>
      <c r="C283" s="2092">
        <f>IF(未审附注之利润及利润分配!C283="",0,未审附注之利润及利润分配!C283)</f>
        <v>0</v>
      </c>
      <c r="D283" s="2085">
        <f>IF(未审附注之利润及利润分配!D283="",0,未审附注之利润及利润分配!D283)</f>
        <v>0</v>
      </c>
      <c r="E283" s="2111">
        <f>IF(未审附注之利润及利润分配!E283="",0,未审附注之利润及利润分配!E283)</f>
        <v>0</v>
      </c>
      <c r="F283" s="2085">
        <f>IF(未审附注之利润及利润分配!F283="",0,未审附注之利润及利润分配!F283)</f>
        <v>0</v>
      </c>
      <c r="G283" s="2111">
        <f>IF(未审附注之利润及利润分配!G283="",0,未审附注之利润及利润分配!G283)</f>
        <v>0</v>
      </c>
      <c r="H283" s="2086" t="s">
        <v>1388</v>
      </c>
    </row>
    <row r="284" spans="1:8">
      <c r="A284" s="2092">
        <f>IF(未审附注之利润及利润分配!A284="",0,未审附注之利润及利润分配!A284)</f>
        <v>0</v>
      </c>
      <c r="B284" s="2092">
        <f>IF(未审附注之利润及利润分配!B284="",0,未审附注之利润及利润分配!B284)</f>
        <v>0</v>
      </c>
      <c r="C284" s="2092">
        <f>IF(未审附注之利润及利润分配!C284="",0,未审附注之利润及利润分配!C284)</f>
        <v>0</v>
      </c>
      <c r="D284" s="2085">
        <f>IF(未审附注之利润及利润分配!D284="",0,未审附注之利润及利润分配!D284)</f>
        <v>0</v>
      </c>
      <c r="E284" s="2111">
        <f>IF(未审附注之利润及利润分配!E284="",0,未审附注之利润及利润分配!E284)</f>
        <v>0</v>
      </c>
      <c r="F284" s="2085">
        <f>IF(未审附注之利润及利润分配!F284="",0,未审附注之利润及利润分配!F284)</f>
        <v>0</v>
      </c>
      <c r="G284" s="2111">
        <f>IF(未审附注之利润及利润分配!G284="",0,未审附注之利润及利润分配!G284)</f>
        <v>0</v>
      </c>
      <c r="H284" s="2086" t="s">
        <v>1388</v>
      </c>
    </row>
    <row r="285" spans="1:8">
      <c r="A285" s="2092">
        <f>IF(未审附注之利润及利润分配!A285="",0,未审附注之利润及利润分配!A285)</f>
        <v>0</v>
      </c>
      <c r="B285" s="2092">
        <f>IF(未审附注之利润及利润分配!B285="",0,未审附注之利润及利润分配!B285)</f>
        <v>0</v>
      </c>
      <c r="C285" s="2092">
        <f>IF(未审附注之利润及利润分配!C285="",0,未审附注之利润及利润分配!C285)</f>
        <v>0</v>
      </c>
      <c r="D285" s="2085">
        <f>IF(未审附注之利润及利润分配!D285="",0,未审附注之利润及利润分配!D285)</f>
        <v>0</v>
      </c>
      <c r="E285" s="2111">
        <f>IF(未审附注之利润及利润分配!E285="",0,未审附注之利润及利润分配!E285)</f>
        <v>0</v>
      </c>
      <c r="F285" s="2085">
        <f>IF(未审附注之利润及利润分配!F285="",0,未审附注之利润及利润分配!F285)</f>
        <v>0</v>
      </c>
      <c r="G285" s="2111">
        <f>IF(未审附注之利润及利润分配!G285="",0,未审附注之利润及利润分配!G285)</f>
        <v>0</v>
      </c>
      <c r="H285" s="2086" t="s">
        <v>1388</v>
      </c>
    </row>
    <row r="286" spans="1:8">
      <c r="A286" s="2092">
        <f>IF(未审附注之利润及利润分配!A286="",0,未审附注之利润及利润分配!A286)</f>
        <v>0</v>
      </c>
      <c r="B286" s="2092">
        <f>IF(未审附注之利润及利润分配!B286="",0,未审附注之利润及利润分配!B286)</f>
        <v>0</v>
      </c>
      <c r="C286" s="2092">
        <f>IF(未审附注之利润及利润分配!C286="",0,未审附注之利润及利润分配!C286)</f>
        <v>0</v>
      </c>
      <c r="D286" s="2085">
        <f>IF(未审附注之利润及利润分配!D286="",0,未审附注之利润及利润分配!D286)</f>
        <v>0</v>
      </c>
      <c r="E286" s="2111">
        <f>IF(未审附注之利润及利润分配!E286="",0,未审附注之利润及利润分配!E286)</f>
        <v>0</v>
      </c>
      <c r="F286" s="2085">
        <f>IF(未审附注之利润及利润分配!F286="",0,未审附注之利润及利润分配!F286)</f>
        <v>0</v>
      </c>
      <c r="G286" s="2111">
        <f>IF(未审附注之利润及利润分配!G286="",0,未审附注之利润及利润分配!G286)</f>
        <v>0</v>
      </c>
      <c r="H286" s="2086" t="s">
        <v>1388</v>
      </c>
    </row>
    <row r="287" spans="1:8">
      <c r="A287" s="2092">
        <f>IF(未审附注之利润及利润分配!A287="",0,未审附注之利润及利润分配!A287)</f>
        <v>0</v>
      </c>
      <c r="B287" s="2092">
        <f>IF(未审附注之利润及利润分配!B287="",0,未审附注之利润及利润分配!B287)</f>
        <v>0</v>
      </c>
      <c r="C287" s="2092">
        <f>IF(未审附注之利润及利润分配!C287="",0,未审附注之利润及利润分配!C287)</f>
        <v>0</v>
      </c>
      <c r="D287" s="2085">
        <f>IF(未审附注之利润及利润分配!D287="",0,未审附注之利润及利润分配!D287)</f>
        <v>0</v>
      </c>
      <c r="E287" s="2111">
        <f>IF(未审附注之利润及利润分配!E287="",0,未审附注之利润及利润分配!E287)</f>
        <v>0</v>
      </c>
      <c r="F287" s="2085">
        <f>IF(未审附注之利润及利润分配!F287="",0,未审附注之利润及利润分配!F287)</f>
        <v>0</v>
      </c>
      <c r="G287" s="2111">
        <f>IF(未审附注之利润及利润分配!G287="",0,未审附注之利润及利润分配!G287)</f>
        <v>0</v>
      </c>
      <c r="H287" s="2086" t="s">
        <v>1388</v>
      </c>
    </row>
    <row r="288" spans="1:8">
      <c r="A288" s="2092">
        <f>IF(未审附注之利润及利润分配!A288="",0,未审附注之利润及利润分配!A288)</f>
        <v>0</v>
      </c>
      <c r="B288" s="2092">
        <f>IF(未审附注之利润及利润分配!B288="",0,未审附注之利润及利润分配!B288)</f>
        <v>0</v>
      </c>
      <c r="C288" s="2092">
        <f>IF(未审附注之利润及利润分配!C288="",0,未审附注之利润及利润分配!C288)</f>
        <v>0</v>
      </c>
      <c r="D288" s="2085">
        <f>IF(未审附注之利润及利润分配!D288="",0,未审附注之利润及利润分配!D288)</f>
        <v>0</v>
      </c>
      <c r="E288" s="2111">
        <f>IF(未审附注之利润及利润分配!E288="",0,未审附注之利润及利润分配!E288)</f>
        <v>0</v>
      </c>
      <c r="F288" s="2085">
        <f>IF(未审附注之利润及利润分配!F288="",0,未审附注之利润及利润分配!F288)</f>
        <v>0</v>
      </c>
      <c r="G288" s="2111">
        <f>IF(未审附注之利润及利润分配!G288="",0,未审附注之利润及利润分配!G288)</f>
        <v>0</v>
      </c>
      <c r="H288" s="2086" t="s">
        <v>1388</v>
      </c>
    </row>
    <row r="289" spans="1:8">
      <c r="A289" s="2092">
        <f>IF(未审附注之利润及利润分配!A289="",0,未审附注之利润及利润分配!A289)</f>
        <v>0</v>
      </c>
      <c r="B289" s="2092">
        <f>IF(未审附注之利润及利润分配!B289="",0,未审附注之利润及利润分配!B289)</f>
        <v>0</v>
      </c>
      <c r="C289" s="2092">
        <f>IF(未审附注之利润及利润分配!C289="",0,未审附注之利润及利润分配!C289)</f>
        <v>0</v>
      </c>
      <c r="D289" s="2085">
        <f>IF(未审附注之利润及利润分配!D289="",0,未审附注之利润及利润分配!D289)</f>
        <v>0</v>
      </c>
      <c r="E289" s="2111">
        <f>IF(未审附注之利润及利润分配!E289="",0,未审附注之利润及利润分配!E289)</f>
        <v>0</v>
      </c>
      <c r="F289" s="2085">
        <f>IF(未审附注之利润及利润分配!F289="",0,未审附注之利润及利润分配!F289)</f>
        <v>0</v>
      </c>
      <c r="G289" s="2111">
        <f>IF(未审附注之利润及利润分配!G289="",0,未审附注之利润及利润分配!G289)</f>
        <v>0</v>
      </c>
      <c r="H289" s="2086" t="s">
        <v>1388</v>
      </c>
    </row>
    <row r="290" spans="1:8">
      <c r="A290" s="2092">
        <f>IF(未审附注之利润及利润分配!A290="",0,未审附注之利润及利润分配!A290)</f>
        <v>0</v>
      </c>
      <c r="B290" s="2092">
        <f>IF(未审附注之利润及利润分配!B290="",0,未审附注之利润及利润分配!B290)</f>
        <v>0</v>
      </c>
      <c r="C290" s="2092">
        <f>IF(未审附注之利润及利润分配!C290="",0,未审附注之利润及利润分配!C290)</f>
        <v>0</v>
      </c>
      <c r="D290" s="2085">
        <f>IF(未审附注之利润及利润分配!D290="",0,未审附注之利润及利润分配!D290)</f>
        <v>0</v>
      </c>
      <c r="E290" s="2111">
        <f>IF(未审附注之利润及利润分配!E290="",0,未审附注之利润及利润分配!E290)</f>
        <v>0</v>
      </c>
      <c r="F290" s="2085">
        <f>IF(未审附注之利润及利润分配!F290="",0,未审附注之利润及利润分配!F290)</f>
        <v>0</v>
      </c>
      <c r="G290" s="2111">
        <f>IF(未审附注之利润及利润分配!G290="",0,未审附注之利润及利润分配!G290)</f>
        <v>0</v>
      </c>
      <c r="H290" s="2086" t="s">
        <v>1388</v>
      </c>
    </row>
    <row r="291" spans="1:8">
      <c r="A291" s="2092">
        <f>IF(未审附注之利润及利润分配!A291="",0,未审附注之利润及利润分配!A291)</f>
        <v>0</v>
      </c>
      <c r="B291" s="2092">
        <f>IF(未审附注之利润及利润分配!B291="",0,未审附注之利润及利润分配!B291)</f>
        <v>0</v>
      </c>
      <c r="C291" s="2092">
        <f>IF(未审附注之利润及利润分配!C291="",0,未审附注之利润及利润分配!C291)</f>
        <v>0</v>
      </c>
      <c r="D291" s="2085">
        <f>IF(未审附注之利润及利润分配!D291="",0,未审附注之利润及利润分配!D291)</f>
        <v>0</v>
      </c>
      <c r="E291" s="2111">
        <f>IF(未审附注之利润及利润分配!E291="",0,未审附注之利润及利润分配!E291)</f>
        <v>0</v>
      </c>
      <c r="F291" s="2085">
        <f>IF(未审附注之利润及利润分配!F291="",0,未审附注之利润及利润分配!F291)</f>
        <v>0</v>
      </c>
      <c r="G291" s="2111">
        <f>IF(未审附注之利润及利润分配!G291="",0,未审附注之利润及利润分配!G291)</f>
        <v>0</v>
      </c>
      <c r="H291" s="2086" t="s">
        <v>1388</v>
      </c>
    </row>
    <row r="292" spans="1:8">
      <c r="A292" s="2082" t="s">
        <v>384</v>
      </c>
      <c r="B292" s="2048"/>
      <c r="C292" s="2048"/>
      <c r="D292" s="2048">
        <f>ROUND(SUM(D282:D291),2)</f>
        <v>0</v>
      </c>
      <c r="E292" s="2111">
        <f>IF(未审附注之利润及利润分配!E292="",0,未审附注之利润及利润分配!E292)</f>
        <v>0</v>
      </c>
      <c r="F292" s="2048">
        <f>ROUND(SUM(F282:F291),2)</f>
        <v>0</v>
      </c>
      <c r="G292" s="2111">
        <f>IF(未审附注之利润及利润分配!G292="",0,未审附注之利润及利润分配!G292)</f>
        <v>0</v>
      </c>
      <c r="H292" s="2086" t="s">
        <v>1389</v>
      </c>
    </row>
    <row r="293" spans="1:8">
      <c r="A293" s="2080"/>
      <c r="B293" s="2080"/>
      <c r="C293" s="2080"/>
      <c r="D293" s="2080"/>
      <c r="E293" s="2080"/>
      <c r="F293" s="2080"/>
      <c r="G293" s="2080"/>
      <c r="H293" s="2086" t="s">
        <v>629</v>
      </c>
    </row>
  </sheetData>
  <mergeCells count="7">
    <mergeCell ref="A1:G1"/>
    <mergeCell ref="B4:D4"/>
    <mergeCell ref="E4:G4"/>
    <mergeCell ref="B11:D11"/>
    <mergeCell ref="E11:G11"/>
    <mergeCell ref="A4:A5"/>
    <mergeCell ref="A11:A12"/>
  </mergeCells>
  <pageMargins left="0.75" right="0.75" top="1" bottom="1" header="0.5" footer="0.5"/>
  <headerFooter alignWithMargins="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5"/>
  <sheetViews>
    <sheetView showGridLines="0" showZeros="0" workbookViewId="0">
      <pane xSplit="2" ySplit="5" topLeftCell="C6" activePane="bottomRight" state="frozen"/>
      <selection/>
      <selection pane="topRight"/>
      <selection pane="bottomLeft"/>
      <selection pane="bottomRight" activeCell="C7" sqref="C7"/>
    </sheetView>
  </sheetViews>
  <sheetFormatPr defaultColWidth="9" defaultRowHeight="12.75"/>
  <cols>
    <col min="1" max="1" width="21.875" style="2012" customWidth="1"/>
    <col min="2" max="2" width="4.5" style="2010" customWidth="1"/>
    <col min="3" max="8" width="10.875" style="2013" customWidth="1"/>
    <col min="9" max="16384" width="9" style="2012"/>
  </cols>
  <sheetData>
    <row r="1" ht="27.75" customHeight="1" spans="1:8">
      <c r="A1" s="1777" t="s">
        <v>1534</v>
      </c>
      <c r="B1" s="1777"/>
      <c r="C1" s="1777"/>
      <c r="D1" s="1777"/>
      <c r="E1" s="1777"/>
      <c r="F1" s="1777"/>
      <c r="G1" s="1777"/>
      <c r="H1" s="1777"/>
    </row>
    <row r="2" ht="15" customHeight="1" spans="1:9">
      <c r="A2" s="1879" t="str">
        <f>IF(OR(C2&lt;&gt;0,D2&lt;&gt;0,F2&lt;&gt;0,G2&lt;&gt;0),"对应期间报表数不平，相差：","")</f>
        <v/>
      </c>
      <c r="B2" s="1879"/>
      <c r="C2" s="1779">
        <f>ROUND(C48-C96,2)</f>
        <v>0</v>
      </c>
      <c r="D2" s="1779"/>
      <c r="E2" s="1779"/>
      <c r="F2" s="1779">
        <f>ROUND(F48-F96,2)</f>
        <v>0</v>
      </c>
      <c r="G2" s="1779"/>
      <c r="H2" s="1779"/>
      <c r="I2" s="2030"/>
    </row>
    <row r="3" ht="15" customHeight="1" spans="1:9">
      <c r="A3" s="2016" t="str">
        <f>"编制单位："&amp;参数表!C3</f>
        <v>编制单位：石嘴山市深阳蓝光市政工程有限公司</v>
      </c>
      <c r="B3" s="2017"/>
      <c r="C3" s="1811"/>
      <c r="D3" s="2057"/>
      <c r="E3" s="2058">
        <f>参数表!G7</f>
        <v>42735</v>
      </c>
      <c r="F3" s="1880"/>
      <c r="G3" s="1881"/>
      <c r="H3" s="1811" t="s">
        <v>1391</v>
      </c>
      <c r="I3" s="2030"/>
    </row>
    <row r="4" s="2009" customFormat="1" ht="14.25" customHeight="1" spans="1:9">
      <c r="A4" s="1885" t="s">
        <v>191</v>
      </c>
      <c r="B4" s="1886" t="s">
        <v>61</v>
      </c>
      <c r="C4" s="1887" t="str">
        <f>IF(参数表!$C$12="本期间为特定年","年末余额","期末余额")</f>
        <v>年末余额</v>
      </c>
      <c r="D4" s="1887"/>
      <c r="E4" s="1887"/>
      <c r="F4" s="1887" t="str">
        <f>IF(参数表!$C$12="本期间为特定年","年初余额","期初余额")</f>
        <v>年初余额</v>
      </c>
      <c r="G4" s="1887"/>
      <c r="H4" s="1888"/>
      <c r="I4" s="2030"/>
    </row>
    <row r="5" s="2009" customFormat="1" ht="14.25" customHeight="1" spans="1:9">
      <c r="A5" s="1889"/>
      <c r="B5" s="1890"/>
      <c r="C5" s="1891" t="s">
        <v>1535</v>
      </c>
      <c r="D5" s="1891" t="s">
        <v>1536</v>
      </c>
      <c r="E5" s="1891" t="s">
        <v>1394</v>
      </c>
      <c r="F5" s="1891" t="s">
        <v>1535</v>
      </c>
      <c r="G5" s="1891" t="s">
        <v>1536</v>
      </c>
      <c r="H5" s="1892" t="s">
        <v>1394</v>
      </c>
      <c r="I5" s="2030"/>
    </row>
    <row r="6" s="2010" customFormat="1" ht="14.25" customHeight="1" spans="1:9">
      <c r="A6" s="1893" t="s">
        <v>193</v>
      </c>
      <c r="B6" s="2059"/>
      <c r="C6" s="2022"/>
      <c r="D6" s="1895"/>
      <c r="E6" s="1896"/>
      <c r="F6" s="1895"/>
      <c r="G6" s="1896"/>
      <c r="H6" s="1903"/>
      <c r="I6" s="2034"/>
    </row>
    <row r="7" s="2010" customFormat="1" ht="14.25" customHeight="1" spans="1:8">
      <c r="A7" s="1900" t="s">
        <v>195</v>
      </c>
      <c r="B7" s="2060"/>
      <c r="C7" s="1896">
        <f>ROUND(审定资负表!C7,2)</f>
        <v>0</v>
      </c>
      <c r="D7" s="1896">
        <f>审定附注之流动资产!D24</f>
        <v>0</v>
      </c>
      <c r="E7" s="1896">
        <f t="shared" ref="E7:E18" si="0">IF(D7="",0,ROUND(D7-C7,2))</f>
        <v>0</v>
      </c>
      <c r="F7" s="1896">
        <f>ROUND(审定资负表!D7,2)</f>
        <v>0</v>
      </c>
      <c r="G7" s="1896">
        <f>审定附注之流动资产!G24</f>
        <v>0</v>
      </c>
      <c r="H7" s="1903">
        <f>IF(G7="",0,ROUND(G7-F7,2))</f>
        <v>0</v>
      </c>
    </row>
    <row r="8" s="2010" customFormat="1" ht="14.25" customHeight="1" spans="1:8">
      <c r="A8" s="1900" t="s">
        <v>1395</v>
      </c>
      <c r="B8" s="2060"/>
      <c r="C8" s="1896">
        <f>ROUND(审定资负表!C8,2)</f>
        <v>0</v>
      </c>
      <c r="D8" s="1896">
        <f>审定附注之流动资产!B77</f>
        <v>0</v>
      </c>
      <c r="E8" s="1896">
        <f t="shared" si="0"/>
        <v>0</v>
      </c>
      <c r="F8" s="1896">
        <f>ROUND(审定资负表!D8,2)</f>
        <v>0</v>
      </c>
      <c r="G8" s="1896">
        <f>审定附注之流动资产!C77</f>
        <v>0</v>
      </c>
      <c r="H8" s="1903">
        <f t="shared" ref="H8:H18" si="1">IF(G8="",0,ROUND(G8-F8,2))</f>
        <v>0</v>
      </c>
    </row>
    <row r="9" s="2010" customFormat="1" ht="14.25" customHeight="1" spans="1:8">
      <c r="A9" s="1900" t="s">
        <v>199</v>
      </c>
      <c r="B9" s="2060"/>
      <c r="C9" s="1896">
        <f>ROUND(审定资负表!C9,2)</f>
        <v>0</v>
      </c>
      <c r="D9" s="1896">
        <f>审定附注之流动资产!B99</f>
        <v>0</v>
      </c>
      <c r="E9" s="1896">
        <f t="shared" si="0"/>
        <v>0</v>
      </c>
      <c r="F9" s="1896">
        <f>ROUND(审定资负表!D9,2)</f>
        <v>0</v>
      </c>
      <c r="G9" s="1896">
        <f>审定附注之流动资产!C99</f>
        <v>0</v>
      </c>
      <c r="H9" s="1903">
        <f t="shared" si="1"/>
        <v>0</v>
      </c>
    </row>
    <row r="10" s="2010" customFormat="1" ht="14.25" customHeight="1" spans="1:8">
      <c r="A10" s="1900" t="s">
        <v>201</v>
      </c>
      <c r="B10" s="2060"/>
      <c r="C10" s="1896">
        <f>ROUND(审定资负表!C10,2)</f>
        <v>0</v>
      </c>
      <c r="D10" s="1896">
        <f>审定附注之流动资产!B244-审定附注之流动资产!D244</f>
        <v>0</v>
      </c>
      <c r="E10" s="1896">
        <f t="shared" si="0"/>
        <v>0</v>
      </c>
      <c r="F10" s="1896">
        <f>ROUND(审定资负表!D10,2)</f>
        <v>0</v>
      </c>
      <c r="G10" s="1896">
        <f>审定附注之流动资产!F244-审定附注之流动资产!H244</f>
        <v>0</v>
      </c>
      <c r="H10" s="1903">
        <f t="shared" si="1"/>
        <v>0</v>
      </c>
    </row>
    <row r="11" s="2010" customFormat="1" ht="14.25" customHeight="1" spans="1:8">
      <c r="A11" s="1900" t="s">
        <v>203</v>
      </c>
      <c r="B11" s="2060"/>
      <c r="C11" s="1896">
        <f>ROUND(审定资负表!C11,2)</f>
        <v>0</v>
      </c>
      <c r="D11" s="1896">
        <f>审定附注之流动资产!B526</f>
        <v>0</v>
      </c>
      <c r="E11" s="1896">
        <f t="shared" si="0"/>
        <v>0</v>
      </c>
      <c r="F11" s="1896">
        <f>ROUND(审定资负表!D11,2)</f>
        <v>0</v>
      </c>
      <c r="G11" s="1896">
        <f>审定附注之流动资产!D526</f>
        <v>0</v>
      </c>
      <c r="H11" s="1903">
        <f t="shared" si="1"/>
        <v>0</v>
      </c>
    </row>
    <row r="12" s="2010" customFormat="1" ht="14.25" customHeight="1" spans="1:8">
      <c r="A12" s="1900" t="s">
        <v>205</v>
      </c>
      <c r="B12" s="2060"/>
      <c r="C12" s="1896">
        <f>ROUND(审定资负表!C12,2)</f>
        <v>0</v>
      </c>
      <c r="D12" s="1896">
        <f>审定附注之流动资产!B231</f>
        <v>0</v>
      </c>
      <c r="E12" s="1896">
        <f t="shared" si="0"/>
        <v>0</v>
      </c>
      <c r="F12" s="1896">
        <f>ROUND(审定资负表!D12,2)</f>
        <v>0</v>
      </c>
      <c r="G12" s="1896">
        <f>审定附注之流动资产!C231</f>
        <v>0</v>
      </c>
      <c r="H12" s="1903">
        <f t="shared" si="1"/>
        <v>0</v>
      </c>
    </row>
    <row r="13" s="2010" customFormat="1" ht="14.25" customHeight="1" spans="1:8">
      <c r="A13" s="1900" t="s">
        <v>207</v>
      </c>
      <c r="B13" s="2060"/>
      <c r="C13" s="1896">
        <f>ROUND(审定资负表!C13,2)</f>
        <v>0</v>
      </c>
      <c r="D13" s="1896">
        <f>审定附注之流动资产!B200</f>
        <v>0</v>
      </c>
      <c r="E13" s="1896">
        <f t="shared" si="0"/>
        <v>0</v>
      </c>
      <c r="F13" s="1896">
        <f>ROUND(审定资负表!D13,2)</f>
        <v>0</v>
      </c>
      <c r="G13" s="1896">
        <f>审定附注之流动资产!C200</f>
        <v>0</v>
      </c>
      <c r="H13" s="1903">
        <f t="shared" si="1"/>
        <v>0</v>
      </c>
    </row>
    <row r="14" s="2010" customFormat="1" ht="14.25" customHeight="1" spans="1:8">
      <c r="A14" s="1900" t="s">
        <v>209</v>
      </c>
      <c r="B14" s="2060"/>
      <c r="C14" s="1896">
        <f>ROUND(审定资负表!C14,2)</f>
        <v>0</v>
      </c>
      <c r="D14" s="1896">
        <f>审定附注之流动资产!B386-审定附注之流动资产!D386</f>
        <v>0</v>
      </c>
      <c r="E14" s="1896">
        <f t="shared" si="0"/>
        <v>0</v>
      </c>
      <c r="F14" s="1896">
        <f>ROUND(审定资负表!D14,2)</f>
        <v>0</v>
      </c>
      <c r="G14" s="1896">
        <f>审定附注之流动资产!F386-审定附注之流动资产!H386</f>
        <v>0</v>
      </c>
      <c r="H14" s="1903">
        <f t="shared" si="1"/>
        <v>0</v>
      </c>
    </row>
    <row r="15" s="2010" customFormat="1" ht="14.25" customHeight="1" spans="1:8">
      <c r="A15" s="1900" t="s">
        <v>211</v>
      </c>
      <c r="B15" s="2060"/>
      <c r="C15" s="1896">
        <f>ROUND(审定资负表!C15,2)</f>
        <v>56453052.95</v>
      </c>
      <c r="D15" s="1896">
        <f>审定附注之流动资产!F604-审定附注之流动资产!F620</f>
        <v>0</v>
      </c>
      <c r="E15" s="1896">
        <f t="shared" si="0"/>
        <v>-56453052.95</v>
      </c>
      <c r="F15" s="1896">
        <f>ROUND(审定资负表!D15,2)</f>
        <v>0</v>
      </c>
      <c r="G15" s="1896">
        <f>审定附注之流动资产!B604-审定附注之流动资产!B620</f>
        <v>0</v>
      </c>
      <c r="H15" s="1903">
        <f t="shared" si="1"/>
        <v>0</v>
      </c>
    </row>
    <row r="16" s="2010" customFormat="1" ht="14.25" customHeight="1" spans="1:8">
      <c r="A16" s="1900" t="s">
        <v>213</v>
      </c>
      <c r="B16" s="2060"/>
      <c r="C16" s="1896">
        <f>ROUND(审定资负表!C16,2)</f>
        <v>0</v>
      </c>
      <c r="D16" s="1896"/>
      <c r="E16" s="1896">
        <f t="shared" si="0"/>
        <v>0</v>
      </c>
      <c r="F16" s="1896">
        <f>ROUND(审定资负表!D16,2)</f>
        <v>0</v>
      </c>
      <c r="G16" s="1896"/>
      <c r="H16" s="1903">
        <f t="shared" si="1"/>
        <v>0</v>
      </c>
    </row>
    <row r="17" s="2010" customFormat="1" ht="14.25" customHeight="1" spans="1:8">
      <c r="A17" s="1900" t="s">
        <v>215</v>
      </c>
      <c r="B17" s="2060"/>
      <c r="C17" s="1896">
        <f>ROUND(审定资负表!C17,2)</f>
        <v>0</v>
      </c>
      <c r="D17" s="1896">
        <f>审定附注之流动资产!B635</f>
        <v>0</v>
      </c>
      <c r="E17" s="1896">
        <f t="shared" si="0"/>
        <v>0</v>
      </c>
      <c r="F17" s="1896">
        <f>ROUND(审定资负表!D17,2)</f>
        <v>0</v>
      </c>
      <c r="G17" s="1896">
        <f>审定附注之流动资产!C635</f>
        <v>0</v>
      </c>
      <c r="H17" s="1903">
        <f t="shared" si="1"/>
        <v>0</v>
      </c>
    </row>
    <row r="18" s="2010" customFormat="1" ht="14.25" customHeight="1" spans="1:8">
      <c r="A18" s="1900" t="str">
        <f>IF(未审资负表!A18="","",未审资负表!A18)</f>
        <v>持有待售资产</v>
      </c>
      <c r="B18" s="2060"/>
      <c r="C18" s="1896">
        <f>ROUND(审定资负表!C18,2)</f>
        <v>0</v>
      </c>
      <c r="D18" s="1896"/>
      <c r="E18" s="1896">
        <f t="shared" si="0"/>
        <v>0</v>
      </c>
      <c r="F18" s="1896">
        <f>ROUND(审定资负表!D18,2)</f>
        <v>0</v>
      </c>
      <c r="G18" s="1896"/>
      <c r="H18" s="1903">
        <f t="shared" si="1"/>
        <v>0</v>
      </c>
    </row>
    <row r="19" s="2010" customFormat="1" ht="14.25" customHeight="1" spans="1:8">
      <c r="A19" s="1905" t="s">
        <v>219</v>
      </c>
      <c r="B19" s="1906"/>
      <c r="C19" s="2023">
        <f>ROUND(SUM(C7:C18),2)</f>
        <v>56453052.95</v>
      </c>
      <c r="D19" s="2023"/>
      <c r="E19" s="2023"/>
      <c r="F19" s="2023">
        <f>ROUND(SUM(F7:F18),2)</f>
        <v>0</v>
      </c>
      <c r="G19" s="2023"/>
      <c r="H19" s="2036"/>
    </row>
    <row r="20" s="2010" customFormat="1" ht="14.25" customHeight="1" spans="1:8">
      <c r="A20" s="1907"/>
      <c r="B20" s="2060"/>
      <c r="C20" s="1896"/>
      <c r="D20" s="1896"/>
      <c r="E20" s="1896"/>
      <c r="F20" s="1896"/>
      <c r="G20" s="1896"/>
      <c r="H20" s="1903"/>
    </row>
    <row r="21" s="2010" customFormat="1" ht="14.25" customHeight="1" spans="1:8">
      <c r="A21" s="1893" t="s">
        <v>222</v>
      </c>
      <c r="B21" s="2059"/>
      <c r="C21" s="1896"/>
      <c r="D21" s="1896"/>
      <c r="E21" s="1896"/>
      <c r="F21" s="1896"/>
      <c r="G21" s="1896"/>
      <c r="H21" s="1903"/>
    </row>
    <row r="22" s="2010" customFormat="1" ht="14.25" customHeight="1" spans="1:8">
      <c r="A22" s="1900" t="s">
        <v>223</v>
      </c>
      <c r="B22" s="2060"/>
      <c r="C22" s="1896">
        <f>ROUND(审定资负表!C22,2)</f>
        <v>0</v>
      </c>
      <c r="D22" s="1896">
        <f>审定附注之非流动资产!B9</f>
        <v>0</v>
      </c>
      <c r="E22" s="1896">
        <f t="shared" ref="E22:E39" si="2">IF(D22="",0,ROUND(D22-C22,2))</f>
        <v>0</v>
      </c>
      <c r="F22" s="1896">
        <f>ROUND(审定资负表!D22,2)</f>
        <v>0</v>
      </c>
      <c r="G22" s="1896">
        <f>审定附注之非流动资产!E9</f>
        <v>0</v>
      </c>
      <c r="H22" s="1903">
        <f t="shared" ref="H22:H39" si="3">IF(G22="",0,ROUND(G22-F22,2))</f>
        <v>0</v>
      </c>
    </row>
    <row r="23" s="2010" customFormat="1" ht="14.25" customHeight="1" spans="1:8">
      <c r="A23" s="1900" t="s">
        <v>225</v>
      </c>
      <c r="B23" s="2060"/>
      <c r="C23" s="1896">
        <f>ROUND(审定资负表!C23,2)</f>
        <v>0</v>
      </c>
      <c r="D23" s="1896">
        <f>审定附注之非流动资产!B39</f>
        <v>0</v>
      </c>
      <c r="E23" s="1896">
        <f t="shared" si="2"/>
        <v>0</v>
      </c>
      <c r="F23" s="1896">
        <f>ROUND(审定资负表!D23,2)</f>
        <v>0</v>
      </c>
      <c r="G23" s="1896">
        <f>审定附注之非流动资产!C39</f>
        <v>0</v>
      </c>
      <c r="H23" s="1903">
        <f t="shared" si="3"/>
        <v>0</v>
      </c>
    </row>
    <row r="24" s="2010" customFormat="1" ht="14.25" customHeight="1" spans="1:8">
      <c r="A24" s="1900" t="s">
        <v>227</v>
      </c>
      <c r="B24" s="2060"/>
      <c r="C24" s="1896">
        <f>ROUND(审定资负表!C24,2)</f>
        <v>0</v>
      </c>
      <c r="D24" s="1896">
        <f>审定附注之非流动资产!B62</f>
        <v>0</v>
      </c>
      <c r="E24" s="1896">
        <f t="shared" si="2"/>
        <v>0</v>
      </c>
      <c r="F24" s="1896">
        <f>ROUND(审定资负表!D24,2)</f>
        <v>0</v>
      </c>
      <c r="G24" s="1896">
        <f>审定附注之非流动资产!C62</f>
        <v>0</v>
      </c>
      <c r="H24" s="1903">
        <f t="shared" si="3"/>
        <v>0</v>
      </c>
    </row>
    <row r="25" s="2010" customFormat="1" ht="14.25" customHeight="1" spans="1:8">
      <c r="A25" s="1900" t="s">
        <v>229</v>
      </c>
      <c r="B25" s="2060"/>
      <c r="C25" s="1896">
        <f>ROUND(审定资负表!C25,2)</f>
        <v>0</v>
      </c>
      <c r="D25" s="1896">
        <f>审定附注之非流动资产!F94-审定附注之非流动资产!F124</f>
        <v>0</v>
      </c>
      <c r="E25" s="1896">
        <f t="shared" si="2"/>
        <v>0</v>
      </c>
      <c r="F25" s="1896">
        <f>ROUND(审定资负表!D25,2)</f>
        <v>0</v>
      </c>
      <c r="G25" s="1896">
        <f>审定附注之非流动资产!C94-审定附注之非流动资产!C124</f>
        <v>0</v>
      </c>
      <c r="H25" s="1903">
        <f t="shared" si="3"/>
        <v>0</v>
      </c>
    </row>
    <row r="26" s="2010" customFormat="1" ht="14.25" customHeight="1" spans="1:8">
      <c r="A26" s="1900" t="s">
        <v>231</v>
      </c>
      <c r="B26" s="2060"/>
      <c r="C26" s="1896">
        <f>ROUND(审定资负表!C26,2)</f>
        <v>0</v>
      </c>
      <c r="D26" s="1896">
        <f>审定附注之非流动资产!E199+审定附注之非流动资产!E217</f>
        <v>0</v>
      </c>
      <c r="E26" s="1896">
        <f t="shared" si="2"/>
        <v>0</v>
      </c>
      <c r="F26" s="1896">
        <f>ROUND(审定资负表!D26,2)</f>
        <v>0</v>
      </c>
      <c r="G26" s="1896">
        <f>审定附注之非流动资产!B199+审定附注之非流动资产!B217</f>
        <v>0</v>
      </c>
      <c r="H26" s="1903">
        <f t="shared" si="3"/>
        <v>0</v>
      </c>
    </row>
    <row r="27" s="2010" customFormat="1" ht="14.25" customHeight="1" spans="1:8">
      <c r="A27" s="1900" t="s">
        <v>233</v>
      </c>
      <c r="B27" s="2060"/>
      <c r="C27" s="1896">
        <f>ROUND(审定资负表!C27,2)</f>
        <v>0</v>
      </c>
      <c r="D27" s="1896">
        <f>审定附注之非流动资产!E257</f>
        <v>0</v>
      </c>
      <c r="E27" s="1896">
        <f t="shared" si="2"/>
        <v>0</v>
      </c>
      <c r="F27" s="1896">
        <f>ROUND(审定资负表!D27,2)</f>
        <v>0</v>
      </c>
      <c r="G27" s="1896">
        <f>审定附注之非流动资产!B257</f>
        <v>0</v>
      </c>
      <c r="H27" s="1903">
        <f t="shared" si="3"/>
        <v>0</v>
      </c>
    </row>
    <row r="28" s="2010" customFormat="1" ht="14.25" customHeight="1" spans="1:8">
      <c r="A28" s="1900" t="s">
        <v>235</v>
      </c>
      <c r="B28" s="2060"/>
      <c r="C28" s="1896">
        <f>ROUND(审定资负表!C28,2)</f>
        <v>0</v>
      </c>
      <c r="D28" s="1896">
        <f>审定附注之非流动资产!G331-审定附注之非流动资产!F359</f>
        <v>0</v>
      </c>
      <c r="E28" s="1896">
        <f t="shared" si="2"/>
        <v>0</v>
      </c>
      <c r="F28" s="1896">
        <f>ROUND(审定资负表!D28,2)</f>
        <v>0</v>
      </c>
      <c r="G28" s="1896">
        <f>审定附注之非流动资产!C331-审定附注之非流动资产!B359</f>
        <v>0</v>
      </c>
      <c r="H28" s="1903">
        <f t="shared" si="3"/>
        <v>0</v>
      </c>
    </row>
    <row r="29" s="2010" customFormat="1" ht="14.25" customHeight="1" spans="1:8">
      <c r="A29" s="1900" t="s">
        <v>237</v>
      </c>
      <c r="B29" s="2060"/>
      <c r="C29" s="1896">
        <f>ROUND(审定资负表!C29,2)</f>
        <v>0</v>
      </c>
      <c r="D29" s="1896">
        <f>审定附注之非流动资产!B374</f>
        <v>0</v>
      </c>
      <c r="E29" s="1896">
        <f t="shared" si="2"/>
        <v>0</v>
      </c>
      <c r="F29" s="1896">
        <f>ROUND(审定资负表!D29,2)</f>
        <v>0</v>
      </c>
      <c r="G29" s="1896">
        <f>审定附注之非流动资产!C374</f>
        <v>0</v>
      </c>
      <c r="H29" s="1903">
        <f t="shared" si="3"/>
        <v>0</v>
      </c>
    </row>
    <row r="30" s="2010" customFormat="1" ht="14.25" customHeight="1" spans="1:8">
      <c r="A30" s="1900" t="s">
        <v>239</v>
      </c>
      <c r="B30" s="2060"/>
      <c r="C30" s="1896">
        <f>ROUND(审定资负表!C30,2)</f>
        <v>0</v>
      </c>
      <c r="D30" s="1896">
        <f>审定附注之非流动资产!B389</f>
        <v>0</v>
      </c>
      <c r="E30" s="1896">
        <f t="shared" si="2"/>
        <v>0</v>
      </c>
      <c r="F30" s="1896">
        <f>ROUND(审定资负表!D30,2)</f>
        <v>0</v>
      </c>
      <c r="G30" s="1896">
        <f>审定附注之非流动资产!C389</f>
        <v>0</v>
      </c>
      <c r="H30" s="1903">
        <f t="shared" si="3"/>
        <v>0</v>
      </c>
    </row>
    <row r="31" s="2010" customFormat="1" ht="14.25" customHeight="1" spans="1:8">
      <c r="A31" s="1900" t="s">
        <v>241</v>
      </c>
      <c r="B31" s="2060"/>
      <c r="C31" s="1896">
        <f>ROUND(审定资负表!C31,2)</f>
        <v>0</v>
      </c>
      <c r="D31" s="1896">
        <f>审定附注之非流动资产!E447</f>
        <v>0</v>
      </c>
      <c r="E31" s="1896">
        <f t="shared" si="2"/>
        <v>0</v>
      </c>
      <c r="F31" s="1896">
        <f>ROUND(审定资负表!D31,2)</f>
        <v>0</v>
      </c>
      <c r="G31" s="1896">
        <f>审定附注之非流动资产!B447</f>
        <v>0</v>
      </c>
      <c r="H31" s="1903">
        <f t="shared" si="3"/>
        <v>0</v>
      </c>
    </row>
    <row r="32" s="2010" customFormat="1" ht="14.25" customHeight="1" spans="1:8">
      <c r="A32" s="1900" t="s">
        <v>243</v>
      </c>
      <c r="B32" s="2060"/>
      <c r="C32" s="1896">
        <f>ROUND(审定资负表!C32,2)</f>
        <v>0</v>
      </c>
      <c r="D32" s="1896">
        <f>审定附注之非流动资产!E516</f>
        <v>0</v>
      </c>
      <c r="E32" s="1896">
        <f t="shared" si="2"/>
        <v>0</v>
      </c>
      <c r="F32" s="1896">
        <f>ROUND(审定资负表!D32,2)</f>
        <v>0</v>
      </c>
      <c r="G32" s="1896">
        <f>审定附注之非流动资产!B516</f>
        <v>0</v>
      </c>
      <c r="H32" s="1903">
        <f t="shared" si="3"/>
        <v>0</v>
      </c>
    </row>
    <row r="33" s="2010" customFormat="1" ht="14.25" customHeight="1" spans="1:8">
      <c r="A33" s="1900" t="s">
        <v>244</v>
      </c>
      <c r="B33" s="2060"/>
      <c r="C33" s="1896">
        <f>ROUND(审定资负表!C33,2)</f>
        <v>0</v>
      </c>
      <c r="D33" s="1896">
        <f>审定附注之非流动资产!E561</f>
        <v>0</v>
      </c>
      <c r="E33" s="1896">
        <f t="shared" si="2"/>
        <v>0</v>
      </c>
      <c r="F33" s="1896">
        <f>ROUND(审定资负表!D33,2)</f>
        <v>0</v>
      </c>
      <c r="G33" s="1896">
        <f>审定附注之非流动资产!B561</f>
        <v>0</v>
      </c>
      <c r="H33" s="1903">
        <f t="shared" si="3"/>
        <v>0</v>
      </c>
    </row>
    <row r="34" s="2010" customFormat="1" ht="14.25" customHeight="1" spans="1:8">
      <c r="A34" s="1900" t="s">
        <v>246</v>
      </c>
      <c r="B34" s="2060"/>
      <c r="C34" s="1896">
        <f>ROUND(审定资负表!C34,2)</f>
        <v>0</v>
      </c>
      <c r="D34" s="1896"/>
      <c r="E34" s="1896">
        <f t="shared" si="2"/>
        <v>0</v>
      </c>
      <c r="F34" s="1896">
        <f>ROUND(审定资负表!D34,2)</f>
        <v>0</v>
      </c>
      <c r="G34" s="1896"/>
      <c r="H34" s="1903">
        <f t="shared" si="3"/>
        <v>0</v>
      </c>
    </row>
    <row r="35" s="2010" customFormat="1" ht="14.25" customHeight="1" spans="1:8">
      <c r="A35" s="1900" t="s">
        <v>247</v>
      </c>
      <c r="B35" s="2060"/>
      <c r="C35" s="1896">
        <f>ROUND(审定资负表!C35,2)</f>
        <v>0</v>
      </c>
      <c r="D35" s="1896">
        <f>审定附注之非流动资产!E614</f>
        <v>0</v>
      </c>
      <c r="E35" s="1896">
        <f t="shared" si="2"/>
        <v>0</v>
      </c>
      <c r="F35" s="1896">
        <f>ROUND(审定资负表!D35,2)</f>
        <v>0</v>
      </c>
      <c r="G35" s="1896">
        <f>审定附注之非流动资产!B614</f>
        <v>0</v>
      </c>
      <c r="H35" s="1903">
        <f t="shared" si="3"/>
        <v>0</v>
      </c>
    </row>
    <row r="36" s="2010" customFormat="1" ht="14.25" customHeight="1" spans="1:8">
      <c r="A36" s="1900" t="s">
        <v>249</v>
      </c>
      <c r="B36" s="2060"/>
      <c r="C36" s="1896">
        <f>ROUND(审定资负表!C36,2)</f>
        <v>0</v>
      </c>
      <c r="D36" s="1896">
        <f>审定附注之非流动资产!F629</f>
        <v>0</v>
      </c>
      <c r="E36" s="1896">
        <f t="shared" si="2"/>
        <v>0</v>
      </c>
      <c r="F36" s="1896">
        <f>ROUND(审定资负表!D36,2)</f>
        <v>0</v>
      </c>
      <c r="G36" s="1896">
        <f>审定附注之非流动资产!C629</f>
        <v>0</v>
      </c>
      <c r="H36" s="1903">
        <f t="shared" si="3"/>
        <v>0</v>
      </c>
    </row>
    <row r="37" s="2010" customFormat="1" ht="14.25" customHeight="1" spans="1:8">
      <c r="A37" s="1900" t="s">
        <v>251</v>
      </c>
      <c r="B37" s="2060"/>
      <c r="C37" s="1896">
        <f>ROUND(审定资负表!C37,2)</f>
        <v>0</v>
      </c>
      <c r="D37" s="1896">
        <f>审定附注之非流动资产!B660</f>
        <v>0</v>
      </c>
      <c r="E37" s="1896">
        <f t="shared" si="2"/>
        <v>0</v>
      </c>
      <c r="F37" s="1896">
        <f>ROUND(审定资负表!D37,2)</f>
        <v>0</v>
      </c>
      <c r="G37" s="1896">
        <f>审定附注之非流动资产!C660</f>
        <v>0</v>
      </c>
      <c r="H37" s="1903">
        <f t="shared" si="3"/>
        <v>0</v>
      </c>
    </row>
    <row r="38" s="2010" customFormat="1" ht="14.25" customHeight="1" spans="1:8">
      <c r="A38" s="1900" t="s">
        <v>253</v>
      </c>
      <c r="B38" s="2060"/>
      <c r="C38" s="1896">
        <f>ROUND(审定资负表!C38,2)</f>
        <v>0</v>
      </c>
      <c r="D38" s="1896">
        <f>审定附注之非流动资产!B644</f>
        <v>0</v>
      </c>
      <c r="E38" s="1896">
        <f t="shared" si="2"/>
        <v>0</v>
      </c>
      <c r="F38" s="1896">
        <f>ROUND(审定资负表!D38,2)</f>
        <v>0</v>
      </c>
      <c r="G38" s="1896">
        <f>审定附注之非流动资产!C644</f>
        <v>0</v>
      </c>
      <c r="H38" s="1903">
        <f t="shared" si="3"/>
        <v>0</v>
      </c>
    </row>
    <row r="39" s="2010" customFormat="1" ht="14.25" customHeight="1" spans="1:8">
      <c r="A39" s="1900" t="str">
        <f>IF(未审资负表!A39="","",未审资负表!A39)</f>
        <v/>
      </c>
      <c r="B39" s="2060"/>
      <c r="C39" s="1896">
        <f>ROUND(审定资负表!C39,2)</f>
        <v>0</v>
      </c>
      <c r="D39" s="1896"/>
      <c r="E39" s="1896">
        <f t="shared" si="2"/>
        <v>0</v>
      </c>
      <c r="F39" s="1896">
        <f>ROUND(审定资负表!D39,2)</f>
        <v>0</v>
      </c>
      <c r="G39" s="1896"/>
      <c r="H39" s="1903">
        <f t="shared" si="3"/>
        <v>0</v>
      </c>
    </row>
    <row r="40" s="2010" customFormat="1" ht="14.25" customHeight="1" spans="1:8">
      <c r="A40" s="1905" t="s">
        <v>256</v>
      </c>
      <c r="B40" s="2060"/>
      <c r="C40" s="2023">
        <f>ROUND(SUM(C22:C39),2)</f>
        <v>0</v>
      </c>
      <c r="D40" s="2023"/>
      <c r="E40" s="2023"/>
      <c r="F40" s="2023">
        <f>ROUND(SUM(F22:F39),2)</f>
        <v>0</v>
      </c>
      <c r="G40" s="2023"/>
      <c r="H40" s="2036"/>
    </row>
    <row r="41" s="2010" customFormat="1" ht="14.25" customHeight="1" spans="1:8">
      <c r="A41" s="1917"/>
      <c r="B41" s="2060"/>
      <c r="C41" s="1896"/>
      <c r="D41" s="1896"/>
      <c r="E41" s="1896"/>
      <c r="F41" s="1896"/>
      <c r="G41" s="1896"/>
      <c r="H41" s="1903"/>
    </row>
    <row r="42" s="2010" customFormat="1" ht="14.25" customHeight="1" spans="1:8">
      <c r="A42" s="1917"/>
      <c r="B42" s="2060"/>
      <c r="C42" s="1896"/>
      <c r="D42" s="1896"/>
      <c r="E42" s="1896"/>
      <c r="F42" s="1896"/>
      <c r="G42" s="1896"/>
      <c r="H42" s="1903"/>
    </row>
    <row r="43" s="2010" customFormat="1" ht="14.25" customHeight="1" spans="1:8">
      <c r="A43" s="1917"/>
      <c r="B43" s="1906"/>
      <c r="C43" s="1896"/>
      <c r="D43" s="1896"/>
      <c r="E43" s="1896"/>
      <c r="F43" s="1896"/>
      <c r="G43" s="1896"/>
      <c r="H43" s="1903"/>
    </row>
    <row r="44" s="2010" customFormat="1" ht="14.25" customHeight="1" spans="1:8">
      <c r="A44" s="1917"/>
      <c r="B44" s="2060"/>
      <c r="C44" s="1896"/>
      <c r="D44" s="1896"/>
      <c r="E44" s="1896"/>
      <c r="F44" s="1896"/>
      <c r="G44" s="1896"/>
      <c r="H44" s="1903"/>
    </row>
    <row r="45" ht="14.25" customHeight="1" spans="1:8">
      <c r="A45" s="1917"/>
      <c r="B45" s="2060"/>
      <c r="C45" s="1896"/>
      <c r="D45" s="1896"/>
      <c r="E45" s="1896"/>
      <c r="F45" s="1896"/>
      <c r="G45" s="1896"/>
      <c r="H45" s="1903"/>
    </row>
    <row r="46" ht="14.25" customHeight="1" spans="1:8">
      <c r="A46" s="1917"/>
      <c r="B46" s="2060"/>
      <c r="C46" s="1896"/>
      <c r="D46" s="1896"/>
      <c r="E46" s="1896"/>
      <c r="F46" s="1896"/>
      <c r="G46" s="1896"/>
      <c r="H46" s="1903"/>
    </row>
    <row r="47" ht="14.25" customHeight="1" spans="1:8">
      <c r="A47" s="1917"/>
      <c r="B47" s="2060"/>
      <c r="C47" s="1896"/>
      <c r="D47" s="1896"/>
      <c r="E47" s="1896"/>
      <c r="F47" s="1896"/>
      <c r="G47" s="1896"/>
      <c r="H47" s="1903"/>
    </row>
    <row r="48" ht="14.25" customHeight="1" spans="1:8">
      <c r="A48" s="1921" t="s">
        <v>263</v>
      </c>
      <c r="B48" s="1922"/>
      <c r="C48" s="2024">
        <f>ROUND(C19+C40,2)</f>
        <v>56453052.95</v>
      </c>
      <c r="D48" s="2024"/>
      <c r="E48" s="2024"/>
      <c r="F48" s="2024">
        <f>ROUND(F19+F40,2)</f>
        <v>0</v>
      </c>
      <c r="G48" s="2024"/>
      <c r="H48" s="2061"/>
    </row>
    <row r="49" ht="27.75" customHeight="1" spans="1:8">
      <c r="A49" s="2062" t="s">
        <v>1537</v>
      </c>
      <c r="B49" s="2062"/>
      <c r="C49" s="2062"/>
      <c r="D49" s="2062"/>
      <c r="E49" s="2062"/>
      <c r="F49" s="2062"/>
      <c r="G49" s="2062"/>
      <c r="H49" s="2062"/>
    </row>
    <row r="50" ht="15" customHeight="1" spans="1:9">
      <c r="A50" s="1879"/>
      <c r="B50" s="1879"/>
      <c r="C50" s="1779"/>
      <c r="D50" s="1779"/>
      <c r="E50" s="1779"/>
      <c r="F50" s="1880"/>
      <c r="G50" s="1881"/>
      <c r="H50" s="1779"/>
      <c r="I50" s="2030"/>
    </row>
    <row r="51" ht="15" customHeight="1" spans="1:9">
      <c r="A51" s="2016" t="str">
        <f>"编制单位："&amp;参数表!C3</f>
        <v>编制单位：石嘴山市深阳蓝光市政工程有限公司</v>
      </c>
      <c r="B51" s="2017"/>
      <c r="C51" s="1880"/>
      <c r="D51" s="1880"/>
      <c r="E51" s="2058">
        <f>参数表!G7</f>
        <v>42735</v>
      </c>
      <c r="F51" s="1880"/>
      <c r="G51" s="1881"/>
      <c r="H51" s="1881" t="s">
        <v>1391</v>
      </c>
      <c r="I51" s="2030"/>
    </row>
    <row r="52" s="2009" customFormat="1" ht="14.25" customHeight="1" spans="1:9">
      <c r="A52" s="1885" t="s">
        <v>192</v>
      </c>
      <c r="B52" s="1886" t="s">
        <v>61</v>
      </c>
      <c r="C52" s="1887" t="str">
        <f>IF(参数表!$C$12="本期间为特定年","年末余额","期末余额")</f>
        <v>年末余额</v>
      </c>
      <c r="D52" s="1887"/>
      <c r="E52" s="1887"/>
      <c r="F52" s="1887" t="str">
        <f>IF(参数表!$C$12="本期间为特定年","年初余额","期初余额")</f>
        <v>年初余额</v>
      </c>
      <c r="G52" s="1887"/>
      <c r="H52" s="1888"/>
      <c r="I52" s="2030"/>
    </row>
    <row r="53" s="2009" customFormat="1" ht="14.25" customHeight="1" spans="1:9">
      <c r="A53" s="1889"/>
      <c r="B53" s="1890"/>
      <c r="C53" s="1891" t="s">
        <v>1535</v>
      </c>
      <c r="D53" s="1891" t="s">
        <v>1536</v>
      </c>
      <c r="E53" s="1891" t="s">
        <v>1394</v>
      </c>
      <c r="F53" s="1891" t="s">
        <v>1535</v>
      </c>
      <c r="G53" s="1891" t="s">
        <v>1536</v>
      </c>
      <c r="H53" s="1892" t="s">
        <v>1394</v>
      </c>
      <c r="I53" s="2030"/>
    </row>
    <row r="54" s="2010" customFormat="1" ht="14.25" customHeight="1" spans="1:9">
      <c r="A54" s="2026" t="s">
        <v>194</v>
      </c>
      <c r="B54" s="2063"/>
      <c r="C54" s="2022"/>
      <c r="D54" s="1895"/>
      <c r="E54" s="1895"/>
      <c r="F54" s="2022"/>
      <c r="G54" s="1895"/>
      <c r="H54" s="2033"/>
      <c r="I54" s="2034"/>
    </row>
    <row r="55" s="2010" customFormat="1" ht="14.25" customHeight="1" spans="1:8">
      <c r="A55" s="1900" t="s">
        <v>196</v>
      </c>
      <c r="B55" s="2064"/>
      <c r="C55" s="1896">
        <f>ROUND(审定资负表!G7,2)</f>
        <v>0</v>
      </c>
      <c r="D55" s="1896">
        <f>审定附注之负债及权益!B9</f>
        <v>0</v>
      </c>
      <c r="E55" s="1896">
        <f t="shared" ref="E55:E67" si="4">IF(D55="",0,ROUND(D55-C55,2))</f>
        <v>0</v>
      </c>
      <c r="F55" s="1896">
        <f>ROUND(审定资负表!H7,2)</f>
        <v>0</v>
      </c>
      <c r="G55" s="1896">
        <f>审定附注之负债及权益!C9</f>
        <v>0</v>
      </c>
      <c r="H55" s="1903">
        <f t="shared" ref="H55:H67" si="5">IF(G55="",0,ROUND(G55-F55,2))</f>
        <v>0</v>
      </c>
    </row>
    <row r="56" s="2010" customFormat="1" ht="14.25" customHeight="1" spans="1:8">
      <c r="A56" s="1900" t="s">
        <v>1397</v>
      </c>
      <c r="B56" s="2064"/>
      <c r="C56" s="1896">
        <f>ROUND(审定资负表!G8,2)</f>
        <v>0</v>
      </c>
      <c r="D56" s="1896">
        <f>审定附注之负债及权益!B46</f>
        <v>0</v>
      </c>
      <c r="E56" s="1896">
        <f t="shared" si="4"/>
        <v>0</v>
      </c>
      <c r="F56" s="1896">
        <f>ROUND(审定资负表!H8,2)</f>
        <v>0</v>
      </c>
      <c r="G56" s="1896">
        <f>审定附注之负债及权益!C46</f>
        <v>0</v>
      </c>
      <c r="H56" s="1903">
        <f t="shared" si="5"/>
        <v>0</v>
      </c>
    </row>
    <row r="57" s="2010" customFormat="1" ht="14.25" customHeight="1" spans="1:8">
      <c r="A57" s="1900" t="s">
        <v>200</v>
      </c>
      <c r="B57" s="2064"/>
      <c r="C57" s="1896">
        <f>ROUND(审定资负表!G9,2)</f>
        <v>0</v>
      </c>
      <c r="D57" s="1896">
        <f>审定附注之负债及权益!B54</f>
        <v>0</v>
      </c>
      <c r="E57" s="1896">
        <f t="shared" si="4"/>
        <v>0</v>
      </c>
      <c r="F57" s="1896">
        <f>ROUND(审定资负表!H9,2)</f>
        <v>0</v>
      </c>
      <c r="G57" s="1896">
        <f>审定附注之负债及权益!C54</f>
        <v>0</v>
      </c>
      <c r="H57" s="1903">
        <f t="shared" si="5"/>
        <v>0</v>
      </c>
    </row>
    <row r="58" s="2010" customFormat="1" ht="14.25" customHeight="1" spans="1:8">
      <c r="A58" s="1900" t="s">
        <v>202</v>
      </c>
      <c r="B58" s="2064"/>
      <c r="C58" s="1896">
        <f>ROUND(审定资负表!G10,2)</f>
        <v>0</v>
      </c>
      <c r="D58" s="1896">
        <f>审定附注之负债及权益!B65</f>
        <v>0</v>
      </c>
      <c r="E58" s="1896">
        <f t="shared" si="4"/>
        <v>0</v>
      </c>
      <c r="F58" s="1896">
        <f>ROUND(审定资负表!H10,2)</f>
        <v>0</v>
      </c>
      <c r="G58" s="1896">
        <f>审定附注之负债及权益!D65</f>
        <v>0</v>
      </c>
      <c r="H58" s="1903">
        <f t="shared" si="5"/>
        <v>0</v>
      </c>
    </row>
    <row r="59" s="2010" customFormat="1" ht="14.25" customHeight="1" spans="1:8">
      <c r="A59" s="1900" t="s">
        <v>204</v>
      </c>
      <c r="B59" s="2064"/>
      <c r="C59" s="1896">
        <f>ROUND(审定资负表!G11,2)</f>
        <v>0</v>
      </c>
      <c r="D59" s="1896">
        <f>审定附注之负债及权益!B118</f>
        <v>0</v>
      </c>
      <c r="E59" s="1896">
        <f t="shared" si="4"/>
        <v>0</v>
      </c>
      <c r="F59" s="1896">
        <f>ROUND(审定资负表!H11,2)</f>
        <v>0</v>
      </c>
      <c r="G59" s="1896">
        <f>审定附注之负债及权益!D118</f>
        <v>0</v>
      </c>
      <c r="H59" s="1903">
        <f t="shared" si="5"/>
        <v>0</v>
      </c>
    </row>
    <row r="60" s="2010" customFormat="1" ht="14.25" customHeight="1" spans="1:8">
      <c r="A60" s="1900" t="s">
        <v>206</v>
      </c>
      <c r="B60" s="2064"/>
      <c r="C60" s="1896">
        <f>ROUND(审定资负表!G12,2)</f>
        <v>0</v>
      </c>
      <c r="D60" s="1896">
        <f>审定附注之负债及权益!E180</f>
        <v>0</v>
      </c>
      <c r="E60" s="1896">
        <f t="shared" si="4"/>
        <v>0</v>
      </c>
      <c r="F60" s="1896">
        <f>ROUND(审定资负表!H12,2)</f>
        <v>0</v>
      </c>
      <c r="G60" s="1896">
        <f>审定附注之负债及权益!B180</f>
        <v>0</v>
      </c>
      <c r="H60" s="1903">
        <f t="shared" si="5"/>
        <v>0</v>
      </c>
    </row>
    <row r="61" s="2010" customFormat="1" ht="14.25" customHeight="1" spans="1:8">
      <c r="A61" s="1900" t="s">
        <v>208</v>
      </c>
      <c r="B61" s="2064"/>
      <c r="C61" s="1896">
        <f>ROUND(审定资负表!G13,2)</f>
        <v>0</v>
      </c>
      <c r="D61" s="1896">
        <f>审定附注之负债及权益!B197</f>
        <v>0</v>
      </c>
      <c r="E61" s="1896">
        <f t="shared" si="4"/>
        <v>0</v>
      </c>
      <c r="F61" s="1896">
        <f>ROUND(审定资负表!H13,2)</f>
        <v>0</v>
      </c>
      <c r="G61" s="1896">
        <f>审定附注之负债及权益!C197</f>
        <v>0</v>
      </c>
      <c r="H61" s="1903">
        <f t="shared" si="5"/>
        <v>0</v>
      </c>
    </row>
    <row r="62" s="2010" customFormat="1" ht="14.25" customHeight="1" spans="1:8">
      <c r="A62" s="1900" t="s">
        <v>210</v>
      </c>
      <c r="B62" s="2064"/>
      <c r="C62" s="1896">
        <f>ROUND(审定资负表!G14,2)</f>
        <v>0</v>
      </c>
      <c r="D62" s="1896">
        <f>审定附注之负债及权益!B212</f>
        <v>0</v>
      </c>
      <c r="E62" s="1896">
        <f t="shared" si="4"/>
        <v>0</v>
      </c>
      <c r="F62" s="1896">
        <f>ROUND(审定资负表!H14,2)</f>
        <v>0</v>
      </c>
      <c r="G62" s="1896">
        <f>审定附注之负债及权益!C212</f>
        <v>0</v>
      </c>
      <c r="H62" s="1903">
        <f t="shared" si="5"/>
        <v>0</v>
      </c>
    </row>
    <row r="63" s="2010" customFormat="1" ht="14.25" customHeight="1" spans="1:8">
      <c r="A63" s="1900" t="s">
        <v>212</v>
      </c>
      <c r="B63" s="2064"/>
      <c r="C63" s="1896">
        <f>ROUND(审定资负表!G15,2)</f>
        <v>0</v>
      </c>
      <c r="D63" s="1896">
        <f>审定附注之负债及权益!B227</f>
        <v>0</v>
      </c>
      <c r="E63" s="1896">
        <f t="shared" si="4"/>
        <v>0</v>
      </c>
      <c r="F63" s="1896">
        <f>ROUND(审定资负表!H15,2)</f>
        <v>0</v>
      </c>
      <c r="G63" s="1896">
        <f>审定附注之负债及权益!C227</f>
        <v>0</v>
      </c>
      <c r="H63" s="1903">
        <f t="shared" si="5"/>
        <v>0</v>
      </c>
    </row>
    <row r="64" s="2010" customFormat="1" ht="14.25" customHeight="1" spans="1:8">
      <c r="A64" s="1900" t="s">
        <v>214</v>
      </c>
      <c r="B64" s="2064"/>
      <c r="C64" s="1896">
        <f>ROUND(审定资负表!G16,2)</f>
        <v>0</v>
      </c>
      <c r="D64" s="1896">
        <f>审定附注之负债及权益!B238</f>
        <v>0</v>
      </c>
      <c r="E64" s="1896">
        <f t="shared" si="4"/>
        <v>0</v>
      </c>
      <c r="F64" s="1896">
        <f>ROUND(审定资负表!H16,2)</f>
        <v>0</v>
      </c>
      <c r="G64" s="1896">
        <f>审定附注之负债及权益!D238</f>
        <v>0</v>
      </c>
      <c r="H64" s="1903">
        <f t="shared" si="5"/>
        <v>0</v>
      </c>
    </row>
    <row r="65" s="2010" customFormat="1" ht="14.25" customHeight="1" spans="1:8">
      <c r="A65" s="1900" t="s">
        <v>216</v>
      </c>
      <c r="B65" s="2064"/>
      <c r="C65" s="1896">
        <f>ROUND(审定资负表!G17,2)</f>
        <v>6935621.62</v>
      </c>
      <c r="D65" s="1896">
        <f>审定附注之负债及权益!B289</f>
        <v>0</v>
      </c>
      <c r="E65" s="1896">
        <f t="shared" si="4"/>
        <v>-6935621.62</v>
      </c>
      <c r="F65" s="1896">
        <f>ROUND(审定资负表!H17,2)</f>
        <v>0</v>
      </c>
      <c r="G65" s="1896">
        <f>审定附注之负债及权益!C289</f>
        <v>0</v>
      </c>
      <c r="H65" s="1903">
        <f t="shared" si="5"/>
        <v>0</v>
      </c>
    </row>
    <row r="66" s="2010" customFormat="1" ht="14.25" customHeight="1" spans="1:8">
      <c r="A66" s="1900" t="s">
        <v>218</v>
      </c>
      <c r="B66" s="2064"/>
      <c r="C66" s="1896">
        <f>ROUND(审定资负表!G18,2)</f>
        <v>0</v>
      </c>
      <c r="D66" s="1896">
        <f>审定附注之负债及权益!B354</f>
        <v>0</v>
      </c>
      <c r="E66" s="1896">
        <f t="shared" si="4"/>
        <v>0</v>
      </c>
      <c r="F66" s="1896">
        <f>ROUND(审定资负表!H18,2)</f>
        <v>0</v>
      </c>
      <c r="G66" s="1896">
        <f>审定附注之负债及权益!C354</f>
        <v>0</v>
      </c>
      <c r="H66" s="1903">
        <f t="shared" si="5"/>
        <v>0</v>
      </c>
    </row>
    <row r="67" s="2010" customFormat="1" ht="14.25" customHeight="1" spans="1:8">
      <c r="A67" s="1900" t="str">
        <f>IF(未审资负表!E19="","",未审资负表!E19)</f>
        <v>持有待售负债</v>
      </c>
      <c r="B67" s="2064"/>
      <c r="C67" s="1896">
        <f>ROUND(审定资负表!G19,2)</f>
        <v>0</v>
      </c>
      <c r="D67" s="1896"/>
      <c r="E67" s="1896">
        <f t="shared" si="4"/>
        <v>0</v>
      </c>
      <c r="F67" s="1896">
        <f>ROUND(审定资负表!H19,2)</f>
        <v>0</v>
      </c>
      <c r="G67" s="1896"/>
      <c r="H67" s="1903">
        <f t="shared" si="5"/>
        <v>0</v>
      </c>
    </row>
    <row r="68" s="2010" customFormat="1" ht="14.25" customHeight="1" spans="1:8">
      <c r="A68" s="1905" t="s">
        <v>221</v>
      </c>
      <c r="B68" s="1906"/>
      <c r="C68" s="2023">
        <f>ROUND(SUM(C55:C67),2)</f>
        <v>6935621.62</v>
      </c>
      <c r="D68" s="2023"/>
      <c r="E68" s="2023"/>
      <c r="F68" s="2023">
        <f>ROUND(SUM(F55:F67),2)</f>
        <v>0</v>
      </c>
      <c r="G68" s="2023"/>
      <c r="H68" s="2036"/>
    </row>
    <row r="69" s="2010" customFormat="1" ht="14.25" customHeight="1" spans="1:8">
      <c r="A69" s="2038"/>
      <c r="B69" s="2064"/>
      <c r="C69" s="1913"/>
      <c r="D69" s="1896"/>
      <c r="E69" s="1896"/>
      <c r="F69" s="1913"/>
      <c r="G69" s="1896"/>
      <c r="H69" s="1903"/>
    </row>
    <row r="70" s="2010" customFormat="1" ht="14.25" customHeight="1" spans="1:8">
      <c r="A70" s="2026" t="s">
        <v>224</v>
      </c>
      <c r="B70" s="2064"/>
      <c r="C70" s="1914"/>
      <c r="D70" s="1896"/>
      <c r="E70" s="1896"/>
      <c r="F70" s="1914"/>
      <c r="G70" s="1896"/>
      <c r="H70" s="1903"/>
    </row>
    <row r="71" s="2010" customFormat="1" ht="14.25" customHeight="1" spans="1:8">
      <c r="A71" s="1900" t="s">
        <v>226</v>
      </c>
      <c r="B71" s="2064"/>
      <c r="C71" s="1896">
        <f>ROUND(审定资负表!G23,2)</f>
        <v>0</v>
      </c>
      <c r="D71" s="1896">
        <f>审定附注之负债及权益!B364</f>
        <v>0</v>
      </c>
      <c r="E71" s="1896">
        <f t="shared" ref="E71:E78" si="6">IF(D71="",0,ROUND(D71-C71,2))</f>
        <v>0</v>
      </c>
      <c r="F71" s="1896">
        <f>ROUND(审定资负表!H23,2)</f>
        <v>0</v>
      </c>
      <c r="G71" s="1896">
        <f>审定附注之负债及权益!C364</f>
        <v>0</v>
      </c>
      <c r="H71" s="1903">
        <f t="shared" ref="H71:H78" si="7">IF(G71="",0,ROUND(G71-F71,2))</f>
        <v>0</v>
      </c>
    </row>
    <row r="72" s="2010" customFormat="1" ht="14.25" customHeight="1" spans="1:8">
      <c r="A72" s="1900" t="s">
        <v>228</v>
      </c>
      <c r="B72" s="2064"/>
      <c r="C72" s="1896">
        <f>ROUND(审定资负表!G24,2)</f>
        <v>0</v>
      </c>
      <c r="D72" s="1896">
        <f>审定附注之负债及权益!H393</f>
        <v>0</v>
      </c>
      <c r="E72" s="1896">
        <f t="shared" si="6"/>
        <v>0</v>
      </c>
      <c r="F72" s="1896">
        <f>ROUND(审定资负表!H24,2)</f>
        <v>0</v>
      </c>
      <c r="G72" s="1896"/>
      <c r="H72" s="1903">
        <f t="shared" si="7"/>
        <v>0</v>
      </c>
    </row>
    <row r="73" s="2010" customFormat="1" ht="14.25" customHeight="1" spans="1:8">
      <c r="A73" s="1900" t="s">
        <v>230</v>
      </c>
      <c r="B73" s="2064"/>
      <c r="C73" s="1896">
        <f>ROUND(审定资负表!G25,2)</f>
        <v>49517431.33</v>
      </c>
      <c r="D73" s="1896">
        <f>审定附注之负债及权益!B408</f>
        <v>0</v>
      </c>
      <c r="E73" s="1896">
        <f t="shared" si="6"/>
        <v>-49517431.33</v>
      </c>
      <c r="F73" s="1896">
        <f>ROUND(审定资负表!H25,2)</f>
        <v>0</v>
      </c>
      <c r="G73" s="1896">
        <f>审定附注之负债及权益!C408</f>
        <v>0</v>
      </c>
      <c r="H73" s="1903">
        <f t="shared" si="7"/>
        <v>0</v>
      </c>
    </row>
    <row r="74" s="2010" customFormat="1" ht="14.25" customHeight="1" spans="1:8">
      <c r="A74" s="1900" t="s">
        <v>232</v>
      </c>
      <c r="B74" s="2064"/>
      <c r="C74" s="1896">
        <f>ROUND(审定资负表!G26,2)</f>
        <v>0</v>
      </c>
      <c r="D74" s="1896">
        <f>审定附注之负债及权益!F423</f>
        <v>0</v>
      </c>
      <c r="E74" s="1896">
        <f t="shared" si="6"/>
        <v>0</v>
      </c>
      <c r="F74" s="1896">
        <f>ROUND(审定资负表!H26,2)</f>
        <v>0</v>
      </c>
      <c r="G74" s="1896">
        <f>审定附注之负债及权益!C423</f>
        <v>0</v>
      </c>
      <c r="H74" s="1903">
        <f t="shared" si="7"/>
        <v>0</v>
      </c>
    </row>
    <row r="75" s="2010" customFormat="1" ht="14.25" customHeight="1" spans="1:8">
      <c r="A75" s="1900" t="s">
        <v>234</v>
      </c>
      <c r="B75" s="2064"/>
      <c r="C75" s="1896">
        <f>ROUND(审定资负表!G27,2)</f>
        <v>0</v>
      </c>
      <c r="D75" s="1896">
        <f>审定附注之负债及权益!G438</f>
        <v>0</v>
      </c>
      <c r="E75" s="1896">
        <f t="shared" si="6"/>
        <v>0</v>
      </c>
      <c r="F75" s="1896">
        <f>ROUND(审定资负表!H27,2)</f>
        <v>0</v>
      </c>
      <c r="G75" s="1896">
        <f>审定附注之负债及权益!D438</f>
        <v>0</v>
      </c>
      <c r="H75" s="1903">
        <f t="shared" si="7"/>
        <v>0</v>
      </c>
    </row>
    <row r="76" s="2010" customFormat="1" ht="14.25" customHeight="1" spans="1:8">
      <c r="A76" s="1900" t="s">
        <v>236</v>
      </c>
      <c r="B76" s="2064"/>
      <c r="C76" s="1896">
        <f>ROUND(审定资负表!G28,2)</f>
        <v>0</v>
      </c>
      <c r="D76" s="1896">
        <f>审定附注之非流动资产!B673</f>
        <v>0</v>
      </c>
      <c r="E76" s="1896">
        <f t="shared" si="6"/>
        <v>0</v>
      </c>
      <c r="F76" s="1896">
        <f>ROUND(审定资负表!H28,2)</f>
        <v>0</v>
      </c>
      <c r="G76" s="1896">
        <f>审定附注之非流动资产!C673</f>
        <v>0</v>
      </c>
      <c r="H76" s="1903">
        <f t="shared" si="7"/>
        <v>0</v>
      </c>
    </row>
    <row r="77" s="2010" customFormat="1" ht="14.25" customHeight="1" spans="1:8">
      <c r="A77" s="1900" t="s">
        <v>238</v>
      </c>
      <c r="B77" s="2064"/>
      <c r="C77" s="1896">
        <f>ROUND(审定资负表!G29,2)</f>
        <v>0</v>
      </c>
      <c r="D77" s="1896">
        <f>审定附注之负债及权益!B453</f>
        <v>0</v>
      </c>
      <c r="E77" s="1896">
        <f t="shared" si="6"/>
        <v>0</v>
      </c>
      <c r="F77" s="1896">
        <f>ROUND(审定资负表!H29,2)</f>
        <v>0</v>
      </c>
      <c r="G77" s="1896">
        <f>审定附注之负债及权益!C453</f>
        <v>0</v>
      </c>
      <c r="H77" s="1903">
        <f t="shared" si="7"/>
        <v>0</v>
      </c>
    </row>
    <row r="78" s="2010" customFormat="1" ht="14.25" customHeight="1" spans="1:8">
      <c r="A78" s="1900" t="str">
        <f>IF(未审资负表!E30="","",未审资负表!E30)</f>
        <v>递延收益</v>
      </c>
      <c r="B78" s="2064"/>
      <c r="C78" s="1896">
        <f>ROUND(审定资负表!G30,2)</f>
        <v>0</v>
      </c>
      <c r="D78" s="1896"/>
      <c r="E78" s="1896">
        <f t="shared" si="6"/>
        <v>0</v>
      </c>
      <c r="F78" s="1896">
        <f>ROUND(审定资负表!H30,2)</f>
        <v>0</v>
      </c>
      <c r="G78" s="1896"/>
      <c r="H78" s="1903">
        <f t="shared" si="7"/>
        <v>0</v>
      </c>
    </row>
    <row r="79" s="2010" customFormat="1" ht="14.25" customHeight="1" spans="1:8">
      <c r="A79" s="2041" t="s">
        <v>242</v>
      </c>
      <c r="B79" s="2064"/>
      <c r="C79" s="2023">
        <f>ROUND(SUM(C71:C78),2)</f>
        <v>49517431.33</v>
      </c>
      <c r="D79" s="2023"/>
      <c r="E79" s="2023"/>
      <c r="F79" s="2023">
        <f>ROUND(SUM(F71:F78),2)</f>
        <v>0</v>
      </c>
      <c r="G79" s="2023"/>
      <c r="H79" s="2036"/>
    </row>
    <row r="80" s="2010" customFormat="1" ht="14.25" customHeight="1" spans="1:8">
      <c r="A80" s="2038"/>
      <c r="B80" s="2064"/>
      <c r="C80" s="1913"/>
      <c r="D80" s="1896"/>
      <c r="E80" s="1896"/>
      <c r="F80" s="1913"/>
      <c r="G80" s="1896"/>
      <c r="H80" s="1903"/>
    </row>
    <row r="81" s="2010" customFormat="1" ht="14.25" customHeight="1" spans="1:8">
      <c r="A81" s="2041" t="s">
        <v>245</v>
      </c>
      <c r="B81" s="2064"/>
      <c r="C81" s="2023">
        <f>ROUND(C68+C79,2)</f>
        <v>56453052.95</v>
      </c>
      <c r="D81" s="2023"/>
      <c r="E81" s="2023"/>
      <c r="F81" s="2023">
        <f>ROUND(F68+F79,2)</f>
        <v>0</v>
      </c>
      <c r="G81" s="2023"/>
      <c r="H81" s="2036"/>
    </row>
    <row r="82" s="2010" customFormat="1" ht="14.25" customHeight="1" spans="1:8">
      <c r="A82" s="2038"/>
      <c r="B82" s="2064"/>
      <c r="C82" s="1896"/>
      <c r="D82" s="1896"/>
      <c r="E82" s="1896"/>
      <c r="F82" s="1896"/>
      <c r="G82" s="1896"/>
      <c r="H82" s="1903"/>
    </row>
    <row r="83" s="2010" customFormat="1" ht="14.25" customHeight="1" spans="1:8">
      <c r="A83" s="2042" t="s">
        <v>248</v>
      </c>
      <c r="B83" s="2064"/>
      <c r="C83" s="1896"/>
      <c r="D83" s="1896"/>
      <c r="E83" s="1896"/>
      <c r="F83" s="1896"/>
      <c r="G83" s="1896"/>
      <c r="H83" s="1903"/>
    </row>
    <row r="84" s="2010" customFormat="1" ht="14.25" customHeight="1" spans="1:8">
      <c r="A84" s="1900" t="s">
        <v>250</v>
      </c>
      <c r="B84" s="2064"/>
      <c r="C84" s="1896">
        <f>ROUND(审定资负表!G36,2)</f>
        <v>0</v>
      </c>
      <c r="D84" s="1896">
        <f>审定附注之负债及权益!F468</f>
        <v>0</v>
      </c>
      <c r="E84" s="1896">
        <f t="shared" ref="E84:E90" si="8">IF(D84="",0,ROUND(D84-C84,2))</f>
        <v>0</v>
      </c>
      <c r="F84" s="1896">
        <f>ROUND(审定资负表!H36,2)</f>
        <v>0</v>
      </c>
      <c r="G84" s="1896">
        <f>审定附注之负债及权益!B468</f>
        <v>0</v>
      </c>
      <c r="H84" s="1903">
        <f t="shared" ref="H84:H90" si="9">IF(G84="",0,ROUND(G84-F84,2))</f>
        <v>0</v>
      </c>
    </row>
    <row r="85" s="2010" customFormat="1" ht="14.25" customHeight="1" spans="1:8">
      <c r="A85" s="1900" t="s">
        <v>252</v>
      </c>
      <c r="B85" s="2064"/>
      <c r="C85" s="1896">
        <f>ROUND(审定资负表!G37,2)</f>
        <v>0</v>
      </c>
      <c r="D85" s="1896">
        <f>审定附注之负债及权益!E483</f>
        <v>0</v>
      </c>
      <c r="E85" s="1896">
        <f t="shared" si="8"/>
        <v>0</v>
      </c>
      <c r="F85" s="1896">
        <f>ROUND(审定资负表!H37,2)</f>
        <v>0</v>
      </c>
      <c r="G85" s="1896">
        <f>审定附注之负债及权益!B483</f>
        <v>0</v>
      </c>
      <c r="H85" s="1903">
        <f t="shared" si="9"/>
        <v>0</v>
      </c>
    </row>
    <row r="86" s="2010" customFormat="1" ht="14.25" customHeight="1" spans="1:8">
      <c r="A86" s="1900" t="s">
        <v>254</v>
      </c>
      <c r="B86" s="2064"/>
      <c r="C86" s="1896">
        <f>ROUND(审定资负表!G38,2)</f>
        <v>0</v>
      </c>
      <c r="D86" s="1896"/>
      <c r="E86" s="1896">
        <f t="shared" si="8"/>
        <v>0</v>
      </c>
      <c r="F86" s="1896">
        <f>ROUND(审定资负表!H38,2)</f>
        <v>0</v>
      </c>
      <c r="G86" s="1896"/>
      <c r="H86" s="1903">
        <f t="shared" si="9"/>
        <v>0</v>
      </c>
    </row>
    <row r="87" s="2010" customFormat="1" ht="14.25" customHeight="1" spans="1:8">
      <c r="A87" s="1900" t="s">
        <v>255</v>
      </c>
      <c r="B87" s="2064"/>
      <c r="C87" s="1896">
        <f>ROUND(审定资负表!G39,2)</f>
        <v>0</v>
      </c>
      <c r="D87" s="1896">
        <f>审定附注之负债及权益!E501</f>
        <v>0</v>
      </c>
      <c r="E87" s="1896">
        <f t="shared" si="8"/>
        <v>0</v>
      </c>
      <c r="F87" s="1896">
        <f>ROUND(审定资负表!H39,2)</f>
        <v>0</v>
      </c>
      <c r="G87" s="1896">
        <f>审定附注之负债及权益!B501</f>
        <v>0</v>
      </c>
      <c r="H87" s="1903">
        <f t="shared" si="9"/>
        <v>0</v>
      </c>
    </row>
    <row r="88" s="2010" customFormat="1" ht="14.25" customHeight="1" spans="1:8">
      <c r="A88" s="1900" t="s">
        <v>257</v>
      </c>
      <c r="B88" s="2064"/>
      <c r="C88" s="1896">
        <f>ROUND(审定资负表!G40,2)</f>
        <v>0</v>
      </c>
      <c r="D88" s="1896">
        <f>审定附注之负债及权益!B519</f>
        <v>0</v>
      </c>
      <c r="E88" s="1896">
        <f t="shared" si="8"/>
        <v>0</v>
      </c>
      <c r="F88" s="1896">
        <f>ROUND(审定资负表!H40,2)</f>
        <v>0</v>
      </c>
      <c r="G88" s="1896">
        <f>审定附注之负债及权益!B510</f>
        <v>0</v>
      </c>
      <c r="H88" s="1903">
        <f t="shared" si="9"/>
        <v>0</v>
      </c>
    </row>
    <row r="89" s="2010" customFormat="1" ht="14.25" customHeight="1" spans="1:8">
      <c r="A89" s="1900" t="s">
        <v>258</v>
      </c>
      <c r="B89" s="2064"/>
      <c r="C89" s="1896">
        <f>ROUND(审定资负表!G41,2)</f>
        <v>0</v>
      </c>
      <c r="D89" s="1896"/>
      <c r="E89" s="1896">
        <f t="shared" si="8"/>
        <v>0</v>
      </c>
      <c r="F89" s="1896">
        <f>ROUND(审定资负表!H41,2)</f>
        <v>0</v>
      </c>
      <c r="G89" s="1896"/>
      <c r="H89" s="1903">
        <f t="shared" si="9"/>
        <v>0</v>
      </c>
    </row>
    <row r="90" s="2010" customFormat="1" ht="14.25" customHeight="1" spans="1:8">
      <c r="A90" s="1900" t="str">
        <f>IF(未审资负表!E42="","",未审资负表!E42)</f>
        <v>其他综合收益</v>
      </c>
      <c r="B90" s="2064"/>
      <c r="C90" s="1896">
        <f>ROUND(审定资负表!G42,2)</f>
        <v>0</v>
      </c>
      <c r="D90" s="1896"/>
      <c r="E90" s="1896">
        <f t="shared" si="8"/>
        <v>0</v>
      </c>
      <c r="F90" s="1896">
        <f>ROUND(审定资负表!H42,2)</f>
        <v>0</v>
      </c>
      <c r="G90" s="1896"/>
      <c r="H90" s="1903">
        <f t="shared" si="9"/>
        <v>0</v>
      </c>
    </row>
    <row r="91" s="2010" customFormat="1" ht="14.25" customHeight="1" spans="1:8">
      <c r="A91" s="2041" t="s">
        <v>260</v>
      </c>
      <c r="B91" s="1915"/>
      <c r="C91" s="2023">
        <f>ROUND(SUM(C84:C90)-2*C86,2)</f>
        <v>0</v>
      </c>
      <c r="D91" s="2023"/>
      <c r="E91" s="2023"/>
      <c r="F91" s="2023">
        <f>ROUND(SUM(F84:F90)-2*F86,2)</f>
        <v>0</v>
      </c>
      <c r="G91" s="2023"/>
      <c r="H91" s="2036"/>
    </row>
    <row r="92" s="2010" customFormat="1" ht="14.25" customHeight="1" spans="1:8">
      <c r="A92" s="2038"/>
      <c r="B92" s="2064"/>
      <c r="C92" s="1913"/>
      <c r="D92" s="1896"/>
      <c r="E92" s="1896"/>
      <c r="F92" s="1913"/>
      <c r="G92" s="1896"/>
      <c r="H92" s="1903"/>
    </row>
    <row r="93" ht="14.25" customHeight="1" spans="1:8">
      <c r="A93" s="1900" t="s">
        <v>261</v>
      </c>
      <c r="B93" s="2064"/>
      <c r="C93" s="1896">
        <f>ROUND(审定资负表!G45,2)</f>
        <v>0</v>
      </c>
      <c r="D93" s="1896"/>
      <c r="E93" s="1896">
        <f>IF(D93="",0,ROUND(D93-C93,2))</f>
        <v>0</v>
      </c>
      <c r="F93" s="1896">
        <f>ROUND(审定资负表!H45,2)</f>
        <v>0</v>
      </c>
      <c r="G93" s="1896"/>
      <c r="H93" s="1903">
        <f>IF(G93="",0,ROUND(G93-F93,2))</f>
        <v>0</v>
      </c>
    </row>
    <row r="94" ht="14.25" customHeight="1" spans="1:8">
      <c r="A94" s="2041" t="s">
        <v>262</v>
      </c>
      <c r="B94" s="1915"/>
      <c r="C94" s="2023">
        <f>ROUND(C91+C93,2)</f>
        <v>0</v>
      </c>
      <c r="D94" s="2023"/>
      <c r="E94" s="2023"/>
      <c r="F94" s="2023">
        <f>ROUND(F91+F93,2)</f>
        <v>0</v>
      </c>
      <c r="G94" s="2023"/>
      <c r="H94" s="2036"/>
    </row>
    <row r="95" ht="14.25" customHeight="1" spans="1:8">
      <c r="A95" s="2038"/>
      <c r="B95" s="2064"/>
      <c r="C95" s="1896"/>
      <c r="D95" s="1896"/>
      <c r="E95" s="1896"/>
      <c r="F95" s="1896"/>
      <c r="G95" s="1896"/>
      <c r="H95" s="1903"/>
    </row>
    <row r="96" ht="14.25" customHeight="1" spans="1:8">
      <c r="A96" s="2044" t="s">
        <v>264</v>
      </c>
      <c r="B96" s="1924"/>
      <c r="C96" s="2024">
        <f>ROUND(C81+C94,2)</f>
        <v>56453052.95</v>
      </c>
      <c r="D96" s="2024"/>
      <c r="E96" s="2024"/>
      <c r="F96" s="2024">
        <f>ROUND(F81+F94,2)</f>
        <v>0</v>
      </c>
      <c r="G96" s="2024"/>
      <c r="H96" s="2061"/>
    </row>
    <row r="97" s="2011" customFormat="1" ht="26.25" spans="1:8">
      <c r="A97" s="1777" t="s">
        <v>1538</v>
      </c>
      <c r="B97" s="1777"/>
      <c r="C97" s="1777"/>
      <c r="D97" s="1777"/>
      <c r="E97" s="1777"/>
      <c r="F97" s="1777"/>
      <c r="G97" s="1777"/>
      <c r="H97" s="1777"/>
    </row>
    <row r="98" s="2011" customFormat="1" ht="21" customHeight="1" spans="1:8">
      <c r="A98" s="1781"/>
      <c r="B98" s="1810"/>
      <c r="C98" s="1810"/>
      <c r="D98" s="1810"/>
      <c r="E98" s="1810"/>
      <c r="F98" s="2065"/>
      <c r="G98" s="2065"/>
      <c r="H98" s="2065"/>
    </row>
    <row r="99" s="2011" customFormat="1" ht="21" customHeight="1" spans="1:8">
      <c r="A99" s="1781" t="str">
        <f>"编制单位："&amp;参数表!C3</f>
        <v>编制单位：石嘴山市深阳蓝光市政工程有限公司</v>
      </c>
      <c r="B99" s="1782"/>
      <c r="C99" s="1810"/>
      <c r="D99" s="1810"/>
      <c r="E99" s="2057" t="str">
        <f>参数表!D7</f>
        <v>2016年度</v>
      </c>
      <c r="F99" s="2066"/>
      <c r="G99" s="2066"/>
      <c r="H99" s="2066" t="s">
        <v>1399</v>
      </c>
    </row>
    <row r="100" s="2011" customFormat="1" ht="16.5" spans="1:8">
      <c r="A100" s="1815" t="s">
        <v>60</v>
      </c>
      <c r="B100" s="1816" t="s">
        <v>61</v>
      </c>
      <c r="C100" s="1816" t="str">
        <f>IF(参数表!$C$12="本期间为特定年","本年金额","本期金额")</f>
        <v>本年金额</v>
      </c>
      <c r="D100" s="1816"/>
      <c r="E100" s="1816"/>
      <c r="F100" s="1816" t="str">
        <f>IF(参数表!$C$12="本期间为特定年","上年金额","上期金额")</f>
        <v>上年金额</v>
      </c>
      <c r="G100" s="1816"/>
      <c r="H100" s="2067"/>
    </row>
    <row r="101" s="2011" customFormat="1" ht="15.75" spans="1:8">
      <c r="A101" s="1819"/>
      <c r="B101" s="1820"/>
      <c r="C101" s="1891" t="s">
        <v>1535</v>
      </c>
      <c r="D101" s="1891" t="s">
        <v>1536</v>
      </c>
      <c r="E101" s="1891" t="s">
        <v>1394</v>
      </c>
      <c r="F101" s="1891" t="s">
        <v>1535</v>
      </c>
      <c r="G101" s="1891" t="s">
        <v>1536</v>
      </c>
      <c r="H101" s="1892" t="s">
        <v>1394</v>
      </c>
    </row>
    <row r="102" s="2011" customFormat="1" ht="21" customHeight="1" spans="1:8">
      <c r="A102" s="1793" t="s">
        <v>76</v>
      </c>
      <c r="B102" s="2068"/>
      <c r="C102" s="1825">
        <f>ROUND(审定利润表!C6,2)</f>
        <v>0</v>
      </c>
      <c r="D102" s="1825">
        <f>审定附注之利润及利润分配!B8</f>
        <v>0</v>
      </c>
      <c r="E102" s="1896">
        <f t="shared" ref="E102:E113" si="10">IF(D102="",0,ROUND(D102-C102,2))</f>
        <v>0</v>
      </c>
      <c r="F102" s="1825">
        <f>ROUND(审定利润表!D6,2)</f>
        <v>0</v>
      </c>
      <c r="G102" s="1825">
        <f>审定附注之利润及利润分配!E8</f>
        <v>0</v>
      </c>
      <c r="H102" s="1903">
        <f t="shared" ref="H102:H113" si="11">IF(G102="",0,ROUND(G102-F102,2))</f>
        <v>0</v>
      </c>
    </row>
    <row r="103" s="2011" customFormat="1" ht="21" customHeight="1" spans="1:8">
      <c r="A103" s="1796" t="s">
        <v>78</v>
      </c>
      <c r="B103" s="2068"/>
      <c r="C103" s="1825">
        <f>ROUND(审定利润表!C7,2)</f>
        <v>0</v>
      </c>
      <c r="D103" s="1825">
        <f>审定附注之利润及利润分配!C8</f>
        <v>0</v>
      </c>
      <c r="E103" s="1896">
        <f t="shared" si="10"/>
        <v>0</v>
      </c>
      <c r="F103" s="1825">
        <f>ROUND(审定利润表!D7,2)</f>
        <v>0</v>
      </c>
      <c r="G103" s="1825">
        <f>审定附注之利润及利润分配!F8</f>
        <v>0</v>
      </c>
      <c r="H103" s="1903">
        <f t="shared" si="11"/>
        <v>0</v>
      </c>
    </row>
    <row r="104" s="2011" customFormat="1" ht="21" customHeight="1" spans="1:8">
      <c r="A104" s="1796" t="s">
        <v>79</v>
      </c>
      <c r="B104" s="2068"/>
      <c r="C104" s="1825">
        <f>ROUND(审定利润表!C8,2)</f>
        <v>0</v>
      </c>
      <c r="D104" s="1825">
        <f>审定附注之利润及利润分配!C91</f>
        <v>0</v>
      </c>
      <c r="E104" s="1896">
        <f t="shared" si="10"/>
        <v>0</v>
      </c>
      <c r="F104" s="1825">
        <f>ROUND(审定利润表!D8,2)</f>
        <v>0</v>
      </c>
      <c r="G104" s="1825">
        <f>审定附注之利润及利润分配!D91</f>
        <v>0</v>
      </c>
      <c r="H104" s="1903">
        <f t="shared" si="11"/>
        <v>0</v>
      </c>
    </row>
    <row r="105" s="2011" customFormat="1" ht="21" customHeight="1" spans="1:8">
      <c r="A105" s="1796" t="s">
        <v>81</v>
      </c>
      <c r="B105" s="2068"/>
      <c r="C105" s="1825">
        <f>ROUND(审定利润表!C9,2)</f>
        <v>0</v>
      </c>
      <c r="D105" s="1825"/>
      <c r="E105" s="1896">
        <f t="shared" si="10"/>
        <v>0</v>
      </c>
      <c r="F105" s="1825">
        <f>ROUND(审定利润表!D9,2)</f>
        <v>0</v>
      </c>
      <c r="G105" s="1825"/>
      <c r="H105" s="1903">
        <f t="shared" si="11"/>
        <v>0</v>
      </c>
    </row>
    <row r="106" s="2011" customFormat="1" ht="21" customHeight="1" spans="1:8">
      <c r="A106" s="1796" t="s">
        <v>83</v>
      </c>
      <c r="B106" s="2068"/>
      <c r="C106" s="1825">
        <f>ROUND(审定利润表!C10,2)</f>
        <v>0</v>
      </c>
      <c r="D106" s="1825"/>
      <c r="E106" s="1896">
        <f t="shared" si="10"/>
        <v>0</v>
      </c>
      <c r="F106" s="1825">
        <f>ROUND(审定利润表!D10,2)</f>
        <v>0</v>
      </c>
      <c r="G106" s="1825"/>
      <c r="H106" s="1903">
        <f t="shared" si="11"/>
        <v>0</v>
      </c>
    </row>
    <row r="107" s="2011" customFormat="1" ht="21" customHeight="1" spans="1:8">
      <c r="A107" s="1796" t="s">
        <v>84</v>
      </c>
      <c r="B107" s="2068"/>
      <c r="C107" s="1825">
        <f>ROUND(审定利润表!C11,2)</f>
        <v>0</v>
      </c>
      <c r="D107" s="1825">
        <f>审定附注之利润及利润分配!B100</f>
        <v>0</v>
      </c>
      <c r="E107" s="1896">
        <f t="shared" si="10"/>
        <v>0</v>
      </c>
      <c r="F107" s="1825">
        <f>ROUND(审定利润表!D11,2)</f>
        <v>0</v>
      </c>
      <c r="G107" s="1825">
        <f>审定附注之利润及利润分配!C100</f>
        <v>0</v>
      </c>
      <c r="H107" s="1903">
        <f t="shared" si="11"/>
        <v>0</v>
      </c>
    </row>
    <row r="108" s="2011" customFormat="1" ht="21" customHeight="1" spans="1:8">
      <c r="A108" s="1796" t="s">
        <v>85</v>
      </c>
      <c r="B108" s="2068"/>
      <c r="C108" s="1825">
        <f>ROUND(审定利润表!C12,2)</f>
        <v>0</v>
      </c>
      <c r="D108" s="1825">
        <f>审定附注之利润及利润分配!B119</f>
        <v>0</v>
      </c>
      <c r="E108" s="1896">
        <f t="shared" si="10"/>
        <v>0</v>
      </c>
      <c r="F108" s="1825">
        <f>ROUND(审定利润表!D12,2)</f>
        <v>0</v>
      </c>
      <c r="G108" s="1825">
        <f>审定附注之利润及利润分配!C119</f>
        <v>0</v>
      </c>
      <c r="H108" s="1903">
        <f t="shared" si="11"/>
        <v>0</v>
      </c>
    </row>
    <row r="109" s="2011" customFormat="1" ht="21" customHeight="1" spans="1:8">
      <c r="A109" s="1796" t="s">
        <v>87</v>
      </c>
      <c r="B109" s="2068"/>
      <c r="C109" s="1825">
        <f>ROUND(审定利润表!C13,2)</f>
        <v>0</v>
      </c>
      <c r="D109" s="1825">
        <f>审定附注之利润及利润分配!B134</f>
        <v>0</v>
      </c>
      <c r="E109" s="1896">
        <f t="shared" si="10"/>
        <v>0</v>
      </c>
      <c r="F109" s="1825">
        <f>ROUND(审定利润表!D13,2)</f>
        <v>0</v>
      </c>
      <c r="G109" s="1825">
        <f>审定附注之利润及利润分配!C134</f>
        <v>0</v>
      </c>
      <c r="H109" s="1903">
        <f t="shared" si="11"/>
        <v>0</v>
      </c>
    </row>
    <row r="110" s="2011" customFormat="1" ht="21" customHeight="1" spans="1:8">
      <c r="A110" s="1796" t="s">
        <v>89</v>
      </c>
      <c r="B110" s="2068"/>
      <c r="C110" s="1825">
        <f>ROUND(审定利润表!C14,2)</f>
        <v>0</v>
      </c>
      <c r="D110" s="1825">
        <f>审定附注之利润及利润分配!B149</f>
        <v>0</v>
      </c>
      <c r="E110" s="1896">
        <f t="shared" si="10"/>
        <v>0</v>
      </c>
      <c r="F110" s="1825">
        <f>ROUND(审定利润表!D14,2)</f>
        <v>0</v>
      </c>
      <c r="G110" s="1825">
        <f>审定附注之利润及利润分配!C149</f>
        <v>0</v>
      </c>
      <c r="H110" s="1903">
        <f t="shared" si="11"/>
        <v>0</v>
      </c>
    </row>
    <row r="111" s="2011" customFormat="1" ht="21" customHeight="1" spans="1:8">
      <c r="A111" s="1796" t="s">
        <v>91</v>
      </c>
      <c r="B111" s="2068"/>
      <c r="C111" s="1825">
        <f>ROUND(审定利润表!C15,2)</f>
        <v>0</v>
      </c>
      <c r="D111" s="1825"/>
      <c r="E111" s="1896">
        <f t="shared" si="10"/>
        <v>0</v>
      </c>
      <c r="F111" s="1825">
        <f>ROUND(审定利润表!D15,2)</f>
        <v>0</v>
      </c>
      <c r="G111" s="1825"/>
      <c r="H111" s="1903">
        <f t="shared" si="11"/>
        <v>0</v>
      </c>
    </row>
    <row r="112" s="2011" customFormat="1" ht="21" customHeight="1" spans="1:8">
      <c r="A112" s="1796" t="s">
        <v>92</v>
      </c>
      <c r="B112" s="2068"/>
      <c r="C112" s="1825">
        <f>ROUND(审定利润表!C17,2)</f>
        <v>0</v>
      </c>
      <c r="D112" s="1825"/>
      <c r="E112" s="1896">
        <f t="shared" si="10"/>
        <v>0</v>
      </c>
      <c r="F112" s="1825">
        <f>ROUND(审定利润表!D17,2)</f>
        <v>0</v>
      </c>
      <c r="G112" s="1825"/>
      <c r="H112" s="1903">
        <f t="shared" si="11"/>
        <v>0</v>
      </c>
    </row>
    <row r="113" s="2011" customFormat="1" ht="21" customHeight="1" spans="1:8">
      <c r="A113" s="1796" t="str">
        <f>未审利润表!A18</f>
        <v>    其他收益</v>
      </c>
      <c r="B113" s="2068"/>
      <c r="C113" s="1825">
        <f>ROUND(审定利润表!C18,2)</f>
        <v>0</v>
      </c>
      <c r="D113" s="1825"/>
      <c r="E113" s="1896">
        <f t="shared" si="10"/>
        <v>0</v>
      </c>
      <c r="F113" s="1825">
        <f>ROUND(审定利润表!D18,2)</f>
        <v>0</v>
      </c>
      <c r="G113" s="1825"/>
      <c r="H113" s="1903">
        <f t="shared" si="11"/>
        <v>0</v>
      </c>
    </row>
    <row r="114" s="2011" customFormat="1" ht="21" customHeight="1" spans="1:8">
      <c r="A114" s="1793" t="s">
        <v>93</v>
      </c>
      <c r="B114" s="2068"/>
      <c r="C114" s="2048">
        <f>ROUND(C102-SUM(C103:C108)+SUM(C109:C110)+C112+C113,2)</f>
        <v>0</v>
      </c>
      <c r="D114" s="2048"/>
      <c r="E114" s="2048"/>
      <c r="F114" s="2048">
        <f>ROUND(F102-SUM(F103:F108)+SUM(F109:F110)+F112+F113,2)</f>
        <v>0</v>
      </c>
      <c r="G114" s="2048"/>
      <c r="H114" s="2069"/>
    </row>
    <row r="115" s="2011" customFormat="1" ht="21" customHeight="1" spans="1:8">
      <c r="A115" s="1796" t="s">
        <v>94</v>
      </c>
      <c r="B115" s="2068"/>
      <c r="C115" s="1825">
        <f>ROUND(审定利润表!C20,2)</f>
        <v>0</v>
      </c>
      <c r="D115" s="1825">
        <f>审定附注之利润及利润分配!B177</f>
        <v>0</v>
      </c>
      <c r="E115" s="1896">
        <f>IF(D115="",0,ROUND(D115-C115,2))</f>
        <v>0</v>
      </c>
      <c r="F115" s="1825">
        <f>ROUND(审定利润表!D20,2)</f>
        <v>0</v>
      </c>
      <c r="G115" s="1825">
        <f>审定附注之利润及利润分配!C177</f>
        <v>0</v>
      </c>
      <c r="H115" s="1903">
        <f>IF(G115="",0,ROUND(G115-F115,2))</f>
        <v>0</v>
      </c>
    </row>
    <row r="116" s="2011" customFormat="1" ht="21" customHeight="1" spans="1:8">
      <c r="A116" s="1796" t="s">
        <v>96</v>
      </c>
      <c r="B116" s="2068"/>
      <c r="C116" s="1825">
        <f>ROUND(审定利润表!C21,2)</f>
        <v>0</v>
      </c>
      <c r="D116" s="1825">
        <f>审定附注之利润及利润分配!B192</f>
        <v>0</v>
      </c>
      <c r="E116" s="1896">
        <f>IF(D116="",0,ROUND(D116-C116,2))</f>
        <v>0</v>
      </c>
      <c r="F116" s="1825">
        <f>ROUND(审定利润表!D21,2)</f>
        <v>0</v>
      </c>
      <c r="G116" s="1825">
        <f>审定附注之利润及利润分配!C192</f>
        <v>0</v>
      </c>
      <c r="H116" s="1903">
        <f>IF(G116="",0,ROUND(G116-F116,2))</f>
        <v>0</v>
      </c>
    </row>
    <row r="117" s="2011" customFormat="1" ht="21" customHeight="1" spans="1:8">
      <c r="A117" s="1796" t="s">
        <v>98</v>
      </c>
      <c r="B117" s="2068"/>
      <c r="C117" s="1825">
        <f>ROUND(审定利润表!C27,2)</f>
        <v>0</v>
      </c>
      <c r="D117" s="1825"/>
      <c r="E117" s="1896">
        <f>IF(D117="",0,ROUND(D117-C117,2))</f>
        <v>0</v>
      </c>
      <c r="F117" s="1825">
        <f>ROUND(审定利润表!D27,2)</f>
        <v>0</v>
      </c>
      <c r="G117" s="1825"/>
      <c r="H117" s="1903">
        <f>IF(G117="",0,ROUND(G117-F117,2))</f>
        <v>0</v>
      </c>
    </row>
    <row r="118" s="2011" customFormat="1" ht="21" customHeight="1" spans="1:8">
      <c r="A118" s="1796" t="str">
        <f>未审利润表!A28</f>
        <v>   （二）终止经营净利润（净亏损以“－”号填列）</v>
      </c>
      <c r="B118" s="2068"/>
      <c r="C118" s="1825">
        <f>ROUND(审定利润表!C28,2)</f>
        <v>0</v>
      </c>
      <c r="D118" s="1825"/>
      <c r="E118" s="1896">
        <f>IF(D118="",0,ROUND(D118-C118,2))</f>
        <v>0</v>
      </c>
      <c r="F118" s="1825">
        <f>ROUND(审定利润表!D28,2)</f>
        <v>0</v>
      </c>
      <c r="G118" s="1825"/>
      <c r="H118" s="1903">
        <f>IF(G118="",0,ROUND(G118-F118,2))</f>
        <v>0</v>
      </c>
    </row>
    <row r="119" s="2011" customFormat="1" ht="21" customHeight="1" spans="1:8">
      <c r="A119" s="1793" t="s">
        <v>99</v>
      </c>
      <c r="B119" s="2068"/>
      <c r="C119" s="2048">
        <f>ROUND(C114+C115-C116-C118,2)</f>
        <v>0</v>
      </c>
      <c r="D119" s="2048"/>
      <c r="E119" s="2048"/>
      <c r="F119" s="2048">
        <f>ROUND(F114+F115-F116-F118,2)</f>
        <v>0</v>
      </c>
      <c r="G119" s="2048"/>
      <c r="H119" s="2069"/>
    </row>
    <row r="120" s="2011" customFormat="1" ht="21" customHeight="1" spans="1:8">
      <c r="A120" s="1796" t="s">
        <v>100</v>
      </c>
      <c r="B120" s="2068"/>
      <c r="C120" s="1825">
        <f>ROUND(审定利润表!C23,2)</f>
        <v>0</v>
      </c>
      <c r="D120" s="1825">
        <f>审定附注之利润及利润分配!B199</f>
        <v>0</v>
      </c>
      <c r="E120" s="1896">
        <f>IF(D120="",0,ROUND(D120-C120,2))</f>
        <v>0</v>
      </c>
      <c r="F120" s="1825">
        <f>ROUND(审定利润表!D23,2)</f>
        <v>0</v>
      </c>
      <c r="G120" s="1825">
        <f>审定附注之利润及利润分配!C199</f>
        <v>0</v>
      </c>
      <c r="H120" s="1903">
        <f>IF(G120="",0,ROUND(G120-F120,2))</f>
        <v>0</v>
      </c>
    </row>
    <row r="121" s="2011" customFormat="1" ht="21" customHeight="1" spans="1:8">
      <c r="A121" s="1796" t="str">
        <f>未审利润表!A30</f>
        <v>六、综合收益总额</v>
      </c>
      <c r="B121" s="2068"/>
      <c r="C121" s="1825">
        <f>ROUND(审定利润表!C29,2)</f>
        <v>0</v>
      </c>
      <c r="D121" s="1825"/>
      <c r="E121" s="1896">
        <f>IF(D121="",0,ROUND(D121-C121,2))</f>
        <v>0</v>
      </c>
      <c r="F121" s="1825">
        <f>ROUND(审定利润表!D29,2)</f>
        <v>0</v>
      </c>
      <c r="G121" s="1825"/>
      <c r="H121" s="1903">
        <f>IF(G121="",0,ROUND(G121-F121,2))</f>
        <v>0</v>
      </c>
    </row>
    <row r="122" s="2011" customFormat="1" ht="21" customHeight="1" spans="1:8">
      <c r="A122" s="1793" t="s">
        <v>102</v>
      </c>
      <c r="B122" s="2068"/>
      <c r="C122" s="2048">
        <f>ROUND(C119-C120-C121,2)</f>
        <v>0</v>
      </c>
      <c r="D122" s="2048"/>
      <c r="E122" s="2048"/>
      <c r="F122" s="2048">
        <f>ROUND(F119-F120-F121,2)</f>
        <v>0</v>
      </c>
      <c r="G122" s="2048"/>
      <c r="H122" s="2069"/>
    </row>
    <row r="123" s="2011" customFormat="1" ht="21" customHeight="1" spans="1:8">
      <c r="A123" s="1796" t="s">
        <v>103</v>
      </c>
      <c r="B123" s="2068"/>
      <c r="C123" s="1830">
        <f>ROUND(C122-C124,2)</f>
        <v>0</v>
      </c>
      <c r="D123" s="1830"/>
      <c r="E123" s="1830"/>
      <c r="F123" s="1830">
        <f>ROUND(F122-F124,2)</f>
        <v>0</v>
      </c>
      <c r="G123" s="1830"/>
      <c r="H123" s="1831"/>
    </row>
    <row r="124" s="2011" customFormat="1" ht="21" customHeight="1" spans="1:8">
      <c r="A124" s="2070" t="s">
        <v>104</v>
      </c>
      <c r="B124" s="2071"/>
      <c r="C124" s="2072">
        <f>ROUND(审定利润表!C26,2)</f>
        <v>0</v>
      </c>
      <c r="D124" s="2072"/>
      <c r="E124" s="2072"/>
      <c r="F124" s="2072">
        <f>ROUND(审定利润表!D26,2)</f>
        <v>0</v>
      </c>
      <c r="G124" s="2072"/>
      <c r="H124" s="2073"/>
    </row>
    <row r="125" ht="13.5"/>
  </sheetData>
  <mergeCells count="17">
    <mergeCell ref="A1:H1"/>
    <mergeCell ref="A2:B2"/>
    <mergeCell ref="C4:E4"/>
    <mergeCell ref="F4:H4"/>
    <mergeCell ref="A49:H49"/>
    <mergeCell ref="A50:B50"/>
    <mergeCell ref="C52:E52"/>
    <mergeCell ref="F52:H52"/>
    <mergeCell ref="A97:H97"/>
    <mergeCell ref="C100:E100"/>
    <mergeCell ref="F100:H100"/>
    <mergeCell ref="A4:A5"/>
    <mergeCell ref="A52:A53"/>
    <mergeCell ref="A100:A101"/>
    <mergeCell ref="B4:B5"/>
    <mergeCell ref="B52:B53"/>
    <mergeCell ref="B100:B101"/>
  </mergeCells>
  <conditionalFormatting sqref="A2:B2 A50:B50">
    <cfRule type="cellIs" dxfId="1" priority="1" stopIfTrue="1" operator="notEqual">
      <formula>""</formula>
    </cfRule>
  </conditionalFormatting>
  <conditionalFormatting sqref="C50:E50 H50 C2:H2">
    <cfRule type="cellIs" dxfId="1" priority="2" stopIfTrue="1" operator="notEqual">
      <formula>0</formula>
    </cfRule>
  </conditionalFormatting>
  <conditionalFormatting sqref="E7:E18 E22:E39 H7:H18 H22:H39 E55:E67 E71:E78 E84:E90 E93 H55:H67 H71:H78 H84:H90 H93 E102:E113 E115:E118 E120:E121 H102:H113 H115:H118 H120:H121">
    <cfRule type="cellIs" dxfId="4" priority="3" stopIfTrue="1" operator="notEqual">
      <formula>0</formula>
    </cfRule>
  </conditionalFormatting>
  <printOptions horizontalCentered="1"/>
  <pageMargins left="0.23" right="0.27" top="0.73" bottom="0.78" header="0.511811023622047" footer="0.511811023622047"/>
  <pageSetup paperSize="9" orientation="portrait" blackAndWhite="1"/>
  <headerFooter alignWithMargins="0"/>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K124"/>
  <sheetViews>
    <sheetView showGridLines="0" showZeros="0" workbookViewId="0">
      <pane xSplit="9" ySplit="1" topLeftCell="J2" activePane="bottomRight" state="frozen"/>
      <selection/>
      <selection pane="topRight"/>
      <selection pane="bottomLeft"/>
      <selection pane="bottomRight" activeCell="E89" sqref="E89"/>
    </sheetView>
  </sheetViews>
  <sheetFormatPr defaultColWidth="9" defaultRowHeight="12.75"/>
  <cols>
    <col min="1" max="1" width="40.75" style="2012" customWidth="1"/>
    <col min="2" max="2" width="5.375" style="2010" customWidth="1"/>
    <col min="3" max="8" width="9.75" style="2013" customWidth="1"/>
    <col min="9" max="9" width="10" style="2013" customWidth="1"/>
    <col min="10" max="16384" width="9" style="2012"/>
  </cols>
  <sheetData>
    <row r="1" ht="27.75" customHeight="1" spans="1:9">
      <c r="A1" s="1777" t="s">
        <v>45</v>
      </c>
      <c r="B1" s="1878"/>
      <c r="C1" s="1878"/>
      <c r="D1" s="1878"/>
      <c r="E1" s="1878"/>
      <c r="F1" s="1878"/>
      <c r="G1" s="1878"/>
      <c r="H1" s="1878"/>
      <c r="I1" s="1878"/>
    </row>
    <row r="2" ht="15" customHeight="1" spans="1:11">
      <c r="A2" s="2014" t="s">
        <v>1539</v>
      </c>
      <c r="B2" s="1879"/>
      <c r="C2" s="1779"/>
      <c r="D2" s="1880" t="s">
        <v>1540</v>
      </c>
      <c r="E2" s="2015">
        <f>参数表!$F$10</f>
        <v>0</v>
      </c>
      <c r="F2" s="2015"/>
      <c r="G2" s="2015"/>
      <c r="H2" s="1880"/>
      <c r="I2" s="1880" t="s">
        <v>1541</v>
      </c>
      <c r="K2" s="2030"/>
    </row>
    <row r="3" ht="15" customHeight="1" spans="1:11">
      <c r="A3" s="2016" t="str">
        <f>"被审计单位："&amp;参数表!C3</f>
        <v>被审计单位：石嘴山市深阳蓝光市政工程有限公司</v>
      </c>
      <c r="B3" s="2017"/>
      <c r="C3" s="1880"/>
      <c r="D3" s="1880" t="s">
        <v>1542</v>
      </c>
      <c r="E3" s="2015">
        <f>参数表!C11</f>
        <v>0</v>
      </c>
      <c r="F3" s="2015"/>
      <c r="G3" s="2015"/>
      <c r="H3" s="1880"/>
      <c r="I3" s="1881" t="s">
        <v>1391</v>
      </c>
      <c r="K3" s="2030"/>
    </row>
    <row r="4" s="2009" customFormat="1" ht="16.5" customHeight="1" spans="1:11">
      <c r="A4" s="1885" t="s">
        <v>191</v>
      </c>
      <c r="B4" s="1886" t="s">
        <v>61</v>
      </c>
      <c r="C4" s="2018" t="s">
        <v>1543</v>
      </c>
      <c r="D4" s="2019" t="s">
        <v>1544</v>
      </c>
      <c r="E4" s="2020"/>
      <c r="F4" s="2018" t="s">
        <v>1545</v>
      </c>
      <c r="G4" s="2018" t="s">
        <v>1546</v>
      </c>
      <c r="H4" s="2018" t="s">
        <v>1547</v>
      </c>
      <c r="I4" s="2031" t="s">
        <v>1548</v>
      </c>
      <c r="K4" s="2030"/>
    </row>
    <row r="5" s="2009" customFormat="1" ht="16.5" customHeight="1" spans="1:11">
      <c r="A5" s="1889"/>
      <c r="B5" s="1890"/>
      <c r="C5" s="2021"/>
      <c r="D5" s="1891" t="s">
        <v>1549</v>
      </c>
      <c r="E5" s="1891" t="s">
        <v>1550</v>
      </c>
      <c r="F5" s="2021"/>
      <c r="G5" s="2021"/>
      <c r="H5" s="2021" t="s">
        <v>1550</v>
      </c>
      <c r="I5" s="2032"/>
      <c r="K5" s="2030"/>
    </row>
    <row r="6" s="2010" customFormat="1" ht="16.5" customHeight="1" spans="1:11">
      <c r="A6" s="1893" t="s">
        <v>193</v>
      </c>
      <c r="B6" s="1894"/>
      <c r="C6" s="1895"/>
      <c r="D6" s="1895"/>
      <c r="E6" s="1895"/>
      <c r="F6" s="1895"/>
      <c r="G6" s="1896"/>
      <c r="H6" s="2022"/>
      <c r="I6" s="2033"/>
      <c r="K6" s="2034"/>
    </row>
    <row r="7" s="2010" customFormat="1" ht="16.5" customHeight="1" spans="1:9">
      <c r="A7" s="1900" t="s">
        <v>195</v>
      </c>
      <c r="B7" s="1908"/>
      <c r="C7" s="1896">
        <f>ROUND(未审资负表!C7,2)</f>
        <v>0</v>
      </c>
      <c r="D7" s="1896">
        <f>ROUND(SUMIF(资负表及利润表调整分录!$C$175:$C$207,试算平衡表!A7,资负表及利润表调整分录!$G$175:$G$207),2)</f>
        <v>0</v>
      </c>
      <c r="E7" s="1896">
        <f>ROUND(SUMIF(资负表及利润表调整分录!$C$175:$C$207,试算平衡表!A7,资负表及利润表调整分录!$H$175:$H$207),2)</f>
        <v>0</v>
      </c>
      <c r="F7" s="1896">
        <f>ROUND(C7+D7-E7,2)</f>
        <v>0</v>
      </c>
      <c r="G7" s="1896">
        <f>ROUND(审定资负表!C7,2)</f>
        <v>0</v>
      </c>
      <c r="H7" s="1896">
        <f>ROUND(F7-G7,2)</f>
        <v>0</v>
      </c>
      <c r="I7" s="2035">
        <f>IF(F7=0,0,H7/F7)</f>
        <v>0</v>
      </c>
    </row>
    <row r="8" s="2010" customFormat="1" ht="16.5" customHeight="1" spans="1:9">
      <c r="A8" s="1900" t="s">
        <v>1395</v>
      </c>
      <c r="B8" s="1908"/>
      <c r="C8" s="1896">
        <f>ROUND(未审资负表!C8,2)</f>
        <v>0</v>
      </c>
      <c r="D8" s="1896">
        <f>ROUND(SUMIF(资负表及利润表调整分录!$C$175:$C$207,试算平衡表!A8,资负表及利润表调整分录!$G$175:$G$207),2)</f>
        <v>0</v>
      </c>
      <c r="E8" s="1896">
        <f>ROUND(SUMIF(资负表及利润表调整分录!$C$175:$C$207,试算平衡表!A8,资负表及利润表调整分录!$H$175:$H$207),2)</f>
        <v>0</v>
      </c>
      <c r="F8" s="1896">
        <f t="shared" ref="F8:F18" si="0">ROUND(C8+D8-E8,2)</f>
        <v>0</v>
      </c>
      <c r="G8" s="1896">
        <f>ROUND(审定资负表!C8,2)</f>
        <v>0</v>
      </c>
      <c r="H8" s="1896">
        <f t="shared" ref="H8:H19" si="1">ROUND(F8-G8,2)</f>
        <v>0</v>
      </c>
      <c r="I8" s="2035">
        <f t="shared" ref="I8:I19" si="2">IF(F8=0,0,H8/F8)</f>
        <v>0</v>
      </c>
    </row>
    <row r="9" s="2010" customFormat="1" ht="16.5" customHeight="1" spans="1:9">
      <c r="A9" s="1900" t="s">
        <v>199</v>
      </c>
      <c r="B9" s="1908"/>
      <c r="C9" s="1896">
        <f>ROUND(未审资负表!C9,2)</f>
        <v>0</v>
      </c>
      <c r="D9" s="1896">
        <f>ROUND(SUMIF(资负表及利润表调整分录!$C$175:$C$207,试算平衡表!A9,资负表及利润表调整分录!$G$175:$G$207),2)</f>
        <v>0</v>
      </c>
      <c r="E9" s="1896">
        <f>ROUND(SUMIF(资负表及利润表调整分录!$C$175:$C$207,试算平衡表!A9,资负表及利润表调整分录!$H$175:$H$207),2)</f>
        <v>0</v>
      </c>
      <c r="F9" s="1896">
        <f t="shared" si="0"/>
        <v>0</v>
      </c>
      <c r="G9" s="1896">
        <f>ROUND(审定资负表!C9,2)</f>
        <v>0</v>
      </c>
      <c r="H9" s="1896">
        <f t="shared" si="1"/>
        <v>0</v>
      </c>
      <c r="I9" s="2035">
        <f t="shared" si="2"/>
        <v>0</v>
      </c>
    </row>
    <row r="10" s="2010" customFormat="1" ht="16.5" customHeight="1" spans="1:9">
      <c r="A10" s="1900" t="s">
        <v>201</v>
      </c>
      <c r="B10" s="1908"/>
      <c r="C10" s="1896">
        <f>ROUND(未审资负表!C10,2)</f>
        <v>0</v>
      </c>
      <c r="D10" s="1896">
        <f>ROUND(SUMIF(资负表及利润表调整分录!$C$175:$C$207,试算平衡表!A10,资负表及利润表调整分录!$G$175:$G$207),2)</f>
        <v>0</v>
      </c>
      <c r="E10" s="1896">
        <f>ROUND(SUMIF(资负表及利润表调整分录!$C$175:$C$207,试算平衡表!A10,资负表及利润表调整分录!$H$175:$H$207),2)</f>
        <v>0</v>
      </c>
      <c r="F10" s="1896">
        <f t="shared" si="0"/>
        <v>0</v>
      </c>
      <c r="G10" s="1896">
        <f>ROUND(审定资负表!C10,2)</f>
        <v>0</v>
      </c>
      <c r="H10" s="1896">
        <f t="shared" si="1"/>
        <v>0</v>
      </c>
      <c r="I10" s="2035">
        <f t="shared" si="2"/>
        <v>0</v>
      </c>
    </row>
    <row r="11" s="2010" customFormat="1" ht="16.5" customHeight="1" spans="1:9">
      <c r="A11" s="1900" t="s">
        <v>203</v>
      </c>
      <c r="B11" s="1908"/>
      <c r="C11" s="1896">
        <f>ROUND(未审资负表!C11,2)</f>
        <v>0</v>
      </c>
      <c r="D11" s="1896">
        <f>ROUND(SUMIF(资负表及利润表调整分录!$C$175:$C$207,试算平衡表!A11,资负表及利润表调整分录!$G$175:$G$207),2)</f>
        <v>0</v>
      </c>
      <c r="E11" s="1896">
        <f>ROUND(SUMIF(资负表及利润表调整分录!$C$175:$C$207,试算平衡表!A11,资负表及利润表调整分录!$H$175:$H$207),2)</f>
        <v>0</v>
      </c>
      <c r="F11" s="1896">
        <f t="shared" si="0"/>
        <v>0</v>
      </c>
      <c r="G11" s="1896">
        <f>ROUND(审定资负表!C11,2)</f>
        <v>0</v>
      </c>
      <c r="H11" s="1896">
        <f t="shared" si="1"/>
        <v>0</v>
      </c>
      <c r="I11" s="2035">
        <f t="shared" si="2"/>
        <v>0</v>
      </c>
    </row>
    <row r="12" s="2010" customFormat="1" ht="16.5" customHeight="1" spans="1:9">
      <c r="A12" s="1900" t="s">
        <v>205</v>
      </c>
      <c r="B12" s="1908"/>
      <c r="C12" s="1896">
        <f>ROUND(未审资负表!C12,2)</f>
        <v>0</v>
      </c>
      <c r="D12" s="1896">
        <f>ROUND(SUMIF(资负表及利润表调整分录!$C$175:$C$207,试算平衡表!A12,资负表及利润表调整分录!$G$175:$G$207),2)</f>
        <v>0</v>
      </c>
      <c r="E12" s="1896">
        <f>ROUND(SUMIF(资负表及利润表调整分录!$C$175:$C$207,试算平衡表!A12,资负表及利润表调整分录!$H$175:$H$207),2)</f>
        <v>0</v>
      </c>
      <c r="F12" s="1896">
        <f t="shared" si="0"/>
        <v>0</v>
      </c>
      <c r="G12" s="1896">
        <f>ROUND(审定资负表!C12,2)</f>
        <v>0</v>
      </c>
      <c r="H12" s="1896">
        <f t="shared" si="1"/>
        <v>0</v>
      </c>
      <c r="I12" s="2035">
        <f t="shared" si="2"/>
        <v>0</v>
      </c>
    </row>
    <row r="13" s="2010" customFormat="1" ht="16.5" customHeight="1" spans="1:9">
      <c r="A13" s="1900" t="s">
        <v>207</v>
      </c>
      <c r="B13" s="1908"/>
      <c r="C13" s="1896">
        <f>ROUND(未审资负表!C13,2)</f>
        <v>0</v>
      </c>
      <c r="D13" s="1896">
        <f>ROUND(SUMIF(资负表及利润表调整分录!$C$175:$C$207,试算平衡表!A13,资负表及利润表调整分录!$G$175:$G$207),2)</f>
        <v>0</v>
      </c>
      <c r="E13" s="1896">
        <f>ROUND(SUMIF(资负表及利润表调整分录!$C$175:$C$207,试算平衡表!A13,资负表及利润表调整分录!$H$175:$H$207),2)</f>
        <v>0</v>
      </c>
      <c r="F13" s="1896">
        <f t="shared" si="0"/>
        <v>0</v>
      </c>
      <c r="G13" s="1896">
        <f>ROUND(审定资负表!C13,2)</f>
        <v>0</v>
      </c>
      <c r="H13" s="1896">
        <f t="shared" si="1"/>
        <v>0</v>
      </c>
      <c r="I13" s="2035">
        <f t="shared" si="2"/>
        <v>0</v>
      </c>
    </row>
    <row r="14" s="2010" customFormat="1" ht="16.5" customHeight="1" spans="1:9">
      <c r="A14" s="1900" t="s">
        <v>209</v>
      </c>
      <c r="B14" s="1908"/>
      <c r="C14" s="1896">
        <f>ROUND(未审资负表!C14,2)</f>
        <v>0</v>
      </c>
      <c r="D14" s="1896">
        <f>ROUND(SUMIF(资负表及利润表调整分录!$C$175:$C$207,试算平衡表!A14,资负表及利润表调整分录!$G$175:$G$207),2)</f>
        <v>0</v>
      </c>
      <c r="E14" s="1896">
        <f>ROUND(SUMIF(资负表及利润表调整分录!$C$175:$C$207,试算平衡表!A14,资负表及利润表调整分录!$H$175:$H$207),2)</f>
        <v>0</v>
      </c>
      <c r="F14" s="1896">
        <f t="shared" si="0"/>
        <v>0</v>
      </c>
      <c r="G14" s="1896">
        <f>ROUND(审定资负表!C14,2)</f>
        <v>0</v>
      </c>
      <c r="H14" s="1896">
        <f t="shared" si="1"/>
        <v>0</v>
      </c>
      <c r="I14" s="2035">
        <f t="shared" si="2"/>
        <v>0</v>
      </c>
    </row>
    <row r="15" s="2010" customFormat="1" ht="16.5" customHeight="1" spans="1:9">
      <c r="A15" s="1900" t="s">
        <v>211</v>
      </c>
      <c r="B15" s="1908"/>
      <c r="C15" s="1896">
        <f>ROUND(未审资负表!C15,2)</f>
        <v>60811434.3</v>
      </c>
      <c r="D15" s="1896">
        <f>ROUND(SUMIF(资负表及利润表调整分录!$C$175:$C$207,试算平衡表!A15,资负表及利润表调整分录!$G$175:$G$207),2)</f>
        <v>-4358381.35</v>
      </c>
      <c r="E15" s="1896">
        <f>ROUND(SUMIF(资负表及利润表调整分录!$C$175:$C$207,试算平衡表!A15,资负表及利润表调整分录!$H$175:$H$207),2)</f>
        <v>0</v>
      </c>
      <c r="F15" s="1896">
        <f t="shared" si="0"/>
        <v>56453052.95</v>
      </c>
      <c r="G15" s="1896">
        <f>ROUND(审定资负表!C15,2)</f>
        <v>56453052.95</v>
      </c>
      <c r="H15" s="1896">
        <f t="shared" si="1"/>
        <v>0</v>
      </c>
      <c r="I15" s="2035">
        <f t="shared" si="2"/>
        <v>0</v>
      </c>
    </row>
    <row r="16" s="2010" customFormat="1" ht="16.5" customHeight="1" spans="1:9">
      <c r="A16" s="1900" t="s">
        <v>213</v>
      </c>
      <c r="B16" s="1908"/>
      <c r="C16" s="1896">
        <f>ROUND(未审资负表!C16,2)</f>
        <v>0</v>
      </c>
      <c r="D16" s="1896">
        <f>ROUND(SUMIF(资负表及利润表调整分录!$C$175:$C$207,试算平衡表!A16,资负表及利润表调整分录!$G$175:$G$207),2)</f>
        <v>0</v>
      </c>
      <c r="E16" s="1896">
        <f>ROUND(SUMIF(资负表及利润表调整分录!$C$175:$C$207,试算平衡表!A16,资负表及利润表调整分录!$H$175:$H$207),2)</f>
        <v>0</v>
      </c>
      <c r="F16" s="1896">
        <f t="shared" si="0"/>
        <v>0</v>
      </c>
      <c r="G16" s="1896">
        <f>ROUND(审定资负表!C16,2)</f>
        <v>0</v>
      </c>
      <c r="H16" s="1896">
        <f t="shared" si="1"/>
        <v>0</v>
      </c>
      <c r="I16" s="2035">
        <f t="shared" si="2"/>
        <v>0</v>
      </c>
    </row>
    <row r="17" s="2010" customFormat="1" ht="16.5" customHeight="1" spans="1:9">
      <c r="A17" s="1900" t="s">
        <v>215</v>
      </c>
      <c r="B17" s="1908"/>
      <c r="C17" s="1896">
        <f>ROUND(未审资负表!C17,2)</f>
        <v>0</v>
      </c>
      <c r="D17" s="1896">
        <f>ROUND(SUMIF(资负表及利润表调整分录!$C$175:$C$207,试算平衡表!A17,资负表及利润表调整分录!$G$175:$G$207),2)</f>
        <v>0</v>
      </c>
      <c r="E17" s="1896">
        <f>ROUND(SUMIF(资负表及利润表调整分录!$C$175:$C$207,试算平衡表!A17,资负表及利润表调整分录!$H$175:$H$207),2)</f>
        <v>0</v>
      </c>
      <c r="F17" s="1896">
        <f t="shared" si="0"/>
        <v>0</v>
      </c>
      <c r="G17" s="1896">
        <f>ROUND(审定资负表!C17,2)</f>
        <v>0</v>
      </c>
      <c r="H17" s="1896">
        <f t="shared" si="1"/>
        <v>0</v>
      </c>
      <c r="I17" s="2035">
        <f t="shared" si="2"/>
        <v>0</v>
      </c>
    </row>
    <row r="18" s="2010" customFormat="1" ht="16.5" customHeight="1" spans="1:9">
      <c r="A18" s="1900" t="str">
        <f>未审资负表!A18</f>
        <v>持有待售资产</v>
      </c>
      <c r="B18" s="1908"/>
      <c r="C18" s="1896">
        <f>ROUND(未审资负表!C18,2)</f>
        <v>0</v>
      </c>
      <c r="D18" s="1896">
        <f>ROUND(SUMIF(资负表及利润表调整分录!$C$175:$C$207,试算平衡表!A18,资负表及利润表调整分录!$G$175:$G$207),2)</f>
        <v>0</v>
      </c>
      <c r="E18" s="1896">
        <f>ROUND(SUMIF(资负表及利润表调整分录!$C$175:$C$207,试算平衡表!A18,资负表及利润表调整分录!$H$175:$H$207),2)</f>
        <v>0</v>
      </c>
      <c r="F18" s="1896">
        <f t="shared" si="0"/>
        <v>0</v>
      </c>
      <c r="G18" s="1896">
        <f>ROUND(审定资负表!C18,2)</f>
        <v>0</v>
      </c>
      <c r="H18" s="1896">
        <f t="shared" si="1"/>
        <v>0</v>
      </c>
      <c r="I18" s="2035">
        <f t="shared" si="2"/>
        <v>0</v>
      </c>
    </row>
    <row r="19" s="2010" customFormat="1" ht="16.5" customHeight="1" spans="1:9">
      <c r="A19" s="1905" t="s">
        <v>219</v>
      </c>
      <c r="B19" s="1906"/>
      <c r="C19" s="2023">
        <f>ROUND(SUM(C7:C18),2)</f>
        <v>60811434.3</v>
      </c>
      <c r="D19" s="2023">
        <f>ROUND(SUM(D7:D18),2)</f>
        <v>-4358381.35</v>
      </c>
      <c r="E19" s="2023">
        <f>ROUND(SUM(E7:E18),2)</f>
        <v>0</v>
      </c>
      <c r="F19" s="2023">
        <f>ROUND(SUM(F7:F18),2)</f>
        <v>56453052.95</v>
      </c>
      <c r="G19" s="2023">
        <f>ROUND(SUM(G7:G18),2)</f>
        <v>56453052.95</v>
      </c>
      <c r="H19" s="1896">
        <f t="shared" si="1"/>
        <v>0</v>
      </c>
      <c r="I19" s="2035">
        <f t="shared" si="2"/>
        <v>0</v>
      </c>
    </row>
    <row r="20" s="2010" customFormat="1" ht="16.5" customHeight="1" spans="1:9">
      <c r="A20" s="1907"/>
      <c r="B20" s="1908"/>
      <c r="C20" s="1896"/>
      <c r="D20" s="1896"/>
      <c r="E20" s="1896"/>
      <c r="F20" s="1896"/>
      <c r="G20" s="1896"/>
      <c r="H20" s="2023"/>
      <c r="I20" s="2036"/>
    </row>
    <row r="21" s="2010" customFormat="1" ht="16.5" customHeight="1" spans="1:9">
      <c r="A21" s="1893" t="s">
        <v>222</v>
      </c>
      <c r="B21" s="1894"/>
      <c r="C21" s="1896"/>
      <c r="D21" s="1896"/>
      <c r="E21" s="1896"/>
      <c r="F21" s="1896"/>
      <c r="G21" s="1896"/>
      <c r="H21" s="1913"/>
      <c r="I21" s="1903"/>
    </row>
    <row r="22" s="2010" customFormat="1" ht="16.5" customHeight="1" spans="1:9">
      <c r="A22" s="1900" t="s">
        <v>223</v>
      </c>
      <c r="B22" s="1908"/>
      <c r="C22" s="1896">
        <f>ROUND(未审资负表!C22,2)</f>
        <v>0</v>
      </c>
      <c r="D22" s="1896">
        <f>ROUND(SUMIF(资负表及利润表调整分录!$C$175:$C$207,试算平衡表!A22,资负表及利润表调整分录!$G$175:$G$207),2)</f>
        <v>0</v>
      </c>
      <c r="E22" s="1896">
        <f>ROUND(SUMIF(资负表及利润表调整分录!$C$175:$C$207,试算平衡表!A22,资负表及利润表调整分录!$H$175:$H$207),2)</f>
        <v>0</v>
      </c>
      <c r="F22" s="1896">
        <f t="shared" ref="F22:F39" si="3">ROUND(C22+D22-E22,2)</f>
        <v>0</v>
      </c>
      <c r="G22" s="1896">
        <f>ROUND(审定资负表!C22,2)</f>
        <v>0</v>
      </c>
      <c r="H22" s="1896">
        <f t="shared" ref="H22:H40" si="4">ROUND(F22-G22,2)</f>
        <v>0</v>
      </c>
      <c r="I22" s="2035">
        <f t="shared" ref="I22:I40" si="5">IF(F22=0,0,H22/F22)</f>
        <v>0</v>
      </c>
    </row>
    <row r="23" s="2010" customFormat="1" ht="16.5" customHeight="1" spans="1:9">
      <c r="A23" s="1900" t="s">
        <v>225</v>
      </c>
      <c r="B23" s="1908"/>
      <c r="C23" s="1896">
        <f>ROUND(未审资负表!C23,2)</f>
        <v>0</v>
      </c>
      <c r="D23" s="1896">
        <f>ROUND(SUMIF(资负表及利润表调整分录!$C$175:$C$207,试算平衡表!A23,资负表及利润表调整分录!$G$175:$G$207),2)</f>
        <v>0</v>
      </c>
      <c r="E23" s="1896">
        <f>ROUND(SUMIF(资负表及利润表调整分录!$C$175:$C$207,试算平衡表!A23,资负表及利润表调整分录!$H$175:$H$207),2)</f>
        <v>0</v>
      </c>
      <c r="F23" s="1896">
        <f t="shared" si="3"/>
        <v>0</v>
      </c>
      <c r="G23" s="1896">
        <f>ROUND(审定资负表!C23,2)</f>
        <v>0</v>
      </c>
      <c r="H23" s="1896">
        <f t="shared" si="4"/>
        <v>0</v>
      </c>
      <c r="I23" s="2035">
        <f t="shared" si="5"/>
        <v>0</v>
      </c>
    </row>
    <row r="24" s="2010" customFormat="1" ht="16.5" customHeight="1" spans="1:9">
      <c r="A24" s="1900" t="s">
        <v>227</v>
      </c>
      <c r="B24" s="1908"/>
      <c r="C24" s="1896">
        <f>ROUND(未审资负表!C24,2)</f>
        <v>0</v>
      </c>
      <c r="D24" s="1896">
        <f>ROUND(SUMIF(资负表及利润表调整分录!$C$175:$C$207,试算平衡表!A24,资负表及利润表调整分录!$G$175:$G$207),2)</f>
        <v>0</v>
      </c>
      <c r="E24" s="1896">
        <f>ROUND(SUMIF(资负表及利润表调整分录!$C$175:$C$207,试算平衡表!A24,资负表及利润表调整分录!$H$175:$H$207),2)</f>
        <v>0</v>
      </c>
      <c r="F24" s="1896">
        <f t="shared" si="3"/>
        <v>0</v>
      </c>
      <c r="G24" s="1896">
        <f>ROUND(审定资负表!C24,2)</f>
        <v>0</v>
      </c>
      <c r="H24" s="1896">
        <f t="shared" si="4"/>
        <v>0</v>
      </c>
      <c r="I24" s="2035">
        <f t="shared" si="5"/>
        <v>0</v>
      </c>
    </row>
    <row r="25" s="2010" customFormat="1" ht="16.5" customHeight="1" spans="1:9">
      <c r="A25" s="1900" t="s">
        <v>229</v>
      </c>
      <c r="B25" s="1908"/>
      <c r="C25" s="1896">
        <f>ROUND(未审资负表!C25,2)</f>
        <v>0</v>
      </c>
      <c r="D25" s="1896">
        <f>ROUND(SUMIF(资负表及利润表调整分录!$C$175:$C$207,试算平衡表!A25,资负表及利润表调整分录!$G$175:$G$207),2)</f>
        <v>0</v>
      </c>
      <c r="E25" s="1896">
        <f>ROUND(SUMIF(资负表及利润表调整分录!$C$175:$C$207,试算平衡表!A25,资负表及利润表调整分录!$H$175:$H$207),2)</f>
        <v>0</v>
      </c>
      <c r="F25" s="1896">
        <f t="shared" si="3"/>
        <v>0</v>
      </c>
      <c r="G25" s="1896">
        <f>ROUND(审定资负表!C25,2)</f>
        <v>0</v>
      </c>
      <c r="H25" s="1896">
        <f t="shared" si="4"/>
        <v>0</v>
      </c>
      <c r="I25" s="2035">
        <f t="shared" si="5"/>
        <v>0</v>
      </c>
    </row>
    <row r="26" s="2010" customFormat="1" ht="16.5" customHeight="1" spans="1:9">
      <c r="A26" s="1900" t="s">
        <v>231</v>
      </c>
      <c r="B26" s="1908"/>
      <c r="C26" s="1896">
        <f>ROUND(未审资负表!C26,2)</f>
        <v>0</v>
      </c>
      <c r="D26" s="1896">
        <f>ROUND(SUMIF(资负表及利润表调整分录!$C$175:$C$207,试算平衡表!A26,资负表及利润表调整分录!$G$175:$G$207),2)</f>
        <v>0</v>
      </c>
      <c r="E26" s="1896">
        <f>ROUND(SUMIF(资负表及利润表调整分录!$C$175:$C$207,试算平衡表!A26,资负表及利润表调整分录!$H$175:$H$207),2)</f>
        <v>0</v>
      </c>
      <c r="F26" s="1896">
        <f t="shared" si="3"/>
        <v>0</v>
      </c>
      <c r="G26" s="1896">
        <f>ROUND(审定资负表!C26,2)</f>
        <v>0</v>
      </c>
      <c r="H26" s="1896">
        <f t="shared" si="4"/>
        <v>0</v>
      </c>
      <c r="I26" s="2035">
        <f t="shared" si="5"/>
        <v>0</v>
      </c>
    </row>
    <row r="27" s="2010" customFormat="1" ht="16.5" customHeight="1" spans="1:9">
      <c r="A27" s="1900" t="s">
        <v>233</v>
      </c>
      <c r="B27" s="1908"/>
      <c r="C27" s="1896">
        <f>ROUND(未审资负表!C27,2)</f>
        <v>0</v>
      </c>
      <c r="D27" s="1896">
        <f>ROUND(SUMIF(资负表及利润表调整分录!$C$175:$C$207,试算平衡表!A27,资负表及利润表调整分录!$G$175:$G$207),2)</f>
        <v>0</v>
      </c>
      <c r="E27" s="1896">
        <f>ROUND(SUMIF(资负表及利润表调整分录!$C$175:$C$207,试算平衡表!A27,资负表及利润表调整分录!$H$175:$H$207),2)</f>
        <v>0</v>
      </c>
      <c r="F27" s="1896">
        <f t="shared" si="3"/>
        <v>0</v>
      </c>
      <c r="G27" s="1896">
        <f>ROUND(审定资负表!C27,2)</f>
        <v>0</v>
      </c>
      <c r="H27" s="1896">
        <f t="shared" si="4"/>
        <v>0</v>
      </c>
      <c r="I27" s="2035">
        <f t="shared" si="5"/>
        <v>0</v>
      </c>
    </row>
    <row r="28" s="2010" customFormat="1" ht="16.5" customHeight="1" spans="1:9">
      <c r="A28" s="1900" t="s">
        <v>235</v>
      </c>
      <c r="B28" s="1908"/>
      <c r="C28" s="1896">
        <f>ROUND(未审资负表!C28,2)</f>
        <v>0</v>
      </c>
      <c r="D28" s="1896">
        <f>ROUND(SUMIF(资负表及利润表调整分录!$C$175:$C$207,试算平衡表!A28,资负表及利润表调整分录!$G$175:$G$207),2)</f>
        <v>0</v>
      </c>
      <c r="E28" s="1896">
        <f>ROUND(SUMIF(资负表及利润表调整分录!$C$175:$C$207,试算平衡表!A28,资负表及利润表调整分录!$H$175:$H$207),2)</f>
        <v>0</v>
      </c>
      <c r="F28" s="1896">
        <f t="shared" si="3"/>
        <v>0</v>
      </c>
      <c r="G28" s="1896">
        <f>ROUND(审定资负表!C28,2)</f>
        <v>0</v>
      </c>
      <c r="H28" s="1896">
        <f t="shared" si="4"/>
        <v>0</v>
      </c>
      <c r="I28" s="2035">
        <f t="shared" si="5"/>
        <v>0</v>
      </c>
    </row>
    <row r="29" s="2010" customFormat="1" ht="16.5" customHeight="1" spans="1:9">
      <c r="A29" s="1900" t="s">
        <v>237</v>
      </c>
      <c r="B29" s="1908"/>
      <c r="C29" s="1896">
        <f>ROUND(未审资负表!C29,2)</f>
        <v>0</v>
      </c>
      <c r="D29" s="1896">
        <f>ROUND(SUMIF(资负表及利润表调整分录!$C$175:$C$207,试算平衡表!A29,资负表及利润表调整分录!$G$175:$G$207),2)</f>
        <v>0</v>
      </c>
      <c r="E29" s="1896">
        <f>ROUND(SUMIF(资负表及利润表调整分录!$C$175:$C$207,试算平衡表!A29,资负表及利润表调整分录!$H$175:$H$207),2)</f>
        <v>0</v>
      </c>
      <c r="F29" s="1896">
        <f t="shared" si="3"/>
        <v>0</v>
      </c>
      <c r="G29" s="1896">
        <f>ROUND(审定资负表!C29,2)</f>
        <v>0</v>
      </c>
      <c r="H29" s="1896">
        <f t="shared" si="4"/>
        <v>0</v>
      </c>
      <c r="I29" s="2035">
        <f t="shared" si="5"/>
        <v>0</v>
      </c>
    </row>
    <row r="30" s="2010" customFormat="1" ht="16.5" customHeight="1" spans="1:9">
      <c r="A30" s="1900" t="s">
        <v>239</v>
      </c>
      <c r="B30" s="1908"/>
      <c r="C30" s="1896">
        <f>ROUND(未审资负表!C30,2)</f>
        <v>0</v>
      </c>
      <c r="D30" s="1896">
        <f>ROUND(SUMIF(资负表及利润表调整分录!$C$175:$C$207,试算平衡表!A30,资负表及利润表调整分录!$G$175:$G$207),2)</f>
        <v>0</v>
      </c>
      <c r="E30" s="1896">
        <f>ROUND(SUMIF(资负表及利润表调整分录!$C$175:$C$207,试算平衡表!A30,资负表及利润表调整分录!$H$175:$H$207),2)</f>
        <v>0</v>
      </c>
      <c r="F30" s="1896">
        <f t="shared" si="3"/>
        <v>0</v>
      </c>
      <c r="G30" s="1896">
        <f>ROUND(审定资负表!C30,2)</f>
        <v>0</v>
      </c>
      <c r="H30" s="1896">
        <f t="shared" si="4"/>
        <v>0</v>
      </c>
      <c r="I30" s="2035">
        <f t="shared" si="5"/>
        <v>0</v>
      </c>
    </row>
    <row r="31" s="2010" customFormat="1" ht="16.5" customHeight="1" spans="1:9">
      <c r="A31" s="1900" t="s">
        <v>241</v>
      </c>
      <c r="B31" s="1908"/>
      <c r="C31" s="1896">
        <f>ROUND(未审资负表!C31,2)</f>
        <v>0</v>
      </c>
      <c r="D31" s="1896">
        <f>ROUND(SUMIF(资负表及利润表调整分录!$C$175:$C$207,试算平衡表!A31,资负表及利润表调整分录!$G$175:$G$207),2)</f>
        <v>0</v>
      </c>
      <c r="E31" s="1896">
        <f>ROUND(SUMIF(资负表及利润表调整分录!$C$175:$C$207,试算平衡表!A31,资负表及利润表调整分录!$H$175:$H$207),2)</f>
        <v>0</v>
      </c>
      <c r="F31" s="1896">
        <f t="shared" si="3"/>
        <v>0</v>
      </c>
      <c r="G31" s="1896">
        <f>ROUND(审定资负表!C31,2)</f>
        <v>0</v>
      </c>
      <c r="H31" s="1896">
        <f t="shared" si="4"/>
        <v>0</v>
      </c>
      <c r="I31" s="2035">
        <f t="shared" si="5"/>
        <v>0</v>
      </c>
    </row>
    <row r="32" s="2010" customFormat="1" ht="16.5" customHeight="1" spans="1:9">
      <c r="A32" s="1900" t="s">
        <v>243</v>
      </c>
      <c r="B32" s="1908"/>
      <c r="C32" s="1896">
        <f>ROUND(未审资负表!C32,2)</f>
        <v>0</v>
      </c>
      <c r="D32" s="1896">
        <f>ROUND(SUMIF(资负表及利润表调整分录!$C$175:$C$207,试算平衡表!A32,资负表及利润表调整分录!$G$175:$G$207),2)</f>
        <v>0</v>
      </c>
      <c r="E32" s="1896">
        <f>ROUND(SUMIF(资负表及利润表调整分录!$C$175:$C$207,试算平衡表!A32,资负表及利润表调整分录!$H$175:$H$207),2)</f>
        <v>0</v>
      </c>
      <c r="F32" s="1896">
        <f t="shared" si="3"/>
        <v>0</v>
      </c>
      <c r="G32" s="1896">
        <f>ROUND(审定资负表!C32,2)</f>
        <v>0</v>
      </c>
      <c r="H32" s="1896">
        <f t="shared" si="4"/>
        <v>0</v>
      </c>
      <c r="I32" s="2035">
        <f t="shared" si="5"/>
        <v>0</v>
      </c>
    </row>
    <row r="33" s="2010" customFormat="1" ht="16.5" customHeight="1" spans="1:9">
      <c r="A33" s="1900" t="s">
        <v>244</v>
      </c>
      <c r="B33" s="1908"/>
      <c r="C33" s="1896">
        <f>ROUND(未审资负表!C33,2)</f>
        <v>0</v>
      </c>
      <c r="D33" s="1896">
        <f>ROUND(SUMIF(资负表及利润表调整分录!$C$175:$C$207,试算平衡表!A33,资负表及利润表调整分录!$G$175:$G$207),2)</f>
        <v>0</v>
      </c>
      <c r="E33" s="1896">
        <f>ROUND(SUMIF(资负表及利润表调整分录!$C$175:$C$207,试算平衡表!A33,资负表及利润表调整分录!$H$175:$H$207),2)</f>
        <v>0</v>
      </c>
      <c r="F33" s="1896">
        <f t="shared" si="3"/>
        <v>0</v>
      </c>
      <c r="G33" s="1896">
        <f>ROUND(审定资负表!C33,2)</f>
        <v>0</v>
      </c>
      <c r="H33" s="1896">
        <f t="shared" si="4"/>
        <v>0</v>
      </c>
      <c r="I33" s="2035">
        <f t="shared" si="5"/>
        <v>0</v>
      </c>
    </row>
    <row r="34" s="2010" customFormat="1" ht="16.5" customHeight="1" spans="1:9">
      <c r="A34" s="1900" t="s">
        <v>246</v>
      </c>
      <c r="B34" s="1908"/>
      <c r="C34" s="1896">
        <f>ROUND(未审资负表!C34,2)</f>
        <v>0</v>
      </c>
      <c r="D34" s="1896">
        <f>ROUND(SUMIF(资负表及利润表调整分录!$C$175:$C$207,试算平衡表!A34,资负表及利润表调整分录!$G$175:$G$207),2)</f>
        <v>0</v>
      </c>
      <c r="E34" s="1896">
        <f>ROUND(SUMIF(资负表及利润表调整分录!$C$175:$C$207,试算平衡表!A34,资负表及利润表调整分录!$H$175:$H$207),2)</f>
        <v>0</v>
      </c>
      <c r="F34" s="1896">
        <f t="shared" si="3"/>
        <v>0</v>
      </c>
      <c r="G34" s="1896">
        <f>ROUND(审定资负表!C34,2)</f>
        <v>0</v>
      </c>
      <c r="H34" s="1896">
        <f t="shared" si="4"/>
        <v>0</v>
      </c>
      <c r="I34" s="2035">
        <f t="shared" si="5"/>
        <v>0</v>
      </c>
    </row>
    <row r="35" s="2010" customFormat="1" ht="16.5" customHeight="1" spans="1:9">
      <c r="A35" s="1900" t="s">
        <v>247</v>
      </c>
      <c r="B35" s="1908"/>
      <c r="C35" s="1896">
        <f>ROUND(未审资负表!C35,2)</f>
        <v>0</v>
      </c>
      <c r="D35" s="1896">
        <f>ROUND(SUMIF(资负表及利润表调整分录!$C$175:$C$207,试算平衡表!A35,资负表及利润表调整分录!$G$175:$G$207),2)</f>
        <v>0</v>
      </c>
      <c r="E35" s="1896">
        <f>ROUND(SUMIF(资负表及利润表调整分录!$C$175:$C$207,试算平衡表!A35,资负表及利润表调整分录!$H$175:$H$207),2)</f>
        <v>0</v>
      </c>
      <c r="F35" s="1896">
        <f t="shared" si="3"/>
        <v>0</v>
      </c>
      <c r="G35" s="1896">
        <f>ROUND(审定资负表!C35,2)</f>
        <v>0</v>
      </c>
      <c r="H35" s="1896">
        <f t="shared" si="4"/>
        <v>0</v>
      </c>
      <c r="I35" s="2035">
        <f t="shared" si="5"/>
        <v>0</v>
      </c>
    </row>
    <row r="36" s="2010" customFormat="1" ht="16.5" customHeight="1" spans="1:9">
      <c r="A36" s="1900" t="s">
        <v>249</v>
      </c>
      <c r="B36" s="1908"/>
      <c r="C36" s="1896">
        <f>ROUND(未审资负表!C36,2)</f>
        <v>0</v>
      </c>
      <c r="D36" s="1896">
        <f>ROUND(SUMIF(资负表及利润表调整分录!$C$175:$C$207,试算平衡表!A36,资负表及利润表调整分录!$G$175:$G$207),2)</f>
        <v>0</v>
      </c>
      <c r="E36" s="1896">
        <f>ROUND(SUMIF(资负表及利润表调整分录!$C$175:$C$207,试算平衡表!A36,资负表及利润表调整分录!$H$175:$H$207),2)</f>
        <v>0</v>
      </c>
      <c r="F36" s="1896">
        <f t="shared" si="3"/>
        <v>0</v>
      </c>
      <c r="G36" s="1896">
        <f>ROUND(审定资负表!C36,2)</f>
        <v>0</v>
      </c>
      <c r="H36" s="1896">
        <f t="shared" si="4"/>
        <v>0</v>
      </c>
      <c r="I36" s="2035">
        <f t="shared" si="5"/>
        <v>0</v>
      </c>
    </row>
    <row r="37" s="2010" customFormat="1" ht="16.5" customHeight="1" spans="1:9">
      <c r="A37" s="1900" t="s">
        <v>251</v>
      </c>
      <c r="B37" s="1908"/>
      <c r="C37" s="1896">
        <f>ROUND(未审资负表!C37,2)</f>
        <v>0</v>
      </c>
      <c r="D37" s="1896">
        <f>ROUND(SUMIF(资负表及利润表调整分录!$C$175:$C$207,试算平衡表!A37,资负表及利润表调整分录!$G$175:$G$207),2)</f>
        <v>0</v>
      </c>
      <c r="E37" s="1896">
        <f>ROUND(SUMIF(资负表及利润表调整分录!$C$175:$C$207,试算平衡表!A37,资负表及利润表调整分录!$H$175:$H$207),2)</f>
        <v>0</v>
      </c>
      <c r="F37" s="1896">
        <f t="shared" si="3"/>
        <v>0</v>
      </c>
      <c r="G37" s="1896">
        <f>ROUND(审定资负表!C37,2)</f>
        <v>0</v>
      </c>
      <c r="H37" s="1896">
        <f t="shared" si="4"/>
        <v>0</v>
      </c>
      <c r="I37" s="2035">
        <f t="shared" si="5"/>
        <v>0</v>
      </c>
    </row>
    <row r="38" s="2010" customFormat="1" ht="16.5" customHeight="1" spans="1:9">
      <c r="A38" s="1900" t="s">
        <v>253</v>
      </c>
      <c r="B38" s="1908"/>
      <c r="C38" s="1896">
        <f>ROUND(未审资负表!C38,2)</f>
        <v>0</v>
      </c>
      <c r="D38" s="1896">
        <f>ROUND(SUMIF(资负表及利润表调整分录!$C$175:$C$207,试算平衡表!A38,资负表及利润表调整分录!$G$175:$G$207),2)</f>
        <v>0</v>
      </c>
      <c r="E38" s="1896">
        <f>ROUND(SUMIF(资负表及利润表调整分录!$C$175:$C$207,试算平衡表!A38,资负表及利润表调整分录!$H$175:$H$207),2)</f>
        <v>0</v>
      </c>
      <c r="F38" s="1896">
        <f t="shared" si="3"/>
        <v>0</v>
      </c>
      <c r="G38" s="1896">
        <f>ROUND(审定资负表!C38,2)</f>
        <v>0</v>
      </c>
      <c r="H38" s="1896">
        <f t="shared" si="4"/>
        <v>0</v>
      </c>
      <c r="I38" s="2035">
        <f t="shared" si="5"/>
        <v>0</v>
      </c>
    </row>
    <row r="39" s="2010" customFormat="1" ht="16.5" customHeight="1" spans="1:9">
      <c r="A39" s="1900">
        <f>未审资负表!A39</f>
        <v>0</v>
      </c>
      <c r="B39" s="1908"/>
      <c r="C39" s="1896">
        <f>ROUND(未审资负表!C39,2)</f>
        <v>0</v>
      </c>
      <c r="D39" s="1896">
        <f>ROUND(SUMIF(资负表及利润表调整分录!$C$175:$C$207,试算平衡表!A39,资负表及利润表调整分录!$G$175:$G$207),2)</f>
        <v>0</v>
      </c>
      <c r="E39" s="1896">
        <f>ROUND(SUMIF(资负表及利润表调整分录!$C$175:$C$207,试算平衡表!A39,资负表及利润表调整分录!$H$175:$H$207),2)</f>
        <v>0</v>
      </c>
      <c r="F39" s="1896">
        <f t="shared" si="3"/>
        <v>0</v>
      </c>
      <c r="G39" s="1896">
        <f>ROUND(审定资负表!C39,2)</f>
        <v>0</v>
      </c>
      <c r="H39" s="1896">
        <f t="shared" si="4"/>
        <v>0</v>
      </c>
      <c r="I39" s="2035">
        <f t="shared" si="5"/>
        <v>0</v>
      </c>
    </row>
    <row r="40" s="2010" customFormat="1" ht="16.5" customHeight="1" spans="1:9">
      <c r="A40" s="1905" t="s">
        <v>256</v>
      </c>
      <c r="B40" s="1908"/>
      <c r="C40" s="2023">
        <f>ROUND(SUM(C22:C39),2)</f>
        <v>0</v>
      </c>
      <c r="D40" s="2023">
        <f>ROUND(SUM(D22:D39),2)</f>
        <v>0</v>
      </c>
      <c r="E40" s="2023">
        <f>ROUND(SUM(E22:E39),2)</f>
        <v>0</v>
      </c>
      <c r="F40" s="2023">
        <f>ROUND(SUM(F22:F39),2)</f>
        <v>0</v>
      </c>
      <c r="G40" s="2023">
        <f>ROUND(SUM(G22:G39),2)</f>
        <v>0</v>
      </c>
      <c r="H40" s="1896">
        <f t="shared" si="4"/>
        <v>0</v>
      </c>
      <c r="I40" s="2035">
        <f t="shared" si="5"/>
        <v>0</v>
      </c>
    </row>
    <row r="41" s="2010" customFormat="1" ht="16.5" customHeight="1" spans="1:9">
      <c r="A41" s="1917"/>
      <c r="B41" s="1908"/>
      <c r="C41" s="1896"/>
      <c r="D41" s="1896"/>
      <c r="E41" s="1896"/>
      <c r="F41" s="1896"/>
      <c r="G41" s="1896"/>
      <c r="H41" s="2023"/>
      <c r="I41" s="2036"/>
    </row>
    <row r="42" s="2010" customFormat="1" ht="16.5" customHeight="1" spans="1:9">
      <c r="A42" s="1917"/>
      <c r="B42" s="1908"/>
      <c r="C42" s="1896"/>
      <c r="D42" s="1896"/>
      <c r="E42" s="1896"/>
      <c r="F42" s="1896"/>
      <c r="G42" s="1896"/>
      <c r="H42" s="2023"/>
      <c r="I42" s="2036"/>
    </row>
    <row r="43" s="2010" customFormat="1" ht="17.25" hidden="1" customHeight="1" spans="1:9">
      <c r="A43" s="1917"/>
      <c r="B43" s="1906"/>
      <c r="C43" s="1896"/>
      <c r="D43" s="1896"/>
      <c r="E43" s="1896"/>
      <c r="F43" s="1896"/>
      <c r="G43" s="1896"/>
      <c r="H43" s="2023"/>
      <c r="I43" s="2036"/>
    </row>
    <row r="44" s="2010" customFormat="1" ht="17.25" hidden="1" customHeight="1" spans="1:9">
      <c r="A44" s="1917"/>
      <c r="B44" s="1908"/>
      <c r="C44" s="1896"/>
      <c r="D44" s="1896"/>
      <c r="E44" s="1896"/>
      <c r="F44" s="1896"/>
      <c r="G44" s="1896"/>
      <c r="H44" s="2023"/>
      <c r="I44" s="2036"/>
    </row>
    <row r="45" ht="17.25" hidden="1" customHeight="1" spans="1:9">
      <c r="A45" s="1917"/>
      <c r="B45" s="1908"/>
      <c r="C45" s="1896"/>
      <c r="D45" s="1896"/>
      <c r="E45" s="1896"/>
      <c r="F45" s="1896"/>
      <c r="G45" s="1896"/>
      <c r="H45" s="2023"/>
      <c r="I45" s="2036"/>
    </row>
    <row r="46" ht="16.5" customHeight="1" spans="1:9">
      <c r="A46" s="1917"/>
      <c r="B46" s="1908"/>
      <c r="C46" s="1896"/>
      <c r="D46" s="1896"/>
      <c r="E46" s="1896"/>
      <c r="F46" s="1896"/>
      <c r="G46" s="1896"/>
      <c r="H46" s="2023"/>
      <c r="I46" s="2036"/>
    </row>
    <row r="47" ht="16.5" customHeight="1" spans="1:9">
      <c r="A47" s="1917"/>
      <c r="B47" s="1908"/>
      <c r="C47" s="1896"/>
      <c r="D47" s="1896"/>
      <c r="E47" s="1896"/>
      <c r="F47" s="1896"/>
      <c r="G47" s="1896"/>
      <c r="H47" s="1896"/>
      <c r="I47" s="1903"/>
    </row>
    <row r="48" ht="16.5" customHeight="1" spans="1:9">
      <c r="A48" s="1921" t="s">
        <v>263</v>
      </c>
      <c r="B48" s="1922"/>
      <c r="C48" s="2024">
        <f>ROUND(C19+C40,2)</f>
        <v>60811434.3</v>
      </c>
      <c r="D48" s="2024">
        <f>ROUND(D19+D40,2)</f>
        <v>-4358381.35</v>
      </c>
      <c r="E48" s="2024">
        <f>ROUND(E19+E40,2)</f>
        <v>0</v>
      </c>
      <c r="F48" s="2024">
        <f>ROUND(F19+F40,2)</f>
        <v>56453052.95</v>
      </c>
      <c r="G48" s="2024">
        <f>ROUND(G19+G40,2)</f>
        <v>56453052.95</v>
      </c>
      <c r="H48" s="2025">
        <f>ROUND(F48-G48,2)</f>
        <v>0</v>
      </c>
      <c r="I48" s="2037">
        <f>IF(F48=0,0,H48/F48)</f>
        <v>0</v>
      </c>
    </row>
    <row r="49" ht="27.75" customHeight="1" spans="1:9">
      <c r="A49" s="1777" t="s">
        <v>45</v>
      </c>
      <c r="B49" s="1878"/>
      <c r="C49" s="1878"/>
      <c r="D49" s="1878"/>
      <c r="E49" s="1878"/>
      <c r="F49" s="1878"/>
      <c r="G49" s="1878"/>
      <c r="H49" s="1878"/>
      <c r="I49" s="1878"/>
    </row>
    <row r="50" ht="15" customHeight="1" spans="1:11">
      <c r="A50" s="2014" t="s">
        <v>1551</v>
      </c>
      <c r="B50" s="1879"/>
      <c r="C50" s="1779"/>
      <c r="D50" s="1779"/>
      <c r="E50" s="1779"/>
      <c r="F50" s="1880" t="s">
        <v>1540</v>
      </c>
      <c r="G50" s="2015">
        <f>参数表!$F$10</f>
        <v>0</v>
      </c>
      <c r="H50" s="1880"/>
      <c r="I50" s="1880" t="s">
        <v>1541</v>
      </c>
      <c r="K50" s="2030"/>
    </row>
    <row r="51" ht="15" customHeight="1" spans="1:11">
      <c r="A51" s="2016" t="str">
        <f>"编制单位："&amp;参数表!C51</f>
        <v>编制单位：</v>
      </c>
      <c r="B51" s="2017"/>
      <c r="C51" s="1880"/>
      <c r="D51" s="1880"/>
      <c r="E51" s="1880"/>
      <c r="F51" s="1880" t="s">
        <v>1542</v>
      </c>
      <c r="G51" s="2015">
        <f>参数表!$C$11</f>
        <v>0</v>
      </c>
      <c r="H51" s="1880"/>
      <c r="I51" s="1881" t="s">
        <v>1391</v>
      </c>
      <c r="K51" s="2030"/>
    </row>
    <row r="52" s="2009" customFormat="1" ht="16.5" customHeight="1" spans="1:11">
      <c r="A52" s="1885" t="s">
        <v>192</v>
      </c>
      <c r="B52" s="1886" t="s">
        <v>61</v>
      </c>
      <c r="C52" s="2018" t="s">
        <v>1543</v>
      </c>
      <c r="D52" s="2019" t="s">
        <v>1544</v>
      </c>
      <c r="E52" s="2020"/>
      <c r="F52" s="2018" t="s">
        <v>1545</v>
      </c>
      <c r="G52" s="2018" t="s">
        <v>1546</v>
      </c>
      <c r="H52" s="2018" t="s">
        <v>1547</v>
      </c>
      <c r="I52" s="2031" t="s">
        <v>1548</v>
      </c>
      <c r="K52" s="2030"/>
    </row>
    <row r="53" s="2009" customFormat="1" ht="16.5" customHeight="1" spans="1:11">
      <c r="A53" s="1889"/>
      <c r="B53" s="1890"/>
      <c r="C53" s="2021"/>
      <c r="D53" s="1891" t="s">
        <v>1549</v>
      </c>
      <c r="E53" s="1891" t="s">
        <v>1550</v>
      </c>
      <c r="F53" s="2021"/>
      <c r="G53" s="2021"/>
      <c r="H53" s="2021" t="s">
        <v>1550</v>
      </c>
      <c r="I53" s="2032"/>
      <c r="K53" s="2030"/>
    </row>
    <row r="54" s="2010" customFormat="1" ht="16.5" customHeight="1" spans="1:11">
      <c r="A54" s="2026" t="s">
        <v>194</v>
      </c>
      <c r="B54" s="1897"/>
      <c r="C54" s="2022"/>
      <c r="D54" s="2027"/>
      <c r="E54" s="2027"/>
      <c r="F54" s="2027"/>
      <c r="G54" s="2028"/>
      <c r="H54" s="2022"/>
      <c r="I54" s="2033"/>
      <c r="K54" s="2034"/>
    </row>
    <row r="55" s="2010" customFormat="1" ht="16.5" customHeight="1" spans="1:9">
      <c r="A55" s="1900" t="s">
        <v>196</v>
      </c>
      <c r="B55" s="1912"/>
      <c r="C55" s="1896">
        <f>ROUND(未审资负表!G7,2)</f>
        <v>0</v>
      </c>
      <c r="D55" s="1896">
        <f>ROUND(SUMIF(资负表及利润表调整分录!$C$175:$C$207,试算平衡表!A55,资负表及利润表调整分录!$G$175:$G$207),2)</f>
        <v>0</v>
      </c>
      <c r="E55" s="1896">
        <f>ROUND(SUMIF(资负表及利润表调整分录!$C$175:$C$207,试算平衡表!A55,资负表及利润表调整分录!$H$175:$H$207),2)</f>
        <v>0</v>
      </c>
      <c r="F55" s="2029">
        <f>ROUND(C55+E55-D55,2)</f>
        <v>0</v>
      </c>
      <c r="G55" s="2029">
        <f>ROUND(审定资负表!G7,2)</f>
        <v>0</v>
      </c>
      <c r="H55" s="1896">
        <f>ROUND(F55-G55,2)</f>
        <v>0</v>
      </c>
      <c r="I55" s="2035">
        <f>IF(F55=0,0,H55/F55)</f>
        <v>0</v>
      </c>
    </row>
    <row r="56" s="2010" customFormat="1" ht="16.5" customHeight="1" spans="1:9">
      <c r="A56" s="1900" t="s">
        <v>1397</v>
      </c>
      <c r="B56" s="1912"/>
      <c r="C56" s="1896">
        <f>ROUND(未审资负表!G8,2)</f>
        <v>0</v>
      </c>
      <c r="D56" s="1896">
        <f>ROUND(SUMIF(资负表及利润表调整分录!$C$175:$C$207,试算平衡表!A56,资负表及利润表调整分录!$G$175:$G$207),2)</f>
        <v>0</v>
      </c>
      <c r="E56" s="1896">
        <f>ROUND(SUMIF(资负表及利润表调整分录!$C$175:$C$207,试算平衡表!A56,资负表及利润表调整分录!$H$175:$H$207),2)</f>
        <v>0</v>
      </c>
      <c r="F56" s="2029">
        <f t="shared" ref="F56:F67" si="6">ROUND(C56+E56-D56,2)</f>
        <v>0</v>
      </c>
      <c r="G56" s="2029">
        <f>ROUND(审定资负表!G8,2)</f>
        <v>0</v>
      </c>
      <c r="H56" s="1896">
        <f t="shared" ref="H56:H68" si="7">ROUND(F56-G56,2)</f>
        <v>0</v>
      </c>
      <c r="I56" s="2035">
        <f t="shared" ref="I56:I68" si="8">IF(F56=0,0,H56/F56)</f>
        <v>0</v>
      </c>
    </row>
    <row r="57" s="2010" customFormat="1" ht="16.5" customHeight="1" spans="1:9">
      <c r="A57" s="1900" t="s">
        <v>200</v>
      </c>
      <c r="B57" s="1912"/>
      <c r="C57" s="1896">
        <f>ROUND(未审资负表!G9,2)</f>
        <v>0</v>
      </c>
      <c r="D57" s="1896">
        <f>ROUND(SUMIF(资负表及利润表调整分录!$C$175:$C$207,试算平衡表!A57,资负表及利润表调整分录!$G$175:$G$207),2)</f>
        <v>0</v>
      </c>
      <c r="E57" s="1896">
        <f>ROUND(SUMIF(资负表及利润表调整分录!$C$175:$C$207,试算平衡表!A57,资负表及利润表调整分录!$H$175:$H$207),2)</f>
        <v>0</v>
      </c>
      <c r="F57" s="2029">
        <f t="shared" si="6"/>
        <v>0</v>
      </c>
      <c r="G57" s="2029">
        <f>ROUND(审定资负表!G9,2)</f>
        <v>0</v>
      </c>
      <c r="H57" s="1896">
        <f t="shared" si="7"/>
        <v>0</v>
      </c>
      <c r="I57" s="2035">
        <f t="shared" si="8"/>
        <v>0</v>
      </c>
    </row>
    <row r="58" s="2010" customFormat="1" ht="16.5" customHeight="1" spans="1:9">
      <c r="A58" s="1900" t="s">
        <v>202</v>
      </c>
      <c r="B58" s="1912"/>
      <c r="C58" s="1896">
        <f>ROUND(未审资负表!G10,2)</f>
        <v>0</v>
      </c>
      <c r="D58" s="1896">
        <f>ROUND(SUMIF(资负表及利润表调整分录!$C$175:$C$207,试算平衡表!A58,资负表及利润表调整分录!$G$175:$G$207),2)</f>
        <v>0</v>
      </c>
      <c r="E58" s="1896">
        <f>ROUND(SUMIF(资负表及利润表调整分录!$C$175:$C$207,试算平衡表!A58,资负表及利润表调整分录!$H$175:$H$207),2)</f>
        <v>0</v>
      </c>
      <c r="F58" s="2029">
        <f t="shared" si="6"/>
        <v>0</v>
      </c>
      <c r="G58" s="2029">
        <f>ROUND(审定资负表!G10,2)</f>
        <v>0</v>
      </c>
      <c r="H58" s="1896">
        <f t="shared" si="7"/>
        <v>0</v>
      </c>
      <c r="I58" s="2035">
        <f t="shared" si="8"/>
        <v>0</v>
      </c>
    </row>
    <row r="59" s="2010" customFormat="1" ht="16.5" customHeight="1" spans="1:9">
      <c r="A59" s="1900" t="s">
        <v>204</v>
      </c>
      <c r="B59" s="1912"/>
      <c r="C59" s="1896">
        <f>ROUND(未审资负表!G11,2)</f>
        <v>0</v>
      </c>
      <c r="D59" s="1896">
        <f>ROUND(SUMIF(资负表及利润表调整分录!$C$175:$C$207,试算平衡表!A59,资负表及利润表调整分录!$G$175:$G$207),2)</f>
        <v>0</v>
      </c>
      <c r="E59" s="1896">
        <f>ROUND(SUMIF(资负表及利润表调整分录!$C$175:$C$207,试算平衡表!A59,资负表及利润表调整分录!$H$175:$H$207),2)</f>
        <v>0</v>
      </c>
      <c r="F59" s="2029">
        <f t="shared" si="6"/>
        <v>0</v>
      </c>
      <c r="G59" s="2029">
        <f>ROUND(审定资负表!G11,2)</f>
        <v>0</v>
      </c>
      <c r="H59" s="1896">
        <f t="shared" si="7"/>
        <v>0</v>
      </c>
      <c r="I59" s="2035">
        <f t="shared" si="8"/>
        <v>0</v>
      </c>
    </row>
    <row r="60" s="2010" customFormat="1" ht="16.5" customHeight="1" spans="1:9">
      <c r="A60" s="1900" t="s">
        <v>206</v>
      </c>
      <c r="B60" s="1912"/>
      <c r="C60" s="1896">
        <f>ROUND(未审资负表!G12,2)</f>
        <v>0</v>
      </c>
      <c r="D60" s="1896">
        <f>ROUND(SUMIF(资负表及利润表调整分录!$C$175:$C$207,试算平衡表!A60,资负表及利润表调整分录!$G$175:$G$207),2)</f>
        <v>0</v>
      </c>
      <c r="E60" s="1896">
        <f>ROUND(SUMIF(资负表及利润表调整分录!$C$175:$C$207,试算平衡表!A60,资负表及利润表调整分录!$H$175:$H$207),2)</f>
        <v>0</v>
      </c>
      <c r="F60" s="2029">
        <f t="shared" si="6"/>
        <v>0</v>
      </c>
      <c r="G60" s="2029">
        <f>ROUND(审定资负表!G12,2)</f>
        <v>0</v>
      </c>
      <c r="H60" s="1896">
        <f t="shared" si="7"/>
        <v>0</v>
      </c>
      <c r="I60" s="2035">
        <f t="shared" si="8"/>
        <v>0</v>
      </c>
    </row>
    <row r="61" s="2010" customFormat="1" ht="16.5" customHeight="1" spans="1:9">
      <c r="A61" s="1900" t="s">
        <v>208</v>
      </c>
      <c r="B61" s="1912"/>
      <c r="C61" s="1896">
        <f>ROUND(未审资负表!G13,2)</f>
        <v>0</v>
      </c>
      <c r="D61" s="1896">
        <f>ROUND(SUMIF(资负表及利润表调整分录!$C$175:$C$207,试算平衡表!A61,资负表及利润表调整分录!$G$175:$G$207),2)</f>
        <v>0</v>
      </c>
      <c r="E61" s="1896">
        <f>ROUND(SUMIF(资负表及利润表调整分录!$C$175:$C$207,试算平衡表!A61,资负表及利润表调整分录!$H$175:$H$207),2)</f>
        <v>0</v>
      </c>
      <c r="F61" s="2029">
        <f t="shared" si="6"/>
        <v>0</v>
      </c>
      <c r="G61" s="2029">
        <f>ROUND(审定资负表!G13,2)</f>
        <v>0</v>
      </c>
      <c r="H61" s="1896">
        <f t="shared" si="7"/>
        <v>0</v>
      </c>
      <c r="I61" s="2035">
        <f t="shared" si="8"/>
        <v>0</v>
      </c>
    </row>
    <row r="62" s="2010" customFormat="1" ht="16.5" customHeight="1" spans="1:9">
      <c r="A62" s="1900" t="s">
        <v>210</v>
      </c>
      <c r="B62" s="1912"/>
      <c r="C62" s="1896">
        <f>ROUND(未审资负表!G14,2)</f>
        <v>0</v>
      </c>
      <c r="D62" s="1896">
        <f>ROUND(SUMIF(资负表及利润表调整分录!$C$175:$C$207,试算平衡表!A62,资负表及利润表调整分录!$G$175:$G$207),2)</f>
        <v>0</v>
      </c>
      <c r="E62" s="1896">
        <f>ROUND(SUMIF(资负表及利润表调整分录!$C$175:$C$207,试算平衡表!A62,资负表及利润表调整分录!$H$175:$H$207),2)</f>
        <v>0</v>
      </c>
      <c r="F62" s="2029">
        <f t="shared" si="6"/>
        <v>0</v>
      </c>
      <c r="G62" s="2029">
        <f>ROUND(审定资负表!G14,2)</f>
        <v>0</v>
      </c>
      <c r="H62" s="1896">
        <f t="shared" si="7"/>
        <v>0</v>
      </c>
      <c r="I62" s="2035">
        <f t="shared" si="8"/>
        <v>0</v>
      </c>
    </row>
    <row r="63" s="2010" customFormat="1" ht="16.5" customHeight="1" spans="1:9">
      <c r="A63" s="1900" t="s">
        <v>212</v>
      </c>
      <c r="B63" s="1912"/>
      <c r="C63" s="1896">
        <f>ROUND(未审资负表!G15,2)</f>
        <v>0</v>
      </c>
      <c r="D63" s="1896">
        <f>ROUND(SUMIF(资负表及利润表调整分录!$C$175:$C$207,试算平衡表!A63,资负表及利润表调整分录!$G$175:$G$207),2)</f>
        <v>0</v>
      </c>
      <c r="E63" s="1896">
        <f>ROUND(SUMIF(资负表及利润表调整分录!$C$175:$C$207,试算平衡表!A63,资负表及利润表调整分录!$H$175:$H$207),2)</f>
        <v>0</v>
      </c>
      <c r="F63" s="2029">
        <f t="shared" si="6"/>
        <v>0</v>
      </c>
      <c r="G63" s="2029">
        <f>ROUND(审定资负表!G15,2)</f>
        <v>0</v>
      </c>
      <c r="H63" s="1896">
        <f t="shared" si="7"/>
        <v>0</v>
      </c>
      <c r="I63" s="2035">
        <f t="shared" si="8"/>
        <v>0</v>
      </c>
    </row>
    <row r="64" s="2010" customFormat="1" ht="16.5" customHeight="1" spans="1:9">
      <c r="A64" s="1900" t="s">
        <v>214</v>
      </c>
      <c r="B64" s="1912"/>
      <c r="C64" s="1896">
        <f>ROUND(未审资负表!G16,2)</f>
        <v>0</v>
      </c>
      <c r="D64" s="1896">
        <f>ROUND(SUMIF(资负表及利润表调整分录!$C$175:$C$207,试算平衡表!A64,资负表及利润表调整分录!$G$175:$G$207),2)</f>
        <v>0</v>
      </c>
      <c r="E64" s="1896">
        <f>ROUND(SUMIF(资负表及利润表调整分录!$C$175:$C$207,试算平衡表!A64,资负表及利润表调整分录!$H$175:$H$207),2)</f>
        <v>0</v>
      </c>
      <c r="F64" s="2029">
        <f t="shared" si="6"/>
        <v>0</v>
      </c>
      <c r="G64" s="2029">
        <f>ROUND(审定资负表!G16,2)</f>
        <v>0</v>
      </c>
      <c r="H64" s="1896">
        <f t="shared" si="7"/>
        <v>0</v>
      </c>
      <c r="I64" s="2035">
        <f t="shared" si="8"/>
        <v>0</v>
      </c>
    </row>
    <row r="65" s="2010" customFormat="1" ht="16.5" customHeight="1" spans="1:9">
      <c r="A65" s="1900" t="s">
        <v>216</v>
      </c>
      <c r="B65" s="1912"/>
      <c r="C65" s="1896">
        <f>ROUND(未审资负表!G17,2)</f>
        <v>6935621.62</v>
      </c>
      <c r="D65" s="1896">
        <f>ROUND(SUMIF(资负表及利润表调整分录!$C$175:$C$207,试算平衡表!A65,资负表及利润表调整分录!$G$175:$G$207),2)</f>
        <v>0</v>
      </c>
      <c r="E65" s="1896">
        <f>ROUND(SUMIF(资负表及利润表调整分录!$C$175:$C$207,试算平衡表!A65,资负表及利润表调整分录!$H$175:$H$207),2)</f>
        <v>0</v>
      </c>
      <c r="F65" s="2029">
        <f t="shared" si="6"/>
        <v>6935621.62</v>
      </c>
      <c r="G65" s="2029">
        <f>ROUND(审定资负表!G17,2)</f>
        <v>6935621.62</v>
      </c>
      <c r="H65" s="1896">
        <f t="shared" si="7"/>
        <v>0</v>
      </c>
      <c r="I65" s="2035">
        <f t="shared" si="8"/>
        <v>0</v>
      </c>
    </row>
    <row r="66" s="2010" customFormat="1" ht="16.5" customHeight="1" spans="1:9">
      <c r="A66" s="1900" t="s">
        <v>218</v>
      </c>
      <c r="B66" s="1912"/>
      <c r="C66" s="1896">
        <f>ROUND(未审资负表!G18,2)</f>
        <v>0</v>
      </c>
      <c r="D66" s="1896">
        <f>ROUND(SUMIF(资负表及利润表调整分录!$C$175:$C$207,试算平衡表!A66,资负表及利润表调整分录!$G$175:$G$207),2)</f>
        <v>0</v>
      </c>
      <c r="E66" s="1896">
        <f>ROUND(SUMIF(资负表及利润表调整分录!$C$175:$C$207,试算平衡表!A66,资负表及利润表调整分录!$H$175:$H$207),2)</f>
        <v>0</v>
      </c>
      <c r="F66" s="2029">
        <f t="shared" si="6"/>
        <v>0</v>
      </c>
      <c r="G66" s="2029">
        <f>ROUND(审定资负表!G18,2)</f>
        <v>0</v>
      </c>
      <c r="H66" s="1896">
        <f t="shared" si="7"/>
        <v>0</v>
      </c>
      <c r="I66" s="2035">
        <f t="shared" si="8"/>
        <v>0</v>
      </c>
    </row>
    <row r="67" s="2010" customFormat="1" ht="16.5" customHeight="1" spans="1:9">
      <c r="A67" s="1900" t="str">
        <f>未审资负表!E19</f>
        <v>持有待售负债</v>
      </c>
      <c r="B67" s="1912"/>
      <c r="C67" s="1896">
        <f>ROUND(未审资负表!G19,2)</f>
        <v>0</v>
      </c>
      <c r="D67" s="1896">
        <f>ROUND(SUMIF(资负表及利润表调整分录!$C$175:$C$207,试算平衡表!A67,资负表及利润表调整分录!$G$175:$G$207),2)</f>
        <v>0</v>
      </c>
      <c r="E67" s="1896">
        <f>ROUND(SUMIF(资负表及利润表调整分录!$C$175:$C$207,试算平衡表!A67,资负表及利润表调整分录!$H$175:$H$207),2)</f>
        <v>0</v>
      </c>
      <c r="F67" s="2029">
        <f t="shared" si="6"/>
        <v>0</v>
      </c>
      <c r="G67" s="2029">
        <f>ROUND(审定资负表!G19,2)</f>
        <v>0</v>
      </c>
      <c r="H67" s="1896">
        <f t="shared" si="7"/>
        <v>0</v>
      </c>
      <c r="I67" s="2035">
        <f t="shared" si="8"/>
        <v>0</v>
      </c>
    </row>
    <row r="68" s="2010" customFormat="1" ht="16.5" customHeight="1" spans="1:9">
      <c r="A68" s="1905" t="s">
        <v>221</v>
      </c>
      <c r="B68" s="1906"/>
      <c r="C68" s="2023">
        <f>ROUND(SUM(C55:C67),2)</f>
        <v>6935621.62</v>
      </c>
      <c r="D68" s="2023">
        <f>ROUND(SUM(D55:D67),2)</f>
        <v>0</v>
      </c>
      <c r="E68" s="2023">
        <f>ROUND(SUM(E55:E67),2)</f>
        <v>0</v>
      </c>
      <c r="F68" s="2023">
        <f>ROUND(SUM(F55:F67),2)</f>
        <v>6935621.62</v>
      </c>
      <c r="G68" s="2023">
        <f>ROUND(SUM(G55:G67),2)</f>
        <v>6935621.62</v>
      </c>
      <c r="H68" s="1896">
        <f t="shared" si="7"/>
        <v>0</v>
      </c>
      <c r="I68" s="2035">
        <f t="shared" si="8"/>
        <v>0</v>
      </c>
    </row>
    <row r="69" s="2010" customFormat="1" ht="16.5" customHeight="1" spans="1:9">
      <c r="A69" s="2038"/>
      <c r="B69" s="1912"/>
      <c r="C69" s="1913"/>
      <c r="D69" s="2039"/>
      <c r="E69" s="2039"/>
      <c r="F69" s="2039"/>
      <c r="G69" s="2029"/>
      <c r="H69" s="1913"/>
      <c r="I69" s="1903"/>
    </row>
    <row r="70" s="2010" customFormat="1" ht="16.5" customHeight="1" spans="1:9">
      <c r="A70" s="2026" t="s">
        <v>224</v>
      </c>
      <c r="B70" s="1912"/>
      <c r="C70" s="1914"/>
      <c r="D70" s="2040"/>
      <c r="E70" s="2040"/>
      <c r="F70" s="2040"/>
      <c r="G70" s="2029"/>
      <c r="H70" s="1914"/>
      <c r="I70" s="1903"/>
    </row>
    <row r="71" s="2010" customFormat="1" ht="16.5" customHeight="1" spans="1:9">
      <c r="A71" s="1900" t="s">
        <v>226</v>
      </c>
      <c r="B71" s="1912"/>
      <c r="C71" s="1896">
        <f>ROUND(未审资负表!G23,2)</f>
        <v>0</v>
      </c>
      <c r="D71" s="1896">
        <f>ROUND(SUMIF(资负表及利润表调整分录!$C$175:$C$207,试算平衡表!A71,资负表及利润表调整分录!$G$175:$G$207),2)</f>
        <v>0</v>
      </c>
      <c r="E71" s="1896">
        <f>ROUND(SUMIF(资负表及利润表调整分录!$C$175:$C$207,试算平衡表!A71,资负表及利润表调整分录!$H$175:$H$207),2)</f>
        <v>0</v>
      </c>
      <c r="F71" s="2029">
        <f t="shared" ref="F71:F78" si="9">ROUND(C71+E71-D71,2)</f>
        <v>0</v>
      </c>
      <c r="G71" s="2029">
        <f>ROUND(审定资负表!G23,2)</f>
        <v>0</v>
      </c>
      <c r="H71" s="1896">
        <f t="shared" ref="H71:H81" si="10">ROUND(F71-G71,2)</f>
        <v>0</v>
      </c>
      <c r="I71" s="2035">
        <f t="shared" ref="I71:I81" si="11">IF(F71=0,0,H71/F71)</f>
        <v>0</v>
      </c>
    </row>
    <row r="72" s="2010" customFormat="1" ht="16.5" customHeight="1" spans="1:9">
      <c r="A72" s="1900" t="s">
        <v>228</v>
      </c>
      <c r="B72" s="1912"/>
      <c r="C72" s="1896">
        <f>ROUND(未审资负表!G24,2)</f>
        <v>0</v>
      </c>
      <c r="D72" s="1896">
        <f>ROUND(SUMIF(资负表及利润表调整分录!$C$175:$C$207,试算平衡表!A72,资负表及利润表调整分录!$G$175:$G$207),2)</f>
        <v>0</v>
      </c>
      <c r="E72" s="1896">
        <f>ROUND(SUMIF(资负表及利润表调整分录!$C$175:$C$207,试算平衡表!A72,资负表及利润表调整分录!$H$175:$H$207),2)</f>
        <v>0</v>
      </c>
      <c r="F72" s="2029">
        <f t="shared" si="9"/>
        <v>0</v>
      </c>
      <c r="G72" s="2029">
        <f>ROUND(审定资负表!G24,2)</f>
        <v>0</v>
      </c>
      <c r="H72" s="1896">
        <f t="shared" si="10"/>
        <v>0</v>
      </c>
      <c r="I72" s="2035">
        <f t="shared" si="11"/>
        <v>0</v>
      </c>
    </row>
    <row r="73" s="2010" customFormat="1" ht="16.5" customHeight="1" spans="1:9">
      <c r="A73" s="1900" t="s">
        <v>230</v>
      </c>
      <c r="B73" s="1912"/>
      <c r="C73" s="1896">
        <f>ROUND(未审资负表!G25,2)</f>
        <v>53875812.68</v>
      </c>
      <c r="D73" s="1896">
        <f>ROUND(SUMIF(资负表及利润表调整分录!$C$175:$C$207,试算平衡表!A73,资负表及利润表调整分录!$G$175:$G$207),2)</f>
        <v>4358381.35</v>
      </c>
      <c r="E73" s="1896">
        <f>ROUND(SUMIF(资负表及利润表调整分录!$C$175:$C$207,试算平衡表!A73,资负表及利润表调整分录!$H$175:$H$207),2)</f>
        <v>0</v>
      </c>
      <c r="F73" s="2029">
        <f t="shared" si="9"/>
        <v>49517431.33</v>
      </c>
      <c r="G73" s="2029">
        <f>ROUND(审定资负表!G25,2)</f>
        <v>49517431.33</v>
      </c>
      <c r="H73" s="1896">
        <f t="shared" si="10"/>
        <v>0</v>
      </c>
      <c r="I73" s="2035">
        <f t="shared" si="11"/>
        <v>0</v>
      </c>
    </row>
    <row r="74" s="2010" customFormat="1" ht="16.5" customHeight="1" spans="1:9">
      <c r="A74" s="1900" t="s">
        <v>232</v>
      </c>
      <c r="B74" s="1912"/>
      <c r="C74" s="1896">
        <f>ROUND(未审资负表!G26,2)</f>
        <v>0</v>
      </c>
      <c r="D74" s="1896">
        <f>ROUND(SUMIF(资负表及利润表调整分录!$C$175:$C$207,试算平衡表!A74,资负表及利润表调整分录!$G$175:$G$207),2)</f>
        <v>0</v>
      </c>
      <c r="E74" s="1896">
        <f>ROUND(SUMIF(资负表及利润表调整分录!$C$175:$C$207,试算平衡表!A74,资负表及利润表调整分录!$H$175:$H$207),2)</f>
        <v>0</v>
      </c>
      <c r="F74" s="2029">
        <f t="shared" si="9"/>
        <v>0</v>
      </c>
      <c r="G74" s="2029">
        <f>ROUND(审定资负表!G26,2)</f>
        <v>0</v>
      </c>
      <c r="H74" s="1896">
        <f t="shared" si="10"/>
        <v>0</v>
      </c>
      <c r="I74" s="2035">
        <f t="shared" si="11"/>
        <v>0</v>
      </c>
    </row>
    <row r="75" s="2010" customFormat="1" ht="16.5" customHeight="1" spans="1:9">
      <c r="A75" s="1900" t="s">
        <v>234</v>
      </c>
      <c r="B75" s="1912"/>
      <c r="C75" s="1896">
        <f>ROUND(未审资负表!G27,2)</f>
        <v>0</v>
      </c>
      <c r="D75" s="1896">
        <f>ROUND(SUMIF(资负表及利润表调整分录!$C$175:$C$207,试算平衡表!A75,资负表及利润表调整分录!$G$175:$G$207),2)</f>
        <v>0</v>
      </c>
      <c r="E75" s="1896">
        <f>ROUND(SUMIF(资负表及利润表调整分录!$C$175:$C$207,试算平衡表!A75,资负表及利润表调整分录!$H$175:$H$207),2)</f>
        <v>0</v>
      </c>
      <c r="F75" s="2029">
        <f t="shared" si="9"/>
        <v>0</v>
      </c>
      <c r="G75" s="2029">
        <f>ROUND(审定资负表!G27,2)</f>
        <v>0</v>
      </c>
      <c r="H75" s="1896">
        <f t="shared" si="10"/>
        <v>0</v>
      </c>
      <c r="I75" s="2035">
        <f t="shared" si="11"/>
        <v>0</v>
      </c>
    </row>
    <row r="76" s="2010" customFormat="1" ht="16.5" customHeight="1" spans="1:9">
      <c r="A76" s="1900" t="s">
        <v>236</v>
      </c>
      <c r="B76" s="1912"/>
      <c r="C76" s="1896">
        <f>ROUND(未审资负表!G28,2)</f>
        <v>0</v>
      </c>
      <c r="D76" s="1896">
        <f>ROUND(SUMIF(资负表及利润表调整分录!$C$175:$C$207,试算平衡表!A76,资负表及利润表调整分录!$G$175:$G$207),2)</f>
        <v>0</v>
      </c>
      <c r="E76" s="1896">
        <f>ROUND(SUMIF(资负表及利润表调整分录!$C$175:$C$207,试算平衡表!A76,资负表及利润表调整分录!$H$175:$H$207),2)</f>
        <v>0</v>
      </c>
      <c r="F76" s="2029">
        <f t="shared" si="9"/>
        <v>0</v>
      </c>
      <c r="G76" s="2029">
        <f>ROUND(审定资负表!G28,2)</f>
        <v>0</v>
      </c>
      <c r="H76" s="1896">
        <f t="shared" si="10"/>
        <v>0</v>
      </c>
      <c r="I76" s="2035">
        <f t="shared" si="11"/>
        <v>0</v>
      </c>
    </row>
    <row r="77" s="2010" customFormat="1" ht="16.5" customHeight="1" spans="1:9">
      <c r="A77" s="1900" t="s">
        <v>238</v>
      </c>
      <c r="B77" s="1912"/>
      <c r="C77" s="1896">
        <f>ROUND(未审资负表!G29,2)</f>
        <v>0</v>
      </c>
      <c r="D77" s="1896">
        <f>ROUND(SUMIF(资负表及利润表调整分录!$C$175:$C$207,试算平衡表!A77,资负表及利润表调整分录!$G$175:$G$207),2)</f>
        <v>0</v>
      </c>
      <c r="E77" s="1896">
        <f>ROUND(SUMIF(资负表及利润表调整分录!$C$175:$C$207,试算平衡表!A77,资负表及利润表调整分录!$H$175:$H$207),2)</f>
        <v>0</v>
      </c>
      <c r="F77" s="2029">
        <f t="shared" si="9"/>
        <v>0</v>
      </c>
      <c r="G77" s="2029">
        <f>ROUND(审定资负表!G29,2)</f>
        <v>0</v>
      </c>
      <c r="H77" s="1896">
        <f t="shared" si="10"/>
        <v>0</v>
      </c>
      <c r="I77" s="2035">
        <f t="shared" si="11"/>
        <v>0</v>
      </c>
    </row>
    <row r="78" s="2010" customFormat="1" ht="16.5" customHeight="1" spans="1:9">
      <c r="A78" s="1900" t="str">
        <f>未审资负表!E30</f>
        <v>递延收益</v>
      </c>
      <c r="B78" s="1912"/>
      <c r="C78" s="1896">
        <f>ROUND(未审资负表!G30,2)</f>
        <v>0</v>
      </c>
      <c r="D78" s="1896">
        <f>ROUND(SUMIF(资负表及利润表调整分录!$C$175:$C$207,试算平衡表!A78,资负表及利润表调整分录!$G$175:$G$207),2)</f>
        <v>0</v>
      </c>
      <c r="E78" s="1896">
        <f>ROUND(SUMIF(资负表及利润表调整分录!$C$175:$C$207,试算平衡表!A78,资负表及利润表调整分录!$H$175:$H$207),2)</f>
        <v>0</v>
      </c>
      <c r="F78" s="2029">
        <f t="shared" si="9"/>
        <v>0</v>
      </c>
      <c r="G78" s="2029">
        <f>ROUND(审定资负表!G30,2)</f>
        <v>0</v>
      </c>
      <c r="H78" s="1896">
        <f t="shared" si="10"/>
        <v>0</v>
      </c>
      <c r="I78" s="2035">
        <f t="shared" si="11"/>
        <v>0</v>
      </c>
    </row>
    <row r="79" s="2010" customFormat="1" ht="16.5" customHeight="1" spans="1:9">
      <c r="A79" s="2041" t="s">
        <v>242</v>
      </c>
      <c r="B79" s="1912"/>
      <c r="C79" s="2023">
        <f>ROUND(SUM(C71:C78),2)</f>
        <v>53875812.68</v>
      </c>
      <c r="D79" s="2023">
        <f>ROUND(SUM(D71:D78),2)</f>
        <v>4358381.35</v>
      </c>
      <c r="E79" s="2023">
        <f>ROUND(SUM(E71:E78),2)</f>
        <v>0</v>
      </c>
      <c r="F79" s="2023">
        <f>ROUND(SUM(F71:F78),2)</f>
        <v>49517431.33</v>
      </c>
      <c r="G79" s="2023">
        <f>ROUND(SUM(G71:G78),2)</f>
        <v>49517431.33</v>
      </c>
      <c r="H79" s="1896">
        <f t="shared" si="10"/>
        <v>0</v>
      </c>
      <c r="I79" s="2035">
        <f t="shared" si="11"/>
        <v>0</v>
      </c>
    </row>
    <row r="80" s="2010" customFormat="1" ht="16.5" customHeight="1" spans="1:9">
      <c r="A80" s="2038"/>
      <c r="B80" s="1912"/>
      <c r="C80" s="1913"/>
      <c r="D80" s="1913"/>
      <c r="E80" s="1913"/>
      <c r="F80" s="1913"/>
      <c r="G80" s="1913"/>
      <c r="H80" s="1913"/>
      <c r="I80" s="1903"/>
    </row>
    <row r="81" s="2010" customFormat="1" ht="16.5" customHeight="1" spans="1:9">
      <c r="A81" s="2041" t="s">
        <v>245</v>
      </c>
      <c r="B81" s="1912"/>
      <c r="C81" s="2023">
        <f>ROUND(C68+C79,2)</f>
        <v>60811434.3</v>
      </c>
      <c r="D81" s="2023">
        <f>ROUND(D68+D79,2)</f>
        <v>4358381.35</v>
      </c>
      <c r="E81" s="2023">
        <f>ROUND(E68+E79,2)</f>
        <v>0</v>
      </c>
      <c r="F81" s="2023">
        <f>ROUND(F68+F79,2)</f>
        <v>56453052.95</v>
      </c>
      <c r="G81" s="2023">
        <f>ROUND(G68+G79,2)</f>
        <v>56453052.95</v>
      </c>
      <c r="H81" s="1896">
        <f t="shared" si="10"/>
        <v>0</v>
      </c>
      <c r="I81" s="2035">
        <f t="shared" si="11"/>
        <v>0</v>
      </c>
    </row>
    <row r="82" s="2010" customFormat="1" ht="16.5" customHeight="1" spans="1:9">
      <c r="A82" s="2038"/>
      <c r="B82" s="1912"/>
      <c r="C82" s="1896"/>
      <c r="D82" s="2029"/>
      <c r="E82" s="2029"/>
      <c r="F82" s="2029"/>
      <c r="G82" s="2029"/>
      <c r="H82" s="1896"/>
      <c r="I82" s="1903"/>
    </row>
    <row r="83" s="2010" customFormat="1" ht="16.5" customHeight="1" spans="1:9">
      <c r="A83" s="2042" t="s">
        <v>248</v>
      </c>
      <c r="B83" s="1912"/>
      <c r="C83" s="1896"/>
      <c r="D83" s="2029"/>
      <c r="E83" s="2029"/>
      <c r="F83" s="2029"/>
      <c r="G83" s="2029"/>
      <c r="H83" s="1896"/>
      <c r="I83" s="1903"/>
    </row>
    <row r="84" s="2010" customFormat="1" ht="16.5" customHeight="1" spans="1:9">
      <c r="A84" s="1900" t="s">
        <v>250</v>
      </c>
      <c r="B84" s="1912"/>
      <c r="C84" s="1896">
        <f>ROUND(未审资负表!G36,2)</f>
        <v>0</v>
      </c>
      <c r="D84" s="1896">
        <f>ROUND(SUMIF(资负表及利润表调整分录!$C$175:$C$207,试算平衡表!A84,资负表及利润表调整分录!$G$175:$G$207),2)</f>
        <v>0</v>
      </c>
      <c r="E84" s="1896">
        <f>ROUND(SUMIF(资负表及利润表调整分录!$C$175:$C$207,试算平衡表!A84,资负表及利润表调整分录!$H$175:$H$207),2)</f>
        <v>0</v>
      </c>
      <c r="F84" s="2029">
        <f t="shared" ref="F84:F90" si="12">ROUND(C84+E84-D84,2)</f>
        <v>0</v>
      </c>
      <c r="G84" s="2029">
        <f>ROUND(审定资负表!G36,2)</f>
        <v>0</v>
      </c>
      <c r="H84" s="1896">
        <f t="shared" ref="H84:H90" si="13">ROUND(F84-G84,2)</f>
        <v>0</v>
      </c>
      <c r="I84" s="2035">
        <f t="shared" ref="I84:I90" si="14">IF(F84=0,0,H84/F84)</f>
        <v>0</v>
      </c>
    </row>
    <row r="85" s="2010" customFormat="1" ht="16.5" customHeight="1" spans="1:9">
      <c r="A85" s="1900" t="s">
        <v>252</v>
      </c>
      <c r="B85" s="1912"/>
      <c r="C85" s="1896">
        <f>ROUND(未审资负表!G37,2)</f>
        <v>0</v>
      </c>
      <c r="D85" s="1896">
        <f>ROUND(SUMIF(资负表及利润表调整分录!$C$175:$C$207,试算平衡表!A85,资负表及利润表调整分录!$G$175:$G$207),2)</f>
        <v>0</v>
      </c>
      <c r="E85" s="1896">
        <f>ROUND(SUMIF(资负表及利润表调整分录!$C$175:$C$207,试算平衡表!A85,资负表及利润表调整分录!$H$175:$H$207),2)</f>
        <v>0</v>
      </c>
      <c r="F85" s="2029">
        <f t="shared" si="12"/>
        <v>0</v>
      </c>
      <c r="G85" s="2029">
        <f>ROUND(审定资负表!G37,2)</f>
        <v>0</v>
      </c>
      <c r="H85" s="1896">
        <f t="shared" si="13"/>
        <v>0</v>
      </c>
      <c r="I85" s="2035">
        <f t="shared" si="14"/>
        <v>0</v>
      </c>
    </row>
    <row r="86" s="2010" customFormat="1" ht="16.5" customHeight="1" spans="1:9">
      <c r="A86" s="1900" t="s">
        <v>254</v>
      </c>
      <c r="B86" s="1912"/>
      <c r="C86" s="1896">
        <f>ROUND(未审资负表!G38,2)</f>
        <v>0</v>
      </c>
      <c r="D86" s="1896">
        <f>ROUND(SUMIF(资负表及利润表调整分录!$C$175:$C$207,"库存股",资负表及利润表调整分录!$G$175:$G$207),2)</f>
        <v>0</v>
      </c>
      <c r="E86" s="1896">
        <f>ROUND(SUMIF(资负表及利润表调整分录!$C$175:$C$207,"库存股",资负表及利润表调整分录!$H$175:$H$207),2)</f>
        <v>0</v>
      </c>
      <c r="F86" s="1896">
        <f>ROUND(C86+D86-E86,2)</f>
        <v>0</v>
      </c>
      <c r="G86" s="2029">
        <f>ROUND(审定资负表!G38,2)</f>
        <v>0</v>
      </c>
      <c r="H86" s="1896">
        <f t="shared" si="13"/>
        <v>0</v>
      </c>
      <c r="I86" s="2035">
        <f t="shared" si="14"/>
        <v>0</v>
      </c>
    </row>
    <row r="87" s="2010" customFormat="1" ht="16.5" customHeight="1" spans="1:9">
      <c r="A87" s="1900" t="s">
        <v>255</v>
      </c>
      <c r="B87" s="1912"/>
      <c r="C87" s="1896">
        <f>ROUND(未审资负表!G39,2)</f>
        <v>0</v>
      </c>
      <c r="D87" s="1896">
        <f>ROUND(SUMIF(资负表及利润表调整分录!$C$175:$C$207,试算平衡表!A87,资负表及利润表调整分录!$G$175:$G$207),2)</f>
        <v>0</v>
      </c>
      <c r="E87" s="1896">
        <f>ROUND(SUMIF(资负表及利润表调整分录!$C$175:$C$207,试算平衡表!A87,资负表及利润表调整分录!$H$175:$H$207),2)</f>
        <v>0</v>
      </c>
      <c r="F87" s="2029">
        <f t="shared" si="12"/>
        <v>0</v>
      </c>
      <c r="G87" s="2029">
        <f>ROUND(审定资负表!G39,2)</f>
        <v>0</v>
      </c>
      <c r="H87" s="1896">
        <f t="shared" si="13"/>
        <v>0</v>
      </c>
      <c r="I87" s="2035">
        <f t="shared" si="14"/>
        <v>0</v>
      </c>
    </row>
    <row r="88" s="2010" customFormat="1" ht="16.5" customHeight="1" spans="1:9">
      <c r="A88" s="1900" t="s">
        <v>257</v>
      </c>
      <c r="B88" s="1912"/>
      <c r="C88" s="1896">
        <f>ROUND(未审资负表!G40,2)</f>
        <v>0</v>
      </c>
      <c r="D88" s="1896">
        <f>ROUND(SUMIF(资负表及利润表调整分录!$C$175:$C$207,试算平衡表!A88,资负表及利润表调整分录!$G$175:$G$207)+D123,2)</f>
        <v>0</v>
      </c>
      <c r="E88" s="1896">
        <f>ROUND(SUMIF(资负表及利润表调整分录!$C$175:$C$207,试算平衡表!A88,资负表及利润表调整分录!$H$175:$H$207)+E123,2)</f>
        <v>0</v>
      </c>
      <c r="F88" s="2029">
        <f t="shared" si="12"/>
        <v>0</v>
      </c>
      <c r="G88" s="2029">
        <f>ROUND(审定资负表!G40,2)</f>
        <v>0</v>
      </c>
      <c r="H88" s="1896">
        <f t="shared" si="13"/>
        <v>0</v>
      </c>
      <c r="I88" s="2035">
        <f t="shared" si="14"/>
        <v>0</v>
      </c>
    </row>
    <row r="89" s="2010" customFormat="1" ht="16.5" customHeight="1" spans="1:9">
      <c r="A89" s="1900" t="s">
        <v>258</v>
      </c>
      <c r="B89" s="1912"/>
      <c r="C89" s="1896">
        <f>ROUND(未审资负表!G41,2)</f>
        <v>0</v>
      </c>
      <c r="D89" s="1896">
        <f>ROUND(SUMIF(资负表及利润表调整分录!$C$175:$C$207,试算平衡表!A89,资负表及利润表调整分录!$G$175:$G$207),2)</f>
        <v>0</v>
      </c>
      <c r="E89" s="1896">
        <f>ROUND(SUMIF(资负表及利润表调整分录!$C$175:$C$207,试算平衡表!A89,资负表及利润表调整分录!$H$175:$H$207),2)</f>
        <v>0</v>
      </c>
      <c r="F89" s="2029">
        <f t="shared" si="12"/>
        <v>0</v>
      </c>
      <c r="G89" s="2029">
        <f>ROUND(审定资负表!G41,2)</f>
        <v>0</v>
      </c>
      <c r="H89" s="1896">
        <f t="shared" si="13"/>
        <v>0</v>
      </c>
      <c r="I89" s="2035">
        <f t="shared" si="14"/>
        <v>0</v>
      </c>
    </row>
    <row r="90" s="2010" customFormat="1" ht="16.5" customHeight="1" spans="1:9">
      <c r="A90" s="1900" t="str">
        <f>未审资负表!E42</f>
        <v>其他综合收益</v>
      </c>
      <c r="B90" s="1912"/>
      <c r="C90" s="1896">
        <f>ROUND(未审资负表!G42,2)</f>
        <v>0</v>
      </c>
      <c r="D90" s="1896">
        <f>ROUND(SUMIF(资负表及利润表调整分录!$C$175:$C$207,试算平衡表!A90,资负表及利润表调整分录!$G$175:$G$207),2)</f>
        <v>0</v>
      </c>
      <c r="E90" s="1896">
        <f>ROUND(SUMIF(资负表及利润表调整分录!$C$175:$C$207,试算平衡表!A90,资负表及利润表调整分录!$H$175:$H$207),2)</f>
        <v>0</v>
      </c>
      <c r="F90" s="2029">
        <f t="shared" si="12"/>
        <v>0</v>
      </c>
      <c r="G90" s="2029">
        <f>ROUND(审定资负表!G42,2)</f>
        <v>0</v>
      </c>
      <c r="H90" s="1896">
        <f t="shared" si="13"/>
        <v>0</v>
      </c>
      <c r="I90" s="2035">
        <f t="shared" si="14"/>
        <v>0</v>
      </c>
    </row>
    <row r="91" s="2010" customFormat="1" ht="17.25" hidden="1" customHeight="1" spans="1:9">
      <c r="A91" s="2041" t="s">
        <v>260</v>
      </c>
      <c r="B91" s="1915"/>
      <c r="C91" s="2023">
        <f>ROUND(SUM(C84:C90)-2*C86,2)</f>
        <v>0</v>
      </c>
      <c r="D91" s="2023">
        <f>ROUND(SUM(D84:D90),2)</f>
        <v>0</v>
      </c>
      <c r="E91" s="2023">
        <f>ROUND(SUM(E84:E90),2)</f>
        <v>0</v>
      </c>
      <c r="F91" s="2023">
        <f>ROUND(SUM(F84:F90)-2*F86,2)</f>
        <v>0</v>
      </c>
      <c r="G91" s="2043">
        <f>ROUND(SUM(G84:G90)-2*G86,2)</f>
        <v>0</v>
      </c>
      <c r="H91" s="2023">
        <f>ROUND(SUM(H84:H90)-2*H86,2)</f>
        <v>0</v>
      </c>
      <c r="I91" s="2036">
        <f>ROUND(SUM(I84:I90)-2*I86,2)</f>
        <v>0</v>
      </c>
    </row>
    <row r="92" s="2010" customFormat="1" ht="17.25" hidden="1" customHeight="1" spans="1:9">
      <c r="A92" s="2038"/>
      <c r="B92" s="1912"/>
      <c r="C92" s="1913"/>
      <c r="D92" s="2039"/>
      <c r="E92" s="2039"/>
      <c r="F92" s="2039"/>
      <c r="G92" s="2029"/>
      <c r="H92" s="1913"/>
      <c r="I92" s="1903"/>
    </row>
    <row r="93" ht="17.25" hidden="1" customHeight="1" spans="1:9">
      <c r="A93" s="1900" t="s">
        <v>261</v>
      </c>
      <c r="B93" s="1912"/>
      <c r="C93" s="1896"/>
      <c r="D93" s="2029"/>
      <c r="E93" s="2029"/>
      <c r="F93" s="2029"/>
      <c r="G93" s="2029"/>
      <c r="H93" s="1896"/>
      <c r="I93" s="1903"/>
    </row>
    <row r="94" ht="16.5" customHeight="1" spans="1:9">
      <c r="A94" s="2041" t="s">
        <v>262</v>
      </c>
      <c r="B94" s="1915"/>
      <c r="C94" s="2023">
        <f>ROUND(C91+C93,2)</f>
        <v>0</v>
      </c>
      <c r="D94" s="2023">
        <f>ROUND(D91+D93,2)</f>
        <v>0</v>
      </c>
      <c r="E94" s="2023">
        <f>ROUND(E91+E93,2)</f>
        <v>0</v>
      </c>
      <c r="F94" s="2023">
        <f>ROUND(F91+F93,2)</f>
        <v>0</v>
      </c>
      <c r="G94" s="2023">
        <f>ROUND(G91+G93,2)</f>
        <v>0</v>
      </c>
      <c r="H94" s="1896">
        <f>ROUND(F94-G94,2)</f>
        <v>0</v>
      </c>
      <c r="I94" s="2035">
        <f>IF(F94=0,0,H94/F94)</f>
        <v>0</v>
      </c>
    </row>
    <row r="95" ht="16.5" customHeight="1" spans="1:9">
      <c r="A95" s="2038"/>
      <c r="B95" s="1912"/>
      <c r="C95" s="1896"/>
      <c r="D95" s="1896"/>
      <c r="E95" s="1896"/>
      <c r="F95" s="1896"/>
      <c r="G95" s="1896"/>
      <c r="H95" s="1896"/>
      <c r="I95" s="1903"/>
    </row>
    <row r="96" ht="16.5" customHeight="1" spans="1:9">
      <c r="A96" s="2044" t="s">
        <v>264</v>
      </c>
      <c r="B96" s="1924"/>
      <c r="C96" s="2024">
        <f>ROUND(C81+C94,2)</f>
        <v>60811434.3</v>
      </c>
      <c r="D96" s="2024">
        <f>ROUND(D81+D94,2)</f>
        <v>4358381.35</v>
      </c>
      <c r="E96" s="2024">
        <f>ROUND(E81+E94,2)</f>
        <v>0</v>
      </c>
      <c r="F96" s="2024">
        <f>ROUND(F81+F94,2)</f>
        <v>56453052.95</v>
      </c>
      <c r="G96" s="2024">
        <f>ROUND(G81+G94,2)</f>
        <v>56453052.95</v>
      </c>
      <c r="H96" s="2025">
        <f>ROUND(F96-G96,2)</f>
        <v>0</v>
      </c>
      <c r="I96" s="2037">
        <f>IF(F96=0,0,H96/F96)</f>
        <v>0</v>
      </c>
    </row>
    <row r="97" s="2011" customFormat="1" ht="26.25" spans="1:9">
      <c r="A97" s="1777" t="s">
        <v>45</v>
      </c>
      <c r="B97" s="1878"/>
      <c r="C97" s="1878"/>
      <c r="D97" s="1878"/>
      <c r="E97" s="1878"/>
      <c r="F97" s="1878"/>
      <c r="G97" s="1878"/>
      <c r="H97" s="1878"/>
      <c r="I97" s="1878"/>
    </row>
    <row r="98" s="2011" customFormat="1" ht="21" customHeight="1" spans="1:9">
      <c r="A98" s="2014" t="s">
        <v>1552</v>
      </c>
      <c r="B98" s="1879"/>
      <c r="C98" s="1779"/>
      <c r="D98" s="1779"/>
      <c r="E98" s="1779"/>
      <c r="F98" s="1880" t="s">
        <v>1540</v>
      </c>
      <c r="G98" s="2015">
        <f>参数表!$F$10</f>
        <v>0</v>
      </c>
      <c r="H98" s="1880"/>
      <c r="I98" s="1880" t="s">
        <v>1541</v>
      </c>
    </row>
    <row r="99" s="2011" customFormat="1" ht="21" customHeight="1" spans="1:9">
      <c r="A99" s="2016" t="str">
        <f>"编制单位："&amp;参数表!C99</f>
        <v>编制单位：</v>
      </c>
      <c r="B99" s="2017"/>
      <c r="C99" s="1880"/>
      <c r="D99" s="1880"/>
      <c r="E99" s="1880"/>
      <c r="F99" s="1880" t="s">
        <v>1542</v>
      </c>
      <c r="G99" s="2015">
        <f>参数表!$C$11</f>
        <v>0</v>
      </c>
      <c r="H99" s="1880"/>
      <c r="I99" s="1881" t="s">
        <v>1391</v>
      </c>
    </row>
    <row r="100" s="2011" customFormat="1" ht="16.5" spans="1:9">
      <c r="A100" s="1815" t="s">
        <v>60</v>
      </c>
      <c r="B100" s="1816" t="s">
        <v>61</v>
      </c>
      <c r="C100" s="1816" t="s">
        <v>1553</v>
      </c>
      <c r="D100" s="2045" t="s">
        <v>1544</v>
      </c>
      <c r="E100" s="2046"/>
      <c r="F100" s="2047" t="s">
        <v>1554</v>
      </c>
      <c r="G100" s="2047" t="s">
        <v>1546</v>
      </c>
      <c r="H100" s="2047" t="s">
        <v>1547</v>
      </c>
      <c r="I100" s="2054" t="s">
        <v>1548</v>
      </c>
    </row>
    <row r="101" s="2011" customFormat="1" ht="15.75" spans="1:9">
      <c r="A101" s="1819"/>
      <c r="B101" s="1820"/>
      <c r="C101" s="1820"/>
      <c r="D101" s="1891" t="s">
        <v>1549</v>
      </c>
      <c r="E101" s="1891" t="s">
        <v>1550</v>
      </c>
      <c r="F101" s="2021"/>
      <c r="G101" s="2021"/>
      <c r="H101" s="2021" t="s">
        <v>1550</v>
      </c>
      <c r="I101" s="2032"/>
    </row>
    <row r="102" s="2011" customFormat="1" ht="21" customHeight="1" spans="1:9">
      <c r="A102" s="1793" t="s">
        <v>76</v>
      </c>
      <c r="B102" s="1824"/>
      <c r="C102" s="1825">
        <f>ROUND(未审利润表!C6,2)</f>
        <v>0</v>
      </c>
      <c r="D102" s="1896">
        <f>ROUND(SUMIF(资负表及利润表调整分录!$C$175:$C$207,"营业收入",资负表及利润表调整分录!$G$175:$G$207),2)</f>
        <v>0</v>
      </c>
      <c r="E102" s="1896">
        <f>ROUND(SUMIF(资负表及利润表调整分录!$C$175:$C$207,"营业收入",资负表及利润表调整分录!$H$175:$H$207),2)</f>
        <v>0</v>
      </c>
      <c r="F102" s="2029">
        <f>ROUND(C102+E102-D102,2)</f>
        <v>0</v>
      </c>
      <c r="G102" s="2029">
        <f>ROUND(审定利润表!C6,2)</f>
        <v>0</v>
      </c>
      <c r="H102" s="1896">
        <f>ROUND(F102-G102,2)</f>
        <v>0</v>
      </c>
      <c r="I102" s="2035">
        <f>IF(F102=0,0,H102/F102)</f>
        <v>0</v>
      </c>
    </row>
    <row r="103" s="2011" customFormat="1" ht="21" customHeight="1" spans="1:9">
      <c r="A103" s="1796" t="s">
        <v>78</v>
      </c>
      <c r="B103" s="1824"/>
      <c r="C103" s="1825">
        <f>ROUND(未审利润表!C7,2)</f>
        <v>0</v>
      </c>
      <c r="D103" s="1896">
        <f>ROUND(SUMIF(资负表及利润表调整分录!$C$175:$C$207,"营业成本",资负表及利润表调整分录!$G$175:$G$207),2)</f>
        <v>0</v>
      </c>
      <c r="E103" s="1896">
        <f>ROUND(SUMIF(资负表及利润表调整分录!$C$175:$C$207,"营业成本",资负表及利润表调整分录!$H$175:$H$207),2)</f>
        <v>0</v>
      </c>
      <c r="F103" s="2029">
        <f t="shared" ref="F103:F108" si="15">ROUND(C103-E103+D103,2)</f>
        <v>0</v>
      </c>
      <c r="G103" s="2029">
        <f>ROUND(审定利润表!C7,2)</f>
        <v>0</v>
      </c>
      <c r="H103" s="1896">
        <f t="shared" ref="H103:H119" si="16">ROUND(F103-G103,2)</f>
        <v>0</v>
      </c>
      <c r="I103" s="2035">
        <f t="shared" ref="I103:I119" si="17">IF(F103=0,0,H103/F103)</f>
        <v>0</v>
      </c>
    </row>
    <row r="104" s="2011" customFormat="1" ht="21" customHeight="1" spans="1:9">
      <c r="A104" s="1796" t="s">
        <v>79</v>
      </c>
      <c r="B104" s="1824"/>
      <c r="C104" s="1825">
        <f>ROUND(未审利润表!C8,2)</f>
        <v>0</v>
      </c>
      <c r="D104" s="1896">
        <f>ROUND(SUMIF(资负表及利润表调整分录!$C$175:$C$207,"营业税金及附加",资负表及利润表调整分录!$G$175:$G$207),2)</f>
        <v>0</v>
      </c>
      <c r="E104" s="1896">
        <f>ROUND(SUMIF(资负表及利润表调整分录!$C$175:$C$207,"营业税金及附加",资负表及利润表调整分录!$H$175:$H$207),2)</f>
        <v>0</v>
      </c>
      <c r="F104" s="2029">
        <f t="shared" si="15"/>
        <v>0</v>
      </c>
      <c r="G104" s="2029">
        <f>ROUND(审定利润表!C8,2)</f>
        <v>0</v>
      </c>
      <c r="H104" s="1896">
        <f t="shared" si="16"/>
        <v>0</v>
      </c>
      <c r="I104" s="2035">
        <f t="shared" si="17"/>
        <v>0</v>
      </c>
    </row>
    <row r="105" s="2011" customFormat="1" ht="21" customHeight="1" spans="1:9">
      <c r="A105" s="1796" t="s">
        <v>81</v>
      </c>
      <c r="B105" s="1824"/>
      <c r="C105" s="1825">
        <f>ROUND(未审利润表!C9,2)</f>
        <v>0</v>
      </c>
      <c r="D105" s="1896">
        <f>ROUND(SUMIF(资负表及利润表调整分录!$C$175:$C$207,"销售费用",资负表及利润表调整分录!$G$175:$G$207),2)</f>
        <v>0</v>
      </c>
      <c r="E105" s="1896">
        <f>ROUND(SUMIF(资负表及利润表调整分录!$C$175:$C$207,"销售费用",资负表及利润表调整分录!$H$175:$H$207),2)</f>
        <v>0</v>
      </c>
      <c r="F105" s="2029">
        <f t="shared" si="15"/>
        <v>0</v>
      </c>
      <c r="G105" s="2029">
        <f>ROUND(审定利润表!C9,2)</f>
        <v>0</v>
      </c>
      <c r="H105" s="1896">
        <f t="shared" si="16"/>
        <v>0</v>
      </c>
      <c r="I105" s="2035">
        <f t="shared" si="17"/>
        <v>0</v>
      </c>
    </row>
    <row r="106" s="2011" customFormat="1" ht="21" customHeight="1" spans="1:9">
      <c r="A106" s="1796" t="s">
        <v>83</v>
      </c>
      <c r="B106" s="1824"/>
      <c r="C106" s="1825">
        <f>ROUND(未审利润表!C10,2)</f>
        <v>0</v>
      </c>
      <c r="D106" s="1896">
        <f>ROUND(SUMIF(资负表及利润表调整分录!$C$175:$C$207,"管理费用",资负表及利润表调整分录!$G$175:$G$207),2)</f>
        <v>0</v>
      </c>
      <c r="E106" s="1896">
        <f>ROUND(SUMIF(资负表及利润表调整分录!$C$175:$C$207,"管理费用",资负表及利润表调整分录!$H$175:$H$207),2)</f>
        <v>0</v>
      </c>
      <c r="F106" s="2029">
        <f t="shared" si="15"/>
        <v>0</v>
      </c>
      <c r="G106" s="2029">
        <f>ROUND(审定利润表!C10,2)</f>
        <v>0</v>
      </c>
      <c r="H106" s="1896">
        <f t="shared" si="16"/>
        <v>0</v>
      </c>
      <c r="I106" s="2035">
        <f t="shared" si="17"/>
        <v>0</v>
      </c>
    </row>
    <row r="107" s="2011" customFormat="1" ht="21" customHeight="1" spans="1:9">
      <c r="A107" s="1796" t="s">
        <v>84</v>
      </c>
      <c r="B107" s="1824"/>
      <c r="C107" s="1825">
        <f>ROUND(未审利润表!C11,2)</f>
        <v>0</v>
      </c>
      <c r="D107" s="1896">
        <f>ROUND(SUMIF(资负表及利润表调整分录!$C$175:$C$207,"财务费用",资负表及利润表调整分录!$G$175:$G$207),2)</f>
        <v>0</v>
      </c>
      <c r="E107" s="1896">
        <f>ROUND(SUMIF(资负表及利润表调整分录!$C$175:$C$207,"财务费用",资负表及利润表调整分录!$H$175:$H$207),2)</f>
        <v>0</v>
      </c>
      <c r="F107" s="2029">
        <f t="shared" si="15"/>
        <v>0</v>
      </c>
      <c r="G107" s="2029">
        <f>ROUND(审定利润表!C11,2)</f>
        <v>0</v>
      </c>
      <c r="H107" s="1896">
        <f t="shared" si="16"/>
        <v>0</v>
      </c>
      <c r="I107" s="2035">
        <f t="shared" si="17"/>
        <v>0</v>
      </c>
    </row>
    <row r="108" s="2011" customFormat="1" ht="21" customHeight="1" spans="1:9">
      <c r="A108" s="1796" t="s">
        <v>85</v>
      </c>
      <c r="B108" s="1824"/>
      <c r="C108" s="1825">
        <f>ROUND(未审利润表!C12,2)</f>
        <v>0</v>
      </c>
      <c r="D108" s="1896">
        <f>ROUND(SUMIF(资负表及利润表调整分录!$C$175:$C$207,"资产减值损失",资负表及利润表调整分录!$G$175:$G$207),2)</f>
        <v>0</v>
      </c>
      <c r="E108" s="1896">
        <f>ROUND(SUMIF(资负表及利润表调整分录!$C$175:$C$207,"资产减值损失",资负表及利润表调整分录!$H$175:$H$207),2)</f>
        <v>0</v>
      </c>
      <c r="F108" s="2029">
        <f t="shared" si="15"/>
        <v>0</v>
      </c>
      <c r="G108" s="2029">
        <f>ROUND(审定利润表!C12,2)</f>
        <v>0</v>
      </c>
      <c r="H108" s="1896">
        <f t="shared" si="16"/>
        <v>0</v>
      </c>
      <c r="I108" s="2035">
        <f t="shared" si="17"/>
        <v>0</v>
      </c>
    </row>
    <row r="109" s="2011" customFormat="1" ht="21" customHeight="1" spans="1:9">
      <c r="A109" s="1796" t="s">
        <v>87</v>
      </c>
      <c r="B109" s="1824"/>
      <c r="C109" s="1825">
        <f>ROUND(未审利润表!C13,2)</f>
        <v>0</v>
      </c>
      <c r="D109" s="1896">
        <f>ROUND(SUMIF(资负表及利润表调整分录!$C$175:$C$207,"公允价值变动收益",资负表及利润表调整分录!$G$175:$G$207),2)</f>
        <v>0</v>
      </c>
      <c r="E109" s="1896">
        <f>ROUND(SUMIF(资负表及利润表调整分录!$C$175:$C$207,"公允价值变动收益",资负表及利润表调整分录!$H$175:$H$207),2)</f>
        <v>0</v>
      </c>
      <c r="F109" s="2029">
        <f t="shared" ref="F109:F114" si="18">ROUND(C109+E109-D109,2)</f>
        <v>0</v>
      </c>
      <c r="G109" s="2029">
        <f>ROUND(审定利润表!C13,2)</f>
        <v>0</v>
      </c>
      <c r="H109" s="1896">
        <f t="shared" si="16"/>
        <v>0</v>
      </c>
      <c r="I109" s="2035">
        <f t="shared" si="17"/>
        <v>0</v>
      </c>
    </row>
    <row r="110" s="2011" customFormat="1" ht="21" customHeight="1" spans="1:9">
      <c r="A110" s="1796" t="s">
        <v>89</v>
      </c>
      <c r="B110" s="1824"/>
      <c r="C110" s="1825">
        <f>ROUND(未审利润表!C14,2)</f>
        <v>0</v>
      </c>
      <c r="D110" s="1896">
        <f>ROUND(SUMIF(资负表及利润表调整分录!$C$175:$C$207,"投资收益",资负表及利润表调整分录!$G$175:$G$207),2)</f>
        <v>0</v>
      </c>
      <c r="E110" s="1896">
        <f>ROUND(SUMIF(资负表及利润表调整分录!$C$175:$C$207,"投资收益",资负表及利润表调整分录!$H$175:$H$207),2)</f>
        <v>0</v>
      </c>
      <c r="F110" s="2029">
        <f t="shared" si="18"/>
        <v>0</v>
      </c>
      <c r="G110" s="2029">
        <f>ROUND(审定利润表!C14,2)</f>
        <v>0</v>
      </c>
      <c r="H110" s="1896">
        <f t="shared" si="16"/>
        <v>0</v>
      </c>
      <c r="I110" s="2035">
        <f t="shared" si="17"/>
        <v>0</v>
      </c>
    </row>
    <row r="111" s="2011" customFormat="1" ht="21" customHeight="1" spans="1:9">
      <c r="A111" s="1796" t="s">
        <v>91</v>
      </c>
      <c r="B111" s="1824"/>
      <c r="C111" s="1825">
        <f>ROUND(未审利润表!C15,2)</f>
        <v>0</v>
      </c>
      <c r="D111" s="1896"/>
      <c r="E111" s="1896"/>
      <c r="F111" s="2029">
        <f t="shared" si="18"/>
        <v>0</v>
      </c>
      <c r="G111" s="2029">
        <f>ROUND(审定利润表!C15,2)</f>
        <v>0</v>
      </c>
      <c r="H111" s="1896">
        <f t="shared" si="16"/>
        <v>0</v>
      </c>
      <c r="I111" s="2035">
        <f t="shared" si="17"/>
        <v>0</v>
      </c>
    </row>
    <row r="112" s="2011" customFormat="1" ht="21" customHeight="1" spans="1:9">
      <c r="A112" s="1796" t="s">
        <v>266</v>
      </c>
      <c r="B112" s="1824"/>
      <c r="C112" s="1825">
        <f>ROUND(未审利润表!C16,2)</f>
        <v>0</v>
      </c>
      <c r="D112" s="1896">
        <f>ROUND(SUMIF(资负表及利润表调整分录!$C$175:$C$207,"资产处置收益（亏损以“-”号填列）",资负表及利润表调整分录!$G$175:$G$207),2)</f>
        <v>0</v>
      </c>
      <c r="E112" s="1896">
        <f>ROUND(SUMIF(资负表及利润表调整分录!$C$175:$C$207,"资产处置收益（亏损以“-”号填列）",资负表及利润表调整分录!$H$175:$H$207),2)</f>
        <v>0</v>
      </c>
      <c r="F112" s="2029">
        <f t="shared" si="18"/>
        <v>0</v>
      </c>
      <c r="G112" s="2029">
        <f>ROUND(审定利润表!C16,2)</f>
        <v>0</v>
      </c>
      <c r="H112" s="1896">
        <f t="shared" si="16"/>
        <v>0</v>
      </c>
      <c r="I112" s="2035">
        <f t="shared" si="17"/>
        <v>0</v>
      </c>
    </row>
    <row r="113" s="2011" customFormat="1" ht="21" customHeight="1" spans="1:9">
      <c r="A113" s="1796" t="s">
        <v>92</v>
      </c>
      <c r="B113" s="1824"/>
      <c r="C113" s="1825">
        <f>ROUND(未审利润表!C17,2)</f>
        <v>0</v>
      </c>
      <c r="D113" s="1896">
        <f>ROUND(SUMIF(资负表及利润表调整分录!$C$175:$C$207,"汇兑收益",资负表及利润表调整分录!$G$175:$G$207),2)</f>
        <v>0</v>
      </c>
      <c r="E113" s="1896">
        <f>ROUND(SUMIF(资负表及利润表调整分录!$C$175:$C$207,"汇兑收益",资负表及利润表调整分录!$H$175:$H$207),2)</f>
        <v>0</v>
      </c>
      <c r="F113" s="2029">
        <f t="shared" si="18"/>
        <v>0</v>
      </c>
      <c r="G113" s="2029">
        <f>ROUND(审定利润表!C17,2)</f>
        <v>0</v>
      </c>
      <c r="H113" s="1896">
        <f t="shared" si="16"/>
        <v>0</v>
      </c>
      <c r="I113" s="2035">
        <f t="shared" si="17"/>
        <v>0</v>
      </c>
    </row>
    <row r="114" s="2011" customFormat="1" ht="21" customHeight="1" spans="1:9">
      <c r="A114" s="1796" t="str">
        <f>未审利润表!A18</f>
        <v>    其他收益</v>
      </c>
      <c r="B114" s="1824"/>
      <c r="C114" s="1825">
        <f>ROUND(未审利润表!C18,2)</f>
        <v>0</v>
      </c>
      <c r="D114" s="1896">
        <f>ROUND(SUMIF(资负表及利润表调整分录!$C$175:$C$207,TRIM(A114),资负表及利润表调整分录!$G$175:$G$207),2)</f>
        <v>0</v>
      </c>
      <c r="E114" s="1896">
        <f>ROUND(SUMIF(资负表及利润表调整分录!$C$175:$C$207,TRIM(A114),资负表及利润表调整分录!$H$175:$H$207),2)</f>
        <v>0</v>
      </c>
      <c r="F114" s="2029">
        <f t="shared" si="18"/>
        <v>0</v>
      </c>
      <c r="G114" s="2029">
        <f>ROUND(审定利润表!C18,2)</f>
        <v>0</v>
      </c>
      <c r="H114" s="1896">
        <f t="shared" si="16"/>
        <v>0</v>
      </c>
      <c r="I114" s="2035">
        <f t="shared" si="17"/>
        <v>0</v>
      </c>
    </row>
    <row r="115" s="2011" customFormat="1" ht="21" customHeight="1" spans="1:9">
      <c r="A115" s="1793" t="s">
        <v>93</v>
      </c>
      <c r="B115" s="1824"/>
      <c r="C115" s="2048">
        <f>ROUND(C102-SUM(C103:C108)+SUM(C109:C110)++C112+C113+C114,2)</f>
        <v>0</v>
      </c>
      <c r="D115" s="2048">
        <f>ROUND(SUM(D102:D114),2)</f>
        <v>0</v>
      </c>
      <c r="E115" s="2048">
        <f>ROUND(SUM(E102:E114),2)</f>
        <v>0</v>
      </c>
      <c r="F115" s="2048">
        <f>ROUND(F102-SUM(F103:F108)+SUM(F109:F110)++F112+F113+F114,2)</f>
        <v>0</v>
      </c>
      <c r="G115" s="2048">
        <f>ROUND(G102-SUM(G103:G108)+SUM(G109:G110)++G112+G113+G114,2)</f>
        <v>0</v>
      </c>
      <c r="H115" s="1896">
        <f t="shared" si="16"/>
        <v>0</v>
      </c>
      <c r="I115" s="2035">
        <f t="shared" si="17"/>
        <v>0</v>
      </c>
    </row>
    <row r="116" s="2011" customFormat="1" ht="21" customHeight="1" spans="1:9">
      <c r="A116" s="1796" t="s">
        <v>94</v>
      </c>
      <c r="B116" s="1824"/>
      <c r="C116" s="1825">
        <f>ROUND(未审利润表!C20,2)</f>
        <v>0</v>
      </c>
      <c r="D116" s="1896">
        <f>ROUND(SUMIF(资负表及利润表调整分录!$C$175:$C$207,"营业外收入",资负表及利润表调整分录!$G$175:$G$207),2)</f>
        <v>0</v>
      </c>
      <c r="E116" s="1896">
        <f>ROUND(SUMIF(资负表及利润表调整分录!$C$175:$C$207,"营业外收入",资负表及利润表调整分录!$H$175:$H$207),2)</f>
        <v>0</v>
      </c>
      <c r="F116" s="2029">
        <f>ROUND(C116+E116-D116,2)</f>
        <v>0</v>
      </c>
      <c r="G116" s="2029">
        <f>ROUND(审定利润表!C20,2)</f>
        <v>0</v>
      </c>
      <c r="H116" s="1896">
        <f t="shared" si="16"/>
        <v>0</v>
      </c>
      <c r="I116" s="2035">
        <f t="shared" si="17"/>
        <v>0</v>
      </c>
    </row>
    <row r="117" s="2011" customFormat="1" ht="21" customHeight="1" spans="1:9">
      <c r="A117" s="1796" t="str">
        <f>审定利润表!A21</f>
        <v>减：营业外支出</v>
      </c>
      <c r="B117" s="1824"/>
      <c r="C117" s="1825">
        <f>ROUND(未审利润表!C21,2)</f>
        <v>0</v>
      </c>
      <c r="D117" s="1896">
        <f>ROUND(SUMIF(资负表及利润表调整分录!$C$175:$C$207,"营业外支出",资负表及利润表调整分录!$G$175:$G$207),2)</f>
        <v>0</v>
      </c>
      <c r="E117" s="1896">
        <f>ROUND(SUMIF(资负表及利润表调整分录!$C$175:$C$207,"营业外支出",资负表及利润表调整分录!$H$175:$H$207),2)</f>
        <v>0</v>
      </c>
      <c r="F117" s="2029">
        <f>ROUND(C117-E117+D117,2)</f>
        <v>0</v>
      </c>
      <c r="G117" s="2029">
        <f>ROUND(审定利润表!C21,2)</f>
        <v>0</v>
      </c>
      <c r="H117" s="1896">
        <f t="shared" si="16"/>
        <v>0</v>
      </c>
      <c r="I117" s="2035">
        <f t="shared" si="17"/>
        <v>0</v>
      </c>
    </row>
    <row r="118" s="2011" customFormat="1" ht="21" customHeight="1" spans="1:9">
      <c r="A118" s="1793" t="str">
        <f>审定利润表!A22</f>
        <v>三、利润总额</v>
      </c>
      <c r="B118" s="1824"/>
      <c r="C118" s="2049">
        <f>C115+C116-C117</f>
        <v>0</v>
      </c>
      <c r="D118" s="2049">
        <f>D115+D116-D117</f>
        <v>0</v>
      </c>
      <c r="E118" s="2049">
        <f>E115+E116-E117</f>
        <v>0</v>
      </c>
      <c r="F118" s="2049">
        <f>F115+F116-F117</f>
        <v>0</v>
      </c>
      <c r="G118" s="2050">
        <f>ROUND(审定利润表!C22,2)</f>
        <v>0</v>
      </c>
      <c r="H118" s="2051">
        <f t="shared" si="16"/>
        <v>0</v>
      </c>
      <c r="I118" s="2055">
        <f t="shared" si="17"/>
        <v>0</v>
      </c>
    </row>
    <row r="119" s="2011" customFormat="1" ht="21" customHeight="1" spans="1:9">
      <c r="A119" s="1796" t="str">
        <f>审定利润表!A23</f>
        <v>减：所得税费用</v>
      </c>
      <c r="B119" s="1824"/>
      <c r="C119" s="1825">
        <f>ROUND(未审利润表!C23,2)</f>
        <v>0</v>
      </c>
      <c r="D119" s="1896">
        <f>ROUND(SUMIF(资负表及利润表调整分录!$C$175:$C$207,TRIM(A119),资负表及利润表调整分录!$G$175:$G$207),2)</f>
        <v>0</v>
      </c>
      <c r="E119" s="1896">
        <f>ROUND(SUMIF(资负表及利润表调整分录!$C$175:$C$207,TRIM(A119),资负表及利润表调整分录!$H$175:$H$207),2)</f>
        <v>0</v>
      </c>
      <c r="F119" s="2029">
        <f>ROUND(C119-E119+D119,2)</f>
        <v>0</v>
      </c>
      <c r="G119" s="2029">
        <f>ROUND(审定利润表!C23,2)</f>
        <v>0</v>
      </c>
      <c r="H119" s="1896">
        <f t="shared" si="16"/>
        <v>0</v>
      </c>
      <c r="I119" s="2035">
        <f t="shared" si="17"/>
        <v>0</v>
      </c>
    </row>
    <row r="120" s="2011" customFormat="1" ht="21" customHeight="1" spans="1:9">
      <c r="A120" s="1793" t="str">
        <f>审定利润表!A24</f>
        <v>四、净利润</v>
      </c>
      <c r="B120" s="1824"/>
      <c r="C120" s="2048">
        <f>ROUND(C118-C119,2)</f>
        <v>0</v>
      </c>
      <c r="D120" s="2048">
        <f t="shared" ref="D120:I120" si="19">ROUND(D118-D119,2)</f>
        <v>0</v>
      </c>
      <c r="E120" s="2048">
        <f t="shared" si="19"/>
        <v>0</v>
      </c>
      <c r="F120" s="2048">
        <f t="shared" si="19"/>
        <v>0</v>
      </c>
      <c r="G120" s="2048">
        <f t="shared" si="19"/>
        <v>0</v>
      </c>
      <c r="H120" s="2048">
        <f t="shared" si="19"/>
        <v>0</v>
      </c>
      <c r="I120" s="2055">
        <f t="shared" si="19"/>
        <v>0</v>
      </c>
    </row>
    <row r="121" s="2011" customFormat="1" ht="21" customHeight="1" spans="1:9">
      <c r="A121" s="1796"/>
      <c r="B121" s="1824"/>
      <c r="C121" s="1825"/>
      <c r="D121" s="1896"/>
      <c r="E121" s="1896"/>
      <c r="F121" s="2029"/>
      <c r="G121" s="2029"/>
      <c r="H121" s="1896"/>
      <c r="I121" s="2035"/>
    </row>
    <row r="122" s="2011" customFormat="1" ht="21" customHeight="1" spans="1:9">
      <c r="A122" s="1796"/>
      <c r="B122" s="1824"/>
      <c r="C122" s="1825"/>
      <c r="D122" s="1896"/>
      <c r="E122" s="1896"/>
      <c r="F122" s="2029"/>
      <c r="G122" s="2029"/>
      <c r="H122" s="1896"/>
      <c r="I122" s="2035"/>
    </row>
    <row r="123" s="2011" customFormat="1" ht="21" customHeight="1" spans="1:9">
      <c r="A123" s="1799"/>
      <c r="B123" s="1837"/>
      <c r="C123" s="2052"/>
      <c r="D123" s="2052"/>
      <c r="E123" s="2052"/>
      <c r="F123" s="2052"/>
      <c r="G123" s="2052"/>
      <c r="H123" s="2053"/>
      <c r="I123" s="2056"/>
    </row>
    <row r="124" ht="13.5"/>
  </sheetData>
  <sheetProtection password="CF6E" sheet="1" objects="1" scenarios="1"/>
  <mergeCells count="30">
    <mergeCell ref="A1:I1"/>
    <mergeCell ref="A2:B2"/>
    <mergeCell ref="D4:E4"/>
    <mergeCell ref="A49:I49"/>
    <mergeCell ref="A50:B50"/>
    <mergeCell ref="D52:E52"/>
    <mergeCell ref="A97:I97"/>
    <mergeCell ref="A98:B98"/>
    <mergeCell ref="D100:E100"/>
    <mergeCell ref="A4:A5"/>
    <mergeCell ref="A52:A53"/>
    <mergeCell ref="A100:A101"/>
    <mergeCell ref="B4:B5"/>
    <mergeCell ref="B52:B53"/>
    <mergeCell ref="B100:B101"/>
    <mergeCell ref="C4:C5"/>
    <mergeCell ref="C52:C53"/>
    <mergeCell ref="C100:C101"/>
    <mergeCell ref="F4:F5"/>
    <mergeCell ref="F52:F53"/>
    <mergeCell ref="F100:F101"/>
    <mergeCell ref="G4:G5"/>
    <mergeCell ref="G52:G53"/>
    <mergeCell ref="G100:G101"/>
    <mergeCell ref="H4:H5"/>
    <mergeCell ref="H52:H53"/>
    <mergeCell ref="H100:H101"/>
    <mergeCell ref="I4:I5"/>
    <mergeCell ref="I52:I53"/>
    <mergeCell ref="I100:I101"/>
  </mergeCells>
  <printOptions horizontalCentered="1"/>
  <pageMargins left="0.23" right="0.27" top="0.45" bottom="0.44" header="0.3" footer="0.23"/>
  <pageSetup paperSize="9" orientation="portrait" blackAndWhite="1"/>
  <headerFooter alignWithMargins="0"/>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I3872"/>
  <sheetViews>
    <sheetView topLeftCell="B1" workbookViewId="0">
      <pane ySplit="1" topLeftCell="A2574" activePane="bottomLeft" state="frozen"/>
      <selection/>
      <selection pane="bottomLeft" activeCell="C2461" sqref="C2461"/>
    </sheetView>
  </sheetViews>
  <sheetFormatPr defaultColWidth="8.875" defaultRowHeight="11.25"/>
  <cols>
    <col min="1" max="1" width="21" style="1927" hidden="1" customWidth="1"/>
    <col min="2" max="2" width="42.375" style="1928" customWidth="1"/>
    <col min="3" max="3" width="16" style="1929" customWidth="1"/>
    <col min="4" max="4" width="8.875" style="1927"/>
    <col min="5" max="7" width="10" style="1927" customWidth="1"/>
    <col min="8" max="8" width="17.5" style="1929" customWidth="1"/>
    <col min="9" max="9" width="15.5" style="1929" customWidth="1"/>
    <col min="10" max="16384" width="8.875" style="1927"/>
  </cols>
  <sheetData>
    <row r="1" spans="1:6">
      <c r="A1" s="1927" t="s">
        <v>60</v>
      </c>
      <c r="B1" s="1928" t="s">
        <v>60</v>
      </c>
      <c r="C1" s="1930" t="str">
        <f>报表附注!G1</f>
        <v>石嘴山市深阳蓝光市政工程有限公司</v>
      </c>
      <c r="D1" s="1927"/>
      <c r="E1" s="1931" t="s">
        <v>1555</v>
      </c>
      <c r="F1" s="1932"/>
    </row>
    <row r="2" spans="4:4">
      <c r="D2" s="1927" t="s">
        <v>1556</v>
      </c>
    </row>
    <row r="3" spans="1:4">
      <c r="A3" s="1927" t="s">
        <v>1557</v>
      </c>
      <c r="B3" s="1933" t="s">
        <v>1557</v>
      </c>
      <c r="D3" s="1927" t="b">
        <f>EXACT(A3,B3)</f>
        <v>1</v>
      </c>
    </row>
    <row r="4" spans="1:4">
      <c r="A4" s="1927" t="s">
        <v>1558</v>
      </c>
      <c r="B4" s="1933" t="s">
        <v>1558</v>
      </c>
      <c r="C4" s="1934"/>
      <c r="D4" s="1927" t="b">
        <f t="shared" ref="D4:D73" si="0">EXACT(A4,B4)</f>
        <v>1</v>
      </c>
    </row>
    <row r="5" spans="1:4">
      <c r="A5" s="1927" t="s">
        <v>320</v>
      </c>
      <c r="B5" s="1935" t="str">
        <f>报表附注!E4</f>
        <v>现金</v>
      </c>
      <c r="C5" s="1936">
        <f>报表附注!F4</f>
        <v>0</v>
      </c>
      <c r="D5" s="1927" t="b">
        <f t="shared" si="0"/>
        <v>1</v>
      </c>
    </row>
    <row r="6" spans="1:4">
      <c r="A6" s="1927" t="s">
        <v>322</v>
      </c>
      <c r="B6" s="1935" t="str">
        <f>报表附注!E5</f>
        <v>其中：人民币</v>
      </c>
      <c r="C6" s="1936">
        <f>报表附注!F5</f>
        <v>0</v>
      </c>
      <c r="D6" s="1927" t="b">
        <f t="shared" si="0"/>
        <v>1</v>
      </c>
    </row>
    <row r="7" spans="1:4">
      <c r="A7" s="1927" t="s">
        <v>1559</v>
      </c>
      <c r="B7" s="1935" t="str">
        <f>报表附注!E6</f>
        <v>美元</v>
      </c>
      <c r="C7" s="1936">
        <f>报表附注!F6</f>
        <v>0</v>
      </c>
      <c r="D7" s="1927" t="b">
        <f t="shared" si="0"/>
        <v>1</v>
      </c>
    </row>
    <row r="8" spans="1:4">
      <c r="A8" s="1927" t="s">
        <v>1560</v>
      </c>
      <c r="B8" s="1935" t="str">
        <f>报表附注!E7</f>
        <v>港币</v>
      </c>
      <c r="C8" s="1936">
        <f>报表附注!F7</f>
        <v>0</v>
      </c>
      <c r="D8" s="1927" t="b">
        <f t="shared" si="0"/>
        <v>1</v>
      </c>
    </row>
    <row r="9" spans="1:4">
      <c r="A9" s="1927" t="s">
        <v>1561</v>
      </c>
      <c r="B9" s="1935" t="str">
        <f>报表附注!E8</f>
        <v>欧元</v>
      </c>
      <c r="C9" s="1936">
        <f>报表附注!F8</f>
        <v>0</v>
      </c>
      <c r="D9" s="1927" t="b">
        <f t="shared" si="0"/>
        <v>1</v>
      </c>
    </row>
    <row r="10" spans="1:4">
      <c r="A10" s="1927" t="s">
        <v>1562</v>
      </c>
      <c r="B10" s="1935" t="str">
        <f>报表附注!E9</f>
        <v>日元</v>
      </c>
      <c r="C10" s="1936">
        <f>报表附注!F9</f>
        <v>0</v>
      </c>
      <c r="D10" s="1927" t="b">
        <f t="shared" si="0"/>
        <v>1</v>
      </c>
    </row>
    <row r="11" spans="1:4">
      <c r="A11" s="1927" t="s">
        <v>332</v>
      </c>
      <c r="B11" s="1935" t="str">
        <f>报表附注!E10</f>
        <v>银行存款</v>
      </c>
      <c r="C11" s="1936">
        <f>报表附注!F10</f>
        <v>0</v>
      </c>
      <c r="D11" s="1927" t="b">
        <f t="shared" si="0"/>
        <v>1</v>
      </c>
    </row>
    <row r="12" spans="1:4">
      <c r="A12" s="1927" t="s">
        <v>322</v>
      </c>
      <c r="B12" s="1935" t="str">
        <f>报表附注!E11</f>
        <v>其中：人民币</v>
      </c>
      <c r="C12" s="1936">
        <f>报表附注!F11</f>
        <v>0</v>
      </c>
      <c r="D12" s="1927" t="b">
        <f t="shared" si="0"/>
        <v>1</v>
      </c>
    </row>
    <row r="13" spans="1:4">
      <c r="A13" s="1927" t="s">
        <v>1559</v>
      </c>
      <c r="B13" s="1935" t="str">
        <f>报表附注!E12</f>
        <v>美元</v>
      </c>
      <c r="C13" s="1936">
        <f>报表附注!F12</f>
        <v>0</v>
      </c>
      <c r="D13" s="1927" t="b">
        <f t="shared" si="0"/>
        <v>1</v>
      </c>
    </row>
    <row r="14" spans="1:4">
      <c r="A14" s="1927" t="s">
        <v>1563</v>
      </c>
      <c r="B14" s="1935" t="str">
        <f>报表附注!E13</f>
        <v>     港币</v>
      </c>
      <c r="C14" s="1936">
        <f>报表附注!F13</f>
        <v>0</v>
      </c>
      <c r="D14" s="1927" t="b">
        <f t="shared" si="0"/>
        <v>1</v>
      </c>
    </row>
    <row r="15" spans="1:4">
      <c r="A15" s="1927" t="s">
        <v>1561</v>
      </c>
      <c r="B15" s="1935" t="str">
        <f>报表附注!E14</f>
        <v>欧元</v>
      </c>
      <c r="C15" s="1936">
        <f>报表附注!F14</f>
        <v>0</v>
      </c>
      <c r="D15" s="1927" t="b">
        <f t="shared" si="0"/>
        <v>1</v>
      </c>
    </row>
    <row r="16" spans="1:4">
      <c r="A16" s="1927" t="s">
        <v>1562</v>
      </c>
      <c r="B16" s="1935" t="str">
        <f>报表附注!E15</f>
        <v>日元</v>
      </c>
      <c r="C16" s="1936">
        <f>报表附注!F15</f>
        <v>0</v>
      </c>
      <c r="D16" s="1927" t="b">
        <f t="shared" si="0"/>
        <v>1</v>
      </c>
    </row>
    <row r="17" spans="1:4">
      <c r="A17" s="1927" t="s">
        <v>1564</v>
      </c>
      <c r="B17" s="1935" t="str">
        <f>报表附注!E16</f>
        <v>加拿大元</v>
      </c>
      <c r="C17" s="1936">
        <f>报表附注!F16</f>
        <v>0</v>
      </c>
      <c r="D17" s="1927" t="b">
        <f t="shared" si="0"/>
        <v>0</v>
      </c>
    </row>
    <row r="18" spans="1:4">
      <c r="A18" s="1937" t="s">
        <v>1564</v>
      </c>
      <c r="B18" s="1935" t="str">
        <f>报表附注!E17</f>
        <v>英镑</v>
      </c>
      <c r="C18" s="1936">
        <f>报表附注!F17</f>
        <v>0</v>
      </c>
      <c r="D18" s="1927" t="b">
        <f t="shared" si="0"/>
        <v>1</v>
      </c>
    </row>
    <row r="19" spans="1:4">
      <c r="A19" s="1937" t="s">
        <v>1565</v>
      </c>
      <c r="B19" s="1935" t="str">
        <f>报表附注!E18</f>
        <v>俄罗斯卢布</v>
      </c>
      <c r="C19" s="1936">
        <f>报表附注!F18</f>
        <v>0</v>
      </c>
      <c r="D19" s="1927" t="b">
        <f t="shared" si="0"/>
        <v>1</v>
      </c>
    </row>
    <row r="20" spans="1:4">
      <c r="A20" s="1927" t="s">
        <v>339</v>
      </c>
      <c r="B20" s="1935" t="str">
        <f>报表附注!E19</f>
        <v>其他货币资金</v>
      </c>
      <c r="C20" s="1936">
        <f>报表附注!F19</f>
        <v>0</v>
      </c>
      <c r="D20" s="1927" t="b">
        <f t="shared" si="0"/>
        <v>1</v>
      </c>
    </row>
    <row r="21" spans="1:4">
      <c r="A21" s="1927" t="s">
        <v>322</v>
      </c>
      <c r="B21" s="1935" t="str">
        <f>报表附注!E20</f>
        <v>其中：人民币</v>
      </c>
      <c r="C21" s="1936">
        <f>报表附注!F20</f>
        <v>0</v>
      </c>
      <c r="D21" s="1927" t="b">
        <f t="shared" si="0"/>
        <v>1</v>
      </c>
    </row>
    <row r="22" spans="1:4">
      <c r="A22" s="1927" t="s">
        <v>1559</v>
      </c>
      <c r="B22" s="1935" t="str">
        <f>报表附注!E21</f>
        <v>美元</v>
      </c>
      <c r="C22" s="1936">
        <f>报表附注!F21</f>
        <v>0</v>
      </c>
      <c r="D22" s="1927" t="b">
        <f t="shared" si="0"/>
        <v>1</v>
      </c>
    </row>
    <row r="23" spans="1:4">
      <c r="A23" s="1927" t="s">
        <v>1563</v>
      </c>
      <c r="B23" s="1935" t="str">
        <f>报表附注!E22</f>
        <v>     港币</v>
      </c>
      <c r="C23" s="1936">
        <f>报表附注!F22</f>
        <v>0</v>
      </c>
      <c r="D23" s="1927" t="b">
        <f t="shared" si="0"/>
        <v>1</v>
      </c>
    </row>
    <row r="24" spans="1:4">
      <c r="A24" s="1927" t="s">
        <v>1561</v>
      </c>
      <c r="B24" s="1935" t="str">
        <f>报表附注!E23</f>
        <v>欧元</v>
      </c>
      <c r="C24" s="1936">
        <f>报表附注!F23</f>
        <v>0</v>
      </c>
      <c r="D24" s="1927" t="b">
        <f t="shared" si="0"/>
        <v>1</v>
      </c>
    </row>
    <row r="25" spans="1:4">
      <c r="A25" s="1927" t="s">
        <v>1562</v>
      </c>
      <c r="B25" s="1935" t="str">
        <f>报表附注!E24</f>
        <v>日元</v>
      </c>
      <c r="C25" s="1936">
        <f>报表附注!F24</f>
        <v>0</v>
      </c>
      <c r="D25" s="1927" t="b">
        <f t="shared" si="0"/>
        <v>1</v>
      </c>
    </row>
    <row r="26" spans="1:4">
      <c r="A26" s="1927" t="s">
        <v>1206</v>
      </c>
      <c r="B26" s="1938" t="str">
        <f>报表附注!E25</f>
        <v>合  计</v>
      </c>
      <c r="C26" s="1936">
        <f>报表附注!F25</f>
        <v>0</v>
      </c>
      <c r="D26" s="1927" t="b">
        <f t="shared" si="0"/>
        <v>1</v>
      </c>
    </row>
    <row r="27" spans="1:4">
      <c r="A27" s="1927" t="s">
        <v>1566</v>
      </c>
      <c r="B27" s="1933" t="s">
        <v>1566</v>
      </c>
      <c r="C27" s="1934"/>
      <c r="D27" s="1927" t="b">
        <f t="shared" si="0"/>
        <v>1</v>
      </c>
    </row>
    <row r="28" spans="1:4">
      <c r="A28" s="1927" t="s">
        <v>320</v>
      </c>
      <c r="B28" s="1928" t="str">
        <f t="shared" ref="B28:B42" si="1">B5</f>
        <v>现金</v>
      </c>
      <c r="C28" s="1936">
        <f>报表附注!H4</f>
        <v>0</v>
      </c>
      <c r="D28" s="1927" t="b">
        <f t="shared" si="0"/>
        <v>1</v>
      </c>
    </row>
    <row r="29" spans="1:4">
      <c r="A29" s="1927" t="s">
        <v>322</v>
      </c>
      <c r="B29" s="1928" t="str">
        <f t="shared" si="1"/>
        <v>其中：人民币</v>
      </c>
      <c r="C29" s="1936">
        <f>报表附注!H5</f>
        <v>0</v>
      </c>
      <c r="D29" s="1927" t="b">
        <f t="shared" si="0"/>
        <v>1</v>
      </c>
    </row>
    <row r="30" spans="1:4">
      <c r="A30" s="1927" t="s">
        <v>1559</v>
      </c>
      <c r="B30" s="1928" t="str">
        <f t="shared" si="1"/>
        <v>美元</v>
      </c>
      <c r="C30" s="1936">
        <f>报表附注!H6</f>
        <v>0</v>
      </c>
      <c r="D30" s="1927" t="b">
        <f t="shared" si="0"/>
        <v>1</v>
      </c>
    </row>
    <row r="31" spans="1:4">
      <c r="A31" s="1927" t="s">
        <v>1560</v>
      </c>
      <c r="B31" s="1928" t="str">
        <f t="shared" si="1"/>
        <v>港币</v>
      </c>
      <c r="C31" s="1936">
        <f>报表附注!H7</f>
        <v>0</v>
      </c>
      <c r="D31" s="1927" t="b">
        <f t="shared" si="0"/>
        <v>1</v>
      </c>
    </row>
    <row r="32" spans="1:4">
      <c r="A32" s="1927" t="s">
        <v>1561</v>
      </c>
      <c r="B32" s="1928" t="str">
        <f t="shared" si="1"/>
        <v>欧元</v>
      </c>
      <c r="C32" s="1936">
        <f>报表附注!H8</f>
        <v>0</v>
      </c>
      <c r="D32" s="1927" t="b">
        <f t="shared" si="0"/>
        <v>1</v>
      </c>
    </row>
    <row r="33" spans="1:4">
      <c r="A33" s="1927" t="s">
        <v>1562</v>
      </c>
      <c r="B33" s="1928" t="str">
        <f t="shared" si="1"/>
        <v>日元</v>
      </c>
      <c r="C33" s="1936">
        <f>报表附注!H9</f>
        <v>0</v>
      </c>
      <c r="D33" s="1927" t="b">
        <f t="shared" si="0"/>
        <v>1</v>
      </c>
    </row>
    <row r="34" spans="1:4">
      <c r="A34" s="1927" t="s">
        <v>332</v>
      </c>
      <c r="B34" s="1928" t="str">
        <f t="shared" si="1"/>
        <v>银行存款</v>
      </c>
      <c r="C34" s="1936">
        <f>报表附注!H10</f>
        <v>0</v>
      </c>
      <c r="D34" s="1927" t="b">
        <f t="shared" si="0"/>
        <v>1</v>
      </c>
    </row>
    <row r="35" spans="1:4">
      <c r="A35" s="1927" t="s">
        <v>322</v>
      </c>
      <c r="B35" s="1928" t="str">
        <f t="shared" si="1"/>
        <v>其中：人民币</v>
      </c>
      <c r="C35" s="1936">
        <f>报表附注!H11</f>
        <v>0</v>
      </c>
      <c r="D35" s="1927" t="b">
        <f t="shared" si="0"/>
        <v>1</v>
      </c>
    </row>
    <row r="36" spans="1:4">
      <c r="A36" s="1927" t="s">
        <v>1559</v>
      </c>
      <c r="B36" s="1928" t="str">
        <f t="shared" si="1"/>
        <v>美元</v>
      </c>
      <c r="C36" s="1936">
        <f>报表附注!H12</f>
        <v>0</v>
      </c>
      <c r="D36" s="1927" t="b">
        <f t="shared" si="0"/>
        <v>1</v>
      </c>
    </row>
    <row r="37" spans="1:4">
      <c r="A37" s="1927" t="s">
        <v>1563</v>
      </c>
      <c r="B37" s="1928" t="str">
        <f t="shared" si="1"/>
        <v>     港币</v>
      </c>
      <c r="C37" s="1936">
        <f>报表附注!H13</f>
        <v>0</v>
      </c>
      <c r="D37" s="1927" t="b">
        <f t="shared" si="0"/>
        <v>1</v>
      </c>
    </row>
    <row r="38" spans="1:4">
      <c r="A38" s="1927" t="s">
        <v>1561</v>
      </c>
      <c r="B38" s="1928" t="str">
        <f t="shared" si="1"/>
        <v>欧元</v>
      </c>
      <c r="C38" s="1936">
        <f>报表附注!H14</f>
        <v>0</v>
      </c>
      <c r="D38" s="1927" t="b">
        <f t="shared" si="0"/>
        <v>1</v>
      </c>
    </row>
    <row r="39" spans="1:4">
      <c r="A39" s="1927" t="s">
        <v>1562</v>
      </c>
      <c r="B39" s="1928" t="str">
        <f t="shared" si="1"/>
        <v>日元</v>
      </c>
      <c r="C39" s="1936">
        <f>报表附注!H15</f>
        <v>0</v>
      </c>
      <c r="D39" s="1927" t="b">
        <f t="shared" si="0"/>
        <v>1</v>
      </c>
    </row>
    <row r="40" spans="1:4">
      <c r="A40" s="1927" t="s">
        <v>1564</v>
      </c>
      <c r="B40" s="1928" t="str">
        <f t="shared" si="1"/>
        <v>加拿大元</v>
      </c>
      <c r="C40" s="1936">
        <f>报表附注!H16</f>
        <v>0</v>
      </c>
      <c r="D40" s="1927" t="b">
        <f t="shared" si="0"/>
        <v>0</v>
      </c>
    </row>
    <row r="41" spans="1:4">
      <c r="A41" s="1937" t="s">
        <v>1564</v>
      </c>
      <c r="B41" s="1928" t="str">
        <f t="shared" si="1"/>
        <v>英镑</v>
      </c>
      <c r="C41" s="1936">
        <f>报表附注!H17</f>
        <v>0</v>
      </c>
      <c r="D41" s="1927" t="b">
        <f t="shared" si="0"/>
        <v>1</v>
      </c>
    </row>
    <row r="42" spans="1:4">
      <c r="A42" s="1937" t="s">
        <v>1565</v>
      </c>
      <c r="B42" s="1928" t="str">
        <f t="shared" si="1"/>
        <v>俄罗斯卢布</v>
      </c>
      <c r="C42" s="1936">
        <f>报表附注!H18</f>
        <v>0</v>
      </c>
      <c r="D42" s="1927" t="b">
        <f t="shared" si="0"/>
        <v>1</v>
      </c>
    </row>
    <row r="43" spans="1:4">
      <c r="A43" s="1927" t="s">
        <v>339</v>
      </c>
      <c r="B43" s="1928" t="str">
        <f t="shared" ref="B43:B49" si="2">B20</f>
        <v>其他货币资金</v>
      </c>
      <c r="C43" s="1936">
        <f>报表附注!H19</f>
        <v>0</v>
      </c>
      <c r="D43" s="1927" t="b">
        <f t="shared" si="0"/>
        <v>1</v>
      </c>
    </row>
    <row r="44" spans="1:4">
      <c r="A44" s="1927" t="s">
        <v>322</v>
      </c>
      <c r="B44" s="1928" t="str">
        <f t="shared" si="2"/>
        <v>其中：人民币</v>
      </c>
      <c r="C44" s="1936">
        <f>报表附注!H20</f>
        <v>0</v>
      </c>
      <c r="D44" s="1927" t="b">
        <f t="shared" si="0"/>
        <v>1</v>
      </c>
    </row>
    <row r="45" spans="1:4">
      <c r="A45" s="1927" t="s">
        <v>1559</v>
      </c>
      <c r="B45" s="1928" t="str">
        <f t="shared" si="2"/>
        <v>美元</v>
      </c>
      <c r="C45" s="1936">
        <f>报表附注!H21</f>
        <v>0</v>
      </c>
      <c r="D45" s="1927" t="b">
        <f t="shared" si="0"/>
        <v>1</v>
      </c>
    </row>
    <row r="46" spans="1:4">
      <c r="A46" s="1927" t="s">
        <v>1563</v>
      </c>
      <c r="B46" s="1928" t="str">
        <f t="shared" si="2"/>
        <v>     港币</v>
      </c>
      <c r="C46" s="1936">
        <f>报表附注!H22</f>
        <v>0</v>
      </c>
      <c r="D46" s="1927" t="b">
        <f t="shared" si="0"/>
        <v>1</v>
      </c>
    </row>
    <row r="47" spans="1:4">
      <c r="A47" s="1927" t="s">
        <v>1561</v>
      </c>
      <c r="B47" s="1928" t="str">
        <f t="shared" si="2"/>
        <v>欧元</v>
      </c>
      <c r="C47" s="1936">
        <f>报表附注!H23</f>
        <v>0</v>
      </c>
      <c r="D47" s="1927" t="b">
        <f t="shared" si="0"/>
        <v>1</v>
      </c>
    </row>
    <row r="48" spans="1:4">
      <c r="A48" s="1927" t="s">
        <v>1562</v>
      </c>
      <c r="B48" s="1928" t="str">
        <f t="shared" si="2"/>
        <v>日元</v>
      </c>
      <c r="C48" s="1936">
        <f>报表附注!H24</f>
        <v>0</v>
      </c>
      <c r="D48" s="1927" t="b">
        <f t="shared" si="0"/>
        <v>1</v>
      </c>
    </row>
    <row r="49" spans="1:4">
      <c r="A49" s="1927" t="s">
        <v>1206</v>
      </c>
      <c r="B49" s="1939" t="str">
        <f t="shared" si="2"/>
        <v>合  计</v>
      </c>
      <c r="C49" s="1936">
        <f>报表附注!H25</f>
        <v>0</v>
      </c>
      <c r="D49" s="1927" t="b">
        <f t="shared" si="0"/>
        <v>1</v>
      </c>
    </row>
    <row r="50" spans="1:4">
      <c r="A50" s="1927" t="s">
        <v>1567</v>
      </c>
      <c r="B50" s="1933" t="s">
        <v>1567</v>
      </c>
      <c r="C50" s="1934"/>
      <c r="D50" s="1927" t="b">
        <f t="shared" si="0"/>
        <v>1</v>
      </c>
    </row>
    <row r="51" spans="1:4">
      <c r="A51" s="1927" t="s">
        <v>320</v>
      </c>
      <c r="B51" s="1928" t="str">
        <f>报表附注!E4</f>
        <v>现金</v>
      </c>
      <c r="C51" s="1936">
        <f>报表附注!I4</f>
        <v>0</v>
      </c>
      <c r="D51" s="1927" t="b">
        <f t="shared" si="0"/>
        <v>1</v>
      </c>
    </row>
    <row r="52" spans="1:4">
      <c r="A52" s="1927" t="s">
        <v>322</v>
      </c>
      <c r="B52" s="1928" t="str">
        <f>报表附注!E5</f>
        <v>其中：人民币</v>
      </c>
      <c r="C52" s="1936">
        <f>报表附注!I5</f>
        <v>0</v>
      </c>
      <c r="D52" s="1927" t="b">
        <f t="shared" si="0"/>
        <v>1</v>
      </c>
    </row>
    <row r="53" spans="1:4">
      <c r="A53" s="1927" t="s">
        <v>1559</v>
      </c>
      <c r="B53" s="1928" t="str">
        <f>报表附注!E6</f>
        <v>美元</v>
      </c>
      <c r="C53" s="1936">
        <f>报表附注!I6</f>
        <v>0</v>
      </c>
      <c r="D53" s="1927" t="b">
        <f t="shared" si="0"/>
        <v>1</v>
      </c>
    </row>
    <row r="54" spans="1:4">
      <c r="A54" s="1927" t="s">
        <v>1560</v>
      </c>
      <c r="B54" s="1928" t="str">
        <f>报表附注!E7</f>
        <v>港币</v>
      </c>
      <c r="C54" s="1936">
        <f>报表附注!I7</f>
        <v>0</v>
      </c>
      <c r="D54" s="1927" t="b">
        <f t="shared" si="0"/>
        <v>1</v>
      </c>
    </row>
    <row r="55" spans="1:4">
      <c r="A55" s="1927" t="s">
        <v>1561</v>
      </c>
      <c r="B55" s="1928" t="str">
        <f>报表附注!E8</f>
        <v>欧元</v>
      </c>
      <c r="C55" s="1936">
        <f>报表附注!I8</f>
        <v>0</v>
      </c>
      <c r="D55" s="1927" t="b">
        <f t="shared" si="0"/>
        <v>1</v>
      </c>
    </row>
    <row r="56" spans="1:4">
      <c r="A56" s="1927" t="s">
        <v>1562</v>
      </c>
      <c r="B56" s="1928" t="str">
        <f>报表附注!E9</f>
        <v>日元</v>
      </c>
      <c r="C56" s="1936">
        <f>报表附注!I9</f>
        <v>0</v>
      </c>
      <c r="D56" s="1927" t="b">
        <f t="shared" si="0"/>
        <v>1</v>
      </c>
    </row>
    <row r="57" spans="1:4">
      <c r="A57" s="1927" t="s">
        <v>332</v>
      </c>
      <c r="B57" s="1928" t="str">
        <f>报表附注!E10</f>
        <v>银行存款</v>
      </c>
      <c r="C57" s="1936">
        <f>报表附注!I10</f>
        <v>0</v>
      </c>
      <c r="D57" s="1927" t="b">
        <f t="shared" si="0"/>
        <v>1</v>
      </c>
    </row>
    <row r="58" spans="1:4">
      <c r="A58" s="1927" t="s">
        <v>322</v>
      </c>
      <c r="B58" s="1928" t="str">
        <f>报表附注!E11</f>
        <v>其中：人民币</v>
      </c>
      <c r="C58" s="1936">
        <f>报表附注!I11</f>
        <v>0</v>
      </c>
      <c r="D58" s="1927" t="b">
        <f t="shared" si="0"/>
        <v>1</v>
      </c>
    </row>
    <row r="59" spans="1:4">
      <c r="A59" s="1927" t="s">
        <v>1559</v>
      </c>
      <c r="B59" s="1928" t="str">
        <f>报表附注!E12</f>
        <v>美元</v>
      </c>
      <c r="C59" s="1936">
        <f>报表附注!I12</f>
        <v>0</v>
      </c>
      <c r="D59" s="1927" t="b">
        <f t="shared" si="0"/>
        <v>1</v>
      </c>
    </row>
    <row r="60" spans="1:4">
      <c r="A60" s="1927" t="s">
        <v>1563</v>
      </c>
      <c r="B60" s="1928" t="str">
        <f>报表附注!E13</f>
        <v>     港币</v>
      </c>
      <c r="C60" s="1936">
        <f>报表附注!I13</f>
        <v>0</v>
      </c>
      <c r="D60" s="1927" t="b">
        <f t="shared" si="0"/>
        <v>1</v>
      </c>
    </row>
    <row r="61" spans="1:4">
      <c r="A61" s="1927" t="s">
        <v>1561</v>
      </c>
      <c r="B61" s="1928" t="str">
        <f>报表附注!E14</f>
        <v>欧元</v>
      </c>
      <c r="C61" s="1936">
        <f>报表附注!I14</f>
        <v>0</v>
      </c>
      <c r="D61" s="1927" t="b">
        <f t="shared" si="0"/>
        <v>1</v>
      </c>
    </row>
    <row r="62" spans="1:4">
      <c r="A62" s="1927" t="s">
        <v>1562</v>
      </c>
      <c r="B62" s="1928" t="str">
        <f>报表附注!E15</f>
        <v>日元</v>
      </c>
      <c r="C62" s="1936">
        <f>报表附注!I15</f>
        <v>0</v>
      </c>
      <c r="D62" s="1927" t="b">
        <f t="shared" si="0"/>
        <v>1</v>
      </c>
    </row>
    <row r="63" spans="1:4">
      <c r="A63" s="1927" t="s">
        <v>1564</v>
      </c>
      <c r="B63" s="1928" t="str">
        <f>报表附注!E16</f>
        <v>加拿大元</v>
      </c>
      <c r="C63" s="1936">
        <f>报表附注!I16</f>
        <v>0</v>
      </c>
      <c r="D63" s="1927" t="b">
        <f t="shared" si="0"/>
        <v>0</v>
      </c>
    </row>
    <row r="64" spans="1:4">
      <c r="A64" s="1937" t="s">
        <v>1564</v>
      </c>
      <c r="B64" s="1928" t="str">
        <f>报表附注!E17</f>
        <v>英镑</v>
      </c>
      <c r="C64" s="1936">
        <f>报表附注!I17</f>
        <v>0</v>
      </c>
      <c r="D64" s="1927" t="b">
        <f t="shared" si="0"/>
        <v>1</v>
      </c>
    </row>
    <row r="65" spans="1:4">
      <c r="A65" s="1937" t="s">
        <v>1565</v>
      </c>
      <c r="B65" s="1928" t="str">
        <f>报表附注!E18</f>
        <v>俄罗斯卢布</v>
      </c>
      <c r="C65" s="1936">
        <f>报表附注!I18</f>
        <v>0</v>
      </c>
      <c r="D65" s="1927" t="b">
        <f t="shared" si="0"/>
        <v>1</v>
      </c>
    </row>
    <row r="66" spans="1:4">
      <c r="A66" s="1927" t="s">
        <v>339</v>
      </c>
      <c r="B66" s="1928" t="str">
        <f>报表附注!E19</f>
        <v>其他货币资金</v>
      </c>
      <c r="C66" s="1936">
        <f>报表附注!I19</f>
        <v>0</v>
      </c>
      <c r="D66" s="1927" t="b">
        <f t="shared" si="0"/>
        <v>1</v>
      </c>
    </row>
    <row r="67" spans="1:4">
      <c r="A67" s="1927" t="s">
        <v>322</v>
      </c>
      <c r="B67" s="1928" t="str">
        <f>报表附注!E20</f>
        <v>其中：人民币</v>
      </c>
      <c r="C67" s="1936">
        <f>报表附注!I20</f>
        <v>0</v>
      </c>
      <c r="D67" s="1927" t="b">
        <f t="shared" si="0"/>
        <v>1</v>
      </c>
    </row>
    <row r="68" spans="1:4">
      <c r="A68" s="1927" t="s">
        <v>1559</v>
      </c>
      <c r="B68" s="1928" t="str">
        <f>报表附注!E21</f>
        <v>美元</v>
      </c>
      <c r="C68" s="1936">
        <f>报表附注!I21</f>
        <v>0</v>
      </c>
      <c r="D68" s="1927" t="b">
        <f t="shared" si="0"/>
        <v>1</v>
      </c>
    </row>
    <row r="69" spans="1:4">
      <c r="A69" s="1927" t="s">
        <v>1563</v>
      </c>
      <c r="B69" s="1928" t="str">
        <f>报表附注!E22</f>
        <v>     港币</v>
      </c>
      <c r="C69" s="1936">
        <f>报表附注!I22</f>
        <v>0</v>
      </c>
      <c r="D69" s="1927" t="b">
        <f t="shared" si="0"/>
        <v>1</v>
      </c>
    </row>
    <row r="70" spans="1:4">
      <c r="A70" s="1927" t="s">
        <v>1561</v>
      </c>
      <c r="B70" s="1928" t="str">
        <f>报表附注!E23</f>
        <v>欧元</v>
      </c>
      <c r="C70" s="1936">
        <f>报表附注!I23</f>
        <v>0</v>
      </c>
      <c r="D70" s="1927" t="b">
        <f t="shared" si="0"/>
        <v>1</v>
      </c>
    </row>
    <row r="71" spans="1:4">
      <c r="A71" s="1927" t="s">
        <v>1562</v>
      </c>
      <c r="B71" s="1928" t="str">
        <f>报表附注!E24</f>
        <v>日元</v>
      </c>
      <c r="C71" s="1936">
        <f>报表附注!I24</f>
        <v>0</v>
      </c>
      <c r="D71" s="1927" t="b">
        <f t="shared" si="0"/>
        <v>1</v>
      </c>
    </row>
    <row r="72" spans="1:4">
      <c r="A72" s="1927" t="s">
        <v>1206</v>
      </c>
      <c r="B72" s="1939" t="str">
        <f>报表附注!E25</f>
        <v>合  计</v>
      </c>
      <c r="C72" s="1936">
        <f>报表附注!I25</f>
        <v>0</v>
      </c>
      <c r="D72" s="1927" t="b">
        <f t="shared" si="0"/>
        <v>1</v>
      </c>
    </row>
    <row r="73" spans="1:4">
      <c r="A73" s="1927" t="s">
        <v>1568</v>
      </c>
      <c r="B73" s="1933" t="s">
        <v>1568</v>
      </c>
      <c r="C73" s="1934"/>
      <c r="D73" s="1927" t="b">
        <f t="shared" si="0"/>
        <v>1</v>
      </c>
    </row>
    <row r="74" spans="1:4">
      <c r="A74" s="1927" t="s">
        <v>320</v>
      </c>
      <c r="B74" s="1928" t="str">
        <f>报表附注!E4</f>
        <v>现金</v>
      </c>
      <c r="C74" s="1936">
        <f>报表附注!K4</f>
        <v>0</v>
      </c>
      <c r="D74" s="1927" t="b">
        <f t="shared" ref="D74:D139" si="3">EXACT(A74,B74)</f>
        <v>1</v>
      </c>
    </row>
    <row r="75" spans="1:4">
      <c r="A75" s="1927" t="s">
        <v>322</v>
      </c>
      <c r="B75" s="1928" t="str">
        <f>报表附注!E5</f>
        <v>其中：人民币</v>
      </c>
      <c r="C75" s="1936">
        <f>报表附注!K5</f>
        <v>0</v>
      </c>
      <c r="D75" s="1927" t="b">
        <f t="shared" si="3"/>
        <v>1</v>
      </c>
    </row>
    <row r="76" spans="1:4">
      <c r="A76" s="1927" t="s">
        <v>1559</v>
      </c>
      <c r="B76" s="1928" t="str">
        <f>报表附注!E6</f>
        <v>美元</v>
      </c>
      <c r="C76" s="1936">
        <f>报表附注!K6</f>
        <v>0</v>
      </c>
      <c r="D76" s="1927" t="b">
        <f t="shared" si="3"/>
        <v>1</v>
      </c>
    </row>
    <row r="77" spans="1:4">
      <c r="A77" s="1927" t="s">
        <v>1560</v>
      </c>
      <c r="B77" s="1928" t="str">
        <f>报表附注!E7</f>
        <v>港币</v>
      </c>
      <c r="C77" s="1936">
        <f>报表附注!K7</f>
        <v>0</v>
      </c>
      <c r="D77" s="1927" t="b">
        <f t="shared" si="3"/>
        <v>1</v>
      </c>
    </row>
    <row r="78" spans="1:4">
      <c r="A78" s="1927" t="s">
        <v>1561</v>
      </c>
      <c r="B78" s="1928" t="str">
        <f>报表附注!E8</f>
        <v>欧元</v>
      </c>
      <c r="C78" s="1936">
        <f>报表附注!K8</f>
        <v>0</v>
      </c>
      <c r="D78" s="1927" t="b">
        <f t="shared" si="3"/>
        <v>1</v>
      </c>
    </row>
    <row r="79" spans="1:4">
      <c r="A79" s="1927" t="s">
        <v>1562</v>
      </c>
      <c r="B79" s="1928" t="str">
        <f>报表附注!E9</f>
        <v>日元</v>
      </c>
      <c r="C79" s="1936">
        <f>报表附注!K9</f>
        <v>0</v>
      </c>
      <c r="D79" s="1927" t="b">
        <f t="shared" si="3"/>
        <v>1</v>
      </c>
    </row>
    <row r="80" spans="1:4">
      <c r="A80" s="1927" t="s">
        <v>332</v>
      </c>
      <c r="B80" s="1928" t="str">
        <f>报表附注!E10</f>
        <v>银行存款</v>
      </c>
      <c r="C80" s="1936">
        <f>报表附注!K10</f>
        <v>0</v>
      </c>
      <c r="D80" s="1927" t="b">
        <f t="shared" si="3"/>
        <v>1</v>
      </c>
    </row>
    <row r="81" spans="1:4">
      <c r="A81" s="1927" t="s">
        <v>322</v>
      </c>
      <c r="B81" s="1928" t="str">
        <f>报表附注!E11</f>
        <v>其中：人民币</v>
      </c>
      <c r="C81" s="1936">
        <f>报表附注!K11</f>
        <v>0</v>
      </c>
      <c r="D81" s="1927" t="b">
        <f t="shared" si="3"/>
        <v>1</v>
      </c>
    </row>
    <row r="82" spans="1:4">
      <c r="A82" s="1927" t="s">
        <v>1559</v>
      </c>
      <c r="B82" s="1928" t="str">
        <f>报表附注!E12</f>
        <v>美元</v>
      </c>
      <c r="C82" s="1936">
        <f>报表附注!K12</f>
        <v>0</v>
      </c>
      <c r="D82" s="1927" t="b">
        <f t="shared" si="3"/>
        <v>1</v>
      </c>
    </row>
    <row r="83" spans="1:4">
      <c r="A83" s="1927" t="s">
        <v>1563</v>
      </c>
      <c r="B83" s="1928" t="str">
        <f>报表附注!E13</f>
        <v>     港币</v>
      </c>
      <c r="C83" s="1936">
        <f>报表附注!K13</f>
        <v>0</v>
      </c>
      <c r="D83" s="1927" t="b">
        <f t="shared" si="3"/>
        <v>1</v>
      </c>
    </row>
    <row r="84" spans="1:4">
      <c r="A84" s="1927" t="s">
        <v>1561</v>
      </c>
      <c r="B84" s="1928" t="str">
        <f>报表附注!E14</f>
        <v>欧元</v>
      </c>
      <c r="C84" s="1936">
        <f>报表附注!K14</f>
        <v>0</v>
      </c>
      <c r="D84" s="1927" t="b">
        <f t="shared" si="3"/>
        <v>1</v>
      </c>
    </row>
    <row r="85" spans="1:4">
      <c r="A85" s="1927" t="s">
        <v>1562</v>
      </c>
      <c r="B85" s="1928" t="str">
        <f>报表附注!E15</f>
        <v>日元</v>
      </c>
      <c r="C85" s="1936">
        <f>报表附注!K15</f>
        <v>0</v>
      </c>
      <c r="D85" s="1927" t="b">
        <f t="shared" si="3"/>
        <v>1</v>
      </c>
    </row>
    <row r="86" spans="1:4">
      <c r="A86" s="1927" t="s">
        <v>1564</v>
      </c>
      <c r="B86" s="1928" t="str">
        <f>报表附注!E16</f>
        <v>加拿大元</v>
      </c>
      <c r="C86" s="1936">
        <f>报表附注!K16</f>
        <v>0</v>
      </c>
      <c r="D86" s="1927" t="b">
        <f t="shared" si="3"/>
        <v>0</v>
      </c>
    </row>
    <row r="87" spans="1:4">
      <c r="A87" s="1937" t="s">
        <v>1564</v>
      </c>
      <c r="B87" s="1928" t="str">
        <f>报表附注!E17</f>
        <v>英镑</v>
      </c>
      <c r="C87" s="1936">
        <f>报表附注!K17</f>
        <v>0</v>
      </c>
      <c r="D87" s="1927" t="b">
        <f t="shared" si="3"/>
        <v>1</v>
      </c>
    </row>
    <row r="88" spans="1:4">
      <c r="A88" s="1937" t="s">
        <v>1565</v>
      </c>
      <c r="B88" s="1928" t="str">
        <f>报表附注!E18</f>
        <v>俄罗斯卢布</v>
      </c>
      <c r="C88" s="1936">
        <f>报表附注!K18</f>
        <v>0</v>
      </c>
      <c r="D88" s="1927" t="b">
        <f t="shared" si="3"/>
        <v>1</v>
      </c>
    </row>
    <row r="89" spans="1:4">
      <c r="A89" s="1927" t="s">
        <v>339</v>
      </c>
      <c r="B89" s="1928" t="str">
        <f>报表附注!E19</f>
        <v>其他货币资金</v>
      </c>
      <c r="C89" s="1936">
        <f>报表附注!K19</f>
        <v>0</v>
      </c>
      <c r="D89" s="1927" t="b">
        <f t="shared" si="3"/>
        <v>1</v>
      </c>
    </row>
    <row r="90" spans="1:4">
      <c r="A90" s="1927" t="s">
        <v>322</v>
      </c>
      <c r="B90" s="1928" t="str">
        <f>报表附注!E20</f>
        <v>其中：人民币</v>
      </c>
      <c r="C90" s="1936">
        <f>报表附注!K20</f>
        <v>0</v>
      </c>
      <c r="D90" s="1927" t="b">
        <f t="shared" si="3"/>
        <v>1</v>
      </c>
    </row>
    <row r="91" spans="1:4">
      <c r="A91" s="1927" t="s">
        <v>1559</v>
      </c>
      <c r="B91" s="1928" t="str">
        <f>报表附注!E21</f>
        <v>美元</v>
      </c>
      <c r="C91" s="1936">
        <f>报表附注!K21</f>
        <v>0</v>
      </c>
      <c r="D91" s="1927" t="b">
        <f t="shared" si="3"/>
        <v>1</v>
      </c>
    </row>
    <row r="92" spans="1:4">
      <c r="A92" s="1927" t="s">
        <v>1563</v>
      </c>
      <c r="B92" s="1928" t="str">
        <f>报表附注!E22</f>
        <v>     港币</v>
      </c>
      <c r="C92" s="1936">
        <f>报表附注!K22</f>
        <v>0</v>
      </c>
      <c r="D92" s="1927" t="b">
        <f t="shared" si="3"/>
        <v>1</v>
      </c>
    </row>
    <row r="93" spans="1:4">
      <c r="A93" s="1927" t="s">
        <v>1561</v>
      </c>
      <c r="B93" s="1928" t="str">
        <f>报表附注!E23</f>
        <v>欧元</v>
      </c>
      <c r="C93" s="1936">
        <f>报表附注!K23</f>
        <v>0</v>
      </c>
      <c r="D93" s="1927" t="b">
        <f t="shared" si="3"/>
        <v>1</v>
      </c>
    </row>
    <row r="94" spans="1:4">
      <c r="A94" s="1927" t="s">
        <v>1562</v>
      </c>
      <c r="B94" s="1928" t="str">
        <f>报表附注!E24</f>
        <v>日元</v>
      </c>
      <c r="C94" s="1936">
        <f>报表附注!K24</f>
        <v>0</v>
      </c>
      <c r="D94" s="1927" t="b">
        <f t="shared" si="3"/>
        <v>1</v>
      </c>
    </row>
    <row r="95" spans="1:4">
      <c r="A95" s="1927" t="s">
        <v>1206</v>
      </c>
      <c r="B95" s="1939" t="str">
        <f>报表附注!E25</f>
        <v>合  计</v>
      </c>
      <c r="C95" s="1936">
        <f>报表附注!K25</f>
        <v>0</v>
      </c>
      <c r="D95" s="1927" t="b">
        <f t="shared" si="3"/>
        <v>1</v>
      </c>
    </row>
    <row r="96" spans="4:4">
      <c r="D96" s="1927" t="b">
        <f t="shared" si="3"/>
        <v>1</v>
      </c>
    </row>
    <row r="97" spans="1:4">
      <c r="A97" s="1927" t="s">
        <v>1569</v>
      </c>
      <c r="B97" s="1940" t="s">
        <v>1569</v>
      </c>
      <c r="D97" s="1927" t="b">
        <f t="shared" si="3"/>
        <v>1</v>
      </c>
    </row>
    <row r="98" spans="4:4">
      <c r="D98" s="1927" t="b">
        <f t="shared" si="3"/>
        <v>1</v>
      </c>
    </row>
    <row r="99" ht="12" spans="1:4">
      <c r="A99" s="1927" t="s">
        <v>1570</v>
      </c>
      <c r="B99" s="1941" t="s">
        <v>1570</v>
      </c>
      <c r="D99" s="1927" t="b">
        <f t="shared" si="3"/>
        <v>1</v>
      </c>
    </row>
    <row r="100" spans="1:4">
      <c r="A100" s="1927" t="s">
        <v>1571</v>
      </c>
      <c r="B100" s="1928" t="str">
        <f>报表附注!E48</f>
        <v>1.交易性债券投资</v>
      </c>
      <c r="C100" s="1936">
        <f>报表附注!G48</f>
        <v>0</v>
      </c>
      <c r="D100" s="1927" t="b">
        <f t="shared" si="3"/>
        <v>1</v>
      </c>
    </row>
    <row r="101" spans="1:4">
      <c r="A101" s="1927" t="s">
        <v>1572</v>
      </c>
      <c r="B101" s="1928" t="str">
        <f>报表附注!E49</f>
        <v>2.交易性权益工具投资</v>
      </c>
      <c r="C101" s="1936">
        <f>报表附注!G49</f>
        <v>0</v>
      </c>
      <c r="D101" s="1927" t="b">
        <f t="shared" si="3"/>
        <v>1</v>
      </c>
    </row>
    <row r="102" spans="1:4">
      <c r="A102" s="1927" t="s">
        <v>1573</v>
      </c>
      <c r="B102" s="1928" t="str">
        <f>报表附注!E50</f>
        <v>3.指定为以公允价值计量且其变动计入当期损益的金融资产</v>
      </c>
      <c r="C102" s="1936">
        <f>报表附注!G50</f>
        <v>0</v>
      </c>
      <c r="D102" s="1927" t="b">
        <f t="shared" si="3"/>
        <v>1</v>
      </c>
    </row>
    <row r="103" spans="1:4">
      <c r="A103" s="1927" t="s">
        <v>1574</v>
      </c>
      <c r="B103" s="1928" t="str">
        <f>报表附注!E51</f>
        <v>4.衍生金融资产</v>
      </c>
      <c r="C103" s="1936">
        <f>报表附注!G51</f>
        <v>0</v>
      </c>
      <c r="D103" s="1927" t="b">
        <f t="shared" si="3"/>
        <v>1</v>
      </c>
    </row>
    <row r="104" s="1926" customFormat="1" spans="1:9">
      <c r="A104" s="1926" t="s">
        <v>1575</v>
      </c>
      <c r="B104" s="1942" t="str">
        <f>报表附注!E52</f>
        <v>5.套期工具</v>
      </c>
      <c r="C104" s="1943">
        <f>报表附注!G52</f>
        <v>0</v>
      </c>
      <c r="D104" s="1927" t="b">
        <f t="shared" si="3"/>
        <v>1</v>
      </c>
      <c r="H104" s="1944"/>
      <c r="I104" s="1944"/>
    </row>
    <row r="105" spans="1:4">
      <c r="A105" s="1927" t="s">
        <v>1576</v>
      </c>
      <c r="B105" s="1928" t="str">
        <f>报表附注!E53</f>
        <v>6.其他</v>
      </c>
      <c r="C105" s="1936">
        <f>报表附注!G53</f>
        <v>0</v>
      </c>
      <c r="D105" s="1927" t="b">
        <f t="shared" si="3"/>
        <v>1</v>
      </c>
    </row>
    <row r="106" spans="1:4">
      <c r="A106" s="1927" t="s">
        <v>1577</v>
      </c>
      <c r="B106" s="1939" t="str">
        <f>报表附注!E54</f>
        <v>合    计</v>
      </c>
      <c r="C106" s="1936">
        <f>报表附注!G54</f>
        <v>0</v>
      </c>
      <c r="D106" s="1927" t="b">
        <f t="shared" si="3"/>
        <v>1</v>
      </c>
    </row>
    <row r="107" ht="12" spans="1:4">
      <c r="A107" s="1927" t="s">
        <v>373</v>
      </c>
      <c r="B107" s="1941" t="s">
        <v>373</v>
      </c>
      <c r="D107" s="1927" t="b">
        <f t="shared" si="3"/>
        <v>1</v>
      </c>
    </row>
    <row r="108" spans="1:4">
      <c r="A108" s="1927" t="s">
        <v>1571</v>
      </c>
      <c r="B108" s="1928" t="str">
        <f>报表附注!E48</f>
        <v>1.交易性债券投资</v>
      </c>
      <c r="C108" s="1936">
        <f>报表附注!F48</f>
        <v>0</v>
      </c>
      <c r="D108" s="1927" t="b">
        <f t="shared" si="3"/>
        <v>1</v>
      </c>
    </row>
    <row r="109" spans="1:4">
      <c r="A109" s="1927" t="s">
        <v>1572</v>
      </c>
      <c r="B109" s="1928" t="str">
        <f>报表附注!E49</f>
        <v>2.交易性权益工具投资</v>
      </c>
      <c r="C109" s="1936">
        <f>报表附注!F49</f>
        <v>0</v>
      </c>
      <c r="D109" s="1927" t="b">
        <f t="shared" si="3"/>
        <v>1</v>
      </c>
    </row>
    <row r="110" spans="1:4">
      <c r="A110" s="1927" t="s">
        <v>1573</v>
      </c>
      <c r="B110" s="1928" t="str">
        <f>报表附注!E50</f>
        <v>3.指定为以公允价值计量且其变动计入当期损益的金融资产</v>
      </c>
      <c r="C110" s="1936">
        <f>报表附注!F50</f>
        <v>0</v>
      </c>
      <c r="D110" s="1927" t="b">
        <f t="shared" si="3"/>
        <v>1</v>
      </c>
    </row>
    <row r="111" spans="1:4">
      <c r="A111" s="1927" t="s">
        <v>1574</v>
      </c>
      <c r="B111" s="1928" t="str">
        <f>报表附注!E51</f>
        <v>4.衍生金融资产</v>
      </c>
      <c r="C111" s="1936">
        <f>报表附注!F51</f>
        <v>0</v>
      </c>
      <c r="D111" s="1927" t="b">
        <f t="shared" si="3"/>
        <v>1</v>
      </c>
    </row>
    <row r="112" s="1926" customFormat="1" spans="1:9">
      <c r="A112" s="1926" t="s">
        <v>1575</v>
      </c>
      <c r="B112" s="1942" t="str">
        <f>报表附注!E52</f>
        <v>5.套期工具</v>
      </c>
      <c r="C112" s="1943">
        <f>报表附注!F52</f>
        <v>0</v>
      </c>
      <c r="D112" s="1927" t="b">
        <f t="shared" si="3"/>
        <v>1</v>
      </c>
      <c r="H112" s="1944"/>
      <c r="I112" s="1944"/>
    </row>
    <row r="113" spans="1:4">
      <c r="A113" s="1927" t="s">
        <v>1576</v>
      </c>
      <c r="B113" s="1928" t="str">
        <f>报表附注!E53</f>
        <v>6.其他</v>
      </c>
      <c r="C113" s="1936">
        <f>报表附注!F53</f>
        <v>0</v>
      </c>
      <c r="D113" s="1927" t="b">
        <f t="shared" si="3"/>
        <v>1</v>
      </c>
    </row>
    <row r="114" spans="1:4">
      <c r="A114" s="1927" t="s">
        <v>1577</v>
      </c>
      <c r="B114" s="1939" t="str">
        <f>报表附注!E54</f>
        <v>合    计</v>
      </c>
      <c r="C114" s="1936">
        <f>报表附注!F54</f>
        <v>0</v>
      </c>
      <c r="D114" s="1927" t="b">
        <f t="shared" si="3"/>
        <v>1</v>
      </c>
    </row>
    <row r="115" spans="4:4">
      <c r="D115" s="1927" t="b">
        <f t="shared" si="3"/>
        <v>1</v>
      </c>
    </row>
    <row r="116" spans="1:4">
      <c r="A116" s="1927" t="s">
        <v>1578</v>
      </c>
      <c r="B116" s="1945" t="s">
        <v>1578</v>
      </c>
      <c r="D116" s="1927" t="b">
        <f t="shared" si="3"/>
        <v>1</v>
      </c>
    </row>
    <row r="117" spans="4:4">
      <c r="D117" s="1927" t="b">
        <f t="shared" si="3"/>
        <v>1</v>
      </c>
    </row>
    <row r="118" spans="1:4">
      <c r="A118" s="1927" t="s">
        <v>1579</v>
      </c>
      <c r="B118" s="1946" t="s">
        <v>1579</v>
      </c>
      <c r="D118" s="1927" t="b">
        <f t="shared" si="3"/>
        <v>1</v>
      </c>
    </row>
    <row r="119" spans="1:4">
      <c r="A119" s="1927" t="s">
        <v>391</v>
      </c>
      <c r="B119" s="1928" t="str">
        <f>报表附注!E74</f>
        <v>银行承兑汇票</v>
      </c>
      <c r="C119" s="1936">
        <f>报表附注!G74</f>
        <v>0</v>
      </c>
      <c r="D119" s="1927" t="b">
        <f t="shared" si="3"/>
        <v>1</v>
      </c>
    </row>
    <row r="120" spans="1:4">
      <c r="A120" s="1927" t="s">
        <v>393</v>
      </c>
      <c r="B120" s="1928" t="str">
        <f>报表附注!E75</f>
        <v>商业承兑汇票</v>
      </c>
      <c r="C120" s="1936">
        <f>报表附注!G75</f>
        <v>0</v>
      </c>
      <c r="D120" s="1927" t="b">
        <f t="shared" si="3"/>
        <v>1</v>
      </c>
    </row>
    <row r="121" spans="1:4">
      <c r="A121" s="1927" t="s">
        <v>1580</v>
      </c>
      <c r="B121" s="1939" t="str">
        <f>报表附注!E76</f>
        <v>合计</v>
      </c>
      <c r="C121" s="1936">
        <f>报表附注!G76</f>
        <v>0</v>
      </c>
      <c r="D121" s="1927" t="b">
        <f t="shared" si="3"/>
        <v>1</v>
      </c>
    </row>
    <row r="122" spans="1:4">
      <c r="A122" s="1927" t="s">
        <v>315</v>
      </c>
      <c r="B122" s="1946" t="s">
        <v>315</v>
      </c>
      <c r="D122" s="1927" t="b">
        <f t="shared" si="3"/>
        <v>1</v>
      </c>
    </row>
    <row r="123" spans="1:4">
      <c r="A123" s="1927" t="s">
        <v>391</v>
      </c>
      <c r="B123" s="1928" t="str">
        <f>报表附注!E74</f>
        <v>银行承兑汇票</v>
      </c>
      <c r="C123" s="1936">
        <f>报表附注!F74</f>
        <v>0</v>
      </c>
      <c r="D123" s="1927" t="b">
        <f t="shared" si="3"/>
        <v>1</v>
      </c>
    </row>
    <row r="124" spans="1:4">
      <c r="A124" s="1927" t="s">
        <v>393</v>
      </c>
      <c r="B124" s="1928" t="str">
        <f>报表附注!E75</f>
        <v>商业承兑汇票</v>
      </c>
      <c r="C124" s="1936">
        <f>报表附注!F75</f>
        <v>0</v>
      </c>
      <c r="D124" s="1927" t="b">
        <f t="shared" si="3"/>
        <v>1</v>
      </c>
    </row>
    <row r="125" spans="1:4">
      <c r="A125" s="1927" t="s">
        <v>1580</v>
      </c>
      <c r="B125" s="1939" t="str">
        <f>报表附注!E76</f>
        <v>合计</v>
      </c>
      <c r="C125" s="1936">
        <f>报表附注!F76</f>
        <v>0</v>
      </c>
      <c r="D125" s="1927" t="b">
        <f t="shared" si="3"/>
        <v>1</v>
      </c>
    </row>
    <row r="126" spans="4:4">
      <c r="D126" s="1927" t="b">
        <f t="shared" si="3"/>
        <v>1</v>
      </c>
    </row>
    <row r="127" ht="13.5" spans="1:4">
      <c r="A127" s="1927" t="s">
        <v>1581</v>
      </c>
      <c r="B127" s="1947" t="s">
        <v>1582</v>
      </c>
      <c r="D127" s="1927" t="b">
        <f t="shared" si="3"/>
        <v>1</v>
      </c>
    </row>
    <row r="128" spans="4:4">
      <c r="D128" s="1927" t="b">
        <f t="shared" si="3"/>
        <v>1</v>
      </c>
    </row>
    <row r="129" spans="4:4">
      <c r="D129" s="1927" t="b">
        <f t="shared" si="3"/>
        <v>1</v>
      </c>
    </row>
    <row r="130" spans="1:4">
      <c r="A130" s="1927" t="s">
        <v>1583</v>
      </c>
      <c r="B130" s="1947" t="s">
        <v>1583</v>
      </c>
      <c r="D130" s="1927" t="b">
        <f t="shared" si="3"/>
        <v>1</v>
      </c>
    </row>
    <row r="131" spans="4:4">
      <c r="D131" s="1927" t="b">
        <f t="shared" si="3"/>
        <v>1</v>
      </c>
    </row>
    <row r="132" spans="4:4">
      <c r="D132" s="1927" t="b">
        <f t="shared" si="3"/>
        <v>1</v>
      </c>
    </row>
    <row r="133" spans="1:4">
      <c r="A133" s="1927" t="s">
        <v>1584</v>
      </c>
      <c r="B133" s="1945" t="s">
        <v>1584</v>
      </c>
      <c r="D133" s="1927" t="b">
        <f t="shared" si="3"/>
        <v>1</v>
      </c>
    </row>
    <row r="134" spans="1:4">
      <c r="A134" s="1927" t="s">
        <v>1579</v>
      </c>
      <c r="B134" s="1946" t="s">
        <v>1579</v>
      </c>
      <c r="D134" s="1927" t="b">
        <f t="shared" si="3"/>
        <v>1</v>
      </c>
    </row>
    <row r="135" spans="1:4">
      <c r="A135" s="1927" t="s">
        <v>1585</v>
      </c>
      <c r="B135" s="1928" t="str">
        <f>报表附注!E199</f>
        <v>1年以内（含1年）</v>
      </c>
      <c r="C135" s="1936">
        <f>报表附注!J199</f>
        <v>0</v>
      </c>
      <c r="D135" s="1927" t="b">
        <f t="shared" si="3"/>
        <v>1</v>
      </c>
    </row>
    <row r="136" spans="1:4">
      <c r="A136" s="1927" t="s">
        <v>1586</v>
      </c>
      <c r="B136" s="1928" t="str">
        <f>报表附注!E200</f>
        <v>1-2年（含2年）</v>
      </c>
      <c r="C136" s="1936">
        <f>报表附注!J200</f>
        <v>0</v>
      </c>
      <c r="D136" s="1927" t="b">
        <f t="shared" si="3"/>
        <v>1</v>
      </c>
    </row>
    <row r="137" spans="1:4">
      <c r="A137" s="1927" t="s">
        <v>1587</v>
      </c>
      <c r="B137" s="1928" t="str">
        <f>报表附注!E201</f>
        <v>2-3年（含3年）</v>
      </c>
      <c r="C137" s="1936">
        <f>报表附注!J201</f>
        <v>0</v>
      </c>
      <c r="D137" s="1927" t="b">
        <f t="shared" si="3"/>
        <v>1</v>
      </c>
    </row>
    <row r="138" spans="1:4">
      <c r="A138" s="1927" t="s">
        <v>1588</v>
      </c>
      <c r="B138" s="1928" t="str">
        <f>报表附注!E202</f>
        <v>3-4年（含4年）</v>
      </c>
      <c r="C138" s="1936">
        <f>报表附注!J202</f>
        <v>0</v>
      </c>
      <c r="D138" s="1927" t="b">
        <f t="shared" si="3"/>
        <v>1</v>
      </c>
    </row>
    <row r="139" spans="1:4">
      <c r="A139" s="1927" t="s">
        <v>1589</v>
      </c>
      <c r="B139" s="1928" t="str">
        <f>报表附注!E203</f>
        <v>4-5年（含5年）</v>
      </c>
      <c r="C139" s="1936">
        <f>报表附注!J203</f>
        <v>0</v>
      </c>
      <c r="D139" s="1927" t="b">
        <f t="shared" si="3"/>
        <v>1</v>
      </c>
    </row>
    <row r="140" spans="1:4">
      <c r="A140" s="1927" t="s">
        <v>1590</v>
      </c>
      <c r="B140" s="1928" t="str">
        <f>报表附注!E204</f>
        <v>5年以上</v>
      </c>
      <c r="C140" s="1936">
        <f>报表附注!J204</f>
        <v>0</v>
      </c>
      <c r="D140" s="1927" t="b">
        <f t="shared" ref="D140:D203" si="4">EXACT(A140,B140)</f>
        <v>1</v>
      </c>
    </row>
    <row r="141" spans="1:4">
      <c r="A141" s="1927" t="s">
        <v>1580</v>
      </c>
      <c r="B141" s="1939" t="str">
        <f>报表附注!E205</f>
        <v>合计</v>
      </c>
      <c r="C141" s="1936">
        <f>报表附注!J205</f>
        <v>0</v>
      </c>
      <c r="D141" s="1927" t="b">
        <f t="shared" si="4"/>
        <v>1</v>
      </c>
    </row>
    <row r="142" spans="1:4">
      <c r="A142" s="1927" t="s">
        <v>1591</v>
      </c>
      <c r="B142" s="1948" t="s">
        <v>1591</v>
      </c>
      <c r="D142" s="1927" t="b">
        <f t="shared" si="4"/>
        <v>1</v>
      </c>
    </row>
    <row r="143" spans="1:4">
      <c r="A143" s="1927" t="s">
        <v>1585</v>
      </c>
      <c r="B143" s="1928" t="str">
        <f>报表附注!E199</f>
        <v>1年以内（含1年）</v>
      </c>
      <c r="C143" s="1936">
        <f>报表附注!L199</f>
        <v>0</v>
      </c>
      <c r="D143" s="1927" t="b">
        <f t="shared" si="4"/>
        <v>1</v>
      </c>
    </row>
    <row r="144" spans="1:4">
      <c r="A144" s="1927" t="s">
        <v>1586</v>
      </c>
      <c r="B144" s="1928" t="str">
        <f>报表附注!E200</f>
        <v>1-2年（含2年）</v>
      </c>
      <c r="C144" s="1936">
        <f>报表附注!L200</f>
        <v>0</v>
      </c>
      <c r="D144" s="1927" t="b">
        <f t="shared" si="4"/>
        <v>1</v>
      </c>
    </row>
    <row r="145" spans="1:4">
      <c r="A145" s="1927" t="s">
        <v>1587</v>
      </c>
      <c r="B145" s="1928" t="str">
        <f>报表附注!E201</f>
        <v>2-3年（含3年）</v>
      </c>
      <c r="C145" s="1936">
        <f>报表附注!L201</f>
        <v>0</v>
      </c>
      <c r="D145" s="1927" t="b">
        <f t="shared" si="4"/>
        <v>1</v>
      </c>
    </row>
    <row r="146" spans="1:4">
      <c r="A146" s="1927" t="s">
        <v>1588</v>
      </c>
      <c r="B146" s="1928" t="str">
        <f>报表附注!E202</f>
        <v>3-4年（含4年）</v>
      </c>
      <c r="C146" s="1936">
        <f>报表附注!L202</f>
        <v>0</v>
      </c>
      <c r="D146" s="1927" t="b">
        <f t="shared" si="4"/>
        <v>1</v>
      </c>
    </row>
    <row r="147" spans="1:4">
      <c r="A147" s="1927" t="s">
        <v>1589</v>
      </c>
      <c r="B147" s="1928" t="str">
        <f>报表附注!E203</f>
        <v>4-5年（含5年）</v>
      </c>
      <c r="C147" s="1936">
        <f>报表附注!L203</f>
        <v>0</v>
      </c>
      <c r="D147" s="1927" t="b">
        <f t="shared" si="4"/>
        <v>1</v>
      </c>
    </row>
    <row r="148" spans="1:4">
      <c r="A148" s="1927" t="s">
        <v>1590</v>
      </c>
      <c r="B148" s="1928" t="str">
        <f>报表附注!E204</f>
        <v>5年以上</v>
      </c>
      <c r="C148" s="1936">
        <f>报表附注!L204</f>
        <v>0</v>
      </c>
      <c r="D148" s="1927" t="b">
        <f t="shared" si="4"/>
        <v>1</v>
      </c>
    </row>
    <row r="149" spans="1:4">
      <c r="A149" s="1927" t="s">
        <v>1580</v>
      </c>
      <c r="B149" s="1939" t="str">
        <f>报表附注!E205</f>
        <v>合计</v>
      </c>
      <c r="C149" s="1936">
        <f>报表附注!L205</f>
        <v>0</v>
      </c>
      <c r="D149" s="1927" t="b">
        <f t="shared" si="4"/>
        <v>1</v>
      </c>
    </row>
    <row r="150" spans="1:4">
      <c r="A150" s="1927" t="s">
        <v>1592</v>
      </c>
      <c r="B150" s="1939" t="s">
        <v>1592</v>
      </c>
      <c r="C150" s="1936">
        <f>C141-C149</f>
        <v>0</v>
      </c>
      <c r="D150" s="1927" t="b">
        <f t="shared" si="4"/>
        <v>1</v>
      </c>
    </row>
    <row r="151" spans="1:4">
      <c r="A151" s="1927" t="s">
        <v>315</v>
      </c>
      <c r="B151" s="1946" t="s">
        <v>315</v>
      </c>
      <c r="D151" s="1927" t="b">
        <f t="shared" si="4"/>
        <v>1</v>
      </c>
    </row>
    <row r="152" spans="1:4">
      <c r="A152" s="1927" t="s">
        <v>1585</v>
      </c>
      <c r="B152" s="1928" t="str">
        <f>报表附注!E199</f>
        <v>1年以内（含1年）</v>
      </c>
      <c r="C152" s="1936">
        <f>报表附注!F199</f>
        <v>0</v>
      </c>
      <c r="D152" s="1927" t="b">
        <f t="shared" si="4"/>
        <v>1</v>
      </c>
    </row>
    <row r="153" spans="1:4">
      <c r="A153" s="1927" t="s">
        <v>1586</v>
      </c>
      <c r="B153" s="1928" t="str">
        <f>报表附注!E200</f>
        <v>1-2年（含2年）</v>
      </c>
      <c r="C153" s="1936">
        <f>报表附注!F200</f>
        <v>0</v>
      </c>
      <c r="D153" s="1927" t="b">
        <f t="shared" si="4"/>
        <v>1</v>
      </c>
    </row>
    <row r="154" spans="1:4">
      <c r="A154" s="1927" t="s">
        <v>1587</v>
      </c>
      <c r="B154" s="1928" t="str">
        <f>报表附注!E201</f>
        <v>2-3年（含3年）</v>
      </c>
      <c r="C154" s="1936">
        <f>报表附注!F201</f>
        <v>0</v>
      </c>
      <c r="D154" s="1927" t="b">
        <f t="shared" si="4"/>
        <v>1</v>
      </c>
    </row>
    <row r="155" spans="1:4">
      <c r="A155" s="1927" t="s">
        <v>1588</v>
      </c>
      <c r="B155" s="1928" t="str">
        <f>报表附注!E202</f>
        <v>3-4年（含4年）</v>
      </c>
      <c r="C155" s="1936">
        <f>报表附注!F202</f>
        <v>0</v>
      </c>
      <c r="D155" s="1927" t="b">
        <f t="shared" si="4"/>
        <v>1</v>
      </c>
    </row>
    <row r="156" spans="1:4">
      <c r="A156" s="1927" t="s">
        <v>1589</v>
      </c>
      <c r="B156" s="1928" t="str">
        <f>报表附注!E203</f>
        <v>4-5年（含5年）</v>
      </c>
      <c r="C156" s="1936">
        <f>报表附注!F203</f>
        <v>0</v>
      </c>
      <c r="D156" s="1927" t="b">
        <f t="shared" si="4"/>
        <v>1</v>
      </c>
    </row>
    <row r="157" spans="1:4">
      <c r="A157" s="1927" t="s">
        <v>1590</v>
      </c>
      <c r="B157" s="1928" t="str">
        <f>报表附注!E204</f>
        <v>5年以上</v>
      </c>
      <c r="C157" s="1936">
        <f>报表附注!F204</f>
        <v>0</v>
      </c>
      <c r="D157" s="1927" t="b">
        <f t="shared" si="4"/>
        <v>1</v>
      </c>
    </row>
    <row r="158" spans="1:4">
      <c r="A158" s="1927" t="s">
        <v>1580</v>
      </c>
      <c r="B158" s="1939" t="str">
        <f>报表附注!E205</f>
        <v>合计</v>
      </c>
      <c r="C158" s="1936">
        <f>报表附注!F205</f>
        <v>0</v>
      </c>
      <c r="D158" s="1927" t="b">
        <f t="shared" si="4"/>
        <v>1</v>
      </c>
    </row>
    <row r="159" spans="1:4">
      <c r="A159" s="1927" t="s">
        <v>1593</v>
      </c>
      <c r="B159" s="1948" t="s">
        <v>1593</v>
      </c>
      <c r="D159" s="1927" t="b">
        <f t="shared" si="4"/>
        <v>1</v>
      </c>
    </row>
    <row r="160" spans="1:4">
      <c r="A160" s="1927" t="s">
        <v>1585</v>
      </c>
      <c r="B160" s="1928" t="str">
        <f>报表附注!E199</f>
        <v>1年以内（含1年）</v>
      </c>
      <c r="C160" s="1936">
        <f>报表附注!H199</f>
        <v>0</v>
      </c>
      <c r="D160" s="1927" t="b">
        <f t="shared" si="4"/>
        <v>1</v>
      </c>
    </row>
    <row r="161" spans="1:4">
      <c r="A161" s="1927" t="s">
        <v>1586</v>
      </c>
      <c r="B161" s="1928" t="str">
        <f>报表附注!E200</f>
        <v>1-2年（含2年）</v>
      </c>
      <c r="C161" s="1936">
        <f>报表附注!H200</f>
        <v>0</v>
      </c>
      <c r="D161" s="1927" t="b">
        <f t="shared" si="4"/>
        <v>1</v>
      </c>
    </row>
    <row r="162" spans="1:4">
      <c r="A162" s="1927" t="s">
        <v>1587</v>
      </c>
      <c r="B162" s="1928" t="str">
        <f>报表附注!E201</f>
        <v>2-3年（含3年）</v>
      </c>
      <c r="C162" s="1936">
        <f>报表附注!H201</f>
        <v>0</v>
      </c>
      <c r="D162" s="1927" t="b">
        <f t="shared" si="4"/>
        <v>1</v>
      </c>
    </row>
    <row r="163" spans="1:4">
      <c r="A163" s="1927" t="s">
        <v>1588</v>
      </c>
      <c r="B163" s="1928" t="str">
        <f>报表附注!E202</f>
        <v>3-4年（含4年）</v>
      </c>
      <c r="C163" s="1936">
        <f>报表附注!H202</f>
        <v>0</v>
      </c>
      <c r="D163" s="1927" t="b">
        <f t="shared" si="4"/>
        <v>1</v>
      </c>
    </row>
    <row r="164" spans="1:4">
      <c r="A164" s="1927" t="s">
        <v>1589</v>
      </c>
      <c r="B164" s="1928" t="str">
        <f>报表附注!E203</f>
        <v>4-5年（含5年）</v>
      </c>
      <c r="C164" s="1936">
        <f>报表附注!H203</f>
        <v>0</v>
      </c>
      <c r="D164" s="1927" t="b">
        <f t="shared" si="4"/>
        <v>1</v>
      </c>
    </row>
    <row r="165" spans="1:4">
      <c r="A165" s="1927" t="s">
        <v>1590</v>
      </c>
      <c r="B165" s="1928" t="str">
        <f>报表附注!E204</f>
        <v>5年以上</v>
      </c>
      <c r="C165" s="1936">
        <f>报表附注!H204</f>
        <v>0</v>
      </c>
      <c r="D165" s="1927" t="b">
        <f t="shared" si="4"/>
        <v>1</v>
      </c>
    </row>
    <row r="166" spans="1:4">
      <c r="A166" s="1927" t="s">
        <v>1580</v>
      </c>
      <c r="B166" s="1939" t="str">
        <f>报表附注!E205</f>
        <v>合计</v>
      </c>
      <c r="C166" s="1936">
        <f>报表附注!H205</f>
        <v>0</v>
      </c>
      <c r="D166" s="1927" t="b">
        <f t="shared" si="4"/>
        <v>1</v>
      </c>
    </row>
    <row r="167" spans="1:4">
      <c r="A167" s="1927" t="s">
        <v>1594</v>
      </c>
      <c r="B167" s="1939" t="s">
        <v>1594</v>
      </c>
      <c r="C167" s="1936">
        <f>C158-C166</f>
        <v>0</v>
      </c>
      <c r="D167" s="1927" t="b">
        <f t="shared" si="4"/>
        <v>1</v>
      </c>
    </row>
    <row r="168" spans="4:4">
      <c r="D168" s="1927" t="b">
        <f t="shared" si="4"/>
        <v>1</v>
      </c>
    </row>
    <row r="169" spans="1:4">
      <c r="A169" s="1927" t="s">
        <v>1579</v>
      </c>
      <c r="B169" s="1946" t="s">
        <v>1579</v>
      </c>
      <c r="D169" s="1927" t="b">
        <f t="shared" si="4"/>
        <v>1</v>
      </c>
    </row>
    <row r="170" spans="1:4">
      <c r="A170" s="1927" t="s">
        <v>1595</v>
      </c>
      <c r="B170" s="1928" t="str">
        <f>报表附注!E211</f>
        <v>单项金额重大并单项计提坏账准备的的应收账款</v>
      </c>
      <c r="C170" s="1936">
        <f>报表附注!J211</f>
        <v>0</v>
      </c>
      <c r="D170" s="1927" t="b">
        <f t="shared" si="4"/>
        <v>1</v>
      </c>
    </row>
    <row r="171" spans="1:4">
      <c r="A171" s="1927" t="s">
        <v>1596</v>
      </c>
      <c r="B171" s="1928" t="str">
        <f>报表附注!E212</f>
        <v>按组合（账龄分析法）计提坏账准备的应收账款</v>
      </c>
      <c r="C171" s="1936">
        <f>报表附注!J212</f>
        <v>0</v>
      </c>
      <c r="D171" s="1927" t="b">
        <f t="shared" si="4"/>
        <v>1</v>
      </c>
    </row>
    <row r="172" spans="1:4">
      <c r="A172" s="1927" t="s">
        <v>1597</v>
      </c>
      <c r="B172" s="1928" t="str">
        <f>报表附注!E213</f>
        <v>单项金额虽不重大但单项计提坏账准备的应收账款</v>
      </c>
      <c r="C172" s="1936">
        <f>报表附注!J213</f>
        <v>0</v>
      </c>
      <c r="D172" s="1927" t="b">
        <f t="shared" si="4"/>
        <v>1</v>
      </c>
    </row>
    <row r="173" spans="1:4">
      <c r="A173" s="1927" t="s">
        <v>1580</v>
      </c>
      <c r="B173" s="1939" t="str">
        <f>报表附注!E214</f>
        <v>合计</v>
      </c>
      <c r="C173" s="1936">
        <f>报表附注!J214</f>
        <v>0</v>
      </c>
      <c r="D173" s="1927" t="b">
        <f t="shared" si="4"/>
        <v>1</v>
      </c>
    </row>
    <row r="174" spans="1:4">
      <c r="A174" s="1927" t="s">
        <v>1591</v>
      </c>
      <c r="B174" s="1948" t="s">
        <v>1591</v>
      </c>
      <c r="D174" s="1927" t="b">
        <f t="shared" si="4"/>
        <v>1</v>
      </c>
    </row>
    <row r="175" spans="1:4">
      <c r="A175" s="1927" t="s">
        <v>1595</v>
      </c>
      <c r="B175" s="1928" t="str">
        <f>报表附注!E211</f>
        <v>单项金额重大并单项计提坏账准备的的应收账款</v>
      </c>
      <c r="C175" s="1936">
        <f>报表附注!L211</f>
        <v>0</v>
      </c>
      <c r="D175" s="1927" t="b">
        <f t="shared" si="4"/>
        <v>1</v>
      </c>
    </row>
    <row r="176" spans="1:4">
      <c r="A176" s="1927" t="s">
        <v>1596</v>
      </c>
      <c r="B176" s="1928" t="str">
        <f>报表附注!E212</f>
        <v>按组合（账龄分析法）计提坏账准备的应收账款</v>
      </c>
      <c r="C176" s="1936">
        <f>报表附注!L212</f>
        <v>0</v>
      </c>
      <c r="D176" s="1927" t="b">
        <f t="shared" si="4"/>
        <v>1</v>
      </c>
    </row>
    <row r="177" spans="1:4">
      <c r="A177" s="1927" t="s">
        <v>1597</v>
      </c>
      <c r="B177" s="1928" t="str">
        <f>报表附注!E213</f>
        <v>单项金额虽不重大但单项计提坏账准备的应收账款</v>
      </c>
      <c r="C177" s="1936">
        <f>报表附注!L213</f>
        <v>0</v>
      </c>
      <c r="D177" s="1927" t="b">
        <f t="shared" si="4"/>
        <v>1</v>
      </c>
    </row>
    <row r="178" spans="1:4">
      <c r="A178" s="1927" t="s">
        <v>1580</v>
      </c>
      <c r="B178" s="1939" t="str">
        <f>报表附注!E214</f>
        <v>合计</v>
      </c>
      <c r="C178" s="1936">
        <f>报表附注!L214</f>
        <v>0</v>
      </c>
      <c r="D178" s="1927" t="b">
        <f t="shared" si="4"/>
        <v>1</v>
      </c>
    </row>
    <row r="179" spans="1:4">
      <c r="A179" s="1927" t="s">
        <v>315</v>
      </c>
      <c r="B179" s="1946" t="s">
        <v>315</v>
      </c>
      <c r="D179" s="1927" t="b">
        <f t="shared" si="4"/>
        <v>1</v>
      </c>
    </row>
    <row r="180" spans="1:4">
      <c r="A180" s="1927" t="s">
        <v>1595</v>
      </c>
      <c r="B180" s="1928" t="str">
        <f>报表附注!E211</f>
        <v>单项金额重大并单项计提坏账准备的的应收账款</v>
      </c>
      <c r="C180" s="1936">
        <f>报表附注!F211</f>
        <v>0</v>
      </c>
      <c r="D180" s="1927" t="b">
        <f t="shared" si="4"/>
        <v>1</v>
      </c>
    </row>
    <row r="181" spans="1:4">
      <c r="A181" s="1927" t="s">
        <v>1596</v>
      </c>
      <c r="B181" s="1928" t="str">
        <f>报表附注!E212</f>
        <v>按组合（账龄分析法）计提坏账准备的应收账款</v>
      </c>
      <c r="C181" s="1936">
        <f>报表附注!F212</f>
        <v>0</v>
      </c>
      <c r="D181" s="1927" t="b">
        <f t="shared" si="4"/>
        <v>1</v>
      </c>
    </row>
    <row r="182" spans="1:4">
      <c r="A182" s="1927" t="s">
        <v>1597</v>
      </c>
      <c r="B182" s="1928" t="str">
        <f>报表附注!E213</f>
        <v>单项金额虽不重大但单项计提坏账准备的应收账款</v>
      </c>
      <c r="C182" s="1936">
        <f>报表附注!F213</f>
        <v>0</v>
      </c>
      <c r="D182" s="1927" t="b">
        <f t="shared" si="4"/>
        <v>1</v>
      </c>
    </row>
    <row r="183" spans="1:4">
      <c r="A183" s="1927" t="s">
        <v>1580</v>
      </c>
      <c r="B183" s="1939" t="str">
        <f>报表附注!E214</f>
        <v>合计</v>
      </c>
      <c r="C183" s="1936">
        <f>报表附注!F214</f>
        <v>0</v>
      </c>
      <c r="D183" s="1927" t="b">
        <f t="shared" si="4"/>
        <v>1</v>
      </c>
    </row>
    <row r="184" spans="1:4">
      <c r="A184" s="1927" t="s">
        <v>1593</v>
      </c>
      <c r="B184" s="1948" t="s">
        <v>1593</v>
      </c>
      <c r="D184" s="1927" t="b">
        <f t="shared" si="4"/>
        <v>1</v>
      </c>
    </row>
    <row r="185" spans="1:4">
      <c r="A185" s="1927" t="s">
        <v>1595</v>
      </c>
      <c r="B185" s="1928" t="str">
        <f>报表附注!E211</f>
        <v>单项金额重大并单项计提坏账准备的的应收账款</v>
      </c>
      <c r="C185" s="1936">
        <f>报表附注!H211</f>
        <v>0</v>
      </c>
      <c r="D185" s="1927" t="b">
        <f t="shared" si="4"/>
        <v>1</v>
      </c>
    </row>
    <row r="186" spans="1:4">
      <c r="A186" s="1927" t="s">
        <v>1596</v>
      </c>
      <c r="B186" s="1928" t="str">
        <f>报表附注!E212</f>
        <v>按组合（账龄分析法）计提坏账准备的应收账款</v>
      </c>
      <c r="C186" s="1936">
        <f>报表附注!H212</f>
        <v>0</v>
      </c>
      <c r="D186" s="1927" t="b">
        <f t="shared" si="4"/>
        <v>1</v>
      </c>
    </row>
    <row r="187" spans="1:4">
      <c r="A187" s="1927" t="s">
        <v>1597</v>
      </c>
      <c r="B187" s="1928" t="str">
        <f>报表附注!E213</f>
        <v>单项金额虽不重大但单项计提坏账准备的应收账款</v>
      </c>
      <c r="C187" s="1936">
        <f>报表附注!H213</f>
        <v>0</v>
      </c>
      <c r="D187" s="1927" t="b">
        <f t="shared" si="4"/>
        <v>1</v>
      </c>
    </row>
    <row r="188" spans="1:4">
      <c r="A188" s="1927" t="s">
        <v>1580</v>
      </c>
      <c r="B188" s="1939" t="str">
        <f>报表附注!E214</f>
        <v>合计</v>
      </c>
      <c r="C188" s="1936">
        <f>报表附注!H214</f>
        <v>0</v>
      </c>
      <c r="D188" s="1927" t="b">
        <f t="shared" si="4"/>
        <v>1</v>
      </c>
    </row>
    <row r="189" spans="2:4">
      <c r="B189" s="1949"/>
      <c r="D189" s="1927" t="b">
        <f t="shared" si="4"/>
        <v>1</v>
      </c>
    </row>
    <row r="190" spans="1:4">
      <c r="A190" s="1927" t="s">
        <v>1598</v>
      </c>
      <c r="B190" s="1950" t="s">
        <v>1598</v>
      </c>
      <c r="D190" s="1927" t="b">
        <f t="shared" si="4"/>
        <v>1</v>
      </c>
    </row>
    <row r="191" spans="1:4">
      <c r="A191" s="1927" t="s">
        <v>1579</v>
      </c>
      <c r="B191" s="1951" t="s">
        <v>1579</v>
      </c>
      <c r="D191" s="1927" t="b">
        <f t="shared" si="4"/>
        <v>1</v>
      </c>
    </row>
    <row r="192" spans="1:4">
      <c r="A192" s="1927" t="s">
        <v>1585</v>
      </c>
      <c r="B192" s="1952" t="str">
        <f>报表附注!E322</f>
        <v>1年以内（含1年）</v>
      </c>
      <c r="C192" s="1936">
        <f>报表附注!J322</f>
        <v>0</v>
      </c>
      <c r="D192" s="1927" t="b">
        <f t="shared" si="4"/>
        <v>1</v>
      </c>
    </row>
    <row r="193" spans="1:4">
      <c r="A193" s="1927" t="s">
        <v>1586</v>
      </c>
      <c r="B193" s="1952" t="str">
        <f>报表附注!E323</f>
        <v>1-2年（含2年）</v>
      </c>
      <c r="C193" s="1936">
        <f>报表附注!J323</f>
        <v>0</v>
      </c>
      <c r="D193" s="1927" t="b">
        <f t="shared" si="4"/>
        <v>1</v>
      </c>
    </row>
    <row r="194" spans="1:4">
      <c r="A194" s="1927" t="s">
        <v>1587</v>
      </c>
      <c r="B194" s="1952" t="str">
        <f>报表附注!E324</f>
        <v>2-3年（含3年）</v>
      </c>
      <c r="C194" s="1936">
        <f>报表附注!J324</f>
        <v>0</v>
      </c>
      <c r="D194" s="1927" t="b">
        <f t="shared" si="4"/>
        <v>1</v>
      </c>
    </row>
    <row r="195" spans="1:4">
      <c r="A195" s="1927" t="s">
        <v>1588</v>
      </c>
      <c r="B195" s="1952" t="str">
        <f>报表附注!E325</f>
        <v>3-4年（含4年）</v>
      </c>
      <c r="C195" s="1936">
        <f>报表附注!J325</f>
        <v>0</v>
      </c>
      <c r="D195" s="1927" t="b">
        <f t="shared" si="4"/>
        <v>1</v>
      </c>
    </row>
    <row r="196" spans="1:4">
      <c r="A196" s="1927" t="s">
        <v>1589</v>
      </c>
      <c r="B196" s="1952" t="str">
        <f>报表附注!E326</f>
        <v>4-5年（含5年）</v>
      </c>
      <c r="C196" s="1936">
        <f>报表附注!J326</f>
        <v>0</v>
      </c>
      <c r="D196" s="1927" t="b">
        <f t="shared" si="4"/>
        <v>1</v>
      </c>
    </row>
    <row r="197" spans="1:4">
      <c r="A197" s="1927" t="s">
        <v>1590</v>
      </c>
      <c r="B197" s="1952" t="str">
        <f>报表附注!E327</f>
        <v>5年以上</v>
      </c>
      <c r="C197" s="1936">
        <f>报表附注!J327</f>
        <v>0</v>
      </c>
      <c r="D197" s="1927" t="b">
        <f t="shared" si="4"/>
        <v>1</v>
      </c>
    </row>
    <row r="198" spans="1:4">
      <c r="A198" s="1927" t="s">
        <v>1580</v>
      </c>
      <c r="B198" s="1953" t="str">
        <f>报表附注!E328</f>
        <v>合计</v>
      </c>
      <c r="C198" s="1936">
        <f>报表附注!J328</f>
        <v>0</v>
      </c>
      <c r="D198" s="1927" t="b">
        <f t="shared" si="4"/>
        <v>1</v>
      </c>
    </row>
    <row r="199" spans="1:4">
      <c r="A199" s="1927" t="s">
        <v>1591</v>
      </c>
      <c r="B199" s="1954" t="s">
        <v>1591</v>
      </c>
      <c r="D199" s="1927" t="b">
        <f t="shared" si="4"/>
        <v>1</v>
      </c>
    </row>
    <row r="200" spans="1:4">
      <c r="A200" s="1927" t="s">
        <v>1585</v>
      </c>
      <c r="B200" s="1952" t="str">
        <f>报表附注!E322</f>
        <v>1年以内（含1年）</v>
      </c>
      <c r="C200" s="1936">
        <f>报表附注!L322</f>
        <v>0</v>
      </c>
      <c r="D200" s="1927" t="b">
        <f t="shared" si="4"/>
        <v>1</v>
      </c>
    </row>
    <row r="201" spans="1:4">
      <c r="A201" s="1927" t="s">
        <v>1586</v>
      </c>
      <c r="B201" s="1952" t="str">
        <f>报表附注!E323</f>
        <v>1-2年（含2年）</v>
      </c>
      <c r="C201" s="1936">
        <f>报表附注!L323</f>
        <v>0</v>
      </c>
      <c r="D201" s="1927" t="b">
        <f t="shared" si="4"/>
        <v>1</v>
      </c>
    </row>
    <row r="202" spans="1:4">
      <c r="A202" s="1927" t="s">
        <v>1587</v>
      </c>
      <c r="B202" s="1952" t="str">
        <f>报表附注!E324</f>
        <v>2-3年（含3年）</v>
      </c>
      <c r="C202" s="1936">
        <f>报表附注!L324</f>
        <v>0</v>
      </c>
      <c r="D202" s="1927" t="b">
        <f t="shared" si="4"/>
        <v>1</v>
      </c>
    </row>
    <row r="203" spans="1:4">
      <c r="A203" s="1927" t="s">
        <v>1588</v>
      </c>
      <c r="B203" s="1952" t="str">
        <f>报表附注!E325</f>
        <v>3-4年（含4年）</v>
      </c>
      <c r="C203" s="1936">
        <f>报表附注!L325</f>
        <v>0</v>
      </c>
      <c r="D203" s="1927" t="b">
        <f t="shared" si="4"/>
        <v>1</v>
      </c>
    </row>
    <row r="204" spans="1:4">
      <c r="A204" s="1927" t="s">
        <v>1589</v>
      </c>
      <c r="B204" s="1952" t="str">
        <f>报表附注!E326</f>
        <v>4-5年（含5年）</v>
      </c>
      <c r="C204" s="1936">
        <f>报表附注!L326</f>
        <v>0</v>
      </c>
      <c r="D204" s="1927" t="b">
        <f t="shared" ref="D204:D267" si="5">EXACT(A204,B204)</f>
        <v>1</v>
      </c>
    </row>
    <row r="205" spans="1:4">
      <c r="A205" s="1927" t="s">
        <v>1590</v>
      </c>
      <c r="B205" s="1952" t="str">
        <f>报表附注!E327</f>
        <v>5年以上</v>
      </c>
      <c r="C205" s="1936">
        <f>报表附注!L327</f>
        <v>0</v>
      </c>
      <c r="D205" s="1927" t="b">
        <f t="shared" si="5"/>
        <v>1</v>
      </c>
    </row>
    <row r="206" spans="1:4">
      <c r="A206" s="1927" t="s">
        <v>1580</v>
      </c>
      <c r="B206" s="1953" t="str">
        <f>报表附注!E328</f>
        <v>合计</v>
      </c>
      <c r="C206" s="1936">
        <f>报表附注!L328</f>
        <v>0</v>
      </c>
      <c r="D206" s="1927" t="b">
        <f t="shared" si="5"/>
        <v>1</v>
      </c>
    </row>
    <row r="207" spans="1:4">
      <c r="A207" s="1927" t="s">
        <v>315</v>
      </c>
      <c r="B207" s="1951" t="s">
        <v>315</v>
      </c>
      <c r="D207" s="1927" t="b">
        <f t="shared" si="5"/>
        <v>1</v>
      </c>
    </row>
    <row r="208" spans="1:4">
      <c r="A208" s="1927" t="s">
        <v>1585</v>
      </c>
      <c r="B208" s="1952" t="str">
        <f>报表附注!E322</f>
        <v>1年以内（含1年）</v>
      </c>
      <c r="C208" s="1936">
        <f>报表附注!F322</f>
        <v>0</v>
      </c>
      <c r="D208" s="1927" t="b">
        <f t="shared" si="5"/>
        <v>1</v>
      </c>
    </row>
    <row r="209" spans="1:4">
      <c r="A209" s="1927" t="s">
        <v>1586</v>
      </c>
      <c r="B209" s="1952" t="str">
        <f>报表附注!E323</f>
        <v>1-2年（含2年）</v>
      </c>
      <c r="C209" s="1936">
        <f>报表附注!F323</f>
        <v>0</v>
      </c>
      <c r="D209" s="1927" t="b">
        <f t="shared" si="5"/>
        <v>1</v>
      </c>
    </row>
    <row r="210" spans="1:4">
      <c r="A210" s="1927" t="s">
        <v>1587</v>
      </c>
      <c r="B210" s="1952" t="str">
        <f>报表附注!E324</f>
        <v>2-3年（含3年）</v>
      </c>
      <c r="C210" s="1936">
        <f>报表附注!F324</f>
        <v>0</v>
      </c>
      <c r="D210" s="1927" t="b">
        <f t="shared" si="5"/>
        <v>1</v>
      </c>
    </row>
    <row r="211" spans="1:4">
      <c r="A211" s="1927" t="s">
        <v>1588</v>
      </c>
      <c r="B211" s="1952" t="str">
        <f>报表附注!E325</f>
        <v>3-4年（含4年）</v>
      </c>
      <c r="C211" s="1936">
        <f>报表附注!F325</f>
        <v>0</v>
      </c>
      <c r="D211" s="1927" t="b">
        <f t="shared" si="5"/>
        <v>1</v>
      </c>
    </row>
    <row r="212" spans="1:4">
      <c r="A212" s="1927" t="s">
        <v>1589</v>
      </c>
      <c r="B212" s="1952" t="str">
        <f>报表附注!E326</f>
        <v>4-5年（含5年）</v>
      </c>
      <c r="C212" s="1936">
        <f>报表附注!F326</f>
        <v>0</v>
      </c>
      <c r="D212" s="1927" t="b">
        <f t="shared" si="5"/>
        <v>1</v>
      </c>
    </row>
    <row r="213" spans="1:4">
      <c r="A213" s="1927" t="s">
        <v>1590</v>
      </c>
      <c r="B213" s="1952" t="str">
        <f>报表附注!E327</f>
        <v>5年以上</v>
      </c>
      <c r="C213" s="1936">
        <f>报表附注!F327</f>
        <v>0</v>
      </c>
      <c r="D213" s="1927" t="b">
        <f t="shared" si="5"/>
        <v>1</v>
      </c>
    </row>
    <row r="214" spans="1:4">
      <c r="A214" s="1927" t="s">
        <v>1580</v>
      </c>
      <c r="B214" s="1953" t="str">
        <f>报表附注!E328</f>
        <v>合计</v>
      </c>
      <c r="C214" s="1936">
        <f>报表附注!F328</f>
        <v>0</v>
      </c>
      <c r="D214" s="1927" t="b">
        <f t="shared" si="5"/>
        <v>1</v>
      </c>
    </row>
    <row r="215" spans="1:4">
      <c r="A215" s="1927" t="s">
        <v>1593</v>
      </c>
      <c r="B215" s="1954" t="s">
        <v>1593</v>
      </c>
      <c r="D215" s="1927" t="b">
        <f t="shared" si="5"/>
        <v>1</v>
      </c>
    </row>
    <row r="216" spans="1:4">
      <c r="A216" s="1927" t="s">
        <v>1585</v>
      </c>
      <c r="B216" s="1952" t="str">
        <f>报表附注!E322</f>
        <v>1年以内（含1年）</v>
      </c>
      <c r="C216" s="1936">
        <f>报表附注!H322</f>
        <v>0</v>
      </c>
      <c r="D216" s="1927" t="b">
        <f t="shared" si="5"/>
        <v>1</v>
      </c>
    </row>
    <row r="217" spans="1:4">
      <c r="A217" s="1927" t="s">
        <v>1586</v>
      </c>
      <c r="B217" s="1952" t="str">
        <f>报表附注!E323</f>
        <v>1-2年（含2年）</v>
      </c>
      <c r="C217" s="1936">
        <f>报表附注!H323</f>
        <v>0</v>
      </c>
      <c r="D217" s="1927" t="b">
        <f t="shared" si="5"/>
        <v>1</v>
      </c>
    </row>
    <row r="218" spans="1:4">
      <c r="A218" s="1927" t="s">
        <v>1587</v>
      </c>
      <c r="B218" s="1952" t="str">
        <f>报表附注!E324</f>
        <v>2-3年（含3年）</v>
      </c>
      <c r="C218" s="1936">
        <f>报表附注!H324</f>
        <v>0</v>
      </c>
      <c r="D218" s="1927" t="b">
        <f t="shared" si="5"/>
        <v>1</v>
      </c>
    </row>
    <row r="219" spans="1:4">
      <c r="A219" s="1927" t="s">
        <v>1588</v>
      </c>
      <c r="B219" s="1952" t="str">
        <f>报表附注!E325</f>
        <v>3-4年（含4年）</v>
      </c>
      <c r="C219" s="1936">
        <f>报表附注!H325</f>
        <v>0</v>
      </c>
      <c r="D219" s="1927" t="b">
        <f t="shared" si="5"/>
        <v>1</v>
      </c>
    </row>
    <row r="220" spans="1:4">
      <c r="A220" s="1927" t="s">
        <v>1589</v>
      </c>
      <c r="B220" s="1952" t="str">
        <f>报表附注!E326</f>
        <v>4-5年（含5年）</v>
      </c>
      <c r="C220" s="1936">
        <f>报表附注!H326</f>
        <v>0</v>
      </c>
      <c r="D220" s="1927" t="b">
        <f t="shared" si="5"/>
        <v>1</v>
      </c>
    </row>
    <row r="221" spans="1:4">
      <c r="A221" s="1927" t="s">
        <v>1590</v>
      </c>
      <c r="B221" s="1952" t="str">
        <f>报表附注!E327</f>
        <v>5年以上</v>
      </c>
      <c r="C221" s="1936">
        <f>报表附注!H327</f>
        <v>0</v>
      </c>
      <c r="D221" s="1927" t="b">
        <f t="shared" si="5"/>
        <v>1</v>
      </c>
    </row>
    <row r="222" spans="1:4">
      <c r="A222" s="1927" t="s">
        <v>1580</v>
      </c>
      <c r="B222" s="1953" t="str">
        <f>报表附注!E328</f>
        <v>合计</v>
      </c>
      <c r="C222" s="1936">
        <f>报表附注!H328</f>
        <v>0</v>
      </c>
      <c r="D222" s="1927" t="b">
        <f t="shared" si="5"/>
        <v>1</v>
      </c>
    </row>
    <row r="223" spans="2:4">
      <c r="B223" s="1949"/>
      <c r="D223" s="1927" t="b">
        <f t="shared" si="5"/>
        <v>1</v>
      </c>
    </row>
    <row r="224" spans="1:4">
      <c r="A224" s="1927" t="s">
        <v>1599</v>
      </c>
      <c r="B224" s="1945" t="s">
        <v>1599</v>
      </c>
      <c r="D224" s="1927" t="b">
        <f t="shared" si="5"/>
        <v>1</v>
      </c>
    </row>
    <row r="225" spans="1:4">
      <c r="A225" s="1927" t="s">
        <v>1579</v>
      </c>
      <c r="B225" s="1946" t="s">
        <v>1579</v>
      </c>
      <c r="D225" s="1927" t="b">
        <f t="shared" si="5"/>
        <v>1</v>
      </c>
    </row>
    <row r="226" spans="1:4">
      <c r="A226" s="1927" t="s">
        <v>1600</v>
      </c>
      <c r="B226" s="1928" t="str">
        <f>报表附注!E502</f>
        <v>1年以内(含1年)</v>
      </c>
      <c r="C226" s="1936">
        <f>报表附注!H502</f>
        <v>0</v>
      </c>
      <c r="D226" s="1927" t="b">
        <f t="shared" si="5"/>
        <v>1</v>
      </c>
    </row>
    <row r="227" spans="1:4">
      <c r="A227" s="1927" t="s">
        <v>1601</v>
      </c>
      <c r="B227" s="1928" t="str">
        <f>报表附注!E503</f>
        <v>1-2年(含2年)</v>
      </c>
      <c r="C227" s="1936">
        <f>报表附注!H503</f>
        <v>0</v>
      </c>
      <c r="D227" s="1927" t="b">
        <f t="shared" si="5"/>
        <v>1</v>
      </c>
    </row>
    <row r="228" spans="1:4">
      <c r="A228" s="1927" t="s">
        <v>1602</v>
      </c>
      <c r="B228" s="1928" t="str">
        <f>报表附注!E504</f>
        <v>2-3年(含3年)</v>
      </c>
      <c r="C228" s="1936">
        <f>报表附注!H504</f>
        <v>0</v>
      </c>
      <c r="D228" s="1927" t="b">
        <f t="shared" si="5"/>
        <v>1</v>
      </c>
    </row>
    <row r="229" spans="1:4">
      <c r="A229" s="1927" t="s">
        <v>1603</v>
      </c>
      <c r="B229" s="1928" t="str">
        <f>报表附注!E505</f>
        <v>3年以上 </v>
      </c>
      <c r="C229" s="1936">
        <f>报表附注!H505</f>
        <v>0</v>
      </c>
      <c r="D229" s="1927" t="b">
        <f t="shared" si="5"/>
        <v>1</v>
      </c>
    </row>
    <row r="230" spans="1:4">
      <c r="A230" s="1927" t="s">
        <v>1580</v>
      </c>
      <c r="B230" s="1939" t="str">
        <f>报表附注!E506</f>
        <v>合计</v>
      </c>
      <c r="C230" s="1936">
        <f>报表附注!H506</f>
        <v>0</v>
      </c>
      <c r="D230" s="1927" t="b">
        <f t="shared" si="5"/>
        <v>1</v>
      </c>
    </row>
    <row r="231" spans="1:4">
      <c r="A231" s="1927" t="s">
        <v>315</v>
      </c>
      <c r="B231" s="1946" t="s">
        <v>315</v>
      </c>
      <c r="D231" s="1927" t="b">
        <f t="shared" si="5"/>
        <v>1</v>
      </c>
    </row>
    <row r="232" spans="1:4">
      <c r="A232" s="1927" t="s">
        <v>1600</v>
      </c>
      <c r="B232" s="1928" t="str">
        <f>报表附注!E502</f>
        <v>1年以内(含1年)</v>
      </c>
      <c r="C232" s="1936">
        <f>报表附注!F502</f>
        <v>0</v>
      </c>
      <c r="D232" s="1927" t="b">
        <f t="shared" si="5"/>
        <v>1</v>
      </c>
    </row>
    <row r="233" spans="1:4">
      <c r="A233" s="1927" t="s">
        <v>1601</v>
      </c>
      <c r="B233" s="1928" t="str">
        <f>报表附注!E503</f>
        <v>1-2年(含2年)</v>
      </c>
      <c r="C233" s="1936">
        <f>报表附注!F503</f>
        <v>0</v>
      </c>
      <c r="D233" s="1927" t="b">
        <f t="shared" si="5"/>
        <v>1</v>
      </c>
    </row>
    <row r="234" spans="1:4">
      <c r="A234" s="1927" t="s">
        <v>1602</v>
      </c>
      <c r="B234" s="1928" t="str">
        <f>报表附注!E504</f>
        <v>2-3年(含3年)</v>
      </c>
      <c r="C234" s="1936">
        <f>报表附注!F504</f>
        <v>0</v>
      </c>
      <c r="D234" s="1927" t="b">
        <f t="shared" si="5"/>
        <v>1</v>
      </c>
    </row>
    <row r="235" spans="1:4">
      <c r="A235" s="1927" t="s">
        <v>1603</v>
      </c>
      <c r="B235" s="1928" t="str">
        <f>报表附注!E505</f>
        <v>3年以上 </v>
      </c>
      <c r="C235" s="1936">
        <f>报表附注!F505</f>
        <v>0</v>
      </c>
      <c r="D235" s="1927" t="b">
        <f t="shared" si="5"/>
        <v>1</v>
      </c>
    </row>
    <row r="236" spans="1:4">
      <c r="A236" s="1927" t="s">
        <v>1580</v>
      </c>
      <c r="B236" s="1939" t="str">
        <f>报表附注!E506</f>
        <v>合计</v>
      </c>
      <c r="C236" s="1936">
        <f>报表附注!F506</f>
        <v>0</v>
      </c>
      <c r="D236" s="1927" t="b">
        <f t="shared" si="5"/>
        <v>1</v>
      </c>
    </row>
    <row r="237" spans="4:4">
      <c r="D237" s="1927" t="b">
        <f t="shared" si="5"/>
        <v>1</v>
      </c>
    </row>
    <row r="238" spans="1:4">
      <c r="A238" s="1927" t="s">
        <v>1604</v>
      </c>
      <c r="B238" s="1945" t="s">
        <v>1604</v>
      </c>
      <c r="D238" s="1927" t="b">
        <f t="shared" si="5"/>
        <v>1</v>
      </c>
    </row>
    <row r="239" spans="1:4">
      <c r="A239" s="1927" t="s">
        <v>1579</v>
      </c>
      <c r="B239" s="1946" t="s">
        <v>1579</v>
      </c>
      <c r="D239" s="1927" t="b">
        <f t="shared" si="5"/>
        <v>1</v>
      </c>
    </row>
    <row r="240" spans="1:4">
      <c r="A240" s="1927" t="s">
        <v>1585</v>
      </c>
      <c r="B240" s="1928" t="str">
        <f>报表附注!E565</f>
        <v>1年以内（含1年）</v>
      </c>
      <c r="C240" s="1936">
        <f>报表附注!J565</f>
        <v>0</v>
      </c>
      <c r="D240" s="1927" t="b">
        <f t="shared" si="5"/>
        <v>1</v>
      </c>
    </row>
    <row r="241" spans="1:4">
      <c r="A241" s="1927" t="s">
        <v>1586</v>
      </c>
      <c r="B241" s="1928" t="str">
        <f>报表附注!E566</f>
        <v>1-2年（含2年）</v>
      </c>
      <c r="C241" s="1936">
        <f>报表附注!J566</f>
        <v>0</v>
      </c>
      <c r="D241" s="1927" t="b">
        <f t="shared" si="5"/>
        <v>1</v>
      </c>
    </row>
    <row r="242" spans="1:4">
      <c r="A242" s="1927" t="s">
        <v>1587</v>
      </c>
      <c r="B242" s="1928" t="str">
        <f>报表附注!E567</f>
        <v>2-3年（含3年）</v>
      </c>
      <c r="C242" s="1936">
        <f>报表附注!J567</f>
        <v>0</v>
      </c>
      <c r="D242" s="1927" t="b">
        <f t="shared" si="5"/>
        <v>1</v>
      </c>
    </row>
    <row r="243" spans="1:4">
      <c r="A243" s="1927" t="s">
        <v>1588</v>
      </c>
      <c r="B243" s="1928" t="str">
        <f>报表附注!E568</f>
        <v>3-4年（含4年）</v>
      </c>
      <c r="C243" s="1936">
        <f>报表附注!J568</f>
        <v>0</v>
      </c>
      <c r="D243" s="1927" t="b">
        <f t="shared" si="5"/>
        <v>1</v>
      </c>
    </row>
    <row r="244" spans="1:4">
      <c r="A244" s="1927" t="s">
        <v>1589</v>
      </c>
      <c r="B244" s="1928" t="str">
        <f>报表附注!E569</f>
        <v>4-5年（含5年）</v>
      </c>
      <c r="C244" s="1936">
        <f>报表附注!J569</f>
        <v>0</v>
      </c>
      <c r="D244" s="1927" t="b">
        <f t="shared" si="5"/>
        <v>1</v>
      </c>
    </row>
    <row r="245" spans="1:4">
      <c r="A245" s="1927" t="s">
        <v>1590</v>
      </c>
      <c r="B245" s="1928" t="str">
        <f>报表附注!E570</f>
        <v>5年以上</v>
      </c>
      <c r="C245" s="1936">
        <f>报表附注!J570</f>
        <v>0</v>
      </c>
      <c r="D245" s="1927" t="b">
        <f t="shared" si="5"/>
        <v>1</v>
      </c>
    </row>
    <row r="246" spans="1:4">
      <c r="A246" s="1927" t="s">
        <v>1580</v>
      </c>
      <c r="B246" s="1939" t="str">
        <f>报表附注!E571</f>
        <v>合计</v>
      </c>
      <c r="C246" s="1936">
        <f>报表附注!J571</f>
        <v>0</v>
      </c>
      <c r="D246" s="1927" t="b">
        <f t="shared" si="5"/>
        <v>1</v>
      </c>
    </row>
    <row r="247" spans="1:4">
      <c r="A247" s="1927" t="s">
        <v>1591</v>
      </c>
      <c r="B247" s="1946" t="s">
        <v>1591</v>
      </c>
      <c r="D247" s="1927" t="b">
        <f t="shared" si="5"/>
        <v>1</v>
      </c>
    </row>
    <row r="248" spans="1:4">
      <c r="A248" s="1927" t="s">
        <v>1585</v>
      </c>
      <c r="B248" s="1928" t="str">
        <f>报表附注!E565</f>
        <v>1年以内（含1年）</v>
      </c>
      <c r="C248" s="1936">
        <f>报表附注!L565</f>
        <v>0</v>
      </c>
      <c r="D248" s="1927" t="b">
        <f t="shared" si="5"/>
        <v>1</v>
      </c>
    </row>
    <row r="249" spans="1:4">
      <c r="A249" s="1927" t="s">
        <v>1586</v>
      </c>
      <c r="B249" s="1928" t="str">
        <f>报表附注!E566</f>
        <v>1-2年（含2年）</v>
      </c>
      <c r="C249" s="1936">
        <f>报表附注!L566</f>
        <v>0</v>
      </c>
      <c r="D249" s="1927" t="b">
        <f t="shared" si="5"/>
        <v>1</v>
      </c>
    </row>
    <row r="250" spans="1:4">
      <c r="A250" s="1927" t="s">
        <v>1587</v>
      </c>
      <c r="B250" s="1928" t="str">
        <f>报表附注!E567</f>
        <v>2-3年（含3年）</v>
      </c>
      <c r="C250" s="1936">
        <f>报表附注!L567</f>
        <v>0</v>
      </c>
      <c r="D250" s="1927" t="b">
        <f t="shared" si="5"/>
        <v>1</v>
      </c>
    </row>
    <row r="251" spans="1:4">
      <c r="A251" s="1927" t="s">
        <v>1588</v>
      </c>
      <c r="B251" s="1928" t="str">
        <f>报表附注!E568</f>
        <v>3-4年（含4年）</v>
      </c>
      <c r="C251" s="1936">
        <f>报表附注!L568</f>
        <v>0</v>
      </c>
      <c r="D251" s="1927" t="b">
        <f t="shared" si="5"/>
        <v>1</v>
      </c>
    </row>
    <row r="252" spans="1:4">
      <c r="A252" s="1927" t="s">
        <v>1589</v>
      </c>
      <c r="B252" s="1928" t="str">
        <f>报表附注!E569</f>
        <v>4-5年（含5年）</v>
      </c>
      <c r="C252" s="1936">
        <f>报表附注!L569</f>
        <v>0</v>
      </c>
      <c r="D252" s="1927" t="b">
        <f t="shared" si="5"/>
        <v>1</v>
      </c>
    </row>
    <row r="253" spans="1:4">
      <c r="A253" s="1927" t="s">
        <v>1590</v>
      </c>
      <c r="B253" s="1928" t="str">
        <f>报表附注!E570</f>
        <v>5年以上</v>
      </c>
      <c r="C253" s="1936">
        <f>报表附注!L570</f>
        <v>0</v>
      </c>
      <c r="D253" s="1927" t="b">
        <f t="shared" si="5"/>
        <v>1</v>
      </c>
    </row>
    <row r="254" spans="1:4">
      <c r="A254" s="1927" t="s">
        <v>1580</v>
      </c>
      <c r="B254" s="1939" t="str">
        <f>报表附注!E571</f>
        <v>合计</v>
      </c>
      <c r="C254" s="1936">
        <f>报表附注!L571</f>
        <v>0</v>
      </c>
      <c r="D254" s="1927" t="b">
        <f t="shared" si="5"/>
        <v>1</v>
      </c>
    </row>
    <row r="255" spans="1:4">
      <c r="A255" s="1927" t="s">
        <v>315</v>
      </c>
      <c r="B255" s="1946" t="s">
        <v>315</v>
      </c>
      <c r="D255" s="1927" t="b">
        <f t="shared" si="5"/>
        <v>1</v>
      </c>
    </row>
    <row r="256" spans="1:4">
      <c r="A256" s="1927" t="s">
        <v>1585</v>
      </c>
      <c r="B256" s="1928" t="str">
        <f>报表附注!E565</f>
        <v>1年以内（含1年）</v>
      </c>
      <c r="C256" s="1936">
        <f>报表附注!F565</f>
        <v>0</v>
      </c>
      <c r="D256" s="1927" t="b">
        <f t="shared" si="5"/>
        <v>1</v>
      </c>
    </row>
    <row r="257" spans="1:4">
      <c r="A257" s="1927" t="s">
        <v>1586</v>
      </c>
      <c r="B257" s="1928" t="str">
        <f>报表附注!E566</f>
        <v>1-2年（含2年）</v>
      </c>
      <c r="C257" s="1936">
        <f>报表附注!F566</f>
        <v>0</v>
      </c>
      <c r="D257" s="1927" t="b">
        <f t="shared" si="5"/>
        <v>1</v>
      </c>
    </row>
    <row r="258" spans="1:4">
      <c r="A258" s="1927" t="s">
        <v>1587</v>
      </c>
      <c r="B258" s="1928" t="str">
        <f>报表附注!E567</f>
        <v>2-3年（含3年）</v>
      </c>
      <c r="C258" s="1936">
        <f>报表附注!F567</f>
        <v>0</v>
      </c>
      <c r="D258" s="1927" t="b">
        <f t="shared" si="5"/>
        <v>1</v>
      </c>
    </row>
    <row r="259" spans="1:4">
      <c r="A259" s="1927" t="s">
        <v>1588</v>
      </c>
      <c r="B259" s="1928" t="str">
        <f>报表附注!E568</f>
        <v>3-4年（含4年）</v>
      </c>
      <c r="C259" s="1936">
        <f>报表附注!F568</f>
        <v>0</v>
      </c>
      <c r="D259" s="1927" t="b">
        <f t="shared" si="5"/>
        <v>1</v>
      </c>
    </row>
    <row r="260" spans="1:4">
      <c r="A260" s="1927" t="s">
        <v>1589</v>
      </c>
      <c r="B260" s="1928" t="str">
        <f>报表附注!E569</f>
        <v>4-5年（含5年）</v>
      </c>
      <c r="C260" s="1936">
        <f>报表附注!F569</f>
        <v>0</v>
      </c>
      <c r="D260" s="1927" t="b">
        <f t="shared" si="5"/>
        <v>1</v>
      </c>
    </row>
    <row r="261" spans="1:4">
      <c r="A261" s="1927" t="s">
        <v>1590</v>
      </c>
      <c r="B261" s="1928" t="str">
        <f>报表附注!E570</f>
        <v>5年以上</v>
      </c>
      <c r="C261" s="1936">
        <f>报表附注!F570</f>
        <v>0</v>
      </c>
      <c r="D261" s="1927" t="b">
        <f t="shared" si="5"/>
        <v>1</v>
      </c>
    </row>
    <row r="262" spans="1:4">
      <c r="A262" s="1927" t="s">
        <v>1580</v>
      </c>
      <c r="B262" s="1939" t="str">
        <f>报表附注!E571</f>
        <v>合计</v>
      </c>
      <c r="C262" s="1936">
        <f>报表附注!F571</f>
        <v>0</v>
      </c>
      <c r="D262" s="1927" t="b">
        <f t="shared" si="5"/>
        <v>1</v>
      </c>
    </row>
    <row r="263" spans="1:4">
      <c r="A263" s="1927" t="s">
        <v>1593</v>
      </c>
      <c r="B263" s="1946" t="s">
        <v>1593</v>
      </c>
      <c r="D263" s="1927" t="b">
        <f t="shared" si="5"/>
        <v>1</v>
      </c>
    </row>
    <row r="264" spans="1:4">
      <c r="A264" s="1927" t="s">
        <v>1585</v>
      </c>
      <c r="B264" s="1928" t="str">
        <f>报表附注!E565</f>
        <v>1年以内（含1年）</v>
      </c>
      <c r="C264" s="1936">
        <f>报表附注!H565</f>
        <v>0</v>
      </c>
      <c r="D264" s="1927" t="b">
        <f t="shared" si="5"/>
        <v>1</v>
      </c>
    </row>
    <row r="265" spans="1:4">
      <c r="A265" s="1927" t="s">
        <v>1586</v>
      </c>
      <c r="B265" s="1928" t="str">
        <f>报表附注!E566</f>
        <v>1-2年（含2年）</v>
      </c>
      <c r="C265" s="1936">
        <f>报表附注!H566</f>
        <v>0</v>
      </c>
      <c r="D265" s="1927" t="b">
        <f t="shared" si="5"/>
        <v>1</v>
      </c>
    </row>
    <row r="266" spans="1:4">
      <c r="A266" s="1927" t="s">
        <v>1587</v>
      </c>
      <c r="B266" s="1928" t="str">
        <f>报表附注!E567</f>
        <v>2-3年（含3年）</v>
      </c>
      <c r="C266" s="1936">
        <f>报表附注!H567</f>
        <v>0</v>
      </c>
      <c r="D266" s="1927" t="b">
        <f t="shared" si="5"/>
        <v>1</v>
      </c>
    </row>
    <row r="267" spans="1:4">
      <c r="A267" s="1927" t="s">
        <v>1588</v>
      </c>
      <c r="B267" s="1928" t="str">
        <f>报表附注!E568</f>
        <v>3-4年（含4年）</v>
      </c>
      <c r="C267" s="1936">
        <f>报表附注!H568</f>
        <v>0</v>
      </c>
      <c r="D267" s="1927" t="b">
        <f t="shared" si="5"/>
        <v>1</v>
      </c>
    </row>
    <row r="268" spans="1:4">
      <c r="A268" s="1927" t="s">
        <v>1589</v>
      </c>
      <c r="B268" s="1928" t="str">
        <f>报表附注!E569</f>
        <v>4-5年（含5年）</v>
      </c>
      <c r="C268" s="1936">
        <f>报表附注!H569</f>
        <v>0</v>
      </c>
      <c r="D268" s="1927" t="b">
        <f t="shared" ref="D268:D331" si="6">EXACT(A268,B268)</f>
        <v>1</v>
      </c>
    </row>
    <row r="269" spans="1:4">
      <c r="A269" s="1927" t="s">
        <v>1590</v>
      </c>
      <c r="B269" s="1928" t="str">
        <f>报表附注!E570</f>
        <v>5年以上</v>
      </c>
      <c r="C269" s="1936">
        <f>报表附注!H570</f>
        <v>0</v>
      </c>
      <c r="D269" s="1927" t="b">
        <f t="shared" si="6"/>
        <v>1</v>
      </c>
    </row>
    <row r="270" spans="1:4">
      <c r="A270" s="1927" t="s">
        <v>1580</v>
      </c>
      <c r="B270" s="1939" t="str">
        <f>报表附注!E571</f>
        <v>合计</v>
      </c>
      <c r="C270" s="1936">
        <f>报表附注!H571</f>
        <v>0</v>
      </c>
      <c r="D270" s="1927" t="b">
        <f t="shared" si="6"/>
        <v>1</v>
      </c>
    </row>
    <row r="271" spans="4:4">
      <c r="D271" s="1927" t="b">
        <f t="shared" si="6"/>
        <v>1</v>
      </c>
    </row>
    <row r="272" spans="1:4">
      <c r="A272" s="1927" t="s">
        <v>1579</v>
      </c>
      <c r="B272" s="1946" t="s">
        <v>1579</v>
      </c>
      <c r="D272" s="1927" t="b">
        <f t="shared" si="6"/>
        <v>1</v>
      </c>
    </row>
    <row r="273" spans="1:4">
      <c r="A273" s="1927" t="s">
        <v>1595</v>
      </c>
      <c r="B273" s="1928" t="str">
        <f>报表附注!E578</f>
        <v>单项金额重大并单项计提坏账准备的的其他应收款</v>
      </c>
      <c r="C273" s="1936">
        <f>报表附注!J578</f>
        <v>0</v>
      </c>
      <c r="D273" s="1927" t="b">
        <f t="shared" si="6"/>
        <v>0</v>
      </c>
    </row>
    <row r="274" spans="1:4">
      <c r="A274" s="1927" t="s">
        <v>1596</v>
      </c>
      <c r="B274" s="1928" t="str">
        <f>报表附注!E579</f>
        <v>按组合（账龄分析法）计提坏账准备的其他应收款</v>
      </c>
      <c r="C274" s="1936">
        <f>报表附注!J579</f>
        <v>0</v>
      </c>
      <c r="D274" s="1927" t="b">
        <f t="shared" si="6"/>
        <v>0</v>
      </c>
    </row>
    <row r="275" spans="1:4">
      <c r="A275" s="1927" t="s">
        <v>1597</v>
      </c>
      <c r="B275" s="1928" t="str">
        <f>报表附注!E580</f>
        <v>单项金额虽不重大但单项计提坏账准备的其他应收款</v>
      </c>
      <c r="C275" s="1936">
        <f>报表附注!J580</f>
        <v>0</v>
      </c>
      <c r="D275" s="1927" t="b">
        <f t="shared" si="6"/>
        <v>0</v>
      </c>
    </row>
    <row r="276" spans="1:4">
      <c r="A276" s="1927" t="s">
        <v>1580</v>
      </c>
      <c r="B276" s="1939" t="str">
        <f>报表附注!E581</f>
        <v>合计</v>
      </c>
      <c r="C276" s="1936">
        <f>报表附注!J581</f>
        <v>0</v>
      </c>
      <c r="D276" s="1927" t="b">
        <f t="shared" si="6"/>
        <v>1</v>
      </c>
    </row>
    <row r="277" spans="1:4">
      <c r="A277" s="1927" t="s">
        <v>1591</v>
      </c>
      <c r="B277" s="1946" t="s">
        <v>1591</v>
      </c>
      <c r="D277" s="1927" t="b">
        <f t="shared" si="6"/>
        <v>1</v>
      </c>
    </row>
    <row r="278" spans="1:4">
      <c r="A278" s="1927" t="s">
        <v>1595</v>
      </c>
      <c r="B278" s="1928" t="str">
        <f>报表附注!E578</f>
        <v>单项金额重大并单项计提坏账准备的的其他应收款</v>
      </c>
      <c r="C278" s="1936">
        <f>报表附注!L578</f>
        <v>0</v>
      </c>
      <c r="D278" s="1927" t="b">
        <f t="shared" si="6"/>
        <v>0</v>
      </c>
    </row>
    <row r="279" spans="1:4">
      <c r="A279" s="1927" t="s">
        <v>1596</v>
      </c>
      <c r="B279" s="1928" t="str">
        <f>报表附注!E579</f>
        <v>按组合（账龄分析法）计提坏账准备的其他应收款</v>
      </c>
      <c r="C279" s="1936">
        <f>报表附注!L579</f>
        <v>0</v>
      </c>
      <c r="D279" s="1927" t="b">
        <f t="shared" si="6"/>
        <v>0</v>
      </c>
    </row>
    <row r="280" spans="1:4">
      <c r="A280" s="1927" t="s">
        <v>1597</v>
      </c>
      <c r="B280" s="1928" t="str">
        <f>报表附注!E580</f>
        <v>单项金额虽不重大但单项计提坏账准备的其他应收款</v>
      </c>
      <c r="C280" s="1936">
        <f>报表附注!L580</f>
        <v>0</v>
      </c>
      <c r="D280" s="1927" t="b">
        <f t="shared" si="6"/>
        <v>0</v>
      </c>
    </row>
    <row r="281" spans="1:4">
      <c r="A281" s="1927" t="s">
        <v>1580</v>
      </c>
      <c r="B281" s="1939" t="str">
        <f>报表附注!E581</f>
        <v>合计</v>
      </c>
      <c r="C281" s="1936">
        <f>报表附注!L581</f>
        <v>0</v>
      </c>
      <c r="D281" s="1927" t="b">
        <f t="shared" si="6"/>
        <v>1</v>
      </c>
    </row>
    <row r="282" spans="1:4">
      <c r="A282" s="1927" t="s">
        <v>315</v>
      </c>
      <c r="B282" s="1946" t="s">
        <v>315</v>
      </c>
      <c r="D282" s="1927" t="b">
        <f t="shared" si="6"/>
        <v>1</v>
      </c>
    </row>
    <row r="283" spans="1:4">
      <c r="A283" s="1927" t="s">
        <v>1595</v>
      </c>
      <c r="B283" s="1928" t="str">
        <f>报表附注!E578</f>
        <v>单项金额重大并单项计提坏账准备的的其他应收款</v>
      </c>
      <c r="C283" s="1936">
        <f>报表附注!F578</f>
        <v>0</v>
      </c>
      <c r="D283" s="1927" t="b">
        <f t="shared" si="6"/>
        <v>0</v>
      </c>
    </row>
    <row r="284" spans="1:4">
      <c r="A284" s="1927" t="s">
        <v>1596</v>
      </c>
      <c r="B284" s="1928" t="str">
        <f>报表附注!E579</f>
        <v>按组合（账龄分析法）计提坏账准备的其他应收款</v>
      </c>
      <c r="C284" s="1936">
        <f>报表附注!F579</f>
        <v>0</v>
      </c>
      <c r="D284" s="1927" t="b">
        <f t="shared" si="6"/>
        <v>0</v>
      </c>
    </row>
    <row r="285" spans="1:4">
      <c r="A285" s="1927" t="s">
        <v>1597</v>
      </c>
      <c r="B285" s="1928" t="str">
        <f>报表附注!E580</f>
        <v>单项金额虽不重大但单项计提坏账准备的其他应收款</v>
      </c>
      <c r="C285" s="1936">
        <f>报表附注!F580</f>
        <v>0</v>
      </c>
      <c r="D285" s="1927" t="b">
        <f t="shared" si="6"/>
        <v>0</v>
      </c>
    </row>
    <row r="286" spans="1:4">
      <c r="A286" s="1927" t="s">
        <v>1580</v>
      </c>
      <c r="B286" s="1939" t="str">
        <f>报表附注!E581</f>
        <v>合计</v>
      </c>
      <c r="C286" s="1936">
        <f>报表附注!F581</f>
        <v>0</v>
      </c>
      <c r="D286" s="1927" t="b">
        <f t="shared" si="6"/>
        <v>1</v>
      </c>
    </row>
    <row r="287" spans="1:4">
      <c r="A287" s="1927" t="s">
        <v>1593</v>
      </c>
      <c r="B287" s="1946" t="s">
        <v>1593</v>
      </c>
      <c r="D287" s="1927" t="b">
        <f t="shared" si="6"/>
        <v>1</v>
      </c>
    </row>
    <row r="288" spans="1:4">
      <c r="A288" s="1927" t="s">
        <v>461</v>
      </c>
      <c r="B288" s="1955" t="s">
        <v>461</v>
      </c>
      <c r="C288" s="1936">
        <f>报表附注!H578</f>
        <v>0</v>
      </c>
      <c r="D288" s="1927" t="b">
        <f t="shared" si="6"/>
        <v>1</v>
      </c>
    </row>
    <row r="289" ht="22.5" spans="1:4">
      <c r="A289" s="1927" t="s">
        <v>463</v>
      </c>
      <c r="B289" s="1955" t="s">
        <v>463</v>
      </c>
      <c r="C289" s="1936">
        <f>报表附注!H579</f>
        <v>0</v>
      </c>
      <c r="D289" s="1927" t="b">
        <f t="shared" si="6"/>
        <v>1</v>
      </c>
    </row>
    <row r="290" spans="1:4">
      <c r="A290" s="1927" t="s">
        <v>465</v>
      </c>
      <c r="B290" s="1955" t="s">
        <v>465</v>
      </c>
      <c r="C290" s="1936">
        <f>报表附注!H580</f>
        <v>0</v>
      </c>
      <c r="D290" s="1927" t="b">
        <f t="shared" si="6"/>
        <v>1</v>
      </c>
    </row>
    <row r="291" spans="1:4">
      <c r="A291" s="1927" t="s">
        <v>1580</v>
      </c>
      <c r="B291" s="1956" t="s">
        <v>1580</v>
      </c>
      <c r="C291" s="1936">
        <f>报表附注!H581</f>
        <v>0</v>
      </c>
      <c r="D291" s="1927" t="b">
        <f t="shared" si="6"/>
        <v>1</v>
      </c>
    </row>
    <row r="292" spans="4:4">
      <c r="D292" s="1927" t="b">
        <f t="shared" si="6"/>
        <v>1</v>
      </c>
    </row>
    <row r="293" spans="1:4">
      <c r="A293" s="1927" t="s">
        <v>1598</v>
      </c>
      <c r="B293" s="1950" t="s">
        <v>1598</v>
      </c>
      <c r="D293" s="1927" t="b">
        <f t="shared" si="6"/>
        <v>1</v>
      </c>
    </row>
    <row r="294" spans="1:4">
      <c r="A294" s="1927" t="s">
        <v>1579</v>
      </c>
      <c r="B294" s="1951" t="s">
        <v>1579</v>
      </c>
      <c r="D294" s="1927" t="b">
        <f t="shared" si="6"/>
        <v>1</v>
      </c>
    </row>
    <row r="295" spans="1:4">
      <c r="A295" s="1927" t="s">
        <v>1585</v>
      </c>
      <c r="B295" s="1952" t="str">
        <f>报表附注!E689</f>
        <v>1年以内（含1年）</v>
      </c>
      <c r="C295" s="1936">
        <f>报表附注!J689</f>
        <v>0</v>
      </c>
      <c r="D295" s="1927" t="b">
        <f t="shared" si="6"/>
        <v>1</v>
      </c>
    </row>
    <row r="296" spans="1:4">
      <c r="A296" s="1927" t="s">
        <v>1586</v>
      </c>
      <c r="B296" s="1952" t="str">
        <f>报表附注!E690</f>
        <v>1-2年（含2年）</v>
      </c>
      <c r="C296" s="1936">
        <f>报表附注!J690</f>
        <v>0</v>
      </c>
      <c r="D296" s="1927" t="b">
        <f t="shared" si="6"/>
        <v>1</v>
      </c>
    </row>
    <row r="297" spans="1:4">
      <c r="A297" s="1927" t="s">
        <v>1587</v>
      </c>
      <c r="B297" s="1952" t="str">
        <f>报表附注!E691</f>
        <v>2-3年（含3年）</v>
      </c>
      <c r="C297" s="1936">
        <f>报表附注!J691</f>
        <v>0</v>
      </c>
      <c r="D297" s="1927" t="b">
        <f t="shared" si="6"/>
        <v>1</v>
      </c>
    </row>
    <row r="298" spans="1:4">
      <c r="A298" s="1927" t="s">
        <v>1588</v>
      </c>
      <c r="B298" s="1952" t="str">
        <f>报表附注!E692</f>
        <v>3-4年（含4年）</v>
      </c>
      <c r="C298" s="1936">
        <f>报表附注!J692</f>
        <v>0</v>
      </c>
      <c r="D298" s="1927" t="b">
        <f t="shared" si="6"/>
        <v>1</v>
      </c>
    </row>
    <row r="299" spans="1:4">
      <c r="A299" s="1927" t="s">
        <v>1589</v>
      </c>
      <c r="B299" s="1952" t="str">
        <f>报表附注!E693</f>
        <v>4-5年（含5年）</v>
      </c>
      <c r="C299" s="1936">
        <f>报表附注!J693</f>
        <v>0</v>
      </c>
      <c r="D299" s="1927" t="b">
        <f t="shared" si="6"/>
        <v>1</v>
      </c>
    </row>
    <row r="300" spans="1:4">
      <c r="A300" s="1927" t="s">
        <v>1590</v>
      </c>
      <c r="B300" s="1952" t="str">
        <f>报表附注!E694</f>
        <v>5年以上</v>
      </c>
      <c r="C300" s="1936">
        <f>报表附注!J694</f>
        <v>0</v>
      </c>
      <c r="D300" s="1927" t="b">
        <f t="shared" si="6"/>
        <v>1</v>
      </c>
    </row>
    <row r="301" spans="1:4">
      <c r="A301" s="1927" t="s">
        <v>1580</v>
      </c>
      <c r="B301" s="1953" t="str">
        <f>报表附注!E695</f>
        <v>合计</v>
      </c>
      <c r="C301" s="1936">
        <f>报表附注!J695</f>
        <v>0</v>
      </c>
      <c r="D301" s="1927" t="b">
        <f t="shared" si="6"/>
        <v>1</v>
      </c>
    </row>
    <row r="302" spans="1:4">
      <c r="A302" s="1927" t="s">
        <v>1591</v>
      </c>
      <c r="B302" s="1954" t="s">
        <v>1591</v>
      </c>
      <c r="D302" s="1927" t="b">
        <f t="shared" si="6"/>
        <v>1</v>
      </c>
    </row>
    <row r="303" spans="1:4">
      <c r="A303" s="1927" t="s">
        <v>1585</v>
      </c>
      <c r="B303" s="1952" t="str">
        <f>报表附注!E689</f>
        <v>1年以内（含1年）</v>
      </c>
      <c r="C303" s="1936">
        <f>报表附注!L689</f>
        <v>0</v>
      </c>
      <c r="D303" s="1927" t="b">
        <f t="shared" si="6"/>
        <v>1</v>
      </c>
    </row>
    <row r="304" spans="1:4">
      <c r="A304" s="1927" t="s">
        <v>1586</v>
      </c>
      <c r="B304" s="1952" t="str">
        <f>报表附注!E690</f>
        <v>1-2年（含2年）</v>
      </c>
      <c r="C304" s="1936">
        <f>报表附注!L690</f>
        <v>0</v>
      </c>
      <c r="D304" s="1927" t="b">
        <f t="shared" si="6"/>
        <v>1</v>
      </c>
    </row>
    <row r="305" spans="1:4">
      <c r="A305" s="1927" t="s">
        <v>1587</v>
      </c>
      <c r="B305" s="1952" t="str">
        <f>报表附注!E691</f>
        <v>2-3年（含3年）</v>
      </c>
      <c r="C305" s="1936">
        <f>报表附注!L691</f>
        <v>0</v>
      </c>
      <c r="D305" s="1927" t="b">
        <f t="shared" si="6"/>
        <v>1</v>
      </c>
    </row>
    <row r="306" spans="1:4">
      <c r="A306" s="1927" t="s">
        <v>1588</v>
      </c>
      <c r="B306" s="1952" t="str">
        <f>报表附注!E692</f>
        <v>3-4年（含4年）</v>
      </c>
      <c r="C306" s="1936">
        <f>报表附注!L692</f>
        <v>0</v>
      </c>
      <c r="D306" s="1927" t="b">
        <f t="shared" si="6"/>
        <v>1</v>
      </c>
    </row>
    <row r="307" spans="1:4">
      <c r="A307" s="1927" t="s">
        <v>1589</v>
      </c>
      <c r="B307" s="1952" t="str">
        <f>报表附注!E693</f>
        <v>4-5年（含5年）</v>
      </c>
      <c r="C307" s="1936">
        <f>报表附注!L693</f>
        <v>0</v>
      </c>
      <c r="D307" s="1927" t="b">
        <f t="shared" si="6"/>
        <v>1</v>
      </c>
    </row>
    <row r="308" spans="1:4">
      <c r="A308" s="1927" t="s">
        <v>1590</v>
      </c>
      <c r="B308" s="1952" t="str">
        <f>报表附注!E694</f>
        <v>5年以上</v>
      </c>
      <c r="C308" s="1936">
        <f>报表附注!L694</f>
        <v>0</v>
      </c>
      <c r="D308" s="1927" t="b">
        <f t="shared" si="6"/>
        <v>1</v>
      </c>
    </row>
    <row r="309" spans="1:4">
      <c r="A309" s="1927" t="s">
        <v>1580</v>
      </c>
      <c r="B309" s="1953" t="str">
        <f>报表附注!E695</f>
        <v>合计</v>
      </c>
      <c r="C309" s="1936">
        <f>报表附注!L695</f>
        <v>0</v>
      </c>
      <c r="D309" s="1927" t="b">
        <f t="shared" si="6"/>
        <v>1</v>
      </c>
    </row>
    <row r="310" spans="1:4">
      <c r="A310" s="1927" t="s">
        <v>315</v>
      </c>
      <c r="B310" s="1951" t="s">
        <v>315</v>
      </c>
      <c r="D310" s="1927" t="b">
        <f t="shared" si="6"/>
        <v>1</v>
      </c>
    </row>
    <row r="311" spans="1:4">
      <c r="A311" s="1927" t="s">
        <v>1585</v>
      </c>
      <c r="B311" s="1952" t="str">
        <f>报表附注!E689</f>
        <v>1年以内（含1年）</v>
      </c>
      <c r="C311" s="1936">
        <f>报表附注!F689</f>
        <v>0</v>
      </c>
      <c r="D311" s="1927" t="b">
        <f t="shared" si="6"/>
        <v>1</v>
      </c>
    </row>
    <row r="312" spans="1:4">
      <c r="A312" s="1927" t="s">
        <v>1586</v>
      </c>
      <c r="B312" s="1952" t="str">
        <f>报表附注!E690</f>
        <v>1-2年（含2年）</v>
      </c>
      <c r="C312" s="1936">
        <f>报表附注!F690</f>
        <v>0</v>
      </c>
      <c r="D312" s="1927" t="b">
        <f t="shared" si="6"/>
        <v>1</v>
      </c>
    </row>
    <row r="313" spans="1:4">
      <c r="A313" s="1927" t="s">
        <v>1587</v>
      </c>
      <c r="B313" s="1952" t="str">
        <f>报表附注!E691</f>
        <v>2-3年（含3年）</v>
      </c>
      <c r="C313" s="1936">
        <f>报表附注!F691</f>
        <v>0</v>
      </c>
      <c r="D313" s="1927" t="b">
        <f t="shared" si="6"/>
        <v>1</v>
      </c>
    </row>
    <row r="314" spans="1:4">
      <c r="A314" s="1927" t="s">
        <v>1588</v>
      </c>
      <c r="B314" s="1952" t="str">
        <f>报表附注!E692</f>
        <v>3-4年（含4年）</v>
      </c>
      <c r="C314" s="1936">
        <f>报表附注!F692</f>
        <v>0</v>
      </c>
      <c r="D314" s="1927" t="b">
        <f t="shared" si="6"/>
        <v>1</v>
      </c>
    </row>
    <row r="315" spans="1:4">
      <c r="A315" s="1927" t="s">
        <v>1589</v>
      </c>
      <c r="B315" s="1952" t="str">
        <f>报表附注!E693</f>
        <v>4-5年（含5年）</v>
      </c>
      <c r="C315" s="1936">
        <f>报表附注!F693</f>
        <v>0</v>
      </c>
      <c r="D315" s="1927" t="b">
        <f t="shared" si="6"/>
        <v>1</v>
      </c>
    </row>
    <row r="316" spans="1:4">
      <c r="A316" s="1927" t="s">
        <v>1590</v>
      </c>
      <c r="B316" s="1952" t="str">
        <f>报表附注!E694</f>
        <v>5年以上</v>
      </c>
      <c r="C316" s="1936">
        <f>报表附注!F694</f>
        <v>0</v>
      </c>
      <c r="D316" s="1927" t="b">
        <f t="shared" si="6"/>
        <v>1</v>
      </c>
    </row>
    <row r="317" spans="1:4">
      <c r="A317" s="1927" t="s">
        <v>1580</v>
      </c>
      <c r="B317" s="1953" t="str">
        <f>报表附注!E695</f>
        <v>合计</v>
      </c>
      <c r="C317" s="1936">
        <f>报表附注!F695</f>
        <v>0</v>
      </c>
      <c r="D317" s="1927" t="b">
        <f t="shared" si="6"/>
        <v>1</v>
      </c>
    </row>
    <row r="318" spans="1:4">
      <c r="A318" s="1927" t="s">
        <v>1593</v>
      </c>
      <c r="B318" s="1954" t="s">
        <v>1593</v>
      </c>
      <c r="D318" s="1927" t="b">
        <f t="shared" si="6"/>
        <v>1</v>
      </c>
    </row>
    <row r="319" spans="1:4">
      <c r="A319" s="1927" t="s">
        <v>1585</v>
      </c>
      <c r="B319" s="1952" t="str">
        <f>报表附注!E689</f>
        <v>1年以内（含1年）</v>
      </c>
      <c r="C319" s="1936">
        <f>报表附注!H689</f>
        <v>0</v>
      </c>
      <c r="D319" s="1927" t="b">
        <f t="shared" si="6"/>
        <v>1</v>
      </c>
    </row>
    <row r="320" spans="1:4">
      <c r="A320" s="1927" t="s">
        <v>1586</v>
      </c>
      <c r="B320" s="1952" t="str">
        <f>报表附注!E690</f>
        <v>1-2年（含2年）</v>
      </c>
      <c r="C320" s="1936">
        <f>报表附注!H690</f>
        <v>0</v>
      </c>
      <c r="D320" s="1927" t="b">
        <f t="shared" si="6"/>
        <v>1</v>
      </c>
    </row>
    <row r="321" spans="1:4">
      <c r="A321" s="1927" t="s">
        <v>1587</v>
      </c>
      <c r="B321" s="1952" t="str">
        <f>报表附注!E691</f>
        <v>2-3年（含3年）</v>
      </c>
      <c r="C321" s="1936">
        <f>报表附注!H691</f>
        <v>0</v>
      </c>
      <c r="D321" s="1927" t="b">
        <f t="shared" si="6"/>
        <v>1</v>
      </c>
    </row>
    <row r="322" spans="1:4">
      <c r="A322" s="1927" t="s">
        <v>1588</v>
      </c>
      <c r="B322" s="1952" t="str">
        <f>报表附注!E692</f>
        <v>3-4年（含4年）</v>
      </c>
      <c r="C322" s="1936">
        <f>报表附注!H692</f>
        <v>0</v>
      </c>
      <c r="D322" s="1927" t="b">
        <f t="shared" si="6"/>
        <v>1</v>
      </c>
    </row>
    <row r="323" spans="1:4">
      <c r="A323" s="1927" t="s">
        <v>1589</v>
      </c>
      <c r="B323" s="1952" t="str">
        <f>报表附注!E693</f>
        <v>4-5年（含5年）</v>
      </c>
      <c r="C323" s="1936">
        <f>报表附注!H693</f>
        <v>0</v>
      </c>
      <c r="D323" s="1927" t="b">
        <f t="shared" si="6"/>
        <v>1</v>
      </c>
    </row>
    <row r="324" spans="1:4">
      <c r="A324" s="1927" t="s">
        <v>1590</v>
      </c>
      <c r="B324" s="1952" t="str">
        <f>报表附注!E694</f>
        <v>5年以上</v>
      </c>
      <c r="C324" s="1936">
        <f>报表附注!H694</f>
        <v>0</v>
      </c>
      <c r="D324" s="1927" t="b">
        <f t="shared" si="6"/>
        <v>1</v>
      </c>
    </row>
    <row r="325" spans="1:4">
      <c r="A325" s="1927" t="s">
        <v>1580</v>
      </c>
      <c r="B325" s="1953" t="str">
        <f>报表附注!E695</f>
        <v>合计</v>
      </c>
      <c r="C325" s="1936">
        <f>报表附注!H695</f>
        <v>0</v>
      </c>
      <c r="D325" s="1927" t="b">
        <f t="shared" si="6"/>
        <v>1</v>
      </c>
    </row>
    <row r="326" spans="4:4">
      <c r="D326" s="1927" t="b">
        <f t="shared" si="6"/>
        <v>1</v>
      </c>
    </row>
    <row r="327" spans="1:4">
      <c r="A327" s="1927" t="s">
        <v>1605</v>
      </c>
      <c r="B327" s="1945" t="s">
        <v>1605</v>
      </c>
      <c r="D327" s="1927" t="b">
        <f t="shared" si="6"/>
        <v>1</v>
      </c>
    </row>
    <row r="328" spans="1:4">
      <c r="A328" s="1927" t="s">
        <v>1579</v>
      </c>
      <c r="B328" s="1946" t="s">
        <v>1579</v>
      </c>
      <c r="D328" s="1927" t="b">
        <f t="shared" si="6"/>
        <v>1</v>
      </c>
    </row>
    <row r="329" spans="1:4">
      <c r="A329" s="1927" t="s">
        <v>588</v>
      </c>
      <c r="B329" s="1949" t="str">
        <f>报表附注!E849</f>
        <v>原材料</v>
      </c>
      <c r="C329" s="1936">
        <f>报表附注!I849</f>
        <v>0</v>
      </c>
      <c r="D329" s="1927" t="b">
        <f t="shared" si="6"/>
        <v>1</v>
      </c>
    </row>
    <row r="330" spans="1:4">
      <c r="A330" s="1927" t="s">
        <v>1606</v>
      </c>
      <c r="B330" s="1949" t="str">
        <f>报表附注!E850</f>
        <v>在产品</v>
      </c>
      <c r="C330" s="1936">
        <f>报表附注!I850</f>
        <v>0</v>
      </c>
      <c r="D330" s="1927" t="b">
        <f t="shared" si="6"/>
        <v>0</v>
      </c>
    </row>
    <row r="331" spans="1:4">
      <c r="A331" s="1927" t="s">
        <v>592</v>
      </c>
      <c r="B331" s="1949" t="str">
        <f>报表附注!E851</f>
        <v>产成品</v>
      </c>
      <c r="C331" s="1936">
        <f>报表附注!I851</f>
        <v>0</v>
      </c>
      <c r="D331" s="1927" t="b">
        <f t="shared" si="6"/>
        <v>0</v>
      </c>
    </row>
    <row r="332" spans="1:4">
      <c r="A332" s="1927" t="s">
        <v>586</v>
      </c>
      <c r="B332" s="1949" t="str">
        <f>报表附注!E852</f>
        <v>低值易耗品</v>
      </c>
      <c r="C332" s="1936">
        <f>报表附注!I852</f>
        <v>0</v>
      </c>
      <c r="D332" s="1927" t="b">
        <f t="shared" ref="D332:D395" si="7">EXACT(A332,B332)</f>
        <v>0</v>
      </c>
    </row>
    <row r="333" spans="1:4">
      <c r="A333" s="1927" t="s">
        <v>1607</v>
      </c>
      <c r="B333" s="1949" t="str">
        <f>报表附注!E853</f>
        <v>包装物</v>
      </c>
      <c r="C333" s="1936">
        <f>报表附注!I853</f>
        <v>0</v>
      </c>
      <c r="D333" s="1927" t="b">
        <f t="shared" si="7"/>
        <v>0</v>
      </c>
    </row>
    <row r="334" spans="1:4">
      <c r="A334" s="1927" t="s">
        <v>596</v>
      </c>
      <c r="B334" s="1949" t="str">
        <f>报表附注!E854</f>
        <v>委托加工物资</v>
      </c>
      <c r="C334" s="1936">
        <f>报表附注!I854</f>
        <v>0</v>
      </c>
      <c r="D334" s="1927" t="b">
        <f t="shared" si="7"/>
        <v>1</v>
      </c>
    </row>
    <row r="335" spans="1:4">
      <c r="A335" s="1927" t="s">
        <v>1608</v>
      </c>
      <c r="B335" s="1949" t="str">
        <f>报表附注!E855</f>
        <v>发出商品</v>
      </c>
      <c r="C335" s="1936">
        <f>报表附注!I855</f>
        <v>0</v>
      </c>
      <c r="D335" s="1927" t="b">
        <f t="shared" si="7"/>
        <v>0</v>
      </c>
    </row>
    <row r="336" spans="1:4">
      <c r="A336" s="1927" t="s">
        <v>1609</v>
      </c>
      <c r="B336" s="1949" t="str">
        <f>报表附注!E856</f>
        <v>增加项目1-</v>
      </c>
      <c r="C336" s="1936">
        <f>报表附注!I856</f>
        <v>0</v>
      </c>
      <c r="D336" s="1927" t="b">
        <f t="shared" si="7"/>
        <v>1</v>
      </c>
    </row>
    <row r="337" spans="1:4">
      <c r="A337" s="1927" t="s">
        <v>1610</v>
      </c>
      <c r="B337" s="1949" t="str">
        <f>报表附注!E857</f>
        <v>增加项目2-</v>
      </c>
      <c r="C337" s="1936">
        <f>报表附注!I857</f>
        <v>0</v>
      </c>
      <c r="D337" s="1927" t="b">
        <f t="shared" si="7"/>
        <v>1</v>
      </c>
    </row>
    <row r="338" spans="1:4">
      <c r="A338" s="1927" t="s">
        <v>1611</v>
      </c>
      <c r="B338" s="1949" t="str">
        <f>报表附注!E858</f>
        <v>增加项目3-</v>
      </c>
      <c r="C338" s="1936">
        <f>报表附注!I858</f>
        <v>0</v>
      </c>
      <c r="D338" s="1927" t="b">
        <f t="shared" si="7"/>
        <v>1</v>
      </c>
    </row>
    <row r="339" spans="1:4">
      <c r="A339" s="1927" t="s">
        <v>1612</v>
      </c>
      <c r="B339" s="1949" t="str">
        <f>报表附注!E859</f>
        <v>增加项目4-</v>
      </c>
      <c r="C339" s="1936">
        <f>报表附注!I859</f>
        <v>0</v>
      </c>
      <c r="D339" s="1927" t="b">
        <f t="shared" si="7"/>
        <v>1</v>
      </c>
    </row>
    <row r="340" spans="1:4">
      <c r="A340" s="1927" t="s">
        <v>1613</v>
      </c>
      <c r="B340" s="1949" t="str">
        <f>报表附注!E860</f>
        <v>增加项目5-</v>
      </c>
      <c r="C340" s="1936">
        <f>报表附注!I860</f>
        <v>0</v>
      </c>
      <c r="D340" s="1927" t="b">
        <f t="shared" si="7"/>
        <v>1</v>
      </c>
    </row>
    <row r="341" spans="1:4">
      <c r="A341" s="1927" t="s">
        <v>1614</v>
      </c>
      <c r="B341" s="1949" t="str">
        <f>报表附注!E861</f>
        <v>增加项目6-</v>
      </c>
      <c r="C341" s="1936">
        <f>报表附注!I861</f>
        <v>0</v>
      </c>
      <c r="D341" s="1927" t="b">
        <f t="shared" si="7"/>
        <v>1</v>
      </c>
    </row>
    <row r="342" spans="1:4">
      <c r="A342" s="1927" t="s">
        <v>1615</v>
      </c>
      <c r="B342" s="1949" t="str">
        <f>报表附注!E862</f>
        <v>增加项目7-</v>
      </c>
      <c r="C342" s="1936">
        <f>报表附注!I862</f>
        <v>0</v>
      </c>
      <c r="D342" s="1927" t="b">
        <f t="shared" si="7"/>
        <v>1</v>
      </c>
    </row>
    <row r="343" spans="1:4">
      <c r="A343" s="1927" t="s">
        <v>1616</v>
      </c>
      <c r="B343" s="1949" t="str">
        <f>报表附注!E863</f>
        <v>增加项目8-</v>
      </c>
      <c r="C343" s="1936">
        <f>报表附注!I863</f>
        <v>0</v>
      </c>
      <c r="D343" s="1927" t="b">
        <f t="shared" si="7"/>
        <v>1</v>
      </c>
    </row>
    <row r="344" spans="1:4">
      <c r="A344" s="1927" t="s">
        <v>1580</v>
      </c>
      <c r="B344" s="1939" t="str">
        <f>报表附注!E864</f>
        <v>合计</v>
      </c>
      <c r="C344" s="1936">
        <f>报表附注!I864</f>
        <v>0</v>
      </c>
      <c r="D344" s="1927" t="b">
        <f t="shared" si="7"/>
        <v>1</v>
      </c>
    </row>
    <row r="345" s="1673" customFormat="1" spans="1:9">
      <c r="A345" s="1673" t="s">
        <v>1617</v>
      </c>
      <c r="B345" s="1957" t="s">
        <v>1617</v>
      </c>
      <c r="C345" s="1958"/>
      <c r="D345" s="1927" t="b">
        <f t="shared" si="7"/>
        <v>1</v>
      </c>
      <c r="F345" s="1927"/>
      <c r="H345" s="1958"/>
      <c r="I345" s="1958"/>
    </row>
    <row r="346" s="1673" customFormat="1" spans="1:9">
      <c r="A346" s="1673" t="s">
        <v>588</v>
      </c>
      <c r="B346" s="1959" t="str">
        <f>报表附注!E849</f>
        <v>原材料</v>
      </c>
      <c r="C346" s="1936">
        <f>报表附注!J849</f>
        <v>0</v>
      </c>
      <c r="D346" s="1927" t="b">
        <f t="shared" si="7"/>
        <v>1</v>
      </c>
      <c r="F346" s="1927"/>
      <c r="H346" s="1958"/>
      <c r="I346" s="1958"/>
    </row>
    <row r="347" s="1673" customFormat="1" spans="1:9">
      <c r="A347" s="1673" t="s">
        <v>1606</v>
      </c>
      <c r="B347" s="1959" t="str">
        <f>报表附注!E850</f>
        <v>在产品</v>
      </c>
      <c r="C347" s="1936">
        <f>报表附注!J850</f>
        <v>0</v>
      </c>
      <c r="D347" s="1927" t="b">
        <f t="shared" si="7"/>
        <v>0</v>
      </c>
      <c r="F347" s="1927"/>
      <c r="H347" s="1958"/>
      <c r="I347" s="1958"/>
    </row>
    <row r="348" s="1673" customFormat="1" spans="1:9">
      <c r="A348" s="1673" t="s">
        <v>592</v>
      </c>
      <c r="B348" s="1959" t="str">
        <f>报表附注!E851</f>
        <v>产成品</v>
      </c>
      <c r="C348" s="1936">
        <f>报表附注!J851</f>
        <v>0</v>
      </c>
      <c r="D348" s="1927" t="b">
        <f t="shared" si="7"/>
        <v>0</v>
      </c>
      <c r="F348" s="1927"/>
      <c r="H348" s="1958"/>
      <c r="I348" s="1958"/>
    </row>
    <row r="349" s="1673" customFormat="1" spans="1:9">
      <c r="A349" s="1673" t="s">
        <v>586</v>
      </c>
      <c r="B349" s="1959" t="str">
        <f>报表附注!E852</f>
        <v>低值易耗品</v>
      </c>
      <c r="C349" s="1936">
        <f>报表附注!J852</f>
        <v>0</v>
      </c>
      <c r="D349" s="1927" t="b">
        <f t="shared" si="7"/>
        <v>0</v>
      </c>
      <c r="F349" s="1927"/>
      <c r="H349" s="1958"/>
      <c r="I349" s="1958"/>
    </row>
    <row r="350" s="1673" customFormat="1" spans="1:9">
      <c r="A350" s="1673" t="s">
        <v>1607</v>
      </c>
      <c r="B350" s="1959" t="str">
        <f>报表附注!E853</f>
        <v>包装物</v>
      </c>
      <c r="C350" s="1936">
        <f>报表附注!J853</f>
        <v>0</v>
      </c>
      <c r="D350" s="1927" t="b">
        <f t="shared" si="7"/>
        <v>0</v>
      </c>
      <c r="F350" s="1927"/>
      <c r="H350" s="1958"/>
      <c r="I350" s="1958"/>
    </row>
    <row r="351" s="1673" customFormat="1" spans="1:9">
      <c r="A351" s="1673" t="s">
        <v>596</v>
      </c>
      <c r="B351" s="1959" t="str">
        <f>报表附注!E854</f>
        <v>委托加工物资</v>
      </c>
      <c r="C351" s="1936">
        <f>报表附注!J854</f>
        <v>0</v>
      </c>
      <c r="D351" s="1927" t="b">
        <f t="shared" si="7"/>
        <v>1</v>
      </c>
      <c r="F351" s="1927"/>
      <c r="H351" s="1958"/>
      <c r="I351" s="1958"/>
    </row>
    <row r="352" s="1673" customFormat="1" spans="1:9">
      <c r="A352" s="1673" t="s">
        <v>1608</v>
      </c>
      <c r="B352" s="1959" t="str">
        <f>报表附注!E855</f>
        <v>发出商品</v>
      </c>
      <c r="C352" s="1936">
        <f>报表附注!J855</f>
        <v>0</v>
      </c>
      <c r="D352" s="1927" t="b">
        <f t="shared" si="7"/>
        <v>0</v>
      </c>
      <c r="F352" s="1927"/>
      <c r="H352" s="1958"/>
      <c r="I352" s="1958"/>
    </row>
    <row r="353" s="1673" customFormat="1" spans="1:9">
      <c r="A353" s="1673" t="s">
        <v>1609</v>
      </c>
      <c r="B353" s="1959" t="str">
        <f>报表附注!E856</f>
        <v>增加项目1-</v>
      </c>
      <c r="C353" s="1936">
        <f>报表附注!J856</f>
        <v>0</v>
      </c>
      <c r="D353" s="1927" t="b">
        <f t="shared" si="7"/>
        <v>1</v>
      </c>
      <c r="F353" s="1927"/>
      <c r="H353" s="1958"/>
      <c r="I353" s="1958"/>
    </row>
    <row r="354" s="1673" customFormat="1" spans="1:9">
      <c r="A354" s="1673" t="s">
        <v>1610</v>
      </c>
      <c r="B354" s="1959" t="str">
        <f>报表附注!E857</f>
        <v>增加项目2-</v>
      </c>
      <c r="C354" s="1936">
        <f>报表附注!J857</f>
        <v>0</v>
      </c>
      <c r="D354" s="1927" t="b">
        <f t="shared" si="7"/>
        <v>1</v>
      </c>
      <c r="F354" s="1927"/>
      <c r="H354" s="1958"/>
      <c r="I354" s="1958"/>
    </row>
    <row r="355" s="1673" customFormat="1" spans="1:9">
      <c r="A355" s="1673" t="s">
        <v>1611</v>
      </c>
      <c r="B355" s="1959" t="str">
        <f>报表附注!E858</f>
        <v>增加项目3-</v>
      </c>
      <c r="C355" s="1936">
        <f>报表附注!J858</f>
        <v>0</v>
      </c>
      <c r="D355" s="1927" t="b">
        <f t="shared" si="7"/>
        <v>1</v>
      </c>
      <c r="F355" s="1927"/>
      <c r="H355" s="1958"/>
      <c r="I355" s="1958"/>
    </row>
    <row r="356" s="1673" customFormat="1" spans="1:9">
      <c r="A356" s="1673" t="s">
        <v>1612</v>
      </c>
      <c r="B356" s="1959" t="str">
        <f>报表附注!E859</f>
        <v>增加项目4-</v>
      </c>
      <c r="C356" s="1936">
        <f>报表附注!J859</f>
        <v>0</v>
      </c>
      <c r="D356" s="1927" t="b">
        <f t="shared" si="7"/>
        <v>1</v>
      </c>
      <c r="F356" s="1927"/>
      <c r="H356" s="1958"/>
      <c r="I356" s="1958"/>
    </row>
    <row r="357" s="1673" customFormat="1" spans="1:9">
      <c r="A357" s="1673" t="s">
        <v>1613</v>
      </c>
      <c r="B357" s="1959" t="str">
        <f>报表附注!E860</f>
        <v>增加项目5-</v>
      </c>
      <c r="C357" s="1936">
        <f>报表附注!J860</f>
        <v>0</v>
      </c>
      <c r="D357" s="1927" t="b">
        <f t="shared" si="7"/>
        <v>1</v>
      </c>
      <c r="F357" s="1927"/>
      <c r="H357" s="1958"/>
      <c r="I357" s="1958"/>
    </row>
    <row r="358" s="1673" customFormat="1" spans="1:9">
      <c r="A358" s="1673" t="s">
        <v>1614</v>
      </c>
      <c r="B358" s="1959" t="str">
        <f>报表附注!E861</f>
        <v>增加项目6-</v>
      </c>
      <c r="C358" s="1936">
        <f>报表附注!J861</f>
        <v>0</v>
      </c>
      <c r="D358" s="1927" t="b">
        <f t="shared" si="7"/>
        <v>1</v>
      </c>
      <c r="F358" s="1927"/>
      <c r="H358" s="1958"/>
      <c r="I358" s="1958"/>
    </row>
    <row r="359" s="1673" customFormat="1" spans="1:9">
      <c r="A359" s="1673" t="s">
        <v>1615</v>
      </c>
      <c r="B359" s="1959" t="str">
        <f>报表附注!E862</f>
        <v>增加项目7-</v>
      </c>
      <c r="C359" s="1936">
        <f>报表附注!J862</f>
        <v>0</v>
      </c>
      <c r="D359" s="1927" t="b">
        <f t="shared" si="7"/>
        <v>1</v>
      </c>
      <c r="F359" s="1927"/>
      <c r="H359" s="1958"/>
      <c r="I359" s="1958"/>
    </row>
    <row r="360" s="1673" customFormat="1" spans="1:9">
      <c r="A360" s="1673" t="s">
        <v>1616</v>
      </c>
      <c r="B360" s="1959" t="str">
        <f>报表附注!E863</f>
        <v>增加项目8-</v>
      </c>
      <c r="C360" s="1936">
        <f>报表附注!J863</f>
        <v>0</v>
      </c>
      <c r="D360" s="1927" t="b">
        <f t="shared" si="7"/>
        <v>1</v>
      </c>
      <c r="F360" s="1927"/>
      <c r="H360" s="1958"/>
      <c r="I360" s="1958"/>
    </row>
    <row r="361" s="1673" customFormat="1" spans="1:9">
      <c r="A361" s="1673" t="s">
        <v>1580</v>
      </c>
      <c r="B361" s="1939" t="str">
        <f>报表附注!E864</f>
        <v>合计</v>
      </c>
      <c r="C361" s="1936">
        <f>报表附注!J864</f>
        <v>0</v>
      </c>
      <c r="D361" s="1927" t="b">
        <f t="shared" si="7"/>
        <v>1</v>
      </c>
      <c r="F361" s="1927"/>
      <c r="H361" s="1958"/>
      <c r="I361" s="1958"/>
    </row>
    <row r="362" s="1673" customFormat="1" spans="1:9">
      <c r="A362" s="1673" t="s">
        <v>1618</v>
      </c>
      <c r="B362" s="1957" t="s">
        <v>1618</v>
      </c>
      <c r="C362" s="1958"/>
      <c r="D362" s="1927" t="b">
        <f t="shared" si="7"/>
        <v>1</v>
      </c>
      <c r="F362" s="1927"/>
      <c r="H362" s="1958"/>
      <c r="I362" s="1958"/>
    </row>
    <row r="363" s="1673" customFormat="1" spans="1:9">
      <c r="A363" s="1673" t="s">
        <v>588</v>
      </c>
      <c r="B363" s="1959" t="str">
        <f>报表附注!E849</f>
        <v>原材料</v>
      </c>
      <c r="C363" s="1936">
        <f>报表附注!F849</f>
        <v>0</v>
      </c>
      <c r="D363" s="1927" t="b">
        <f t="shared" si="7"/>
        <v>1</v>
      </c>
      <c r="F363" s="1927"/>
      <c r="H363" s="1958"/>
      <c r="I363" s="1958"/>
    </row>
    <row r="364" s="1673" customFormat="1" spans="1:9">
      <c r="A364" s="1673" t="s">
        <v>1606</v>
      </c>
      <c r="B364" s="1959" t="str">
        <f>报表附注!E850</f>
        <v>在产品</v>
      </c>
      <c r="C364" s="1936">
        <f>报表附注!F850</f>
        <v>0</v>
      </c>
      <c r="D364" s="1927" t="b">
        <f t="shared" si="7"/>
        <v>0</v>
      </c>
      <c r="F364" s="1927"/>
      <c r="H364" s="1958"/>
      <c r="I364" s="1958"/>
    </row>
    <row r="365" s="1673" customFormat="1" spans="1:9">
      <c r="A365" s="1673" t="s">
        <v>592</v>
      </c>
      <c r="B365" s="1959" t="str">
        <f>报表附注!E851</f>
        <v>产成品</v>
      </c>
      <c r="C365" s="1936">
        <f>报表附注!F851</f>
        <v>56453052.95</v>
      </c>
      <c r="D365" s="1927" t="b">
        <f t="shared" si="7"/>
        <v>0</v>
      </c>
      <c r="F365" s="1927"/>
      <c r="H365" s="1958"/>
      <c r="I365" s="1958"/>
    </row>
    <row r="366" s="1673" customFormat="1" spans="1:9">
      <c r="A366" s="1673" t="s">
        <v>586</v>
      </c>
      <c r="B366" s="1959" t="str">
        <f>报表附注!E852</f>
        <v>低值易耗品</v>
      </c>
      <c r="C366" s="1936">
        <f>报表附注!F852</f>
        <v>0</v>
      </c>
      <c r="D366" s="1927" t="b">
        <f t="shared" si="7"/>
        <v>0</v>
      </c>
      <c r="F366" s="1927"/>
      <c r="H366" s="1958"/>
      <c r="I366" s="1958"/>
    </row>
    <row r="367" s="1673" customFormat="1" spans="1:9">
      <c r="A367" s="1673" t="s">
        <v>1607</v>
      </c>
      <c r="B367" s="1959" t="str">
        <f>报表附注!E853</f>
        <v>包装物</v>
      </c>
      <c r="C367" s="1936">
        <f>报表附注!F853</f>
        <v>0</v>
      </c>
      <c r="D367" s="1927" t="b">
        <f t="shared" si="7"/>
        <v>0</v>
      </c>
      <c r="F367" s="1927"/>
      <c r="H367" s="1958"/>
      <c r="I367" s="1958"/>
    </row>
    <row r="368" s="1673" customFormat="1" spans="1:9">
      <c r="A368" s="1673" t="s">
        <v>596</v>
      </c>
      <c r="B368" s="1959" t="str">
        <f>报表附注!E854</f>
        <v>委托加工物资</v>
      </c>
      <c r="C368" s="1936">
        <f>报表附注!F854</f>
        <v>0</v>
      </c>
      <c r="D368" s="1927" t="b">
        <f t="shared" si="7"/>
        <v>1</v>
      </c>
      <c r="F368" s="1927"/>
      <c r="H368" s="1958"/>
      <c r="I368" s="1958"/>
    </row>
    <row r="369" s="1673" customFormat="1" spans="1:9">
      <c r="A369" s="1673" t="s">
        <v>1608</v>
      </c>
      <c r="B369" s="1959" t="str">
        <f>报表附注!E855</f>
        <v>发出商品</v>
      </c>
      <c r="C369" s="1936">
        <f>报表附注!F855</f>
        <v>0</v>
      </c>
      <c r="D369" s="1927" t="b">
        <f t="shared" si="7"/>
        <v>0</v>
      </c>
      <c r="F369" s="1927"/>
      <c r="H369" s="1958"/>
      <c r="I369" s="1958"/>
    </row>
    <row r="370" s="1673" customFormat="1" spans="1:9">
      <c r="A370" s="1673" t="s">
        <v>1609</v>
      </c>
      <c r="B370" s="1959" t="str">
        <f>报表附注!E856</f>
        <v>增加项目1-</v>
      </c>
      <c r="C370" s="1936">
        <f>报表附注!F856</f>
        <v>0</v>
      </c>
      <c r="D370" s="1927" t="b">
        <f t="shared" si="7"/>
        <v>1</v>
      </c>
      <c r="F370" s="1927"/>
      <c r="H370" s="1958"/>
      <c r="I370" s="1958"/>
    </row>
    <row r="371" s="1673" customFormat="1" spans="1:9">
      <c r="A371" s="1673" t="s">
        <v>1610</v>
      </c>
      <c r="B371" s="1959" t="str">
        <f>报表附注!E857</f>
        <v>增加项目2-</v>
      </c>
      <c r="C371" s="1936">
        <f>报表附注!F857</f>
        <v>0</v>
      </c>
      <c r="D371" s="1927" t="b">
        <f t="shared" si="7"/>
        <v>1</v>
      </c>
      <c r="F371" s="1927"/>
      <c r="H371" s="1958"/>
      <c r="I371" s="1958"/>
    </row>
    <row r="372" s="1673" customFormat="1" spans="1:9">
      <c r="A372" s="1673" t="s">
        <v>1611</v>
      </c>
      <c r="B372" s="1959" t="str">
        <f>报表附注!E858</f>
        <v>增加项目3-</v>
      </c>
      <c r="C372" s="1936">
        <f>报表附注!F858</f>
        <v>0</v>
      </c>
      <c r="D372" s="1927" t="b">
        <f t="shared" si="7"/>
        <v>1</v>
      </c>
      <c r="F372" s="1927"/>
      <c r="H372" s="1958"/>
      <c r="I372" s="1958"/>
    </row>
    <row r="373" s="1673" customFormat="1" spans="1:9">
      <c r="A373" s="1673" t="s">
        <v>1612</v>
      </c>
      <c r="B373" s="1959" t="str">
        <f>报表附注!E859</f>
        <v>增加项目4-</v>
      </c>
      <c r="C373" s="1936">
        <f>报表附注!F859</f>
        <v>0</v>
      </c>
      <c r="D373" s="1927" t="b">
        <f t="shared" si="7"/>
        <v>1</v>
      </c>
      <c r="F373" s="1927"/>
      <c r="H373" s="1958"/>
      <c r="I373" s="1958"/>
    </row>
    <row r="374" s="1673" customFormat="1" spans="1:9">
      <c r="A374" s="1673" t="s">
        <v>1613</v>
      </c>
      <c r="B374" s="1959" t="str">
        <f>报表附注!E860</f>
        <v>增加项目5-</v>
      </c>
      <c r="C374" s="1936">
        <f>报表附注!F860</f>
        <v>0</v>
      </c>
      <c r="D374" s="1927" t="b">
        <f t="shared" si="7"/>
        <v>1</v>
      </c>
      <c r="F374" s="1927"/>
      <c r="H374" s="1958"/>
      <c r="I374" s="1958"/>
    </row>
    <row r="375" s="1673" customFormat="1" spans="1:9">
      <c r="A375" s="1673" t="s">
        <v>1614</v>
      </c>
      <c r="B375" s="1959" t="str">
        <f>报表附注!E861</f>
        <v>增加项目6-</v>
      </c>
      <c r="C375" s="1936">
        <f>报表附注!F861</f>
        <v>0</v>
      </c>
      <c r="D375" s="1927" t="b">
        <f t="shared" si="7"/>
        <v>1</v>
      </c>
      <c r="F375" s="1927"/>
      <c r="H375" s="1958"/>
      <c r="I375" s="1958"/>
    </row>
    <row r="376" s="1673" customFormat="1" spans="1:9">
      <c r="A376" s="1673" t="s">
        <v>1615</v>
      </c>
      <c r="B376" s="1959" t="str">
        <f>报表附注!E862</f>
        <v>增加项目7-</v>
      </c>
      <c r="C376" s="1936">
        <f>报表附注!F862</f>
        <v>0</v>
      </c>
      <c r="D376" s="1927" t="b">
        <f t="shared" si="7"/>
        <v>1</v>
      </c>
      <c r="F376" s="1927"/>
      <c r="H376" s="1958"/>
      <c r="I376" s="1958"/>
    </row>
    <row r="377" s="1673" customFormat="1" spans="1:9">
      <c r="A377" s="1673" t="s">
        <v>1616</v>
      </c>
      <c r="B377" s="1959" t="str">
        <f>报表附注!E863</f>
        <v>增加项目8-</v>
      </c>
      <c r="C377" s="1936">
        <f>报表附注!F863</f>
        <v>0</v>
      </c>
      <c r="D377" s="1927" t="b">
        <f t="shared" si="7"/>
        <v>1</v>
      </c>
      <c r="F377" s="1927"/>
      <c r="H377" s="1958"/>
      <c r="I377" s="1958"/>
    </row>
    <row r="378" s="1673" customFormat="1" spans="1:9">
      <c r="A378" s="1673" t="s">
        <v>1580</v>
      </c>
      <c r="B378" s="1939" t="str">
        <f>报表附注!E864</f>
        <v>合计</v>
      </c>
      <c r="C378" s="1936">
        <f>报表附注!F864</f>
        <v>56453052.95</v>
      </c>
      <c r="D378" s="1927" t="b">
        <f t="shared" si="7"/>
        <v>1</v>
      </c>
      <c r="F378" s="1927"/>
      <c r="H378" s="1958"/>
      <c r="I378" s="1958"/>
    </row>
    <row r="379" spans="1:4">
      <c r="A379" s="1927" t="s">
        <v>1619</v>
      </c>
      <c r="B379" s="1946" t="s">
        <v>1619</v>
      </c>
      <c r="D379" s="1927" t="b">
        <f t="shared" si="7"/>
        <v>1</v>
      </c>
    </row>
    <row r="380" spans="1:4">
      <c r="A380" s="1927" t="s">
        <v>588</v>
      </c>
      <c r="B380" s="1949" t="str">
        <f>报表附注!E849</f>
        <v>原材料</v>
      </c>
      <c r="C380" s="1936">
        <f>报表附注!G849</f>
        <v>0</v>
      </c>
      <c r="D380" s="1927" t="b">
        <f t="shared" si="7"/>
        <v>1</v>
      </c>
    </row>
    <row r="381" spans="1:4">
      <c r="A381" s="1927" t="s">
        <v>1606</v>
      </c>
      <c r="B381" s="1949" t="str">
        <f>报表附注!E850</f>
        <v>在产品</v>
      </c>
      <c r="C381" s="1936">
        <f>报表附注!G850</f>
        <v>0</v>
      </c>
      <c r="D381" s="1927" t="b">
        <f t="shared" si="7"/>
        <v>0</v>
      </c>
    </row>
    <row r="382" spans="1:4">
      <c r="A382" s="1927" t="s">
        <v>592</v>
      </c>
      <c r="B382" s="1949" t="str">
        <f>报表附注!E851</f>
        <v>产成品</v>
      </c>
      <c r="C382" s="1936">
        <f>报表附注!G851</f>
        <v>0</v>
      </c>
      <c r="D382" s="1927" t="b">
        <f t="shared" si="7"/>
        <v>0</v>
      </c>
    </row>
    <row r="383" spans="1:4">
      <c r="A383" s="1927" t="s">
        <v>586</v>
      </c>
      <c r="B383" s="1949" t="str">
        <f>报表附注!E852</f>
        <v>低值易耗品</v>
      </c>
      <c r="C383" s="1936">
        <f>报表附注!G852</f>
        <v>0</v>
      </c>
      <c r="D383" s="1927" t="b">
        <f t="shared" si="7"/>
        <v>0</v>
      </c>
    </row>
    <row r="384" spans="1:4">
      <c r="A384" s="1927" t="s">
        <v>1607</v>
      </c>
      <c r="B384" s="1949" t="str">
        <f>报表附注!E853</f>
        <v>包装物</v>
      </c>
      <c r="C384" s="1936">
        <f>报表附注!G853</f>
        <v>0</v>
      </c>
      <c r="D384" s="1927" t="b">
        <f t="shared" si="7"/>
        <v>0</v>
      </c>
    </row>
    <row r="385" spans="1:4">
      <c r="A385" s="1927" t="s">
        <v>596</v>
      </c>
      <c r="B385" s="1949" t="str">
        <f>报表附注!E854</f>
        <v>委托加工物资</v>
      </c>
      <c r="C385" s="1936">
        <f>报表附注!G854</f>
        <v>0</v>
      </c>
      <c r="D385" s="1927" t="b">
        <f t="shared" si="7"/>
        <v>1</v>
      </c>
    </row>
    <row r="386" spans="1:4">
      <c r="A386" s="1927" t="s">
        <v>1608</v>
      </c>
      <c r="B386" s="1949" t="str">
        <f>报表附注!E855</f>
        <v>发出商品</v>
      </c>
      <c r="C386" s="1936">
        <f>报表附注!G855</f>
        <v>0</v>
      </c>
      <c r="D386" s="1927" t="b">
        <f t="shared" si="7"/>
        <v>0</v>
      </c>
    </row>
    <row r="387" spans="1:4">
      <c r="A387" s="1927" t="s">
        <v>1609</v>
      </c>
      <c r="B387" s="1949" t="str">
        <f>报表附注!E856</f>
        <v>增加项目1-</v>
      </c>
      <c r="C387" s="1936">
        <f>报表附注!G856</f>
        <v>0</v>
      </c>
      <c r="D387" s="1927" t="b">
        <f t="shared" si="7"/>
        <v>1</v>
      </c>
    </row>
    <row r="388" spans="1:4">
      <c r="A388" s="1927" t="s">
        <v>1610</v>
      </c>
      <c r="B388" s="1949" t="str">
        <f>报表附注!E857</f>
        <v>增加项目2-</v>
      </c>
      <c r="C388" s="1936">
        <f>报表附注!G857</f>
        <v>0</v>
      </c>
      <c r="D388" s="1927" t="b">
        <f t="shared" si="7"/>
        <v>1</v>
      </c>
    </row>
    <row r="389" spans="1:4">
      <c r="A389" s="1927" t="s">
        <v>1611</v>
      </c>
      <c r="B389" s="1949" t="str">
        <f>报表附注!E858</f>
        <v>增加项目3-</v>
      </c>
      <c r="C389" s="1936">
        <f>报表附注!G858</f>
        <v>0</v>
      </c>
      <c r="D389" s="1927" t="b">
        <f t="shared" si="7"/>
        <v>1</v>
      </c>
    </row>
    <row r="390" spans="1:4">
      <c r="A390" s="1927" t="s">
        <v>1612</v>
      </c>
      <c r="B390" s="1949" t="str">
        <f>报表附注!E859</f>
        <v>增加项目4-</v>
      </c>
      <c r="C390" s="1936">
        <f>报表附注!G859</f>
        <v>0</v>
      </c>
      <c r="D390" s="1927" t="b">
        <f t="shared" si="7"/>
        <v>1</v>
      </c>
    </row>
    <row r="391" spans="1:4">
      <c r="A391" s="1927" t="s">
        <v>1613</v>
      </c>
      <c r="B391" s="1949" t="str">
        <f>报表附注!E860</f>
        <v>增加项目5-</v>
      </c>
      <c r="C391" s="1936">
        <f>报表附注!G860</f>
        <v>0</v>
      </c>
      <c r="D391" s="1927" t="b">
        <f t="shared" si="7"/>
        <v>1</v>
      </c>
    </row>
    <row r="392" spans="1:4">
      <c r="A392" s="1927" t="s">
        <v>1614</v>
      </c>
      <c r="B392" s="1949" t="str">
        <f>报表附注!E861</f>
        <v>增加项目6-</v>
      </c>
      <c r="C392" s="1936">
        <f>报表附注!G861</f>
        <v>0</v>
      </c>
      <c r="D392" s="1927" t="b">
        <f t="shared" si="7"/>
        <v>1</v>
      </c>
    </row>
    <row r="393" spans="1:4">
      <c r="A393" s="1927" t="s">
        <v>1615</v>
      </c>
      <c r="B393" s="1949" t="str">
        <f>报表附注!E862</f>
        <v>增加项目7-</v>
      </c>
      <c r="C393" s="1936">
        <f>报表附注!G862</f>
        <v>0</v>
      </c>
      <c r="D393" s="1927" t="b">
        <f t="shared" si="7"/>
        <v>1</v>
      </c>
    </row>
    <row r="394" spans="1:4">
      <c r="A394" s="1927" t="s">
        <v>1616</v>
      </c>
      <c r="B394" s="1949" t="str">
        <f>报表附注!E863</f>
        <v>增加项目8-</v>
      </c>
      <c r="C394" s="1936">
        <f>报表附注!G863</f>
        <v>0</v>
      </c>
      <c r="D394" s="1927" t="b">
        <f t="shared" si="7"/>
        <v>1</v>
      </c>
    </row>
    <row r="395" spans="1:4">
      <c r="A395" s="1927" t="s">
        <v>1580</v>
      </c>
      <c r="B395" s="1939" t="str">
        <f>报表附注!E864</f>
        <v>合计</v>
      </c>
      <c r="C395" s="1936">
        <f>报表附注!G864</f>
        <v>0</v>
      </c>
      <c r="D395" s="1927" t="b">
        <f t="shared" si="7"/>
        <v>1</v>
      </c>
    </row>
    <row r="396" spans="1:4">
      <c r="A396" s="1927" t="s">
        <v>1620</v>
      </c>
      <c r="B396" s="1948" t="s">
        <v>1620</v>
      </c>
      <c r="D396" s="1927" t="b">
        <f t="shared" ref="D396:D459" si="8">EXACT(A396,B396)</f>
        <v>1</v>
      </c>
    </row>
    <row r="397" spans="1:4">
      <c r="A397" s="1927" t="s">
        <v>588</v>
      </c>
      <c r="B397" s="1960" t="str">
        <f>报表附注!E869</f>
        <v>原材料</v>
      </c>
      <c r="C397" s="1936">
        <f>报表附注!F869</f>
        <v>0</v>
      </c>
      <c r="D397" s="1927" t="b">
        <f t="shared" si="8"/>
        <v>1</v>
      </c>
    </row>
    <row r="398" spans="1:4">
      <c r="A398" s="1927" t="s">
        <v>1606</v>
      </c>
      <c r="B398" s="1960" t="str">
        <f>报表附注!E870</f>
        <v>在产品</v>
      </c>
      <c r="C398" s="1936">
        <f>报表附注!F870</f>
        <v>0</v>
      </c>
      <c r="D398" s="1927" t="b">
        <f t="shared" si="8"/>
        <v>0</v>
      </c>
    </row>
    <row r="399" spans="1:4">
      <c r="A399" s="1927" t="s">
        <v>592</v>
      </c>
      <c r="B399" s="1960" t="str">
        <f>报表附注!E871</f>
        <v>产成品</v>
      </c>
      <c r="C399" s="1936">
        <f>报表附注!F871</f>
        <v>0</v>
      </c>
      <c r="D399" s="1927" t="b">
        <f t="shared" si="8"/>
        <v>0</v>
      </c>
    </row>
    <row r="400" spans="1:4">
      <c r="A400" s="1927" t="s">
        <v>586</v>
      </c>
      <c r="B400" s="1960" t="str">
        <f>报表附注!E872</f>
        <v>低值易耗品</v>
      </c>
      <c r="C400" s="1936">
        <f>报表附注!F872</f>
        <v>0</v>
      </c>
      <c r="D400" s="1927" t="b">
        <f t="shared" si="8"/>
        <v>0</v>
      </c>
    </row>
    <row r="401" spans="1:4">
      <c r="A401" s="1927" t="s">
        <v>1607</v>
      </c>
      <c r="B401" s="1960" t="str">
        <f>报表附注!E873</f>
        <v>包装物</v>
      </c>
      <c r="C401" s="1936">
        <f>报表附注!F873</f>
        <v>0</v>
      </c>
      <c r="D401" s="1927" t="b">
        <f t="shared" si="8"/>
        <v>0</v>
      </c>
    </row>
    <row r="402" spans="1:4">
      <c r="A402" s="1927" t="s">
        <v>596</v>
      </c>
      <c r="B402" s="1960" t="str">
        <f>报表附注!E874</f>
        <v>委托加工物资</v>
      </c>
      <c r="C402" s="1936">
        <f>报表附注!F874</f>
        <v>0</v>
      </c>
      <c r="D402" s="1927" t="b">
        <f t="shared" si="8"/>
        <v>1</v>
      </c>
    </row>
    <row r="403" spans="1:4">
      <c r="A403" s="1927" t="s">
        <v>1608</v>
      </c>
      <c r="B403" s="1960" t="str">
        <f>报表附注!E875</f>
        <v>发出商品</v>
      </c>
      <c r="C403" s="1936">
        <f>报表附注!F875</f>
        <v>0</v>
      </c>
      <c r="D403" s="1927" t="b">
        <f t="shared" si="8"/>
        <v>0</v>
      </c>
    </row>
    <row r="404" spans="1:4">
      <c r="A404" s="1927" t="s">
        <v>1609</v>
      </c>
      <c r="B404" s="1960" t="str">
        <f>报表附注!E876</f>
        <v>增加项目1-</v>
      </c>
      <c r="C404" s="1936">
        <f>报表附注!F876</f>
        <v>0</v>
      </c>
      <c r="D404" s="1927" t="b">
        <f t="shared" si="8"/>
        <v>1</v>
      </c>
    </row>
    <row r="405" spans="1:4">
      <c r="A405" s="1927" t="s">
        <v>1610</v>
      </c>
      <c r="B405" s="1960" t="str">
        <f>报表附注!E877</f>
        <v>增加项目2-</v>
      </c>
      <c r="C405" s="1936">
        <f>报表附注!F877</f>
        <v>0</v>
      </c>
      <c r="D405" s="1927" t="b">
        <f t="shared" si="8"/>
        <v>1</v>
      </c>
    </row>
    <row r="406" spans="1:4">
      <c r="A406" s="1927" t="s">
        <v>1611</v>
      </c>
      <c r="B406" s="1960" t="str">
        <f>报表附注!E878</f>
        <v>增加项目3-</v>
      </c>
      <c r="C406" s="1936">
        <f>报表附注!F878</f>
        <v>0</v>
      </c>
      <c r="D406" s="1927" t="b">
        <f t="shared" si="8"/>
        <v>1</v>
      </c>
    </row>
    <row r="407" spans="1:4">
      <c r="A407" s="1927" t="s">
        <v>1612</v>
      </c>
      <c r="B407" s="1960" t="str">
        <f>报表附注!E879</f>
        <v>增加项目4-</v>
      </c>
      <c r="C407" s="1936">
        <f>报表附注!F879</f>
        <v>0</v>
      </c>
      <c r="D407" s="1927" t="b">
        <f t="shared" si="8"/>
        <v>1</v>
      </c>
    </row>
    <row r="408" spans="1:4">
      <c r="A408" s="1927" t="s">
        <v>1613</v>
      </c>
      <c r="B408" s="1960" t="str">
        <f>报表附注!E880</f>
        <v>增加项目5-</v>
      </c>
      <c r="C408" s="1936">
        <f>报表附注!F880</f>
        <v>0</v>
      </c>
      <c r="D408" s="1927" t="b">
        <f t="shared" si="8"/>
        <v>1</v>
      </c>
    </row>
    <row r="409" spans="1:4">
      <c r="A409" s="1927" t="s">
        <v>1614</v>
      </c>
      <c r="B409" s="1960" t="str">
        <f>报表附注!E881</f>
        <v>增加项目6-</v>
      </c>
      <c r="C409" s="1936">
        <f>报表附注!F881</f>
        <v>0</v>
      </c>
      <c r="D409" s="1927" t="b">
        <f t="shared" si="8"/>
        <v>1</v>
      </c>
    </row>
    <row r="410" spans="1:4">
      <c r="A410" s="1927" t="s">
        <v>1615</v>
      </c>
      <c r="B410" s="1960" t="str">
        <f>报表附注!E882</f>
        <v>增加项目7-</v>
      </c>
      <c r="C410" s="1936">
        <f>报表附注!F882</f>
        <v>0</v>
      </c>
      <c r="D410" s="1927" t="b">
        <f t="shared" si="8"/>
        <v>1</v>
      </c>
    </row>
    <row r="411" spans="1:4">
      <c r="A411" s="1927" t="s">
        <v>1616</v>
      </c>
      <c r="B411" s="1960" t="str">
        <f>报表附注!E883</f>
        <v>增加项目8-</v>
      </c>
      <c r="C411" s="1936">
        <f>报表附注!F883</f>
        <v>0</v>
      </c>
      <c r="D411" s="1927" t="b">
        <f t="shared" si="8"/>
        <v>1</v>
      </c>
    </row>
    <row r="412" spans="1:4">
      <c r="A412" s="1927" t="s">
        <v>1580</v>
      </c>
      <c r="B412" s="1938" t="str">
        <f>报表附注!E884</f>
        <v>合计</v>
      </c>
      <c r="C412" s="1936">
        <f>报表附注!F884</f>
        <v>0</v>
      </c>
      <c r="D412" s="1927" t="b">
        <f t="shared" si="8"/>
        <v>1</v>
      </c>
    </row>
    <row r="413" spans="1:4">
      <c r="A413" s="1927" t="s">
        <v>1621</v>
      </c>
      <c r="B413" s="1948" t="s">
        <v>1621</v>
      </c>
      <c r="D413" s="1927" t="b">
        <f t="shared" si="8"/>
        <v>1</v>
      </c>
    </row>
    <row r="414" spans="1:4">
      <c r="A414" s="1927" t="s">
        <v>588</v>
      </c>
      <c r="B414" s="1960" t="str">
        <f>报表附注!E869</f>
        <v>原材料</v>
      </c>
      <c r="C414" s="1936">
        <f>报表附注!G869</f>
        <v>0</v>
      </c>
      <c r="D414" s="1927" t="b">
        <f t="shared" si="8"/>
        <v>1</v>
      </c>
    </row>
    <row r="415" spans="1:4">
      <c r="A415" s="1927" t="s">
        <v>1606</v>
      </c>
      <c r="B415" s="1960" t="str">
        <f>报表附注!E870</f>
        <v>在产品</v>
      </c>
      <c r="C415" s="1936">
        <f>报表附注!G870</f>
        <v>0</v>
      </c>
      <c r="D415" s="1927" t="b">
        <f t="shared" si="8"/>
        <v>0</v>
      </c>
    </row>
    <row r="416" spans="1:4">
      <c r="A416" s="1927" t="s">
        <v>592</v>
      </c>
      <c r="B416" s="1960" t="str">
        <f>报表附注!E871</f>
        <v>产成品</v>
      </c>
      <c r="C416" s="1936">
        <f>报表附注!G871</f>
        <v>56453052.95</v>
      </c>
      <c r="D416" s="1927" t="b">
        <f t="shared" si="8"/>
        <v>0</v>
      </c>
    </row>
    <row r="417" spans="1:4">
      <c r="A417" s="1927" t="s">
        <v>586</v>
      </c>
      <c r="B417" s="1960" t="str">
        <f>报表附注!E872</f>
        <v>低值易耗品</v>
      </c>
      <c r="C417" s="1936">
        <f>报表附注!G872</f>
        <v>0</v>
      </c>
      <c r="D417" s="1927" t="b">
        <f t="shared" si="8"/>
        <v>0</v>
      </c>
    </row>
    <row r="418" spans="1:4">
      <c r="A418" s="1927" t="s">
        <v>1607</v>
      </c>
      <c r="B418" s="1960" t="str">
        <f>报表附注!E873</f>
        <v>包装物</v>
      </c>
      <c r="C418" s="1936">
        <f>报表附注!G873</f>
        <v>0</v>
      </c>
      <c r="D418" s="1927" t="b">
        <f t="shared" si="8"/>
        <v>0</v>
      </c>
    </row>
    <row r="419" spans="1:4">
      <c r="A419" s="1927" t="s">
        <v>596</v>
      </c>
      <c r="B419" s="1960" t="str">
        <f>报表附注!E874</f>
        <v>委托加工物资</v>
      </c>
      <c r="C419" s="1936">
        <f>报表附注!G874</f>
        <v>0</v>
      </c>
      <c r="D419" s="1927" t="b">
        <f t="shared" si="8"/>
        <v>1</v>
      </c>
    </row>
    <row r="420" spans="1:4">
      <c r="A420" s="1927" t="s">
        <v>1608</v>
      </c>
      <c r="B420" s="1960" t="str">
        <f>报表附注!E875</f>
        <v>发出商品</v>
      </c>
      <c r="C420" s="1936">
        <f>报表附注!G875</f>
        <v>0</v>
      </c>
      <c r="D420" s="1927" t="b">
        <f t="shared" si="8"/>
        <v>0</v>
      </c>
    </row>
    <row r="421" spans="1:4">
      <c r="A421" s="1927" t="s">
        <v>1609</v>
      </c>
      <c r="B421" s="1960" t="str">
        <f>报表附注!E876</f>
        <v>增加项目1-</v>
      </c>
      <c r="C421" s="1936">
        <f>报表附注!G876</f>
        <v>0</v>
      </c>
      <c r="D421" s="1927" t="b">
        <f t="shared" si="8"/>
        <v>1</v>
      </c>
    </row>
    <row r="422" spans="1:4">
      <c r="A422" s="1927" t="s">
        <v>1610</v>
      </c>
      <c r="B422" s="1960" t="str">
        <f>报表附注!E877</f>
        <v>增加项目2-</v>
      </c>
      <c r="C422" s="1936">
        <f>报表附注!G877</f>
        <v>0</v>
      </c>
      <c r="D422" s="1927" t="b">
        <f t="shared" si="8"/>
        <v>1</v>
      </c>
    </row>
    <row r="423" spans="1:4">
      <c r="A423" s="1927" t="s">
        <v>1611</v>
      </c>
      <c r="B423" s="1960" t="str">
        <f>报表附注!E878</f>
        <v>增加项目3-</v>
      </c>
      <c r="C423" s="1936">
        <f>报表附注!G878</f>
        <v>0</v>
      </c>
      <c r="D423" s="1927" t="b">
        <f t="shared" si="8"/>
        <v>1</v>
      </c>
    </row>
    <row r="424" spans="1:4">
      <c r="A424" s="1927" t="s">
        <v>1612</v>
      </c>
      <c r="B424" s="1960" t="str">
        <f>报表附注!E879</f>
        <v>增加项目4-</v>
      </c>
      <c r="C424" s="1936">
        <f>报表附注!G879</f>
        <v>0</v>
      </c>
      <c r="D424" s="1927" t="b">
        <f t="shared" si="8"/>
        <v>1</v>
      </c>
    </row>
    <row r="425" spans="1:4">
      <c r="A425" s="1927" t="s">
        <v>1613</v>
      </c>
      <c r="B425" s="1960" t="str">
        <f>报表附注!E880</f>
        <v>增加项目5-</v>
      </c>
      <c r="C425" s="1936">
        <f>报表附注!G880</f>
        <v>0</v>
      </c>
      <c r="D425" s="1927" t="b">
        <f t="shared" si="8"/>
        <v>1</v>
      </c>
    </row>
    <row r="426" spans="1:4">
      <c r="A426" s="1927" t="s">
        <v>1614</v>
      </c>
      <c r="B426" s="1960" t="str">
        <f>报表附注!E881</f>
        <v>增加项目6-</v>
      </c>
      <c r="C426" s="1936">
        <f>报表附注!G881</f>
        <v>0</v>
      </c>
      <c r="D426" s="1927" t="b">
        <f t="shared" si="8"/>
        <v>1</v>
      </c>
    </row>
    <row r="427" spans="1:4">
      <c r="A427" s="1927" t="s">
        <v>1615</v>
      </c>
      <c r="B427" s="1960" t="str">
        <f>报表附注!E882</f>
        <v>增加项目7-</v>
      </c>
      <c r="C427" s="1936">
        <f>报表附注!G882</f>
        <v>0</v>
      </c>
      <c r="D427" s="1927" t="b">
        <f t="shared" si="8"/>
        <v>1</v>
      </c>
    </row>
    <row r="428" spans="1:4">
      <c r="A428" s="1927" t="s">
        <v>1616</v>
      </c>
      <c r="B428" s="1960" t="str">
        <f>报表附注!E883</f>
        <v>增加项目8-</v>
      </c>
      <c r="C428" s="1936">
        <f>报表附注!G883</f>
        <v>0</v>
      </c>
      <c r="D428" s="1927" t="b">
        <f t="shared" si="8"/>
        <v>1</v>
      </c>
    </row>
    <row r="429" spans="1:4">
      <c r="A429" s="1927" t="s">
        <v>1580</v>
      </c>
      <c r="B429" s="1938" t="str">
        <f>报表附注!E884</f>
        <v>合计</v>
      </c>
      <c r="C429" s="1936">
        <f>报表附注!G884</f>
        <v>56453052.95</v>
      </c>
      <c r="D429" s="1927" t="b">
        <f t="shared" si="8"/>
        <v>1</v>
      </c>
    </row>
    <row r="430" spans="1:4">
      <c r="A430" s="1927" t="s">
        <v>1622</v>
      </c>
      <c r="B430" s="1948" t="s">
        <v>1622</v>
      </c>
      <c r="D430" s="1927" t="b">
        <f t="shared" si="8"/>
        <v>1</v>
      </c>
    </row>
    <row r="431" spans="1:4">
      <c r="A431" s="1927" t="s">
        <v>588</v>
      </c>
      <c r="B431" s="1960" t="str">
        <f>报表附注!E869</f>
        <v>原材料</v>
      </c>
      <c r="C431" s="1936">
        <f>报表附注!H869</f>
        <v>0</v>
      </c>
      <c r="D431" s="1927" t="b">
        <f t="shared" si="8"/>
        <v>1</v>
      </c>
    </row>
    <row r="432" spans="1:4">
      <c r="A432" s="1927" t="s">
        <v>1606</v>
      </c>
      <c r="B432" s="1960" t="str">
        <f>报表附注!E870</f>
        <v>在产品</v>
      </c>
      <c r="C432" s="1936">
        <f>报表附注!H870</f>
        <v>0</v>
      </c>
      <c r="D432" s="1927" t="b">
        <f t="shared" si="8"/>
        <v>0</v>
      </c>
    </row>
    <row r="433" spans="1:4">
      <c r="A433" s="1927" t="s">
        <v>592</v>
      </c>
      <c r="B433" s="1960" t="str">
        <f>报表附注!E871</f>
        <v>产成品</v>
      </c>
      <c r="C433" s="1936">
        <f>报表附注!H871</f>
        <v>0</v>
      </c>
      <c r="D433" s="1927" t="b">
        <f t="shared" si="8"/>
        <v>0</v>
      </c>
    </row>
    <row r="434" spans="1:4">
      <c r="A434" s="1927" t="s">
        <v>586</v>
      </c>
      <c r="B434" s="1960" t="str">
        <f>报表附注!E872</f>
        <v>低值易耗品</v>
      </c>
      <c r="C434" s="1936">
        <f>报表附注!H872</f>
        <v>0</v>
      </c>
      <c r="D434" s="1927" t="b">
        <f t="shared" si="8"/>
        <v>0</v>
      </c>
    </row>
    <row r="435" spans="1:4">
      <c r="A435" s="1927" t="s">
        <v>1607</v>
      </c>
      <c r="B435" s="1960" t="str">
        <f>报表附注!E873</f>
        <v>包装物</v>
      </c>
      <c r="C435" s="1936">
        <f>报表附注!H873</f>
        <v>0</v>
      </c>
      <c r="D435" s="1927" t="b">
        <f t="shared" si="8"/>
        <v>0</v>
      </c>
    </row>
    <row r="436" spans="1:4">
      <c r="A436" s="1927" t="s">
        <v>596</v>
      </c>
      <c r="B436" s="1960" t="str">
        <f>报表附注!E874</f>
        <v>委托加工物资</v>
      </c>
      <c r="C436" s="1936">
        <f>报表附注!H874</f>
        <v>0</v>
      </c>
      <c r="D436" s="1927" t="b">
        <f t="shared" si="8"/>
        <v>1</v>
      </c>
    </row>
    <row r="437" spans="1:4">
      <c r="A437" s="1927" t="s">
        <v>1608</v>
      </c>
      <c r="B437" s="1960" t="str">
        <f>报表附注!E875</f>
        <v>发出商品</v>
      </c>
      <c r="C437" s="1936">
        <f>报表附注!H875</f>
        <v>0</v>
      </c>
      <c r="D437" s="1927" t="b">
        <f t="shared" si="8"/>
        <v>0</v>
      </c>
    </row>
    <row r="438" spans="1:4">
      <c r="A438" s="1927" t="s">
        <v>1609</v>
      </c>
      <c r="B438" s="1960" t="str">
        <f>报表附注!E876</f>
        <v>增加项目1-</v>
      </c>
      <c r="C438" s="1936">
        <f>报表附注!H876</f>
        <v>0</v>
      </c>
      <c r="D438" s="1927" t="b">
        <f t="shared" si="8"/>
        <v>1</v>
      </c>
    </row>
    <row r="439" spans="1:4">
      <c r="A439" s="1927" t="s">
        <v>1610</v>
      </c>
      <c r="B439" s="1960" t="str">
        <f>报表附注!E877</f>
        <v>增加项目2-</v>
      </c>
      <c r="C439" s="1936">
        <f>报表附注!H877</f>
        <v>0</v>
      </c>
      <c r="D439" s="1927" t="b">
        <f t="shared" si="8"/>
        <v>1</v>
      </c>
    </row>
    <row r="440" spans="1:4">
      <c r="A440" s="1927" t="s">
        <v>1611</v>
      </c>
      <c r="B440" s="1960" t="str">
        <f>报表附注!E878</f>
        <v>增加项目3-</v>
      </c>
      <c r="C440" s="1936">
        <f>报表附注!H878</f>
        <v>0</v>
      </c>
      <c r="D440" s="1927" t="b">
        <f t="shared" si="8"/>
        <v>1</v>
      </c>
    </row>
    <row r="441" spans="1:4">
      <c r="A441" s="1927" t="s">
        <v>1612</v>
      </c>
      <c r="B441" s="1960" t="str">
        <f>报表附注!E879</f>
        <v>增加项目4-</v>
      </c>
      <c r="C441" s="1936">
        <f>报表附注!H879</f>
        <v>0</v>
      </c>
      <c r="D441" s="1927" t="b">
        <f t="shared" si="8"/>
        <v>1</v>
      </c>
    </row>
    <row r="442" spans="1:4">
      <c r="A442" s="1927" t="s">
        <v>1613</v>
      </c>
      <c r="B442" s="1960" t="str">
        <f>报表附注!E880</f>
        <v>增加项目5-</v>
      </c>
      <c r="C442" s="1936">
        <f>报表附注!H880</f>
        <v>0</v>
      </c>
      <c r="D442" s="1927" t="b">
        <f t="shared" si="8"/>
        <v>1</v>
      </c>
    </row>
    <row r="443" spans="1:4">
      <c r="A443" s="1927" t="s">
        <v>1614</v>
      </c>
      <c r="B443" s="1960" t="str">
        <f>报表附注!E881</f>
        <v>增加项目6-</v>
      </c>
      <c r="C443" s="1936">
        <f>报表附注!H881</f>
        <v>0</v>
      </c>
      <c r="D443" s="1927" t="b">
        <f t="shared" si="8"/>
        <v>1</v>
      </c>
    </row>
    <row r="444" spans="1:4">
      <c r="A444" s="1927" t="s">
        <v>1615</v>
      </c>
      <c r="B444" s="1960" t="str">
        <f>报表附注!E882</f>
        <v>增加项目7-</v>
      </c>
      <c r="C444" s="1936">
        <f>报表附注!H882</f>
        <v>0</v>
      </c>
      <c r="D444" s="1927" t="b">
        <f t="shared" si="8"/>
        <v>1</v>
      </c>
    </row>
    <row r="445" spans="1:4">
      <c r="A445" s="1927" t="s">
        <v>1616</v>
      </c>
      <c r="B445" s="1960" t="str">
        <f>报表附注!E883</f>
        <v>增加项目8-</v>
      </c>
      <c r="C445" s="1936">
        <f>报表附注!H883</f>
        <v>0</v>
      </c>
      <c r="D445" s="1927" t="b">
        <f t="shared" si="8"/>
        <v>1</v>
      </c>
    </row>
    <row r="446" spans="1:4">
      <c r="A446" s="1927" t="s">
        <v>1580</v>
      </c>
      <c r="B446" s="1938" t="str">
        <f>报表附注!E884</f>
        <v>合计</v>
      </c>
      <c r="C446" s="1936">
        <f>报表附注!H884</f>
        <v>0</v>
      </c>
      <c r="D446" s="1927" t="b">
        <f t="shared" si="8"/>
        <v>1</v>
      </c>
    </row>
    <row r="447" spans="1:4">
      <c r="A447" s="1927" t="s">
        <v>1579</v>
      </c>
      <c r="B447" s="1946" t="s">
        <v>1579</v>
      </c>
      <c r="D447" s="1927" t="b">
        <f t="shared" si="8"/>
        <v>1</v>
      </c>
    </row>
    <row r="448" spans="1:4">
      <c r="A448" s="1927" t="s">
        <v>60</v>
      </c>
      <c r="B448" s="1928" t="str">
        <f>报表附注!E887</f>
        <v>项目</v>
      </c>
      <c r="D448" s="1927" t="b">
        <f t="shared" si="8"/>
        <v>1</v>
      </c>
    </row>
    <row r="449" spans="1:4">
      <c r="A449" s="1927" t="s">
        <v>837</v>
      </c>
      <c r="B449" s="1928" t="str">
        <f>报表附注!E888</f>
        <v>一、种植业</v>
      </c>
      <c r="C449" s="1936">
        <f>报表附注!G888</f>
        <v>0</v>
      </c>
      <c r="D449" s="1927" t="b">
        <f t="shared" si="8"/>
        <v>1</v>
      </c>
    </row>
    <row r="450" spans="1:4">
      <c r="A450" s="1927">
        <v>1</v>
      </c>
      <c r="B450" s="1928">
        <f>报表附注!E889</f>
        <v>1</v>
      </c>
      <c r="C450" s="1936">
        <f>报表附注!G889</f>
        <v>0</v>
      </c>
      <c r="D450" s="1927" t="b">
        <f t="shared" si="8"/>
        <v>1</v>
      </c>
    </row>
    <row r="451" spans="1:4">
      <c r="A451" s="1927">
        <v>2</v>
      </c>
      <c r="B451" s="1928">
        <f>报表附注!E890</f>
        <v>2</v>
      </c>
      <c r="C451" s="1936">
        <f>报表附注!G890</f>
        <v>0</v>
      </c>
      <c r="D451" s="1927" t="b">
        <f t="shared" si="8"/>
        <v>1</v>
      </c>
    </row>
    <row r="452" spans="1:4">
      <c r="A452" s="1927" t="s">
        <v>840</v>
      </c>
      <c r="B452" s="1928" t="str">
        <f>报表附注!E891</f>
        <v>二、畜牧养殖业</v>
      </c>
      <c r="C452" s="1936">
        <f>报表附注!G891</f>
        <v>0</v>
      </c>
      <c r="D452" s="1927" t="b">
        <f t="shared" si="8"/>
        <v>1</v>
      </c>
    </row>
    <row r="453" spans="1:4">
      <c r="A453" s="1927">
        <v>1</v>
      </c>
      <c r="B453" s="1928">
        <f>报表附注!E892</f>
        <v>1</v>
      </c>
      <c r="C453" s="1936">
        <f>报表附注!G892</f>
        <v>0</v>
      </c>
      <c r="D453" s="1927" t="b">
        <f t="shared" si="8"/>
        <v>1</v>
      </c>
    </row>
    <row r="454" spans="1:4">
      <c r="A454" s="1927">
        <v>2</v>
      </c>
      <c r="B454" s="1928">
        <f>报表附注!E893</f>
        <v>2</v>
      </c>
      <c r="C454" s="1936">
        <f>报表附注!G893</f>
        <v>0</v>
      </c>
      <c r="D454" s="1927" t="b">
        <f t="shared" si="8"/>
        <v>1</v>
      </c>
    </row>
    <row r="455" spans="1:4">
      <c r="A455" s="1927" t="s">
        <v>843</v>
      </c>
      <c r="B455" s="1928" t="str">
        <f>报表附注!E894</f>
        <v>三、林业</v>
      </c>
      <c r="C455" s="1936">
        <f>报表附注!G894</f>
        <v>0</v>
      </c>
      <c r="D455" s="1927" t="b">
        <f t="shared" si="8"/>
        <v>1</v>
      </c>
    </row>
    <row r="456" spans="1:4">
      <c r="A456" s="1927">
        <v>1</v>
      </c>
      <c r="B456" s="1928">
        <f>报表附注!E895</f>
        <v>1</v>
      </c>
      <c r="C456" s="1936">
        <f>报表附注!G895</f>
        <v>0</v>
      </c>
      <c r="D456" s="1927" t="b">
        <f t="shared" si="8"/>
        <v>1</v>
      </c>
    </row>
    <row r="457" spans="1:4">
      <c r="A457" s="1927">
        <v>2</v>
      </c>
      <c r="B457" s="1928">
        <f>报表附注!E896</f>
        <v>2</v>
      </c>
      <c r="C457" s="1936">
        <f>报表附注!G896</f>
        <v>0</v>
      </c>
      <c r="D457" s="1927" t="b">
        <f t="shared" si="8"/>
        <v>1</v>
      </c>
    </row>
    <row r="458" spans="1:4">
      <c r="A458" s="1927" t="s">
        <v>846</v>
      </c>
      <c r="B458" s="1928" t="str">
        <f>报表附注!E897</f>
        <v>四、水产业</v>
      </c>
      <c r="C458" s="1936">
        <f>报表附注!G897</f>
        <v>0</v>
      </c>
      <c r="D458" s="1927" t="b">
        <f t="shared" si="8"/>
        <v>1</v>
      </c>
    </row>
    <row r="459" spans="1:4">
      <c r="A459" s="1927">
        <v>1</v>
      </c>
      <c r="B459" s="1928">
        <f>报表附注!E898</f>
        <v>1</v>
      </c>
      <c r="C459" s="1936">
        <f>报表附注!G898</f>
        <v>0</v>
      </c>
      <c r="D459" s="1927" t="b">
        <f t="shared" si="8"/>
        <v>1</v>
      </c>
    </row>
    <row r="460" spans="1:4">
      <c r="A460" s="1927">
        <v>2</v>
      </c>
      <c r="B460" s="1928">
        <f>报表附注!E899</f>
        <v>2</v>
      </c>
      <c r="C460" s="1936">
        <f>报表附注!G899</f>
        <v>0</v>
      </c>
      <c r="D460" s="1927" t="b">
        <f t="shared" ref="D460:D523" si="9">EXACT(A460,B460)</f>
        <v>1</v>
      </c>
    </row>
    <row r="461" spans="1:4">
      <c r="A461" s="1927" t="s">
        <v>1580</v>
      </c>
      <c r="B461" s="1939" t="str">
        <f>报表附注!E900</f>
        <v>合计</v>
      </c>
      <c r="C461" s="1936">
        <f>报表附注!G900</f>
        <v>0</v>
      </c>
      <c r="D461" s="1927" t="b">
        <f t="shared" si="9"/>
        <v>1</v>
      </c>
    </row>
    <row r="462" spans="1:4">
      <c r="A462" s="1927" t="s">
        <v>315</v>
      </c>
      <c r="B462" s="1946" t="s">
        <v>315</v>
      </c>
      <c r="D462" s="1927" t="b">
        <f t="shared" si="9"/>
        <v>1</v>
      </c>
    </row>
    <row r="463" spans="1:4">
      <c r="A463" s="1927" t="s">
        <v>60</v>
      </c>
      <c r="B463" s="1928" t="str">
        <f>报表附注!E887</f>
        <v>项目</v>
      </c>
      <c r="D463" s="1927" t="b">
        <f t="shared" si="9"/>
        <v>1</v>
      </c>
    </row>
    <row r="464" spans="1:4">
      <c r="A464" s="1927" t="s">
        <v>837</v>
      </c>
      <c r="B464" s="1928" t="str">
        <f>报表附注!E888</f>
        <v>一、种植业</v>
      </c>
      <c r="C464" s="1936">
        <f>报表附注!F888</f>
        <v>0</v>
      </c>
      <c r="D464" s="1927" t="b">
        <f t="shared" si="9"/>
        <v>1</v>
      </c>
    </row>
    <row r="465" spans="1:4">
      <c r="A465" s="1927">
        <v>1</v>
      </c>
      <c r="B465" s="1928">
        <f>报表附注!E889</f>
        <v>1</v>
      </c>
      <c r="C465" s="1936">
        <f>报表附注!F889</f>
        <v>0</v>
      </c>
      <c r="D465" s="1927" t="b">
        <f t="shared" si="9"/>
        <v>1</v>
      </c>
    </row>
    <row r="466" spans="1:4">
      <c r="A466" s="1927">
        <v>2</v>
      </c>
      <c r="B466" s="1928">
        <f>报表附注!E890</f>
        <v>2</v>
      </c>
      <c r="C466" s="1936">
        <f>报表附注!F890</f>
        <v>0</v>
      </c>
      <c r="D466" s="1927" t="b">
        <f t="shared" si="9"/>
        <v>1</v>
      </c>
    </row>
    <row r="467" spans="1:4">
      <c r="A467" s="1927" t="s">
        <v>840</v>
      </c>
      <c r="B467" s="1928" t="str">
        <f>报表附注!E891</f>
        <v>二、畜牧养殖业</v>
      </c>
      <c r="C467" s="1936">
        <f>报表附注!F891</f>
        <v>0</v>
      </c>
      <c r="D467" s="1927" t="b">
        <f t="shared" si="9"/>
        <v>1</v>
      </c>
    </row>
    <row r="468" spans="1:4">
      <c r="A468" s="1927">
        <v>1</v>
      </c>
      <c r="B468" s="1928">
        <f>报表附注!E892</f>
        <v>1</v>
      </c>
      <c r="C468" s="1936">
        <f>报表附注!F892</f>
        <v>0</v>
      </c>
      <c r="D468" s="1927" t="b">
        <f t="shared" si="9"/>
        <v>1</v>
      </c>
    </row>
    <row r="469" spans="1:4">
      <c r="A469" s="1927">
        <v>2</v>
      </c>
      <c r="B469" s="1928">
        <f>报表附注!E893</f>
        <v>2</v>
      </c>
      <c r="C469" s="1936">
        <f>报表附注!F893</f>
        <v>0</v>
      </c>
      <c r="D469" s="1927" t="b">
        <f t="shared" si="9"/>
        <v>1</v>
      </c>
    </row>
    <row r="470" spans="1:4">
      <c r="A470" s="1927" t="s">
        <v>843</v>
      </c>
      <c r="B470" s="1928" t="str">
        <f>报表附注!E894</f>
        <v>三、林业</v>
      </c>
      <c r="C470" s="1936">
        <f>报表附注!F894</f>
        <v>0</v>
      </c>
      <c r="D470" s="1927" t="b">
        <f t="shared" si="9"/>
        <v>1</v>
      </c>
    </row>
    <row r="471" spans="1:4">
      <c r="A471" s="1927">
        <v>1</v>
      </c>
      <c r="B471" s="1928">
        <f>报表附注!E895</f>
        <v>1</v>
      </c>
      <c r="C471" s="1936">
        <f>报表附注!F895</f>
        <v>0</v>
      </c>
      <c r="D471" s="1927" t="b">
        <f t="shared" si="9"/>
        <v>1</v>
      </c>
    </row>
    <row r="472" spans="1:4">
      <c r="A472" s="1927">
        <v>2</v>
      </c>
      <c r="B472" s="1928">
        <f>报表附注!E896</f>
        <v>2</v>
      </c>
      <c r="C472" s="1936">
        <f>报表附注!F896</f>
        <v>0</v>
      </c>
      <c r="D472" s="1927" t="b">
        <f t="shared" si="9"/>
        <v>1</v>
      </c>
    </row>
    <row r="473" spans="1:4">
      <c r="A473" s="1927" t="s">
        <v>846</v>
      </c>
      <c r="B473" s="1928" t="str">
        <f>报表附注!E897</f>
        <v>四、水产业</v>
      </c>
      <c r="C473" s="1936">
        <f>报表附注!F897</f>
        <v>0</v>
      </c>
      <c r="D473" s="1927" t="b">
        <f t="shared" si="9"/>
        <v>1</v>
      </c>
    </row>
    <row r="474" spans="1:4">
      <c r="A474" s="1927">
        <v>1</v>
      </c>
      <c r="B474" s="1928">
        <f>报表附注!E898</f>
        <v>1</v>
      </c>
      <c r="C474" s="1936">
        <f>报表附注!F898</f>
        <v>0</v>
      </c>
      <c r="D474" s="1927" t="b">
        <f t="shared" si="9"/>
        <v>1</v>
      </c>
    </row>
    <row r="475" spans="1:4">
      <c r="A475" s="1927">
        <v>2</v>
      </c>
      <c r="B475" s="1928">
        <f>报表附注!E899</f>
        <v>2</v>
      </c>
      <c r="C475" s="1936">
        <f>报表附注!F899</f>
        <v>0</v>
      </c>
      <c r="D475" s="1927" t="b">
        <f t="shared" si="9"/>
        <v>1</v>
      </c>
    </row>
    <row r="476" spans="1:4">
      <c r="A476" s="1927" t="s">
        <v>1580</v>
      </c>
      <c r="B476" s="1939" t="str">
        <f>报表附注!E900</f>
        <v>合计</v>
      </c>
      <c r="C476" s="1936">
        <f>报表附注!F900</f>
        <v>0</v>
      </c>
      <c r="D476" s="1927" t="b">
        <f t="shared" si="9"/>
        <v>1</v>
      </c>
    </row>
    <row r="477" spans="4:4">
      <c r="D477" s="1927" t="b">
        <f t="shared" si="9"/>
        <v>1</v>
      </c>
    </row>
    <row r="478" ht="13.5" spans="1:4">
      <c r="A478" s="1927" t="s">
        <v>1623</v>
      </c>
      <c r="B478" s="1961" t="s">
        <v>1624</v>
      </c>
      <c r="D478" s="1927" t="b">
        <f t="shared" si="9"/>
        <v>1</v>
      </c>
    </row>
    <row r="479" spans="1:4">
      <c r="A479" s="1927" t="s">
        <v>588</v>
      </c>
      <c r="B479" s="1928" t="str">
        <f>报表附注!E905</f>
        <v>原材料</v>
      </c>
      <c r="C479" s="1936">
        <f>报表附注!F905</f>
        <v>0</v>
      </c>
      <c r="D479" s="1927" t="b">
        <f t="shared" si="9"/>
        <v>1</v>
      </c>
    </row>
    <row r="480" spans="1:4">
      <c r="A480" s="1927" t="s">
        <v>1606</v>
      </c>
      <c r="B480" s="1928" t="str">
        <f>报表附注!E906</f>
        <v>在产品</v>
      </c>
      <c r="C480" s="1936">
        <f>报表附注!F906</f>
        <v>0</v>
      </c>
      <c r="D480" s="1927" t="b">
        <f t="shared" si="9"/>
        <v>0</v>
      </c>
    </row>
    <row r="481" spans="1:4">
      <c r="A481" s="1927" t="s">
        <v>592</v>
      </c>
      <c r="B481" s="1928" t="str">
        <f>报表附注!E907</f>
        <v>产成品</v>
      </c>
      <c r="C481" s="1936">
        <f>报表附注!F907</f>
        <v>0</v>
      </c>
      <c r="D481" s="1927" t="b">
        <f t="shared" si="9"/>
        <v>0</v>
      </c>
    </row>
    <row r="482" spans="1:4">
      <c r="A482" s="1927" t="s">
        <v>586</v>
      </c>
      <c r="B482" s="1928" t="str">
        <f>报表附注!E908</f>
        <v>低值易耗品</v>
      </c>
      <c r="C482" s="1936">
        <f>报表附注!F908</f>
        <v>0</v>
      </c>
      <c r="D482" s="1927" t="b">
        <f t="shared" si="9"/>
        <v>0</v>
      </c>
    </row>
    <row r="483" spans="1:4">
      <c r="A483" s="1927" t="s">
        <v>1607</v>
      </c>
      <c r="B483" s="1928" t="str">
        <f>报表附注!E909</f>
        <v>包装物</v>
      </c>
      <c r="C483" s="1936">
        <f>报表附注!F909</f>
        <v>0</v>
      </c>
      <c r="D483" s="1927" t="b">
        <f t="shared" si="9"/>
        <v>0</v>
      </c>
    </row>
    <row r="484" spans="1:4">
      <c r="A484" s="1927" t="s">
        <v>596</v>
      </c>
      <c r="B484" s="1928" t="str">
        <f>报表附注!E910</f>
        <v>委托加工物资</v>
      </c>
      <c r="C484" s="1936">
        <f>报表附注!F910</f>
        <v>0</v>
      </c>
      <c r="D484" s="1927" t="b">
        <f t="shared" si="9"/>
        <v>1</v>
      </c>
    </row>
    <row r="485" spans="1:4">
      <c r="A485" s="1927" t="s">
        <v>1608</v>
      </c>
      <c r="B485" s="1949" t="str">
        <f>报表附注!E911</f>
        <v>发出商品</v>
      </c>
      <c r="C485" s="1936">
        <f>报表附注!F911</f>
        <v>0</v>
      </c>
      <c r="D485" s="1927" t="b">
        <f t="shared" si="9"/>
        <v>0</v>
      </c>
    </row>
    <row r="486" spans="1:4">
      <c r="A486" s="1927" t="s">
        <v>1609</v>
      </c>
      <c r="B486" s="1949" t="str">
        <f>报表附注!E912</f>
        <v>增加项目1-</v>
      </c>
      <c r="C486" s="1936">
        <f>报表附注!F912</f>
        <v>0</v>
      </c>
      <c r="D486" s="1927" t="b">
        <f t="shared" si="9"/>
        <v>1</v>
      </c>
    </row>
    <row r="487" spans="1:4">
      <c r="A487" s="1927" t="s">
        <v>1610</v>
      </c>
      <c r="B487" s="1949" t="str">
        <f>报表附注!E913</f>
        <v>增加项目2-</v>
      </c>
      <c r="C487" s="1936">
        <f>报表附注!F913</f>
        <v>0</v>
      </c>
      <c r="D487" s="1927" t="b">
        <f t="shared" si="9"/>
        <v>1</v>
      </c>
    </row>
    <row r="488" spans="1:4">
      <c r="A488" s="1927" t="s">
        <v>1611</v>
      </c>
      <c r="B488" s="1949" t="str">
        <f>报表附注!E914</f>
        <v>增加项目3-</v>
      </c>
      <c r="C488" s="1936">
        <f>报表附注!F914</f>
        <v>0</v>
      </c>
      <c r="D488" s="1927" t="b">
        <f t="shared" si="9"/>
        <v>1</v>
      </c>
    </row>
    <row r="489" spans="1:4">
      <c r="A489" s="1927" t="s">
        <v>1612</v>
      </c>
      <c r="B489" s="1949" t="str">
        <f>报表附注!E915</f>
        <v>增加项目4-</v>
      </c>
      <c r="C489" s="1936">
        <f>报表附注!F915</f>
        <v>0</v>
      </c>
      <c r="D489" s="1927" t="b">
        <f t="shared" si="9"/>
        <v>1</v>
      </c>
    </row>
    <row r="490" spans="1:4">
      <c r="A490" s="1927" t="s">
        <v>1613</v>
      </c>
      <c r="B490" s="1949" t="str">
        <f>报表附注!E916</f>
        <v>增加项目5-</v>
      </c>
      <c r="C490" s="1936">
        <f>报表附注!F916</f>
        <v>0</v>
      </c>
      <c r="D490" s="1927" t="b">
        <f t="shared" si="9"/>
        <v>1</v>
      </c>
    </row>
    <row r="491" spans="1:4">
      <c r="A491" s="1927" t="s">
        <v>1614</v>
      </c>
      <c r="B491" s="1949" t="str">
        <f>报表附注!E917</f>
        <v>增加项目6-</v>
      </c>
      <c r="C491" s="1936">
        <f>报表附注!F917</f>
        <v>0</v>
      </c>
      <c r="D491" s="1927" t="b">
        <f t="shared" si="9"/>
        <v>1</v>
      </c>
    </row>
    <row r="492" spans="1:4">
      <c r="A492" s="1927" t="s">
        <v>1615</v>
      </c>
      <c r="B492" s="1949" t="str">
        <f>报表附注!E918</f>
        <v>增加项目7-</v>
      </c>
      <c r="C492" s="1936">
        <f>报表附注!F918</f>
        <v>0</v>
      </c>
      <c r="D492" s="1927" t="b">
        <f t="shared" si="9"/>
        <v>1</v>
      </c>
    </row>
    <row r="493" spans="1:4">
      <c r="A493" s="1927" t="s">
        <v>1616</v>
      </c>
      <c r="B493" s="1949" t="str">
        <f>报表附注!E919</f>
        <v>增加项目8-</v>
      </c>
      <c r="C493" s="1936">
        <f>报表附注!F919</f>
        <v>0</v>
      </c>
      <c r="D493" s="1927" t="b">
        <f t="shared" si="9"/>
        <v>1</v>
      </c>
    </row>
    <row r="494" spans="1:4">
      <c r="A494" s="1927" t="s">
        <v>1580</v>
      </c>
      <c r="B494" s="1939" t="str">
        <f>报表附注!E920</f>
        <v>合计</v>
      </c>
      <c r="C494" s="1936">
        <f>报表附注!F920</f>
        <v>0</v>
      </c>
      <c r="D494" s="1927" t="b">
        <f t="shared" si="9"/>
        <v>1</v>
      </c>
    </row>
    <row r="495" ht="13.5" spans="1:4">
      <c r="A495" s="1927" t="s">
        <v>1625</v>
      </c>
      <c r="B495" s="1961" t="s">
        <v>1626</v>
      </c>
      <c r="D495" s="1927" t="b">
        <f t="shared" si="9"/>
        <v>1</v>
      </c>
    </row>
    <row r="496" spans="1:4">
      <c r="A496" s="1927" t="s">
        <v>588</v>
      </c>
      <c r="B496" s="1928" t="str">
        <f>报表附注!E905</f>
        <v>原材料</v>
      </c>
      <c r="C496" s="1936">
        <f>报表附注!G905</f>
        <v>0</v>
      </c>
      <c r="D496" s="1927" t="b">
        <f t="shared" si="9"/>
        <v>1</v>
      </c>
    </row>
    <row r="497" spans="1:4">
      <c r="A497" s="1927" t="s">
        <v>1606</v>
      </c>
      <c r="B497" s="1928" t="str">
        <f>报表附注!E906</f>
        <v>在产品</v>
      </c>
      <c r="C497" s="1936">
        <f>报表附注!G906</f>
        <v>0</v>
      </c>
      <c r="D497" s="1927" t="b">
        <f t="shared" si="9"/>
        <v>0</v>
      </c>
    </row>
    <row r="498" spans="1:4">
      <c r="A498" s="1927" t="s">
        <v>592</v>
      </c>
      <c r="B498" s="1928" t="str">
        <f>报表附注!E907</f>
        <v>产成品</v>
      </c>
      <c r="C498" s="1936">
        <f>报表附注!G907</f>
        <v>0</v>
      </c>
      <c r="D498" s="1927" t="b">
        <f t="shared" si="9"/>
        <v>0</v>
      </c>
    </row>
    <row r="499" spans="1:4">
      <c r="A499" s="1927" t="s">
        <v>586</v>
      </c>
      <c r="B499" s="1928" t="str">
        <f>报表附注!E908</f>
        <v>低值易耗品</v>
      </c>
      <c r="C499" s="1936">
        <f>报表附注!G908</f>
        <v>0</v>
      </c>
      <c r="D499" s="1927" t="b">
        <f t="shared" si="9"/>
        <v>0</v>
      </c>
    </row>
    <row r="500" spans="1:4">
      <c r="A500" s="1927" t="s">
        <v>1607</v>
      </c>
      <c r="B500" s="1928" t="str">
        <f>报表附注!E909</f>
        <v>包装物</v>
      </c>
      <c r="C500" s="1936">
        <f>报表附注!G909</f>
        <v>0</v>
      </c>
      <c r="D500" s="1927" t="b">
        <f t="shared" si="9"/>
        <v>0</v>
      </c>
    </row>
    <row r="501" spans="1:4">
      <c r="A501" s="1927" t="s">
        <v>596</v>
      </c>
      <c r="B501" s="1928" t="str">
        <f>报表附注!E910</f>
        <v>委托加工物资</v>
      </c>
      <c r="C501" s="1936">
        <f>报表附注!G910</f>
        <v>0</v>
      </c>
      <c r="D501" s="1927" t="b">
        <f t="shared" si="9"/>
        <v>1</v>
      </c>
    </row>
    <row r="502" spans="1:4">
      <c r="A502" s="1927" t="s">
        <v>1608</v>
      </c>
      <c r="B502" s="1949" t="str">
        <f>报表附注!E911</f>
        <v>发出商品</v>
      </c>
      <c r="C502" s="1936">
        <f>报表附注!G911</f>
        <v>0</v>
      </c>
      <c r="D502" s="1927" t="b">
        <f t="shared" si="9"/>
        <v>0</v>
      </c>
    </row>
    <row r="503" spans="1:4">
      <c r="A503" s="1927" t="s">
        <v>1609</v>
      </c>
      <c r="B503" s="1949" t="str">
        <f>报表附注!E912</f>
        <v>增加项目1-</v>
      </c>
      <c r="C503" s="1936">
        <f>报表附注!G912</f>
        <v>0</v>
      </c>
      <c r="D503" s="1927" t="b">
        <f t="shared" si="9"/>
        <v>1</v>
      </c>
    </row>
    <row r="504" spans="1:4">
      <c r="A504" s="1927" t="s">
        <v>1610</v>
      </c>
      <c r="B504" s="1949" t="str">
        <f>报表附注!E913</f>
        <v>增加项目2-</v>
      </c>
      <c r="C504" s="1936">
        <f>报表附注!G913</f>
        <v>0</v>
      </c>
      <c r="D504" s="1927" t="b">
        <f t="shared" si="9"/>
        <v>1</v>
      </c>
    </row>
    <row r="505" spans="1:4">
      <c r="A505" s="1927" t="s">
        <v>1611</v>
      </c>
      <c r="B505" s="1949" t="str">
        <f>报表附注!E914</f>
        <v>增加项目3-</v>
      </c>
      <c r="C505" s="1936">
        <f>报表附注!G914</f>
        <v>0</v>
      </c>
      <c r="D505" s="1927" t="b">
        <f t="shared" si="9"/>
        <v>1</v>
      </c>
    </row>
    <row r="506" spans="1:4">
      <c r="A506" s="1927" t="s">
        <v>1612</v>
      </c>
      <c r="B506" s="1949" t="str">
        <f>报表附注!E915</f>
        <v>增加项目4-</v>
      </c>
      <c r="C506" s="1936">
        <f>报表附注!G915</f>
        <v>0</v>
      </c>
      <c r="D506" s="1927" t="b">
        <f t="shared" si="9"/>
        <v>1</v>
      </c>
    </row>
    <row r="507" spans="1:4">
      <c r="A507" s="1927" t="s">
        <v>1613</v>
      </c>
      <c r="B507" s="1949" t="str">
        <f>报表附注!E916</f>
        <v>增加项目5-</v>
      </c>
      <c r="C507" s="1936">
        <f>报表附注!G916</f>
        <v>0</v>
      </c>
      <c r="D507" s="1927" t="b">
        <f t="shared" si="9"/>
        <v>1</v>
      </c>
    </row>
    <row r="508" spans="1:4">
      <c r="A508" s="1927" t="s">
        <v>1614</v>
      </c>
      <c r="B508" s="1949" t="str">
        <f>报表附注!E917</f>
        <v>增加项目6-</v>
      </c>
      <c r="C508" s="1936">
        <f>报表附注!G917</f>
        <v>0</v>
      </c>
      <c r="D508" s="1927" t="b">
        <f t="shared" si="9"/>
        <v>1</v>
      </c>
    </row>
    <row r="509" spans="1:4">
      <c r="A509" s="1927" t="s">
        <v>1615</v>
      </c>
      <c r="B509" s="1949" t="str">
        <f>报表附注!E918</f>
        <v>增加项目7-</v>
      </c>
      <c r="C509" s="1936">
        <f>报表附注!G918</f>
        <v>0</v>
      </c>
      <c r="D509" s="1927" t="b">
        <f t="shared" si="9"/>
        <v>1</v>
      </c>
    </row>
    <row r="510" spans="1:4">
      <c r="A510" s="1927" t="s">
        <v>1616</v>
      </c>
      <c r="B510" s="1949" t="str">
        <f>报表附注!E919</f>
        <v>增加项目8-</v>
      </c>
      <c r="C510" s="1936">
        <f>报表附注!G919</f>
        <v>0</v>
      </c>
      <c r="D510" s="1927" t="b">
        <f t="shared" si="9"/>
        <v>1</v>
      </c>
    </row>
    <row r="511" spans="1:4">
      <c r="A511" s="1927" t="s">
        <v>1580</v>
      </c>
      <c r="B511" s="1939" t="str">
        <f>报表附注!E920</f>
        <v>合计</v>
      </c>
      <c r="C511" s="1936">
        <f>报表附注!G920</f>
        <v>0</v>
      </c>
      <c r="D511" s="1927" t="b">
        <f t="shared" si="9"/>
        <v>1</v>
      </c>
    </row>
    <row r="512" ht="13.5" spans="1:4">
      <c r="A512" s="1927" t="s">
        <v>1627</v>
      </c>
      <c r="B512" s="1961" t="s">
        <v>1628</v>
      </c>
      <c r="D512" s="1927" t="b">
        <f t="shared" si="9"/>
        <v>1</v>
      </c>
    </row>
    <row r="513" spans="1:4">
      <c r="A513" s="1927" t="s">
        <v>588</v>
      </c>
      <c r="B513" s="1928" t="str">
        <f>报表附注!E905</f>
        <v>原材料</v>
      </c>
      <c r="C513" s="1936">
        <f>报表附注!H905</f>
        <v>0</v>
      </c>
      <c r="D513" s="1927" t="b">
        <f t="shared" si="9"/>
        <v>1</v>
      </c>
    </row>
    <row r="514" spans="1:4">
      <c r="A514" s="1927" t="s">
        <v>1606</v>
      </c>
      <c r="B514" s="1928" t="str">
        <f>报表附注!E906</f>
        <v>在产品</v>
      </c>
      <c r="C514" s="1936">
        <f>报表附注!H906</f>
        <v>0</v>
      </c>
      <c r="D514" s="1927" t="b">
        <f t="shared" si="9"/>
        <v>0</v>
      </c>
    </row>
    <row r="515" spans="1:4">
      <c r="A515" s="1927" t="s">
        <v>592</v>
      </c>
      <c r="B515" s="1928" t="str">
        <f>报表附注!E907</f>
        <v>产成品</v>
      </c>
      <c r="C515" s="1936">
        <f>报表附注!H907</f>
        <v>0</v>
      </c>
      <c r="D515" s="1927" t="b">
        <f t="shared" si="9"/>
        <v>0</v>
      </c>
    </row>
    <row r="516" spans="1:4">
      <c r="A516" s="1927" t="s">
        <v>586</v>
      </c>
      <c r="B516" s="1928" t="str">
        <f>报表附注!E908</f>
        <v>低值易耗品</v>
      </c>
      <c r="C516" s="1936">
        <f>报表附注!H908</f>
        <v>0</v>
      </c>
      <c r="D516" s="1927" t="b">
        <f t="shared" si="9"/>
        <v>0</v>
      </c>
    </row>
    <row r="517" spans="1:4">
      <c r="A517" s="1927" t="s">
        <v>1607</v>
      </c>
      <c r="B517" s="1928" t="str">
        <f>报表附注!E909</f>
        <v>包装物</v>
      </c>
      <c r="C517" s="1936">
        <f>报表附注!H909</f>
        <v>0</v>
      </c>
      <c r="D517" s="1927" t="b">
        <f t="shared" si="9"/>
        <v>0</v>
      </c>
    </row>
    <row r="518" spans="1:4">
      <c r="A518" s="1927" t="s">
        <v>596</v>
      </c>
      <c r="B518" s="1928" t="str">
        <f>报表附注!E910</f>
        <v>委托加工物资</v>
      </c>
      <c r="C518" s="1936">
        <f>报表附注!H910</f>
        <v>0</v>
      </c>
      <c r="D518" s="1927" t="b">
        <f t="shared" si="9"/>
        <v>1</v>
      </c>
    </row>
    <row r="519" spans="1:4">
      <c r="A519" s="1927" t="s">
        <v>1608</v>
      </c>
      <c r="B519" s="1949" t="str">
        <f>报表附注!E911</f>
        <v>发出商品</v>
      </c>
      <c r="C519" s="1936">
        <f>报表附注!H911</f>
        <v>0</v>
      </c>
      <c r="D519" s="1927" t="b">
        <f t="shared" si="9"/>
        <v>0</v>
      </c>
    </row>
    <row r="520" spans="1:4">
      <c r="A520" s="1927" t="s">
        <v>1609</v>
      </c>
      <c r="B520" s="1949" t="str">
        <f>报表附注!E912</f>
        <v>增加项目1-</v>
      </c>
      <c r="C520" s="1936">
        <f>报表附注!H912</f>
        <v>0</v>
      </c>
      <c r="D520" s="1927" t="b">
        <f t="shared" si="9"/>
        <v>1</v>
      </c>
    </row>
    <row r="521" spans="1:4">
      <c r="A521" s="1927" t="s">
        <v>1610</v>
      </c>
      <c r="B521" s="1949" t="str">
        <f>报表附注!E913</f>
        <v>增加项目2-</v>
      </c>
      <c r="C521" s="1936">
        <f>报表附注!H913</f>
        <v>0</v>
      </c>
      <c r="D521" s="1927" t="b">
        <f t="shared" si="9"/>
        <v>1</v>
      </c>
    </row>
    <row r="522" spans="1:4">
      <c r="A522" s="1927" t="s">
        <v>1611</v>
      </c>
      <c r="B522" s="1949" t="str">
        <f>报表附注!E914</f>
        <v>增加项目3-</v>
      </c>
      <c r="C522" s="1936">
        <f>报表附注!H914</f>
        <v>0</v>
      </c>
      <c r="D522" s="1927" t="b">
        <f t="shared" si="9"/>
        <v>1</v>
      </c>
    </row>
    <row r="523" spans="1:4">
      <c r="A523" s="1927" t="s">
        <v>1612</v>
      </c>
      <c r="B523" s="1949" t="str">
        <f>报表附注!E915</f>
        <v>增加项目4-</v>
      </c>
      <c r="C523" s="1936">
        <f>报表附注!H915</f>
        <v>0</v>
      </c>
      <c r="D523" s="1927" t="b">
        <f t="shared" si="9"/>
        <v>1</v>
      </c>
    </row>
    <row r="524" spans="1:4">
      <c r="A524" s="1927" t="s">
        <v>1613</v>
      </c>
      <c r="B524" s="1949" t="str">
        <f>报表附注!E916</f>
        <v>增加项目5-</v>
      </c>
      <c r="C524" s="1936">
        <f>报表附注!H916</f>
        <v>0</v>
      </c>
      <c r="D524" s="1927" t="b">
        <f t="shared" ref="D524:D587" si="10">EXACT(A524,B524)</f>
        <v>1</v>
      </c>
    </row>
    <row r="525" spans="1:4">
      <c r="A525" s="1927" t="s">
        <v>1614</v>
      </c>
      <c r="B525" s="1949" t="str">
        <f>报表附注!E917</f>
        <v>增加项目6-</v>
      </c>
      <c r="C525" s="1936">
        <f>报表附注!H917</f>
        <v>0</v>
      </c>
      <c r="D525" s="1927" t="b">
        <f t="shared" si="10"/>
        <v>1</v>
      </c>
    </row>
    <row r="526" spans="1:4">
      <c r="A526" s="1927" t="s">
        <v>1615</v>
      </c>
      <c r="B526" s="1949" t="str">
        <f>报表附注!E918</f>
        <v>增加项目7-</v>
      </c>
      <c r="C526" s="1936">
        <f>报表附注!H918</f>
        <v>0</v>
      </c>
      <c r="D526" s="1927" t="b">
        <f t="shared" si="10"/>
        <v>1</v>
      </c>
    </row>
    <row r="527" spans="1:4">
      <c r="A527" s="1927" t="s">
        <v>1616</v>
      </c>
      <c r="B527" s="1949" t="str">
        <f>报表附注!E919</f>
        <v>增加项目8-</v>
      </c>
      <c r="C527" s="1936">
        <f>报表附注!H919</f>
        <v>0</v>
      </c>
      <c r="D527" s="1927" t="b">
        <f t="shared" si="10"/>
        <v>1</v>
      </c>
    </row>
    <row r="528" spans="1:4">
      <c r="A528" s="1927" t="s">
        <v>1580</v>
      </c>
      <c r="B528" s="1939" t="str">
        <f>报表附注!E920</f>
        <v>合计</v>
      </c>
      <c r="C528" s="1936">
        <f>报表附注!H920</f>
        <v>0</v>
      </c>
      <c r="D528" s="1927" t="b">
        <f t="shared" si="10"/>
        <v>1</v>
      </c>
    </row>
    <row r="529" ht="13.5" spans="1:4">
      <c r="A529" s="1927" t="s">
        <v>1629</v>
      </c>
      <c r="B529" s="1961" t="s">
        <v>1630</v>
      </c>
      <c r="D529" s="1927" t="b">
        <f t="shared" si="10"/>
        <v>1</v>
      </c>
    </row>
    <row r="530" spans="1:4">
      <c r="A530" s="1927" t="s">
        <v>588</v>
      </c>
      <c r="B530" s="1928" t="str">
        <f>报表附注!E905</f>
        <v>原材料</v>
      </c>
      <c r="C530" s="1936">
        <f>报表附注!I905</f>
        <v>0</v>
      </c>
      <c r="D530" s="1927" t="b">
        <f t="shared" si="10"/>
        <v>1</v>
      </c>
    </row>
    <row r="531" spans="1:4">
      <c r="A531" s="1927" t="s">
        <v>1606</v>
      </c>
      <c r="B531" s="1928" t="str">
        <f>报表附注!E906</f>
        <v>在产品</v>
      </c>
      <c r="C531" s="1936">
        <f>报表附注!I906</f>
        <v>0</v>
      </c>
      <c r="D531" s="1927" t="b">
        <f t="shared" si="10"/>
        <v>0</v>
      </c>
    </row>
    <row r="532" spans="1:4">
      <c r="A532" s="1927" t="s">
        <v>592</v>
      </c>
      <c r="B532" s="1928" t="str">
        <f>报表附注!E907</f>
        <v>产成品</v>
      </c>
      <c r="C532" s="1936">
        <f>报表附注!I907</f>
        <v>0</v>
      </c>
      <c r="D532" s="1927" t="b">
        <f t="shared" si="10"/>
        <v>0</v>
      </c>
    </row>
    <row r="533" spans="1:4">
      <c r="A533" s="1927" t="s">
        <v>586</v>
      </c>
      <c r="B533" s="1928" t="str">
        <f>报表附注!E908</f>
        <v>低值易耗品</v>
      </c>
      <c r="C533" s="1936">
        <f>报表附注!I908</f>
        <v>0</v>
      </c>
      <c r="D533" s="1927" t="b">
        <f t="shared" si="10"/>
        <v>0</v>
      </c>
    </row>
    <row r="534" spans="1:4">
      <c r="A534" s="1927" t="s">
        <v>1607</v>
      </c>
      <c r="B534" s="1928" t="str">
        <f>报表附注!E909</f>
        <v>包装物</v>
      </c>
      <c r="C534" s="1936">
        <f>报表附注!I909</f>
        <v>0</v>
      </c>
      <c r="D534" s="1927" t="b">
        <f t="shared" si="10"/>
        <v>0</v>
      </c>
    </row>
    <row r="535" spans="1:4">
      <c r="A535" s="1927" t="s">
        <v>596</v>
      </c>
      <c r="B535" s="1928" t="str">
        <f>报表附注!E910</f>
        <v>委托加工物资</v>
      </c>
      <c r="C535" s="1936">
        <f>报表附注!I910</f>
        <v>0</v>
      </c>
      <c r="D535" s="1927" t="b">
        <f t="shared" si="10"/>
        <v>1</v>
      </c>
    </row>
    <row r="536" spans="1:4">
      <c r="A536" s="1927" t="s">
        <v>1608</v>
      </c>
      <c r="B536" s="1949" t="str">
        <f>报表附注!E911</f>
        <v>发出商品</v>
      </c>
      <c r="C536" s="1936">
        <f>报表附注!I911</f>
        <v>0</v>
      </c>
      <c r="D536" s="1927" t="b">
        <f t="shared" si="10"/>
        <v>0</v>
      </c>
    </row>
    <row r="537" spans="1:4">
      <c r="A537" s="1927" t="s">
        <v>1609</v>
      </c>
      <c r="B537" s="1949" t="str">
        <f>报表附注!E912</f>
        <v>增加项目1-</v>
      </c>
      <c r="C537" s="1936">
        <f>报表附注!I912</f>
        <v>0</v>
      </c>
      <c r="D537" s="1927" t="b">
        <f t="shared" si="10"/>
        <v>1</v>
      </c>
    </row>
    <row r="538" spans="1:4">
      <c r="A538" s="1927" t="s">
        <v>1610</v>
      </c>
      <c r="B538" s="1949" t="str">
        <f>报表附注!E913</f>
        <v>增加项目2-</v>
      </c>
      <c r="C538" s="1936">
        <f>报表附注!I913</f>
        <v>0</v>
      </c>
      <c r="D538" s="1927" t="b">
        <f t="shared" si="10"/>
        <v>1</v>
      </c>
    </row>
    <row r="539" spans="1:4">
      <c r="A539" s="1927" t="s">
        <v>1611</v>
      </c>
      <c r="B539" s="1949" t="str">
        <f>报表附注!E914</f>
        <v>增加项目3-</v>
      </c>
      <c r="C539" s="1936">
        <f>报表附注!I914</f>
        <v>0</v>
      </c>
      <c r="D539" s="1927" t="b">
        <f t="shared" si="10"/>
        <v>1</v>
      </c>
    </row>
    <row r="540" spans="1:4">
      <c r="A540" s="1927" t="s">
        <v>1612</v>
      </c>
      <c r="B540" s="1949" t="str">
        <f>报表附注!E915</f>
        <v>增加项目4-</v>
      </c>
      <c r="C540" s="1936">
        <f>报表附注!I915</f>
        <v>0</v>
      </c>
      <c r="D540" s="1927" t="b">
        <f t="shared" si="10"/>
        <v>1</v>
      </c>
    </row>
    <row r="541" spans="1:4">
      <c r="A541" s="1927" t="s">
        <v>1613</v>
      </c>
      <c r="B541" s="1949" t="str">
        <f>报表附注!E916</f>
        <v>增加项目5-</v>
      </c>
      <c r="C541" s="1936">
        <f>报表附注!I916</f>
        <v>0</v>
      </c>
      <c r="D541" s="1927" t="b">
        <f t="shared" si="10"/>
        <v>1</v>
      </c>
    </row>
    <row r="542" spans="1:4">
      <c r="A542" s="1927" t="s">
        <v>1614</v>
      </c>
      <c r="B542" s="1949" t="str">
        <f>报表附注!E917</f>
        <v>增加项目6-</v>
      </c>
      <c r="C542" s="1936">
        <f>报表附注!I917</f>
        <v>0</v>
      </c>
      <c r="D542" s="1927" t="b">
        <f t="shared" si="10"/>
        <v>1</v>
      </c>
    </row>
    <row r="543" spans="1:4">
      <c r="A543" s="1927" t="s">
        <v>1615</v>
      </c>
      <c r="B543" s="1949" t="str">
        <f>报表附注!E918</f>
        <v>增加项目7-</v>
      </c>
      <c r="C543" s="1936">
        <f>报表附注!I918</f>
        <v>0</v>
      </c>
      <c r="D543" s="1927" t="b">
        <f t="shared" si="10"/>
        <v>1</v>
      </c>
    </row>
    <row r="544" spans="1:4">
      <c r="A544" s="1927" t="s">
        <v>1616</v>
      </c>
      <c r="B544" s="1949" t="str">
        <f>报表附注!E919</f>
        <v>增加项目8-</v>
      </c>
      <c r="C544" s="1936">
        <f>报表附注!I919</f>
        <v>0</v>
      </c>
      <c r="D544" s="1927" t="b">
        <f t="shared" si="10"/>
        <v>1</v>
      </c>
    </row>
    <row r="545" spans="1:4">
      <c r="A545" s="1927" t="s">
        <v>1580</v>
      </c>
      <c r="B545" s="1939" t="str">
        <f>报表附注!E920</f>
        <v>合计</v>
      </c>
      <c r="C545" s="1936">
        <f>报表附注!I920</f>
        <v>0</v>
      </c>
      <c r="D545" s="1927" t="b">
        <f t="shared" si="10"/>
        <v>1</v>
      </c>
    </row>
    <row r="546" spans="4:4">
      <c r="D546" s="1927" t="b">
        <f t="shared" si="10"/>
        <v>1</v>
      </c>
    </row>
    <row r="547" spans="1:4">
      <c r="A547" s="1927" t="s">
        <v>1631</v>
      </c>
      <c r="B547" s="1947" t="s">
        <v>1631</v>
      </c>
      <c r="D547" s="1927" t="b">
        <f t="shared" si="10"/>
        <v>1</v>
      </c>
    </row>
    <row r="548" spans="4:4">
      <c r="D548" s="1927" t="b">
        <f t="shared" si="10"/>
        <v>1</v>
      </c>
    </row>
    <row r="549" spans="1:4">
      <c r="A549" s="1927" t="s">
        <v>1632</v>
      </c>
      <c r="B549" s="1945" t="s">
        <v>1632</v>
      </c>
      <c r="D549" s="1927" t="b">
        <f t="shared" si="10"/>
        <v>1</v>
      </c>
    </row>
    <row r="550" spans="1:4">
      <c r="A550" s="1927" t="s">
        <v>1579</v>
      </c>
      <c r="B550" s="1946" t="s">
        <v>1579</v>
      </c>
      <c r="D550" s="1927" t="b">
        <f t="shared" si="10"/>
        <v>1</v>
      </c>
    </row>
    <row r="551" spans="1:4">
      <c r="A551" s="1927" t="s">
        <v>1633</v>
      </c>
      <c r="B551" s="1928" t="str">
        <f>报表附注!E963</f>
        <v>可供出售债权投资</v>
      </c>
      <c r="C551" s="1936">
        <f>报表附注!G963</f>
        <v>0</v>
      </c>
      <c r="D551" s="1927" t="b">
        <f t="shared" si="10"/>
        <v>1</v>
      </c>
    </row>
    <row r="552" spans="1:4">
      <c r="A552" s="1927" t="s">
        <v>635</v>
      </c>
      <c r="B552" s="1928" t="str">
        <f>报表附注!E964</f>
        <v>可供出售权益工具</v>
      </c>
      <c r="C552" s="1936">
        <f>报表附注!G964</f>
        <v>0</v>
      </c>
      <c r="D552" s="1927" t="b">
        <f t="shared" si="10"/>
        <v>1</v>
      </c>
    </row>
    <row r="553" spans="1:4">
      <c r="A553" s="1927" t="s">
        <v>279</v>
      </c>
      <c r="B553" s="1928" t="str">
        <f>报表附注!E965</f>
        <v>其他</v>
      </c>
      <c r="C553" s="1936">
        <f>报表附注!G965</f>
        <v>0</v>
      </c>
      <c r="D553" s="1927" t="b">
        <f t="shared" si="10"/>
        <v>1</v>
      </c>
    </row>
    <row r="554" spans="1:4">
      <c r="A554" s="1927" t="s">
        <v>1580</v>
      </c>
      <c r="B554" s="1939" t="str">
        <f>报表附注!E966</f>
        <v>合计</v>
      </c>
      <c r="C554" s="1936">
        <f>报表附注!G966</f>
        <v>0</v>
      </c>
      <c r="D554" s="1927" t="b">
        <f t="shared" si="10"/>
        <v>1</v>
      </c>
    </row>
    <row r="555" spans="1:4">
      <c r="A555" s="1927" t="s">
        <v>315</v>
      </c>
      <c r="B555" s="1946" t="s">
        <v>315</v>
      </c>
      <c r="D555" s="1927" t="b">
        <f t="shared" si="10"/>
        <v>1</v>
      </c>
    </row>
    <row r="556" spans="1:4">
      <c r="A556" s="1927" t="s">
        <v>1633</v>
      </c>
      <c r="B556" s="1928" t="str">
        <f>报表附注!E963</f>
        <v>可供出售债权投资</v>
      </c>
      <c r="C556" s="1936">
        <f>报表附注!F963</f>
        <v>0</v>
      </c>
      <c r="D556" s="1927" t="b">
        <f t="shared" si="10"/>
        <v>1</v>
      </c>
    </row>
    <row r="557" spans="1:4">
      <c r="A557" s="1927" t="s">
        <v>635</v>
      </c>
      <c r="B557" s="1928" t="str">
        <f>报表附注!E964</f>
        <v>可供出售权益工具</v>
      </c>
      <c r="C557" s="1936">
        <f>报表附注!F964</f>
        <v>0</v>
      </c>
      <c r="D557" s="1927" t="b">
        <f t="shared" si="10"/>
        <v>1</v>
      </c>
    </row>
    <row r="558" spans="1:4">
      <c r="A558" s="1927" t="s">
        <v>279</v>
      </c>
      <c r="B558" s="1928" t="str">
        <f>报表附注!E965</f>
        <v>其他</v>
      </c>
      <c r="C558" s="1936">
        <f>报表附注!F965</f>
        <v>0</v>
      </c>
      <c r="D558" s="1927" t="b">
        <f t="shared" si="10"/>
        <v>1</v>
      </c>
    </row>
    <row r="559" spans="1:4">
      <c r="A559" s="1927" t="s">
        <v>1580</v>
      </c>
      <c r="B559" s="1939" t="str">
        <f>报表附注!E966</f>
        <v>合计</v>
      </c>
      <c r="C559" s="1936">
        <f>报表附注!F966</f>
        <v>0</v>
      </c>
      <c r="D559" s="1927" t="b">
        <f t="shared" si="10"/>
        <v>1</v>
      </c>
    </row>
    <row r="560" spans="4:4">
      <c r="D560" s="1927" t="b">
        <f t="shared" si="10"/>
        <v>1</v>
      </c>
    </row>
    <row r="561" spans="1:4">
      <c r="A561" s="1927" t="s">
        <v>1634</v>
      </c>
      <c r="B561" s="1947" t="s">
        <v>1634</v>
      </c>
      <c r="D561" s="1927" t="b">
        <f t="shared" si="10"/>
        <v>1</v>
      </c>
    </row>
    <row r="562" spans="4:4">
      <c r="D562" s="1927" t="b">
        <f t="shared" si="10"/>
        <v>1</v>
      </c>
    </row>
    <row r="563" spans="1:4">
      <c r="A563" s="1927" t="s">
        <v>1635</v>
      </c>
      <c r="B563" s="1945" t="s">
        <v>1635</v>
      </c>
      <c r="D563" s="1927" t="b">
        <f t="shared" si="10"/>
        <v>1</v>
      </c>
    </row>
    <row r="564" spans="1:4">
      <c r="A564" s="1927" t="s">
        <v>1579</v>
      </c>
      <c r="B564" s="1946" t="s">
        <v>1579</v>
      </c>
      <c r="D564" s="1927" t="b">
        <f t="shared" si="10"/>
        <v>1</v>
      </c>
    </row>
    <row r="565" spans="1:4">
      <c r="A565" s="1927" t="s">
        <v>658</v>
      </c>
      <c r="B565" s="1928" t="str">
        <f>报表附注!E1016</f>
        <v>融资租赁</v>
      </c>
      <c r="C565" s="1936">
        <f>报表附注!G1016</f>
        <v>0</v>
      </c>
      <c r="D565" s="1927" t="b">
        <f t="shared" si="10"/>
        <v>1</v>
      </c>
    </row>
    <row r="566" spans="1:4">
      <c r="A566" s="1927" t="s">
        <v>660</v>
      </c>
      <c r="B566" s="1928" t="str">
        <f>报表附注!E1017</f>
        <v>分期收款销售商品</v>
      </c>
      <c r="C566" s="1936">
        <f>报表附注!G1017</f>
        <v>0</v>
      </c>
      <c r="D566" s="1927" t="b">
        <f t="shared" si="10"/>
        <v>1</v>
      </c>
    </row>
    <row r="567" spans="1:4">
      <c r="A567" s="1927" t="s">
        <v>662</v>
      </c>
      <c r="B567" s="1928" t="str">
        <f>报表附注!E1018</f>
        <v>分期收款提供劳务</v>
      </c>
      <c r="C567" s="1936">
        <f>报表附注!G1018</f>
        <v>0</v>
      </c>
      <c r="D567" s="1927" t="b">
        <f t="shared" si="10"/>
        <v>1</v>
      </c>
    </row>
    <row r="568" spans="1:4">
      <c r="A568" s="1927" t="s">
        <v>279</v>
      </c>
      <c r="B568" s="1928" t="str">
        <f>报表附注!E1019</f>
        <v>其他</v>
      </c>
      <c r="C568" s="1936">
        <f>报表附注!G1019</f>
        <v>0</v>
      </c>
      <c r="D568" s="1927" t="b">
        <f t="shared" si="10"/>
        <v>1</v>
      </c>
    </row>
    <row r="569" spans="1:4">
      <c r="A569" s="1927" t="s">
        <v>1580</v>
      </c>
      <c r="B569" s="1939" t="str">
        <f>报表附注!E1020</f>
        <v>合计</v>
      </c>
      <c r="C569" s="1936">
        <f>报表附注!G1020</f>
        <v>0</v>
      </c>
      <c r="D569" s="1927" t="b">
        <f t="shared" si="10"/>
        <v>1</v>
      </c>
    </row>
    <row r="570" spans="1:4">
      <c r="A570" s="1927" t="s">
        <v>315</v>
      </c>
      <c r="B570" s="1946" t="s">
        <v>315</v>
      </c>
      <c r="D570" s="1927" t="b">
        <f t="shared" si="10"/>
        <v>1</v>
      </c>
    </row>
    <row r="571" spans="1:4">
      <c r="A571" s="1927" t="s">
        <v>658</v>
      </c>
      <c r="B571" s="1928" t="str">
        <f>报表附注!E1016</f>
        <v>融资租赁</v>
      </c>
      <c r="C571" s="1936">
        <f>报表附注!F1016</f>
        <v>0</v>
      </c>
      <c r="D571" s="1927" t="b">
        <f t="shared" si="10"/>
        <v>1</v>
      </c>
    </row>
    <row r="572" spans="1:4">
      <c r="A572" s="1927" t="s">
        <v>660</v>
      </c>
      <c r="B572" s="1928" t="str">
        <f>报表附注!E1017</f>
        <v>分期收款销售商品</v>
      </c>
      <c r="C572" s="1936">
        <f>报表附注!F1017</f>
        <v>0</v>
      </c>
      <c r="D572" s="1927" t="b">
        <f t="shared" si="10"/>
        <v>1</v>
      </c>
    </row>
    <row r="573" spans="1:4">
      <c r="A573" s="1927" t="s">
        <v>662</v>
      </c>
      <c r="B573" s="1928" t="str">
        <f>报表附注!E1018</f>
        <v>分期收款提供劳务</v>
      </c>
      <c r="C573" s="1936">
        <f>报表附注!F1018</f>
        <v>0</v>
      </c>
      <c r="D573" s="1927" t="b">
        <f t="shared" si="10"/>
        <v>1</v>
      </c>
    </row>
    <row r="574" spans="1:4">
      <c r="A574" s="1927" t="s">
        <v>279</v>
      </c>
      <c r="B574" s="1928" t="str">
        <f>报表附注!E1019</f>
        <v>其他</v>
      </c>
      <c r="C574" s="1936">
        <f>报表附注!F1019</f>
        <v>0</v>
      </c>
      <c r="D574" s="1927" t="b">
        <f t="shared" si="10"/>
        <v>1</v>
      </c>
    </row>
    <row r="575" spans="1:4">
      <c r="A575" s="1927" t="s">
        <v>1580</v>
      </c>
      <c r="B575" s="1939" t="str">
        <f>报表附注!E1020</f>
        <v>合计</v>
      </c>
      <c r="C575" s="1936">
        <f>报表附注!F1020</f>
        <v>0</v>
      </c>
      <c r="D575" s="1927" t="b">
        <f t="shared" si="10"/>
        <v>1</v>
      </c>
    </row>
    <row r="576" spans="4:4">
      <c r="D576" s="1927" t="b">
        <f t="shared" si="10"/>
        <v>1</v>
      </c>
    </row>
    <row r="577" spans="1:4">
      <c r="A577" s="1927" t="s">
        <v>1636</v>
      </c>
      <c r="B577" s="1947" t="s">
        <v>1636</v>
      </c>
      <c r="D577" s="1927" t="b">
        <f t="shared" si="10"/>
        <v>1</v>
      </c>
    </row>
    <row r="578" spans="4:4">
      <c r="D578" s="1927" t="b">
        <f t="shared" si="10"/>
        <v>1</v>
      </c>
    </row>
    <row r="579" spans="1:4">
      <c r="A579" s="1927" t="s">
        <v>1637</v>
      </c>
      <c r="B579" s="1947" t="s">
        <v>1637</v>
      </c>
      <c r="D579" s="1927" t="b">
        <f t="shared" si="10"/>
        <v>1</v>
      </c>
    </row>
    <row r="580" spans="4:4">
      <c r="D580" s="1927" t="b">
        <f t="shared" si="10"/>
        <v>1</v>
      </c>
    </row>
    <row r="581" spans="1:4">
      <c r="A581" s="1927" t="s">
        <v>1638</v>
      </c>
      <c r="B581" s="1945" t="s">
        <v>1638</v>
      </c>
      <c r="D581" s="1927" t="b">
        <f t="shared" si="10"/>
        <v>1</v>
      </c>
    </row>
    <row r="582" spans="1:4">
      <c r="A582" s="1927" t="s">
        <v>1639</v>
      </c>
      <c r="B582" s="1945" t="s">
        <v>1639</v>
      </c>
      <c r="D582" s="1927" t="b">
        <f t="shared" si="10"/>
        <v>1</v>
      </c>
    </row>
    <row r="583" spans="1:4">
      <c r="A583" s="1927" t="s">
        <v>1579</v>
      </c>
      <c r="B583" s="1948" t="s">
        <v>1579</v>
      </c>
      <c r="D583" s="1927" t="b">
        <f t="shared" si="10"/>
        <v>1</v>
      </c>
    </row>
    <row r="584" spans="1:4">
      <c r="A584" s="1927" t="s">
        <v>714</v>
      </c>
      <c r="B584" s="1928" t="str">
        <f>报表附注!E1104</f>
        <v>一、原价合计</v>
      </c>
      <c r="C584" s="1936">
        <f>报表附注!F1104</f>
        <v>0</v>
      </c>
      <c r="D584" s="1927" t="b">
        <f t="shared" si="10"/>
        <v>1</v>
      </c>
    </row>
    <row r="585" spans="1:4">
      <c r="A585" s="1927" t="s">
        <v>1640</v>
      </c>
      <c r="B585" s="1928" t="str">
        <f>报表附注!E1105</f>
        <v>1．房屋、建筑物</v>
      </c>
      <c r="C585" s="1936">
        <f>报表附注!F1105</f>
        <v>0</v>
      </c>
      <c r="D585" s="1927" t="b">
        <f t="shared" si="10"/>
        <v>1</v>
      </c>
    </row>
    <row r="586" spans="1:4">
      <c r="A586" s="1927" t="s">
        <v>1641</v>
      </c>
      <c r="B586" s="1928" t="str">
        <f>报表附注!E1106</f>
        <v>2．土地使用权</v>
      </c>
      <c r="C586" s="1936">
        <f>报表附注!F1106</f>
        <v>0</v>
      </c>
      <c r="D586" s="1927" t="b">
        <f t="shared" si="10"/>
        <v>1</v>
      </c>
    </row>
    <row r="587" spans="1:4">
      <c r="A587" s="1927" t="s">
        <v>1642</v>
      </c>
      <c r="B587" s="1928" t="str">
        <f>报表附注!E1107</f>
        <v>二、累计折旧或累计摊销合计</v>
      </c>
      <c r="C587" s="1936">
        <f>报表附注!F1107</f>
        <v>0</v>
      </c>
      <c r="D587" s="1927" t="b">
        <f t="shared" si="10"/>
        <v>1</v>
      </c>
    </row>
    <row r="588" spans="1:4">
      <c r="A588" s="1927" t="s">
        <v>1640</v>
      </c>
      <c r="B588" s="1928" t="str">
        <f>报表附注!E1108</f>
        <v>1．房屋、建筑物</v>
      </c>
      <c r="C588" s="1936">
        <f>报表附注!F1108</f>
        <v>0</v>
      </c>
      <c r="D588" s="1927" t="b">
        <f t="shared" ref="D588:D651" si="11">EXACT(A588,B588)</f>
        <v>1</v>
      </c>
    </row>
    <row r="589" spans="1:4">
      <c r="A589" s="1927" t="s">
        <v>1641</v>
      </c>
      <c r="B589" s="1928" t="str">
        <f>报表附注!E1109</f>
        <v>2．土地使用权</v>
      </c>
      <c r="C589" s="1936">
        <f>报表附注!F1109</f>
        <v>0</v>
      </c>
      <c r="D589" s="1927" t="b">
        <f t="shared" si="11"/>
        <v>1</v>
      </c>
    </row>
    <row r="590" spans="1:4">
      <c r="A590" s="1927" t="s">
        <v>1643</v>
      </c>
      <c r="B590" s="1928" t="str">
        <f>报表附注!E1110</f>
        <v>三、投资性房地产减值准备合计</v>
      </c>
      <c r="C590" s="1936">
        <f>报表附注!F1110</f>
        <v>0</v>
      </c>
      <c r="D590" s="1927" t="b">
        <f t="shared" si="11"/>
        <v>1</v>
      </c>
    </row>
    <row r="591" spans="1:4">
      <c r="A591" s="1927" t="s">
        <v>1640</v>
      </c>
      <c r="B591" s="1928" t="str">
        <f>报表附注!E1111</f>
        <v>1．房屋、建筑物</v>
      </c>
      <c r="C591" s="1936">
        <f>报表附注!F1111</f>
        <v>0</v>
      </c>
      <c r="D591" s="1927" t="b">
        <f t="shared" si="11"/>
        <v>1</v>
      </c>
    </row>
    <row r="592" spans="1:4">
      <c r="A592" s="1927" t="s">
        <v>1641</v>
      </c>
      <c r="B592" s="1928" t="str">
        <f>报表附注!E1112</f>
        <v>2．土地使用权</v>
      </c>
      <c r="C592" s="1936">
        <f>报表附注!F1112</f>
        <v>0</v>
      </c>
      <c r="D592" s="1927" t="b">
        <f t="shared" si="11"/>
        <v>1</v>
      </c>
    </row>
    <row r="593" spans="1:4">
      <c r="A593" s="1927" t="s">
        <v>671</v>
      </c>
      <c r="B593" s="1948" t="s">
        <v>671</v>
      </c>
      <c r="D593" s="1927" t="b">
        <f t="shared" si="11"/>
        <v>1</v>
      </c>
    </row>
    <row r="594" spans="1:4">
      <c r="A594" s="1927" t="s">
        <v>714</v>
      </c>
      <c r="B594" s="1928" t="str">
        <f>报表附注!E1104</f>
        <v>一、原价合计</v>
      </c>
      <c r="C594" s="1936">
        <f>报表附注!G1104</f>
        <v>0</v>
      </c>
      <c r="D594" s="1927" t="b">
        <f t="shared" si="11"/>
        <v>1</v>
      </c>
    </row>
    <row r="595" spans="1:4">
      <c r="A595" s="1927" t="s">
        <v>1640</v>
      </c>
      <c r="B595" s="1928" t="str">
        <f>报表附注!E1105</f>
        <v>1．房屋、建筑物</v>
      </c>
      <c r="C595" s="1936">
        <f>报表附注!G1105</f>
        <v>0</v>
      </c>
      <c r="D595" s="1927" t="b">
        <f t="shared" si="11"/>
        <v>1</v>
      </c>
    </row>
    <row r="596" spans="1:4">
      <c r="A596" s="1927" t="s">
        <v>1641</v>
      </c>
      <c r="B596" s="1928" t="str">
        <f>报表附注!E1106</f>
        <v>2．土地使用权</v>
      </c>
      <c r="C596" s="1936">
        <f>报表附注!G1106</f>
        <v>0</v>
      </c>
      <c r="D596" s="1927" t="b">
        <f t="shared" si="11"/>
        <v>1</v>
      </c>
    </row>
    <row r="597" spans="1:4">
      <c r="A597" s="1927" t="s">
        <v>1642</v>
      </c>
      <c r="B597" s="1928" t="str">
        <f>报表附注!E1107</f>
        <v>二、累计折旧或累计摊销合计</v>
      </c>
      <c r="C597" s="1936">
        <f>报表附注!G1107</f>
        <v>0</v>
      </c>
      <c r="D597" s="1927" t="b">
        <f t="shared" si="11"/>
        <v>1</v>
      </c>
    </row>
    <row r="598" spans="1:4">
      <c r="A598" s="1927" t="s">
        <v>1640</v>
      </c>
      <c r="B598" s="1928" t="str">
        <f>报表附注!E1108</f>
        <v>1．房屋、建筑物</v>
      </c>
      <c r="C598" s="1936">
        <f>报表附注!G1108</f>
        <v>0</v>
      </c>
      <c r="D598" s="1927" t="b">
        <f t="shared" si="11"/>
        <v>1</v>
      </c>
    </row>
    <row r="599" spans="1:4">
      <c r="A599" s="1927" t="s">
        <v>1641</v>
      </c>
      <c r="B599" s="1928" t="str">
        <f>报表附注!E1109</f>
        <v>2．土地使用权</v>
      </c>
      <c r="C599" s="1936">
        <f>报表附注!G1109</f>
        <v>0</v>
      </c>
      <c r="D599" s="1927" t="b">
        <f t="shared" si="11"/>
        <v>1</v>
      </c>
    </row>
    <row r="600" spans="1:4">
      <c r="A600" s="1927" t="s">
        <v>1643</v>
      </c>
      <c r="B600" s="1928" t="str">
        <f>报表附注!E1110</f>
        <v>三、投资性房地产减值准备合计</v>
      </c>
      <c r="C600" s="1936">
        <f>报表附注!G1110</f>
        <v>0</v>
      </c>
      <c r="D600" s="1927" t="b">
        <f t="shared" si="11"/>
        <v>1</v>
      </c>
    </row>
    <row r="601" spans="1:4">
      <c r="A601" s="1927" t="s">
        <v>1640</v>
      </c>
      <c r="B601" s="1928" t="str">
        <f>报表附注!E1111</f>
        <v>1．房屋、建筑物</v>
      </c>
      <c r="C601" s="1936">
        <f>报表附注!G1111</f>
        <v>0</v>
      </c>
      <c r="D601" s="1927" t="b">
        <f t="shared" si="11"/>
        <v>1</v>
      </c>
    </row>
    <row r="602" spans="1:4">
      <c r="A602" s="1927" t="s">
        <v>1641</v>
      </c>
      <c r="B602" s="1928" t="str">
        <f>报表附注!E1112</f>
        <v>2．土地使用权</v>
      </c>
      <c r="C602" s="1936">
        <f>报表附注!G1112</f>
        <v>0</v>
      </c>
      <c r="D602" s="1927" t="b">
        <f t="shared" si="11"/>
        <v>1</v>
      </c>
    </row>
    <row r="603" spans="1:4">
      <c r="A603" s="1927" t="s">
        <v>672</v>
      </c>
      <c r="B603" s="1948" t="s">
        <v>672</v>
      </c>
      <c r="D603" s="1927" t="b">
        <f t="shared" si="11"/>
        <v>1</v>
      </c>
    </row>
    <row r="604" spans="1:4">
      <c r="A604" s="1927" t="s">
        <v>714</v>
      </c>
      <c r="B604" s="1928" t="str">
        <f>报表附注!E1104</f>
        <v>一、原价合计</v>
      </c>
      <c r="C604" s="1936">
        <f>报表附注!H1104</f>
        <v>0</v>
      </c>
      <c r="D604" s="1927" t="b">
        <f t="shared" si="11"/>
        <v>1</v>
      </c>
    </row>
    <row r="605" spans="1:4">
      <c r="A605" s="1927" t="s">
        <v>1640</v>
      </c>
      <c r="B605" s="1928" t="str">
        <f>报表附注!E1105</f>
        <v>1．房屋、建筑物</v>
      </c>
      <c r="C605" s="1936">
        <f>报表附注!H1105</f>
        <v>0</v>
      </c>
      <c r="D605" s="1927" t="b">
        <f t="shared" si="11"/>
        <v>1</v>
      </c>
    </row>
    <row r="606" spans="1:4">
      <c r="A606" s="1927" t="s">
        <v>1641</v>
      </c>
      <c r="B606" s="1928" t="str">
        <f>报表附注!E1106</f>
        <v>2．土地使用权</v>
      </c>
      <c r="C606" s="1936">
        <f>报表附注!H1106</f>
        <v>0</v>
      </c>
      <c r="D606" s="1927" t="b">
        <f t="shared" si="11"/>
        <v>1</v>
      </c>
    </row>
    <row r="607" spans="1:4">
      <c r="A607" s="1927" t="s">
        <v>1642</v>
      </c>
      <c r="B607" s="1928" t="str">
        <f>报表附注!E1107</f>
        <v>二、累计折旧或累计摊销合计</v>
      </c>
      <c r="C607" s="1936">
        <f>报表附注!H1107</f>
        <v>0</v>
      </c>
      <c r="D607" s="1927" t="b">
        <f t="shared" si="11"/>
        <v>1</v>
      </c>
    </row>
    <row r="608" spans="1:4">
      <c r="A608" s="1927" t="s">
        <v>1640</v>
      </c>
      <c r="B608" s="1928" t="str">
        <f>报表附注!E1108</f>
        <v>1．房屋、建筑物</v>
      </c>
      <c r="C608" s="1936">
        <f>报表附注!H1108</f>
        <v>0</v>
      </c>
      <c r="D608" s="1927" t="b">
        <f t="shared" si="11"/>
        <v>1</v>
      </c>
    </row>
    <row r="609" spans="1:4">
      <c r="A609" s="1927" t="s">
        <v>1641</v>
      </c>
      <c r="B609" s="1928" t="str">
        <f>报表附注!E1109</f>
        <v>2．土地使用权</v>
      </c>
      <c r="C609" s="1936">
        <f>报表附注!H1109</f>
        <v>0</v>
      </c>
      <c r="D609" s="1927" t="b">
        <f t="shared" si="11"/>
        <v>1</v>
      </c>
    </row>
    <row r="610" spans="1:4">
      <c r="A610" s="1927" t="s">
        <v>1643</v>
      </c>
      <c r="B610" s="1928" t="str">
        <f>报表附注!E1110</f>
        <v>三、投资性房地产减值准备合计</v>
      </c>
      <c r="C610" s="1936">
        <f>报表附注!H1110</f>
        <v>0</v>
      </c>
      <c r="D610" s="1927" t="b">
        <f t="shared" si="11"/>
        <v>1</v>
      </c>
    </row>
    <row r="611" spans="1:4">
      <c r="A611" s="1927" t="s">
        <v>1640</v>
      </c>
      <c r="B611" s="1928" t="str">
        <f>报表附注!E1111</f>
        <v>1．房屋、建筑物</v>
      </c>
      <c r="C611" s="1936">
        <f>报表附注!H1111</f>
        <v>0</v>
      </c>
      <c r="D611" s="1927" t="b">
        <f t="shared" si="11"/>
        <v>1</v>
      </c>
    </row>
    <row r="612" spans="1:4">
      <c r="A612" s="1927" t="s">
        <v>1641</v>
      </c>
      <c r="B612" s="1928" t="str">
        <f>报表附注!E1112</f>
        <v>2．土地使用权</v>
      </c>
      <c r="C612" s="1936">
        <f>报表附注!H1112</f>
        <v>0</v>
      </c>
      <c r="D612" s="1927" t="b">
        <f t="shared" si="11"/>
        <v>1</v>
      </c>
    </row>
    <row r="613" spans="4:4">
      <c r="D613" s="1927" t="b">
        <f t="shared" si="11"/>
        <v>1</v>
      </c>
    </row>
    <row r="614" spans="1:4">
      <c r="A614" s="1927" t="s">
        <v>1644</v>
      </c>
      <c r="B614" s="1962" t="s">
        <v>1644</v>
      </c>
      <c r="D614" s="1927" t="b">
        <f t="shared" si="11"/>
        <v>1</v>
      </c>
    </row>
    <row r="615" spans="1:4">
      <c r="A615" s="1927" t="s">
        <v>1645</v>
      </c>
      <c r="B615" s="1948" t="s">
        <v>1645</v>
      </c>
      <c r="D615" s="1927" t="b">
        <f t="shared" si="11"/>
        <v>1</v>
      </c>
    </row>
    <row r="616" spans="1:4">
      <c r="A616" s="1927" t="s">
        <v>1646</v>
      </c>
      <c r="B616" s="1928" t="str">
        <f>报表附注!E1122</f>
        <v>1.成本合计</v>
      </c>
      <c r="C616" s="1936">
        <f>报表附注!F1122</f>
        <v>0</v>
      </c>
      <c r="D616" s="1927" t="b">
        <f t="shared" si="11"/>
        <v>1</v>
      </c>
    </row>
    <row r="617" spans="1:4">
      <c r="A617" s="1927" t="s">
        <v>1647</v>
      </c>
      <c r="B617" s="1928" t="str">
        <f>报表附注!E1123</f>
        <v>（1）房屋、建筑物</v>
      </c>
      <c r="C617" s="1936">
        <f>报表附注!F1123</f>
        <v>0</v>
      </c>
      <c r="D617" s="1927" t="b">
        <f t="shared" si="11"/>
        <v>1</v>
      </c>
    </row>
    <row r="618" spans="1:4">
      <c r="A618" s="1927" t="s">
        <v>1648</v>
      </c>
      <c r="B618" s="1928" t="str">
        <f>报表附注!E1124</f>
        <v>（2）土地使用权</v>
      </c>
      <c r="C618" s="1936">
        <f>报表附注!F1124</f>
        <v>0</v>
      </c>
      <c r="D618" s="1927" t="b">
        <f t="shared" si="11"/>
        <v>1</v>
      </c>
    </row>
    <row r="619" spans="1:4">
      <c r="A619" s="1927" t="s">
        <v>1649</v>
      </c>
      <c r="B619" s="1928" t="str">
        <f>报表附注!E1125</f>
        <v>（3）其他</v>
      </c>
      <c r="C619" s="1936">
        <f>报表附注!F1125</f>
        <v>0</v>
      </c>
      <c r="D619" s="1927" t="b">
        <f t="shared" si="11"/>
        <v>1</v>
      </c>
    </row>
    <row r="620" spans="1:4">
      <c r="A620" s="1927" t="s">
        <v>1650</v>
      </c>
      <c r="B620" s="1928" t="str">
        <f>报表附注!E1126</f>
        <v>2.公允价值变动合计</v>
      </c>
      <c r="C620" s="1936">
        <f>报表附注!F1126</f>
        <v>0</v>
      </c>
      <c r="D620" s="1927" t="b">
        <f t="shared" si="11"/>
        <v>1</v>
      </c>
    </row>
    <row r="621" spans="1:4">
      <c r="A621" s="1927" t="s">
        <v>1647</v>
      </c>
      <c r="B621" s="1928" t="str">
        <f>报表附注!E1127</f>
        <v>（1）房屋、建筑物</v>
      </c>
      <c r="C621" s="1936">
        <f>报表附注!F1127</f>
        <v>0</v>
      </c>
      <c r="D621" s="1927" t="b">
        <f t="shared" si="11"/>
        <v>1</v>
      </c>
    </row>
    <row r="622" spans="1:4">
      <c r="A622" s="1927" t="s">
        <v>1648</v>
      </c>
      <c r="B622" s="1928" t="str">
        <f>报表附注!E1128</f>
        <v>（2）土地使用权</v>
      </c>
      <c r="C622" s="1936">
        <f>报表附注!F1128</f>
        <v>0</v>
      </c>
      <c r="D622" s="1927" t="b">
        <f t="shared" si="11"/>
        <v>1</v>
      </c>
    </row>
    <row r="623" spans="1:4">
      <c r="A623" s="1927" t="s">
        <v>1649</v>
      </c>
      <c r="B623" s="1928" t="str">
        <f>报表附注!E1129</f>
        <v>（3）其他</v>
      </c>
      <c r="C623" s="1936">
        <f>报表附注!F1129</f>
        <v>0</v>
      </c>
      <c r="D623" s="1927" t="b">
        <f t="shared" si="11"/>
        <v>1</v>
      </c>
    </row>
    <row r="624" spans="1:4">
      <c r="A624" s="1927" t="s">
        <v>1651</v>
      </c>
      <c r="B624" s="1928" t="str">
        <f>报表附注!E1130</f>
        <v>3.投资性房地产账面价值合计</v>
      </c>
      <c r="C624" s="1936">
        <f>报表附注!F1130</f>
        <v>0</v>
      </c>
      <c r="D624" s="1927" t="b">
        <f t="shared" si="11"/>
        <v>1</v>
      </c>
    </row>
    <row r="625" spans="1:4">
      <c r="A625" s="1927" t="s">
        <v>1647</v>
      </c>
      <c r="B625" s="1928" t="str">
        <f>报表附注!E1131</f>
        <v>（1）房屋、建筑物</v>
      </c>
      <c r="C625" s="1936">
        <f>报表附注!F1131</f>
        <v>0</v>
      </c>
      <c r="D625" s="1927" t="b">
        <f t="shared" si="11"/>
        <v>1</v>
      </c>
    </row>
    <row r="626" spans="1:4">
      <c r="A626" s="1927" t="s">
        <v>1648</v>
      </c>
      <c r="B626" s="1928" t="str">
        <f>报表附注!E1132</f>
        <v>（2）土地使用权</v>
      </c>
      <c r="C626" s="1936">
        <f>报表附注!F1132</f>
        <v>0</v>
      </c>
      <c r="D626" s="1927" t="b">
        <f t="shared" si="11"/>
        <v>1</v>
      </c>
    </row>
    <row r="627" spans="1:4">
      <c r="A627" s="1927" t="s">
        <v>1649</v>
      </c>
      <c r="B627" s="1928" t="str">
        <f>报表附注!E1133</f>
        <v>（3）其他</v>
      </c>
      <c r="C627" s="1936">
        <f>报表附注!F1133</f>
        <v>0</v>
      </c>
      <c r="D627" s="1927" t="b">
        <f t="shared" si="11"/>
        <v>1</v>
      </c>
    </row>
    <row r="628" spans="1:4">
      <c r="A628" s="1927" t="s">
        <v>1652</v>
      </c>
      <c r="B628" s="1948" t="s">
        <v>1652</v>
      </c>
      <c r="D628" s="1927" t="b">
        <f t="shared" si="11"/>
        <v>1</v>
      </c>
    </row>
    <row r="629" spans="1:4">
      <c r="A629" s="1927" t="s">
        <v>1646</v>
      </c>
      <c r="B629" s="1928" t="str">
        <f>报表附注!E1122</f>
        <v>1.成本合计</v>
      </c>
      <c r="C629" s="1936">
        <f>报表附注!G1122</f>
        <v>0</v>
      </c>
      <c r="D629" s="1927" t="b">
        <f t="shared" si="11"/>
        <v>1</v>
      </c>
    </row>
    <row r="630" spans="1:4">
      <c r="A630" s="1927" t="s">
        <v>1647</v>
      </c>
      <c r="B630" s="1928" t="str">
        <f>报表附注!E1123</f>
        <v>（1）房屋、建筑物</v>
      </c>
      <c r="C630" s="1936">
        <f>报表附注!G1123</f>
        <v>0</v>
      </c>
      <c r="D630" s="1927" t="b">
        <f t="shared" si="11"/>
        <v>1</v>
      </c>
    </row>
    <row r="631" spans="1:4">
      <c r="A631" s="1927" t="s">
        <v>1648</v>
      </c>
      <c r="B631" s="1928" t="str">
        <f>报表附注!E1124</f>
        <v>（2）土地使用权</v>
      </c>
      <c r="C631" s="1936">
        <f>报表附注!G1124</f>
        <v>0</v>
      </c>
      <c r="D631" s="1927" t="b">
        <f t="shared" si="11"/>
        <v>1</v>
      </c>
    </row>
    <row r="632" spans="1:4">
      <c r="A632" s="1927" t="s">
        <v>1649</v>
      </c>
      <c r="B632" s="1928" t="str">
        <f>报表附注!E1125</f>
        <v>（3）其他</v>
      </c>
      <c r="C632" s="1936">
        <f>报表附注!G1125</f>
        <v>0</v>
      </c>
      <c r="D632" s="1927" t="b">
        <f t="shared" si="11"/>
        <v>1</v>
      </c>
    </row>
    <row r="633" spans="1:4">
      <c r="A633" s="1927" t="s">
        <v>1650</v>
      </c>
      <c r="B633" s="1928" t="str">
        <f>报表附注!E1126</f>
        <v>2.公允价值变动合计</v>
      </c>
      <c r="C633" s="1936">
        <f>报表附注!G1126</f>
        <v>0</v>
      </c>
      <c r="D633" s="1927" t="b">
        <f t="shared" si="11"/>
        <v>1</v>
      </c>
    </row>
    <row r="634" spans="1:4">
      <c r="A634" s="1927" t="s">
        <v>1647</v>
      </c>
      <c r="B634" s="1928" t="str">
        <f>报表附注!E1127</f>
        <v>（1）房屋、建筑物</v>
      </c>
      <c r="C634" s="1936">
        <f>报表附注!G1127</f>
        <v>0</v>
      </c>
      <c r="D634" s="1927" t="b">
        <f t="shared" si="11"/>
        <v>1</v>
      </c>
    </row>
    <row r="635" spans="1:4">
      <c r="A635" s="1927" t="s">
        <v>1648</v>
      </c>
      <c r="B635" s="1928" t="str">
        <f>报表附注!E1128</f>
        <v>（2）土地使用权</v>
      </c>
      <c r="C635" s="1936">
        <f>报表附注!G1128</f>
        <v>0</v>
      </c>
      <c r="D635" s="1927" t="b">
        <f t="shared" si="11"/>
        <v>1</v>
      </c>
    </row>
    <row r="636" spans="1:4">
      <c r="A636" s="1927" t="s">
        <v>1649</v>
      </c>
      <c r="B636" s="1928" t="str">
        <f>报表附注!E1129</f>
        <v>（3）其他</v>
      </c>
      <c r="C636" s="1936">
        <f>报表附注!G1129</f>
        <v>0</v>
      </c>
      <c r="D636" s="1927" t="b">
        <f t="shared" si="11"/>
        <v>1</v>
      </c>
    </row>
    <row r="637" spans="1:4">
      <c r="A637" s="1927" t="s">
        <v>1651</v>
      </c>
      <c r="B637" s="1928" t="str">
        <f>报表附注!E1130</f>
        <v>3.投资性房地产账面价值合计</v>
      </c>
      <c r="C637" s="1936">
        <f>报表附注!G1130</f>
        <v>0</v>
      </c>
      <c r="D637" s="1927" t="b">
        <f t="shared" si="11"/>
        <v>1</v>
      </c>
    </row>
    <row r="638" spans="1:4">
      <c r="A638" s="1927" t="s">
        <v>1647</v>
      </c>
      <c r="B638" s="1928" t="str">
        <f>报表附注!E1131</f>
        <v>（1）房屋、建筑物</v>
      </c>
      <c r="C638" s="1936">
        <f>报表附注!G1131</f>
        <v>0</v>
      </c>
      <c r="D638" s="1927" t="b">
        <f t="shared" si="11"/>
        <v>1</v>
      </c>
    </row>
    <row r="639" spans="1:4">
      <c r="A639" s="1927" t="s">
        <v>1648</v>
      </c>
      <c r="B639" s="1928" t="str">
        <f>报表附注!E1132</f>
        <v>（2）土地使用权</v>
      </c>
      <c r="C639" s="1936">
        <f>报表附注!G1132</f>
        <v>0</v>
      </c>
      <c r="D639" s="1927" t="b">
        <f t="shared" si="11"/>
        <v>1</v>
      </c>
    </row>
    <row r="640" spans="1:4">
      <c r="A640" s="1927" t="s">
        <v>1649</v>
      </c>
      <c r="B640" s="1928" t="str">
        <f>报表附注!E1133</f>
        <v>（3）其他</v>
      </c>
      <c r="C640" s="1936">
        <f>报表附注!G1133</f>
        <v>0</v>
      </c>
      <c r="D640" s="1927" t="b">
        <f t="shared" si="11"/>
        <v>1</v>
      </c>
    </row>
    <row r="641" spans="1:4">
      <c r="A641" s="1927" t="s">
        <v>1653</v>
      </c>
      <c r="B641" s="1948" t="s">
        <v>1653</v>
      </c>
      <c r="D641" s="1927" t="b">
        <f t="shared" si="11"/>
        <v>1</v>
      </c>
    </row>
    <row r="642" spans="1:4">
      <c r="A642" s="1927" t="s">
        <v>1646</v>
      </c>
      <c r="B642" s="1928" t="str">
        <f>报表附注!E1122</f>
        <v>1.成本合计</v>
      </c>
      <c r="C642" s="1936">
        <f>报表附注!H1122</f>
        <v>0</v>
      </c>
      <c r="D642" s="1927" t="b">
        <f t="shared" si="11"/>
        <v>1</v>
      </c>
    </row>
    <row r="643" spans="1:4">
      <c r="A643" s="1927" t="s">
        <v>1647</v>
      </c>
      <c r="B643" s="1928" t="str">
        <f>报表附注!E1123</f>
        <v>（1）房屋、建筑物</v>
      </c>
      <c r="C643" s="1936">
        <f>报表附注!H1123</f>
        <v>0</v>
      </c>
      <c r="D643" s="1927" t="b">
        <f t="shared" si="11"/>
        <v>1</v>
      </c>
    </row>
    <row r="644" spans="1:4">
      <c r="A644" s="1927" t="s">
        <v>1648</v>
      </c>
      <c r="B644" s="1928" t="str">
        <f>报表附注!E1124</f>
        <v>（2）土地使用权</v>
      </c>
      <c r="C644" s="1936">
        <f>报表附注!H1124</f>
        <v>0</v>
      </c>
      <c r="D644" s="1927" t="b">
        <f t="shared" si="11"/>
        <v>1</v>
      </c>
    </row>
    <row r="645" spans="1:4">
      <c r="A645" s="1927" t="s">
        <v>1649</v>
      </c>
      <c r="B645" s="1928" t="str">
        <f>报表附注!E1125</f>
        <v>（3）其他</v>
      </c>
      <c r="C645" s="1936">
        <f>报表附注!H1125</f>
        <v>0</v>
      </c>
      <c r="D645" s="1927" t="b">
        <f t="shared" si="11"/>
        <v>1</v>
      </c>
    </row>
    <row r="646" spans="1:4">
      <c r="A646" s="1927" t="s">
        <v>1650</v>
      </c>
      <c r="B646" s="1928" t="str">
        <f>报表附注!E1126</f>
        <v>2.公允价值变动合计</v>
      </c>
      <c r="C646" s="1936">
        <f>报表附注!H1126</f>
        <v>0</v>
      </c>
      <c r="D646" s="1927" t="b">
        <f t="shared" si="11"/>
        <v>1</v>
      </c>
    </row>
    <row r="647" spans="1:4">
      <c r="A647" s="1927" t="s">
        <v>1647</v>
      </c>
      <c r="B647" s="1928" t="str">
        <f>报表附注!E1127</f>
        <v>（1）房屋、建筑物</v>
      </c>
      <c r="C647" s="1936">
        <f>报表附注!H1127</f>
        <v>0</v>
      </c>
      <c r="D647" s="1927" t="b">
        <f t="shared" si="11"/>
        <v>1</v>
      </c>
    </row>
    <row r="648" spans="1:4">
      <c r="A648" s="1927" t="s">
        <v>1648</v>
      </c>
      <c r="B648" s="1928" t="str">
        <f>报表附注!E1128</f>
        <v>（2）土地使用权</v>
      </c>
      <c r="C648" s="1936">
        <f>报表附注!H1128</f>
        <v>0</v>
      </c>
      <c r="D648" s="1927" t="b">
        <f t="shared" si="11"/>
        <v>1</v>
      </c>
    </row>
    <row r="649" spans="1:4">
      <c r="A649" s="1927" t="s">
        <v>1649</v>
      </c>
      <c r="B649" s="1928" t="str">
        <f>报表附注!E1129</f>
        <v>（3）其他</v>
      </c>
      <c r="C649" s="1936">
        <f>报表附注!H1129</f>
        <v>0</v>
      </c>
      <c r="D649" s="1927" t="b">
        <f t="shared" si="11"/>
        <v>1</v>
      </c>
    </row>
    <row r="650" spans="1:4">
      <c r="A650" s="1927" t="s">
        <v>1651</v>
      </c>
      <c r="B650" s="1928" t="str">
        <f>报表附注!E1130</f>
        <v>3.投资性房地产账面价值合计</v>
      </c>
      <c r="C650" s="1936">
        <f>报表附注!H1130</f>
        <v>0</v>
      </c>
      <c r="D650" s="1927" t="b">
        <f t="shared" si="11"/>
        <v>1</v>
      </c>
    </row>
    <row r="651" spans="1:4">
      <c r="A651" s="1927" t="s">
        <v>1647</v>
      </c>
      <c r="B651" s="1928" t="str">
        <f>报表附注!E1131</f>
        <v>（1）房屋、建筑物</v>
      </c>
      <c r="C651" s="1936">
        <f>报表附注!H1131</f>
        <v>0</v>
      </c>
      <c r="D651" s="1927" t="b">
        <f t="shared" si="11"/>
        <v>1</v>
      </c>
    </row>
    <row r="652" spans="1:4">
      <c r="A652" s="1927" t="s">
        <v>1648</v>
      </c>
      <c r="B652" s="1928" t="str">
        <f>报表附注!E1132</f>
        <v>（2）土地使用权</v>
      </c>
      <c r="C652" s="1936">
        <f>报表附注!H1132</f>
        <v>0</v>
      </c>
      <c r="D652" s="1927" t="b">
        <f t="shared" ref="D652:D715" si="12">EXACT(A652,B652)</f>
        <v>1</v>
      </c>
    </row>
    <row r="653" spans="1:4">
      <c r="A653" s="1927" t="s">
        <v>1649</v>
      </c>
      <c r="B653" s="1928" t="str">
        <f>报表附注!E1133</f>
        <v>（3）其他</v>
      </c>
      <c r="C653" s="1936">
        <f>报表附注!H1133</f>
        <v>0</v>
      </c>
      <c r="D653" s="1927" t="b">
        <f t="shared" si="12"/>
        <v>1</v>
      </c>
    </row>
    <row r="654" spans="1:4">
      <c r="A654" s="1927" t="s">
        <v>1654</v>
      </c>
      <c r="B654" s="1948" t="s">
        <v>1654</v>
      </c>
      <c r="D654" s="1927" t="b">
        <f t="shared" si="12"/>
        <v>1</v>
      </c>
    </row>
    <row r="655" spans="1:4">
      <c r="A655" s="1927" t="s">
        <v>1646</v>
      </c>
      <c r="B655" s="1928" t="str">
        <f>报表附注!E1122</f>
        <v>1.成本合计</v>
      </c>
      <c r="C655" s="1936">
        <f>报表附注!I1122</f>
        <v>0</v>
      </c>
      <c r="D655" s="1927" t="b">
        <f t="shared" si="12"/>
        <v>1</v>
      </c>
    </row>
    <row r="656" spans="1:4">
      <c r="A656" s="1927" t="s">
        <v>1647</v>
      </c>
      <c r="B656" s="1928" t="str">
        <f>报表附注!E1123</f>
        <v>（1）房屋、建筑物</v>
      </c>
      <c r="C656" s="1936">
        <f>报表附注!I1123</f>
        <v>0</v>
      </c>
      <c r="D656" s="1927" t="b">
        <f t="shared" si="12"/>
        <v>1</v>
      </c>
    </row>
    <row r="657" spans="1:4">
      <c r="A657" s="1927" t="s">
        <v>1648</v>
      </c>
      <c r="B657" s="1928" t="str">
        <f>报表附注!E1124</f>
        <v>（2）土地使用权</v>
      </c>
      <c r="C657" s="1936">
        <f>报表附注!I1124</f>
        <v>0</v>
      </c>
      <c r="D657" s="1927" t="b">
        <f t="shared" si="12"/>
        <v>1</v>
      </c>
    </row>
    <row r="658" spans="1:4">
      <c r="A658" s="1927" t="s">
        <v>1649</v>
      </c>
      <c r="B658" s="1928" t="str">
        <f>报表附注!E1125</f>
        <v>（3）其他</v>
      </c>
      <c r="C658" s="1936">
        <f>报表附注!I1125</f>
        <v>0</v>
      </c>
      <c r="D658" s="1927" t="b">
        <f t="shared" si="12"/>
        <v>1</v>
      </c>
    </row>
    <row r="659" spans="1:4">
      <c r="A659" s="1927" t="s">
        <v>1650</v>
      </c>
      <c r="B659" s="1928" t="str">
        <f>报表附注!E1126</f>
        <v>2.公允价值变动合计</v>
      </c>
      <c r="C659" s="1936">
        <f>报表附注!I1126</f>
        <v>0</v>
      </c>
      <c r="D659" s="1927" t="b">
        <f t="shared" si="12"/>
        <v>1</v>
      </c>
    </row>
    <row r="660" spans="1:4">
      <c r="A660" s="1927" t="s">
        <v>1647</v>
      </c>
      <c r="B660" s="1928" t="str">
        <f>报表附注!E1127</f>
        <v>（1）房屋、建筑物</v>
      </c>
      <c r="C660" s="1936">
        <f>报表附注!I1127</f>
        <v>0</v>
      </c>
      <c r="D660" s="1927" t="b">
        <f t="shared" si="12"/>
        <v>1</v>
      </c>
    </row>
    <row r="661" spans="1:4">
      <c r="A661" s="1927" t="s">
        <v>1648</v>
      </c>
      <c r="B661" s="1928" t="str">
        <f>报表附注!E1128</f>
        <v>（2）土地使用权</v>
      </c>
      <c r="C661" s="1936">
        <f>报表附注!I1128</f>
        <v>0</v>
      </c>
      <c r="D661" s="1927" t="b">
        <f t="shared" si="12"/>
        <v>1</v>
      </c>
    </row>
    <row r="662" spans="1:4">
      <c r="A662" s="1927" t="s">
        <v>1649</v>
      </c>
      <c r="B662" s="1928" t="str">
        <f>报表附注!E1129</f>
        <v>（3）其他</v>
      </c>
      <c r="C662" s="1936">
        <f>报表附注!I1129</f>
        <v>0</v>
      </c>
      <c r="D662" s="1927" t="b">
        <f t="shared" si="12"/>
        <v>1</v>
      </c>
    </row>
    <row r="663" spans="1:4">
      <c r="A663" s="1927" t="s">
        <v>1651</v>
      </c>
      <c r="B663" s="1928" t="str">
        <f>报表附注!E1130</f>
        <v>3.投资性房地产账面价值合计</v>
      </c>
      <c r="C663" s="1936">
        <f>报表附注!I1130</f>
        <v>0</v>
      </c>
      <c r="D663" s="1927" t="b">
        <f t="shared" si="12"/>
        <v>1</v>
      </c>
    </row>
    <row r="664" spans="1:4">
      <c r="A664" s="1927" t="s">
        <v>1647</v>
      </c>
      <c r="B664" s="1928" t="str">
        <f>报表附注!E1131</f>
        <v>（1）房屋、建筑物</v>
      </c>
      <c r="C664" s="1936">
        <f>报表附注!I1131</f>
        <v>0</v>
      </c>
      <c r="D664" s="1927" t="b">
        <f t="shared" si="12"/>
        <v>1</v>
      </c>
    </row>
    <row r="665" spans="1:4">
      <c r="A665" s="1927" t="s">
        <v>1648</v>
      </c>
      <c r="B665" s="1928" t="str">
        <f>报表附注!E1132</f>
        <v>（2）土地使用权</v>
      </c>
      <c r="C665" s="1936">
        <f>报表附注!I1132</f>
        <v>0</v>
      </c>
      <c r="D665" s="1927" t="b">
        <f t="shared" si="12"/>
        <v>1</v>
      </c>
    </row>
    <row r="666" spans="1:4">
      <c r="A666" s="1927" t="s">
        <v>1649</v>
      </c>
      <c r="B666" s="1928" t="str">
        <f>报表附注!E1133</f>
        <v>（3）其他</v>
      </c>
      <c r="C666" s="1936">
        <f>报表附注!I1133</f>
        <v>0</v>
      </c>
      <c r="D666" s="1927" t="b">
        <f t="shared" si="12"/>
        <v>1</v>
      </c>
    </row>
    <row r="667" spans="1:4">
      <c r="A667" s="1927" t="s">
        <v>1655</v>
      </c>
      <c r="B667" s="1948" t="s">
        <v>1655</v>
      </c>
      <c r="D667" s="1927" t="b">
        <f t="shared" si="12"/>
        <v>1</v>
      </c>
    </row>
    <row r="668" spans="1:4">
      <c r="A668" s="1927" t="s">
        <v>1646</v>
      </c>
      <c r="B668" s="1928" t="str">
        <f>报表附注!E1122</f>
        <v>1.成本合计</v>
      </c>
      <c r="C668" s="1936">
        <f>报表附注!J1122</f>
        <v>0</v>
      </c>
      <c r="D668" s="1927" t="b">
        <f t="shared" si="12"/>
        <v>1</v>
      </c>
    </row>
    <row r="669" spans="1:4">
      <c r="A669" s="1927" t="s">
        <v>1647</v>
      </c>
      <c r="B669" s="1928" t="str">
        <f>报表附注!E1123</f>
        <v>（1）房屋、建筑物</v>
      </c>
      <c r="C669" s="1936">
        <f>报表附注!J1123</f>
        <v>0</v>
      </c>
      <c r="D669" s="1927" t="b">
        <f t="shared" si="12"/>
        <v>1</v>
      </c>
    </row>
    <row r="670" spans="1:4">
      <c r="A670" s="1927" t="s">
        <v>1648</v>
      </c>
      <c r="B670" s="1928" t="str">
        <f>报表附注!E1124</f>
        <v>（2）土地使用权</v>
      </c>
      <c r="C670" s="1936">
        <f>报表附注!J1124</f>
        <v>0</v>
      </c>
      <c r="D670" s="1927" t="b">
        <f t="shared" si="12"/>
        <v>1</v>
      </c>
    </row>
    <row r="671" spans="1:4">
      <c r="A671" s="1927" t="s">
        <v>1649</v>
      </c>
      <c r="B671" s="1928" t="str">
        <f>报表附注!E1125</f>
        <v>（3）其他</v>
      </c>
      <c r="C671" s="1936">
        <f>报表附注!J1125</f>
        <v>0</v>
      </c>
      <c r="D671" s="1927" t="b">
        <f t="shared" si="12"/>
        <v>1</v>
      </c>
    </row>
    <row r="672" spans="1:4">
      <c r="A672" s="1927" t="s">
        <v>1650</v>
      </c>
      <c r="B672" s="1928" t="str">
        <f>报表附注!E1126</f>
        <v>2.公允价值变动合计</v>
      </c>
      <c r="C672" s="1936">
        <f>报表附注!J1126</f>
        <v>0</v>
      </c>
      <c r="D672" s="1927" t="b">
        <f t="shared" si="12"/>
        <v>1</v>
      </c>
    </row>
    <row r="673" spans="1:4">
      <c r="A673" s="1927" t="s">
        <v>1647</v>
      </c>
      <c r="B673" s="1928" t="str">
        <f>报表附注!E1127</f>
        <v>（1）房屋、建筑物</v>
      </c>
      <c r="C673" s="1936">
        <f>报表附注!J1127</f>
        <v>0</v>
      </c>
      <c r="D673" s="1927" t="b">
        <f t="shared" si="12"/>
        <v>1</v>
      </c>
    </row>
    <row r="674" spans="1:4">
      <c r="A674" s="1927" t="s">
        <v>1648</v>
      </c>
      <c r="B674" s="1928" t="str">
        <f>报表附注!E1128</f>
        <v>（2）土地使用权</v>
      </c>
      <c r="C674" s="1936">
        <f>报表附注!J1128</f>
        <v>0</v>
      </c>
      <c r="D674" s="1927" t="b">
        <f t="shared" si="12"/>
        <v>1</v>
      </c>
    </row>
    <row r="675" spans="1:4">
      <c r="A675" s="1927" t="s">
        <v>1649</v>
      </c>
      <c r="B675" s="1928" t="str">
        <f>报表附注!E1129</f>
        <v>（3）其他</v>
      </c>
      <c r="C675" s="1936">
        <f>报表附注!J1129</f>
        <v>0</v>
      </c>
      <c r="D675" s="1927" t="b">
        <f t="shared" si="12"/>
        <v>1</v>
      </c>
    </row>
    <row r="676" spans="1:4">
      <c r="A676" s="1927" t="s">
        <v>1651</v>
      </c>
      <c r="B676" s="1928" t="str">
        <f>报表附注!E1130</f>
        <v>3.投资性房地产账面价值合计</v>
      </c>
      <c r="C676" s="1936">
        <f>报表附注!J1130</f>
        <v>0</v>
      </c>
      <c r="D676" s="1927" t="b">
        <f t="shared" si="12"/>
        <v>1</v>
      </c>
    </row>
    <row r="677" spans="1:4">
      <c r="A677" s="1927" t="s">
        <v>1647</v>
      </c>
      <c r="B677" s="1928" t="str">
        <f>报表附注!E1131</f>
        <v>（1）房屋、建筑物</v>
      </c>
      <c r="C677" s="1936">
        <f>报表附注!J1131</f>
        <v>0</v>
      </c>
      <c r="D677" s="1927" t="b">
        <f t="shared" si="12"/>
        <v>1</v>
      </c>
    </row>
    <row r="678" spans="1:4">
      <c r="A678" s="1927" t="s">
        <v>1648</v>
      </c>
      <c r="B678" s="1928" t="str">
        <f>报表附注!E1132</f>
        <v>（2）土地使用权</v>
      </c>
      <c r="C678" s="1936">
        <f>报表附注!J1132</f>
        <v>0</v>
      </c>
      <c r="D678" s="1927" t="b">
        <f t="shared" si="12"/>
        <v>1</v>
      </c>
    </row>
    <row r="679" spans="1:4">
      <c r="A679" s="1927" t="s">
        <v>1649</v>
      </c>
      <c r="B679" s="1928" t="str">
        <f>报表附注!E1133</f>
        <v>（3）其他</v>
      </c>
      <c r="C679" s="1936">
        <f>报表附注!J1133</f>
        <v>0</v>
      </c>
      <c r="D679" s="1927" t="b">
        <f t="shared" si="12"/>
        <v>1</v>
      </c>
    </row>
    <row r="680" spans="1:4">
      <c r="A680" s="1927" t="s">
        <v>1656</v>
      </c>
      <c r="B680" s="1948" t="s">
        <v>1656</v>
      </c>
      <c r="D680" s="1927" t="b">
        <f t="shared" si="12"/>
        <v>1</v>
      </c>
    </row>
    <row r="681" spans="1:4">
      <c r="A681" s="1927" t="s">
        <v>1646</v>
      </c>
      <c r="B681" s="1928" t="str">
        <f>报表附注!E1122</f>
        <v>1.成本合计</v>
      </c>
      <c r="C681" s="1936">
        <f>报表附注!K1122</f>
        <v>0</v>
      </c>
      <c r="D681" s="1927" t="b">
        <f t="shared" si="12"/>
        <v>1</v>
      </c>
    </row>
    <row r="682" spans="1:4">
      <c r="A682" s="1927" t="s">
        <v>1647</v>
      </c>
      <c r="B682" s="1928" t="str">
        <f>报表附注!E1123</f>
        <v>（1）房屋、建筑物</v>
      </c>
      <c r="C682" s="1936">
        <f>报表附注!K1123</f>
        <v>0</v>
      </c>
      <c r="D682" s="1927" t="b">
        <f t="shared" si="12"/>
        <v>1</v>
      </c>
    </row>
    <row r="683" spans="1:4">
      <c r="A683" s="1927" t="s">
        <v>1648</v>
      </c>
      <c r="B683" s="1928" t="str">
        <f>报表附注!E1124</f>
        <v>（2）土地使用权</v>
      </c>
      <c r="C683" s="1936">
        <f>报表附注!K1124</f>
        <v>0</v>
      </c>
      <c r="D683" s="1927" t="b">
        <f t="shared" si="12"/>
        <v>1</v>
      </c>
    </row>
    <row r="684" spans="1:4">
      <c r="A684" s="1927" t="s">
        <v>1649</v>
      </c>
      <c r="B684" s="1928" t="str">
        <f>报表附注!E1125</f>
        <v>（3）其他</v>
      </c>
      <c r="C684" s="1936">
        <f>报表附注!K1125</f>
        <v>0</v>
      </c>
      <c r="D684" s="1927" t="b">
        <f t="shared" si="12"/>
        <v>1</v>
      </c>
    </row>
    <row r="685" spans="1:4">
      <c r="A685" s="1927" t="s">
        <v>1650</v>
      </c>
      <c r="B685" s="1928" t="str">
        <f>报表附注!E1126</f>
        <v>2.公允价值变动合计</v>
      </c>
      <c r="C685" s="1936">
        <f>报表附注!K1126</f>
        <v>0</v>
      </c>
      <c r="D685" s="1927" t="b">
        <f t="shared" si="12"/>
        <v>1</v>
      </c>
    </row>
    <row r="686" spans="1:4">
      <c r="A686" s="1927" t="s">
        <v>1647</v>
      </c>
      <c r="B686" s="1928" t="str">
        <f>报表附注!E1127</f>
        <v>（1）房屋、建筑物</v>
      </c>
      <c r="C686" s="1936">
        <f>报表附注!K1127</f>
        <v>0</v>
      </c>
      <c r="D686" s="1927" t="b">
        <f t="shared" si="12"/>
        <v>1</v>
      </c>
    </row>
    <row r="687" spans="1:4">
      <c r="A687" s="1927" t="s">
        <v>1648</v>
      </c>
      <c r="B687" s="1928" t="str">
        <f>报表附注!E1128</f>
        <v>（2）土地使用权</v>
      </c>
      <c r="C687" s="1936">
        <f>报表附注!K1128</f>
        <v>0</v>
      </c>
      <c r="D687" s="1927" t="b">
        <f t="shared" si="12"/>
        <v>1</v>
      </c>
    </row>
    <row r="688" spans="1:4">
      <c r="A688" s="1927" t="s">
        <v>1649</v>
      </c>
      <c r="B688" s="1928" t="str">
        <f>报表附注!E1129</f>
        <v>（3）其他</v>
      </c>
      <c r="C688" s="1936">
        <f>报表附注!K1129</f>
        <v>0</v>
      </c>
      <c r="D688" s="1927" t="b">
        <f t="shared" si="12"/>
        <v>1</v>
      </c>
    </row>
    <row r="689" spans="1:4">
      <c r="A689" s="1927" t="s">
        <v>1651</v>
      </c>
      <c r="B689" s="1928" t="str">
        <f>报表附注!E1130</f>
        <v>3.投资性房地产账面价值合计</v>
      </c>
      <c r="C689" s="1936">
        <f>报表附注!K1130</f>
        <v>0</v>
      </c>
      <c r="D689" s="1927" t="b">
        <f t="shared" si="12"/>
        <v>1</v>
      </c>
    </row>
    <row r="690" spans="1:4">
      <c r="A690" s="1927" t="s">
        <v>1647</v>
      </c>
      <c r="B690" s="1928" t="str">
        <f>报表附注!E1131</f>
        <v>（1）房屋、建筑物</v>
      </c>
      <c r="C690" s="1936">
        <f>报表附注!K1131</f>
        <v>0</v>
      </c>
      <c r="D690" s="1927" t="b">
        <f t="shared" si="12"/>
        <v>1</v>
      </c>
    </row>
    <row r="691" spans="1:4">
      <c r="A691" s="1927" t="s">
        <v>1648</v>
      </c>
      <c r="B691" s="1928" t="str">
        <f>报表附注!E1132</f>
        <v>（2）土地使用权</v>
      </c>
      <c r="C691" s="1936">
        <f>报表附注!K1132</f>
        <v>0</v>
      </c>
      <c r="D691" s="1927" t="b">
        <f t="shared" si="12"/>
        <v>1</v>
      </c>
    </row>
    <row r="692" spans="1:4">
      <c r="A692" s="1927" t="s">
        <v>1649</v>
      </c>
      <c r="B692" s="1928" t="str">
        <f>报表附注!E1133</f>
        <v>（3）其他</v>
      </c>
      <c r="C692" s="1936">
        <f>报表附注!K1133</f>
        <v>0</v>
      </c>
      <c r="D692" s="1927" t="b">
        <f t="shared" si="12"/>
        <v>1</v>
      </c>
    </row>
    <row r="693" spans="4:4">
      <c r="D693" s="1927" t="b">
        <f t="shared" si="12"/>
        <v>1</v>
      </c>
    </row>
    <row r="694" spans="1:4">
      <c r="A694" s="1927" t="s">
        <v>1657</v>
      </c>
      <c r="B694" s="1945" t="s">
        <v>1657</v>
      </c>
      <c r="D694" s="1927" t="b">
        <f t="shared" si="12"/>
        <v>1</v>
      </c>
    </row>
    <row r="695" spans="1:4">
      <c r="A695" s="1927" t="s">
        <v>670</v>
      </c>
      <c r="B695" s="1948" t="s">
        <v>670</v>
      </c>
      <c r="D695" s="1927" t="b">
        <f t="shared" si="12"/>
        <v>1</v>
      </c>
    </row>
    <row r="696" spans="1:4">
      <c r="A696" s="1927" t="s">
        <v>714</v>
      </c>
      <c r="B696" s="1928" t="str">
        <f>报表附注!E1144</f>
        <v>一、原价合计</v>
      </c>
      <c r="C696" s="1936">
        <f>报表附注!F1144</f>
        <v>0</v>
      </c>
      <c r="D696" s="1927" t="b">
        <f t="shared" si="12"/>
        <v>1</v>
      </c>
    </row>
    <row r="697" spans="1:4">
      <c r="A697" s="1927" t="s">
        <v>1658</v>
      </c>
      <c r="B697" s="1928" t="str">
        <f>报表附注!E1145</f>
        <v>    其中：房屋及建筑物</v>
      </c>
      <c r="C697" s="1936">
        <f>报表附注!F1145</f>
        <v>0</v>
      </c>
      <c r="D697" s="1927" t="b">
        <f t="shared" si="12"/>
        <v>0</v>
      </c>
    </row>
    <row r="698" spans="1:4">
      <c r="A698" s="1927" t="s">
        <v>1659</v>
      </c>
      <c r="B698" s="1928" t="str">
        <f>报表附注!E1146</f>
        <v>        机器设备</v>
      </c>
      <c r="C698" s="1936">
        <f>报表附注!F1146</f>
        <v>0</v>
      </c>
      <c r="D698" s="1927" t="b">
        <f t="shared" si="12"/>
        <v>0</v>
      </c>
    </row>
    <row r="699" spans="1:4">
      <c r="A699" s="1927" t="s">
        <v>1660</v>
      </c>
      <c r="B699" s="1928" t="str">
        <f>报表附注!E1147</f>
        <v>        运输工具</v>
      </c>
      <c r="C699" s="1936">
        <f>报表附注!F1147</f>
        <v>0</v>
      </c>
      <c r="D699" s="1927" t="b">
        <f t="shared" si="12"/>
        <v>0</v>
      </c>
    </row>
    <row r="700" spans="1:4">
      <c r="A700" s="1927" t="s">
        <v>1661</v>
      </c>
      <c r="B700" s="1928" t="str">
        <f>报表附注!E1148</f>
        <v>        电子设备及其他</v>
      </c>
      <c r="C700" s="1936">
        <f>报表附注!F1148</f>
        <v>0</v>
      </c>
      <c r="D700" s="1927" t="b">
        <f t="shared" si="12"/>
        <v>0</v>
      </c>
    </row>
    <row r="701" spans="1:4">
      <c r="A701" s="1927">
        <v>0</v>
      </c>
      <c r="B701" s="1928">
        <f>报表附注!E1149</f>
        <v>0</v>
      </c>
      <c r="C701" s="1936">
        <f>报表附注!F1149</f>
        <v>0</v>
      </c>
      <c r="D701" s="1927" t="b">
        <f t="shared" si="12"/>
        <v>1</v>
      </c>
    </row>
    <row r="702" spans="1:4">
      <c r="A702" s="1927" t="s">
        <v>759</v>
      </c>
      <c r="B702" s="1928" t="str">
        <f>报表附注!E1151</f>
        <v>二、累计折旧合计</v>
      </c>
      <c r="C702" s="1936">
        <f>报表附注!F1151</f>
        <v>0</v>
      </c>
      <c r="D702" s="1927" t="b">
        <f t="shared" si="12"/>
        <v>1</v>
      </c>
    </row>
    <row r="703" spans="1:4">
      <c r="A703" s="1927" t="s">
        <v>1658</v>
      </c>
      <c r="B703" s="1928" t="str">
        <f>报表附注!E1152</f>
        <v>    其中：房屋及建筑物</v>
      </c>
      <c r="C703" s="1936">
        <f>报表附注!F1152</f>
        <v>0</v>
      </c>
      <c r="D703" s="1927" t="b">
        <f t="shared" si="12"/>
        <v>0</v>
      </c>
    </row>
    <row r="704" spans="1:4">
      <c r="A704" s="1927" t="s">
        <v>1659</v>
      </c>
      <c r="B704" s="1928" t="str">
        <f>报表附注!E1153</f>
        <v>        机器设备</v>
      </c>
      <c r="C704" s="1936">
        <f>报表附注!F1153</f>
        <v>0</v>
      </c>
      <c r="D704" s="1927" t="b">
        <f t="shared" si="12"/>
        <v>0</v>
      </c>
    </row>
    <row r="705" spans="1:4">
      <c r="A705" s="1927" t="s">
        <v>1660</v>
      </c>
      <c r="B705" s="1928" t="str">
        <f>报表附注!E1154</f>
        <v>        运输工具</v>
      </c>
      <c r="C705" s="1936">
        <f>报表附注!F1154</f>
        <v>0</v>
      </c>
      <c r="D705" s="1927" t="b">
        <f t="shared" si="12"/>
        <v>0</v>
      </c>
    </row>
    <row r="706" spans="1:4">
      <c r="A706" s="1927" t="s">
        <v>1661</v>
      </c>
      <c r="B706" s="1928" t="str">
        <f>报表附注!E1155</f>
        <v>        电子设备及其他</v>
      </c>
      <c r="C706" s="1936">
        <f>报表附注!F1155</f>
        <v>0</v>
      </c>
      <c r="D706" s="1927" t="b">
        <f t="shared" si="12"/>
        <v>0</v>
      </c>
    </row>
    <row r="707" spans="1:4">
      <c r="A707" s="1927">
        <v>0</v>
      </c>
      <c r="B707" s="1949">
        <f>报表附注!E1156</f>
        <v>0</v>
      </c>
      <c r="C707" s="1936">
        <f>报表附注!F1156</f>
        <v>0</v>
      </c>
      <c r="D707" s="1927" t="b">
        <f t="shared" si="12"/>
        <v>1</v>
      </c>
    </row>
    <row r="708" spans="1:4">
      <c r="A708" s="1927" t="s">
        <v>1662</v>
      </c>
      <c r="B708" s="1928" t="str">
        <f>报表附注!E1157</f>
        <v>三、固定资产减值准备合计</v>
      </c>
      <c r="C708" s="1936">
        <f>报表附注!F1157</f>
        <v>0</v>
      </c>
      <c r="D708" s="1927" t="b">
        <f t="shared" si="12"/>
        <v>1</v>
      </c>
    </row>
    <row r="709" spans="1:4">
      <c r="A709" s="1927" t="s">
        <v>1658</v>
      </c>
      <c r="B709" s="1928" t="str">
        <f>报表附注!E1158</f>
        <v>    其中：房屋及建筑物</v>
      </c>
      <c r="C709" s="1936">
        <f>报表附注!F1158</f>
        <v>0</v>
      </c>
      <c r="D709" s="1927" t="b">
        <f t="shared" si="12"/>
        <v>0</v>
      </c>
    </row>
    <row r="710" spans="1:4">
      <c r="A710" s="1927" t="s">
        <v>1659</v>
      </c>
      <c r="B710" s="1928" t="str">
        <f>报表附注!E1159</f>
        <v>        机器设备</v>
      </c>
      <c r="C710" s="1936">
        <f>报表附注!F1159</f>
        <v>0</v>
      </c>
      <c r="D710" s="1927" t="b">
        <f t="shared" si="12"/>
        <v>0</v>
      </c>
    </row>
    <row r="711" spans="1:4">
      <c r="A711" s="1927" t="s">
        <v>1660</v>
      </c>
      <c r="B711" s="1928" t="str">
        <f>报表附注!E1160</f>
        <v>        运输工具</v>
      </c>
      <c r="C711" s="1936">
        <f>报表附注!F1160</f>
        <v>0</v>
      </c>
      <c r="D711" s="1927" t="b">
        <f t="shared" si="12"/>
        <v>0</v>
      </c>
    </row>
    <row r="712" spans="1:4">
      <c r="A712" s="1927" t="s">
        <v>1661</v>
      </c>
      <c r="B712" s="1928" t="str">
        <f>报表附注!E1161</f>
        <v>        电子设备及其他</v>
      </c>
      <c r="C712" s="1936">
        <f>报表附注!F1161</f>
        <v>0</v>
      </c>
      <c r="D712" s="1927" t="b">
        <f t="shared" si="12"/>
        <v>0</v>
      </c>
    </row>
    <row r="713" spans="1:4">
      <c r="A713" s="1927">
        <v>0</v>
      </c>
      <c r="B713" s="1949">
        <f>报表附注!E1162</f>
        <v>0</v>
      </c>
      <c r="C713" s="1936">
        <f>报表附注!F1162</f>
        <v>0</v>
      </c>
      <c r="D713" s="1927" t="b">
        <f t="shared" si="12"/>
        <v>1</v>
      </c>
    </row>
    <row r="714" spans="1:4">
      <c r="A714" s="1927" t="s">
        <v>671</v>
      </c>
      <c r="B714" s="1948" t="s">
        <v>671</v>
      </c>
      <c r="D714" s="1927" t="b">
        <f t="shared" si="12"/>
        <v>1</v>
      </c>
    </row>
    <row r="715" spans="1:4">
      <c r="A715" s="1927" t="s">
        <v>714</v>
      </c>
      <c r="B715" s="1928" t="str">
        <f>报表附注!E1144</f>
        <v>一、原价合计</v>
      </c>
      <c r="C715" s="1936">
        <f>报表附注!H1144</f>
        <v>0</v>
      </c>
      <c r="D715" s="1927" t="b">
        <f t="shared" si="12"/>
        <v>1</v>
      </c>
    </row>
    <row r="716" spans="1:4">
      <c r="A716" s="1927" t="s">
        <v>1658</v>
      </c>
      <c r="B716" s="1928" t="str">
        <f>报表附注!E1145</f>
        <v>    其中：房屋及建筑物</v>
      </c>
      <c r="C716" s="1936">
        <f>报表附注!H1145</f>
        <v>0</v>
      </c>
      <c r="D716" s="1927" t="b">
        <f t="shared" ref="D716:D779" si="13">EXACT(A716,B716)</f>
        <v>0</v>
      </c>
    </row>
    <row r="717" spans="1:4">
      <c r="A717" s="1927" t="s">
        <v>1659</v>
      </c>
      <c r="B717" s="1928" t="str">
        <f>报表附注!E1146</f>
        <v>        机器设备</v>
      </c>
      <c r="C717" s="1936">
        <f>报表附注!H1146</f>
        <v>0</v>
      </c>
      <c r="D717" s="1927" t="b">
        <f t="shared" si="13"/>
        <v>0</v>
      </c>
    </row>
    <row r="718" spans="1:4">
      <c r="A718" s="1927" t="s">
        <v>1660</v>
      </c>
      <c r="B718" s="1928" t="str">
        <f>报表附注!E1147</f>
        <v>        运输工具</v>
      </c>
      <c r="C718" s="1936">
        <f>报表附注!H1147</f>
        <v>0</v>
      </c>
      <c r="D718" s="1927" t="b">
        <f t="shared" si="13"/>
        <v>0</v>
      </c>
    </row>
    <row r="719" spans="1:4">
      <c r="A719" s="1927" t="s">
        <v>1661</v>
      </c>
      <c r="B719" s="1928" t="str">
        <f>报表附注!E1148</f>
        <v>        电子设备及其他</v>
      </c>
      <c r="C719" s="1936">
        <f>报表附注!H1148</f>
        <v>0</v>
      </c>
      <c r="D719" s="1927" t="b">
        <f t="shared" si="13"/>
        <v>0</v>
      </c>
    </row>
    <row r="720" spans="1:4">
      <c r="A720" s="1927">
        <v>0</v>
      </c>
      <c r="B720" s="1928">
        <f>报表附注!E1149</f>
        <v>0</v>
      </c>
      <c r="C720" s="1936">
        <f>报表附注!H1149</f>
        <v>0</v>
      </c>
      <c r="D720" s="1927" t="b">
        <f t="shared" si="13"/>
        <v>1</v>
      </c>
    </row>
    <row r="721" spans="1:4">
      <c r="A721" s="1927" t="s">
        <v>759</v>
      </c>
      <c r="B721" s="1928" t="str">
        <f>报表附注!E1151</f>
        <v>二、累计折旧合计</v>
      </c>
      <c r="C721" s="1936">
        <f>报表附注!H1151</f>
        <v>0</v>
      </c>
      <c r="D721" s="1927" t="b">
        <f t="shared" si="13"/>
        <v>1</v>
      </c>
    </row>
    <row r="722" spans="1:4">
      <c r="A722" s="1927" t="s">
        <v>1658</v>
      </c>
      <c r="B722" s="1928" t="str">
        <f>报表附注!E1152</f>
        <v>    其中：房屋及建筑物</v>
      </c>
      <c r="C722" s="1936">
        <f>报表附注!H1152</f>
        <v>0</v>
      </c>
      <c r="D722" s="1927" t="b">
        <f t="shared" si="13"/>
        <v>0</v>
      </c>
    </row>
    <row r="723" spans="1:4">
      <c r="A723" s="1927" t="s">
        <v>1659</v>
      </c>
      <c r="B723" s="1928" t="str">
        <f>报表附注!E1153</f>
        <v>        机器设备</v>
      </c>
      <c r="C723" s="1936">
        <f>报表附注!H1153</f>
        <v>0</v>
      </c>
      <c r="D723" s="1927" t="b">
        <f t="shared" si="13"/>
        <v>0</v>
      </c>
    </row>
    <row r="724" spans="1:4">
      <c r="A724" s="1927" t="s">
        <v>1660</v>
      </c>
      <c r="B724" s="1928" t="str">
        <f>报表附注!E1154</f>
        <v>        运输工具</v>
      </c>
      <c r="C724" s="1936">
        <f>报表附注!H1154</f>
        <v>0</v>
      </c>
      <c r="D724" s="1927" t="b">
        <f t="shared" si="13"/>
        <v>0</v>
      </c>
    </row>
    <row r="725" spans="1:4">
      <c r="A725" s="1927" t="s">
        <v>1661</v>
      </c>
      <c r="B725" s="1928" t="str">
        <f>报表附注!E1155</f>
        <v>        电子设备及其他</v>
      </c>
      <c r="C725" s="1936">
        <f>报表附注!H1155</f>
        <v>0</v>
      </c>
      <c r="D725" s="1927" t="b">
        <f t="shared" si="13"/>
        <v>0</v>
      </c>
    </row>
    <row r="726" spans="1:4">
      <c r="A726" s="1927">
        <v>0</v>
      </c>
      <c r="B726" s="1949">
        <f>报表附注!E1156</f>
        <v>0</v>
      </c>
      <c r="C726" s="1936">
        <f>报表附注!H1156</f>
        <v>0</v>
      </c>
      <c r="D726" s="1927" t="b">
        <f t="shared" si="13"/>
        <v>1</v>
      </c>
    </row>
    <row r="727" spans="1:4">
      <c r="A727" s="1927" t="s">
        <v>1662</v>
      </c>
      <c r="B727" s="1928" t="str">
        <f>报表附注!E1157</f>
        <v>三、固定资产减值准备合计</v>
      </c>
      <c r="C727" s="1936">
        <f>报表附注!H1157</f>
        <v>0</v>
      </c>
      <c r="D727" s="1927" t="b">
        <f t="shared" si="13"/>
        <v>1</v>
      </c>
    </row>
    <row r="728" spans="1:4">
      <c r="A728" s="1927" t="s">
        <v>1658</v>
      </c>
      <c r="B728" s="1928" t="str">
        <f>报表附注!E1158</f>
        <v>    其中：房屋及建筑物</v>
      </c>
      <c r="C728" s="1936">
        <f>报表附注!H1158</f>
        <v>0</v>
      </c>
      <c r="D728" s="1927" t="b">
        <f t="shared" si="13"/>
        <v>0</v>
      </c>
    </row>
    <row r="729" spans="1:4">
      <c r="A729" s="1927" t="s">
        <v>1659</v>
      </c>
      <c r="B729" s="1928" t="str">
        <f>报表附注!E1159</f>
        <v>        机器设备</v>
      </c>
      <c r="C729" s="1936">
        <f>报表附注!H1159</f>
        <v>0</v>
      </c>
      <c r="D729" s="1927" t="b">
        <f t="shared" si="13"/>
        <v>0</v>
      </c>
    </row>
    <row r="730" spans="1:4">
      <c r="A730" s="1927" t="s">
        <v>1660</v>
      </c>
      <c r="B730" s="1928" t="str">
        <f>报表附注!E1160</f>
        <v>        运输工具</v>
      </c>
      <c r="C730" s="1936">
        <f>报表附注!H1160</f>
        <v>0</v>
      </c>
      <c r="D730" s="1927" t="b">
        <f t="shared" si="13"/>
        <v>0</v>
      </c>
    </row>
    <row r="731" spans="1:4">
      <c r="A731" s="1927" t="s">
        <v>1661</v>
      </c>
      <c r="B731" s="1928" t="str">
        <f>报表附注!E1161</f>
        <v>        电子设备及其他</v>
      </c>
      <c r="C731" s="1936">
        <f>报表附注!H1161</f>
        <v>0</v>
      </c>
      <c r="D731" s="1927" t="b">
        <f t="shared" si="13"/>
        <v>0</v>
      </c>
    </row>
    <row r="732" spans="1:4">
      <c r="A732" s="1927">
        <v>0</v>
      </c>
      <c r="B732" s="1949">
        <f>报表附注!E1162</f>
        <v>0</v>
      </c>
      <c r="C732" s="1936">
        <f>报表附注!H1162</f>
        <v>0</v>
      </c>
      <c r="D732" s="1927" t="b">
        <f t="shared" si="13"/>
        <v>1</v>
      </c>
    </row>
    <row r="733" spans="1:4">
      <c r="A733" s="1927" t="s">
        <v>1663</v>
      </c>
      <c r="B733" s="1963" t="s">
        <v>1663</v>
      </c>
      <c r="C733" s="1964"/>
      <c r="D733" s="1927" t="b">
        <f t="shared" si="13"/>
        <v>1</v>
      </c>
    </row>
    <row r="734" spans="1:4">
      <c r="A734" s="1927" t="s">
        <v>759</v>
      </c>
      <c r="B734" s="1965" t="str">
        <f t="shared" ref="B734:B739" si="14">B721</f>
        <v>二、累计折旧合计</v>
      </c>
      <c r="C734" s="1936">
        <f>报表附注!G1151</f>
        <v>0</v>
      </c>
      <c r="D734" s="1927" t="b">
        <f t="shared" si="13"/>
        <v>1</v>
      </c>
    </row>
    <row r="735" spans="1:4">
      <c r="A735" s="1927" t="s">
        <v>1658</v>
      </c>
      <c r="B735" s="1965" t="str">
        <f t="shared" si="14"/>
        <v>    其中：房屋及建筑物</v>
      </c>
      <c r="C735" s="1936">
        <f>报表附注!G1152</f>
        <v>0</v>
      </c>
      <c r="D735" s="1927" t="b">
        <f t="shared" si="13"/>
        <v>0</v>
      </c>
    </row>
    <row r="736" spans="1:4">
      <c r="A736" s="1927" t="s">
        <v>1659</v>
      </c>
      <c r="B736" s="1965" t="str">
        <f t="shared" si="14"/>
        <v>        机器设备</v>
      </c>
      <c r="C736" s="1936">
        <f>报表附注!G1153</f>
        <v>0</v>
      </c>
      <c r="D736" s="1927" t="b">
        <f t="shared" si="13"/>
        <v>0</v>
      </c>
    </row>
    <row r="737" spans="1:4">
      <c r="A737" s="1927" t="s">
        <v>1660</v>
      </c>
      <c r="B737" s="1965" t="str">
        <f t="shared" si="14"/>
        <v>        运输工具</v>
      </c>
      <c r="C737" s="1936">
        <f>报表附注!G1154</f>
        <v>0</v>
      </c>
      <c r="D737" s="1927" t="b">
        <f t="shared" si="13"/>
        <v>0</v>
      </c>
    </row>
    <row r="738" spans="1:4">
      <c r="A738" s="1927" t="s">
        <v>1661</v>
      </c>
      <c r="B738" s="1965" t="str">
        <f t="shared" si="14"/>
        <v>        电子设备及其他</v>
      </c>
      <c r="C738" s="1936">
        <f>报表附注!G1155</f>
        <v>0</v>
      </c>
      <c r="D738" s="1927" t="b">
        <f t="shared" si="13"/>
        <v>0</v>
      </c>
    </row>
    <row r="739" spans="1:4">
      <c r="A739" s="1927">
        <v>0</v>
      </c>
      <c r="B739" s="1965">
        <f t="shared" si="14"/>
        <v>0</v>
      </c>
      <c r="C739" s="1936">
        <f>报表附注!G1156</f>
        <v>0</v>
      </c>
      <c r="D739" s="1927" t="b">
        <f t="shared" si="13"/>
        <v>1</v>
      </c>
    </row>
    <row r="740" spans="1:4">
      <c r="A740" s="1927" t="s">
        <v>672</v>
      </c>
      <c r="B740" s="1948" t="s">
        <v>672</v>
      </c>
      <c r="D740" s="1927" t="b">
        <f t="shared" si="13"/>
        <v>1</v>
      </c>
    </row>
    <row r="741" spans="1:4">
      <c r="A741" s="1927" t="s">
        <v>714</v>
      </c>
      <c r="B741" s="1928" t="str">
        <f>报表附注!E1144</f>
        <v>一、原价合计</v>
      </c>
      <c r="C741" s="1936">
        <f>报表附注!I1144</f>
        <v>0</v>
      </c>
      <c r="D741" s="1927" t="b">
        <f t="shared" si="13"/>
        <v>1</v>
      </c>
    </row>
    <row r="742" spans="1:4">
      <c r="A742" s="1927" t="s">
        <v>1658</v>
      </c>
      <c r="B742" s="1928" t="str">
        <f>报表附注!E1145</f>
        <v>    其中：房屋及建筑物</v>
      </c>
      <c r="C742" s="1936">
        <f>报表附注!I1145</f>
        <v>0</v>
      </c>
      <c r="D742" s="1927" t="b">
        <f t="shared" si="13"/>
        <v>0</v>
      </c>
    </row>
    <row r="743" spans="1:4">
      <c r="A743" s="1927" t="s">
        <v>1659</v>
      </c>
      <c r="B743" s="1928" t="str">
        <f>报表附注!E1146</f>
        <v>        机器设备</v>
      </c>
      <c r="C743" s="1936">
        <f>报表附注!I1146</f>
        <v>0</v>
      </c>
      <c r="D743" s="1927" t="b">
        <f t="shared" si="13"/>
        <v>0</v>
      </c>
    </row>
    <row r="744" spans="1:4">
      <c r="A744" s="1927" t="s">
        <v>1660</v>
      </c>
      <c r="B744" s="1928" t="str">
        <f>报表附注!E1147</f>
        <v>        运输工具</v>
      </c>
      <c r="C744" s="1936">
        <f>报表附注!I1147</f>
        <v>0</v>
      </c>
      <c r="D744" s="1927" t="b">
        <f t="shared" si="13"/>
        <v>0</v>
      </c>
    </row>
    <row r="745" spans="1:4">
      <c r="A745" s="1927" t="s">
        <v>1661</v>
      </c>
      <c r="B745" s="1928" t="str">
        <f>报表附注!E1148</f>
        <v>        电子设备及其他</v>
      </c>
      <c r="C745" s="1936">
        <f>报表附注!I1148</f>
        <v>0</v>
      </c>
      <c r="D745" s="1927" t="b">
        <f t="shared" si="13"/>
        <v>0</v>
      </c>
    </row>
    <row r="746" spans="1:4">
      <c r="A746" s="1927">
        <v>0</v>
      </c>
      <c r="B746" s="1928">
        <f>报表附注!E1149</f>
        <v>0</v>
      </c>
      <c r="C746" s="1936">
        <f>报表附注!I1149</f>
        <v>0</v>
      </c>
      <c r="D746" s="1927" t="b">
        <f t="shared" si="13"/>
        <v>1</v>
      </c>
    </row>
    <row r="747" spans="1:4">
      <c r="A747" s="1927" t="s">
        <v>759</v>
      </c>
      <c r="B747" s="1928" t="str">
        <f>报表附注!E1151</f>
        <v>二、累计折旧合计</v>
      </c>
      <c r="C747" s="1936">
        <f>报表附注!I1151</f>
        <v>0</v>
      </c>
      <c r="D747" s="1927" t="b">
        <f t="shared" si="13"/>
        <v>1</v>
      </c>
    </row>
    <row r="748" spans="1:4">
      <c r="A748" s="1927" t="s">
        <v>1658</v>
      </c>
      <c r="B748" s="1928" t="str">
        <f>报表附注!E1152</f>
        <v>    其中：房屋及建筑物</v>
      </c>
      <c r="C748" s="1936">
        <f>报表附注!I1152</f>
        <v>0</v>
      </c>
      <c r="D748" s="1927" t="b">
        <f t="shared" si="13"/>
        <v>0</v>
      </c>
    </row>
    <row r="749" spans="1:4">
      <c r="A749" s="1927" t="s">
        <v>1659</v>
      </c>
      <c r="B749" s="1928" t="str">
        <f>报表附注!E1153</f>
        <v>        机器设备</v>
      </c>
      <c r="C749" s="1936">
        <f>报表附注!I1153</f>
        <v>0</v>
      </c>
      <c r="D749" s="1927" t="b">
        <f t="shared" si="13"/>
        <v>0</v>
      </c>
    </row>
    <row r="750" spans="1:4">
      <c r="A750" s="1927" t="s">
        <v>1660</v>
      </c>
      <c r="B750" s="1928" t="str">
        <f>报表附注!E1154</f>
        <v>        运输工具</v>
      </c>
      <c r="C750" s="1936">
        <f>报表附注!I1154</f>
        <v>0</v>
      </c>
      <c r="D750" s="1927" t="b">
        <f t="shared" si="13"/>
        <v>0</v>
      </c>
    </row>
    <row r="751" spans="1:4">
      <c r="A751" s="1927" t="s">
        <v>1661</v>
      </c>
      <c r="B751" s="1928" t="str">
        <f>报表附注!E1155</f>
        <v>        电子设备及其他</v>
      </c>
      <c r="C751" s="1936">
        <f>报表附注!I1155</f>
        <v>0</v>
      </c>
      <c r="D751" s="1927" t="b">
        <f t="shared" si="13"/>
        <v>0</v>
      </c>
    </row>
    <row r="752" spans="1:4">
      <c r="A752" s="1927">
        <v>0</v>
      </c>
      <c r="B752" s="1949">
        <f>报表附注!E1156</f>
        <v>0</v>
      </c>
      <c r="C752" s="1936">
        <f>报表附注!I1156</f>
        <v>0</v>
      </c>
      <c r="D752" s="1927" t="b">
        <f t="shared" si="13"/>
        <v>1</v>
      </c>
    </row>
    <row r="753" spans="1:4">
      <c r="A753" s="1927" t="s">
        <v>1662</v>
      </c>
      <c r="B753" s="1928" t="str">
        <f>报表附注!E1157</f>
        <v>三、固定资产减值准备合计</v>
      </c>
      <c r="C753" s="1936">
        <f>报表附注!I1157</f>
        <v>0</v>
      </c>
      <c r="D753" s="1927" t="b">
        <f t="shared" si="13"/>
        <v>1</v>
      </c>
    </row>
    <row r="754" spans="1:4">
      <c r="A754" s="1927" t="s">
        <v>1658</v>
      </c>
      <c r="B754" s="1928" t="str">
        <f>报表附注!E1158</f>
        <v>    其中：房屋及建筑物</v>
      </c>
      <c r="C754" s="1936">
        <f>报表附注!I1158</f>
        <v>0</v>
      </c>
      <c r="D754" s="1927" t="b">
        <f t="shared" si="13"/>
        <v>0</v>
      </c>
    </row>
    <row r="755" spans="1:4">
      <c r="A755" s="1927" t="s">
        <v>1659</v>
      </c>
      <c r="B755" s="1928" t="str">
        <f>报表附注!E1159</f>
        <v>        机器设备</v>
      </c>
      <c r="C755" s="1936">
        <f>报表附注!I1159</f>
        <v>0</v>
      </c>
      <c r="D755" s="1927" t="b">
        <f t="shared" si="13"/>
        <v>0</v>
      </c>
    </row>
    <row r="756" spans="1:4">
      <c r="A756" s="1927" t="s">
        <v>1660</v>
      </c>
      <c r="B756" s="1928" t="str">
        <f>报表附注!E1160</f>
        <v>        运输工具</v>
      </c>
      <c r="C756" s="1936">
        <f>报表附注!I1160</f>
        <v>0</v>
      </c>
      <c r="D756" s="1927" t="b">
        <f t="shared" si="13"/>
        <v>0</v>
      </c>
    </row>
    <row r="757" spans="1:4">
      <c r="A757" s="1927" t="s">
        <v>1661</v>
      </c>
      <c r="B757" s="1928" t="str">
        <f>报表附注!E1161</f>
        <v>        电子设备及其他</v>
      </c>
      <c r="C757" s="1936">
        <f>报表附注!I1161</f>
        <v>0</v>
      </c>
      <c r="D757" s="1927" t="b">
        <f t="shared" si="13"/>
        <v>0</v>
      </c>
    </row>
    <row r="758" spans="1:4">
      <c r="A758" s="1927">
        <v>0</v>
      </c>
      <c r="B758" s="1949">
        <f>报表附注!E1162</f>
        <v>0</v>
      </c>
      <c r="C758" s="1936">
        <f>报表附注!I1162</f>
        <v>0</v>
      </c>
      <c r="D758" s="1927" t="b">
        <f t="shared" si="13"/>
        <v>1</v>
      </c>
    </row>
    <row r="759" spans="1:4">
      <c r="A759" s="1927" t="s">
        <v>1664</v>
      </c>
      <c r="B759" s="1948" t="s">
        <v>1664</v>
      </c>
      <c r="C759" s="1964"/>
      <c r="D759" s="1927" t="b">
        <f t="shared" si="13"/>
        <v>1</v>
      </c>
    </row>
    <row r="760" spans="1:4">
      <c r="A760" s="1927" t="s">
        <v>714</v>
      </c>
      <c r="B760" s="1965" t="str">
        <f>报表附注!E1144</f>
        <v>一、原价合计</v>
      </c>
      <c r="C760" s="1936">
        <f>报表附注!J1144</f>
        <v>0</v>
      </c>
      <c r="D760" s="1927" t="b">
        <f t="shared" si="13"/>
        <v>1</v>
      </c>
    </row>
    <row r="761" spans="1:4">
      <c r="A761" s="1927" t="s">
        <v>1658</v>
      </c>
      <c r="B761" s="1965" t="str">
        <f>报表附注!E1145</f>
        <v>    其中：房屋及建筑物</v>
      </c>
      <c r="C761" s="1936">
        <f>报表附注!J1145</f>
        <v>0</v>
      </c>
      <c r="D761" s="1927" t="b">
        <f t="shared" si="13"/>
        <v>0</v>
      </c>
    </row>
    <row r="762" spans="1:4">
      <c r="A762" s="1927" t="s">
        <v>1659</v>
      </c>
      <c r="B762" s="1965" t="str">
        <f>报表附注!E1146</f>
        <v>        机器设备</v>
      </c>
      <c r="C762" s="1936">
        <f>报表附注!J1146</f>
        <v>0</v>
      </c>
      <c r="D762" s="1927" t="b">
        <f t="shared" si="13"/>
        <v>0</v>
      </c>
    </row>
    <row r="763" spans="1:4">
      <c r="A763" s="1927" t="s">
        <v>1660</v>
      </c>
      <c r="B763" s="1965" t="str">
        <f>报表附注!E1147</f>
        <v>        运输工具</v>
      </c>
      <c r="C763" s="1936">
        <f>报表附注!J1147</f>
        <v>0</v>
      </c>
      <c r="D763" s="1927" t="b">
        <f t="shared" si="13"/>
        <v>0</v>
      </c>
    </row>
    <row r="764" spans="1:4">
      <c r="A764" s="1927" t="s">
        <v>1661</v>
      </c>
      <c r="B764" s="1965" t="str">
        <f>报表附注!E1148</f>
        <v>        电子设备及其他</v>
      </c>
      <c r="C764" s="1936">
        <f>报表附注!J1148</f>
        <v>0</v>
      </c>
      <c r="D764" s="1927" t="b">
        <f t="shared" si="13"/>
        <v>0</v>
      </c>
    </row>
    <row r="765" spans="1:4">
      <c r="A765" s="1927">
        <v>0</v>
      </c>
      <c r="B765" s="1965">
        <f>报表附注!E1149</f>
        <v>0</v>
      </c>
      <c r="C765" s="1936">
        <f>报表附注!J1149</f>
        <v>0</v>
      </c>
      <c r="D765" s="1927" t="b">
        <f t="shared" si="13"/>
        <v>1</v>
      </c>
    </row>
    <row r="766" spans="1:4">
      <c r="A766" s="1927">
        <v>0</v>
      </c>
      <c r="B766" s="1966">
        <f>报表附注!E1150</f>
        <v>0</v>
      </c>
      <c r="C766" s="1936">
        <f>报表附注!J1150</f>
        <v>0</v>
      </c>
      <c r="D766" s="1927" t="b">
        <f t="shared" si="13"/>
        <v>1</v>
      </c>
    </row>
    <row r="767" spans="1:4">
      <c r="A767" s="1927" t="s">
        <v>759</v>
      </c>
      <c r="B767" s="1965" t="str">
        <f>报表附注!E1151</f>
        <v>二、累计折旧合计</v>
      </c>
      <c r="C767" s="1936">
        <f>报表附注!J1151</f>
        <v>0</v>
      </c>
      <c r="D767" s="1927" t="b">
        <f t="shared" si="13"/>
        <v>1</v>
      </c>
    </row>
    <row r="768" spans="1:4">
      <c r="A768" s="1927" t="s">
        <v>1658</v>
      </c>
      <c r="B768" s="1965" t="str">
        <f>报表附注!E1152</f>
        <v>    其中：房屋及建筑物</v>
      </c>
      <c r="C768" s="1936">
        <f>报表附注!J1152</f>
        <v>0</v>
      </c>
      <c r="D768" s="1927" t="b">
        <f t="shared" si="13"/>
        <v>0</v>
      </c>
    </row>
    <row r="769" spans="1:4">
      <c r="A769" s="1927" t="s">
        <v>1659</v>
      </c>
      <c r="B769" s="1965" t="str">
        <f>报表附注!E1153</f>
        <v>        机器设备</v>
      </c>
      <c r="C769" s="1936">
        <f>报表附注!J1153</f>
        <v>0</v>
      </c>
      <c r="D769" s="1927" t="b">
        <f t="shared" si="13"/>
        <v>0</v>
      </c>
    </row>
    <row r="770" spans="1:4">
      <c r="A770" s="1927" t="s">
        <v>1660</v>
      </c>
      <c r="B770" s="1965" t="str">
        <f>报表附注!E1154</f>
        <v>        运输工具</v>
      </c>
      <c r="C770" s="1936">
        <f>报表附注!J1154</f>
        <v>0</v>
      </c>
      <c r="D770" s="1927" t="b">
        <f t="shared" si="13"/>
        <v>0</v>
      </c>
    </row>
    <row r="771" spans="1:4">
      <c r="A771" s="1927" t="s">
        <v>1661</v>
      </c>
      <c r="B771" s="1965" t="str">
        <f>报表附注!E1155</f>
        <v>        电子设备及其他</v>
      </c>
      <c r="C771" s="1936">
        <f>报表附注!J1155</f>
        <v>0</v>
      </c>
      <c r="D771" s="1927" t="b">
        <f t="shared" si="13"/>
        <v>0</v>
      </c>
    </row>
    <row r="772" spans="1:4">
      <c r="A772" s="1927">
        <v>0</v>
      </c>
      <c r="B772" s="1966">
        <f>报表附注!E1156</f>
        <v>0</v>
      </c>
      <c r="C772" s="1936">
        <f>报表附注!J1156</f>
        <v>0</v>
      </c>
      <c r="D772" s="1927" t="b">
        <f t="shared" si="13"/>
        <v>1</v>
      </c>
    </row>
    <row r="773" spans="1:4">
      <c r="A773" s="1927" t="s">
        <v>1662</v>
      </c>
      <c r="B773" s="1965" t="str">
        <f>报表附注!E1157</f>
        <v>三、固定资产减值准备合计</v>
      </c>
      <c r="C773" s="1936">
        <f>报表附注!J1157</f>
        <v>0</v>
      </c>
      <c r="D773" s="1927" t="b">
        <f t="shared" si="13"/>
        <v>1</v>
      </c>
    </row>
    <row r="774" spans="1:4">
      <c r="A774" s="1927" t="s">
        <v>1658</v>
      </c>
      <c r="B774" s="1965" t="str">
        <f>报表附注!E1158</f>
        <v>    其中：房屋及建筑物</v>
      </c>
      <c r="C774" s="1936">
        <f>报表附注!J1158</f>
        <v>0</v>
      </c>
      <c r="D774" s="1927" t="b">
        <f t="shared" si="13"/>
        <v>0</v>
      </c>
    </row>
    <row r="775" spans="1:4">
      <c r="A775" s="1927" t="s">
        <v>1659</v>
      </c>
      <c r="B775" s="1965" t="str">
        <f>报表附注!E1159</f>
        <v>        机器设备</v>
      </c>
      <c r="C775" s="1936">
        <f>报表附注!J1159</f>
        <v>0</v>
      </c>
      <c r="D775" s="1927" t="b">
        <f t="shared" si="13"/>
        <v>0</v>
      </c>
    </row>
    <row r="776" spans="1:4">
      <c r="A776" s="1927" t="s">
        <v>1660</v>
      </c>
      <c r="B776" s="1965" t="str">
        <f>报表附注!E1160</f>
        <v>        运输工具</v>
      </c>
      <c r="C776" s="1936">
        <f>报表附注!J1160</f>
        <v>0</v>
      </c>
      <c r="D776" s="1927" t="b">
        <f t="shared" si="13"/>
        <v>0</v>
      </c>
    </row>
    <row r="777" spans="1:4">
      <c r="A777" s="1927" t="s">
        <v>1661</v>
      </c>
      <c r="B777" s="1965" t="str">
        <f>报表附注!E1161</f>
        <v>        电子设备及其他</v>
      </c>
      <c r="C777" s="1936">
        <f>报表附注!J1161</f>
        <v>0</v>
      </c>
      <c r="D777" s="1927" t="b">
        <f t="shared" si="13"/>
        <v>0</v>
      </c>
    </row>
    <row r="778" spans="1:4">
      <c r="A778" s="1927">
        <v>0</v>
      </c>
      <c r="B778" s="1966">
        <f>报表附注!E1162</f>
        <v>0</v>
      </c>
      <c r="C778" s="1936">
        <f>报表附注!J1162</f>
        <v>0</v>
      </c>
      <c r="D778" s="1927" t="b">
        <f t="shared" si="13"/>
        <v>1</v>
      </c>
    </row>
    <row r="779" spans="1:4">
      <c r="A779" s="1927" t="s">
        <v>771</v>
      </c>
      <c r="B779" s="1965" t="str">
        <f>报表附注!E1163</f>
        <v>四、固定资产账面价值合计</v>
      </c>
      <c r="C779" s="1936">
        <f>报表附注!J1163</f>
        <v>0</v>
      </c>
      <c r="D779" s="1927" t="b">
        <f t="shared" si="13"/>
        <v>1</v>
      </c>
    </row>
    <row r="780" spans="1:4">
      <c r="A780" s="1927" t="s">
        <v>1658</v>
      </c>
      <c r="B780" s="1965" t="str">
        <f>报表附注!E1164</f>
        <v>    其中：房屋及建筑物</v>
      </c>
      <c r="C780" s="1936">
        <f>报表附注!J1164</f>
        <v>0</v>
      </c>
      <c r="D780" s="1927" t="b">
        <f t="shared" ref="D780:D843" si="15">EXACT(A780,B780)</f>
        <v>0</v>
      </c>
    </row>
    <row r="781" spans="1:4">
      <c r="A781" s="1927" t="s">
        <v>1659</v>
      </c>
      <c r="B781" s="1965" t="str">
        <f>报表附注!E1165</f>
        <v>        机器设备</v>
      </c>
      <c r="C781" s="1936">
        <f>报表附注!J1165</f>
        <v>0</v>
      </c>
      <c r="D781" s="1927" t="b">
        <f t="shared" si="15"/>
        <v>0</v>
      </c>
    </row>
    <row r="782" spans="1:4">
      <c r="A782" s="1927" t="s">
        <v>1660</v>
      </c>
      <c r="B782" s="1965" t="str">
        <f>报表附注!E1166</f>
        <v>        运输工具</v>
      </c>
      <c r="C782" s="1936">
        <f>报表附注!J1166</f>
        <v>0</v>
      </c>
      <c r="D782" s="1927" t="b">
        <f t="shared" si="15"/>
        <v>0</v>
      </c>
    </row>
    <row r="783" spans="1:4">
      <c r="A783" s="1927" t="s">
        <v>1661</v>
      </c>
      <c r="B783" s="1965" t="str">
        <f>报表附注!E1167</f>
        <v>        电子设备及其他</v>
      </c>
      <c r="C783" s="1936">
        <f>报表附注!J1167</f>
        <v>0</v>
      </c>
      <c r="D783" s="1927" t="b">
        <f t="shared" si="15"/>
        <v>0</v>
      </c>
    </row>
    <row r="784" spans="1:4">
      <c r="A784" s="1927">
        <v>0</v>
      </c>
      <c r="B784" s="1966">
        <f>报表附注!E1168</f>
        <v>0</v>
      </c>
      <c r="C784" s="1936">
        <f>报表附注!J1168</f>
        <v>0</v>
      </c>
      <c r="D784" s="1927" t="b">
        <f t="shared" si="15"/>
        <v>1</v>
      </c>
    </row>
    <row r="785" spans="4:4">
      <c r="D785" s="1927" t="b">
        <f t="shared" si="15"/>
        <v>1</v>
      </c>
    </row>
    <row r="786" spans="1:4">
      <c r="A786" s="1927" t="s">
        <v>1665</v>
      </c>
      <c r="B786" s="1967" t="s">
        <v>1665</v>
      </c>
      <c r="D786" s="1927" t="b">
        <f t="shared" si="15"/>
        <v>1</v>
      </c>
    </row>
    <row r="787" spans="1:4">
      <c r="A787" s="1927" t="s">
        <v>1666</v>
      </c>
      <c r="B787" s="1948" t="s">
        <v>1666</v>
      </c>
      <c r="D787" s="1927" t="b">
        <f t="shared" si="15"/>
        <v>1</v>
      </c>
    </row>
    <row r="788" spans="1:4">
      <c r="A788" s="1927" t="s">
        <v>1658</v>
      </c>
      <c r="B788" s="1928" t="str">
        <f>报表附注!E1175</f>
        <v>    其中：房屋及建筑物</v>
      </c>
      <c r="C788" s="1936">
        <f>报表附注!F1175</f>
        <v>0</v>
      </c>
      <c r="D788" s="1927" t="b">
        <f t="shared" si="15"/>
        <v>0</v>
      </c>
    </row>
    <row r="789" spans="1:4">
      <c r="A789" s="1927" t="s">
        <v>1659</v>
      </c>
      <c r="B789" s="1928" t="str">
        <f>报表附注!E1176</f>
        <v>        机器设备</v>
      </c>
      <c r="C789" s="1936">
        <f>报表附注!F1176</f>
        <v>0</v>
      </c>
      <c r="D789" s="1927" t="b">
        <f t="shared" si="15"/>
        <v>0</v>
      </c>
    </row>
    <row r="790" spans="1:4">
      <c r="A790" s="1927" t="s">
        <v>1660</v>
      </c>
      <c r="B790" s="1928" t="str">
        <f>报表附注!E1177</f>
        <v>        运输工具</v>
      </c>
      <c r="C790" s="1936">
        <f>报表附注!F1177</f>
        <v>0</v>
      </c>
      <c r="D790" s="1927" t="b">
        <f t="shared" si="15"/>
        <v>0</v>
      </c>
    </row>
    <row r="791" spans="1:4">
      <c r="A791" s="1927" t="s">
        <v>1661</v>
      </c>
      <c r="B791" s="1928" t="str">
        <f>报表附注!E1178</f>
        <v>        电子设备及其他</v>
      </c>
      <c r="C791" s="1936">
        <f>报表附注!F1178</f>
        <v>0</v>
      </c>
      <c r="D791" s="1927" t="b">
        <f t="shared" si="15"/>
        <v>0</v>
      </c>
    </row>
    <row r="792" spans="1:4">
      <c r="A792" s="1927">
        <v>0</v>
      </c>
      <c r="B792" s="1928">
        <f>报表附注!E1179</f>
        <v>0</v>
      </c>
      <c r="C792" s="1936">
        <f>报表附注!F1179</f>
        <v>0</v>
      </c>
      <c r="D792" s="1927" t="b">
        <f t="shared" si="15"/>
        <v>1</v>
      </c>
    </row>
    <row r="793" spans="1:4">
      <c r="A793" s="1927" t="s">
        <v>1580</v>
      </c>
      <c r="B793" s="1939" t="str">
        <f>报表附注!E1180</f>
        <v>合计</v>
      </c>
      <c r="C793" s="1936">
        <f>报表附注!F1180</f>
        <v>0</v>
      </c>
      <c r="D793" s="1927" t="b">
        <f t="shared" si="15"/>
        <v>1</v>
      </c>
    </row>
    <row r="794" spans="1:4">
      <c r="A794" s="1927" t="s">
        <v>859</v>
      </c>
      <c r="B794" s="1948" t="s">
        <v>859</v>
      </c>
      <c r="D794" s="1927" t="b">
        <f t="shared" si="15"/>
        <v>1</v>
      </c>
    </row>
    <row r="795" spans="1:4">
      <c r="A795" s="1927" t="s">
        <v>1658</v>
      </c>
      <c r="B795" s="1928" t="str">
        <f>报表附注!E1175</f>
        <v>    其中：房屋及建筑物</v>
      </c>
      <c r="C795" s="1936">
        <f>报表附注!G1175</f>
        <v>0</v>
      </c>
      <c r="D795" s="1927" t="b">
        <f t="shared" si="15"/>
        <v>0</v>
      </c>
    </row>
    <row r="796" spans="1:4">
      <c r="A796" s="1927" t="s">
        <v>1659</v>
      </c>
      <c r="B796" s="1928" t="str">
        <f>报表附注!E1176</f>
        <v>        机器设备</v>
      </c>
      <c r="C796" s="1936">
        <f>报表附注!G1176</f>
        <v>0</v>
      </c>
      <c r="D796" s="1927" t="b">
        <f t="shared" si="15"/>
        <v>0</v>
      </c>
    </row>
    <row r="797" spans="1:4">
      <c r="A797" s="1927" t="s">
        <v>1660</v>
      </c>
      <c r="B797" s="1928" t="str">
        <f>报表附注!E1177</f>
        <v>        运输工具</v>
      </c>
      <c r="C797" s="1936">
        <f>报表附注!G1177</f>
        <v>0</v>
      </c>
      <c r="D797" s="1927" t="b">
        <f t="shared" si="15"/>
        <v>0</v>
      </c>
    </row>
    <row r="798" spans="1:4">
      <c r="A798" s="1927" t="s">
        <v>1661</v>
      </c>
      <c r="B798" s="1928" t="str">
        <f>报表附注!E1178</f>
        <v>        电子设备及其他</v>
      </c>
      <c r="C798" s="1936">
        <f>报表附注!G1178</f>
        <v>0</v>
      </c>
      <c r="D798" s="1927" t="b">
        <f t="shared" si="15"/>
        <v>0</v>
      </c>
    </row>
    <row r="799" spans="1:4">
      <c r="A799" s="1927">
        <v>0</v>
      </c>
      <c r="B799" s="1928">
        <f>报表附注!E1179</f>
        <v>0</v>
      </c>
      <c r="C799" s="1936">
        <f>报表附注!G1179</f>
        <v>0</v>
      </c>
      <c r="D799" s="1927" t="b">
        <f t="shared" si="15"/>
        <v>1</v>
      </c>
    </row>
    <row r="800" spans="1:4">
      <c r="A800" s="1927" t="s">
        <v>1580</v>
      </c>
      <c r="B800" s="1939" t="str">
        <f>报表附注!E1180</f>
        <v>合计</v>
      </c>
      <c r="C800" s="1936">
        <f>报表附注!G1180</f>
        <v>0</v>
      </c>
      <c r="D800" s="1927" t="b">
        <f t="shared" si="15"/>
        <v>1</v>
      </c>
    </row>
    <row r="801" spans="1:4">
      <c r="A801" s="1927" t="s">
        <v>775</v>
      </c>
      <c r="B801" s="1948" t="s">
        <v>775</v>
      </c>
      <c r="D801" s="1927" t="b">
        <f t="shared" si="15"/>
        <v>1</v>
      </c>
    </row>
    <row r="802" spans="1:4">
      <c r="A802" s="1927" t="s">
        <v>1658</v>
      </c>
      <c r="B802" s="1928" t="str">
        <f>报表附注!E1175</f>
        <v>    其中：房屋及建筑物</v>
      </c>
      <c r="C802" s="1936">
        <f>报表附注!H1175</f>
        <v>0</v>
      </c>
      <c r="D802" s="1927" t="b">
        <f t="shared" si="15"/>
        <v>0</v>
      </c>
    </row>
    <row r="803" spans="1:4">
      <c r="A803" s="1927" t="s">
        <v>1659</v>
      </c>
      <c r="B803" s="1928" t="str">
        <f>报表附注!E1176</f>
        <v>        机器设备</v>
      </c>
      <c r="C803" s="1936">
        <f>报表附注!H1176</f>
        <v>0</v>
      </c>
      <c r="D803" s="1927" t="b">
        <f t="shared" si="15"/>
        <v>0</v>
      </c>
    </row>
    <row r="804" spans="1:4">
      <c r="A804" s="1927" t="s">
        <v>1660</v>
      </c>
      <c r="B804" s="1928" t="str">
        <f>报表附注!E1177</f>
        <v>        运输工具</v>
      </c>
      <c r="C804" s="1936">
        <f>报表附注!H1177</f>
        <v>0</v>
      </c>
      <c r="D804" s="1927" t="b">
        <f t="shared" si="15"/>
        <v>0</v>
      </c>
    </row>
    <row r="805" spans="1:4">
      <c r="A805" s="1927" t="s">
        <v>1661</v>
      </c>
      <c r="B805" s="1928" t="str">
        <f>报表附注!E1178</f>
        <v>        电子设备及其他</v>
      </c>
      <c r="C805" s="1936">
        <f>报表附注!H1178</f>
        <v>0</v>
      </c>
      <c r="D805" s="1927" t="b">
        <f t="shared" si="15"/>
        <v>0</v>
      </c>
    </row>
    <row r="806" spans="1:4">
      <c r="A806" s="1927">
        <v>0</v>
      </c>
      <c r="B806" s="1928">
        <f>报表附注!E1179</f>
        <v>0</v>
      </c>
      <c r="C806" s="1936">
        <f>报表附注!H1179</f>
        <v>0</v>
      </c>
      <c r="D806" s="1927" t="b">
        <f t="shared" si="15"/>
        <v>1</v>
      </c>
    </row>
    <row r="807" spans="1:4">
      <c r="A807" s="1927" t="s">
        <v>1580</v>
      </c>
      <c r="B807" s="1939" t="str">
        <f>报表附注!E1180</f>
        <v>合计</v>
      </c>
      <c r="C807" s="1936">
        <f>报表附注!H1180</f>
        <v>0</v>
      </c>
      <c r="D807" s="1927" t="b">
        <f t="shared" si="15"/>
        <v>1</v>
      </c>
    </row>
    <row r="808" ht="12" spans="1:4">
      <c r="A808" s="1927" t="s">
        <v>1667</v>
      </c>
      <c r="B808" s="1968" t="s">
        <v>1667</v>
      </c>
      <c r="D808" s="1927" t="b">
        <f t="shared" si="15"/>
        <v>1</v>
      </c>
    </row>
    <row r="809" spans="1:4">
      <c r="A809" s="1927" t="s">
        <v>1666</v>
      </c>
      <c r="B809" s="1948" t="s">
        <v>1666</v>
      </c>
      <c r="D809" s="1927" t="b">
        <f t="shared" si="15"/>
        <v>1</v>
      </c>
    </row>
    <row r="810" spans="1:4">
      <c r="A810" s="1927" t="s">
        <v>1658</v>
      </c>
      <c r="B810" s="1949" t="str">
        <f>报表附注!E1184</f>
        <v>    其中：房屋及建筑物</v>
      </c>
      <c r="C810" s="1936">
        <f>报表附注!F1184</f>
        <v>0</v>
      </c>
      <c r="D810" s="1927" t="b">
        <f t="shared" si="15"/>
        <v>0</v>
      </c>
    </row>
    <row r="811" spans="1:4">
      <c r="A811" s="1927" t="s">
        <v>1659</v>
      </c>
      <c r="B811" s="1949" t="str">
        <f>报表附注!E1185</f>
        <v>        机器设备</v>
      </c>
      <c r="C811" s="1936">
        <f>报表附注!F1185</f>
        <v>0</v>
      </c>
      <c r="D811" s="1927" t="b">
        <f t="shared" si="15"/>
        <v>0</v>
      </c>
    </row>
    <row r="812" spans="1:4">
      <c r="A812" s="1927" t="s">
        <v>1660</v>
      </c>
      <c r="B812" s="1949" t="str">
        <f>报表附注!E1186</f>
        <v>        运输工具</v>
      </c>
      <c r="C812" s="1936">
        <f>报表附注!F1186</f>
        <v>0</v>
      </c>
      <c r="D812" s="1927" t="b">
        <f t="shared" si="15"/>
        <v>0</v>
      </c>
    </row>
    <row r="813" spans="1:4">
      <c r="A813" s="1927" t="s">
        <v>1661</v>
      </c>
      <c r="B813" s="1949" t="str">
        <f>报表附注!E1187</f>
        <v>        电子设备及其他</v>
      </c>
      <c r="C813" s="1936">
        <f>报表附注!F1187</f>
        <v>0</v>
      </c>
      <c r="D813" s="1927" t="b">
        <f t="shared" si="15"/>
        <v>0</v>
      </c>
    </row>
    <row r="814" spans="1:4">
      <c r="A814" s="1927">
        <v>0</v>
      </c>
      <c r="B814" s="1949">
        <f>报表附注!E1188</f>
        <v>0</v>
      </c>
      <c r="C814" s="1936">
        <f>报表附注!F1188</f>
        <v>0</v>
      </c>
      <c r="D814" s="1927" t="b">
        <f t="shared" si="15"/>
        <v>1</v>
      </c>
    </row>
    <row r="815" spans="1:4">
      <c r="A815" s="1927" t="s">
        <v>1580</v>
      </c>
      <c r="B815" s="1953" t="str">
        <f>报表附注!E1189</f>
        <v>合计</v>
      </c>
      <c r="C815" s="1936">
        <f>报表附注!F1189</f>
        <v>0</v>
      </c>
      <c r="D815" s="1927" t="b">
        <f t="shared" si="15"/>
        <v>1</v>
      </c>
    </row>
    <row r="816" spans="1:4">
      <c r="A816" s="1927" t="s">
        <v>859</v>
      </c>
      <c r="B816" s="1948" t="s">
        <v>859</v>
      </c>
      <c r="D816" s="1927" t="b">
        <f t="shared" si="15"/>
        <v>1</v>
      </c>
    </row>
    <row r="817" spans="1:4">
      <c r="A817" s="1927" t="s">
        <v>1658</v>
      </c>
      <c r="B817" s="1960" t="str">
        <f>报表附注!E1184</f>
        <v>    其中：房屋及建筑物</v>
      </c>
      <c r="C817" s="1936">
        <f>报表附注!G1184</f>
        <v>0</v>
      </c>
      <c r="D817" s="1927" t="b">
        <f t="shared" si="15"/>
        <v>0</v>
      </c>
    </row>
    <row r="818" spans="1:4">
      <c r="A818" s="1927" t="s">
        <v>1659</v>
      </c>
      <c r="B818" s="1949" t="str">
        <f>报表附注!E1185</f>
        <v>        机器设备</v>
      </c>
      <c r="C818" s="1936">
        <f>报表附注!G1185</f>
        <v>0</v>
      </c>
      <c r="D818" s="1927" t="b">
        <f t="shared" si="15"/>
        <v>0</v>
      </c>
    </row>
    <row r="819" spans="1:4">
      <c r="A819" s="1927" t="s">
        <v>1660</v>
      </c>
      <c r="B819" s="1949" t="str">
        <f>报表附注!E1186</f>
        <v>        运输工具</v>
      </c>
      <c r="C819" s="1936">
        <f>报表附注!G1186</f>
        <v>0</v>
      </c>
      <c r="D819" s="1927" t="b">
        <f t="shared" si="15"/>
        <v>0</v>
      </c>
    </row>
    <row r="820" spans="1:4">
      <c r="A820" s="1927" t="s">
        <v>1661</v>
      </c>
      <c r="B820" s="1949" t="str">
        <f>报表附注!E1187</f>
        <v>        电子设备及其他</v>
      </c>
      <c r="C820" s="1936">
        <f>报表附注!G1187</f>
        <v>0</v>
      </c>
      <c r="D820" s="1927" t="b">
        <f t="shared" si="15"/>
        <v>0</v>
      </c>
    </row>
    <row r="821" spans="1:4">
      <c r="A821" s="1927">
        <v>0</v>
      </c>
      <c r="B821" s="1949">
        <f>报表附注!E1188</f>
        <v>0</v>
      </c>
      <c r="C821" s="1936">
        <f>报表附注!G1188</f>
        <v>0</v>
      </c>
      <c r="D821" s="1927" t="b">
        <f t="shared" si="15"/>
        <v>1</v>
      </c>
    </row>
    <row r="822" spans="1:4">
      <c r="A822" s="1927" t="s">
        <v>1580</v>
      </c>
      <c r="B822" s="1953" t="str">
        <f>报表附注!E1189</f>
        <v>合计</v>
      </c>
      <c r="C822" s="1936">
        <f>报表附注!G1189</f>
        <v>0</v>
      </c>
      <c r="D822" s="1927" t="b">
        <f t="shared" si="15"/>
        <v>1</v>
      </c>
    </row>
    <row r="823" spans="1:4">
      <c r="A823" s="1927" t="s">
        <v>775</v>
      </c>
      <c r="B823" s="1948" t="s">
        <v>775</v>
      </c>
      <c r="D823" s="1927" t="b">
        <f t="shared" si="15"/>
        <v>1</v>
      </c>
    </row>
    <row r="824" spans="1:4">
      <c r="A824" s="1927" t="s">
        <v>1658</v>
      </c>
      <c r="B824" s="1960" t="str">
        <f>报表附注!E1184</f>
        <v>    其中：房屋及建筑物</v>
      </c>
      <c r="C824" s="1936">
        <f>报表附注!H1184</f>
        <v>0</v>
      </c>
      <c r="D824" s="1927" t="b">
        <f t="shared" si="15"/>
        <v>0</v>
      </c>
    </row>
    <row r="825" spans="1:4">
      <c r="A825" s="1927" t="s">
        <v>1659</v>
      </c>
      <c r="B825" s="1949" t="str">
        <f>报表附注!E1185</f>
        <v>        机器设备</v>
      </c>
      <c r="C825" s="1936">
        <f>报表附注!H1185</f>
        <v>0</v>
      </c>
      <c r="D825" s="1927" t="b">
        <f t="shared" si="15"/>
        <v>0</v>
      </c>
    </row>
    <row r="826" spans="1:4">
      <c r="A826" s="1927" t="s">
        <v>1660</v>
      </c>
      <c r="B826" s="1949" t="str">
        <f>报表附注!E1186</f>
        <v>        运输工具</v>
      </c>
      <c r="C826" s="1936">
        <f>报表附注!H1186</f>
        <v>0</v>
      </c>
      <c r="D826" s="1927" t="b">
        <f t="shared" si="15"/>
        <v>0</v>
      </c>
    </row>
    <row r="827" spans="1:4">
      <c r="A827" s="1927" t="s">
        <v>1661</v>
      </c>
      <c r="B827" s="1949" t="str">
        <f>报表附注!E1187</f>
        <v>        电子设备及其他</v>
      </c>
      <c r="C827" s="1936">
        <f>报表附注!H1187</f>
        <v>0</v>
      </c>
      <c r="D827" s="1927" t="b">
        <f t="shared" si="15"/>
        <v>0</v>
      </c>
    </row>
    <row r="828" spans="1:4">
      <c r="A828" s="1927">
        <v>0</v>
      </c>
      <c r="B828" s="1949">
        <f>报表附注!E1188</f>
        <v>0</v>
      </c>
      <c r="C828" s="1936">
        <f>报表附注!H1188</f>
        <v>0</v>
      </c>
      <c r="D828" s="1927" t="b">
        <f t="shared" si="15"/>
        <v>1</v>
      </c>
    </row>
    <row r="829" spans="1:4">
      <c r="A829" s="1927" t="s">
        <v>1580</v>
      </c>
      <c r="B829" s="1953" t="str">
        <f>报表附注!E1189</f>
        <v>合计</v>
      </c>
      <c r="C829" s="1936">
        <f>报表附注!H1189</f>
        <v>0</v>
      </c>
      <c r="D829" s="1927" t="b">
        <f t="shared" si="15"/>
        <v>1</v>
      </c>
    </row>
    <row r="830" ht="12" spans="1:4">
      <c r="A830" s="1927" t="s">
        <v>1668</v>
      </c>
      <c r="B830" s="1968" t="s">
        <v>1668</v>
      </c>
      <c r="D830" s="1927" t="b">
        <f t="shared" si="15"/>
        <v>1</v>
      </c>
    </row>
    <row r="831" spans="1:4">
      <c r="A831" s="1927" t="s">
        <v>1666</v>
      </c>
      <c r="B831" s="1948" t="s">
        <v>1666</v>
      </c>
      <c r="D831" s="1927" t="b">
        <f t="shared" si="15"/>
        <v>1</v>
      </c>
    </row>
    <row r="832" spans="1:4">
      <c r="A832" s="1927" t="s">
        <v>1658</v>
      </c>
      <c r="B832" s="1949" t="str">
        <f>报表附注!E1193</f>
        <v>    其中：房屋及建筑物</v>
      </c>
      <c r="C832" s="1936">
        <f>报表附注!F1193</f>
        <v>0</v>
      </c>
      <c r="D832" s="1927" t="b">
        <f t="shared" si="15"/>
        <v>0</v>
      </c>
    </row>
    <row r="833" spans="1:4">
      <c r="A833" s="1927" t="s">
        <v>1659</v>
      </c>
      <c r="B833" s="1949" t="str">
        <f>报表附注!E1194</f>
        <v>        机器设备</v>
      </c>
      <c r="C833" s="1936">
        <f>报表附注!F1194</f>
        <v>0</v>
      </c>
      <c r="D833" s="1927" t="b">
        <f t="shared" si="15"/>
        <v>0</v>
      </c>
    </row>
    <row r="834" spans="1:4">
      <c r="A834" s="1927" t="s">
        <v>1660</v>
      </c>
      <c r="B834" s="1949" t="str">
        <f>报表附注!E1195</f>
        <v>        运输工具</v>
      </c>
      <c r="C834" s="1936">
        <f>报表附注!F1195</f>
        <v>0</v>
      </c>
      <c r="D834" s="1927" t="b">
        <f t="shared" si="15"/>
        <v>0</v>
      </c>
    </row>
    <row r="835" spans="1:4">
      <c r="A835" s="1927" t="s">
        <v>1661</v>
      </c>
      <c r="B835" s="1949" t="str">
        <f>报表附注!E1196</f>
        <v>        电子设备及其他</v>
      </c>
      <c r="C835" s="1936">
        <f>报表附注!F1196</f>
        <v>0</v>
      </c>
      <c r="D835" s="1927" t="b">
        <f t="shared" si="15"/>
        <v>0</v>
      </c>
    </row>
    <row r="836" spans="1:4">
      <c r="A836" s="1927">
        <v>0</v>
      </c>
      <c r="B836" s="1949">
        <f>报表附注!E1197</f>
        <v>0</v>
      </c>
      <c r="C836" s="1936">
        <f>报表附注!F1197</f>
        <v>0</v>
      </c>
      <c r="D836" s="1927" t="b">
        <f t="shared" si="15"/>
        <v>1</v>
      </c>
    </row>
    <row r="837" spans="1:4">
      <c r="A837" s="1927" t="s">
        <v>1580</v>
      </c>
      <c r="B837" s="1953" t="str">
        <f>报表附注!E1198</f>
        <v>合计</v>
      </c>
      <c r="C837" s="1936">
        <f>报表附注!F1198</f>
        <v>0</v>
      </c>
      <c r="D837" s="1927" t="b">
        <f t="shared" si="15"/>
        <v>1</v>
      </c>
    </row>
    <row r="838" spans="1:4">
      <c r="A838" s="1927" t="s">
        <v>859</v>
      </c>
      <c r="B838" s="1948" t="s">
        <v>859</v>
      </c>
      <c r="D838" s="1927" t="b">
        <f t="shared" si="15"/>
        <v>1</v>
      </c>
    </row>
    <row r="839" spans="1:4">
      <c r="A839" s="1927" t="s">
        <v>1658</v>
      </c>
      <c r="B839" s="1949" t="str">
        <f>报表附注!E1193</f>
        <v>    其中：房屋及建筑物</v>
      </c>
      <c r="C839" s="1936">
        <f>报表附注!G1193</f>
        <v>0</v>
      </c>
      <c r="D839" s="1927" t="b">
        <f t="shared" si="15"/>
        <v>0</v>
      </c>
    </row>
    <row r="840" spans="1:4">
      <c r="A840" s="1927" t="s">
        <v>1659</v>
      </c>
      <c r="B840" s="1949" t="str">
        <f>报表附注!E1194</f>
        <v>        机器设备</v>
      </c>
      <c r="C840" s="1936">
        <f>报表附注!G1194</f>
        <v>0</v>
      </c>
      <c r="D840" s="1927" t="b">
        <f t="shared" si="15"/>
        <v>0</v>
      </c>
    </row>
    <row r="841" spans="1:4">
      <c r="A841" s="1927" t="s">
        <v>1660</v>
      </c>
      <c r="B841" s="1949" t="str">
        <f>报表附注!E1195</f>
        <v>        运输工具</v>
      </c>
      <c r="C841" s="1936">
        <f>报表附注!G1195</f>
        <v>0</v>
      </c>
      <c r="D841" s="1927" t="b">
        <f t="shared" si="15"/>
        <v>0</v>
      </c>
    </row>
    <row r="842" spans="1:4">
      <c r="A842" s="1927" t="s">
        <v>1661</v>
      </c>
      <c r="B842" s="1949" t="str">
        <f>报表附注!E1196</f>
        <v>        电子设备及其他</v>
      </c>
      <c r="C842" s="1936">
        <f>报表附注!G1196</f>
        <v>0</v>
      </c>
      <c r="D842" s="1927" t="b">
        <f t="shared" si="15"/>
        <v>0</v>
      </c>
    </row>
    <row r="843" spans="1:4">
      <c r="A843" s="1927">
        <v>0</v>
      </c>
      <c r="B843" s="1949">
        <f>报表附注!E1197</f>
        <v>0</v>
      </c>
      <c r="C843" s="1936">
        <f>报表附注!G1197</f>
        <v>0</v>
      </c>
      <c r="D843" s="1927" t="b">
        <f t="shared" si="15"/>
        <v>1</v>
      </c>
    </row>
    <row r="844" spans="1:4">
      <c r="A844" s="1927" t="s">
        <v>1580</v>
      </c>
      <c r="B844" s="1953" t="str">
        <f>报表附注!E1198</f>
        <v>合计</v>
      </c>
      <c r="C844" s="1936">
        <f>报表附注!G1198</f>
        <v>0</v>
      </c>
      <c r="D844" s="1927" t="b">
        <f t="shared" ref="D844:D907" si="16">EXACT(A844,B844)</f>
        <v>1</v>
      </c>
    </row>
    <row r="845" spans="1:4">
      <c r="A845" s="1927" t="s">
        <v>775</v>
      </c>
      <c r="B845" s="1948" t="s">
        <v>775</v>
      </c>
      <c r="D845" s="1927" t="b">
        <f t="shared" si="16"/>
        <v>1</v>
      </c>
    </row>
    <row r="846" spans="1:4">
      <c r="A846" s="1927" t="s">
        <v>1658</v>
      </c>
      <c r="B846" s="1960" t="str">
        <f>报表附注!E1193</f>
        <v>    其中：房屋及建筑物</v>
      </c>
      <c r="C846" s="1936">
        <f>报表附注!H1193</f>
        <v>0</v>
      </c>
      <c r="D846" s="1927" t="b">
        <f t="shared" si="16"/>
        <v>0</v>
      </c>
    </row>
    <row r="847" spans="1:4">
      <c r="A847" s="1927" t="s">
        <v>1659</v>
      </c>
      <c r="B847" s="1960" t="str">
        <f>报表附注!E1194</f>
        <v>        机器设备</v>
      </c>
      <c r="C847" s="1936">
        <f>报表附注!H1194</f>
        <v>0</v>
      </c>
      <c r="D847" s="1927" t="b">
        <f t="shared" si="16"/>
        <v>0</v>
      </c>
    </row>
    <row r="848" spans="1:4">
      <c r="A848" s="1927" t="s">
        <v>1660</v>
      </c>
      <c r="B848" s="1960" t="str">
        <f>报表附注!E1195</f>
        <v>        运输工具</v>
      </c>
      <c r="C848" s="1936">
        <f>报表附注!H1195</f>
        <v>0</v>
      </c>
      <c r="D848" s="1927" t="b">
        <f t="shared" si="16"/>
        <v>0</v>
      </c>
    </row>
    <row r="849" spans="1:4">
      <c r="A849" s="1927" t="s">
        <v>1661</v>
      </c>
      <c r="B849" s="1960" t="str">
        <f>报表附注!E1196</f>
        <v>        电子设备及其他</v>
      </c>
      <c r="C849" s="1936">
        <f>报表附注!H1196</f>
        <v>0</v>
      </c>
      <c r="D849" s="1927" t="b">
        <f t="shared" si="16"/>
        <v>0</v>
      </c>
    </row>
    <row r="850" spans="1:4">
      <c r="A850" s="1927">
        <v>0</v>
      </c>
      <c r="B850" s="1960">
        <f>报表附注!E1197</f>
        <v>0</v>
      </c>
      <c r="C850" s="1936">
        <f>报表附注!H1197</f>
        <v>0</v>
      </c>
      <c r="D850" s="1927" t="b">
        <f t="shared" si="16"/>
        <v>1</v>
      </c>
    </row>
    <row r="851" spans="1:4">
      <c r="A851" s="1927" t="s">
        <v>1580</v>
      </c>
      <c r="B851" s="1969" t="str">
        <f>报表附注!E1198</f>
        <v>合计</v>
      </c>
      <c r="C851" s="1936">
        <f>报表附注!H1198</f>
        <v>0</v>
      </c>
      <c r="D851" s="1927" t="b">
        <f t="shared" si="16"/>
        <v>1</v>
      </c>
    </row>
    <row r="852" ht="12" spans="1:4">
      <c r="A852" s="1927" t="s">
        <v>1669</v>
      </c>
      <c r="B852" s="1968" t="s">
        <v>1669</v>
      </c>
      <c r="D852" s="1927" t="b">
        <f t="shared" si="16"/>
        <v>1</v>
      </c>
    </row>
    <row r="853" spans="1:4">
      <c r="A853" s="1927" t="s">
        <v>1670</v>
      </c>
      <c r="B853" s="1948" t="s">
        <v>1670</v>
      </c>
      <c r="D853" s="1927" t="b">
        <f t="shared" si="16"/>
        <v>1</v>
      </c>
    </row>
    <row r="854" spans="1:4">
      <c r="A854" s="1927" t="s">
        <v>1658</v>
      </c>
      <c r="B854" s="1960" t="str">
        <f>报表附注!E1202</f>
        <v>    其中：房屋及建筑物</v>
      </c>
      <c r="C854" s="1936">
        <f>报表附注!F1202</f>
        <v>0</v>
      </c>
      <c r="D854" s="1927" t="b">
        <f t="shared" si="16"/>
        <v>0</v>
      </c>
    </row>
    <row r="855" spans="1:4">
      <c r="A855" s="1927" t="s">
        <v>1659</v>
      </c>
      <c r="B855" s="1960" t="str">
        <f>报表附注!E1203</f>
        <v>        机器设备</v>
      </c>
      <c r="C855" s="1936">
        <f>报表附注!F1203</f>
        <v>0</v>
      </c>
      <c r="D855" s="1927" t="b">
        <f t="shared" si="16"/>
        <v>0</v>
      </c>
    </row>
    <row r="856" spans="1:4">
      <c r="A856" s="1927" t="s">
        <v>1660</v>
      </c>
      <c r="B856" s="1960" t="str">
        <f>报表附注!E1204</f>
        <v>        运输工具</v>
      </c>
      <c r="C856" s="1936">
        <f>报表附注!F1204</f>
        <v>0</v>
      </c>
      <c r="D856" s="1927" t="b">
        <f t="shared" si="16"/>
        <v>0</v>
      </c>
    </row>
    <row r="857" spans="1:4">
      <c r="A857" s="1927" t="s">
        <v>1661</v>
      </c>
      <c r="B857" s="1960" t="str">
        <f>报表附注!E1205</f>
        <v>        电子设备及其他</v>
      </c>
      <c r="C857" s="1936">
        <f>报表附注!F1205</f>
        <v>0</v>
      </c>
      <c r="D857" s="1927" t="b">
        <f t="shared" si="16"/>
        <v>0</v>
      </c>
    </row>
    <row r="858" spans="1:4">
      <c r="A858" s="1927">
        <v>0</v>
      </c>
      <c r="B858" s="1960">
        <f>报表附注!E1206</f>
        <v>0</v>
      </c>
      <c r="C858" s="1936">
        <f>报表附注!F1206</f>
        <v>0</v>
      </c>
      <c r="D858" s="1927" t="b">
        <f t="shared" si="16"/>
        <v>1</v>
      </c>
    </row>
    <row r="859" spans="1:4">
      <c r="A859" s="1927" t="s">
        <v>1580</v>
      </c>
      <c r="B859" s="1969" t="str">
        <f>报表附注!E1207</f>
        <v>合计</v>
      </c>
      <c r="C859" s="1936">
        <f>报表附注!F1207</f>
        <v>0</v>
      </c>
      <c r="D859" s="1927" t="b">
        <f t="shared" si="16"/>
        <v>1</v>
      </c>
    </row>
    <row r="860" spans="1:4">
      <c r="A860" s="1927" t="s">
        <v>1671</v>
      </c>
      <c r="B860" s="1948" t="s">
        <v>1671</v>
      </c>
      <c r="D860" s="1927" t="b">
        <f t="shared" si="16"/>
        <v>1</v>
      </c>
    </row>
    <row r="861" spans="1:4">
      <c r="A861" s="1927" t="s">
        <v>1658</v>
      </c>
      <c r="B861" s="1949" t="str">
        <f>报表附注!E1202</f>
        <v>    其中：房屋及建筑物</v>
      </c>
      <c r="C861" s="1936">
        <f>报表附注!G1202</f>
        <v>0</v>
      </c>
      <c r="D861" s="1927" t="b">
        <f t="shared" si="16"/>
        <v>0</v>
      </c>
    </row>
    <row r="862" spans="1:4">
      <c r="A862" s="1927" t="s">
        <v>1659</v>
      </c>
      <c r="B862" s="1949" t="str">
        <f>报表附注!E1203</f>
        <v>        机器设备</v>
      </c>
      <c r="C862" s="1936">
        <f>报表附注!G1203</f>
        <v>0</v>
      </c>
      <c r="D862" s="1927" t="b">
        <f t="shared" si="16"/>
        <v>0</v>
      </c>
    </row>
    <row r="863" spans="1:4">
      <c r="A863" s="1927" t="s">
        <v>1660</v>
      </c>
      <c r="B863" s="1949" t="str">
        <f>报表附注!E1204</f>
        <v>        运输工具</v>
      </c>
      <c r="C863" s="1936">
        <f>报表附注!G1204</f>
        <v>0</v>
      </c>
      <c r="D863" s="1927" t="b">
        <f t="shared" si="16"/>
        <v>0</v>
      </c>
    </row>
    <row r="864" spans="1:4">
      <c r="A864" s="1927" t="s">
        <v>1661</v>
      </c>
      <c r="B864" s="1949" t="str">
        <f>报表附注!E1205</f>
        <v>        电子设备及其他</v>
      </c>
      <c r="C864" s="1936">
        <f>报表附注!G1205</f>
        <v>0</v>
      </c>
      <c r="D864" s="1927" t="b">
        <f t="shared" si="16"/>
        <v>0</v>
      </c>
    </row>
    <row r="865" spans="1:4">
      <c r="A865" s="1927">
        <v>0</v>
      </c>
      <c r="B865" s="1949">
        <f>报表附注!E1206</f>
        <v>0</v>
      </c>
      <c r="C865" s="1936">
        <f>报表附注!G1206</f>
        <v>0</v>
      </c>
      <c r="D865" s="1927" t="b">
        <f t="shared" si="16"/>
        <v>1</v>
      </c>
    </row>
    <row r="866" spans="1:4">
      <c r="A866" s="1927" t="s">
        <v>1580</v>
      </c>
      <c r="B866" s="1953" t="str">
        <f>报表附注!E1207</f>
        <v>合计</v>
      </c>
      <c r="C866" s="1936">
        <f>报表附注!G1207</f>
        <v>0</v>
      </c>
      <c r="D866" s="1927" t="b">
        <f t="shared" si="16"/>
        <v>1</v>
      </c>
    </row>
    <row r="867" spans="1:4">
      <c r="A867" s="1927" t="s">
        <v>1672</v>
      </c>
      <c r="B867" s="1948" t="s">
        <v>1672</v>
      </c>
      <c r="D867" s="1927" t="b">
        <f t="shared" si="16"/>
        <v>1</v>
      </c>
    </row>
    <row r="868" spans="1:4">
      <c r="A868" s="1927" t="s">
        <v>1658</v>
      </c>
      <c r="B868" s="1949" t="str">
        <f>报表附注!E1202</f>
        <v>    其中：房屋及建筑物</v>
      </c>
      <c r="C868" s="1936">
        <f>报表附注!H1202</f>
        <v>0</v>
      </c>
      <c r="D868" s="1927" t="b">
        <f t="shared" si="16"/>
        <v>0</v>
      </c>
    </row>
    <row r="869" spans="1:4">
      <c r="A869" s="1927" t="s">
        <v>1659</v>
      </c>
      <c r="B869" s="1949" t="str">
        <f>报表附注!E1203</f>
        <v>        机器设备</v>
      </c>
      <c r="C869" s="1936">
        <f>报表附注!H1203</f>
        <v>0</v>
      </c>
      <c r="D869" s="1927" t="b">
        <f t="shared" si="16"/>
        <v>0</v>
      </c>
    </row>
    <row r="870" spans="1:4">
      <c r="A870" s="1927" t="s">
        <v>1660</v>
      </c>
      <c r="B870" s="1949" t="str">
        <f>报表附注!E1204</f>
        <v>        运输工具</v>
      </c>
      <c r="C870" s="1936">
        <f>报表附注!H1204</f>
        <v>0</v>
      </c>
      <c r="D870" s="1927" t="b">
        <f t="shared" si="16"/>
        <v>0</v>
      </c>
    </row>
    <row r="871" spans="1:4">
      <c r="A871" s="1927" t="s">
        <v>1661</v>
      </c>
      <c r="B871" s="1949" t="str">
        <f>报表附注!E1205</f>
        <v>        电子设备及其他</v>
      </c>
      <c r="C871" s="1936">
        <f>报表附注!H1205</f>
        <v>0</v>
      </c>
      <c r="D871" s="1927" t="b">
        <f t="shared" si="16"/>
        <v>0</v>
      </c>
    </row>
    <row r="872" spans="1:4">
      <c r="A872" s="1927">
        <v>0</v>
      </c>
      <c r="B872" s="1949">
        <f>报表附注!E1206</f>
        <v>0</v>
      </c>
      <c r="C872" s="1936">
        <f>报表附注!H1206</f>
        <v>0</v>
      </c>
      <c r="D872" s="1927" t="b">
        <f t="shared" si="16"/>
        <v>1</v>
      </c>
    </row>
    <row r="873" spans="1:4">
      <c r="A873" s="1927" t="s">
        <v>1580</v>
      </c>
      <c r="B873" s="1953" t="str">
        <f>报表附注!E1207</f>
        <v>合计</v>
      </c>
      <c r="C873" s="1936">
        <f>报表附注!H1207</f>
        <v>0</v>
      </c>
      <c r="D873" s="1927" t="b">
        <f t="shared" si="16"/>
        <v>1</v>
      </c>
    </row>
    <row r="874" spans="4:4">
      <c r="D874" s="1927" t="b">
        <f t="shared" si="16"/>
        <v>1</v>
      </c>
    </row>
    <row r="875" spans="1:4">
      <c r="A875" s="1927" t="s">
        <v>1673</v>
      </c>
      <c r="B875" s="1947" t="s">
        <v>1673</v>
      </c>
      <c r="D875" s="1927" t="b">
        <f t="shared" si="16"/>
        <v>1</v>
      </c>
    </row>
    <row r="876" spans="4:4">
      <c r="D876" s="1927" t="b">
        <f t="shared" si="16"/>
        <v>1</v>
      </c>
    </row>
    <row r="877" spans="1:4">
      <c r="A877" s="1927" t="s">
        <v>1674</v>
      </c>
      <c r="B877" s="1947" t="s">
        <v>1674</v>
      </c>
      <c r="D877" s="1927" t="b">
        <f t="shared" si="16"/>
        <v>1</v>
      </c>
    </row>
    <row r="878" spans="4:4">
      <c r="D878" s="1927" t="b">
        <f t="shared" si="16"/>
        <v>1</v>
      </c>
    </row>
    <row r="879" ht="12" spans="1:4">
      <c r="A879" s="1927" t="s">
        <v>1675</v>
      </c>
      <c r="B879" s="1970" t="s">
        <v>1675</v>
      </c>
      <c r="D879" s="1927" t="b">
        <f t="shared" si="16"/>
        <v>1</v>
      </c>
    </row>
    <row r="880" spans="4:4">
      <c r="D880" s="1927" t="b">
        <f t="shared" si="16"/>
        <v>1</v>
      </c>
    </row>
    <row r="881" spans="1:4">
      <c r="A881" s="1927" t="s">
        <v>1676</v>
      </c>
      <c r="B881" s="1945" t="s">
        <v>1676</v>
      </c>
      <c r="D881" s="1927" t="b">
        <f t="shared" si="16"/>
        <v>1</v>
      </c>
    </row>
    <row r="882" spans="1:4">
      <c r="A882" s="1927" t="s">
        <v>670</v>
      </c>
      <c r="B882" s="1948" t="s">
        <v>670</v>
      </c>
      <c r="D882" s="1927" t="b">
        <f t="shared" si="16"/>
        <v>1</v>
      </c>
    </row>
    <row r="883" spans="1:4">
      <c r="A883" s="1927" t="s">
        <v>1677</v>
      </c>
      <c r="B883" s="1928" t="str">
        <f>报表附注!E1368</f>
        <v>一、原价合计 </v>
      </c>
      <c r="C883" s="1936">
        <f>报表附注!F1368</f>
        <v>0</v>
      </c>
      <c r="D883" s="1927" t="b">
        <f t="shared" si="16"/>
        <v>1</v>
      </c>
    </row>
    <row r="884" spans="1:4">
      <c r="A884" s="1927" t="s">
        <v>1678</v>
      </c>
      <c r="B884" s="1928" t="str">
        <f>报表附注!E1369</f>
        <v>其中：种植业</v>
      </c>
      <c r="C884" s="1936">
        <f>报表附注!F1369</f>
        <v>0</v>
      </c>
      <c r="D884" s="1927" t="b">
        <f t="shared" si="16"/>
        <v>1</v>
      </c>
    </row>
    <row r="885" spans="1:4">
      <c r="A885" s="1927" t="s">
        <v>862</v>
      </c>
      <c r="B885" s="1928" t="str">
        <f>报表附注!E1370</f>
        <v>畜牧养殖业</v>
      </c>
      <c r="C885" s="1936">
        <f>报表附注!F1370</f>
        <v>0</v>
      </c>
      <c r="D885" s="1927" t="b">
        <f t="shared" si="16"/>
        <v>1</v>
      </c>
    </row>
    <row r="886" spans="1:4">
      <c r="A886" s="1927" t="s">
        <v>864</v>
      </c>
      <c r="B886" s="1928" t="str">
        <f>报表附注!E1371</f>
        <v>林业</v>
      </c>
      <c r="C886" s="1936">
        <f>报表附注!F1371</f>
        <v>0</v>
      </c>
      <c r="D886" s="1927" t="b">
        <f t="shared" si="16"/>
        <v>1</v>
      </c>
    </row>
    <row r="887" spans="1:4">
      <c r="A887" s="1927" t="s">
        <v>1679</v>
      </c>
      <c r="B887" s="1928" t="str">
        <f>报表附注!E1372</f>
        <v>……  水产业</v>
      </c>
      <c r="C887" s="1936">
        <f>报表附注!F1372</f>
        <v>0</v>
      </c>
      <c r="D887" s="1927" t="b">
        <f t="shared" si="16"/>
        <v>1</v>
      </c>
    </row>
    <row r="888" spans="1:4">
      <c r="A888" s="1927" t="s">
        <v>759</v>
      </c>
      <c r="B888" s="1928" t="str">
        <f>报表附注!E1373</f>
        <v>二、累计折旧合计</v>
      </c>
      <c r="C888" s="1936">
        <f>报表附注!F1373</f>
        <v>0</v>
      </c>
      <c r="D888" s="1927" t="b">
        <f t="shared" si="16"/>
        <v>1</v>
      </c>
    </row>
    <row r="889" spans="1:4">
      <c r="A889" s="1927" t="s">
        <v>1678</v>
      </c>
      <c r="B889" s="1928" t="str">
        <f>报表附注!E1374</f>
        <v>其中：种植业</v>
      </c>
      <c r="C889" s="1936">
        <f>报表附注!F1374</f>
        <v>0</v>
      </c>
      <c r="D889" s="1927" t="b">
        <f t="shared" si="16"/>
        <v>1</v>
      </c>
    </row>
    <row r="890" spans="1:4">
      <c r="A890" s="1927" t="s">
        <v>862</v>
      </c>
      <c r="B890" s="1928" t="str">
        <f>报表附注!E1375</f>
        <v>畜牧养殖业</v>
      </c>
      <c r="C890" s="1936">
        <f>报表附注!F1375</f>
        <v>0</v>
      </c>
      <c r="D890" s="1927" t="b">
        <f t="shared" si="16"/>
        <v>1</v>
      </c>
    </row>
    <row r="891" spans="1:4">
      <c r="A891" s="1927" t="s">
        <v>864</v>
      </c>
      <c r="B891" s="1928" t="str">
        <f>报表附注!E1376</f>
        <v>林业</v>
      </c>
      <c r="C891" s="1936">
        <f>报表附注!F1376</f>
        <v>0</v>
      </c>
      <c r="D891" s="1927" t="b">
        <f t="shared" si="16"/>
        <v>1</v>
      </c>
    </row>
    <row r="892" spans="1:4">
      <c r="A892" s="1927" t="s">
        <v>1679</v>
      </c>
      <c r="B892" s="1928" t="str">
        <f>报表附注!E1377</f>
        <v>……  水产业</v>
      </c>
      <c r="C892" s="1936">
        <f>报表附注!F1377</f>
        <v>0</v>
      </c>
      <c r="D892" s="1927" t="b">
        <f t="shared" si="16"/>
        <v>1</v>
      </c>
    </row>
    <row r="893" spans="1:4">
      <c r="A893" s="1927" t="s">
        <v>1680</v>
      </c>
      <c r="B893" s="1928" t="str">
        <f>报表附注!E1378</f>
        <v>三、减值准备累计金额合计</v>
      </c>
      <c r="C893" s="1936">
        <f>报表附注!F1378</f>
        <v>0</v>
      </c>
      <c r="D893" s="1927" t="b">
        <f t="shared" si="16"/>
        <v>1</v>
      </c>
    </row>
    <row r="894" spans="1:4">
      <c r="A894" s="1927" t="s">
        <v>1678</v>
      </c>
      <c r="B894" s="1928" t="str">
        <f>报表附注!E1379</f>
        <v>其中：种植业</v>
      </c>
      <c r="C894" s="1936">
        <f>报表附注!F1379</f>
        <v>0</v>
      </c>
      <c r="D894" s="1927" t="b">
        <f t="shared" si="16"/>
        <v>1</v>
      </c>
    </row>
    <row r="895" spans="1:4">
      <c r="A895" s="1927" t="s">
        <v>862</v>
      </c>
      <c r="B895" s="1928" t="str">
        <f>报表附注!E1380</f>
        <v>畜牧养殖业</v>
      </c>
      <c r="C895" s="1936">
        <f>报表附注!F1380</f>
        <v>0</v>
      </c>
      <c r="D895" s="1927" t="b">
        <f t="shared" si="16"/>
        <v>1</v>
      </c>
    </row>
    <row r="896" spans="1:4">
      <c r="A896" s="1927" t="s">
        <v>864</v>
      </c>
      <c r="B896" s="1928" t="str">
        <f>报表附注!E1381</f>
        <v>林业</v>
      </c>
      <c r="C896" s="1936">
        <f>报表附注!F1381</f>
        <v>0</v>
      </c>
      <c r="D896" s="1927" t="b">
        <f t="shared" si="16"/>
        <v>1</v>
      </c>
    </row>
    <row r="897" spans="1:4">
      <c r="A897" s="1927" t="s">
        <v>1679</v>
      </c>
      <c r="B897" s="1928" t="str">
        <f>报表附注!E1382</f>
        <v>……  水产业</v>
      </c>
      <c r="C897" s="1936">
        <f>报表附注!F1382</f>
        <v>0</v>
      </c>
      <c r="D897" s="1927" t="b">
        <f t="shared" si="16"/>
        <v>1</v>
      </c>
    </row>
    <row r="898" spans="1:4">
      <c r="A898" s="1927" t="s">
        <v>671</v>
      </c>
      <c r="B898" s="1948" t="s">
        <v>671</v>
      </c>
      <c r="D898" s="1927" t="b">
        <f t="shared" si="16"/>
        <v>1</v>
      </c>
    </row>
    <row r="899" spans="1:4">
      <c r="A899" s="1927" t="s">
        <v>1677</v>
      </c>
      <c r="B899" s="1928" t="str">
        <f>报表附注!E1368</f>
        <v>一、原价合计 </v>
      </c>
      <c r="C899" s="1936">
        <f>报表附注!G1368</f>
        <v>0</v>
      </c>
      <c r="D899" s="1927" t="b">
        <f t="shared" si="16"/>
        <v>1</v>
      </c>
    </row>
    <row r="900" spans="1:4">
      <c r="A900" s="1927" t="s">
        <v>1678</v>
      </c>
      <c r="B900" s="1928" t="str">
        <f>报表附注!E1369</f>
        <v>其中：种植业</v>
      </c>
      <c r="C900" s="1936">
        <f>报表附注!G1369</f>
        <v>0</v>
      </c>
      <c r="D900" s="1927" t="b">
        <f t="shared" si="16"/>
        <v>1</v>
      </c>
    </row>
    <row r="901" spans="1:4">
      <c r="A901" s="1927" t="s">
        <v>862</v>
      </c>
      <c r="B901" s="1928" t="str">
        <f>报表附注!E1370</f>
        <v>畜牧养殖业</v>
      </c>
      <c r="C901" s="1936">
        <f>报表附注!G1370</f>
        <v>0</v>
      </c>
      <c r="D901" s="1927" t="b">
        <f t="shared" si="16"/>
        <v>1</v>
      </c>
    </row>
    <row r="902" spans="1:4">
      <c r="A902" s="1927" t="s">
        <v>864</v>
      </c>
      <c r="B902" s="1928" t="str">
        <f>报表附注!E1371</f>
        <v>林业</v>
      </c>
      <c r="C902" s="1936">
        <f>报表附注!G1371</f>
        <v>0</v>
      </c>
      <c r="D902" s="1927" t="b">
        <f t="shared" si="16"/>
        <v>1</v>
      </c>
    </row>
    <row r="903" spans="1:4">
      <c r="A903" s="1927" t="s">
        <v>1679</v>
      </c>
      <c r="B903" s="1928" t="str">
        <f>报表附注!E1372</f>
        <v>……  水产业</v>
      </c>
      <c r="C903" s="1936">
        <f>报表附注!G1372</f>
        <v>0</v>
      </c>
      <c r="D903" s="1927" t="b">
        <f t="shared" si="16"/>
        <v>1</v>
      </c>
    </row>
    <row r="904" spans="1:4">
      <c r="A904" s="1927" t="s">
        <v>759</v>
      </c>
      <c r="B904" s="1928" t="str">
        <f>报表附注!E1373</f>
        <v>二、累计折旧合计</v>
      </c>
      <c r="C904" s="1936">
        <f>报表附注!G1373</f>
        <v>0</v>
      </c>
      <c r="D904" s="1927" t="b">
        <f t="shared" si="16"/>
        <v>1</v>
      </c>
    </row>
    <row r="905" spans="1:4">
      <c r="A905" s="1927" t="s">
        <v>1678</v>
      </c>
      <c r="B905" s="1928" t="str">
        <f>报表附注!E1374</f>
        <v>其中：种植业</v>
      </c>
      <c r="C905" s="1936">
        <f>报表附注!G1374</f>
        <v>0</v>
      </c>
      <c r="D905" s="1927" t="b">
        <f t="shared" si="16"/>
        <v>1</v>
      </c>
    </row>
    <row r="906" spans="1:4">
      <c r="A906" s="1927" t="s">
        <v>862</v>
      </c>
      <c r="B906" s="1928" t="str">
        <f>报表附注!E1375</f>
        <v>畜牧养殖业</v>
      </c>
      <c r="C906" s="1936">
        <f>报表附注!G1375</f>
        <v>0</v>
      </c>
      <c r="D906" s="1927" t="b">
        <f t="shared" si="16"/>
        <v>1</v>
      </c>
    </row>
    <row r="907" spans="1:4">
      <c r="A907" s="1927" t="s">
        <v>864</v>
      </c>
      <c r="B907" s="1928" t="str">
        <f>报表附注!E1376</f>
        <v>林业</v>
      </c>
      <c r="C907" s="1936">
        <f>报表附注!G1376</f>
        <v>0</v>
      </c>
      <c r="D907" s="1927" t="b">
        <f t="shared" si="16"/>
        <v>1</v>
      </c>
    </row>
    <row r="908" spans="1:4">
      <c r="A908" s="1927" t="s">
        <v>1679</v>
      </c>
      <c r="B908" s="1928" t="str">
        <f>报表附注!E1377</f>
        <v>……  水产业</v>
      </c>
      <c r="C908" s="1936">
        <f>报表附注!G1377</f>
        <v>0</v>
      </c>
      <c r="D908" s="1927" t="b">
        <f t="shared" ref="D908:D971" si="17">EXACT(A908,B908)</f>
        <v>1</v>
      </c>
    </row>
    <row r="909" spans="1:4">
      <c r="A909" s="1927" t="s">
        <v>1680</v>
      </c>
      <c r="B909" s="1928" t="str">
        <f>报表附注!E1378</f>
        <v>三、减值准备累计金额合计</v>
      </c>
      <c r="C909" s="1936">
        <f>报表附注!G1378</f>
        <v>0</v>
      </c>
      <c r="D909" s="1927" t="b">
        <f t="shared" si="17"/>
        <v>1</v>
      </c>
    </row>
    <row r="910" spans="1:4">
      <c r="A910" s="1927" t="s">
        <v>1678</v>
      </c>
      <c r="B910" s="1928" t="str">
        <f>报表附注!E1379</f>
        <v>其中：种植业</v>
      </c>
      <c r="C910" s="1936">
        <f>报表附注!G1379</f>
        <v>0</v>
      </c>
      <c r="D910" s="1927" t="b">
        <f t="shared" si="17"/>
        <v>1</v>
      </c>
    </row>
    <row r="911" spans="1:4">
      <c r="A911" s="1927" t="s">
        <v>862</v>
      </c>
      <c r="B911" s="1928" t="str">
        <f>报表附注!E1380</f>
        <v>畜牧养殖业</v>
      </c>
      <c r="C911" s="1936">
        <f>报表附注!G1380</f>
        <v>0</v>
      </c>
      <c r="D911" s="1927" t="b">
        <f t="shared" si="17"/>
        <v>1</v>
      </c>
    </row>
    <row r="912" spans="1:4">
      <c r="A912" s="1927" t="s">
        <v>864</v>
      </c>
      <c r="B912" s="1928" t="str">
        <f>报表附注!E1381</f>
        <v>林业</v>
      </c>
      <c r="C912" s="1936">
        <f>报表附注!G1381</f>
        <v>0</v>
      </c>
      <c r="D912" s="1927" t="b">
        <f t="shared" si="17"/>
        <v>1</v>
      </c>
    </row>
    <row r="913" spans="1:4">
      <c r="A913" s="1927" t="s">
        <v>1679</v>
      </c>
      <c r="B913" s="1928" t="str">
        <f>报表附注!E1382</f>
        <v>……  水产业</v>
      </c>
      <c r="C913" s="1936">
        <f>报表附注!G1382</f>
        <v>0</v>
      </c>
      <c r="D913" s="1927" t="b">
        <f t="shared" si="17"/>
        <v>1</v>
      </c>
    </row>
    <row r="914" spans="1:4">
      <c r="A914" s="1927" t="s">
        <v>672</v>
      </c>
      <c r="B914" s="1948" t="s">
        <v>672</v>
      </c>
      <c r="D914" s="1927" t="b">
        <f t="shared" si="17"/>
        <v>1</v>
      </c>
    </row>
    <row r="915" spans="1:4">
      <c r="A915" s="1927" t="s">
        <v>1677</v>
      </c>
      <c r="B915" s="1928" t="str">
        <f>报表附注!E1368</f>
        <v>一、原价合计 </v>
      </c>
      <c r="C915" s="1936">
        <f>报表附注!H1368</f>
        <v>0</v>
      </c>
      <c r="D915" s="1927" t="b">
        <f t="shared" si="17"/>
        <v>1</v>
      </c>
    </row>
    <row r="916" spans="1:4">
      <c r="A916" s="1927" t="s">
        <v>1678</v>
      </c>
      <c r="B916" s="1928" t="str">
        <f>报表附注!E1369</f>
        <v>其中：种植业</v>
      </c>
      <c r="C916" s="1936">
        <f>报表附注!H1369</f>
        <v>0</v>
      </c>
      <c r="D916" s="1927" t="b">
        <f t="shared" si="17"/>
        <v>1</v>
      </c>
    </row>
    <row r="917" spans="1:4">
      <c r="A917" s="1927" t="s">
        <v>862</v>
      </c>
      <c r="B917" s="1928" t="str">
        <f>报表附注!E1370</f>
        <v>畜牧养殖业</v>
      </c>
      <c r="C917" s="1936">
        <f>报表附注!H1370</f>
        <v>0</v>
      </c>
      <c r="D917" s="1927" t="b">
        <f t="shared" si="17"/>
        <v>1</v>
      </c>
    </row>
    <row r="918" spans="1:4">
      <c r="A918" s="1927" t="s">
        <v>864</v>
      </c>
      <c r="B918" s="1928" t="str">
        <f>报表附注!E1371</f>
        <v>林业</v>
      </c>
      <c r="C918" s="1936">
        <f>报表附注!H1371</f>
        <v>0</v>
      </c>
      <c r="D918" s="1927" t="b">
        <f t="shared" si="17"/>
        <v>1</v>
      </c>
    </row>
    <row r="919" spans="1:4">
      <c r="A919" s="1927" t="s">
        <v>1679</v>
      </c>
      <c r="B919" s="1928" t="str">
        <f>报表附注!E1372</f>
        <v>……  水产业</v>
      </c>
      <c r="C919" s="1936">
        <f>报表附注!H1372</f>
        <v>0</v>
      </c>
      <c r="D919" s="1927" t="b">
        <f t="shared" si="17"/>
        <v>1</v>
      </c>
    </row>
    <row r="920" spans="1:4">
      <c r="A920" s="1927" t="s">
        <v>759</v>
      </c>
      <c r="B920" s="1928" t="str">
        <f>报表附注!E1373</f>
        <v>二、累计折旧合计</v>
      </c>
      <c r="C920" s="1936">
        <f>报表附注!H1373</f>
        <v>0</v>
      </c>
      <c r="D920" s="1927" t="b">
        <f t="shared" si="17"/>
        <v>1</v>
      </c>
    </row>
    <row r="921" spans="1:4">
      <c r="A921" s="1927" t="s">
        <v>1678</v>
      </c>
      <c r="B921" s="1928" t="str">
        <f>报表附注!E1374</f>
        <v>其中：种植业</v>
      </c>
      <c r="C921" s="1936">
        <f>报表附注!H1374</f>
        <v>0</v>
      </c>
      <c r="D921" s="1927" t="b">
        <f t="shared" si="17"/>
        <v>1</v>
      </c>
    </row>
    <row r="922" spans="1:4">
      <c r="A922" s="1927" t="s">
        <v>862</v>
      </c>
      <c r="B922" s="1928" t="str">
        <f>报表附注!E1375</f>
        <v>畜牧养殖业</v>
      </c>
      <c r="C922" s="1936">
        <f>报表附注!H1375</f>
        <v>0</v>
      </c>
      <c r="D922" s="1927" t="b">
        <f t="shared" si="17"/>
        <v>1</v>
      </c>
    </row>
    <row r="923" spans="1:4">
      <c r="A923" s="1927" t="s">
        <v>864</v>
      </c>
      <c r="B923" s="1928" t="str">
        <f>报表附注!E1376</f>
        <v>林业</v>
      </c>
      <c r="C923" s="1936">
        <f>报表附注!H1376</f>
        <v>0</v>
      </c>
      <c r="D923" s="1927" t="b">
        <f t="shared" si="17"/>
        <v>1</v>
      </c>
    </row>
    <row r="924" spans="1:4">
      <c r="A924" s="1927" t="s">
        <v>1679</v>
      </c>
      <c r="B924" s="1928" t="str">
        <f>报表附注!E1377</f>
        <v>……  水产业</v>
      </c>
      <c r="C924" s="1936">
        <f>报表附注!H1377</f>
        <v>0</v>
      </c>
      <c r="D924" s="1927" t="b">
        <f t="shared" si="17"/>
        <v>1</v>
      </c>
    </row>
    <row r="925" spans="1:4">
      <c r="A925" s="1927" t="s">
        <v>1680</v>
      </c>
      <c r="B925" s="1928" t="str">
        <f>报表附注!E1378</f>
        <v>三、减值准备累计金额合计</v>
      </c>
      <c r="C925" s="1936">
        <f>报表附注!H1378</f>
        <v>0</v>
      </c>
      <c r="D925" s="1927" t="b">
        <f t="shared" si="17"/>
        <v>1</v>
      </c>
    </row>
    <row r="926" spans="1:4">
      <c r="A926" s="1927" t="s">
        <v>1678</v>
      </c>
      <c r="B926" s="1928" t="str">
        <f>报表附注!E1379</f>
        <v>其中：种植业</v>
      </c>
      <c r="C926" s="1936">
        <f>报表附注!H1379</f>
        <v>0</v>
      </c>
      <c r="D926" s="1927" t="b">
        <f t="shared" si="17"/>
        <v>1</v>
      </c>
    </row>
    <row r="927" spans="1:4">
      <c r="A927" s="1927" t="s">
        <v>862</v>
      </c>
      <c r="B927" s="1928" t="str">
        <f>报表附注!E1380</f>
        <v>畜牧养殖业</v>
      </c>
      <c r="C927" s="1936">
        <f>报表附注!H1380</f>
        <v>0</v>
      </c>
      <c r="D927" s="1927" t="b">
        <f t="shared" si="17"/>
        <v>1</v>
      </c>
    </row>
    <row r="928" spans="1:4">
      <c r="A928" s="1927" t="s">
        <v>864</v>
      </c>
      <c r="B928" s="1928" t="str">
        <f>报表附注!E1381</f>
        <v>林业</v>
      </c>
      <c r="C928" s="1936">
        <f>报表附注!H1381</f>
        <v>0</v>
      </c>
      <c r="D928" s="1927" t="b">
        <f t="shared" si="17"/>
        <v>1</v>
      </c>
    </row>
    <row r="929" spans="1:4">
      <c r="A929" s="1927" t="s">
        <v>1679</v>
      </c>
      <c r="B929" s="1928" t="str">
        <f>报表附注!E1382</f>
        <v>……  水产业</v>
      </c>
      <c r="C929" s="1936">
        <f>报表附注!H1382</f>
        <v>0</v>
      </c>
      <c r="D929" s="1927" t="b">
        <f t="shared" si="17"/>
        <v>1</v>
      </c>
    </row>
    <row r="930" spans="4:4">
      <c r="D930" s="1927" t="b">
        <f t="shared" si="17"/>
        <v>1</v>
      </c>
    </row>
    <row r="931" spans="1:4">
      <c r="A931" s="1927" t="s">
        <v>1681</v>
      </c>
      <c r="B931" s="1945" t="s">
        <v>1681</v>
      </c>
      <c r="D931" s="1927" t="b">
        <f t="shared" si="17"/>
        <v>1</v>
      </c>
    </row>
    <row r="932" spans="1:4">
      <c r="A932" s="1927" t="s">
        <v>670</v>
      </c>
      <c r="B932" s="1948" t="s">
        <v>670</v>
      </c>
      <c r="D932" s="1927" t="b">
        <f t="shared" si="17"/>
        <v>1</v>
      </c>
    </row>
    <row r="933" spans="1:4">
      <c r="A933" s="1927" t="s">
        <v>714</v>
      </c>
      <c r="B933" s="1949" t="str">
        <f>报表附注!E1396</f>
        <v>一、原价合计</v>
      </c>
      <c r="C933" s="1936">
        <f>报表附注!F1396</f>
        <v>0</v>
      </c>
      <c r="D933" s="1927" t="b">
        <f t="shared" si="17"/>
        <v>1</v>
      </c>
    </row>
    <row r="934" spans="1:4">
      <c r="A934" s="1927" t="s">
        <v>1682</v>
      </c>
      <c r="B934" s="1949" t="str">
        <f>报表附注!E1397</f>
        <v>1．探明矿区权益</v>
      </c>
      <c r="C934" s="1936">
        <f>报表附注!F1397</f>
        <v>0</v>
      </c>
      <c r="D934" s="1927" t="b">
        <f t="shared" si="17"/>
        <v>1</v>
      </c>
    </row>
    <row r="935" spans="1:4">
      <c r="A935" s="1927" t="s">
        <v>1683</v>
      </c>
      <c r="B935" s="1949" t="str">
        <f>报表附注!E1398</f>
        <v>2．未探明矿区权益</v>
      </c>
      <c r="C935" s="1936">
        <f>报表附注!F1398</f>
        <v>0</v>
      </c>
      <c r="D935" s="1927" t="b">
        <f t="shared" si="17"/>
        <v>1</v>
      </c>
    </row>
    <row r="936" spans="1:4">
      <c r="A936" s="1927" t="s">
        <v>1684</v>
      </c>
      <c r="B936" s="1949" t="str">
        <f>报表附注!E1399</f>
        <v>3．井及相关设施</v>
      </c>
      <c r="C936" s="1936">
        <f>报表附注!F1399</f>
        <v>0</v>
      </c>
      <c r="D936" s="1927" t="b">
        <f t="shared" si="17"/>
        <v>1</v>
      </c>
    </row>
    <row r="937" spans="1:4">
      <c r="A937" s="1927" t="s">
        <v>889</v>
      </c>
      <c r="B937" s="1949" t="str">
        <f>报表附注!E1400</f>
        <v>二、累计折耗合计</v>
      </c>
      <c r="C937" s="1936">
        <f>报表附注!F1400</f>
        <v>0</v>
      </c>
      <c r="D937" s="1927" t="b">
        <f t="shared" si="17"/>
        <v>1</v>
      </c>
    </row>
    <row r="938" spans="1:4">
      <c r="A938" s="1927" t="s">
        <v>1682</v>
      </c>
      <c r="B938" s="1949" t="str">
        <f>报表附注!E1401</f>
        <v>1．探明矿区权益</v>
      </c>
      <c r="C938" s="1936">
        <f>报表附注!F1401</f>
        <v>0</v>
      </c>
      <c r="D938" s="1927" t="b">
        <f t="shared" si="17"/>
        <v>1</v>
      </c>
    </row>
    <row r="939" spans="1:4">
      <c r="A939" s="1927" t="s">
        <v>1685</v>
      </c>
      <c r="B939" s="1949" t="str">
        <f>报表附注!E1402</f>
        <v>2．井及相关设施</v>
      </c>
      <c r="C939" s="1936">
        <f>报表附注!F1402</f>
        <v>0</v>
      </c>
      <c r="D939" s="1927" t="b">
        <f t="shared" si="17"/>
        <v>1</v>
      </c>
    </row>
    <row r="940" spans="1:4">
      <c r="A940" s="1927" t="s">
        <v>894</v>
      </c>
      <c r="B940" s="1949" t="str">
        <f>报表附注!E1403</f>
        <v>三、油气资产减值准备累计金额合计</v>
      </c>
      <c r="C940" s="1936">
        <f>报表附注!F1403</f>
        <v>0</v>
      </c>
      <c r="D940" s="1927" t="b">
        <f t="shared" si="17"/>
        <v>1</v>
      </c>
    </row>
    <row r="941" spans="1:4">
      <c r="A941" s="1927" t="s">
        <v>1682</v>
      </c>
      <c r="B941" s="1949" t="str">
        <f>报表附注!E1404</f>
        <v>1．探明矿区权益</v>
      </c>
      <c r="C941" s="1936">
        <f>报表附注!F1404</f>
        <v>0</v>
      </c>
      <c r="D941" s="1927" t="b">
        <f t="shared" si="17"/>
        <v>1</v>
      </c>
    </row>
    <row r="942" spans="1:4">
      <c r="A942" s="1927" t="s">
        <v>1683</v>
      </c>
      <c r="B942" s="1949" t="str">
        <f>报表附注!E1405</f>
        <v>2．未探明矿区权益</v>
      </c>
      <c r="C942" s="1936">
        <f>报表附注!F1405</f>
        <v>0</v>
      </c>
      <c r="D942" s="1927" t="b">
        <f t="shared" si="17"/>
        <v>1</v>
      </c>
    </row>
    <row r="943" spans="1:4">
      <c r="A943" s="1927" t="s">
        <v>1684</v>
      </c>
      <c r="B943" s="1949" t="str">
        <f>报表附注!E1406</f>
        <v>3．井及相关设施</v>
      </c>
      <c r="C943" s="1936">
        <f>报表附注!F1406</f>
        <v>0</v>
      </c>
      <c r="D943" s="1927" t="b">
        <f t="shared" si="17"/>
        <v>1</v>
      </c>
    </row>
    <row r="944" spans="1:4">
      <c r="A944" s="1927" t="s">
        <v>671</v>
      </c>
      <c r="B944" s="1948" t="s">
        <v>671</v>
      </c>
      <c r="D944" s="1927" t="b">
        <f t="shared" si="17"/>
        <v>1</v>
      </c>
    </row>
    <row r="945" spans="1:4">
      <c r="A945" s="1927" t="s">
        <v>714</v>
      </c>
      <c r="B945" s="1949" t="str">
        <f>报表附注!E1396</f>
        <v>一、原价合计</v>
      </c>
      <c r="C945" s="1936">
        <f>报表附注!G1396</f>
        <v>0</v>
      </c>
      <c r="D945" s="1927" t="b">
        <f t="shared" si="17"/>
        <v>1</v>
      </c>
    </row>
    <row r="946" spans="1:4">
      <c r="A946" s="1927" t="s">
        <v>1682</v>
      </c>
      <c r="B946" s="1949" t="str">
        <f>报表附注!E1397</f>
        <v>1．探明矿区权益</v>
      </c>
      <c r="C946" s="1936">
        <f>报表附注!G1397</f>
        <v>0</v>
      </c>
      <c r="D946" s="1927" t="b">
        <f t="shared" si="17"/>
        <v>1</v>
      </c>
    </row>
    <row r="947" spans="1:4">
      <c r="A947" s="1927" t="s">
        <v>1683</v>
      </c>
      <c r="B947" s="1949" t="str">
        <f>报表附注!E1398</f>
        <v>2．未探明矿区权益</v>
      </c>
      <c r="C947" s="1936">
        <f>报表附注!G1398</f>
        <v>0</v>
      </c>
      <c r="D947" s="1927" t="b">
        <f t="shared" si="17"/>
        <v>1</v>
      </c>
    </row>
    <row r="948" spans="1:4">
      <c r="A948" s="1927" t="s">
        <v>1684</v>
      </c>
      <c r="B948" s="1949" t="str">
        <f>报表附注!E1399</f>
        <v>3．井及相关设施</v>
      </c>
      <c r="C948" s="1936">
        <f>报表附注!G1399</f>
        <v>0</v>
      </c>
      <c r="D948" s="1927" t="b">
        <f t="shared" si="17"/>
        <v>1</v>
      </c>
    </row>
    <row r="949" spans="1:4">
      <c r="A949" s="1927" t="s">
        <v>889</v>
      </c>
      <c r="B949" s="1949" t="str">
        <f>报表附注!E1400</f>
        <v>二、累计折耗合计</v>
      </c>
      <c r="C949" s="1936">
        <f>报表附注!G1400</f>
        <v>0</v>
      </c>
      <c r="D949" s="1927" t="b">
        <f t="shared" si="17"/>
        <v>1</v>
      </c>
    </row>
    <row r="950" spans="1:4">
      <c r="A950" s="1927" t="s">
        <v>1682</v>
      </c>
      <c r="B950" s="1949" t="str">
        <f>报表附注!E1401</f>
        <v>1．探明矿区权益</v>
      </c>
      <c r="C950" s="1936">
        <f>报表附注!G1401</f>
        <v>0</v>
      </c>
      <c r="D950" s="1927" t="b">
        <f t="shared" si="17"/>
        <v>1</v>
      </c>
    </row>
    <row r="951" spans="1:4">
      <c r="A951" s="1927" t="s">
        <v>1685</v>
      </c>
      <c r="B951" s="1949" t="str">
        <f>报表附注!E1402</f>
        <v>2．井及相关设施</v>
      </c>
      <c r="C951" s="1936">
        <f>报表附注!G1402</f>
        <v>0</v>
      </c>
      <c r="D951" s="1927" t="b">
        <f t="shared" si="17"/>
        <v>1</v>
      </c>
    </row>
    <row r="952" spans="1:4">
      <c r="A952" s="1927" t="s">
        <v>894</v>
      </c>
      <c r="B952" s="1949" t="str">
        <f>报表附注!E1403</f>
        <v>三、油气资产减值准备累计金额合计</v>
      </c>
      <c r="C952" s="1936">
        <f>报表附注!G1403</f>
        <v>0</v>
      </c>
      <c r="D952" s="1927" t="b">
        <f t="shared" si="17"/>
        <v>1</v>
      </c>
    </row>
    <row r="953" spans="1:4">
      <c r="A953" s="1927" t="s">
        <v>1682</v>
      </c>
      <c r="B953" s="1949" t="str">
        <f>报表附注!E1404</f>
        <v>1．探明矿区权益</v>
      </c>
      <c r="C953" s="1936">
        <f>报表附注!G1404</f>
        <v>0</v>
      </c>
      <c r="D953" s="1927" t="b">
        <f t="shared" si="17"/>
        <v>1</v>
      </c>
    </row>
    <row r="954" spans="1:4">
      <c r="A954" s="1927" t="s">
        <v>1683</v>
      </c>
      <c r="B954" s="1949" t="str">
        <f>报表附注!E1405</f>
        <v>2．未探明矿区权益</v>
      </c>
      <c r="C954" s="1936">
        <f>报表附注!G1405</f>
        <v>0</v>
      </c>
      <c r="D954" s="1927" t="b">
        <f t="shared" si="17"/>
        <v>1</v>
      </c>
    </row>
    <row r="955" spans="1:4">
      <c r="A955" s="1927" t="s">
        <v>1684</v>
      </c>
      <c r="B955" s="1949" t="str">
        <f>报表附注!E1406</f>
        <v>3．井及相关设施</v>
      </c>
      <c r="C955" s="1936">
        <f>报表附注!G1406</f>
        <v>0</v>
      </c>
      <c r="D955" s="1927" t="b">
        <f t="shared" si="17"/>
        <v>1</v>
      </c>
    </row>
    <row r="956" spans="1:4">
      <c r="A956" s="1927" t="s">
        <v>672</v>
      </c>
      <c r="B956" s="1948" t="s">
        <v>672</v>
      </c>
      <c r="D956" s="1927" t="b">
        <f t="shared" si="17"/>
        <v>1</v>
      </c>
    </row>
    <row r="957" spans="1:4">
      <c r="A957" s="1927" t="s">
        <v>714</v>
      </c>
      <c r="B957" s="1949" t="str">
        <f>报表附注!E1396</f>
        <v>一、原价合计</v>
      </c>
      <c r="C957" s="1936">
        <f>报表附注!H1396</f>
        <v>0</v>
      </c>
      <c r="D957" s="1927" t="b">
        <f t="shared" si="17"/>
        <v>1</v>
      </c>
    </row>
    <row r="958" spans="1:4">
      <c r="A958" s="1927" t="s">
        <v>1682</v>
      </c>
      <c r="B958" s="1949" t="str">
        <f>报表附注!E1397</f>
        <v>1．探明矿区权益</v>
      </c>
      <c r="C958" s="1936">
        <f>报表附注!H1397</f>
        <v>0</v>
      </c>
      <c r="D958" s="1927" t="b">
        <f t="shared" si="17"/>
        <v>1</v>
      </c>
    </row>
    <row r="959" spans="1:4">
      <c r="A959" s="1927" t="s">
        <v>1683</v>
      </c>
      <c r="B959" s="1949" t="str">
        <f>报表附注!E1398</f>
        <v>2．未探明矿区权益</v>
      </c>
      <c r="C959" s="1936">
        <f>报表附注!H1398</f>
        <v>0</v>
      </c>
      <c r="D959" s="1927" t="b">
        <f t="shared" si="17"/>
        <v>1</v>
      </c>
    </row>
    <row r="960" spans="1:4">
      <c r="A960" s="1927" t="s">
        <v>1684</v>
      </c>
      <c r="B960" s="1949" t="str">
        <f>报表附注!E1399</f>
        <v>3．井及相关设施</v>
      </c>
      <c r="C960" s="1936">
        <f>报表附注!H1399</f>
        <v>0</v>
      </c>
      <c r="D960" s="1927" t="b">
        <f t="shared" si="17"/>
        <v>1</v>
      </c>
    </row>
    <row r="961" spans="1:4">
      <c r="A961" s="1927" t="s">
        <v>889</v>
      </c>
      <c r="B961" s="1949" t="str">
        <f>报表附注!E1400</f>
        <v>二、累计折耗合计</v>
      </c>
      <c r="C961" s="1936">
        <f>报表附注!H1400</f>
        <v>0</v>
      </c>
      <c r="D961" s="1927" t="b">
        <f t="shared" si="17"/>
        <v>1</v>
      </c>
    </row>
    <row r="962" spans="1:4">
      <c r="A962" s="1927" t="s">
        <v>1682</v>
      </c>
      <c r="B962" s="1949" t="str">
        <f>报表附注!E1401</f>
        <v>1．探明矿区权益</v>
      </c>
      <c r="C962" s="1936">
        <f>报表附注!H1401</f>
        <v>0</v>
      </c>
      <c r="D962" s="1927" t="b">
        <f t="shared" si="17"/>
        <v>1</v>
      </c>
    </row>
    <row r="963" spans="1:4">
      <c r="A963" s="1927" t="s">
        <v>1685</v>
      </c>
      <c r="B963" s="1949" t="str">
        <f>报表附注!E1402</f>
        <v>2．井及相关设施</v>
      </c>
      <c r="C963" s="1936">
        <f>报表附注!H1402</f>
        <v>0</v>
      </c>
      <c r="D963" s="1927" t="b">
        <f t="shared" si="17"/>
        <v>1</v>
      </c>
    </row>
    <row r="964" spans="1:4">
      <c r="A964" s="1927" t="s">
        <v>894</v>
      </c>
      <c r="B964" s="1949" t="str">
        <f>报表附注!E1403</f>
        <v>三、油气资产减值准备累计金额合计</v>
      </c>
      <c r="C964" s="1936">
        <f>报表附注!H1403</f>
        <v>0</v>
      </c>
      <c r="D964" s="1927" t="b">
        <f t="shared" si="17"/>
        <v>1</v>
      </c>
    </row>
    <row r="965" spans="1:4">
      <c r="A965" s="1927" t="s">
        <v>1682</v>
      </c>
      <c r="B965" s="1949" t="str">
        <f>报表附注!E1404</f>
        <v>1．探明矿区权益</v>
      </c>
      <c r="C965" s="1936">
        <f>报表附注!H1404</f>
        <v>0</v>
      </c>
      <c r="D965" s="1927" t="b">
        <f t="shared" si="17"/>
        <v>1</v>
      </c>
    </row>
    <row r="966" spans="1:4">
      <c r="A966" s="1927" t="s">
        <v>1683</v>
      </c>
      <c r="B966" s="1949" t="str">
        <f>报表附注!E1405</f>
        <v>2．未探明矿区权益</v>
      </c>
      <c r="C966" s="1936">
        <f>报表附注!H1405</f>
        <v>0</v>
      </c>
      <c r="D966" s="1927" t="b">
        <f t="shared" si="17"/>
        <v>1</v>
      </c>
    </row>
    <row r="967" spans="1:4">
      <c r="A967" s="1927" t="s">
        <v>1684</v>
      </c>
      <c r="B967" s="1949" t="str">
        <f>报表附注!E1406</f>
        <v>3．井及相关设施</v>
      </c>
      <c r="C967" s="1936">
        <f>报表附注!H1406</f>
        <v>0</v>
      </c>
      <c r="D967" s="1927" t="b">
        <f t="shared" si="17"/>
        <v>1</v>
      </c>
    </row>
    <row r="968" spans="4:4">
      <c r="D968" s="1927" t="b">
        <f t="shared" si="17"/>
        <v>1</v>
      </c>
    </row>
    <row r="969" spans="4:4">
      <c r="D969" s="1927" t="b">
        <f t="shared" si="17"/>
        <v>1</v>
      </c>
    </row>
    <row r="970" spans="1:4">
      <c r="A970" s="1927" t="s">
        <v>1686</v>
      </c>
      <c r="B970" s="1945" t="s">
        <v>1686</v>
      </c>
      <c r="D970" s="1927" t="b">
        <f t="shared" si="17"/>
        <v>1</v>
      </c>
    </row>
    <row r="971" spans="1:4">
      <c r="A971" s="1927" t="s">
        <v>1579</v>
      </c>
      <c r="B971" s="1948" t="s">
        <v>1579</v>
      </c>
      <c r="D971" s="1927" t="b">
        <f t="shared" si="17"/>
        <v>1</v>
      </c>
    </row>
    <row r="972" spans="1:4">
      <c r="A972" s="1927" t="s">
        <v>714</v>
      </c>
      <c r="B972" s="1966" t="str">
        <f>报表附注!E1421</f>
        <v>一、原价合计</v>
      </c>
      <c r="C972" s="1936">
        <f>报表附注!F1421</f>
        <v>0</v>
      </c>
      <c r="D972" s="1927" t="b">
        <f t="shared" ref="D972:D1035" si="18">EXACT(A972,B972)</f>
        <v>1</v>
      </c>
    </row>
    <row r="973" spans="1:4">
      <c r="A973" s="1927" t="s">
        <v>1687</v>
      </c>
      <c r="B973" s="1966" t="str">
        <f>报表附注!E1422</f>
        <v>1、土地使用权</v>
      </c>
      <c r="C973" s="1936">
        <f>报表附注!F1422</f>
        <v>0</v>
      </c>
      <c r="D973" s="1927" t="b">
        <f t="shared" si="18"/>
        <v>0</v>
      </c>
    </row>
    <row r="974" spans="1:4">
      <c r="A974" s="1927" t="s">
        <v>1688</v>
      </c>
      <c r="B974" s="1966" t="str">
        <f>报表附注!E1423</f>
        <v>2、软件</v>
      </c>
      <c r="C974" s="1936">
        <f>报表附注!F1423</f>
        <v>0</v>
      </c>
      <c r="D974" s="1927" t="b">
        <f t="shared" si="18"/>
        <v>0</v>
      </c>
    </row>
    <row r="975" spans="1:4">
      <c r="A975" s="1927" t="s">
        <v>1689</v>
      </c>
      <c r="B975" s="1966" t="str">
        <f>报表附注!E1424</f>
        <v>3、专利权</v>
      </c>
      <c r="C975" s="1936">
        <f>报表附注!F1424</f>
        <v>0</v>
      </c>
      <c r="D975" s="1927" t="b">
        <f t="shared" si="18"/>
        <v>0</v>
      </c>
    </row>
    <row r="976" spans="1:4">
      <c r="A976" s="1927" t="s">
        <v>1690</v>
      </c>
      <c r="B976" s="1966" t="str">
        <f>报表附注!E1425</f>
        <v>4、其它</v>
      </c>
      <c r="C976" s="1936">
        <f>报表附注!F1425</f>
        <v>0</v>
      </c>
      <c r="D976" s="1927" t="b">
        <f t="shared" si="18"/>
        <v>0</v>
      </c>
    </row>
    <row r="977" spans="1:4">
      <c r="A977" s="1927" t="s">
        <v>1691</v>
      </c>
      <c r="B977" s="1966">
        <f>报表附注!E1426</f>
        <v>0</v>
      </c>
      <c r="C977" s="1936">
        <f>报表附注!F1426</f>
        <v>0</v>
      </c>
      <c r="D977" s="1927" t="b">
        <f t="shared" si="18"/>
        <v>0</v>
      </c>
    </row>
    <row r="978" spans="1:4">
      <c r="A978" s="1927" t="s">
        <v>1692</v>
      </c>
      <c r="B978" s="1966">
        <f>报表附注!E1427</f>
        <v>0</v>
      </c>
      <c r="C978" s="1936">
        <f>报表附注!F1427</f>
        <v>0</v>
      </c>
      <c r="D978" s="1927" t="b">
        <f t="shared" si="18"/>
        <v>0</v>
      </c>
    </row>
    <row r="979" spans="1:4">
      <c r="A979" s="1927" t="s">
        <v>1693</v>
      </c>
      <c r="B979" s="1966">
        <f>报表附注!E1428</f>
        <v>0</v>
      </c>
      <c r="C979" s="1936">
        <f>报表附注!F1428</f>
        <v>0</v>
      </c>
      <c r="D979" s="1927" t="b">
        <f t="shared" si="18"/>
        <v>0</v>
      </c>
    </row>
    <row r="980" spans="1:4">
      <c r="A980" s="1927" t="s">
        <v>1694</v>
      </c>
      <c r="B980" s="1966">
        <f>报表附注!E1429</f>
        <v>0</v>
      </c>
      <c r="C980" s="1936">
        <f>报表附注!F1429</f>
        <v>0</v>
      </c>
      <c r="D980" s="1927" t="b">
        <f t="shared" si="18"/>
        <v>0</v>
      </c>
    </row>
    <row r="981" spans="1:4">
      <c r="A981" s="1927" t="s">
        <v>1695</v>
      </c>
      <c r="B981" s="1966">
        <f>报表附注!E1430</f>
        <v>0</v>
      </c>
      <c r="C981" s="1936">
        <f>报表附注!F1430</f>
        <v>0</v>
      </c>
      <c r="D981" s="1927" t="b">
        <f t="shared" si="18"/>
        <v>0</v>
      </c>
    </row>
    <row r="982" spans="1:4">
      <c r="A982" s="1927" t="s">
        <v>1696</v>
      </c>
      <c r="B982" s="1966">
        <f>报表附注!E1431</f>
        <v>0</v>
      </c>
      <c r="C982" s="1936">
        <f>报表附注!F1431</f>
        <v>0</v>
      </c>
      <c r="D982" s="1927" t="b">
        <f t="shared" si="18"/>
        <v>0</v>
      </c>
    </row>
    <row r="983" spans="1:4">
      <c r="A983" s="1927" t="s">
        <v>1697</v>
      </c>
      <c r="B983" s="1966">
        <f>报表附注!E1432</f>
        <v>0</v>
      </c>
      <c r="C983" s="1936">
        <f>报表附注!F1432</f>
        <v>0</v>
      </c>
      <c r="D983" s="1927" t="b">
        <f t="shared" si="18"/>
        <v>0</v>
      </c>
    </row>
    <row r="984" spans="1:4">
      <c r="A984" s="1927" t="s">
        <v>1698</v>
      </c>
      <c r="B984" s="1966">
        <f>报表附注!E1433</f>
        <v>0</v>
      </c>
      <c r="C984" s="1936">
        <f>报表附注!F1433</f>
        <v>0</v>
      </c>
      <c r="D984" s="1927" t="b">
        <f t="shared" si="18"/>
        <v>0</v>
      </c>
    </row>
    <row r="985" spans="1:4">
      <c r="A985" s="1927" t="s">
        <v>1699</v>
      </c>
      <c r="B985" s="1966">
        <f>报表附注!E1434</f>
        <v>0</v>
      </c>
      <c r="C985" s="1936">
        <f>报表附注!F1434</f>
        <v>0</v>
      </c>
      <c r="D985" s="1927" t="b">
        <f t="shared" si="18"/>
        <v>0</v>
      </c>
    </row>
    <row r="986" spans="1:4">
      <c r="A986" s="1927" t="s">
        <v>1700</v>
      </c>
      <c r="B986" s="1966">
        <f>报表附注!E1435</f>
        <v>0</v>
      </c>
      <c r="C986" s="1936">
        <f>报表附注!F1435</f>
        <v>0</v>
      </c>
      <c r="D986" s="1927" t="b">
        <f t="shared" si="18"/>
        <v>0</v>
      </c>
    </row>
    <row r="987" spans="1:4">
      <c r="A987" s="1927" t="s">
        <v>904</v>
      </c>
      <c r="B987" s="1966" t="str">
        <f>报表附注!E1436</f>
        <v>二、累计摊销额合计</v>
      </c>
      <c r="C987" s="1936">
        <f>报表附注!F1436</f>
        <v>0</v>
      </c>
      <c r="D987" s="1927" t="b">
        <f t="shared" si="18"/>
        <v>1</v>
      </c>
    </row>
    <row r="988" spans="1:4">
      <c r="A988" s="1927" t="s">
        <v>1687</v>
      </c>
      <c r="B988" s="1966" t="str">
        <f>报表附注!E1437</f>
        <v>1、土地使用权</v>
      </c>
      <c r="C988" s="1936">
        <f>报表附注!F1437</f>
        <v>0</v>
      </c>
      <c r="D988" s="1927" t="b">
        <f t="shared" si="18"/>
        <v>0</v>
      </c>
    </row>
    <row r="989" spans="1:4">
      <c r="A989" s="1927" t="s">
        <v>1688</v>
      </c>
      <c r="B989" s="1966" t="str">
        <f>报表附注!E1438</f>
        <v>2、软件</v>
      </c>
      <c r="C989" s="1936">
        <f>报表附注!F1438</f>
        <v>0</v>
      </c>
      <c r="D989" s="1927" t="b">
        <f t="shared" si="18"/>
        <v>0</v>
      </c>
    </row>
    <row r="990" spans="1:4">
      <c r="A990" s="1927" t="s">
        <v>1689</v>
      </c>
      <c r="B990" s="1966" t="str">
        <f>报表附注!E1439</f>
        <v>3、专利权</v>
      </c>
      <c r="C990" s="1936">
        <f>报表附注!F1439</f>
        <v>0</v>
      </c>
      <c r="D990" s="1927" t="b">
        <f t="shared" si="18"/>
        <v>0</v>
      </c>
    </row>
    <row r="991" spans="1:4">
      <c r="A991" s="1927" t="s">
        <v>1690</v>
      </c>
      <c r="B991" s="1966" t="str">
        <f>报表附注!E1440</f>
        <v>4、其它</v>
      </c>
      <c r="C991" s="1936">
        <f>报表附注!F1440</f>
        <v>0</v>
      </c>
      <c r="D991" s="1927" t="b">
        <f t="shared" si="18"/>
        <v>0</v>
      </c>
    </row>
    <row r="992" spans="1:4">
      <c r="A992" s="1927" t="s">
        <v>1691</v>
      </c>
      <c r="B992" s="1966">
        <f>报表附注!E1441</f>
        <v>0</v>
      </c>
      <c r="C992" s="1936">
        <f>报表附注!F1441</f>
        <v>0</v>
      </c>
      <c r="D992" s="1927" t="b">
        <f t="shared" si="18"/>
        <v>0</v>
      </c>
    </row>
    <row r="993" spans="1:4">
      <c r="A993" s="1927" t="s">
        <v>1692</v>
      </c>
      <c r="B993" s="1966">
        <f>报表附注!E1442</f>
        <v>0</v>
      </c>
      <c r="C993" s="1936">
        <f>报表附注!F1442</f>
        <v>0</v>
      </c>
      <c r="D993" s="1927" t="b">
        <f t="shared" si="18"/>
        <v>0</v>
      </c>
    </row>
    <row r="994" spans="1:4">
      <c r="A994" s="1927" t="s">
        <v>1693</v>
      </c>
      <c r="B994" s="1966">
        <f>报表附注!E1443</f>
        <v>0</v>
      </c>
      <c r="C994" s="1936">
        <f>报表附注!F1443</f>
        <v>0</v>
      </c>
      <c r="D994" s="1927" t="b">
        <f t="shared" si="18"/>
        <v>0</v>
      </c>
    </row>
    <row r="995" spans="1:4">
      <c r="A995" s="1927" t="s">
        <v>1694</v>
      </c>
      <c r="B995" s="1966">
        <f>报表附注!E1444</f>
        <v>0</v>
      </c>
      <c r="C995" s="1936">
        <f>报表附注!F1444</f>
        <v>0</v>
      </c>
      <c r="D995" s="1927" t="b">
        <f t="shared" si="18"/>
        <v>0</v>
      </c>
    </row>
    <row r="996" spans="1:4">
      <c r="A996" s="1927" t="s">
        <v>1695</v>
      </c>
      <c r="B996" s="1966">
        <f>报表附注!E1445</f>
        <v>0</v>
      </c>
      <c r="C996" s="1936">
        <f>报表附注!F1445</f>
        <v>0</v>
      </c>
      <c r="D996" s="1927" t="b">
        <f t="shared" si="18"/>
        <v>0</v>
      </c>
    </row>
    <row r="997" spans="1:4">
      <c r="A997" s="1927" t="s">
        <v>1696</v>
      </c>
      <c r="B997" s="1966">
        <f>报表附注!E1446</f>
        <v>0</v>
      </c>
      <c r="C997" s="1936">
        <f>报表附注!F1446</f>
        <v>0</v>
      </c>
      <c r="D997" s="1927" t="b">
        <f t="shared" si="18"/>
        <v>0</v>
      </c>
    </row>
    <row r="998" spans="1:4">
      <c r="A998" s="1927" t="s">
        <v>1697</v>
      </c>
      <c r="B998" s="1966">
        <f>报表附注!E1447</f>
        <v>0</v>
      </c>
      <c r="C998" s="1936">
        <f>报表附注!F1447</f>
        <v>0</v>
      </c>
      <c r="D998" s="1927" t="b">
        <f t="shared" si="18"/>
        <v>0</v>
      </c>
    </row>
    <row r="999" spans="1:4">
      <c r="A999" s="1927" t="s">
        <v>1698</v>
      </c>
      <c r="B999" s="1966">
        <f>报表附注!E1448</f>
        <v>0</v>
      </c>
      <c r="C999" s="1936">
        <f>报表附注!F1448</f>
        <v>0</v>
      </c>
      <c r="D999" s="1927" t="b">
        <f t="shared" si="18"/>
        <v>0</v>
      </c>
    </row>
    <row r="1000" spans="1:4">
      <c r="A1000" s="1927" t="s">
        <v>1699</v>
      </c>
      <c r="B1000" s="1966">
        <f>报表附注!E1449</f>
        <v>0</v>
      </c>
      <c r="C1000" s="1936">
        <f>报表附注!F1449</f>
        <v>0</v>
      </c>
      <c r="D1000" s="1927" t="b">
        <f t="shared" si="18"/>
        <v>0</v>
      </c>
    </row>
    <row r="1001" spans="1:4">
      <c r="A1001" s="1927" t="s">
        <v>1700</v>
      </c>
      <c r="B1001" s="1966">
        <f>报表附注!E1450</f>
        <v>0</v>
      </c>
      <c r="C1001" s="1936">
        <f>报表附注!F1450</f>
        <v>0</v>
      </c>
      <c r="D1001" s="1927" t="b">
        <f t="shared" si="18"/>
        <v>0</v>
      </c>
    </row>
    <row r="1002" spans="1:4">
      <c r="A1002" s="1927" t="s">
        <v>907</v>
      </c>
      <c r="B1002" s="1966" t="str">
        <f>报表附注!E1451</f>
        <v>三、无形资产减值准备累计金额合计</v>
      </c>
      <c r="C1002" s="1936">
        <f>报表附注!F1451</f>
        <v>0</v>
      </c>
      <c r="D1002" s="1927" t="b">
        <f t="shared" si="18"/>
        <v>1</v>
      </c>
    </row>
    <row r="1003" spans="1:4">
      <c r="A1003" s="1927" t="s">
        <v>1687</v>
      </c>
      <c r="B1003" s="1966" t="str">
        <f>报表附注!E1452</f>
        <v>1、土地使用权</v>
      </c>
      <c r="C1003" s="1936">
        <f>报表附注!F1452</f>
        <v>0</v>
      </c>
      <c r="D1003" s="1927" t="b">
        <f t="shared" si="18"/>
        <v>0</v>
      </c>
    </row>
    <row r="1004" spans="1:4">
      <c r="A1004" s="1927" t="s">
        <v>1688</v>
      </c>
      <c r="B1004" s="1966" t="str">
        <f>报表附注!E1453</f>
        <v>2、软件</v>
      </c>
      <c r="C1004" s="1936">
        <f>报表附注!F1453</f>
        <v>0</v>
      </c>
      <c r="D1004" s="1927" t="b">
        <f t="shared" si="18"/>
        <v>0</v>
      </c>
    </row>
    <row r="1005" spans="1:4">
      <c r="A1005" s="1927" t="s">
        <v>1689</v>
      </c>
      <c r="B1005" s="1966" t="str">
        <f>报表附注!E1454</f>
        <v>3、专利权</v>
      </c>
      <c r="C1005" s="1936">
        <f>报表附注!F1454</f>
        <v>0</v>
      </c>
      <c r="D1005" s="1927" t="b">
        <f t="shared" si="18"/>
        <v>0</v>
      </c>
    </row>
    <row r="1006" spans="1:4">
      <c r="A1006" s="1927" t="s">
        <v>1690</v>
      </c>
      <c r="B1006" s="1966" t="str">
        <f>报表附注!E1455</f>
        <v>4、其它</v>
      </c>
      <c r="C1006" s="1936">
        <f>报表附注!F1455</f>
        <v>0</v>
      </c>
      <c r="D1006" s="1927" t="b">
        <f t="shared" si="18"/>
        <v>0</v>
      </c>
    </row>
    <row r="1007" spans="1:4">
      <c r="A1007" s="1927" t="s">
        <v>1691</v>
      </c>
      <c r="B1007" s="1966">
        <f>报表附注!E1456</f>
        <v>0</v>
      </c>
      <c r="C1007" s="1936">
        <f>报表附注!F1456</f>
        <v>0</v>
      </c>
      <c r="D1007" s="1927" t="b">
        <f t="shared" si="18"/>
        <v>0</v>
      </c>
    </row>
    <row r="1008" spans="1:4">
      <c r="A1008" s="1927" t="s">
        <v>1692</v>
      </c>
      <c r="B1008" s="1966">
        <f>报表附注!E1457</f>
        <v>0</v>
      </c>
      <c r="C1008" s="1936">
        <f>报表附注!F1457</f>
        <v>0</v>
      </c>
      <c r="D1008" s="1927" t="b">
        <f t="shared" si="18"/>
        <v>0</v>
      </c>
    </row>
    <row r="1009" spans="1:4">
      <c r="A1009" s="1927" t="s">
        <v>1693</v>
      </c>
      <c r="B1009" s="1966">
        <f>报表附注!E1458</f>
        <v>0</v>
      </c>
      <c r="C1009" s="1936">
        <f>报表附注!F1458</f>
        <v>0</v>
      </c>
      <c r="D1009" s="1927" t="b">
        <f t="shared" si="18"/>
        <v>0</v>
      </c>
    </row>
    <row r="1010" spans="1:4">
      <c r="A1010" s="1927" t="s">
        <v>1694</v>
      </c>
      <c r="B1010" s="1966">
        <f>报表附注!E1459</f>
        <v>0</v>
      </c>
      <c r="C1010" s="1936">
        <f>报表附注!F1459</f>
        <v>0</v>
      </c>
      <c r="D1010" s="1927" t="b">
        <f t="shared" si="18"/>
        <v>0</v>
      </c>
    </row>
    <row r="1011" spans="1:4">
      <c r="A1011" s="1927" t="s">
        <v>1695</v>
      </c>
      <c r="B1011" s="1966">
        <f>报表附注!E1460</f>
        <v>0</v>
      </c>
      <c r="C1011" s="1936">
        <f>报表附注!F1460</f>
        <v>0</v>
      </c>
      <c r="D1011" s="1927" t="b">
        <f t="shared" si="18"/>
        <v>0</v>
      </c>
    </row>
    <row r="1012" spans="1:4">
      <c r="A1012" s="1927" t="s">
        <v>1696</v>
      </c>
      <c r="B1012" s="1966">
        <f>报表附注!E1461</f>
        <v>0</v>
      </c>
      <c r="C1012" s="1936">
        <f>报表附注!F1461</f>
        <v>0</v>
      </c>
      <c r="D1012" s="1927" t="b">
        <f t="shared" si="18"/>
        <v>0</v>
      </c>
    </row>
    <row r="1013" spans="1:4">
      <c r="A1013" s="1927" t="s">
        <v>1697</v>
      </c>
      <c r="B1013" s="1966">
        <f>报表附注!E1462</f>
        <v>0</v>
      </c>
      <c r="C1013" s="1936">
        <f>报表附注!F1462</f>
        <v>0</v>
      </c>
      <c r="D1013" s="1927" t="b">
        <f t="shared" si="18"/>
        <v>0</v>
      </c>
    </row>
    <row r="1014" spans="1:4">
      <c r="A1014" s="1927" t="s">
        <v>1698</v>
      </c>
      <c r="B1014" s="1966">
        <f>报表附注!E1463</f>
        <v>0</v>
      </c>
      <c r="C1014" s="1936">
        <f>报表附注!F1463</f>
        <v>0</v>
      </c>
      <c r="D1014" s="1927" t="b">
        <f t="shared" si="18"/>
        <v>0</v>
      </c>
    </row>
    <row r="1015" spans="1:4">
      <c r="A1015" s="1927" t="s">
        <v>1699</v>
      </c>
      <c r="B1015" s="1966">
        <f>报表附注!E1464</f>
        <v>0</v>
      </c>
      <c r="C1015" s="1936">
        <f>报表附注!F1464</f>
        <v>0</v>
      </c>
      <c r="D1015" s="1927" t="b">
        <f t="shared" si="18"/>
        <v>0</v>
      </c>
    </row>
    <row r="1016" spans="1:4">
      <c r="A1016" s="1927" t="s">
        <v>1700</v>
      </c>
      <c r="B1016" s="1966">
        <f>报表附注!E1465</f>
        <v>0</v>
      </c>
      <c r="C1016" s="1936">
        <f>报表附注!F1465</f>
        <v>0</v>
      </c>
      <c r="D1016" s="1927" t="b">
        <f t="shared" si="18"/>
        <v>0</v>
      </c>
    </row>
    <row r="1017" spans="1:4">
      <c r="A1017" s="1927" t="s">
        <v>671</v>
      </c>
      <c r="B1017" s="1971" t="s">
        <v>671</v>
      </c>
      <c r="D1017" s="1927" t="b">
        <f t="shared" si="18"/>
        <v>1</v>
      </c>
    </row>
    <row r="1018" spans="1:4">
      <c r="A1018" s="1927" t="s">
        <v>714</v>
      </c>
      <c r="B1018" s="1966" t="str">
        <f>报表附注!E1421</f>
        <v>一、原价合计</v>
      </c>
      <c r="C1018" s="1936">
        <f>报表附注!G1421</f>
        <v>0</v>
      </c>
      <c r="D1018" s="1927" t="b">
        <f t="shared" si="18"/>
        <v>1</v>
      </c>
    </row>
    <row r="1019" spans="1:4">
      <c r="A1019" s="1927" t="s">
        <v>1687</v>
      </c>
      <c r="B1019" s="1966" t="str">
        <f>报表附注!E1422</f>
        <v>1、土地使用权</v>
      </c>
      <c r="C1019" s="1936">
        <f>报表附注!G1422</f>
        <v>0</v>
      </c>
      <c r="D1019" s="1927" t="b">
        <f t="shared" si="18"/>
        <v>0</v>
      </c>
    </row>
    <row r="1020" spans="1:4">
      <c r="A1020" s="1927" t="s">
        <v>1688</v>
      </c>
      <c r="B1020" s="1966" t="str">
        <f>报表附注!E1423</f>
        <v>2、软件</v>
      </c>
      <c r="C1020" s="1936">
        <f>报表附注!G1423</f>
        <v>0</v>
      </c>
      <c r="D1020" s="1927" t="b">
        <f t="shared" si="18"/>
        <v>0</v>
      </c>
    </row>
    <row r="1021" spans="1:4">
      <c r="A1021" s="1927" t="s">
        <v>1689</v>
      </c>
      <c r="B1021" s="1966" t="str">
        <f>报表附注!E1424</f>
        <v>3、专利权</v>
      </c>
      <c r="C1021" s="1936">
        <f>报表附注!G1424</f>
        <v>0</v>
      </c>
      <c r="D1021" s="1927" t="b">
        <f t="shared" si="18"/>
        <v>0</v>
      </c>
    </row>
    <row r="1022" spans="1:4">
      <c r="A1022" s="1927" t="s">
        <v>1690</v>
      </c>
      <c r="B1022" s="1966" t="str">
        <f>报表附注!E1425</f>
        <v>4、其它</v>
      </c>
      <c r="C1022" s="1936">
        <f>报表附注!G1425</f>
        <v>0</v>
      </c>
      <c r="D1022" s="1927" t="b">
        <f t="shared" si="18"/>
        <v>0</v>
      </c>
    </row>
    <row r="1023" spans="1:4">
      <c r="A1023" s="1927" t="s">
        <v>1691</v>
      </c>
      <c r="B1023" s="1966">
        <f>报表附注!E1426</f>
        <v>0</v>
      </c>
      <c r="C1023" s="1936">
        <f>报表附注!G1426</f>
        <v>0</v>
      </c>
      <c r="D1023" s="1927" t="b">
        <f t="shared" si="18"/>
        <v>0</v>
      </c>
    </row>
    <row r="1024" spans="1:4">
      <c r="A1024" s="1927" t="s">
        <v>1692</v>
      </c>
      <c r="B1024" s="1966">
        <f>报表附注!E1427</f>
        <v>0</v>
      </c>
      <c r="C1024" s="1936">
        <f>报表附注!G1427</f>
        <v>0</v>
      </c>
      <c r="D1024" s="1927" t="b">
        <f t="shared" si="18"/>
        <v>0</v>
      </c>
    </row>
    <row r="1025" spans="1:4">
      <c r="A1025" s="1927" t="s">
        <v>1693</v>
      </c>
      <c r="B1025" s="1966">
        <f>报表附注!E1428</f>
        <v>0</v>
      </c>
      <c r="C1025" s="1936">
        <f>报表附注!G1428</f>
        <v>0</v>
      </c>
      <c r="D1025" s="1927" t="b">
        <f t="shared" si="18"/>
        <v>0</v>
      </c>
    </row>
    <row r="1026" spans="1:4">
      <c r="A1026" s="1927" t="s">
        <v>1694</v>
      </c>
      <c r="B1026" s="1966">
        <f>报表附注!E1429</f>
        <v>0</v>
      </c>
      <c r="C1026" s="1936">
        <f>报表附注!G1429</f>
        <v>0</v>
      </c>
      <c r="D1026" s="1927" t="b">
        <f t="shared" si="18"/>
        <v>0</v>
      </c>
    </row>
    <row r="1027" spans="1:4">
      <c r="A1027" s="1927" t="s">
        <v>1695</v>
      </c>
      <c r="B1027" s="1966">
        <f>报表附注!E1430</f>
        <v>0</v>
      </c>
      <c r="C1027" s="1936">
        <f>报表附注!G1430</f>
        <v>0</v>
      </c>
      <c r="D1027" s="1927" t="b">
        <f t="shared" si="18"/>
        <v>0</v>
      </c>
    </row>
    <row r="1028" spans="1:4">
      <c r="A1028" s="1927" t="s">
        <v>1696</v>
      </c>
      <c r="B1028" s="1966">
        <f>报表附注!E1431</f>
        <v>0</v>
      </c>
      <c r="C1028" s="1936">
        <f>报表附注!G1431</f>
        <v>0</v>
      </c>
      <c r="D1028" s="1927" t="b">
        <f t="shared" si="18"/>
        <v>0</v>
      </c>
    </row>
    <row r="1029" spans="1:4">
      <c r="A1029" s="1927" t="s">
        <v>1697</v>
      </c>
      <c r="B1029" s="1966">
        <f>报表附注!E1432</f>
        <v>0</v>
      </c>
      <c r="C1029" s="1936">
        <f>报表附注!G1432</f>
        <v>0</v>
      </c>
      <c r="D1029" s="1927" t="b">
        <f t="shared" si="18"/>
        <v>0</v>
      </c>
    </row>
    <row r="1030" spans="1:4">
      <c r="A1030" s="1927" t="s">
        <v>1698</v>
      </c>
      <c r="B1030" s="1966">
        <f>报表附注!E1433</f>
        <v>0</v>
      </c>
      <c r="C1030" s="1936">
        <f>报表附注!G1433</f>
        <v>0</v>
      </c>
      <c r="D1030" s="1927" t="b">
        <f t="shared" si="18"/>
        <v>0</v>
      </c>
    </row>
    <row r="1031" spans="1:4">
      <c r="A1031" s="1927" t="s">
        <v>1699</v>
      </c>
      <c r="B1031" s="1966">
        <f>报表附注!E1434</f>
        <v>0</v>
      </c>
      <c r="C1031" s="1936">
        <f>报表附注!G1434</f>
        <v>0</v>
      </c>
      <c r="D1031" s="1927" t="b">
        <f t="shared" si="18"/>
        <v>0</v>
      </c>
    </row>
    <row r="1032" spans="1:4">
      <c r="A1032" s="1927" t="s">
        <v>1700</v>
      </c>
      <c r="B1032" s="1966">
        <f>报表附注!E1435</f>
        <v>0</v>
      </c>
      <c r="C1032" s="1936">
        <f>报表附注!G1435</f>
        <v>0</v>
      </c>
      <c r="D1032" s="1927" t="b">
        <f t="shared" si="18"/>
        <v>0</v>
      </c>
    </row>
    <row r="1033" spans="1:4">
      <c r="A1033" s="1927" t="s">
        <v>904</v>
      </c>
      <c r="B1033" s="1966" t="str">
        <f>报表附注!E1436</f>
        <v>二、累计摊销额合计</v>
      </c>
      <c r="C1033" s="1936">
        <f>报表附注!G1436</f>
        <v>0</v>
      </c>
      <c r="D1033" s="1927" t="b">
        <f t="shared" si="18"/>
        <v>1</v>
      </c>
    </row>
    <row r="1034" spans="1:4">
      <c r="A1034" s="1927" t="s">
        <v>1687</v>
      </c>
      <c r="B1034" s="1966" t="str">
        <f>报表附注!E1437</f>
        <v>1、土地使用权</v>
      </c>
      <c r="C1034" s="1936">
        <f>报表附注!G1437</f>
        <v>0</v>
      </c>
      <c r="D1034" s="1927" t="b">
        <f t="shared" si="18"/>
        <v>0</v>
      </c>
    </row>
    <row r="1035" spans="1:4">
      <c r="A1035" s="1927" t="s">
        <v>1688</v>
      </c>
      <c r="B1035" s="1966" t="str">
        <f>报表附注!E1438</f>
        <v>2、软件</v>
      </c>
      <c r="C1035" s="1936">
        <f>报表附注!G1438</f>
        <v>0</v>
      </c>
      <c r="D1035" s="1927" t="b">
        <f t="shared" si="18"/>
        <v>0</v>
      </c>
    </row>
    <row r="1036" spans="1:4">
      <c r="A1036" s="1927" t="s">
        <v>1689</v>
      </c>
      <c r="B1036" s="1966" t="str">
        <f>报表附注!E1439</f>
        <v>3、专利权</v>
      </c>
      <c r="C1036" s="1936">
        <f>报表附注!G1439</f>
        <v>0</v>
      </c>
      <c r="D1036" s="1927" t="b">
        <f t="shared" ref="D1036:D1099" si="19">EXACT(A1036,B1036)</f>
        <v>0</v>
      </c>
    </row>
    <row r="1037" spans="1:4">
      <c r="A1037" s="1927" t="s">
        <v>1690</v>
      </c>
      <c r="B1037" s="1966" t="str">
        <f>报表附注!E1440</f>
        <v>4、其它</v>
      </c>
      <c r="C1037" s="1936">
        <f>报表附注!G1440</f>
        <v>0</v>
      </c>
      <c r="D1037" s="1927" t="b">
        <f t="shared" si="19"/>
        <v>0</v>
      </c>
    </row>
    <row r="1038" spans="1:4">
      <c r="A1038" s="1927" t="s">
        <v>1691</v>
      </c>
      <c r="B1038" s="1966">
        <f>报表附注!E1441</f>
        <v>0</v>
      </c>
      <c r="C1038" s="1936">
        <f>报表附注!G1441</f>
        <v>0</v>
      </c>
      <c r="D1038" s="1927" t="b">
        <f t="shared" si="19"/>
        <v>0</v>
      </c>
    </row>
    <row r="1039" spans="1:4">
      <c r="A1039" s="1927" t="s">
        <v>1692</v>
      </c>
      <c r="B1039" s="1966">
        <f>报表附注!E1442</f>
        <v>0</v>
      </c>
      <c r="C1039" s="1936">
        <f>报表附注!G1442</f>
        <v>0</v>
      </c>
      <c r="D1039" s="1927" t="b">
        <f t="shared" si="19"/>
        <v>0</v>
      </c>
    </row>
    <row r="1040" spans="1:4">
      <c r="A1040" s="1927" t="s">
        <v>1693</v>
      </c>
      <c r="B1040" s="1966">
        <f>报表附注!E1443</f>
        <v>0</v>
      </c>
      <c r="C1040" s="1936">
        <f>报表附注!G1443</f>
        <v>0</v>
      </c>
      <c r="D1040" s="1927" t="b">
        <f t="shared" si="19"/>
        <v>0</v>
      </c>
    </row>
    <row r="1041" spans="1:4">
      <c r="A1041" s="1927" t="s">
        <v>1694</v>
      </c>
      <c r="B1041" s="1966">
        <f>报表附注!E1444</f>
        <v>0</v>
      </c>
      <c r="C1041" s="1936">
        <f>报表附注!G1444</f>
        <v>0</v>
      </c>
      <c r="D1041" s="1927" t="b">
        <f t="shared" si="19"/>
        <v>0</v>
      </c>
    </row>
    <row r="1042" spans="1:4">
      <c r="A1042" s="1927" t="s">
        <v>1695</v>
      </c>
      <c r="B1042" s="1966">
        <f>报表附注!E1445</f>
        <v>0</v>
      </c>
      <c r="C1042" s="1936">
        <f>报表附注!G1445</f>
        <v>0</v>
      </c>
      <c r="D1042" s="1927" t="b">
        <f t="shared" si="19"/>
        <v>0</v>
      </c>
    </row>
    <row r="1043" spans="1:4">
      <c r="A1043" s="1927" t="s">
        <v>1696</v>
      </c>
      <c r="B1043" s="1966">
        <f>报表附注!E1446</f>
        <v>0</v>
      </c>
      <c r="C1043" s="1936">
        <f>报表附注!G1446</f>
        <v>0</v>
      </c>
      <c r="D1043" s="1927" t="b">
        <f t="shared" si="19"/>
        <v>0</v>
      </c>
    </row>
    <row r="1044" spans="1:4">
      <c r="A1044" s="1927" t="s">
        <v>1697</v>
      </c>
      <c r="B1044" s="1966">
        <f>报表附注!E1447</f>
        <v>0</v>
      </c>
      <c r="C1044" s="1936">
        <f>报表附注!G1447</f>
        <v>0</v>
      </c>
      <c r="D1044" s="1927" t="b">
        <f t="shared" si="19"/>
        <v>0</v>
      </c>
    </row>
    <row r="1045" spans="1:4">
      <c r="A1045" s="1927" t="s">
        <v>1698</v>
      </c>
      <c r="B1045" s="1966">
        <f>报表附注!E1448</f>
        <v>0</v>
      </c>
      <c r="C1045" s="1936">
        <f>报表附注!G1448</f>
        <v>0</v>
      </c>
      <c r="D1045" s="1927" t="b">
        <f t="shared" si="19"/>
        <v>0</v>
      </c>
    </row>
    <row r="1046" spans="1:4">
      <c r="A1046" s="1927" t="s">
        <v>1699</v>
      </c>
      <c r="B1046" s="1966">
        <f>报表附注!E1449</f>
        <v>0</v>
      </c>
      <c r="C1046" s="1936">
        <f>报表附注!G1449</f>
        <v>0</v>
      </c>
      <c r="D1046" s="1927" t="b">
        <f t="shared" si="19"/>
        <v>0</v>
      </c>
    </row>
    <row r="1047" spans="1:4">
      <c r="A1047" s="1927" t="s">
        <v>1700</v>
      </c>
      <c r="B1047" s="1966">
        <f>报表附注!E1450</f>
        <v>0</v>
      </c>
      <c r="C1047" s="1936">
        <f>报表附注!G1450</f>
        <v>0</v>
      </c>
      <c r="D1047" s="1927" t="b">
        <f t="shared" si="19"/>
        <v>0</v>
      </c>
    </row>
    <row r="1048" spans="1:4">
      <c r="A1048" s="1927" t="s">
        <v>907</v>
      </c>
      <c r="B1048" s="1966" t="str">
        <f>报表附注!E1451</f>
        <v>三、无形资产减值准备累计金额合计</v>
      </c>
      <c r="C1048" s="1936">
        <f>报表附注!G1451</f>
        <v>0</v>
      </c>
      <c r="D1048" s="1927" t="b">
        <f t="shared" si="19"/>
        <v>1</v>
      </c>
    </row>
    <row r="1049" spans="1:4">
      <c r="A1049" s="1927" t="s">
        <v>1687</v>
      </c>
      <c r="B1049" s="1966" t="str">
        <f>报表附注!E1452</f>
        <v>1、土地使用权</v>
      </c>
      <c r="C1049" s="1936">
        <f>报表附注!G1452</f>
        <v>0</v>
      </c>
      <c r="D1049" s="1927" t="b">
        <f t="shared" si="19"/>
        <v>0</v>
      </c>
    </row>
    <row r="1050" spans="1:4">
      <c r="A1050" s="1927" t="s">
        <v>1688</v>
      </c>
      <c r="B1050" s="1966" t="str">
        <f>报表附注!E1453</f>
        <v>2、软件</v>
      </c>
      <c r="C1050" s="1936">
        <f>报表附注!G1453</f>
        <v>0</v>
      </c>
      <c r="D1050" s="1927" t="b">
        <f t="shared" si="19"/>
        <v>0</v>
      </c>
    </row>
    <row r="1051" spans="1:4">
      <c r="A1051" s="1927" t="s">
        <v>1689</v>
      </c>
      <c r="B1051" s="1966" t="str">
        <f>报表附注!E1454</f>
        <v>3、专利权</v>
      </c>
      <c r="C1051" s="1936">
        <f>报表附注!G1454</f>
        <v>0</v>
      </c>
      <c r="D1051" s="1927" t="b">
        <f t="shared" si="19"/>
        <v>0</v>
      </c>
    </row>
    <row r="1052" spans="1:4">
      <c r="A1052" s="1927" t="s">
        <v>1690</v>
      </c>
      <c r="B1052" s="1966" t="str">
        <f>报表附注!E1455</f>
        <v>4、其它</v>
      </c>
      <c r="C1052" s="1936">
        <f>报表附注!G1455</f>
        <v>0</v>
      </c>
      <c r="D1052" s="1927" t="b">
        <f t="shared" si="19"/>
        <v>0</v>
      </c>
    </row>
    <row r="1053" spans="1:4">
      <c r="A1053" s="1927" t="s">
        <v>1691</v>
      </c>
      <c r="B1053" s="1966">
        <f>报表附注!E1456</f>
        <v>0</v>
      </c>
      <c r="C1053" s="1936">
        <f>报表附注!G1456</f>
        <v>0</v>
      </c>
      <c r="D1053" s="1927" t="b">
        <f t="shared" si="19"/>
        <v>0</v>
      </c>
    </row>
    <row r="1054" spans="1:4">
      <c r="A1054" s="1927" t="s">
        <v>1692</v>
      </c>
      <c r="B1054" s="1966">
        <f>报表附注!E1457</f>
        <v>0</v>
      </c>
      <c r="C1054" s="1936">
        <f>报表附注!G1457</f>
        <v>0</v>
      </c>
      <c r="D1054" s="1927" t="b">
        <f t="shared" si="19"/>
        <v>0</v>
      </c>
    </row>
    <row r="1055" spans="1:4">
      <c r="A1055" s="1927" t="s">
        <v>1693</v>
      </c>
      <c r="B1055" s="1966">
        <f>报表附注!E1458</f>
        <v>0</v>
      </c>
      <c r="C1055" s="1936">
        <f>报表附注!G1458</f>
        <v>0</v>
      </c>
      <c r="D1055" s="1927" t="b">
        <f t="shared" si="19"/>
        <v>0</v>
      </c>
    </row>
    <row r="1056" spans="1:4">
      <c r="A1056" s="1927" t="s">
        <v>1694</v>
      </c>
      <c r="B1056" s="1966">
        <f>报表附注!E1459</f>
        <v>0</v>
      </c>
      <c r="C1056" s="1936">
        <f>报表附注!G1459</f>
        <v>0</v>
      </c>
      <c r="D1056" s="1927" t="b">
        <f t="shared" si="19"/>
        <v>0</v>
      </c>
    </row>
    <row r="1057" spans="1:4">
      <c r="A1057" s="1927" t="s">
        <v>1695</v>
      </c>
      <c r="B1057" s="1966">
        <f>报表附注!E1460</f>
        <v>0</v>
      </c>
      <c r="C1057" s="1936">
        <f>报表附注!G1460</f>
        <v>0</v>
      </c>
      <c r="D1057" s="1927" t="b">
        <f t="shared" si="19"/>
        <v>0</v>
      </c>
    </row>
    <row r="1058" spans="1:4">
      <c r="A1058" s="1927" t="s">
        <v>1696</v>
      </c>
      <c r="B1058" s="1966">
        <f>报表附注!E1461</f>
        <v>0</v>
      </c>
      <c r="C1058" s="1936">
        <f>报表附注!G1461</f>
        <v>0</v>
      </c>
      <c r="D1058" s="1927" t="b">
        <f t="shared" si="19"/>
        <v>0</v>
      </c>
    </row>
    <row r="1059" spans="1:4">
      <c r="A1059" s="1927" t="s">
        <v>1697</v>
      </c>
      <c r="B1059" s="1966">
        <f>报表附注!E1462</f>
        <v>0</v>
      </c>
      <c r="C1059" s="1936">
        <f>报表附注!G1462</f>
        <v>0</v>
      </c>
      <c r="D1059" s="1927" t="b">
        <f t="shared" si="19"/>
        <v>0</v>
      </c>
    </row>
    <row r="1060" spans="1:4">
      <c r="A1060" s="1927" t="s">
        <v>1698</v>
      </c>
      <c r="B1060" s="1966">
        <f>报表附注!E1463</f>
        <v>0</v>
      </c>
      <c r="C1060" s="1936">
        <f>报表附注!G1463</f>
        <v>0</v>
      </c>
      <c r="D1060" s="1927" t="b">
        <f t="shared" si="19"/>
        <v>0</v>
      </c>
    </row>
    <row r="1061" spans="1:4">
      <c r="A1061" s="1927" t="s">
        <v>1699</v>
      </c>
      <c r="B1061" s="1966">
        <f>报表附注!E1464</f>
        <v>0</v>
      </c>
      <c r="C1061" s="1936">
        <f>报表附注!G1464</f>
        <v>0</v>
      </c>
      <c r="D1061" s="1927" t="b">
        <f t="shared" si="19"/>
        <v>0</v>
      </c>
    </row>
    <row r="1062" spans="1:4">
      <c r="A1062" s="1927" t="s">
        <v>1700</v>
      </c>
      <c r="B1062" s="1966">
        <f>报表附注!E1465</f>
        <v>0</v>
      </c>
      <c r="C1062" s="1936">
        <f>报表附注!G1465</f>
        <v>0</v>
      </c>
      <c r="D1062" s="1927" t="b">
        <f t="shared" si="19"/>
        <v>0</v>
      </c>
    </row>
    <row r="1063" spans="1:4">
      <c r="A1063" s="1927" t="s">
        <v>672</v>
      </c>
      <c r="B1063" s="1971" t="s">
        <v>672</v>
      </c>
      <c r="D1063" s="1927" t="b">
        <f t="shared" si="19"/>
        <v>1</v>
      </c>
    </row>
    <row r="1064" spans="1:4">
      <c r="A1064" s="1927" t="s">
        <v>714</v>
      </c>
      <c r="B1064" s="1966" t="str">
        <f>报表附注!E1421</f>
        <v>一、原价合计</v>
      </c>
      <c r="C1064" s="1936">
        <f>报表附注!H1421</f>
        <v>0</v>
      </c>
      <c r="D1064" s="1927" t="b">
        <f t="shared" si="19"/>
        <v>1</v>
      </c>
    </row>
    <row r="1065" spans="1:4">
      <c r="A1065" s="1927" t="s">
        <v>1687</v>
      </c>
      <c r="B1065" s="1966" t="str">
        <f>报表附注!E1422</f>
        <v>1、土地使用权</v>
      </c>
      <c r="C1065" s="1936">
        <f>报表附注!H1422</f>
        <v>0</v>
      </c>
      <c r="D1065" s="1927" t="b">
        <f t="shared" si="19"/>
        <v>0</v>
      </c>
    </row>
    <row r="1066" spans="1:4">
      <c r="A1066" s="1927" t="s">
        <v>1688</v>
      </c>
      <c r="B1066" s="1966" t="str">
        <f>报表附注!E1423</f>
        <v>2、软件</v>
      </c>
      <c r="C1066" s="1936">
        <f>报表附注!H1423</f>
        <v>0</v>
      </c>
      <c r="D1066" s="1927" t="b">
        <f t="shared" si="19"/>
        <v>0</v>
      </c>
    </row>
    <row r="1067" spans="1:4">
      <c r="A1067" s="1927" t="s">
        <v>1689</v>
      </c>
      <c r="B1067" s="1966" t="str">
        <f>报表附注!E1424</f>
        <v>3、专利权</v>
      </c>
      <c r="C1067" s="1936">
        <f>报表附注!H1424</f>
        <v>0</v>
      </c>
      <c r="D1067" s="1927" t="b">
        <f t="shared" si="19"/>
        <v>0</v>
      </c>
    </row>
    <row r="1068" spans="1:4">
      <c r="A1068" s="1927" t="s">
        <v>1690</v>
      </c>
      <c r="B1068" s="1966" t="str">
        <f>报表附注!E1425</f>
        <v>4、其它</v>
      </c>
      <c r="C1068" s="1936">
        <f>报表附注!H1425</f>
        <v>0</v>
      </c>
      <c r="D1068" s="1927" t="b">
        <f t="shared" si="19"/>
        <v>0</v>
      </c>
    </row>
    <row r="1069" spans="1:4">
      <c r="A1069" s="1927" t="s">
        <v>1691</v>
      </c>
      <c r="B1069" s="1966">
        <f>报表附注!E1426</f>
        <v>0</v>
      </c>
      <c r="C1069" s="1936">
        <f>报表附注!H1426</f>
        <v>0</v>
      </c>
      <c r="D1069" s="1927" t="b">
        <f t="shared" si="19"/>
        <v>0</v>
      </c>
    </row>
    <row r="1070" spans="1:4">
      <c r="A1070" s="1927" t="s">
        <v>1692</v>
      </c>
      <c r="B1070" s="1966">
        <f>报表附注!E1427</f>
        <v>0</v>
      </c>
      <c r="C1070" s="1936">
        <f>报表附注!H1427</f>
        <v>0</v>
      </c>
      <c r="D1070" s="1927" t="b">
        <f t="shared" si="19"/>
        <v>0</v>
      </c>
    </row>
    <row r="1071" spans="1:4">
      <c r="A1071" s="1927" t="s">
        <v>1693</v>
      </c>
      <c r="B1071" s="1966">
        <f>报表附注!E1428</f>
        <v>0</v>
      </c>
      <c r="C1071" s="1936">
        <f>报表附注!H1428</f>
        <v>0</v>
      </c>
      <c r="D1071" s="1927" t="b">
        <f t="shared" si="19"/>
        <v>0</v>
      </c>
    </row>
    <row r="1072" spans="1:4">
      <c r="A1072" s="1927" t="s">
        <v>1694</v>
      </c>
      <c r="B1072" s="1966">
        <f>报表附注!E1429</f>
        <v>0</v>
      </c>
      <c r="C1072" s="1936">
        <f>报表附注!H1429</f>
        <v>0</v>
      </c>
      <c r="D1072" s="1927" t="b">
        <f t="shared" si="19"/>
        <v>0</v>
      </c>
    </row>
    <row r="1073" spans="1:4">
      <c r="A1073" s="1927" t="s">
        <v>1695</v>
      </c>
      <c r="B1073" s="1966">
        <f>报表附注!E1430</f>
        <v>0</v>
      </c>
      <c r="C1073" s="1936">
        <f>报表附注!H1430</f>
        <v>0</v>
      </c>
      <c r="D1073" s="1927" t="b">
        <f t="shared" si="19"/>
        <v>0</v>
      </c>
    </row>
    <row r="1074" spans="1:4">
      <c r="A1074" s="1927" t="s">
        <v>1696</v>
      </c>
      <c r="B1074" s="1966">
        <f>报表附注!E1431</f>
        <v>0</v>
      </c>
      <c r="C1074" s="1936">
        <f>报表附注!H1431</f>
        <v>0</v>
      </c>
      <c r="D1074" s="1927" t="b">
        <f t="shared" si="19"/>
        <v>0</v>
      </c>
    </row>
    <row r="1075" spans="1:4">
      <c r="A1075" s="1927" t="s">
        <v>1697</v>
      </c>
      <c r="B1075" s="1966">
        <f>报表附注!E1432</f>
        <v>0</v>
      </c>
      <c r="C1075" s="1936">
        <f>报表附注!H1432</f>
        <v>0</v>
      </c>
      <c r="D1075" s="1927" t="b">
        <f t="shared" si="19"/>
        <v>0</v>
      </c>
    </row>
    <row r="1076" spans="1:4">
      <c r="A1076" s="1927" t="s">
        <v>1698</v>
      </c>
      <c r="B1076" s="1966">
        <f>报表附注!E1433</f>
        <v>0</v>
      </c>
      <c r="C1076" s="1936">
        <f>报表附注!H1433</f>
        <v>0</v>
      </c>
      <c r="D1076" s="1927" t="b">
        <f t="shared" si="19"/>
        <v>0</v>
      </c>
    </row>
    <row r="1077" spans="1:4">
      <c r="A1077" s="1927" t="s">
        <v>1699</v>
      </c>
      <c r="B1077" s="1966">
        <f>报表附注!E1434</f>
        <v>0</v>
      </c>
      <c r="C1077" s="1936">
        <f>报表附注!H1434</f>
        <v>0</v>
      </c>
      <c r="D1077" s="1927" t="b">
        <f t="shared" si="19"/>
        <v>0</v>
      </c>
    </row>
    <row r="1078" spans="1:4">
      <c r="A1078" s="1927" t="s">
        <v>1700</v>
      </c>
      <c r="B1078" s="1966">
        <f>报表附注!E1435</f>
        <v>0</v>
      </c>
      <c r="C1078" s="1936">
        <f>报表附注!H1435</f>
        <v>0</v>
      </c>
      <c r="D1078" s="1927" t="b">
        <f t="shared" si="19"/>
        <v>0</v>
      </c>
    </row>
    <row r="1079" spans="1:4">
      <c r="A1079" s="1927" t="s">
        <v>904</v>
      </c>
      <c r="B1079" s="1966" t="str">
        <f>报表附注!E1436</f>
        <v>二、累计摊销额合计</v>
      </c>
      <c r="C1079" s="1936">
        <f>报表附注!H1436</f>
        <v>0</v>
      </c>
      <c r="D1079" s="1927" t="b">
        <f t="shared" si="19"/>
        <v>1</v>
      </c>
    </row>
    <row r="1080" spans="1:4">
      <c r="A1080" s="1927" t="s">
        <v>1687</v>
      </c>
      <c r="B1080" s="1966" t="str">
        <f>报表附注!E1437</f>
        <v>1、土地使用权</v>
      </c>
      <c r="C1080" s="1936">
        <f>报表附注!H1437</f>
        <v>0</v>
      </c>
      <c r="D1080" s="1927" t="b">
        <f t="shared" si="19"/>
        <v>0</v>
      </c>
    </row>
    <row r="1081" spans="1:4">
      <c r="A1081" s="1927" t="s">
        <v>1688</v>
      </c>
      <c r="B1081" s="1966" t="str">
        <f>报表附注!E1438</f>
        <v>2、软件</v>
      </c>
      <c r="C1081" s="1936">
        <f>报表附注!H1438</f>
        <v>0</v>
      </c>
      <c r="D1081" s="1927" t="b">
        <f t="shared" si="19"/>
        <v>0</v>
      </c>
    </row>
    <row r="1082" spans="1:4">
      <c r="A1082" s="1927" t="s">
        <v>1689</v>
      </c>
      <c r="B1082" s="1966" t="str">
        <f>报表附注!E1439</f>
        <v>3、专利权</v>
      </c>
      <c r="C1082" s="1936">
        <f>报表附注!H1439</f>
        <v>0</v>
      </c>
      <c r="D1082" s="1927" t="b">
        <f t="shared" si="19"/>
        <v>0</v>
      </c>
    </row>
    <row r="1083" spans="1:4">
      <c r="A1083" s="1927" t="s">
        <v>1690</v>
      </c>
      <c r="B1083" s="1966" t="str">
        <f>报表附注!E1440</f>
        <v>4、其它</v>
      </c>
      <c r="C1083" s="1936">
        <f>报表附注!H1440</f>
        <v>0</v>
      </c>
      <c r="D1083" s="1927" t="b">
        <f t="shared" si="19"/>
        <v>0</v>
      </c>
    </row>
    <row r="1084" spans="1:4">
      <c r="A1084" s="1927" t="s">
        <v>1691</v>
      </c>
      <c r="B1084" s="1966">
        <f>报表附注!E1441</f>
        <v>0</v>
      </c>
      <c r="C1084" s="1936">
        <f>报表附注!H1441</f>
        <v>0</v>
      </c>
      <c r="D1084" s="1927" t="b">
        <f t="shared" si="19"/>
        <v>0</v>
      </c>
    </row>
    <row r="1085" spans="1:4">
      <c r="A1085" s="1927" t="s">
        <v>1692</v>
      </c>
      <c r="B1085" s="1966">
        <f>报表附注!E1442</f>
        <v>0</v>
      </c>
      <c r="C1085" s="1936">
        <f>报表附注!H1442</f>
        <v>0</v>
      </c>
      <c r="D1085" s="1927" t="b">
        <f t="shared" si="19"/>
        <v>0</v>
      </c>
    </row>
    <row r="1086" spans="1:4">
      <c r="A1086" s="1927" t="s">
        <v>1693</v>
      </c>
      <c r="B1086" s="1966">
        <f>报表附注!E1443</f>
        <v>0</v>
      </c>
      <c r="C1086" s="1936">
        <f>报表附注!H1443</f>
        <v>0</v>
      </c>
      <c r="D1086" s="1927" t="b">
        <f t="shared" si="19"/>
        <v>0</v>
      </c>
    </row>
    <row r="1087" spans="1:4">
      <c r="A1087" s="1927" t="s">
        <v>1694</v>
      </c>
      <c r="B1087" s="1966">
        <f>报表附注!E1444</f>
        <v>0</v>
      </c>
      <c r="C1087" s="1936">
        <f>报表附注!H1444</f>
        <v>0</v>
      </c>
      <c r="D1087" s="1927" t="b">
        <f t="shared" si="19"/>
        <v>0</v>
      </c>
    </row>
    <row r="1088" spans="1:4">
      <c r="A1088" s="1927" t="s">
        <v>1695</v>
      </c>
      <c r="B1088" s="1966">
        <f>报表附注!E1445</f>
        <v>0</v>
      </c>
      <c r="C1088" s="1936">
        <f>报表附注!H1445</f>
        <v>0</v>
      </c>
      <c r="D1088" s="1927" t="b">
        <f t="shared" si="19"/>
        <v>0</v>
      </c>
    </row>
    <row r="1089" spans="1:4">
      <c r="A1089" s="1927" t="s">
        <v>1696</v>
      </c>
      <c r="B1089" s="1966">
        <f>报表附注!E1446</f>
        <v>0</v>
      </c>
      <c r="C1089" s="1936">
        <f>报表附注!H1446</f>
        <v>0</v>
      </c>
      <c r="D1089" s="1927" t="b">
        <f t="shared" si="19"/>
        <v>0</v>
      </c>
    </row>
    <row r="1090" spans="1:4">
      <c r="A1090" s="1927" t="s">
        <v>1697</v>
      </c>
      <c r="B1090" s="1966">
        <f>报表附注!E1447</f>
        <v>0</v>
      </c>
      <c r="C1090" s="1936">
        <f>报表附注!H1447</f>
        <v>0</v>
      </c>
      <c r="D1090" s="1927" t="b">
        <f t="shared" si="19"/>
        <v>0</v>
      </c>
    </row>
    <row r="1091" spans="1:4">
      <c r="A1091" s="1927" t="s">
        <v>1698</v>
      </c>
      <c r="B1091" s="1966">
        <f>报表附注!E1448</f>
        <v>0</v>
      </c>
      <c r="C1091" s="1936">
        <f>报表附注!H1448</f>
        <v>0</v>
      </c>
      <c r="D1091" s="1927" t="b">
        <f t="shared" si="19"/>
        <v>0</v>
      </c>
    </row>
    <row r="1092" spans="1:4">
      <c r="A1092" s="1927" t="s">
        <v>1699</v>
      </c>
      <c r="B1092" s="1966">
        <f>报表附注!E1449</f>
        <v>0</v>
      </c>
      <c r="C1092" s="1936">
        <f>报表附注!H1449</f>
        <v>0</v>
      </c>
      <c r="D1092" s="1927" t="b">
        <f t="shared" si="19"/>
        <v>0</v>
      </c>
    </row>
    <row r="1093" spans="1:4">
      <c r="A1093" s="1927" t="s">
        <v>1700</v>
      </c>
      <c r="B1093" s="1966">
        <f>报表附注!E1450</f>
        <v>0</v>
      </c>
      <c r="C1093" s="1936">
        <f>报表附注!H1450</f>
        <v>0</v>
      </c>
      <c r="D1093" s="1927" t="b">
        <f t="shared" si="19"/>
        <v>0</v>
      </c>
    </row>
    <row r="1094" spans="1:4">
      <c r="A1094" s="1927" t="s">
        <v>907</v>
      </c>
      <c r="B1094" s="1966" t="str">
        <f>报表附注!E1451</f>
        <v>三、无形资产减值准备累计金额合计</v>
      </c>
      <c r="C1094" s="1936">
        <f>报表附注!H1451</f>
        <v>0</v>
      </c>
      <c r="D1094" s="1927" t="b">
        <f t="shared" si="19"/>
        <v>1</v>
      </c>
    </row>
    <row r="1095" spans="1:4">
      <c r="A1095" s="1927" t="s">
        <v>1687</v>
      </c>
      <c r="B1095" s="1966" t="str">
        <f>报表附注!E1452</f>
        <v>1、土地使用权</v>
      </c>
      <c r="C1095" s="1936">
        <f>报表附注!H1452</f>
        <v>0</v>
      </c>
      <c r="D1095" s="1927" t="b">
        <f t="shared" si="19"/>
        <v>0</v>
      </c>
    </row>
    <row r="1096" spans="1:4">
      <c r="A1096" s="1927" t="s">
        <v>1688</v>
      </c>
      <c r="B1096" s="1966" t="str">
        <f>报表附注!E1453</f>
        <v>2、软件</v>
      </c>
      <c r="C1096" s="1936">
        <f>报表附注!H1453</f>
        <v>0</v>
      </c>
      <c r="D1096" s="1927" t="b">
        <f t="shared" si="19"/>
        <v>0</v>
      </c>
    </row>
    <row r="1097" spans="1:4">
      <c r="A1097" s="1927" t="s">
        <v>1689</v>
      </c>
      <c r="B1097" s="1966" t="str">
        <f>报表附注!E1454</f>
        <v>3、专利权</v>
      </c>
      <c r="C1097" s="1936">
        <f>报表附注!H1454</f>
        <v>0</v>
      </c>
      <c r="D1097" s="1927" t="b">
        <f t="shared" si="19"/>
        <v>0</v>
      </c>
    </row>
    <row r="1098" spans="1:4">
      <c r="A1098" s="1927" t="s">
        <v>1690</v>
      </c>
      <c r="B1098" s="1966" t="str">
        <f>报表附注!E1455</f>
        <v>4、其它</v>
      </c>
      <c r="C1098" s="1936">
        <f>报表附注!H1455</f>
        <v>0</v>
      </c>
      <c r="D1098" s="1927" t="b">
        <f t="shared" si="19"/>
        <v>0</v>
      </c>
    </row>
    <row r="1099" spans="1:4">
      <c r="A1099" s="1927" t="s">
        <v>1691</v>
      </c>
      <c r="B1099" s="1966">
        <f>报表附注!E1456</f>
        <v>0</v>
      </c>
      <c r="C1099" s="1936">
        <f>报表附注!H1456</f>
        <v>0</v>
      </c>
      <c r="D1099" s="1927" t="b">
        <f t="shared" si="19"/>
        <v>0</v>
      </c>
    </row>
    <row r="1100" spans="1:4">
      <c r="A1100" s="1927" t="s">
        <v>1692</v>
      </c>
      <c r="B1100" s="1966">
        <f>报表附注!E1457</f>
        <v>0</v>
      </c>
      <c r="C1100" s="1936">
        <f>报表附注!H1457</f>
        <v>0</v>
      </c>
      <c r="D1100" s="1927" t="b">
        <f t="shared" ref="D1100:D1163" si="20">EXACT(A1100,B1100)</f>
        <v>0</v>
      </c>
    </row>
    <row r="1101" spans="1:4">
      <c r="A1101" s="1927" t="s">
        <v>1693</v>
      </c>
      <c r="B1101" s="1966">
        <f>报表附注!E1458</f>
        <v>0</v>
      </c>
      <c r="C1101" s="1936">
        <f>报表附注!H1458</f>
        <v>0</v>
      </c>
      <c r="D1101" s="1927" t="b">
        <f t="shared" si="20"/>
        <v>0</v>
      </c>
    </row>
    <row r="1102" spans="1:4">
      <c r="A1102" s="1927" t="s">
        <v>1694</v>
      </c>
      <c r="B1102" s="1966">
        <f>报表附注!E1459</f>
        <v>0</v>
      </c>
      <c r="C1102" s="1936">
        <f>报表附注!H1459</f>
        <v>0</v>
      </c>
      <c r="D1102" s="1927" t="b">
        <f t="shared" si="20"/>
        <v>0</v>
      </c>
    </row>
    <row r="1103" spans="1:4">
      <c r="A1103" s="1927" t="s">
        <v>1695</v>
      </c>
      <c r="B1103" s="1966">
        <f>报表附注!E1460</f>
        <v>0</v>
      </c>
      <c r="C1103" s="1936">
        <f>报表附注!H1460</f>
        <v>0</v>
      </c>
      <c r="D1103" s="1927" t="b">
        <f t="shared" si="20"/>
        <v>0</v>
      </c>
    </row>
    <row r="1104" spans="1:4">
      <c r="A1104" s="1927" t="s">
        <v>1696</v>
      </c>
      <c r="B1104" s="1966">
        <f>报表附注!E1461</f>
        <v>0</v>
      </c>
      <c r="C1104" s="1936">
        <f>报表附注!H1461</f>
        <v>0</v>
      </c>
      <c r="D1104" s="1927" t="b">
        <f t="shared" si="20"/>
        <v>0</v>
      </c>
    </row>
    <row r="1105" spans="1:4">
      <c r="A1105" s="1927" t="s">
        <v>1697</v>
      </c>
      <c r="B1105" s="1966">
        <f>报表附注!E1462</f>
        <v>0</v>
      </c>
      <c r="C1105" s="1936">
        <f>报表附注!H1462</f>
        <v>0</v>
      </c>
      <c r="D1105" s="1927" t="b">
        <f t="shared" si="20"/>
        <v>0</v>
      </c>
    </row>
    <row r="1106" spans="1:4">
      <c r="A1106" s="1927" t="s">
        <v>1698</v>
      </c>
      <c r="B1106" s="1966">
        <f>报表附注!E1463</f>
        <v>0</v>
      </c>
      <c r="C1106" s="1936">
        <f>报表附注!H1463</f>
        <v>0</v>
      </c>
      <c r="D1106" s="1927" t="b">
        <f t="shared" si="20"/>
        <v>0</v>
      </c>
    </row>
    <row r="1107" spans="1:4">
      <c r="A1107" s="1927" t="s">
        <v>1699</v>
      </c>
      <c r="B1107" s="1966">
        <f>报表附注!E1464</f>
        <v>0</v>
      </c>
      <c r="C1107" s="1936">
        <f>报表附注!H1464</f>
        <v>0</v>
      </c>
      <c r="D1107" s="1927" t="b">
        <f t="shared" si="20"/>
        <v>0</v>
      </c>
    </row>
    <row r="1108" spans="1:4">
      <c r="A1108" s="1927" t="s">
        <v>1700</v>
      </c>
      <c r="B1108" s="1966">
        <f>报表附注!E1465</f>
        <v>0</v>
      </c>
      <c r="C1108" s="1936">
        <f>报表附注!H1465</f>
        <v>0</v>
      </c>
      <c r="D1108" s="1927" t="b">
        <f t="shared" si="20"/>
        <v>0</v>
      </c>
    </row>
    <row r="1109" spans="1:4">
      <c r="A1109" s="1927" t="s">
        <v>515</v>
      </c>
      <c r="B1109" s="1971" t="s">
        <v>515</v>
      </c>
      <c r="C1109" s="1964"/>
      <c r="D1109" s="1927" t="b">
        <f t="shared" si="20"/>
        <v>1</v>
      </c>
    </row>
    <row r="1110" spans="1:4">
      <c r="A1110" s="1927" t="s">
        <v>714</v>
      </c>
      <c r="B1110" s="1966" t="str">
        <f>报表附注!E1421</f>
        <v>一、原价合计</v>
      </c>
      <c r="C1110" s="1936">
        <f>报表附注!I1421</f>
        <v>0</v>
      </c>
      <c r="D1110" s="1927" t="b">
        <f t="shared" si="20"/>
        <v>1</v>
      </c>
    </row>
    <row r="1111" spans="1:4">
      <c r="A1111" s="1927" t="s">
        <v>1687</v>
      </c>
      <c r="B1111" s="1966" t="str">
        <f>报表附注!E1422</f>
        <v>1、土地使用权</v>
      </c>
      <c r="C1111" s="1936">
        <f>报表附注!I1422</f>
        <v>0</v>
      </c>
      <c r="D1111" s="1927" t="b">
        <f t="shared" si="20"/>
        <v>0</v>
      </c>
    </row>
    <row r="1112" spans="1:4">
      <c r="A1112" s="1927" t="s">
        <v>1688</v>
      </c>
      <c r="B1112" s="1966" t="str">
        <f>报表附注!E1423</f>
        <v>2、软件</v>
      </c>
      <c r="C1112" s="1936">
        <f>报表附注!I1423</f>
        <v>0</v>
      </c>
      <c r="D1112" s="1927" t="b">
        <f t="shared" si="20"/>
        <v>0</v>
      </c>
    </row>
    <row r="1113" spans="1:4">
      <c r="A1113" s="1927" t="s">
        <v>1689</v>
      </c>
      <c r="B1113" s="1966" t="str">
        <f>报表附注!E1424</f>
        <v>3、专利权</v>
      </c>
      <c r="C1113" s="1936">
        <f>报表附注!I1424</f>
        <v>0</v>
      </c>
      <c r="D1113" s="1927" t="b">
        <f t="shared" si="20"/>
        <v>0</v>
      </c>
    </row>
    <row r="1114" spans="1:4">
      <c r="A1114" s="1927" t="s">
        <v>1690</v>
      </c>
      <c r="B1114" s="1966" t="str">
        <f>报表附注!E1425</f>
        <v>4、其它</v>
      </c>
      <c r="C1114" s="1936">
        <f>报表附注!I1425</f>
        <v>0</v>
      </c>
      <c r="D1114" s="1927" t="b">
        <f t="shared" si="20"/>
        <v>0</v>
      </c>
    </row>
    <row r="1115" spans="1:4">
      <c r="A1115" s="1927" t="s">
        <v>1691</v>
      </c>
      <c r="B1115" s="1966">
        <f>报表附注!E1426</f>
        <v>0</v>
      </c>
      <c r="C1115" s="1936">
        <f>报表附注!I1426</f>
        <v>0</v>
      </c>
      <c r="D1115" s="1927" t="b">
        <f t="shared" si="20"/>
        <v>0</v>
      </c>
    </row>
    <row r="1116" spans="1:4">
      <c r="A1116" s="1927" t="s">
        <v>1692</v>
      </c>
      <c r="B1116" s="1966">
        <f>报表附注!E1427</f>
        <v>0</v>
      </c>
      <c r="C1116" s="1936">
        <f>报表附注!I1427</f>
        <v>0</v>
      </c>
      <c r="D1116" s="1927" t="b">
        <f t="shared" si="20"/>
        <v>0</v>
      </c>
    </row>
    <row r="1117" spans="1:4">
      <c r="A1117" s="1927" t="s">
        <v>1693</v>
      </c>
      <c r="B1117" s="1966">
        <f>报表附注!E1428</f>
        <v>0</v>
      </c>
      <c r="C1117" s="1936">
        <f>报表附注!I1428</f>
        <v>0</v>
      </c>
      <c r="D1117" s="1927" t="b">
        <f t="shared" si="20"/>
        <v>0</v>
      </c>
    </row>
    <row r="1118" spans="1:4">
      <c r="A1118" s="1927" t="s">
        <v>1694</v>
      </c>
      <c r="B1118" s="1966">
        <f>报表附注!E1429</f>
        <v>0</v>
      </c>
      <c r="C1118" s="1936">
        <f>报表附注!I1429</f>
        <v>0</v>
      </c>
      <c r="D1118" s="1927" t="b">
        <f t="shared" si="20"/>
        <v>0</v>
      </c>
    </row>
    <row r="1119" spans="1:4">
      <c r="A1119" s="1927" t="s">
        <v>1695</v>
      </c>
      <c r="B1119" s="1966">
        <f>报表附注!E1430</f>
        <v>0</v>
      </c>
      <c r="C1119" s="1936">
        <f>报表附注!I1430</f>
        <v>0</v>
      </c>
      <c r="D1119" s="1927" t="b">
        <f t="shared" si="20"/>
        <v>0</v>
      </c>
    </row>
    <row r="1120" spans="1:4">
      <c r="A1120" s="1927" t="s">
        <v>1696</v>
      </c>
      <c r="B1120" s="1966">
        <f>报表附注!E1431</f>
        <v>0</v>
      </c>
      <c r="C1120" s="1936">
        <f>报表附注!I1431</f>
        <v>0</v>
      </c>
      <c r="D1120" s="1927" t="b">
        <f t="shared" si="20"/>
        <v>0</v>
      </c>
    </row>
    <row r="1121" spans="1:4">
      <c r="A1121" s="1927" t="s">
        <v>1697</v>
      </c>
      <c r="B1121" s="1966">
        <f>报表附注!E1432</f>
        <v>0</v>
      </c>
      <c r="C1121" s="1936">
        <f>报表附注!I1432</f>
        <v>0</v>
      </c>
      <c r="D1121" s="1927" t="b">
        <f t="shared" si="20"/>
        <v>0</v>
      </c>
    </row>
    <row r="1122" spans="1:4">
      <c r="A1122" s="1927" t="s">
        <v>1698</v>
      </c>
      <c r="B1122" s="1966">
        <f>报表附注!E1433</f>
        <v>0</v>
      </c>
      <c r="C1122" s="1936">
        <f>报表附注!I1433</f>
        <v>0</v>
      </c>
      <c r="D1122" s="1927" t="b">
        <f t="shared" si="20"/>
        <v>0</v>
      </c>
    </row>
    <row r="1123" spans="1:4">
      <c r="A1123" s="1927" t="s">
        <v>1699</v>
      </c>
      <c r="B1123" s="1966">
        <f>报表附注!E1434</f>
        <v>0</v>
      </c>
      <c r="C1123" s="1936">
        <f>报表附注!I1434</f>
        <v>0</v>
      </c>
      <c r="D1123" s="1927" t="b">
        <f t="shared" si="20"/>
        <v>0</v>
      </c>
    </row>
    <row r="1124" spans="1:4">
      <c r="A1124" s="1927" t="s">
        <v>1700</v>
      </c>
      <c r="B1124" s="1966">
        <f>报表附注!E1435</f>
        <v>0</v>
      </c>
      <c r="C1124" s="1936">
        <f>报表附注!I1435</f>
        <v>0</v>
      </c>
      <c r="D1124" s="1927" t="b">
        <f t="shared" si="20"/>
        <v>0</v>
      </c>
    </row>
    <row r="1125" spans="1:4">
      <c r="A1125" s="1927" t="s">
        <v>904</v>
      </c>
      <c r="B1125" s="1966" t="str">
        <f>报表附注!E1436</f>
        <v>二、累计摊销额合计</v>
      </c>
      <c r="C1125" s="1936">
        <f>报表附注!I1436</f>
        <v>0</v>
      </c>
      <c r="D1125" s="1927" t="b">
        <f t="shared" si="20"/>
        <v>1</v>
      </c>
    </row>
    <row r="1126" spans="1:4">
      <c r="A1126" s="1927" t="s">
        <v>1687</v>
      </c>
      <c r="B1126" s="1966" t="str">
        <f>报表附注!E1437</f>
        <v>1、土地使用权</v>
      </c>
      <c r="C1126" s="1936">
        <f>报表附注!I1437</f>
        <v>0</v>
      </c>
      <c r="D1126" s="1927" t="b">
        <f t="shared" si="20"/>
        <v>0</v>
      </c>
    </row>
    <row r="1127" spans="1:4">
      <c r="A1127" s="1927" t="s">
        <v>1688</v>
      </c>
      <c r="B1127" s="1966" t="str">
        <f>报表附注!E1438</f>
        <v>2、软件</v>
      </c>
      <c r="C1127" s="1936">
        <f>报表附注!I1438</f>
        <v>0</v>
      </c>
      <c r="D1127" s="1927" t="b">
        <f t="shared" si="20"/>
        <v>0</v>
      </c>
    </row>
    <row r="1128" spans="1:4">
      <c r="A1128" s="1927" t="s">
        <v>1689</v>
      </c>
      <c r="B1128" s="1966" t="str">
        <f>报表附注!E1439</f>
        <v>3、专利权</v>
      </c>
      <c r="C1128" s="1936">
        <f>报表附注!I1439</f>
        <v>0</v>
      </c>
      <c r="D1128" s="1927" t="b">
        <f t="shared" si="20"/>
        <v>0</v>
      </c>
    </row>
    <row r="1129" spans="1:4">
      <c r="A1129" s="1927" t="s">
        <v>1690</v>
      </c>
      <c r="B1129" s="1966" t="str">
        <f>报表附注!E1440</f>
        <v>4、其它</v>
      </c>
      <c r="C1129" s="1936">
        <f>报表附注!I1440</f>
        <v>0</v>
      </c>
      <c r="D1129" s="1927" t="b">
        <f t="shared" si="20"/>
        <v>0</v>
      </c>
    </row>
    <row r="1130" spans="1:4">
      <c r="A1130" s="1927" t="s">
        <v>1691</v>
      </c>
      <c r="B1130" s="1966">
        <f>报表附注!E1441</f>
        <v>0</v>
      </c>
      <c r="C1130" s="1936">
        <f>报表附注!I1441</f>
        <v>0</v>
      </c>
      <c r="D1130" s="1927" t="b">
        <f t="shared" si="20"/>
        <v>0</v>
      </c>
    </row>
    <row r="1131" spans="1:4">
      <c r="A1131" s="1927" t="s">
        <v>1692</v>
      </c>
      <c r="B1131" s="1966">
        <f>报表附注!E1442</f>
        <v>0</v>
      </c>
      <c r="C1131" s="1936">
        <f>报表附注!I1442</f>
        <v>0</v>
      </c>
      <c r="D1131" s="1927" t="b">
        <f t="shared" si="20"/>
        <v>0</v>
      </c>
    </row>
    <row r="1132" spans="1:4">
      <c r="A1132" s="1927" t="s">
        <v>1693</v>
      </c>
      <c r="B1132" s="1966">
        <f>报表附注!E1443</f>
        <v>0</v>
      </c>
      <c r="C1132" s="1936">
        <f>报表附注!I1443</f>
        <v>0</v>
      </c>
      <c r="D1132" s="1927" t="b">
        <f t="shared" si="20"/>
        <v>0</v>
      </c>
    </row>
    <row r="1133" spans="1:4">
      <c r="A1133" s="1927" t="s">
        <v>1694</v>
      </c>
      <c r="B1133" s="1966">
        <f>报表附注!E1444</f>
        <v>0</v>
      </c>
      <c r="C1133" s="1936">
        <f>报表附注!I1444</f>
        <v>0</v>
      </c>
      <c r="D1133" s="1927" t="b">
        <f t="shared" si="20"/>
        <v>0</v>
      </c>
    </row>
    <row r="1134" spans="1:4">
      <c r="A1134" s="1927" t="s">
        <v>1695</v>
      </c>
      <c r="B1134" s="1966">
        <f>报表附注!E1445</f>
        <v>0</v>
      </c>
      <c r="C1134" s="1936">
        <f>报表附注!I1445</f>
        <v>0</v>
      </c>
      <c r="D1134" s="1927" t="b">
        <f t="shared" si="20"/>
        <v>0</v>
      </c>
    </row>
    <row r="1135" spans="1:4">
      <c r="A1135" s="1927" t="s">
        <v>1696</v>
      </c>
      <c r="B1135" s="1966">
        <f>报表附注!E1446</f>
        <v>0</v>
      </c>
      <c r="C1135" s="1936">
        <f>报表附注!I1446</f>
        <v>0</v>
      </c>
      <c r="D1135" s="1927" t="b">
        <f t="shared" si="20"/>
        <v>0</v>
      </c>
    </row>
    <row r="1136" spans="1:4">
      <c r="A1136" s="1927" t="s">
        <v>1697</v>
      </c>
      <c r="B1136" s="1966">
        <f>报表附注!E1447</f>
        <v>0</v>
      </c>
      <c r="C1136" s="1936">
        <f>报表附注!I1447</f>
        <v>0</v>
      </c>
      <c r="D1136" s="1927" t="b">
        <f t="shared" si="20"/>
        <v>0</v>
      </c>
    </row>
    <row r="1137" spans="1:4">
      <c r="A1137" s="1927" t="s">
        <v>1698</v>
      </c>
      <c r="B1137" s="1966">
        <f>报表附注!E1448</f>
        <v>0</v>
      </c>
      <c r="C1137" s="1936">
        <f>报表附注!I1448</f>
        <v>0</v>
      </c>
      <c r="D1137" s="1927" t="b">
        <f t="shared" si="20"/>
        <v>0</v>
      </c>
    </row>
    <row r="1138" spans="1:4">
      <c r="A1138" s="1927" t="s">
        <v>1699</v>
      </c>
      <c r="B1138" s="1966">
        <f>报表附注!E1449</f>
        <v>0</v>
      </c>
      <c r="C1138" s="1936">
        <f>报表附注!I1449</f>
        <v>0</v>
      </c>
      <c r="D1138" s="1927" t="b">
        <f t="shared" si="20"/>
        <v>0</v>
      </c>
    </row>
    <row r="1139" spans="1:4">
      <c r="A1139" s="1927" t="s">
        <v>1700</v>
      </c>
      <c r="B1139" s="1966">
        <f>报表附注!E1450</f>
        <v>0</v>
      </c>
      <c r="C1139" s="1936">
        <f>报表附注!I1450</f>
        <v>0</v>
      </c>
      <c r="D1139" s="1927" t="b">
        <f t="shared" si="20"/>
        <v>0</v>
      </c>
    </row>
    <row r="1140" spans="1:4">
      <c r="A1140" s="1927" t="s">
        <v>907</v>
      </c>
      <c r="B1140" s="1966" t="str">
        <f>报表附注!E1451</f>
        <v>三、无形资产减值准备累计金额合计</v>
      </c>
      <c r="C1140" s="1936">
        <f>报表附注!I1451</f>
        <v>0</v>
      </c>
      <c r="D1140" s="1927" t="b">
        <f t="shared" si="20"/>
        <v>1</v>
      </c>
    </row>
    <row r="1141" spans="1:4">
      <c r="A1141" s="1927" t="s">
        <v>1687</v>
      </c>
      <c r="B1141" s="1966" t="str">
        <f>报表附注!E1452</f>
        <v>1、土地使用权</v>
      </c>
      <c r="C1141" s="1936">
        <f>报表附注!I1452</f>
        <v>0</v>
      </c>
      <c r="D1141" s="1927" t="b">
        <f t="shared" si="20"/>
        <v>0</v>
      </c>
    </row>
    <row r="1142" spans="1:4">
      <c r="A1142" s="1927" t="s">
        <v>1688</v>
      </c>
      <c r="B1142" s="1966" t="str">
        <f>报表附注!E1453</f>
        <v>2、软件</v>
      </c>
      <c r="C1142" s="1936">
        <f>报表附注!I1453</f>
        <v>0</v>
      </c>
      <c r="D1142" s="1927" t="b">
        <f t="shared" si="20"/>
        <v>0</v>
      </c>
    </row>
    <row r="1143" spans="1:4">
      <c r="A1143" s="1927" t="s">
        <v>1689</v>
      </c>
      <c r="B1143" s="1966" t="str">
        <f>报表附注!E1454</f>
        <v>3、专利权</v>
      </c>
      <c r="C1143" s="1936">
        <f>报表附注!I1454</f>
        <v>0</v>
      </c>
      <c r="D1143" s="1927" t="b">
        <f t="shared" si="20"/>
        <v>0</v>
      </c>
    </row>
    <row r="1144" spans="1:4">
      <c r="A1144" s="1927" t="s">
        <v>1690</v>
      </c>
      <c r="B1144" s="1966" t="str">
        <f>报表附注!E1455</f>
        <v>4、其它</v>
      </c>
      <c r="C1144" s="1936">
        <f>报表附注!I1455</f>
        <v>0</v>
      </c>
      <c r="D1144" s="1927" t="b">
        <f t="shared" si="20"/>
        <v>0</v>
      </c>
    </row>
    <row r="1145" spans="1:4">
      <c r="A1145" s="1927" t="s">
        <v>1691</v>
      </c>
      <c r="B1145" s="1966">
        <f>报表附注!E1456</f>
        <v>0</v>
      </c>
      <c r="C1145" s="1936">
        <f>报表附注!I1456</f>
        <v>0</v>
      </c>
      <c r="D1145" s="1927" t="b">
        <f t="shared" si="20"/>
        <v>0</v>
      </c>
    </row>
    <row r="1146" spans="1:4">
      <c r="A1146" s="1927" t="s">
        <v>1692</v>
      </c>
      <c r="B1146" s="1966">
        <f>报表附注!E1457</f>
        <v>0</v>
      </c>
      <c r="C1146" s="1936">
        <f>报表附注!I1457</f>
        <v>0</v>
      </c>
      <c r="D1146" s="1927" t="b">
        <f t="shared" si="20"/>
        <v>0</v>
      </c>
    </row>
    <row r="1147" spans="1:4">
      <c r="A1147" s="1927" t="s">
        <v>1693</v>
      </c>
      <c r="B1147" s="1966">
        <f>报表附注!E1458</f>
        <v>0</v>
      </c>
      <c r="C1147" s="1936">
        <f>报表附注!I1458</f>
        <v>0</v>
      </c>
      <c r="D1147" s="1927" t="b">
        <f t="shared" si="20"/>
        <v>0</v>
      </c>
    </row>
    <row r="1148" spans="1:4">
      <c r="A1148" s="1927" t="s">
        <v>1694</v>
      </c>
      <c r="B1148" s="1966">
        <f>报表附注!E1459</f>
        <v>0</v>
      </c>
      <c r="C1148" s="1936">
        <f>报表附注!I1459</f>
        <v>0</v>
      </c>
      <c r="D1148" s="1927" t="b">
        <f t="shared" si="20"/>
        <v>0</v>
      </c>
    </row>
    <row r="1149" spans="1:4">
      <c r="A1149" s="1927" t="s">
        <v>1695</v>
      </c>
      <c r="B1149" s="1966">
        <f>报表附注!E1460</f>
        <v>0</v>
      </c>
      <c r="C1149" s="1936">
        <f>报表附注!I1460</f>
        <v>0</v>
      </c>
      <c r="D1149" s="1927" t="b">
        <f t="shared" si="20"/>
        <v>0</v>
      </c>
    </row>
    <row r="1150" spans="1:4">
      <c r="A1150" s="1927" t="s">
        <v>1696</v>
      </c>
      <c r="B1150" s="1966">
        <f>报表附注!E1461</f>
        <v>0</v>
      </c>
      <c r="C1150" s="1936">
        <f>报表附注!I1461</f>
        <v>0</v>
      </c>
      <c r="D1150" s="1927" t="b">
        <f t="shared" si="20"/>
        <v>0</v>
      </c>
    </row>
    <row r="1151" spans="1:4">
      <c r="A1151" s="1927" t="s">
        <v>1697</v>
      </c>
      <c r="B1151" s="1966">
        <f>报表附注!E1462</f>
        <v>0</v>
      </c>
      <c r="C1151" s="1936">
        <f>报表附注!I1462</f>
        <v>0</v>
      </c>
      <c r="D1151" s="1927" t="b">
        <f t="shared" si="20"/>
        <v>0</v>
      </c>
    </row>
    <row r="1152" spans="1:4">
      <c r="A1152" s="1927" t="s">
        <v>1698</v>
      </c>
      <c r="B1152" s="1966">
        <f>报表附注!E1463</f>
        <v>0</v>
      </c>
      <c r="C1152" s="1936">
        <f>报表附注!I1463</f>
        <v>0</v>
      </c>
      <c r="D1152" s="1927" t="b">
        <f t="shared" si="20"/>
        <v>0</v>
      </c>
    </row>
    <row r="1153" spans="1:4">
      <c r="A1153" s="1927" t="s">
        <v>1699</v>
      </c>
      <c r="B1153" s="1966">
        <f>报表附注!E1464</f>
        <v>0</v>
      </c>
      <c r="C1153" s="1936">
        <f>报表附注!I1464</f>
        <v>0</v>
      </c>
      <c r="D1153" s="1927" t="b">
        <f t="shared" si="20"/>
        <v>0</v>
      </c>
    </row>
    <row r="1154" spans="1:4">
      <c r="A1154" s="1927" t="s">
        <v>1700</v>
      </c>
      <c r="B1154" s="1966">
        <f>报表附注!E1465</f>
        <v>0</v>
      </c>
      <c r="C1154" s="1936">
        <f>报表附注!I1465</f>
        <v>0</v>
      </c>
      <c r="D1154" s="1927" t="b">
        <f t="shared" si="20"/>
        <v>0</v>
      </c>
    </row>
    <row r="1155" spans="1:4">
      <c r="A1155" s="1927" t="s">
        <v>910</v>
      </c>
      <c r="B1155" s="1966" t="str">
        <f>报表附注!E1466</f>
        <v>四、无形资产账面价值合计</v>
      </c>
      <c r="C1155" s="1936">
        <f>报表附注!I1466</f>
        <v>0</v>
      </c>
      <c r="D1155" s="1927" t="b">
        <f t="shared" si="20"/>
        <v>1</v>
      </c>
    </row>
    <row r="1156" spans="1:4">
      <c r="A1156" s="1927" t="s">
        <v>1687</v>
      </c>
      <c r="B1156" s="1966" t="str">
        <f>报表附注!E1467</f>
        <v>1、土地使用权</v>
      </c>
      <c r="C1156" s="1936">
        <f>报表附注!I1467</f>
        <v>0</v>
      </c>
      <c r="D1156" s="1927" t="b">
        <f t="shared" si="20"/>
        <v>0</v>
      </c>
    </row>
    <row r="1157" spans="1:4">
      <c r="A1157" s="1927" t="s">
        <v>1688</v>
      </c>
      <c r="B1157" s="1966" t="str">
        <f>报表附注!E1468</f>
        <v>2、软件</v>
      </c>
      <c r="C1157" s="1936">
        <f>报表附注!I1468</f>
        <v>0</v>
      </c>
      <c r="D1157" s="1927" t="b">
        <f t="shared" si="20"/>
        <v>0</v>
      </c>
    </row>
    <row r="1158" spans="1:4">
      <c r="A1158" s="1927" t="s">
        <v>1689</v>
      </c>
      <c r="B1158" s="1966" t="str">
        <f>报表附注!E1469</f>
        <v>3、专利权</v>
      </c>
      <c r="C1158" s="1936">
        <f>报表附注!I1469</f>
        <v>0</v>
      </c>
      <c r="D1158" s="1927" t="b">
        <f t="shared" si="20"/>
        <v>0</v>
      </c>
    </row>
    <row r="1159" spans="1:4">
      <c r="A1159" s="1927" t="s">
        <v>1690</v>
      </c>
      <c r="B1159" s="1966" t="str">
        <f>报表附注!E1470</f>
        <v>4、其它</v>
      </c>
      <c r="C1159" s="1936">
        <f>报表附注!I1470</f>
        <v>0</v>
      </c>
      <c r="D1159" s="1927" t="b">
        <f t="shared" si="20"/>
        <v>0</v>
      </c>
    </row>
    <row r="1160" spans="1:4">
      <c r="A1160" s="1927" t="s">
        <v>1691</v>
      </c>
      <c r="B1160" s="1966">
        <f>报表附注!E1471</f>
        <v>0</v>
      </c>
      <c r="C1160" s="1936">
        <f>报表附注!I1471</f>
        <v>0</v>
      </c>
      <c r="D1160" s="1927" t="b">
        <f t="shared" si="20"/>
        <v>0</v>
      </c>
    </row>
    <row r="1161" spans="1:4">
      <c r="A1161" s="1927" t="s">
        <v>1692</v>
      </c>
      <c r="B1161" s="1966">
        <f>报表附注!E1472</f>
        <v>0</v>
      </c>
      <c r="C1161" s="1936">
        <f>报表附注!I1472</f>
        <v>0</v>
      </c>
      <c r="D1161" s="1927" t="b">
        <f t="shared" si="20"/>
        <v>0</v>
      </c>
    </row>
    <row r="1162" spans="1:4">
      <c r="A1162" s="1927" t="s">
        <v>1693</v>
      </c>
      <c r="B1162" s="1966">
        <f>报表附注!E1473</f>
        <v>0</v>
      </c>
      <c r="C1162" s="1936">
        <f>报表附注!I1473</f>
        <v>0</v>
      </c>
      <c r="D1162" s="1927" t="b">
        <f t="shared" si="20"/>
        <v>0</v>
      </c>
    </row>
    <row r="1163" spans="1:4">
      <c r="A1163" s="1927" t="s">
        <v>1694</v>
      </c>
      <c r="B1163" s="1966">
        <f>报表附注!E1474</f>
        <v>0</v>
      </c>
      <c r="C1163" s="1936">
        <f>报表附注!I1474</f>
        <v>0</v>
      </c>
      <c r="D1163" s="1927" t="b">
        <f t="shared" si="20"/>
        <v>0</v>
      </c>
    </row>
    <row r="1164" spans="1:4">
      <c r="A1164" s="1927" t="s">
        <v>1695</v>
      </c>
      <c r="B1164" s="1966">
        <f>报表附注!E1475</f>
        <v>0</v>
      </c>
      <c r="C1164" s="1936">
        <f>报表附注!I1475</f>
        <v>0</v>
      </c>
      <c r="D1164" s="1927" t="b">
        <f t="shared" ref="D1164:D1227" si="21">EXACT(A1164,B1164)</f>
        <v>0</v>
      </c>
    </row>
    <row r="1165" spans="1:4">
      <c r="A1165" s="1927" t="s">
        <v>1696</v>
      </c>
      <c r="B1165" s="1966">
        <f>报表附注!E1476</f>
        <v>0</v>
      </c>
      <c r="C1165" s="1936">
        <f>报表附注!I1476</f>
        <v>0</v>
      </c>
      <c r="D1165" s="1927" t="b">
        <f t="shared" si="21"/>
        <v>0</v>
      </c>
    </row>
    <row r="1166" spans="1:4">
      <c r="A1166" s="1927" t="s">
        <v>1697</v>
      </c>
      <c r="B1166" s="1966">
        <f>报表附注!E1477</f>
        <v>0</v>
      </c>
      <c r="C1166" s="1936">
        <f>报表附注!I1477</f>
        <v>0</v>
      </c>
      <c r="D1166" s="1927" t="b">
        <f t="shared" si="21"/>
        <v>0</v>
      </c>
    </row>
    <row r="1167" spans="1:4">
      <c r="A1167" s="1927" t="s">
        <v>1698</v>
      </c>
      <c r="B1167" s="1966">
        <f>报表附注!E1478</f>
        <v>0</v>
      </c>
      <c r="C1167" s="1936">
        <f>报表附注!I1478</f>
        <v>0</v>
      </c>
      <c r="D1167" s="1927" t="b">
        <f t="shared" si="21"/>
        <v>0</v>
      </c>
    </row>
    <row r="1168" spans="1:4">
      <c r="A1168" s="1927" t="s">
        <v>1699</v>
      </c>
      <c r="B1168" s="1966">
        <f>报表附注!E1479</f>
        <v>0</v>
      </c>
      <c r="C1168" s="1936">
        <f>报表附注!I1479</f>
        <v>0</v>
      </c>
      <c r="D1168" s="1927" t="b">
        <f t="shared" si="21"/>
        <v>0</v>
      </c>
    </row>
    <row r="1169" spans="1:4">
      <c r="A1169" s="1927" t="s">
        <v>1700</v>
      </c>
      <c r="B1169" s="1966">
        <f>报表附注!E1480</f>
        <v>0</v>
      </c>
      <c r="C1169" s="1936">
        <f>报表附注!I1480</f>
        <v>0</v>
      </c>
      <c r="D1169" s="1927" t="b">
        <f t="shared" si="21"/>
        <v>0</v>
      </c>
    </row>
    <row r="1170" spans="2:4">
      <c r="B1170" s="1949"/>
      <c r="C1170" s="1964"/>
      <c r="D1170" s="1927" t="b">
        <f t="shared" si="21"/>
        <v>1</v>
      </c>
    </row>
    <row r="1171" spans="4:4">
      <c r="D1171" s="1927" t="b">
        <f t="shared" si="21"/>
        <v>1</v>
      </c>
    </row>
    <row r="1172" ht="12" spans="1:4">
      <c r="A1172" s="1927" t="s">
        <v>1701</v>
      </c>
      <c r="B1172" s="1968" t="s">
        <v>1701</v>
      </c>
      <c r="D1172" s="1927" t="b">
        <f t="shared" si="21"/>
        <v>1</v>
      </c>
    </row>
    <row r="1173" spans="1:4">
      <c r="A1173" s="1927" t="s">
        <v>670</v>
      </c>
      <c r="B1173" s="1948" t="s">
        <v>670</v>
      </c>
      <c r="D1173" s="1927" t="b">
        <f t="shared" si="21"/>
        <v>1</v>
      </c>
    </row>
    <row r="1174" spans="1:4">
      <c r="A1174" s="1927" t="s">
        <v>1702</v>
      </c>
      <c r="B1174" s="1928" t="str">
        <f>报表附注!E1509</f>
        <v>研究支出</v>
      </c>
      <c r="C1174" s="1936">
        <f>报表附注!F1509</f>
        <v>0</v>
      </c>
      <c r="D1174" s="1927" t="b">
        <f t="shared" si="21"/>
        <v>1</v>
      </c>
    </row>
    <row r="1175" spans="1:4">
      <c r="A1175" s="1927" t="s">
        <v>246</v>
      </c>
      <c r="B1175" s="1928" t="str">
        <f>报表附注!E1510</f>
        <v>开发支出</v>
      </c>
      <c r="C1175" s="1936">
        <f>报表附注!F1510</f>
        <v>0</v>
      </c>
      <c r="D1175" s="1927" t="b">
        <f t="shared" si="21"/>
        <v>1</v>
      </c>
    </row>
    <row r="1176" spans="1:4">
      <c r="A1176" s="1927" t="s">
        <v>1580</v>
      </c>
      <c r="B1176" s="1939" t="str">
        <f>报表附注!E1511</f>
        <v>合计</v>
      </c>
      <c r="C1176" s="1936">
        <f>报表附注!F1511</f>
        <v>0</v>
      </c>
      <c r="D1176" s="1927" t="b">
        <f t="shared" si="21"/>
        <v>1</v>
      </c>
    </row>
    <row r="1177" spans="1:4">
      <c r="A1177" s="1927" t="s">
        <v>671</v>
      </c>
      <c r="B1177" s="1948" t="s">
        <v>671</v>
      </c>
      <c r="D1177" s="1927" t="b">
        <f t="shared" si="21"/>
        <v>1</v>
      </c>
    </row>
    <row r="1178" spans="1:4">
      <c r="A1178" s="1927" t="s">
        <v>1702</v>
      </c>
      <c r="B1178" s="1928" t="str">
        <f>报表附注!E1509</f>
        <v>研究支出</v>
      </c>
      <c r="C1178" s="1936">
        <f>报表附注!G1509</f>
        <v>0</v>
      </c>
      <c r="D1178" s="1927" t="b">
        <f t="shared" si="21"/>
        <v>1</v>
      </c>
    </row>
    <row r="1179" spans="1:4">
      <c r="A1179" s="1927" t="s">
        <v>246</v>
      </c>
      <c r="B1179" s="1928" t="str">
        <f>报表附注!E1510</f>
        <v>开发支出</v>
      </c>
      <c r="C1179" s="1936">
        <f>报表附注!G1510</f>
        <v>0</v>
      </c>
      <c r="D1179" s="1927" t="b">
        <f t="shared" si="21"/>
        <v>1</v>
      </c>
    </row>
    <row r="1180" spans="1:4">
      <c r="A1180" s="1927" t="s">
        <v>1580</v>
      </c>
      <c r="B1180" s="1939" t="str">
        <f>报表附注!E1511</f>
        <v>合计</v>
      </c>
      <c r="C1180" s="1936">
        <f>报表附注!G1511</f>
        <v>0</v>
      </c>
      <c r="D1180" s="1927" t="b">
        <f t="shared" si="21"/>
        <v>1</v>
      </c>
    </row>
    <row r="1181" spans="1:4">
      <c r="A1181" s="1927" t="s">
        <v>1703</v>
      </c>
      <c r="B1181" s="1948" t="s">
        <v>1703</v>
      </c>
      <c r="D1181" s="1927" t="b">
        <f t="shared" si="21"/>
        <v>1</v>
      </c>
    </row>
    <row r="1182" spans="1:4">
      <c r="A1182" s="1927" t="s">
        <v>1702</v>
      </c>
      <c r="B1182" s="1928" t="str">
        <f>报表附注!E1509</f>
        <v>研究支出</v>
      </c>
      <c r="C1182" s="1936">
        <f>报表附注!H1509</f>
        <v>0</v>
      </c>
      <c r="D1182" s="1927" t="b">
        <f t="shared" si="21"/>
        <v>1</v>
      </c>
    </row>
    <row r="1183" spans="1:4">
      <c r="A1183" s="1927" t="s">
        <v>246</v>
      </c>
      <c r="B1183" s="1928" t="str">
        <f>报表附注!E1510</f>
        <v>开发支出</v>
      </c>
      <c r="C1183" s="1936">
        <f>报表附注!H1510</f>
        <v>0</v>
      </c>
      <c r="D1183" s="1927" t="b">
        <f t="shared" si="21"/>
        <v>1</v>
      </c>
    </row>
    <row r="1184" spans="1:4">
      <c r="A1184" s="1927" t="s">
        <v>1580</v>
      </c>
      <c r="B1184" s="1939" t="str">
        <f>报表附注!E1511</f>
        <v>合计</v>
      </c>
      <c r="C1184" s="1936">
        <f>报表附注!H1511</f>
        <v>0</v>
      </c>
      <c r="D1184" s="1927" t="b">
        <f t="shared" si="21"/>
        <v>1</v>
      </c>
    </row>
    <row r="1185" spans="1:4">
      <c r="A1185" s="1927" t="s">
        <v>1704</v>
      </c>
      <c r="B1185" s="1948" t="s">
        <v>1704</v>
      </c>
      <c r="D1185" s="1927" t="b">
        <f t="shared" si="21"/>
        <v>1</v>
      </c>
    </row>
    <row r="1186" spans="1:4">
      <c r="A1186" s="1927" t="s">
        <v>1702</v>
      </c>
      <c r="B1186" s="1928" t="str">
        <f>报表附注!E1509</f>
        <v>研究支出</v>
      </c>
      <c r="C1186" s="1936">
        <f>报表附注!I1509</f>
        <v>0</v>
      </c>
      <c r="D1186" s="1927" t="b">
        <f t="shared" si="21"/>
        <v>1</v>
      </c>
    </row>
    <row r="1187" spans="1:4">
      <c r="A1187" s="1927" t="s">
        <v>246</v>
      </c>
      <c r="B1187" s="1928" t="str">
        <f>报表附注!E1510</f>
        <v>开发支出</v>
      </c>
      <c r="C1187" s="1936">
        <f>报表附注!I1510</f>
        <v>0</v>
      </c>
      <c r="D1187" s="1927" t="b">
        <f t="shared" si="21"/>
        <v>1</v>
      </c>
    </row>
    <row r="1188" spans="1:4">
      <c r="A1188" s="1927" t="s">
        <v>1580</v>
      </c>
      <c r="B1188" s="1939" t="str">
        <f>报表附注!E1511</f>
        <v>合计</v>
      </c>
      <c r="C1188" s="1936">
        <f>报表附注!I1511</f>
        <v>0</v>
      </c>
      <c r="D1188" s="1927" t="b">
        <f t="shared" si="21"/>
        <v>1</v>
      </c>
    </row>
    <row r="1189" spans="4:4">
      <c r="D1189" s="1927" t="b">
        <f t="shared" si="21"/>
        <v>1</v>
      </c>
    </row>
    <row r="1190" spans="4:4">
      <c r="D1190" s="1927" t="b">
        <f t="shared" si="21"/>
        <v>1</v>
      </c>
    </row>
    <row r="1191" spans="1:4">
      <c r="A1191" s="1927" t="s">
        <v>1705</v>
      </c>
      <c r="B1191" s="1947" t="s">
        <v>1705</v>
      </c>
      <c r="D1191" s="1927" t="b">
        <f t="shared" si="21"/>
        <v>1</v>
      </c>
    </row>
    <row r="1192" spans="4:4">
      <c r="D1192" s="1927" t="b">
        <f t="shared" si="21"/>
        <v>1</v>
      </c>
    </row>
    <row r="1193" spans="1:4">
      <c r="A1193" s="1927" t="s">
        <v>1706</v>
      </c>
      <c r="B1193" s="1947" t="s">
        <v>1706</v>
      </c>
      <c r="D1193" s="1927" t="b">
        <f t="shared" si="21"/>
        <v>1</v>
      </c>
    </row>
    <row r="1194" spans="4:4">
      <c r="D1194" s="1927" t="b">
        <f t="shared" si="21"/>
        <v>1</v>
      </c>
    </row>
    <row r="1195" spans="1:4">
      <c r="A1195" s="1927" t="s">
        <v>1707</v>
      </c>
      <c r="B1195" s="1972" t="s">
        <v>1707</v>
      </c>
      <c r="D1195" s="1927" t="b">
        <f t="shared" si="21"/>
        <v>1</v>
      </c>
    </row>
    <row r="1196" spans="4:4">
      <c r="D1196" s="1927" t="b">
        <f t="shared" si="21"/>
        <v>1</v>
      </c>
    </row>
    <row r="1197" spans="1:4">
      <c r="A1197" s="1927" t="s">
        <v>1708</v>
      </c>
      <c r="B1197" s="1945" t="s">
        <v>1708</v>
      </c>
      <c r="D1197" s="1927" t="b">
        <f t="shared" si="21"/>
        <v>1</v>
      </c>
    </row>
    <row r="1198" spans="1:4">
      <c r="A1198" s="1927" t="s">
        <v>315</v>
      </c>
      <c r="B1198" s="1948" t="s">
        <v>315</v>
      </c>
      <c r="D1198" s="1927" t="b">
        <f t="shared" si="21"/>
        <v>1</v>
      </c>
    </row>
    <row r="1199" spans="1:4">
      <c r="A1199" s="1927" t="s">
        <v>934</v>
      </c>
      <c r="B1199" s="1928" t="str">
        <f>报表附注!E1602</f>
        <v>一、递延所得税资产</v>
      </c>
      <c r="C1199" s="1936">
        <f>报表附注!F1602</f>
        <v>0</v>
      </c>
      <c r="D1199" s="1927" t="b">
        <f t="shared" si="21"/>
        <v>1</v>
      </c>
    </row>
    <row r="1200" spans="1:4">
      <c r="A1200" s="1927" t="s">
        <v>1709</v>
      </c>
      <c r="B1200" s="1928" t="str">
        <f>报表附注!E1603</f>
        <v>1、资产减值准备：</v>
      </c>
      <c r="C1200" s="1936">
        <f>报表附注!F1603</f>
        <v>0</v>
      </c>
      <c r="D1200" s="1927" t="b">
        <f t="shared" si="21"/>
        <v>0</v>
      </c>
    </row>
    <row r="1201" spans="1:4">
      <c r="A1201" s="1927" t="s">
        <v>1710</v>
      </c>
      <c r="B1201" s="1949" t="str">
        <f>报表附注!E1604</f>
        <v>      其中：坏账准备</v>
      </c>
      <c r="C1201" s="1936">
        <f>报表附注!F1604</f>
        <v>0</v>
      </c>
      <c r="D1201" s="1927" t="b">
        <f t="shared" si="21"/>
        <v>1</v>
      </c>
    </row>
    <row r="1202" spans="1:4">
      <c r="A1202" s="1927" t="s">
        <v>1711</v>
      </c>
      <c r="B1202" s="1949" t="str">
        <f>报表附注!E1605</f>
        <v>           存货减值</v>
      </c>
      <c r="C1202" s="1936">
        <f>报表附注!F1605</f>
        <v>0</v>
      </c>
      <c r="D1202" s="1927" t="b">
        <f t="shared" si="21"/>
        <v>1</v>
      </c>
    </row>
    <row r="1203" spans="1:4">
      <c r="A1203" s="1927" t="s">
        <v>1712</v>
      </c>
      <c r="B1203" s="1949" t="str">
        <f>报表附注!E1606</f>
        <v>           在建工程减值</v>
      </c>
      <c r="C1203" s="1936">
        <f>报表附注!F1606</f>
        <v>0</v>
      </c>
      <c r="D1203" s="1927" t="b">
        <f t="shared" si="21"/>
        <v>1</v>
      </c>
    </row>
    <row r="1204" spans="1:4">
      <c r="A1204" s="1927" t="s">
        <v>1713</v>
      </c>
      <c r="B1204" s="1949" t="str">
        <f>报表附注!E1607</f>
        <v>           长期股权投资减值</v>
      </c>
      <c r="C1204" s="1936">
        <f>报表附注!F1607</f>
        <v>0</v>
      </c>
      <c r="D1204" s="1927" t="b">
        <f t="shared" si="21"/>
        <v>1</v>
      </c>
    </row>
    <row r="1205" spans="1:4">
      <c r="A1205" s="1927" t="s">
        <v>1714</v>
      </c>
      <c r="B1205" s="1949" t="str">
        <f>报表附注!E1608</f>
        <v>           固定资产减值</v>
      </c>
      <c r="C1205" s="1936">
        <f>报表附注!F1608</f>
        <v>0</v>
      </c>
      <c r="D1205" s="1927" t="b">
        <f t="shared" si="21"/>
        <v>1</v>
      </c>
    </row>
    <row r="1206" spans="1:4">
      <c r="A1206" s="1927" t="s">
        <v>1715</v>
      </c>
      <c r="B1206" s="1928" t="str">
        <f>报表附注!E1609</f>
        <v>            无形资产减值</v>
      </c>
      <c r="C1206" s="1936">
        <f>报表附注!F1609</f>
        <v>0</v>
      </c>
      <c r="D1206" s="1927" t="b">
        <f t="shared" si="21"/>
        <v>1</v>
      </c>
    </row>
    <row r="1207" spans="1:4">
      <c r="A1207" s="1927" t="s">
        <v>1716</v>
      </c>
      <c r="B1207" s="1928" t="str">
        <f>报表附注!E1610</f>
        <v>            商誉减值</v>
      </c>
      <c r="C1207" s="1936">
        <f>报表附注!F1610</f>
        <v>0</v>
      </c>
      <c r="D1207" s="1927" t="b">
        <f t="shared" si="21"/>
        <v>1</v>
      </c>
    </row>
    <row r="1208" spans="1:4">
      <c r="A1208" s="1927" t="s">
        <v>1717</v>
      </c>
      <c r="B1208" s="1928" t="str">
        <f>报表附注!E1611</f>
        <v>2、开办费</v>
      </c>
      <c r="C1208" s="1936">
        <f>报表附注!F1611</f>
        <v>0</v>
      </c>
      <c r="D1208" s="1927" t="b">
        <f t="shared" si="21"/>
        <v>0</v>
      </c>
    </row>
    <row r="1209" spans="1:4">
      <c r="A1209" s="1927" t="s">
        <v>1718</v>
      </c>
      <c r="B1209" s="1928" t="str">
        <f>报表附注!E1612</f>
        <v>3、可抵扣亏损</v>
      </c>
      <c r="C1209" s="1936">
        <f>报表附注!F1612</f>
        <v>0</v>
      </c>
      <c r="D1209" s="1927" t="b">
        <f t="shared" si="21"/>
        <v>0</v>
      </c>
    </row>
    <row r="1210" spans="1:4">
      <c r="A1210" s="1927" t="s">
        <v>1719</v>
      </c>
      <c r="B1210" s="1928" t="str">
        <f>报表附注!E1613</f>
        <v>4、非同一控制下企业合并产生递延所得税资产</v>
      </c>
      <c r="C1210" s="1936">
        <f>报表附注!F1613</f>
        <v>0</v>
      </c>
      <c r="D1210" s="1927" t="b">
        <f t="shared" si="21"/>
        <v>0</v>
      </c>
    </row>
    <row r="1211" spans="1:4">
      <c r="A1211" s="1927" t="s">
        <v>1720</v>
      </c>
      <c r="B1211" s="1928" t="str">
        <f>报表附注!E1614</f>
        <v>5、计提未付的工资</v>
      </c>
      <c r="C1211" s="1936">
        <f>报表附注!F1614</f>
        <v>0</v>
      </c>
      <c r="D1211" s="1927" t="b">
        <f t="shared" si="21"/>
        <v>0</v>
      </c>
    </row>
    <row r="1212" spans="1:4">
      <c r="A1212" s="1927" t="s">
        <v>1721</v>
      </c>
      <c r="B1212" s="1928" t="str">
        <f>报表附注!E1615</f>
        <v>6、递延收益</v>
      </c>
      <c r="C1212" s="1936">
        <f>报表附注!F1615</f>
        <v>0</v>
      </c>
      <c r="D1212" s="1927" t="b">
        <f t="shared" si="21"/>
        <v>0</v>
      </c>
    </row>
    <row r="1213" spans="1:4">
      <c r="A1213" s="1927" t="s">
        <v>1722</v>
      </c>
      <c r="B1213" s="1928" t="str">
        <f>报表附注!E1616</f>
        <v>7、内部交易未实现损益</v>
      </c>
      <c r="C1213" s="1936">
        <f>报表附注!F1616</f>
        <v>0</v>
      </c>
      <c r="D1213" s="1927" t="b">
        <f t="shared" si="21"/>
        <v>0</v>
      </c>
    </row>
    <row r="1214" spans="1:4">
      <c r="A1214" s="1927" t="s">
        <v>936</v>
      </c>
      <c r="B1214" s="1928" t="str">
        <f>报表附注!E1617</f>
        <v>二、递延所得税负债</v>
      </c>
      <c r="C1214" s="1936">
        <f>报表附注!F1617</f>
        <v>0</v>
      </c>
      <c r="D1214" s="1927" t="b">
        <f t="shared" si="21"/>
        <v>1</v>
      </c>
    </row>
    <row r="1215" spans="1:4">
      <c r="A1215" s="1927" t="s">
        <v>1723</v>
      </c>
      <c r="B1215" s="1928" t="str">
        <f>报表附注!E1618</f>
        <v>1、交易性金融工具、衍生金融工具的估值</v>
      </c>
      <c r="C1215" s="1936">
        <f>报表附注!F1618</f>
        <v>0</v>
      </c>
      <c r="D1215" s="1927" t="b">
        <f t="shared" si="21"/>
        <v>0</v>
      </c>
    </row>
    <row r="1216" spans="1:4">
      <c r="A1216" s="1927" t="s">
        <v>1724</v>
      </c>
      <c r="B1216" s="1928" t="str">
        <f>报表附注!E1619</f>
        <v>2、计入资本公积的可供出售金融资产公允价值变动</v>
      </c>
      <c r="C1216" s="1936">
        <f>报表附注!F1619</f>
        <v>0</v>
      </c>
      <c r="D1216" s="1927" t="b">
        <f t="shared" si="21"/>
        <v>0</v>
      </c>
    </row>
    <row r="1217" spans="1:4">
      <c r="A1217" s="1927" t="s">
        <v>1721</v>
      </c>
      <c r="B1217" s="1928" t="str">
        <f>报表附注!E1620</f>
        <v>3、非同一控制下企业合并产生递延所得税负债</v>
      </c>
      <c r="C1217" s="1936">
        <f>报表附注!F1620</f>
        <v>0</v>
      </c>
      <c r="D1217" s="1927" t="b">
        <f t="shared" si="21"/>
        <v>0</v>
      </c>
    </row>
    <row r="1218" spans="1:4">
      <c r="A1218" s="1927" t="s">
        <v>1722</v>
      </c>
      <c r="B1218" s="1928" t="str">
        <f>报表附注!E1621</f>
        <v>4、内部交易未实现损益</v>
      </c>
      <c r="C1218" s="1936">
        <f>报表附注!F1621</f>
        <v>0</v>
      </c>
      <c r="D1218" s="1927" t="b">
        <f t="shared" si="21"/>
        <v>0</v>
      </c>
    </row>
    <row r="1219" spans="1:4">
      <c r="A1219" s="1927" t="s">
        <v>1725</v>
      </c>
      <c r="B1219" s="1928" t="str">
        <f>报表附注!E1622</f>
        <v>5、固定资产评估增值</v>
      </c>
      <c r="C1219" s="1936">
        <f>报表附注!F1622</f>
        <v>0</v>
      </c>
      <c r="D1219" s="1927" t="b">
        <f t="shared" si="21"/>
        <v>0</v>
      </c>
    </row>
    <row r="1220" spans="1:4">
      <c r="A1220" s="1927" t="s">
        <v>1726</v>
      </c>
      <c r="B1220" s="1928" t="str">
        <f>报表附注!E1623</f>
        <v>新增项目4……</v>
      </c>
      <c r="C1220" s="1936">
        <f>报表附注!F1623</f>
        <v>0</v>
      </c>
      <c r="D1220" s="1927" t="b">
        <f t="shared" si="21"/>
        <v>1</v>
      </c>
    </row>
    <row r="1221" spans="1:4">
      <c r="A1221" s="1927" t="s">
        <v>1727</v>
      </c>
      <c r="B1221" s="1928" t="str">
        <f>报表附注!E1624</f>
        <v>新增项目5……</v>
      </c>
      <c r="C1221" s="1936">
        <f>报表附注!F1624</f>
        <v>0</v>
      </c>
      <c r="D1221" s="1927" t="b">
        <f t="shared" si="21"/>
        <v>1</v>
      </c>
    </row>
    <row r="1222" spans="1:4">
      <c r="A1222" s="1927" t="s">
        <v>1728</v>
      </c>
      <c r="B1222" s="1928" t="str">
        <f>报表附注!E1625</f>
        <v>新增项目6……</v>
      </c>
      <c r="C1222" s="1936">
        <f>报表附注!F1625</f>
        <v>0</v>
      </c>
      <c r="D1222" s="1927" t="b">
        <f t="shared" si="21"/>
        <v>1</v>
      </c>
    </row>
    <row r="1223" spans="1:4">
      <c r="A1223" s="1927" t="s">
        <v>1729</v>
      </c>
      <c r="B1223" s="1928" t="str">
        <f>报表附注!E1626</f>
        <v>新增项目7……</v>
      </c>
      <c r="C1223" s="1936">
        <f>报表附注!F1626</f>
        <v>0</v>
      </c>
      <c r="D1223" s="1927" t="b">
        <f t="shared" si="21"/>
        <v>1</v>
      </c>
    </row>
    <row r="1224" spans="1:4">
      <c r="A1224" s="1927" t="s">
        <v>1730</v>
      </c>
      <c r="B1224" s="1928" t="str">
        <f>报表附注!E1627</f>
        <v>新增项目8……</v>
      </c>
      <c r="C1224" s="1936">
        <f>报表附注!F1627</f>
        <v>0</v>
      </c>
      <c r="D1224" s="1927" t="b">
        <f t="shared" si="21"/>
        <v>1</v>
      </c>
    </row>
    <row r="1225" spans="1:4">
      <c r="A1225" s="1927" t="s">
        <v>1731</v>
      </c>
      <c r="B1225" s="1928" t="str">
        <f>报表附注!E1628</f>
        <v>新增项目9……</v>
      </c>
      <c r="C1225" s="1936">
        <f>报表附注!F1628</f>
        <v>0</v>
      </c>
      <c r="D1225" s="1927" t="b">
        <f t="shared" si="21"/>
        <v>1</v>
      </c>
    </row>
    <row r="1226" spans="1:4">
      <c r="A1226" s="1927" t="s">
        <v>1732</v>
      </c>
      <c r="B1226" s="1928" t="str">
        <f>报表附注!E1629</f>
        <v>新增项目10……</v>
      </c>
      <c r="C1226" s="1936">
        <f>报表附注!F1629</f>
        <v>0</v>
      </c>
      <c r="D1226" s="1927" t="b">
        <f t="shared" si="21"/>
        <v>1</v>
      </c>
    </row>
    <row r="1227" spans="1:4">
      <c r="A1227" s="1927" t="s">
        <v>1733</v>
      </c>
      <c r="B1227" s="1948" t="s">
        <v>1733</v>
      </c>
      <c r="D1227" s="1927" t="b">
        <f t="shared" si="21"/>
        <v>1</v>
      </c>
    </row>
    <row r="1228" spans="1:4">
      <c r="A1228" s="1927" t="s">
        <v>934</v>
      </c>
      <c r="B1228" s="1928" t="str">
        <f>报表附注!E1602</f>
        <v>一、递延所得税资产</v>
      </c>
      <c r="C1228" s="1936">
        <f>报表附注!G1602</f>
        <v>0</v>
      </c>
      <c r="D1228" s="1927" t="b">
        <f t="shared" ref="D1228:D1291" si="22">EXACT(A1228,B1228)</f>
        <v>1</v>
      </c>
    </row>
    <row r="1229" spans="1:4">
      <c r="A1229" s="1927" t="s">
        <v>1709</v>
      </c>
      <c r="B1229" s="1928" t="str">
        <f>报表附注!E1603</f>
        <v>1、资产减值准备：</v>
      </c>
      <c r="C1229" s="1936">
        <f>报表附注!G1603</f>
        <v>0</v>
      </c>
      <c r="D1229" s="1927" t="b">
        <f t="shared" si="22"/>
        <v>0</v>
      </c>
    </row>
    <row r="1230" spans="1:4">
      <c r="A1230" s="1927" t="s">
        <v>1710</v>
      </c>
      <c r="B1230" s="1949" t="str">
        <f>报表附注!E1604</f>
        <v>      其中：坏账准备</v>
      </c>
      <c r="C1230" s="1936">
        <f>报表附注!G1604</f>
        <v>0</v>
      </c>
      <c r="D1230" s="1927" t="b">
        <f t="shared" si="22"/>
        <v>1</v>
      </c>
    </row>
    <row r="1231" spans="1:4">
      <c r="A1231" s="1927" t="s">
        <v>1711</v>
      </c>
      <c r="B1231" s="1949" t="str">
        <f>报表附注!E1605</f>
        <v>           存货减值</v>
      </c>
      <c r="C1231" s="1936">
        <f>报表附注!G1605</f>
        <v>0</v>
      </c>
      <c r="D1231" s="1927" t="b">
        <f t="shared" si="22"/>
        <v>1</v>
      </c>
    </row>
    <row r="1232" spans="1:4">
      <c r="A1232" s="1927" t="s">
        <v>1712</v>
      </c>
      <c r="B1232" s="1949" t="str">
        <f>报表附注!E1606</f>
        <v>           在建工程减值</v>
      </c>
      <c r="C1232" s="1936">
        <f>报表附注!G1606</f>
        <v>0</v>
      </c>
      <c r="D1232" s="1927" t="b">
        <f t="shared" si="22"/>
        <v>1</v>
      </c>
    </row>
    <row r="1233" spans="1:4">
      <c r="A1233" s="1927" t="s">
        <v>1713</v>
      </c>
      <c r="B1233" s="1949" t="str">
        <f>报表附注!E1607</f>
        <v>           长期股权投资减值</v>
      </c>
      <c r="C1233" s="1936">
        <f>报表附注!G1607</f>
        <v>0</v>
      </c>
      <c r="D1233" s="1927" t="b">
        <f t="shared" si="22"/>
        <v>1</v>
      </c>
    </row>
    <row r="1234" spans="1:4">
      <c r="A1234" s="1927" t="s">
        <v>1714</v>
      </c>
      <c r="B1234" s="1949" t="str">
        <f>报表附注!E1608</f>
        <v>           固定资产减值</v>
      </c>
      <c r="C1234" s="1936">
        <f>报表附注!G1608</f>
        <v>0</v>
      </c>
      <c r="D1234" s="1927" t="b">
        <f t="shared" si="22"/>
        <v>1</v>
      </c>
    </row>
    <row r="1235" spans="1:4">
      <c r="A1235" s="1927" t="s">
        <v>1715</v>
      </c>
      <c r="B1235" s="1928" t="str">
        <f>报表附注!E1609</f>
        <v>            无形资产减值</v>
      </c>
      <c r="C1235" s="1936">
        <f>报表附注!G1609</f>
        <v>0</v>
      </c>
      <c r="D1235" s="1927" t="b">
        <f t="shared" si="22"/>
        <v>1</v>
      </c>
    </row>
    <row r="1236" spans="1:4">
      <c r="A1236" s="1927" t="s">
        <v>1716</v>
      </c>
      <c r="B1236" s="1928" t="str">
        <f>报表附注!E1610</f>
        <v>            商誉减值</v>
      </c>
      <c r="C1236" s="1936">
        <f>报表附注!G1610</f>
        <v>0</v>
      </c>
      <c r="D1236" s="1927" t="b">
        <f t="shared" si="22"/>
        <v>1</v>
      </c>
    </row>
    <row r="1237" spans="1:4">
      <c r="A1237" s="1927" t="s">
        <v>1717</v>
      </c>
      <c r="B1237" s="1928" t="str">
        <f>报表附注!E1611</f>
        <v>2、开办费</v>
      </c>
      <c r="C1237" s="1936">
        <f>报表附注!G1611</f>
        <v>0</v>
      </c>
      <c r="D1237" s="1927" t="b">
        <f t="shared" si="22"/>
        <v>0</v>
      </c>
    </row>
    <row r="1238" spans="1:4">
      <c r="A1238" s="1927" t="s">
        <v>1718</v>
      </c>
      <c r="B1238" s="1928" t="str">
        <f>报表附注!E1612</f>
        <v>3、可抵扣亏损</v>
      </c>
      <c r="C1238" s="1936">
        <f>报表附注!G1612</f>
        <v>0</v>
      </c>
      <c r="D1238" s="1927" t="b">
        <f t="shared" si="22"/>
        <v>0</v>
      </c>
    </row>
    <row r="1239" spans="1:4">
      <c r="A1239" s="1927" t="s">
        <v>1719</v>
      </c>
      <c r="B1239" s="1928" t="str">
        <f>报表附注!E1613</f>
        <v>4、非同一控制下企业合并产生递延所得税资产</v>
      </c>
      <c r="C1239" s="1936">
        <f>报表附注!G1613</f>
        <v>0</v>
      </c>
      <c r="D1239" s="1927" t="b">
        <f t="shared" si="22"/>
        <v>0</v>
      </c>
    </row>
    <row r="1240" spans="1:4">
      <c r="A1240" s="1927" t="s">
        <v>1720</v>
      </c>
      <c r="B1240" s="1928" t="str">
        <f>报表附注!E1614</f>
        <v>5、计提未付的工资</v>
      </c>
      <c r="C1240" s="1936">
        <f>报表附注!G1614</f>
        <v>0</v>
      </c>
      <c r="D1240" s="1927" t="b">
        <f t="shared" si="22"/>
        <v>0</v>
      </c>
    </row>
    <row r="1241" spans="1:4">
      <c r="A1241" s="1927" t="s">
        <v>1721</v>
      </c>
      <c r="B1241" s="1928" t="str">
        <f>报表附注!E1615</f>
        <v>6、递延收益</v>
      </c>
      <c r="C1241" s="1936">
        <f>报表附注!G1615</f>
        <v>0</v>
      </c>
      <c r="D1241" s="1927" t="b">
        <f t="shared" si="22"/>
        <v>0</v>
      </c>
    </row>
    <row r="1242" spans="1:4">
      <c r="A1242" s="1927" t="s">
        <v>1722</v>
      </c>
      <c r="B1242" s="1928" t="str">
        <f>报表附注!E1616</f>
        <v>7、内部交易未实现损益</v>
      </c>
      <c r="C1242" s="1936">
        <f>报表附注!G1616</f>
        <v>0</v>
      </c>
      <c r="D1242" s="1927" t="b">
        <f t="shared" si="22"/>
        <v>0</v>
      </c>
    </row>
    <row r="1243" spans="1:4">
      <c r="A1243" s="1927" t="s">
        <v>936</v>
      </c>
      <c r="B1243" s="1928" t="str">
        <f>报表附注!E1617</f>
        <v>二、递延所得税负债</v>
      </c>
      <c r="C1243" s="1936">
        <f>报表附注!G1617</f>
        <v>0</v>
      </c>
      <c r="D1243" s="1927" t="b">
        <f t="shared" si="22"/>
        <v>1</v>
      </c>
    </row>
    <row r="1244" spans="1:4">
      <c r="A1244" s="1927" t="s">
        <v>1723</v>
      </c>
      <c r="B1244" s="1928" t="str">
        <f>报表附注!E1618</f>
        <v>1、交易性金融工具、衍生金融工具的估值</v>
      </c>
      <c r="C1244" s="1936">
        <f>报表附注!G1618</f>
        <v>0</v>
      </c>
      <c r="D1244" s="1927" t="b">
        <f t="shared" si="22"/>
        <v>0</v>
      </c>
    </row>
    <row r="1245" spans="1:4">
      <c r="A1245" s="1927" t="s">
        <v>1724</v>
      </c>
      <c r="B1245" s="1928" t="str">
        <f>报表附注!E1619</f>
        <v>2、计入资本公积的可供出售金融资产公允价值变动</v>
      </c>
      <c r="C1245" s="1936">
        <f>报表附注!G1619</f>
        <v>0</v>
      </c>
      <c r="D1245" s="1927" t="b">
        <f t="shared" si="22"/>
        <v>0</v>
      </c>
    </row>
    <row r="1246" spans="1:4">
      <c r="A1246" s="1927" t="s">
        <v>1721</v>
      </c>
      <c r="B1246" s="1928" t="str">
        <f>报表附注!E1620</f>
        <v>3、非同一控制下企业合并产生递延所得税负债</v>
      </c>
      <c r="C1246" s="1936">
        <f>报表附注!G1620</f>
        <v>0</v>
      </c>
      <c r="D1246" s="1927" t="b">
        <f t="shared" si="22"/>
        <v>0</v>
      </c>
    </row>
    <row r="1247" spans="1:4">
      <c r="A1247" s="1927" t="s">
        <v>1722</v>
      </c>
      <c r="B1247" s="1928" t="str">
        <f>报表附注!E1621</f>
        <v>4、内部交易未实现损益</v>
      </c>
      <c r="C1247" s="1936">
        <f>报表附注!G1621</f>
        <v>0</v>
      </c>
      <c r="D1247" s="1927" t="b">
        <f t="shared" si="22"/>
        <v>0</v>
      </c>
    </row>
    <row r="1248" spans="1:4">
      <c r="A1248" s="1927" t="s">
        <v>1725</v>
      </c>
      <c r="B1248" s="1928" t="str">
        <f>报表附注!E1622</f>
        <v>5、固定资产评估增值</v>
      </c>
      <c r="C1248" s="1936">
        <f>报表附注!G1622</f>
        <v>0</v>
      </c>
      <c r="D1248" s="1927" t="b">
        <f t="shared" si="22"/>
        <v>0</v>
      </c>
    </row>
    <row r="1249" spans="1:4">
      <c r="A1249" s="1927" t="s">
        <v>1726</v>
      </c>
      <c r="B1249" s="1928" t="str">
        <f>报表附注!E1623</f>
        <v>新增项目4……</v>
      </c>
      <c r="C1249" s="1936">
        <f>报表附注!G1623</f>
        <v>0</v>
      </c>
      <c r="D1249" s="1927" t="b">
        <f t="shared" si="22"/>
        <v>1</v>
      </c>
    </row>
    <row r="1250" spans="1:4">
      <c r="A1250" s="1927" t="s">
        <v>1727</v>
      </c>
      <c r="B1250" s="1928" t="str">
        <f>报表附注!E1624</f>
        <v>新增项目5……</v>
      </c>
      <c r="C1250" s="1936">
        <f>报表附注!G1624</f>
        <v>0</v>
      </c>
      <c r="D1250" s="1927" t="b">
        <f t="shared" si="22"/>
        <v>1</v>
      </c>
    </row>
    <row r="1251" spans="1:4">
      <c r="A1251" s="1927" t="s">
        <v>1728</v>
      </c>
      <c r="B1251" s="1928" t="str">
        <f>报表附注!E1625</f>
        <v>新增项目6……</v>
      </c>
      <c r="C1251" s="1936">
        <f>报表附注!G1625</f>
        <v>0</v>
      </c>
      <c r="D1251" s="1927" t="b">
        <f t="shared" si="22"/>
        <v>1</v>
      </c>
    </row>
    <row r="1252" spans="1:4">
      <c r="A1252" s="1927" t="s">
        <v>1729</v>
      </c>
      <c r="B1252" s="1928" t="str">
        <f>报表附注!E1626</f>
        <v>新增项目7……</v>
      </c>
      <c r="C1252" s="1936">
        <f>报表附注!G1626</f>
        <v>0</v>
      </c>
      <c r="D1252" s="1927" t="b">
        <f t="shared" si="22"/>
        <v>1</v>
      </c>
    </row>
    <row r="1253" spans="1:4">
      <c r="A1253" s="1927" t="s">
        <v>1730</v>
      </c>
      <c r="B1253" s="1928" t="str">
        <f>报表附注!E1627</f>
        <v>新增项目8……</v>
      </c>
      <c r="C1253" s="1936">
        <f>报表附注!G1627</f>
        <v>0</v>
      </c>
      <c r="D1253" s="1927" t="b">
        <f t="shared" si="22"/>
        <v>1</v>
      </c>
    </row>
    <row r="1254" spans="1:4">
      <c r="A1254" s="1927" t="s">
        <v>1731</v>
      </c>
      <c r="B1254" s="1928" t="str">
        <f>报表附注!E1628</f>
        <v>新增项目9……</v>
      </c>
      <c r="C1254" s="1936">
        <f>报表附注!G1628</f>
        <v>0</v>
      </c>
      <c r="D1254" s="1927" t="b">
        <f t="shared" si="22"/>
        <v>1</v>
      </c>
    </row>
    <row r="1255" spans="1:4">
      <c r="A1255" s="1927" t="s">
        <v>1732</v>
      </c>
      <c r="B1255" s="1928" t="str">
        <f>报表附注!E1629</f>
        <v>新增项目10……</v>
      </c>
      <c r="C1255" s="1936">
        <f>报表附注!G1629</f>
        <v>0</v>
      </c>
      <c r="D1255" s="1927" t="b">
        <f t="shared" si="22"/>
        <v>1</v>
      </c>
    </row>
    <row r="1256" spans="1:4">
      <c r="A1256" s="1927" t="s">
        <v>1579</v>
      </c>
      <c r="B1256" s="1948" t="s">
        <v>1579</v>
      </c>
      <c r="D1256" s="1927" t="b">
        <f t="shared" si="22"/>
        <v>1</v>
      </c>
    </row>
    <row r="1257" spans="1:4">
      <c r="A1257" s="1927" t="s">
        <v>934</v>
      </c>
      <c r="B1257" s="1928" t="str">
        <f>报表附注!E1602</f>
        <v>一、递延所得税资产</v>
      </c>
      <c r="C1257" s="1936">
        <f>报表附注!H1602</f>
        <v>0</v>
      </c>
      <c r="D1257" s="1927" t="b">
        <f t="shared" si="22"/>
        <v>1</v>
      </c>
    </row>
    <row r="1258" spans="1:4">
      <c r="A1258" s="1927" t="s">
        <v>1709</v>
      </c>
      <c r="B1258" s="1928" t="str">
        <f>报表附注!E1603</f>
        <v>1、资产减值准备：</v>
      </c>
      <c r="C1258" s="1936">
        <f>报表附注!H1603</f>
        <v>0</v>
      </c>
      <c r="D1258" s="1927" t="b">
        <f t="shared" si="22"/>
        <v>0</v>
      </c>
    </row>
    <row r="1259" spans="1:4">
      <c r="A1259" s="1927" t="s">
        <v>1710</v>
      </c>
      <c r="B1259" s="1949" t="str">
        <f>报表附注!E1604</f>
        <v>      其中：坏账准备</v>
      </c>
      <c r="C1259" s="1936">
        <f>报表附注!H1604</f>
        <v>0</v>
      </c>
      <c r="D1259" s="1927" t="b">
        <f t="shared" si="22"/>
        <v>1</v>
      </c>
    </row>
    <row r="1260" spans="1:4">
      <c r="A1260" s="1927" t="s">
        <v>1711</v>
      </c>
      <c r="B1260" s="1949" t="str">
        <f>报表附注!E1605</f>
        <v>           存货减值</v>
      </c>
      <c r="C1260" s="1936">
        <f>报表附注!H1605</f>
        <v>0</v>
      </c>
      <c r="D1260" s="1927" t="b">
        <f t="shared" si="22"/>
        <v>1</v>
      </c>
    </row>
    <row r="1261" spans="1:4">
      <c r="A1261" s="1927" t="s">
        <v>1712</v>
      </c>
      <c r="B1261" s="1949" t="str">
        <f>报表附注!E1606</f>
        <v>           在建工程减值</v>
      </c>
      <c r="C1261" s="1936">
        <f>报表附注!H1606</f>
        <v>0</v>
      </c>
      <c r="D1261" s="1927" t="b">
        <f t="shared" si="22"/>
        <v>1</v>
      </c>
    </row>
    <row r="1262" spans="1:4">
      <c r="A1262" s="1927" t="s">
        <v>1713</v>
      </c>
      <c r="B1262" s="1949" t="str">
        <f>报表附注!E1607</f>
        <v>           长期股权投资减值</v>
      </c>
      <c r="C1262" s="1936">
        <f>报表附注!H1607</f>
        <v>0</v>
      </c>
      <c r="D1262" s="1927" t="b">
        <f t="shared" si="22"/>
        <v>1</v>
      </c>
    </row>
    <row r="1263" spans="1:4">
      <c r="A1263" s="1927" t="s">
        <v>1714</v>
      </c>
      <c r="B1263" s="1949" t="str">
        <f>报表附注!E1608</f>
        <v>           固定资产减值</v>
      </c>
      <c r="C1263" s="1936">
        <f>报表附注!H1608</f>
        <v>0</v>
      </c>
      <c r="D1263" s="1927" t="b">
        <f t="shared" si="22"/>
        <v>1</v>
      </c>
    </row>
    <row r="1264" spans="1:4">
      <c r="A1264" s="1927" t="s">
        <v>1715</v>
      </c>
      <c r="B1264" s="1928" t="str">
        <f>报表附注!E1609</f>
        <v>            无形资产减值</v>
      </c>
      <c r="C1264" s="1936">
        <f>报表附注!H1609</f>
        <v>0</v>
      </c>
      <c r="D1264" s="1927" t="b">
        <f t="shared" si="22"/>
        <v>1</v>
      </c>
    </row>
    <row r="1265" spans="1:4">
      <c r="A1265" s="1927" t="s">
        <v>1716</v>
      </c>
      <c r="B1265" s="1928" t="str">
        <f>报表附注!E1610</f>
        <v>            商誉减值</v>
      </c>
      <c r="C1265" s="1936">
        <f>报表附注!H1610</f>
        <v>0</v>
      </c>
      <c r="D1265" s="1927" t="b">
        <f t="shared" si="22"/>
        <v>1</v>
      </c>
    </row>
    <row r="1266" spans="1:4">
      <c r="A1266" s="1927" t="s">
        <v>1717</v>
      </c>
      <c r="B1266" s="1928" t="str">
        <f>报表附注!E1611</f>
        <v>2、开办费</v>
      </c>
      <c r="C1266" s="1936">
        <f>报表附注!H1611</f>
        <v>0</v>
      </c>
      <c r="D1266" s="1927" t="b">
        <f t="shared" si="22"/>
        <v>0</v>
      </c>
    </row>
    <row r="1267" spans="1:4">
      <c r="A1267" s="1927" t="s">
        <v>1718</v>
      </c>
      <c r="B1267" s="1928" t="str">
        <f>报表附注!E1612</f>
        <v>3、可抵扣亏损</v>
      </c>
      <c r="C1267" s="1936">
        <f>报表附注!H1612</f>
        <v>0</v>
      </c>
      <c r="D1267" s="1927" t="b">
        <f t="shared" si="22"/>
        <v>0</v>
      </c>
    </row>
    <row r="1268" spans="1:4">
      <c r="A1268" s="1927" t="s">
        <v>1719</v>
      </c>
      <c r="B1268" s="1928" t="str">
        <f>报表附注!E1613</f>
        <v>4、非同一控制下企业合并产生递延所得税资产</v>
      </c>
      <c r="C1268" s="1936">
        <f>报表附注!H1613</f>
        <v>0</v>
      </c>
      <c r="D1268" s="1927" t="b">
        <f t="shared" si="22"/>
        <v>0</v>
      </c>
    </row>
    <row r="1269" spans="1:4">
      <c r="A1269" s="1927" t="s">
        <v>1720</v>
      </c>
      <c r="B1269" s="1928" t="str">
        <f>报表附注!E1614</f>
        <v>5、计提未付的工资</v>
      </c>
      <c r="C1269" s="1936">
        <f>报表附注!H1614</f>
        <v>0</v>
      </c>
      <c r="D1269" s="1927" t="b">
        <f t="shared" si="22"/>
        <v>0</v>
      </c>
    </row>
    <row r="1270" spans="1:4">
      <c r="A1270" s="1927" t="s">
        <v>1721</v>
      </c>
      <c r="B1270" s="1928" t="str">
        <f>报表附注!E1615</f>
        <v>6、递延收益</v>
      </c>
      <c r="C1270" s="1936">
        <f>报表附注!H1615</f>
        <v>0</v>
      </c>
      <c r="D1270" s="1927" t="b">
        <f t="shared" si="22"/>
        <v>0</v>
      </c>
    </row>
    <row r="1271" spans="1:4">
      <c r="A1271" s="1927" t="s">
        <v>1722</v>
      </c>
      <c r="B1271" s="1928" t="str">
        <f>报表附注!E1616</f>
        <v>7、内部交易未实现损益</v>
      </c>
      <c r="C1271" s="1936">
        <f>报表附注!H1616</f>
        <v>0</v>
      </c>
      <c r="D1271" s="1927" t="b">
        <f t="shared" si="22"/>
        <v>0</v>
      </c>
    </row>
    <row r="1272" spans="1:4">
      <c r="A1272" s="1927" t="s">
        <v>936</v>
      </c>
      <c r="B1272" s="1928" t="str">
        <f>报表附注!E1617</f>
        <v>二、递延所得税负债</v>
      </c>
      <c r="C1272" s="1936">
        <f>报表附注!H1617</f>
        <v>0</v>
      </c>
      <c r="D1272" s="1927" t="b">
        <f t="shared" si="22"/>
        <v>1</v>
      </c>
    </row>
    <row r="1273" spans="1:4">
      <c r="A1273" s="1927" t="s">
        <v>1723</v>
      </c>
      <c r="B1273" s="1928" t="str">
        <f>报表附注!E1618</f>
        <v>1、交易性金融工具、衍生金融工具的估值</v>
      </c>
      <c r="C1273" s="1936">
        <f>报表附注!H1618</f>
        <v>0</v>
      </c>
      <c r="D1273" s="1927" t="b">
        <f t="shared" si="22"/>
        <v>0</v>
      </c>
    </row>
    <row r="1274" spans="1:4">
      <c r="A1274" s="1927" t="s">
        <v>1724</v>
      </c>
      <c r="B1274" s="1928" t="str">
        <f>报表附注!E1619</f>
        <v>2、计入资本公积的可供出售金融资产公允价值变动</v>
      </c>
      <c r="C1274" s="1936">
        <f>报表附注!H1619</f>
        <v>0</v>
      </c>
      <c r="D1274" s="1927" t="b">
        <f t="shared" si="22"/>
        <v>0</v>
      </c>
    </row>
    <row r="1275" spans="1:4">
      <c r="A1275" s="1927" t="s">
        <v>1721</v>
      </c>
      <c r="B1275" s="1928" t="str">
        <f>报表附注!E1620</f>
        <v>3、非同一控制下企业合并产生递延所得税负债</v>
      </c>
      <c r="C1275" s="1936">
        <f>报表附注!H1620</f>
        <v>0</v>
      </c>
      <c r="D1275" s="1927" t="b">
        <f t="shared" si="22"/>
        <v>0</v>
      </c>
    </row>
    <row r="1276" spans="1:4">
      <c r="A1276" s="1927" t="s">
        <v>1722</v>
      </c>
      <c r="B1276" s="1928" t="str">
        <f>报表附注!E1621</f>
        <v>4、内部交易未实现损益</v>
      </c>
      <c r="C1276" s="1936">
        <f>报表附注!H1621</f>
        <v>0</v>
      </c>
      <c r="D1276" s="1927" t="b">
        <f t="shared" si="22"/>
        <v>0</v>
      </c>
    </row>
    <row r="1277" spans="1:4">
      <c r="A1277" s="1927" t="s">
        <v>1725</v>
      </c>
      <c r="B1277" s="1928" t="str">
        <f>报表附注!E1622</f>
        <v>5、固定资产评估增值</v>
      </c>
      <c r="C1277" s="1936">
        <f>报表附注!H1622</f>
        <v>0</v>
      </c>
      <c r="D1277" s="1927" t="b">
        <f t="shared" si="22"/>
        <v>0</v>
      </c>
    </row>
    <row r="1278" spans="1:4">
      <c r="A1278" s="1927" t="s">
        <v>1726</v>
      </c>
      <c r="B1278" s="1928" t="str">
        <f>报表附注!E1623</f>
        <v>新增项目4……</v>
      </c>
      <c r="C1278" s="1936">
        <f>报表附注!H1623</f>
        <v>0</v>
      </c>
      <c r="D1278" s="1927" t="b">
        <f t="shared" si="22"/>
        <v>1</v>
      </c>
    </row>
    <row r="1279" spans="1:4">
      <c r="A1279" s="1927" t="s">
        <v>1727</v>
      </c>
      <c r="B1279" s="1928" t="str">
        <f>报表附注!E1624</f>
        <v>新增项目5……</v>
      </c>
      <c r="C1279" s="1936">
        <f>报表附注!H1624</f>
        <v>0</v>
      </c>
      <c r="D1279" s="1927" t="b">
        <f t="shared" si="22"/>
        <v>1</v>
      </c>
    </row>
    <row r="1280" spans="1:4">
      <c r="A1280" s="1927" t="s">
        <v>1728</v>
      </c>
      <c r="B1280" s="1928" t="str">
        <f>报表附注!E1625</f>
        <v>新增项目6……</v>
      </c>
      <c r="C1280" s="1936">
        <f>报表附注!H1625</f>
        <v>0</v>
      </c>
      <c r="D1280" s="1927" t="b">
        <f t="shared" si="22"/>
        <v>1</v>
      </c>
    </row>
    <row r="1281" spans="1:4">
      <c r="A1281" s="1927" t="s">
        <v>1729</v>
      </c>
      <c r="B1281" s="1928" t="str">
        <f>报表附注!E1626</f>
        <v>新增项目7……</v>
      </c>
      <c r="C1281" s="1936">
        <f>报表附注!H1626</f>
        <v>0</v>
      </c>
      <c r="D1281" s="1927" t="b">
        <f t="shared" si="22"/>
        <v>1</v>
      </c>
    </row>
    <row r="1282" spans="1:4">
      <c r="A1282" s="1927" t="s">
        <v>1730</v>
      </c>
      <c r="B1282" s="1928" t="str">
        <f>报表附注!E1627</f>
        <v>新增项目8……</v>
      </c>
      <c r="C1282" s="1936">
        <f>报表附注!H1627</f>
        <v>0</v>
      </c>
      <c r="D1282" s="1927" t="b">
        <f t="shared" si="22"/>
        <v>1</v>
      </c>
    </row>
    <row r="1283" spans="1:4">
      <c r="A1283" s="1927" t="s">
        <v>1731</v>
      </c>
      <c r="B1283" s="1928" t="str">
        <f>报表附注!E1628</f>
        <v>新增项目9……</v>
      </c>
      <c r="C1283" s="1936">
        <f>报表附注!H1628</f>
        <v>0</v>
      </c>
      <c r="D1283" s="1927" t="b">
        <f t="shared" si="22"/>
        <v>1</v>
      </c>
    </row>
    <row r="1284" spans="1:4">
      <c r="A1284" s="1927" t="s">
        <v>1732</v>
      </c>
      <c r="B1284" s="1928" t="str">
        <f>报表附注!E1629</f>
        <v>新增项目10……</v>
      </c>
      <c r="C1284" s="1936">
        <f>报表附注!H1629</f>
        <v>0</v>
      </c>
      <c r="D1284" s="1927" t="b">
        <f t="shared" si="22"/>
        <v>1</v>
      </c>
    </row>
    <row r="1285" spans="1:4">
      <c r="A1285" s="1927" t="s">
        <v>1734</v>
      </c>
      <c r="B1285" s="1948" t="s">
        <v>1734</v>
      </c>
      <c r="D1285" s="1927" t="b">
        <f t="shared" si="22"/>
        <v>1</v>
      </c>
    </row>
    <row r="1286" spans="1:4">
      <c r="A1286" s="1927" t="s">
        <v>934</v>
      </c>
      <c r="B1286" s="1928" t="str">
        <f>报表附注!E1602</f>
        <v>一、递延所得税资产</v>
      </c>
      <c r="C1286" s="1936">
        <f>报表附注!I1602</f>
        <v>0</v>
      </c>
      <c r="D1286" s="1927" t="b">
        <f t="shared" si="22"/>
        <v>1</v>
      </c>
    </row>
    <row r="1287" spans="1:4">
      <c r="A1287" s="1927" t="s">
        <v>1709</v>
      </c>
      <c r="B1287" s="1928" t="str">
        <f>报表附注!E1603</f>
        <v>1、资产减值准备：</v>
      </c>
      <c r="C1287" s="1936">
        <f>报表附注!I1603</f>
        <v>0</v>
      </c>
      <c r="D1287" s="1927" t="b">
        <f t="shared" si="22"/>
        <v>0</v>
      </c>
    </row>
    <row r="1288" spans="1:4">
      <c r="A1288" s="1927" t="s">
        <v>1710</v>
      </c>
      <c r="B1288" s="1949" t="str">
        <f>报表附注!E1604</f>
        <v>      其中：坏账准备</v>
      </c>
      <c r="C1288" s="1936">
        <f>报表附注!I1604</f>
        <v>0</v>
      </c>
      <c r="D1288" s="1927" t="b">
        <f t="shared" si="22"/>
        <v>1</v>
      </c>
    </row>
    <row r="1289" spans="1:4">
      <c r="A1289" s="1927" t="s">
        <v>1711</v>
      </c>
      <c r="B1289" s="1949" t="str">
        <f>报表附注!E1605</f>
        <v>           存货减值</v>
      </c>
      <c r="C1289" s="1936">
        <f>报表附注!I1605</f>
        <v>0</v>
      </c>
      <c r="D1289" s="1927" t="b">
        <f t="shared" si="22"/>
        <v>1</v>
      </c>
    </row>
    <row r="1290" spans="1:4">
      <c r="A1290" s="1927" t="s">
        <v>1712</v>
      </c>
      <c r="B1290" s="1949" t="str">
        <f>报表附注!E1606</f>
        <v>           在建工程减值</v>
      </c>
      <c r="C1290" s="1936">
        <f>报表附注!I1606</f>
        <v>0</v>
      </c>
      <c r="D1290" s="1927" t="b">
        <f t="shared" si="22"/>
        <v>1</v>
      </c>
    </row>
    <row r="1291" spans="1:4">
      <c r="A1291" s="1927" t="s">
        <v>1713</v>
      </c>
      <c r="B1291" s="1949" t="str">
        <f>报表附注!E1607</f>
        <v>           长期股权投资减值</v>
      </c>
      <c r="C1291" s="1936">
        <f>报表附注!I1607</f>
        <v>0</v>
      </c>
      <c r="D1291" s="1927" t="b">
        <f t="shared" si="22"/>
        <v>1</v>
      </c>
    </row>
    <row r="1292" spans="1:4">
      <c r="A1292" s="1927" t="s">
        <v>1714</v>
      </c>
      <c r="B1292" s="1949" t="str">
        <f>报表附注!E1608</f>
        <v>           固定资产减值</v>
      </c>
      <c r="C1292" s="1936">
        <f>报表附注!I1608</f>
        <v>0</v>
      </c>
      <c r="D1292" s="1927" t="b">
        <f t="shared" ref="D1292:D1355" si="23">EXACT(A1292,B1292)</f>
        <v>1</v>
      </c>
    </row>
    <row r="1293" spans="1:4">
      <c r="A1293" s="1927" t="s">
        <v>1715</v>
      </c>
      <c r="B1293" s="1928" t="str">
        <f>报表附注!E1609</f>
        <v>            无形资产减值</v>
      </c>
      <c r="C1293" s="1936">
        <f>报表附注!I1609</f>
        <v>0</v>
      </c>
      <c r="D1293" s="1927" t="b">
        <f t="shared" si="23"/>
        <v>1</v>
      </c>
    </row>
    <row r="1294" spans="1:4">
      <c r="A1294" s="1927" t="s">
        <v>1716</v>
      </c>
      <c r="B1294" s="1928" t="str">
        <f>报表附注!E1610</f>
        <v>            商誉减值</v>
      </c>
      <c r="C1294" s="1936">
        <f>报表附注!I1610</f>
        <v>0</v>
      </c>
      <c r="D1294" s="1927" t="b">
        <f t="shared" si="23"/>
        <v>1</v>
      </c>
    </row>
    <row r="1295" spans="1:4">
      <c r="A1295" s="1927" t="s">
        <v>1717</v>
      </c>
      <c r="B1295" s="1928" t="str">
        <f>报表附注!E1611</f>
        <v>2、开办费</v>
      </c>
      <c r="C1295" s="1936">
        <f>报表附注!I1611</f>
        <v>0</v>
      </c>
      <c r="D1295" s="1927" t="b">
        <f t="shared" si="23"/>
        <v>0</v>
      </c>
    </row>
    <row r="1296" spans="1:4">
      <c r="A1296" s="1927" t="s">
        <v>1718</v>
      </c>
      <c r="B1296" s="1928" t="str">
        <f>报表附注!E1612</f>
        <v>3、可抵扣亏损</v>
      </c>
      <c r="C1296" s="1936">
        <f>报表附注!I1612</f>
        <v>0</v>
      </c>
      <c r="D1296" s="1927" t="b">
        <f t="shared" si="23"/>
        <v>0</v>
      </c>
    </row>
    <row r="1297" spans="1:4">
      <c r="A1297" s="1927" t="s">
        <v>1719</v>
      </c>
      <c r="B1297" s="1928" t="str">
        <f>报表附注!E1613</f>
        <v>4、非同一控制下企业合并产生递延所得税资产</v>
      </c>
      <c r="C1297" s="1936">
        <f>报表附注!I1613</f>
        <v>0</v>
      </c>
      <c r="D1297" s="1927" t="b">
        <f t="shared" si="23"/>
        <v>0</v>
      </c>
    </row>
    <row r="1298" spans="1:4">
      <c r="A1298" s="1927" t="s">
        <v>1720</v>
      </c>
      <c r="B1298" s="1928" t="str">
        <f>报表附注!E1614</f>
        <v>5、计提未付的工资</v>
      </c>
      <c r="C1298" s="1936">
        <f>报表附注!I1614</f>
        <v>0</v>
      </c>
      <c r="D1298" s="1927" t="b">
        <f t="shared" si="23"/>
        <v>0</v>
      </c>
    </row>
    <row r="1299" spans="1:4">
      <c r="A1299" s="1927" t="s">
        <v>1721</v>
      </c>
      <c r="B1299" s="1928" t="str">
        <f>报表附注!E1615</f>
        <v>6、递延收益</v>
      </c>
      <c r="C1299" s="1936">
        <f>报表附注!I1615</f>
        <v>0</v>
      </c>
      <c r="D1299" s="1927" t="b">
        <f t="shared" si="23"/>
        <v>0</v>
      </c>
    </row>
    <row r="1300" spans="1:4">
      <c r="A1300" s="1927" t="s">
        <v>1722</v>
      </c>
      <c r="B1300" s="1928" t="str">
        <f>报表附注!E1616</f>
        <v>7、内部交易未实现损益</v>
      </c>
      <c r="C1300" s="1936">
        <f>报表附注!I1616</f>
        <v>0</v>
      </c>
      <c r="D1300" s="1927" t="b">
        <f t="shared" si="23"/>
        <v>0</v>
      </c>
    </row>
    <row r="1301" spans="1:4">
      <c r="A1301" s="1927" t="s">
        <v>936</v>
      </c>
      <c r="B1301" s="1928" t="str">
        <f>报表附注!E1617</f>
        <v>二、递延所得税负债</v>
      </c>
      <c r="C1301" s="1936">
        <f>报表附注!I1617</f>
        <v>0</v>
      </c>
      <c r="D1301" s="1927" t="b">
        <f t="shared" si="23"/>
        <v>1</v>
      </c>
    </row>
    <row r="1302" spans="1:4">
      <c r="A1302" s="1927" t="s">
        <v>1723</v>
      </c>
      <c r="B1302" s="1928" t="str">
        <f>报表附注!E1618</f>
        <v>1、交易性金融工具、衍生金融工具的估值</v>
      </c>
      <c r="C1302" s="1936">
        <f>报表附注!I1618</f>
        <v>0</v>
      </c>
      <c r="D1302" s="1927" t="b">
        <f t="shared" si="23"/>
        <v>0</v>
      </c>
    </row>
    <row r="1303" spans="1:4">
      <c r="A1303" s="1927" t="s">
        <v>1724</v>
      </c>
      <c r="B1303" s="1928" t="str">
        <f>报表附注!E1619</f>
        <v>2、计入资本公积的可供出售金融资产公允价值变动</v>
      </c>
      <c r="C1303" s="1936">
        <f>报表附注!I1619</f>
        <v>0</v>
      </c>
      <c r="D1303" s="1927" t="b">
        <f t="shared" si="23"/>
        <v>0</v>
      </c>
    </row>
    <row r="1304" spans="1:4">
      <c r="A1304" s="1927" t="s">
        <v>1721</v>
      </c>
      <c r="B1304" s="1928" t="str">
        <f>报表附注!E1620</f>
        <v>3、非同一控制下企业合并产生递延所得税负债</v>
      </c>
      <c r="C1304" s="1936">
        <f>报表附注!I1620</f>
        <v>0</v>
      </c>
      <c r="D1304" s="1927" t="b">
        <f t="shared" si="23"/>
        <v>0</v>
      </c>
    </row>
    <row r="1305" spans="1:4">
      <c r="A1305" s="1927" t="s">
        <v>1722</v>
      </c>
      <c r="B1305" s="1928" t="str">
        <f>报表附注!E1621</f>
        <v>4、内部交易未实现损益</v>
      </c>
      <c r="C1305" s="1936">
        <f>报表附注!I1621</f>
        <v>0</v>
      </c>
      <c r="D1305" s="1927" t="b">
        <f t="shared" si="23"/>
        <v>0</v>
      </c>
    </row>
    <row r="1306" spans="1:4">
      <c r="A1306" s="1927" t="s">
        <v>1725</v>
      </c>
      <c r="B1306" s="1928" t="str">
        <f>报表附注!E1622</f>
        <v>5、固定资产评估增值</v>
      </c>
      <c r="C1306" s="1936">
        <f>报表附注!I1622</f>
        <v>0</v>
      </c>
      <c r="D1306" s="1927" t="b">
        <f t="shared" si="23"/>
        <v>0</v>
      </c>
    </row>
    <row r="1307" spans="1:4">
      <c r="A1307" s="1927" t="s">
        <v>1726</v>
      </c>
      <c r="B1307" s="1928" t="str">
        <f>报表附注!E1623</f>
        <v>新增项目4……</v>
      </c>
      <c r="C1307" s="1936">
        <f>报表附注!I1623</f>
        <v>0</v>
      </c>
      <c r="D1307" s="1927" t="b">
        <f t="shared" si="23"/>
        <v>1</v>
      </c>
    </row>
    <row r="1308" spans="1:4">
      <c r="A1308" s="1927" t="s">
        <v>1727</v>
      </c>
      <c r="B1308" s="1928" t="str">
        <f>报表附注!E1624</f>
        <v>新增项目5……</v>
      </c>
      <c r="C1308" s="1936">
        <f>报表附注!I1624</f>
        <v>0</v>
      </c>
      <c r="D1308" s="1927" t="b">
        <f t="shared" si="23"/>
        <v>1</v>
      </c>
    </row>
    <row r="1309" spans="1:4">
      <c r="A1309" s="1927" t="s">
        <v>1728</v>
      </c>
      <c r="B1309" s="1928" t="str">
        <f>报表附注!E1625</f>
        <v>新增项目6……</v>
      </c>
      <c r="C1309" s="1936">
        <f>报表附注!I1625</f>
        <v>0</v>
      </c>
      <c r="D1309" s="1927" t="b">
        <f t="shared" si="23"/>
        <v>1</v>
      </c>
    </row>
    <row r="1310" spans="1:4">
      <c r="A1310" s="1927" t="s">
        <v>1729</v>
      </c>
      <c r="B1310" s="1928" t="str">
        <f>报表附注!E1626</f>
        <v>新增项目7……</v>
      </c>
      <c r="C1310" s="1936">
        <f>报表附注!I1626</f>
        <v>0</v>
      </c>
      <c r="D1310" s="1927" t="b">
        <f t="shared" si="23"/>
        <v>1</v>
      </c>
    </row>
    <row r="1311" spans="1:4">
      <c r="A1311" s="1927" t="s">
        <v>1730</v>
      </c>
      <c r="B1311" s="1928" t="str">
        <f>报表附注!E1627</f>
        <v>新增项目8……</v>
      </c>
      <c r="C1311" s="1936">
        <f>报表附注!I1627</f>
        <v>0</v>
      </c>
      <c r="D1311" s="1927" t="b">
        <f t="shared" si="23"/>
        <v>1</v>
      </c>
    </row>
    <row r="1312" spans="1:4">
      <c r="A1312" s="1927" t="s">
        <v>1731</v>
      </c>
      <c r="B1312" s="1928" t="str">
        <f>报表附注!E1628</f>
        <v>新增项目9……</v>
      </c>
      <c r="C1312" s="1936">
        <f>报表附注!I1628</f>
        <v>0</v>
      </c>
      <c r="D1312" s="1927" t="b">
        <f t="shared" si="23"/>
        <v>1</v>
      </c>
    </row>
    <row r="1313" spans="1:4">
      <c r="A1313" s="1927" t="s">
        <v>1732</v>
      </c>
      <c r="B1313" s="1928" t="str">
        <f>报表附注!E1629</f>
        <v>新增项目10……</v>
      </c>
      <c r="C1313" s="1936">
        <f>报表附注!I1629</f>
        <v>0</v>
      </c>
      <c r="D1313" s="1927" t="b">
        <f t="shared" si="23"/>
        <v>1</v>
      </c>
    </row>
    <row r="1314" spans="4:4">
      <c r="D1314" s="1927" t="b">
        <f t="shared" si="23"/>
        <v>1</v>
      </c>
    </row>
    <row r="1315" spans="1:4">
      <c r="A1315" s="1927" t="s">
        <v>1735</v>
      </c>
      <c r="B1315" s="1933" t="s">
        <v>1735</v>
      </c>
      <c r="D1315" s="1927" t="b">
        <f t="shared" si="23"/>
        <v>1</v>
      </c>
    </row>
    <row r="1316" spans="1:4">
      <c r="A1316" s="1927" t="s">
        <v>515</v>
      </c>
      <c r="B1316" s="1948" t="s">
        <v>515</v>
      </c>
      <c r="D1316" s="1927" t="b">
        <f t="shared" si="23"/>
        <v>1</v>
      </c>
    </row>
    <row r="1317" spans="1:4">
      <c r="A1317" s="1927" t="s">
        <v>1736</v>
      </c>
      <c r="B1317" s="1928" t="str">
        <f>报表附注!E1637</f>
        <v>可抵扣暂时性差异</v>
      </c>
      <c r="C1317" s="1936">
        <f>报表附注!F1637</f>
        <v>0</v>
      </c>
      <c r="D1317" s="1927" t="b">
        <f t="shared" si="23"/>
        <v>1</v>
      </c>
    </row>
    <row r="1318" spans="1:4">
      <c r="A1318" s="1927" t="s">
        <v>1720</v>
      </c>
      <c r="B1318" s="1928" t="str">
        <f>报表附注!E1638</f>
        <v>可抵扣亏损</v>
      </c>
      <c r="C1318" s="1936">
        <f>报表附注!F1638</f>
        <v>0</v>
      </c>
      <c r="D1318" s="1927" t="b">
        <f t="shared" si="23"/>
        <v>1</v>
      </c>
    </row>
    <row r="1319" spans="1:4">
      <c r="A1319" s="1927" t="s">
        <v>1721</v>
      </c>
      <c r="B1319" s="1928" t="str">
        <f>报表附注!E1639</f>
        <v>新增项目1……</v>
      </c>
      <c r="C1319" s="1936">
        <f>报表附注!F1639</f>
        <v>0</v>
      </c>
      <c r="D1319" s="1927" t="b">
        <f t="shared" si="23"/>
        <v>1</v>
      </c>
    </row>
    <row r="1320" spans="1:4">
      <c r="A1320" s="1927" t="s">
        <v>1722</v>
      </c>
      <c r="B1320" s="1928" t="str">
        <f>报表附注!E1640</f>
        <v>新增项目2……</v>
      </c>
      <c r="C1320" s="1936">
        <f>报表附注!F1640</f>
        <v>0</v>
      </c>
      <c r="D1320" s="1927" t="b">
        <f t="shared" si="23"/>
        <v>1</v>
      </c>
    </row>
    <row r="1321" spans="1:4">
      <c r="A1321" s="1927" t="s">
        <v>1725</v>
      </c>
      <c r="B1321" s="1928" t="str">
        <f>报表附注!E1641</f>
        <v>新增项目3……</v>
      </c>
      <c r="C1321" s="1936">
        <f>报表附注!F1641</f>
        <v>0</v>
      </c>
      <c r="D1321" s="1927" t="b">
        <f t="shared" si="23"/>
        <v>1</v>
      </c>
    </row>
    <row r="1322" spans="1:4">
      <c r="A1322" s="1927" t="s">
        <v>1726</v>
      </c>
      <c r="B1322" s="1928" t="str">
        <f>报表附注!E1642</f>
        <v>新增项目4……</v>
      </c>
      <c r="C1322" s="1936">
        <f>报表附注!F1642</f>
        <v>0</v>
      </c>
      <c r="D1322" s="1927" t="b">
        <f t="shared" si="23"/>
        <v>1</v>
      </c>
    </row>
    <row r="1323" spans="1:4">
      <c r="A1323" s="1927" t="s">
        <v>1727</v>
      </c>
      <c r="B1323" s="1928" t="str">
        <f>报表附注!E1643</f>
        <v>新增项目5……</v>
      </c>
      <c r="C1323" s="1936">
        <f>报表附注!F1643</f>
        <v>0</v>
      </c>
      <c r="D1323" s="1927" t="b">
        <f t="shared" si="23"/>
        <v>1</v>
      </c>
    </row>
    <row r="1324" spans="1:4">
      <c r="A1324" s="1927" t="s">
        <v>1580</v>
      </c>
      <c r="B1324" s="1939" t="str">
        <f>报表附注!E1644</f>
        <v>合计</v>
      </c>
      <c r="C1324" s="1936">
        <f>报表附注!F1644</f>
        <v>0</v>
      </c>
      <c r="D1324" s="1927" t="b">
        <f t="shared" si="23"/>
        <v>1</v>
      </c>
    </row>
    <row r="1325" spans="1:4">
      <c r="A1325" s="1927" t="s">
        <v>670</v>
      </c>
      <c r="B1325" s="1948" t="s">
        <v>670</v>
      </c>
      <c r="D1325" s="1927" t="b">
        <f t="shared" si="23"/>
        <v>1</v>
      </c>
    </row>
    <row r="1326" spans="1:4">
      <c r="A1326" s="1927" t="s">
        <v>1736</v>
      </c>
      <c r="B1326" s="1928" t="str">
        <f>报表附注!E1637</f>
        <v>可抵扣暂时性差异</v>
      </c>
      <c r="C1326" s="1936">
        <f>报表附注!G1637</f>
        <v>0</v>
      </c>
      <c r="D1326" s="1927" t="b">
        <f t="shared" si="23"/>
        <v>1</v>
      </c>
    </row>
    <row r="1327" spans="1:4">
      <c r="A1327" s="1927" t="s">
        <v>1720</v>
      </c>
      <c r="B1327" s="1928" t="str">
        <f>报表附注!E1638</f>
        <v>可抵扣亏损</v>
      </c>
      <c r="C1327" s="1936">
        <f>报表附注!G1638</f>
        <v>0</v>
      </c>
      <c r="D1327" s="1927" t="b">
        <f t="shared" si="23"/>
        <v>1</v>
      </c>
    </row>
    <row r="1328" spans="1:4">
      <c r="A1328" s="1927" t="s">
        <v>1721</v>
      </c>
      <c r="B1328" s="1928" t="str">
        <f>报表附注!E1639</f>
        <v>新增项目1……</v>
      </c>
      <c r="C1328" s="1936">
        <f>报表附注!G1639</f>
        <v>0</v>
      </c>
      <c r="D1328" s="1927" t="b">
        <f t="shared" si="23"/>
        <v>1</v>
      </c>
    </row>
    <row r="1329" spans="1:4">
      <c r="A1329" s="1927" t="s">
        <v>1722</v>
      </c>
      <c r="B1329" s="1928" t="str">
        <f>报表附注!E1640</f>
        <v>新增项目2……</v>
      </c>
      <c r="C1329" s="1936">
        <f>报表附注!G1640</f>
        <v>0</v>
      </c>
      <c r="D1329" s="1927" t="b">
        <f t="shared" si="23"/>
        <v>1</v>
      </c>
    </row>
    <row r="1330" spans="1:4">
      <c r="A1330" s="1927" t="s">
        <v>1725</v>
      </c>
      <c r="B1330" s="1928" t="str">
        <f>报表附注!E1641</f>
        <v>新增项目3……</v>
      </c>
      <c r="C1330" s="1936">
        <f>报表附注!G1641</f>
        <v>0</v>
      </c>
      <c r="D1330" s="1927" t="b">
        <f t="shared" si="23"/>
        <v>1</v>
      </c>
    </row>
    <row r="1331" spans="1:4">
      <c r="A1331" s="1927" t="s">
        <v>1726</v>
      </c>
      <c r="B1331" s="1928" t="str">
        <f>报表附注!E1642</f>
        <v>新增项目4……</v>
      </c>
      <c r="C1331" s="1936">
        <f>报表附注!G1642</f>
        <v>0</v>
      </c>
      <c r="D1331" s="1927" t="b">
        <f t="shared" si="23"/>
        <v>1</v>
      </c>
    </row>
    <row r="1332" spans="1:4">
      <c r="A1332" s="1927" t="s">
        <v>1727</v>
      </c>
      <c r="B1332" s="1928" t="str">
        <f>报表附注!E1643</f>
        <v>新增项目5……</v>
      </c>
      <c r="C1332" s="1936">
        <f>报表附注!G1643</f>
        <v>0</v>
      </c>
      <c r="D1332" s="1927" t="b">
        <f t="shared" si="23"/>
        <v>1</v>
      </c>
    </row>
    <row r="1333" spans="1:4">
      <c r="A1333" s="1927" t="s">
        <v>1580</v>
      </c>
      <c r="B1333" s="1939" t="str">
        <f>报表附注!E1644</f>
        <v>合计</v>
      </c>
      <c r="C1333" s="1936">
        <f>报表附注!G1644</f>
        <v>0</v>
      </c>
      <c r="D1333" s="1927" t="b">
        <f t="shared" si="23"/>
        <v>1</v>
      </c>
    </row>
    <row r="1334" spans="4:4">
      <c r="D1334" s="1927" t="b">
        <f t="shared" si="23"/>
        <v>1</v>
      </c>
    </row>
    <row r="1335" ht="12.75" spans="1:4">
      <c r="A1335" s="1927" t="s">
        <v>1737</v>
      </c>
      <c r="B1335" s="1973" t="s">
        <v>1737</v>
      </c>
      <c r="D1335" s="1927" t="b">
        <f t="shared" si="23"/>
        <v>1</v>
      </c>
    </row>
    <row r="1336" spans="1:4">
      <c r="A1336" s="1927" t="s">
        <v>515</v>
      </c>
      <c r="B1336" s="1948" t="s">
        <v>515</v>
      </c>
      <c r="D1336" s="1927" t="b">
        <f t="shared" si="23"/>
        <v>1</v>
      </c>
    </row>
    <row r="1337" spans="1:4">
      <c r="A1337" s="1927">
        <v>2011</v>
      </c>
      <c r="B1337" s="1974">
        <f>报表附注!E1648</f>
        <v>2016</v>
      </c>
      <c r="C1337" s="1936">
        <f>报表附注!F1648</f>
        <v>0</v>
      </c>
      <c r="D1337" s="1927" t="b">
        <f t="shared" si="23"/>
        <v>0</v>
      </c>
    </row>
    <row r="1338" spans="1:4">
      <c r="A1338" s="1927">
        <v>2012</v>
      </c>
      <c r="B1338" s="1974">
        <f>报表附注!E1649</f>
        <v>2017</v>
      </c>
      <c r="C1338" s="1936">
        <f>报表附注!F1649</f>
        <v>0</v>
      </c>
      <c r="D1338" s="1927" t="b">
        <f t="shared" si="23"/>
        <v>0</v>
      </c>
    </row>
    <row r="1339" spans="1:4">
      <c r="A1339" s="1927">
        <v>2013</v>
      </c>
      <c r="B1339" s="1974">
        <f>报表附注!E1650</f>
        <v>2018</v>
      </c>
      <c r="C1339" s="1936">
        <f>报表附注!F1650</f>
        <v>0</v>
      </c>
      <c r="D1339" s="1927" t="b">
        <f t="shared" si="23"/>
        <v>0</v>
      </c>
    </row>
    <row r="1340" spans="1:4">
      <c r="A1340" s="1927">
        <v>2014</v>
      </c>
      <c r="B1340" s="1974">
        <f>报表附注!E1651</f>
        <v>2019</v>
      </c>
      <c r="C1340" s="1936">
        <f>报表附注!F1651</f>
        <v>0</v>
      </c>
      <c r="D1340" s="1927" t="b">
        <f t="shared" si="23"/>
        <v>0</v>
      </c>
    </row>
    <row r="1341" spans="1:4">
      <c r="A1341" s="1927">
        <v>2015</v>
      </c>
      <c r="B1341" s="1974">
        <f>报表附注!E1652</f>
        <v>2020</v>
      </c>
      <c r="C1341" s="1936">
        <f>报表附注!F1652</f>
        <v>0</v>
      </c>
      <c r="D1341" s="1927" t="b">
        <f t="shared" si="23"/>
        <v>0</v>
      </c>
    </row>
    <row r="1342" spans="1:4">
      <c r="A1342" s="1927" t="s">
        <v>1580</v>
      </c>
      <c r="B1342" s="1975" t="str">
        <f>报表附注!E1653</f>
        <v>合计</v>
      </c>
      <c r="C1342" s="1936">
        <f>报表附注!F1653</f>
        <v>0</v>
      </c>
      <c r="D1342" s="1927" t="b">
        <f t="shared" si="23"/>
        <v>1</v>
      </c>
    </row>
    <row r="1343" spans="1:4">
      <c r="A1343" s="1927" t="s">
        <v>670</v>
      </c>
      <c r="B1343" s="1948" t="s">
        <v>670</v>
      </c>
      <c r="D1343" s="1927" t="b">
        <f t="shared" si="23"/>
        <v>1</v>
      </c>
    </row>
    <row r="1344" spans="1:4">
      <c r="A1344" s="1927">
        <v>2011</v>
      </c>
      <c r="B1344" s="1974">
        <f>报表附注!E1648</f>
        <v>2016</v>
      </c>
      <c r="C1344" s="1936">
        <f>报表附注!G1648</f>
        <v>0</v>
      </c>
      <c r="D1344" s="1927" t="b">
        <f t="shared" si="23"/>
        <v>0</v>
      </c>
    </row>
    <row r="1345" spans="1:4">
      <c r="A1345" s="1927">
        <v>2012</v>
      </c>
      <c r="B1345" s="1974">
        <f>报表附注!E1649</f>
        <v>2017</v>
      </c>
      <c r="C1345" s="1936">
        <f>报表附注!G1649</f>
        <v>0</v>
      </c>
      <c r="D1345" s="1927" t="b">
        <f t="shared" si="23"/>
        <v>0</v>
      </c>
    </row>
    <row r="1346" spans="1:4">
      <c r="A1346" s="1927">
        <v>2013</v>
      </c>
      <c r="B1346" s="1974">
        <f>报表附注!E1650</f>
        <v>2018</v>
      </c>
      <c r="C1346" s="1936">
        <f>报表附注!G1650</f>
        <v>0</v>
      </c>
      <c r="D1346" s="1927" t="b">
        <f t="shared" si="23"/>
        <v>0</v>
      </c>
    </row>
    <row r="1347" spans="1:4">
      <c r="A1347" s="1927">
        <v>2014</v>
      </c>
      <c r="B1347" s="1974">
        <f>报表附注!E1651</f>
        <v>2019</v>
      </c>
      <c r="C1347" s="1936">
        <f>报表附注!G1651</f>
        <v>0</v>
      </c>
      <c r="D1347" s="1927" t="b">
        <f t="shared" si="23"/>
        <v>0</v>
      </c>
    </row>
    <row r="1348" spans="1:4">
      <c r="A1348" s="1927">
        <v>2015</v>
      </c>
      <c r="B1348" s="1974">
        <f>报表附注!E1652</f>
        <v>2020</v>
      </c>
      <c r="C1348" s="1936">
        <f>报表附注!G1652</f>
        <v>0</v>
      </c>
      <c r="D1348" s="1927" t="b">
        <f t="shared" si="23"/>
        <v>0</v>
      </c>
    </row>
    <row r="1349" spans="1:4">
      <c r="A1349" s="1927" t="s">
        <v>1580</v>
      </c>
      <c r="B1349" s="1975" t="str">
        <f>报表附注!E1653</f>
        <v>合计</v>
      </c>
      <c r="C1349" s="1936">
        <f>报表附注!G1653</f>
        <v>0</v>
      </c>
      <c r="D1349" s="1927" t="b">
        <f t="shared" si="23"/>
        <v>1</v>
      </c>
    </row>
    <row r="1350" spans="4:4">
      <c r="D1350" s="1927" t="b">
        <f t="shared" si="23"/>
        <v>1</v>
      </c>
    </row>
    <row r="1351" s="1681" customFormat="1" ht="12" spans="1:9">
      <c r="A1351" s="1681" t="s">
        <v>1738</v>
      </c>
      <c r="B1351" s="1968" t="s">
        <v>1738</v>
      </c>
      <c r="C1351" s="1682"/>
      <c r="D1351" s="1927" t="b">
        <f t="shared" si="23"/>
        <v>1</v>
      </c>
      <c r="F1351" s="1927"/>
      <c r="H1351" s="1682"/>
      <c r="I1351" s="1682"/>
    </row>
    <row r="1352" s="1681" customFormat="1" ht="12" spans="1:9">
      <c r="A1352" s="1681" t="s">
        <v>1739</v>
      </c>
      <c r="B1352" s="1968" t="s">
        <v>1739</v>
      </c>
      <c r="C1352" s="1682"/>
      <c r="D1352" s="1927" t="b">
        <f t="shared" si="23"/>
        <v>1</v>
      </c>
      <c r="F1352" s="1927"/>
      <c r="H1352" s="1682"/>
      <c r="I1352" s="1682"/>
    </row>
    <row r="1353" s="1681" customFormat="1" ht="12" spans="1:9">
      <c r="A1353" s="1681" t="s">
        <v>1740</v>
      </c>
      <c r="B1353" s="1976" t="s">
        <v>1740</v>
      </c>
      <c r="C1353" s="1682"/>
      <c r="D1353" s="1927" t="b">
        <f t="shared" si="23"/>
        <v>1</v>
      </c>
      <c r="F1353" s="1927"/>
      <c r="H1353" s="1682"/>
      <c r="I1353" s="1682"/>
    </row>
    <row r="1354" spans="1:4">
      <c r="A1354" s="1927" t="s">
        <v>934</v>
      </c>
      <c r="B1354" s="1928" t="str">
        <f>报表附注!E1683</f>
        <v>一、递延所得税资产</v>
      </c>
      <c r="C1354" s="1936">
        <f>报表附注!F1683</f>
        <v>0</v>
      </c>
      <c r="D1354" s="1927" t="b">
        <f t="shared" si="23"/>
        <v>1</v>
      </c>
    </row>
    <row r="1355" spans="1:4">
      <c r="A1355" s="1927" t="s">
        <v>1709</v>
      </c>
      <c r="B1355" s="1928" t="str">
        <f>报表附注!E1684</f>
        <v>1、资产减值准备：</v>
      </c>
      <c r="C1355" s="1936">
        <f>报表附注!F1684</f>
        <v>0</v>
      </c>
      <c r="D1355" s="1927" t="b">
        <f t="shared" si="23"/>
        <v>0</v>
      </c>
    </row>
    <row r="1356" spans="1:4">
      <c r="A1356" s="1927" t="s">
        <v>1710</v>
      </c>
      <c r="B1356" s="1928" t="str">
        <f>报表附注!E1685</f>
        <v>      其中：坏账准备</v>
      </c>
      <c r="C1356" s="1936">
        <f>报表附注!F1685</f>
        <v>0</v>
      </c>
      <c r="D1356" s="1927" t="b">
        <f t="shared" ref="D1356:D1419" si="24">EXACT(A1356,B1356)</f>
        <v>1</v>
      </c>
    </row>
    <row r="1357" spans="1:4">
      <c r="A1357" s="1927" t="s">
        <v>1711</v>
      </c>
      <c r="B1357" s="1928" t="str">
        <f>报表附注!E1686</f>
        <v>           存货减值</v>
      </c>
      <c r="C1357" s="1936">
        <f>报表附注!F1686</f>
        <v>0</v>
      </c>
      <c r="D1357" s="1927" t="b">
        <f t="shared" si="24"/>
        <v>1</v>
      </c>
    </row>
    <row r="1358" spans="1:4">
      <c r="A1358" s="1927" t="s">
        <v>1712</v>
      </c>
      <c r="B1358" s="1928" t="str">
        <f>报表附注!E1687</f>
        <v>           在建工程减值</v>
      </c>
      <c r="C1358" s="1936">
        <f>报表附注!F1687</f>
        <v>0</v>
      </c>
      <c r="D1358" s="1927" t="b">
        <f t="shared" si="24"/>
        <v>1</v>
      </c>
    </row>
    <row r="1359" spans="1:4">
      <c r="A1359" s="1927" t="s">
        <v>1713</v>
      </c>
      <c r="B1359" s="1928" t="str">
        <f>报表附注!E1688</f>
        <v>           长期股权投资减值</v>
      </c>
      <c r="C1359" s="1936">
        <f>报表附注!F1688</f>
        <v>0</v>
      </c>
      <c r="D1359" s="1927" t="b">
        <f t="shared" si="24"/>
        <v>1</v>
      </c>
    </row>
    <row r="1360" spans="1:4">
      <c r="A1360" s="1927" t="s">
        <v>1714</v>
      </c>
      <c r="B1360" s="1928" t="str">
        <f>报表附注!E1689</f>
        <v>           固定资产减值</v>
      </c>
      <c r="C1360" s="1936">
        <f>报表附注!F1689</f>
        <v>0</v>
      </c>
      <c r="D1360" s="1927" t="b">
        <f t="shared" si="24"/>
        <v>1</v>
      </c>
    </row>
    <row r="1361" spans="1:4">
      <c r="A1361" s="1927" t="s">
        <v>1715</v>
      </c>
      <c r="B1361" s="1928" t="str">
        <f>报表附注!E1690</f>
        <v>            无形资产减值</v>
      </c>
      <c r="C1361" s="1936">
        <f>报表附注!F1690</f>
        <v>0</v>
      </c>
      <c r="D1361" s="1927" t="b">
        <f t="shared" si="24"/>
        <v>1</v>
      </c>
    </row>
    <row r="1362" spans="1:4">
      <c r="A1362" s="1927" t="s">
        <v>1716</v>
      </c>
      <c r="B1362" s="1928" t="str">
        <f>报表附注!E1691</f>
        <v>            商誉减值</v>
      </c>
      <c r="C1362" s="1936">
        <f>报表附注!F1691</f>
        <v>0</v>
      </c>
      <c r="D1362" s="1927" t="b">
        <f t="shared" si="24"/>
        <v>1</v>
      </c>
    </row>
    <row r="1363" spans="1:4">
      <c r="A1363" s="1927" t="s">
        <v>1717</v>
      </c>
      <c r="B1363" s="1928" t="str">
        <f>报表附注!E1692</f>
        <v>2、开办费</v>
      </c>
      <c r="C1363" s="1936">
        <f>报表附注!F1692</f>
        <v>0</v>
      </c>
      <c r="D1363" s="1927" t="b">
        <f t="shared" si="24"/>
        <v>0</v>
      </c>
    </row>
    <row r="1364" spans="1:4">
      <c r="A1364" s="1927" t="s">
        <v>1718</v>
      </c>
      <c r="B1364" s="1928" t="str">
        <f>报表附注!E1693</f>
        <v>3、可抵扣亏损</v>
      </c>
      <c r="C1364" s="1936">
        <f>报表附注!F1693</f>
        <v>0</v>
      </c>
      <c r="D1364" s="1927" t="b">
        <f t="shared" si="24"/>
        <v>0</v>
      </c>
    </row>
    <row r="1365" spans="1:4">
      <c r="A1365" s="1927" t="s">
        <v>1719</v>
      </c>
      <c r="B1365" s="1928" t="str">
        <f>报表附注!E1694</f>
        <v>4、非同一控制下企业合并产生递延所得税资产</v>
      </c>
      <c r="C1365" s="1936">
        <f>报表附注!F1694</f>
        <v>0</v>
      </c>
      <c r="D1365" s="1927" t="b">
        <f t="shared" si="24"/>
        <v>0</v>
      </c>
    </row>
    <row r="1366" spans="1:4">
      <c r="A1366" s="1927" t="s">
        <v>1720</v>
      </c>
      <c r="B1366" s="1928" t="str">
        <f>报表附注!E1695</f>
        <v>5、计提未付的工资</v>
      </c>
      <c r="C1366" s="1936">
        <f>报表附注!F1695</f>
        <v>0</v>
      </c>
      <c r="D1366" s="1927" t="b">
        <f t="shared" si="24"/>
        <v>0</v>
      </c>
    </row>
    <row r="1367" spans="1:4">
      <c r="A1367" s="1927" t="s">
        <v>1721</v>
      </c>
      <c r="B1367" s="1928" t="str">
        <f>报表附注!E1696</f>
        <v>6、递延收益</v>
      </c>
      <c r="C1367" s="1936">
        <f>报表附注!F1696</f>
        <v>0</v>
      </c>
      <c r="D1367" s="1927" t="b">
        <f t="shared" si="24"/>
        <v>0</v>
      </c>
    </row>
    <row r="1368" spans="1:4">
      <c r="A1368" s="1927" t="s">
        <v>1722</v>
      </c>
      <c r="B1368" s="1928" t="str">
        <f>报表附注!E1697</f>
        <v>7、内部交易未实现损益</v>
      </c>
      <c r="C1368" s="1936">
        <f>报表附注!F1697</f>
        <v>0</v>
      </c>
      <c r="D1368" s="1927" t="b">
        <f t="shared" si="24"/>
        <v>0</v>
      </c>
    </row>
    <row r="1369" spans="1:4">
      <c r="A1369" s="1927" t="s">
        <v>936</v>
      </c>
      <c r="B1369" s="1928" t="str">
        <f>报表附注!E1698</f>
        <v>二、递延所得税负债</v>
      </c>
      <c r="C1369" s="1936">
        <f>报表附注!F1698</f>
        <v>0</v>
      </c>
      <c r="D1369" s="1927" t="b">
        <f t="shared" si="24"/>
        <v>1</v>
      </c>
    </row>
    <row r="1370" spans="1:4">
      <c r="A1370" s="1927" t="s">
        <v>1723</v>
      </c>
      <c r="B1370" s="1928" t="str">
        <f>报表附注!E1699</f>
        <v>1、交易性金融工具、衍生金融工具的估值</v>
      </c>
      <c r="C1370" s="1936">
        <f>报表附注!F1699</f>
        <v>0</v>
      </c>
      <c r="D1370" s="1927" t="b">
        <f t="shared" si="24"/>
        <v>0</v>
      </c>
    </row>
    <row r="1371" spans="1:4">
      <c r="A1371" s="1927" t="s">
        <v>1724</v>
      </c>
      <c r="B1371" s="1928" t="str">
        <f>报表附注!E1700</f>
        <v>2、计入资本公积的可供出售金融资产公允价值变动</v>
      </c>
      <c r="C1371" s="1936">
        <f>报表附注!F1700</f>
        <v>0</v>
      </c>
      <c r="D1371" s="1927" t="b">
        <f t="shared" si="24"/>
        <v>0</v>
      </c>
    </row>
    <row r="1372" spans="1:4">
      <c r="A1372" s="1927" t="s">
        <v>1721</v>
      </c>
      <c r="B1372" s="1928" t="str">
        <f>报表附注!E1701</f>
        <v>3、非同一控制下企业合并产生递延所得税负债</v>
      </c>
      <c r="C1372" s="1936">
        <f>报表附注!F1701</f>
        <v>0</v>
      </c>
      <c r="D1372" s="1927" t="b">
        <f t="shared" si="24"/>
        <v>0</v>
      </c>
    </row>
    <row r="1373" spans="1:4">
      <c r="A1373" s="1927" t="s">
        <v>1722</v>
      </c>
      <c r="B1373" s="1928" t="str">
        <f>报表附注!E1702</f>
        <v>4、内部交易未实现损益</v>
      </c>
      <c r="C1373" s="1936">
        <f>报表附注!F1702</f>
        <v>0</v>
      </c>
      <c r="D1373" s="1927" t="b">
        <f t="shared" si="24"/>
        <v>0</v>
      </c>
    </row>
    <row r="1374" spans="1:4">
      <c r="A1374" s="1927" t="s">
        <v>1725</v>
      </c>
      <c r="B1374" s="1928" t="str">
        <f>报表附注!E1703</f>
        <v>5、固定资产评估增值</v>
      </c>
      <c r="C1374" s="1936">
        <f>报表附注!F1703</f>
        <v>0</v>
      </c>
      <c r="D1374" s="1927" t="b">
        <f t="shared" si="24"/>
        <v>0</v>
      </c>
    </row>
    <row r="1375" spans="1:4">
      <c r="A1375" s="1927" t="s">
        <v>1726</v>
      </c>
      <c r="B1375" s="1928" t="str">
        <f>报表附注!E1704</f>
        <v>新增项目4……</v>
      </c>
      <c r="C1375" s="1936">
        <f>报表附注!F1704</f>
        <v>0</v>
      </c>
      <c r="D1375" s="1927" t="b">
        <f t="shared" si="24"/>
        <v>1</v>
      </c>
    </row>
    <row r="1376" spans="1:4">
      <c r="A1376" s="1927" t="s">
        <v>1727</v>
      </c>
      <c r="B1376" s="1928" t="str">
        <f>报表附注!E1705</f>
        <v>新增项目5……</v>
      </c>
      <c r="C1376" s="1936">
        <f>报表附注!F1705</f>
        <v>0</v>
      </c>
      <c r="D1376" s="1927" t="b">
        <f t="shared" si="24"/>
        <v>1</v>
      </c>
    </row>
    <row r="1377" spans="1:4">
      <c r="A1377" s="1927" t="s">
        <v>1728</v>
      </c>
      <c r="B1377" s="1928" t="str">
        <f>报表附注!E1706</f>
        <v>新增项目6……</v>
      </c>
      <c r="C1377" s="1936">
        <f>报表附注!F1706</f>
        <v>0</v>
      </c>
      <c r="D1377" s="1927" t="b">
        <f t="shared" si="24"/>
        <v>1</v>
      </c>
    </row>
    <row r="1378" spans="1:4">
      <c r="A1378" s="1927" t="s">
        <v>1729</v>
      </c>
      <c r="B1378" s="1928" t="str">
        <f>报表附注!E1707</f>
        <v>新增项目7……</v>
      </c>
      <c r="C1378" s="1936">
        <f>报表附注!F1707</f>
        <v>0</v>
      </c>
      <c r="D1378" s="1927" t="b">
        <f t="shared" si="24"/>
        <v>1</v>
      </c>
    </row>
    <row r="1379" spans="1:4">
      <c r="A1379" s="1927" t="s">
        <v>1730</v>
      </c>
      <c r="B1379" s="1928" t="str">
        <f>报表附注!E1708</f>
        <v>新增项目8……</v>
      </c>
      <c r="C1379" s="1936">
        <f>报表附注!F1708</f>
        <v>0</v>
      </c>
      <c r="D1379" s="1927" t="b">
        <f t="shared" si="24"/>
        <v>1</v>
      </c>
    </row>
    <row r="1380" spans="1:4">
      <c r="A1380" s="1927" t="s">
        <v>1731</v>
      </c>
      <c r="B1380" s="1928" t="str">
        <f>报表附注!E1709</f>
        <v>新增项目9……</v>
      </c>
      <c r="C1380" s="1936">
        <f>报表附注!F1709</f>
        <v>0</v>
      </c>
      <c r="D1380" s="1927" t="b">
        <f t="shared" si="24"/>
        <v>1</v>
      </c>
    </row>
    <row r="1381" spans="1:4">
      <c r="A1381" s="1927" t="s">
        <v>1732</v>
      </c>
      <c r="B1381" s="1928" t="str">
        <f>报表附注!E1710</f>
        <v>新增项目10……</v>
      </c>
      <c r="C1381" s="1936">
        <f>报表附注!F1710</f>
        <v>0</v>
      </c>
      <c r="D1381" s="1927" t="b">
        <f t="shared" si="24"/>
        <v>1</v>
      </c>
    </row>
    <row r="1382" spans="1:4">
      <c r="A1382" s="1927" t="s">
        <v>1741</v>
      </c>
      <c r="B1382" s="1954" t="s">
        <v>1741</v>
      </c>
      <c r="D1382" s="1927" t="b">
        <f t="shared" si="24"/>
        <v>1</v>
      </c>
    </row>
    <row r="1383" spans="1:4">
      <c r="A1383" s="1927" t="s">
        <v>934</v>
      </c>
      <c r="B1383" s="1928" t="str">
        <f>报表附注!E1683</f>
        <v>一、递延所得税资产</v>
      </c>
      <c r="C1383" s="1936">
        <f>报表附注!G1683</f>
        <v>0</v>
      </c>
      <c r="D1383" s="1927" t="b">
        <f t="shared" si="24"/>
        <v>1</v>
      </c>
    </row>
    <row r="1384" spans="1:4">
      <c r="A1384" s="1927" t="s">
        <v>1709</v>
      </c>
      <c r="B1384" s="1928" t="str">
        <f>报表附注!E1684</f>
        <v>1、资产减值准备：</v>
      </c>
      <c r="C1384" s="1936">
        <f>报表附注!G1684</f>
        <v>0</v>
      </c>
      <c r="D1384" s="1927" t="b">
        <f t="shared" si="24"/>
        <v>0</v>
      </c>
    </row>
    <row r="1385" spans="1:4">
      <c r="A1385" s="1927" t="s">
        <v>1710</v>
      </c>
      <c r="B1385" s="1928" t="str">
        <f>报表附注!E1685</f>
        <v>      其中：坏账准备</v>
      </c>
      <c r="C1385" s="1936">
        <f>报表附注!G1685</f>
        <v>0</v>
      </c>
      <c r="D1385" s="1927" t="b">
        <f t="shared" si="24"/>
        <v>1</v>
      </c>
    </row>
    <row r="1386" spans="1:4">
      <c r="A1386" s="1927" t="s">
        <v>1711</v>
      </c>
      <c r="B1386" s="1928" t="str">
        <f>报表附注!E1686</f>
        <v>           存货减值</v>
      </c>
      <c r="C1386" s="1936">
        <f>报表附注!G1686</f>
        <v>0</v>
      </c>
      <c r="D1386" s="1927" t="b">
        <f t="shared" si="24"/>
        <v>1</v>
      </c>
    </row>
    <row r="1387" spans="1:4">
      <c r="A1387" s="1927" t="s">
        <v>1712</v>
      </c>
      <c r="B1387" s="1928" t="str">
        <f>报表附注!E1687</f>
        <v>           在建工程减值</v>
      </c>
      <c r="C1387" s="1936">
        <f>报表附注!G1687</f>
        <v>0</v>
      </c>
      <c r="D1387" s="1927" t="b">
        <f t="shared" si="24"/>
        <v>1</v>
      </c>
    </row>
    <row r="1388" spans="1:4">
      <c r="A1388" s="1927" t="s">
        <v>1713</v>
      </c>
      <c r="B1388" s="1928" t="str">
        <f>报表附注!E1688</f>
        <v>           长期股权投资减值</v>
      </c>
      <c r="C1388" s="1936">
        <f>报表附注!G1688</f>
        <v>0</v>
      </c>
      <c r="D1388" s="1927" t="b">
        <f t="shared" si="24"/>
        <v>1</v>
      </c>
    </row>
    <row r="1389" spans="1:4">
      <c r="A1389" s="1927" t="s">
        <v>1714</v>
      </c>
      <c r="B1389" s="1928" t="str">
        <f>报表附注!E1689</f>
        <v>           固定资产减值</v>
      </c>
      <c r="C1389" s="1936">
        <f>报表附注!G1689</f>
        <v>0</v>
      </c>
      <c r="D1389" s="1927" t="b">
        <f t="shared" si="24"/>
        <v>1</v>
      </c>
    </row>
    <row r="1390" spans="1:4">
      <c r="A1390" s="1927" t="s">
        <v>1715</v>
      </c>
      <c r="B1390" s="1928" t="str">
        <f>报表附注!E1690</f>
        <v>            无形资产减值</v>
      </c>
      <c r="C1390" s="1936">
        <f>报表附注!G1690</f>
        <v>0</v>
      </c>
      <c r="D1390" s="1927" t="b">
        <f t="shared" si="24"/>
        <v>1</v>
      </c>
    </row>
    <row r="1391" spans="1:4">
      <c r="A1391" s="1927" t="s">
        <v>1716</v>
      </c>
      <c r="B1391" s="1928" t="str">
        <f>报表附注!E1691</f>
        <v>            商誉减值</v>
      </c>
      <c r="C1391" s="1936">
        <f>报表附注!G1691</f>
        <v>0</v>
      </c>
      <c r="D1391" s="1927" t="b">
        <f t="shared" si="24"/>
        <v>1</v>
      </c>
    </row>
    <row r="1392" spans="1:4">
      <c r="A1392" s="1927" t="s">
        <v>1717</v>
      </c>
      <c r="B1392" s="1928" t="str">
        <f>报表附注!E1692</f>
        <v>2、开办费</v>
      </c>
      <c r="C1392" s="1936">
        <f>报表附注!G1692</f>
        <v>0</v>
      </c>
      <c r="D1392" s="1927" t="b">
        <f t="shared" si="24"/>
        <v>0</v>
      </c>
    </row>
    <row r="1393" spans="1:4">
      <c r="A1393" s="1927" t="s">
        <v>1718</v>
      </c>
      <c r="B1393" s="1928" t="str">
        <f>报表附注!E1693</f>
        <v>3、可抵扣亏损</v>
      </c>
      <c r="C1393" s="1936">
        <f>报表附注!G1693</f>
        <v>0</v>
      </c>
      <c r="D1393" s="1927" t="b">
        <f t="shared" si="24"/>
        <v>0</v>
      </c>
    </row>
    <row r="1394" spans="1:4">
      <c r="A1394" s="1927" t="s">
        <v>1719</v>
      </c>
      <c r="B1394" s="1928" t="str">
        <f>报表附注!E1694</f>
        <v>4、非同一控制下企业合并产生递延所得税资产</v>
      </c>
      <c r="C1394" s="1936">
        <f>报表附注!G1694</f>
        <v>0</v>
      </c>
      <c r="D1394" s="1927" t="b">
        <f t="shared" si="24"/>
        <v>0</v>
      </c>
    </row>
    <row r="1395" spans="1:4">
      <c r="A1395" s="1927" t="s">
        <v>1720</v>
      </c>
      <c r="B1395" s="1928" t="str">
        <f>报表附注!E1695</f>
        <v>5、计提未付的工资</v>
      </c>
      <c r="C1395" s="1936">
        <f>报表附注!G1695</f>
        <v>0</v>
      </c>
      <c r="D1395" s="1927" t="b">
        <f t="shared" si="24"/>
        <v>0</v>
      </c>
    </row>
    <row r="1396" spans="1:4">
      <c r="A1396" s="1927" t="s">
        <v>1721</v>
      </c>
      <c r="B1396" s="1928" t="str">
        <f>报表附注!E1696</f>
        <v>6、递延收益</v>
      </c>
      <c r="C1396" s="1936">
        <f>报表附注!G1696</f>
        <v>0</v>
      </c>
      <c r="D1396" s="1927" t="b">
        <f t="shared" si="24"/>
        <v>0</v>
      </c>
    </row>
    <row r="1397" spans="1:4">
      <c r="A1397" s="1927" t="s">
        <v>1722</v>
      </c>
      <c r="B1397" s="1928" t="str">
        <f>报表附注!E1697</f>
        <v>7、内部交易未实现损益</v>
      </c>
      <c r="C1397" s="1936">
        <f>报表附注!G1697</f>
        <v>0</v>
      </c>
      <c r="D1397" s="1927" t="b">
        <f t="shared" si="24"/>
        <v>0</v>
      </c>
    </row>
    <row r="1398" spans="1:4">
      <c r="A1398" s="1927" t="s">
        <v>936</v>
      </c>
      <c r="B1398" s="1928" t="str">
        <f>报表附注!E1698</f>
        <v>二、递延所得税负债</v>
      </c>
      <c r="C1398" s="1936">
        <f>报表附注!G1698</f>
        <v>0</v>
      </c>
      <c r="D1398" s="1927" t="b">
        <f t="shared" si="24"/>
        <v>1</v>
      </c>
    </row>
    <row r="1399" spans="1:4">
      <c r="A1399" s="1927" t="s">
        <v>1723</v>
      </c>
      <c r="B1399" s="1928" t="str">
        <f>报表附注!E1699</f>
        <v>1、交易性金融工具、衍生金融工具的估值</v>
      </c>
      <c r="C1399" s="1936">
        <f>报表附注!G1699</f>
        <v>0</v>
      </c>
      <c r="D1399" s="1927" t="b">
        <f t="shared" si="24"/>
        <v>0</v>
      </c>
    </row>
    <row r="1400" spans="1:4">
      <c r="A1400" s="1927" t="s">
        <v>1724</v>
      </c>
      <c r="B1400" s="1928" t="str">
        <f>报表附注!E1700</f>
        <v>2、计入资本公积的可供出售金融资产公允价值变动</v>
      </c>
      <c r="C1400" s="1936">
        <f>报表附注!G1700</f>
        <v>0</v>
      </c>
      <c r="D1400" s="1927" t="b">
        <f t="shared" si="24"/>
        <v>0</v>
      </c>
    </row>
    <row r="1401" spans="1:4">
      <c r="A1401" s="1927" t="s">
        <v>1721</v>
      </c>
      <c r="B1401" s="1928" t="str">
        <f>报表附注!E1701</f>
        <v>3、非同一控制下企业合并产生递延所得税负债</v>
      </c>
      <c r="C1401" s="1936">
        <f>报表附注!G1701</f>
        <v>0</v>
      </c>
      <c r="D1401" s="1927" t="b">
        <f t="shared" si="24"/>
        <v>0</v>
      </c>
    </row>
    <row r="1402" spans="1:4">
      <c r="A1402" s="1927" t="s">
        <v>1722</v>
      </c>
      <c r="B1402" s="1928" t="str">
        <f>报表附注!E1702</f>
        <v>4、内部交易未实现损益</v>
      </c>
      <c r="C1402" s="1936">
        <f>报表附注!G1702</f>
        <v>0</v>
      </c>
      <c r="D1402" s="1927" t="b">
        <f t="shared" si="24"/>
        <v>0</v>
      </c>
    </row>
    <row r="1403" spans="1:4">
      <c r="A1403" s="1927" t="s">
        <v>1725</v>
      </c>
      <c r="B1403" s="1928" t="str">
        <f>报表附注!E1703</f>
        <v>5、固定资产评估增值</v>
      </c>
      <c r="C1403" s="1936">
        <f>报表附注!G1703</f>
        <v>0</v>
      </c>
      <c r="D1403" s="1927" t="b">
        <f t="shared" si="24"/>
        <v>0</v>
      </c>
    </row>
    <row r="1404" spans="1:4">
      <c r="A1404" s="1927" t="s">
        <v>1726</v>
      </c>
      <c r="B1404" s="1928" t="str">
        <f>报表附注!E1704</f>
        <v>新增项目4……</v>
      </c>
      <c r="C1404" s="1936">
        <f>报表附注!G1704</f>
        <v>0</v>
      </c>
      <c r="D1404" s="1927" t="b">
        <f t="shared" si="24"/>
        <v>1</v>
      </c>
    </row>
    <row r="1405" spans="1:4">
      <c r="A1405" s="1927" t="s">
        <v>1727</v>
      </c>
      <c r="B1405" s="1928" t="str">
        <f>报表附注!E1705</f>
        <v>新增项目5……</v>
      </c>
      <c r="C1405" s="1936">
        <f>报表附注!G1705</f>
        <v>0</v>
      </c>
      <c r="D1405" s="1927" t="b">
        <f t="shared" si="24"/>
        <v>1</v>
      </c>
    </row>
    <row r="1406" spans="1:4">
      <c r="A1406" s="1927" t="s">
        <v>1728</v>
      </c>
      <c r="B1406" s="1928" t="str">
        <f>报表附注!E1706</f>
        <v>新增项目6……</v>
      </c>
      <c r="C1406" s="1936">
        <f>报表附注!G1706</f>
        <v>0</v>
      </c>
      <c r="D1406" s="1927" t="b">
        <f t="shared" si="24"/>
        <v>1</v>
      </c>
    </row>
    <row r="1407" spans="1:4">
      <c r="A1407" s="1927" t="s">
        <v>1729</v>
      </c>
      <c r="B1407" s="1928" t="str">
        <f>报表附注!E1707</f>
        <v>新增项目7……</v>
      </c>
      <c r="C1407" s="1936">
        <f>报表附注!G1707</f>
        <v>0</v>
      </c>
      <c r="D1407" s="1927" t="b">
        <f t="shared" si="24"/>
        <v>1</v>
      </c>
    </row>
    <row r="1408" spans="1:4">
      <c r="A1408" s="1927" t="s">
        <v>1730</v>
      </c>
      <c r="B1408" s="1928" t="str">
        <f>报表附注!E1708</f>
        <v>新增项目8……</v>
      </c>
      <c r="C1408" s="1936">
        <f>报表附注!G1708</f>
        <v>0</v>
      </c>
      <c r="D1408" s="1927" t="b">
        <f t="shared" si="24"/>
        <v>1</v>
      </c>
    </row>
    <row r="1409" spans="1:4">
      <c r="A1409" s="1927" t="s">
        <v>1731</v>
      </c>
      <c r="B1409" s="1928" t="str">
        <f>报表附注!E1709</f>
        <v>新增项目9……</v>
      </c>
      <c r="C1409" s="1936">
        <f>报表附注!G1709</f>
        <v>0</v>
      </c>
      <c r="D1409" s="1927" t="b">
        <f t="shared" si="24"/>
        <v>1</v>
      </c>
    </row>
    <row r="1410" spans="1:4">
      <c r="A1410" s="1927" t="s">
        <v>1732</v>
      </c>
      <c r="B1410" s="1928" t="str">
        <f>报表附注!E1710</f>
        <v>新增项目10……</v>
      </c>
      <c r="C1410" s="1936">
        <f>报表附注!G1710</f>
        <v>0</v>
      </c>
      <c r="D1410" s="1927" t="b">
        <f t="shared" si="24"/>
        <v>1</v>
      </c>
    </row>
    <row r="1411" spans="1:4">
      <c r="A1411" s="1927" t="s">
        <v>1742</v>
      </c>
      <c r="B1411" s="1954" t="s">
        <v>1742</v>
      </c>
      <c r="D1411" s="1927" t="b">
        <f t="shared" si="24"/>
        <v>1</v>
      </c>
    </row>
    <row r="1412" spans="1:4">
      <c r="A1412" s="1927" t="s">
        <v>934</v>
      </c>
      <c r="B1412" s="1928" t="str">
        <f>报表附注!E1683</f>
        <v>一、递延所得税资产</v>
      </c>
      <c r="C1412" s="1936">
        <f>报表附注!H1683</f>
        <v>0</v>
      </c>
      <c r="D1412" s="1927" t="b">
        <f t="shared" si="24"/>
        <v>1</v>
      </c>
    </row>
    <row r="1413" spans="1:4">
      <c r="A1413" s="1927" t="s">
        <v>1709</v>
      </c>
      <c r="B1413" s="1928" t="str">
        <f>报表附注!E1684</f>
        <v>1、资产减值准备：</v>
      </c>
      <c r="C1413" s="1936">
        <f>报表附注!H1684</f>
        <v>0</v>
      </c>
      <c r="D1413" s="1927" t="b">
        <f t="shared" si="24"/>
        <v>0</v>
      </c>
    </row>
    <row r="1414" spans="1:4">
      <c r="A1414" s="1927" t="s">
        <v>1710</v>
      </c>
      <c r="B1414" s="1928" t="str">
        <f>报表附注!E1685</f>
        <v>      其中：坏账准备</v>
      </c>
      <c r="C1414" s="1936">
        <f>报表附注!H1685</f>
        <v>0</v>
      </c>
      <c r="D1414" s="1927" t="b">
        <f t="shared" si="24"/>
        <v>1</v>
      </c>
    </row>
    <row r="1415" spans="1:4">
      <c r="A1415" s="1927" t="s">
        <v>1711</v>
      </c>
      <c r="B1415" s="1928" t="str">
        <f>报表附注!E1686</f>
        <v>           存货减值</v>
      </c>
      <c r="C1415" s="1936">
        <f>报表附注!H1686</f>
        <v>0</v>
      </c>
      <c r="D1415" s="1927" t="b">
        <f t="shared" si="24"/>
        <v>1</v>
      </c>
    </row>
    <row r="1416" spans="1:4">
      <c r="A1416" s="1927" t="s">
        <v>1712</v>
      </c>
      <c r="B1416" s="1928" t="str">
        <f>报表附注!E1687</f>
        <v>           在建工程减值</v>
      </c>
      <c r="C1416" s="1936">
        <f>报表附注!H1687</f>
        <v>0</v>
      </c>
      <c r="D1416" s="1927" t="b">
        <f t="shared" si="24"/>
        <v>1</v>
      </c>
    </row>
    <row r="1417" spans="1:4">
      <c r="A1417" s="1927" t="s">
        <v>1713</v>
      </c>
      <c r="B1417" s="1928" t="str">
        <f>报表附注!E1688</f>
        <v>           长期股权投资减值</v>
      </c>
      <c r="C1417" s="1936">
        <f>报表附注!H1688</f>
        <v>0</v>
      </c>
      <c r="D1417" s="1927" t="b">
        <f t="shared" si="24"/>
        <v>1</v>
      </c>
    </row>
    <row r="1418" spans="1:4">
      <c r="A1418" s="1927" t="s">
        <v>1714</v>
      </c>
      <c r="B1418" s="1928" t="str">
        <f>报表附注!E1689</f>
        <v>           固定资产减值</v>
      </c>
      <c r="C1418" s="1936">
        <f>报表附注!H1689</f>
        <v>0</v>
      </c>
      <c r="D1418" s="1927" t="b">
        <f t="shared" si="24"/>
        <v>1</v>
      </c>
    </row>
    <row r="1419" spans="1:4">
      <c r="A1419" s="1927" t="s">
        <v>1715</v>
      </c>
      <c r="B1419" s="1928" t="str">
        <f>报表附注!E1690</f>
        <v>            无形资产减值</v>
      </c>
      <c r="C1419" s="1936">
        <f>报表附注!H1690</f>
        <v>0</v>
      </c>
      <c r="D1419" s="1927" t="b">
        <f t="shared" si="24"/>
        <v>1</v>
      </c>
    </row>
    <row r="1420" spans="1:4">
      <c r="A1420" s="1927" t="s">
        <v>1716</v>
      </c>
      <c r="B1420" s="1928" t="str">
        <f>报表附注!E1691</f>
        <v>            商誉减值</v>
      </c>
      <c r="C1420" s="1936">
        <f>报表附注!H1691</f>
        <v>0</v>
      </c>
      <c r="D1420" s="1927" t="b">
        <f t="shared" ref="D1420:D1483" si="25">EXACT(A1420,B1420)</f>
        <v>1</v>
      </c>
    </row>
    <row r="1421" spans="1:4">
      <c r="A1421" s="1927" t="s">
        <v>1717</v>
      </c>
      <c r="B1421" s="1928" t="str">
        <f>报表附注!E1692</f>
        <v>2、开办费</v>
      </c>
      <c r="C1421" s="1936">
        <f>报表附注!H1692</f>
        <v>0</v>
      </c>
      <c r="D1421" s="1927" t="b">
        <f t="shared" si="25"/>
        <v>0</v>
      </c>
    </row>
    <row r="1422" spans="1:4">
      <c r="A1422" s="1927" t="s">
        <v>1718</v>
      </c>
      <c r="B1422" s="1928" t="str">
        <f>报表附注!E1693</f>
        <v>3、可抵扣亏损</v>
      </c>
      <c r="C1422" s="1936">
        <f>报表附注!H1693</f>
        <v>0</v>
      </c>
      <c r="D1422" s="1927" t="b">
        <f t="shared" si="25"/>
        <v>0</v>
      </c>
    </row>
    <row r="1423" spans="1:4">
      <c r="A1423" s="1927" t="s">
        <v>1719</v>
      </c>
      <c r="B1423" s="1928" t="str">
        <f>报表附注!E1694</f>
        <v>4、非同一控制下企业合并产生递延所得税资产</v>
      </c>
      <c r="C1423" s="1936">
        <f>报表附注!H1694</f>
        <v>0</v>
      </c>
      <c r="D1423" s="1927" t="b">
        <f t="shared" si="25"/>
        <v>0</v>
      </c>
    </row>
    <row r="1424" spans="1:4">
      <c r="A1424" s="1927" t="s">
        <v>1720</v>
      </c>
      <c r="B1424" s="1928" t="str">
        <f>报表附注!E1695</f>
        <v>5、计提未付的工资</v>
      </c>
      <c r="C1424" s="1936">
        <f>报表附注!H1695</f>
        <v>0</v>
      </c>
      <c r="D1424" s="1927" t="b">
        <f t="shared" si="25"/>
        <v>0</v>
      </c>
    </row>
    <row r="1425" spans="1:4">
      <c r="A1425" s="1927" t="s">
        <v>1721</v>
      </c>
      <c r="B1425" s="1928" t="str">
        <f>报表附注!E1696</f>
        <v>6、递延收益</v>
      </c>
      <c r="C1425" s="1936">
        <f>报表附注!H1696</f>
        <v>0</v>
      </c>
      <c r="D1425" s="1927" t="b">
        <f t="shared" si="25"/>
        <v>0</v>
      </c>
    </row>
    <row r="1426" spans="1:4">
      <c r="A1426" s="1927" t="s">
        <v>1722</v>
      </c>
      <c r="B1426" s="1928" t="str">
        <f>报表附注!E1697</f>
        <v>7、内部交易未实现损益</v>
      </c>
      <c r="C1426" s="1936">
        <f>报表附注!H1697</f>
        <v>0</v>
      </c>
      <c r="D1426" s="1927" t="b">
        <f t="shared" si="25"/>
        <v>0</v>
      </c>
    </row>
    <row r="1427" spans="1:4">
      <c r="A1427" s="1927" t="s">
        <v>936</v>
      </c>
      <c r="B1427" s="1928" t="str">
        <f>报表附注!E1698</f>
        <v>二、递延所得税负债</v>
      </c>
      <c r="C1427" s="1936">
        <f>报表附注!H1698</f>
        <v>0</v>
      </c>
      <c r="D1427" s="1927" t="b">
        <f t="shared" si="25"/>
        <v>1</v>
      </c>
    </row>
    <row r="1428" spans="1:4">
      <c r="A1428" s="1927" t="s">
        <v>1723</v>
      </c>
      <c r="B1428" s="1928" t="str">
        <f>报表附注!E1699</f>
        <v>1、交易性金融工具、衍生金融工具的估值</v>
      </c>
      <c r="C1428" s="1936">
        <f>报表附注!H1699</f>
        <v>0</v>
      </c>
      <c r="D1428" s="1927" t="b">
        <f t="shared" si="25"/>
        <v>0</v>
      </c>
    </row>
    <row r="1429" spans="1:4">
      <c r="A1429" s="1927" t="s">
        <v>1724</v>
      </c>
      <c r="B1429" s="1928" t="str">
        <f>报表附注!E1700</f>
        <v>2、计入资本公积的可供出售金融资产公允价值变动</v>
      </c>
      <c r="C1429" s="1936">
        <f>报表附注!H1700</f>
        <v>0</v>
      </c>
      <c r="D1429" s="1927" t="b">
        <f t="shared" si="25"/>
        <v>0</v>
      </c>
    </row>
    <row r="1430" spans="1:4">
      <c r="A1430" s="1927" t="s">
        <v>1721</v>
      </c>
      <c r="B1430" s="1928" t="str">
        <f>报表附注!E1701</f>
        <v>3、非同一控制下企业合并产生递延所得税负债</v>
      </c>
      <c r="C1430" s="1936">
        <f>报表附注!H1701</f>
        <v>0</v>
      </c>
      <c r="D1430" s="1927" t="b">
        <f t="shared" si="25"/>
        <v>0</v>
      </c>
    </row>
    <row r="1431" spans="1:4">
      <c r="A1431" s="1927" t="s">
        <v>1722</v>
      </c>
      <c r="B1431" s="1928" t="str">
        <f>报表附注!E1702</f>
        <v>4、内部交易未实现损益</v>
      </c>
      <c r="C1431" s="1936">
        <f>报表附注!H1702</f>
        <v>0</v>
      </c>
      <c r="D1431" s="1927" t="b">
        <f t="shared" si="25"/>
        <v>0</v>
      </c>
    </row>
    <row r="1432" spans="1:4">
      <c r="A1432" s="1927" t="s">
        <v>1725</v>
      </c>
      <c r="B1432" s="1928" t="str">
        <f>报表附注!E1703</f>
        <v>5、固定资产评估增值</v>
      </c>
      <c r="C1432" s="1936">
        <f>报表附注!H1703</f>
        <v>0</v>
      </c>
      <c r="D1432" s="1927" t="b">
        <f t="shared" si="25"/>
        <v>0</v>
      </c>
    </row>
    <row r="1433" spans="1:4">
      <c r="A1433" s="1927" t="s">
        <v>1726</v>
      </c>
      <c r="B1433" s="1928" t="str">
        <f>报表附注!E1704</f>
        <v>新增项目4……</v>
      </c>
      <c r="C1433" s="1936">
        <f>报表附注!H1704</f>
        <v>0</v>
      </c>
      <c r="D1433" s="1927" t="b">
        <f t="shared" si="25"/>
        <v>1</v>
      </c>
    </row>
    <row r="1434" spans="1:4">
      <c r="A1434" s="1927" t="s">
        <v>1727</v>
      </c>
      <c r="B1434" s="1928" t="str">
        <f>报表附注!E1705</f>
        <v>新增项目5……</v>
      </c>
      <c r="C1434" s="1936">
        <f>报表附注!H1705</f>
        <v>0</v>
      </c>
      <c r="D1434" s="1927" t="b">
        <f t="shared" si="25"/>
        <v>1</v>
      </c>
    </row>
    <row r="1435" spans="1:4">
      <c r="A1435" s="1927" t="s">
        <v>1728</v>
      </c>
      <c r="B1435" s="1928" t="str">
        <f>报表附注!E1706</f>
        <v>新增项目6……</v>
      </c>
      <c r="C1435" s="1936">
        <f>报表附注!H1706</f>
        <v>0</v>
      </c>
      <c r="D1435" s="1927" t="b">
        <f t="shared" si="25"/>
        <v>1</v>
      </c>
    </row>
    <row r="1436" spans="1:4">
      <c r="A1436" s="1927" t="s">
        <v>1729</v>
      </c>
      <c r="B1436" s="1928" t="str">
        <f>报表附注!E1707</f>
        <v>新增项目7……</v>
      </c>
      <c r="C1436" s="1936">
        <f>报表附注!H1707</f>
        <v>0</v>
      </c>
      <c r="D1436" s="1927" t="b">
        <f t="shared" si="25"/>
        <v>1</v>
      </c>
    </row>
    <row r="1437" spans="1:4">
      <c r="A1437" s="1927" t="s">
        <v>1730</v>
      </c>
      <c r="B1437" s="1928" t="str">
        <f>报表附注!E1708</f>
        <v>新增项目8……</v>
      </c>
      <c r="C1437" s="1936">
        <f>报表附注!H1708</f>
        <v>0</v>
      </c>
      <c r="D1437" s="1927" t="b">
        <f t="shared" si="25"/>
        <v>1</v>
      </c>
    </row>
    <row r="1438" spans="1:4">
      <c r="A1438" s="1927" t="s">
        <v>1731</v>
      </c>
      <c r="B1438" s="1928" t="str">
        <f>报表附注!E1709</f>
        <v>新增项目9……</v>
      </c>
      <c r="C1438" s="1936">
        <f>报表附注!H1709</f>
        <v>0</v>
      </c>
      <c r="D1438" s="1927" t="b">
        <f t="shared" si="25"/>
        <v>1</v>
      </c>
    </row>
    <row r="1439" spans="1:4">
      <c r="A1439" s="1927" t="s">
        <v>1732</v>
      </c>
      <c r="B1439" s="1928" t="str">
        <f>报表附注!E1710</f>
        <v>新增项目10……</v>
      </c>
      <c r="C1439" s="1936">
        <f>报表附注!H1710</f>
        <v>0</v>
      </c>
      <c r="D1439" s="1927" t="b">
        <f t="shared" si="25"/>
        <v>1</v>
      </c>
    </row>
    <row r="1440" spans="1:4">
      <c r="A1440" s="1927" t="s">
        <v>1743</v>
      </c>
      <c r="B1440" s="1954" t="s">
        <v>1743</v>
      </c>
      <c r="D1440" s="1927" t="b">
        <f t="shared" si="25"/>
        <v>1</v>
      </c>
    </row>
    <row r="1441" spans="1:4">
      <c r="A1441" s="1927" t="s">
        <v>934</v>
      </c>
      <c r="B1441" s="1928" t="str">
        <f>报表附注!E1683</f>
        <v>一、递延所得税资产</v>
      </c>
      <c r="C1441" s="1936">
        <f>报表附注!I1683</f>
        <v>0</v>
      </c>
      <c r="D1441" s="1927" t="b">
        <f t="shared" si="25"/>
        <v>1</v>
      </c>
    </row>
    <row r="1442" spans="1:4">
      <c r="A1442" s="1927" t="s">
        <v>1709</v>
      </c>
      <c r="B1442" s="1928" t="str">
        <f>报表附注!E1684</f>
        <v>1、资产减值准备：</v>
      </c>
      <c r="C1442" s="1936">
        <f>报表附注!I1684</f>
        <v>0</v>
      </c>
      <c r="D1442" s="1927" t="b">
        <f t="shared" si="25"/>
        <v>0</v>
      </c>
    </row>
    <row r="1443" spans="1:4">
      <c r="A1443" s="1927" t="s">
        <v>1710</v>
      </c>
      <c r="B1443" s="1928" t="str">
        <f>报表附注!E1685</f>
        <v>      其中：坏账准备</v>
      </c>
      <c r="C1443" s="1936">
        <f>报表附注!I1685</f>
        <v>0</v>
      </c>
      <c r="D1443" s="1927" t="b">
        <f t="shared" si="25"/>
        <v>1</v>
      </c>
    </row>
    <row r="1444" spans="1:4">
      <c r="A1444" s="1927" t="s">
        <v>1711</v>
      </c>
      <c r="B1444" s="1928" t="str">
        <f>报表附注!E1686</f>
        <v>           存货减值</v>
      </c>
      <c r="C1444" s="1936">
        <f>报表附注!I1686</f>
        <v>0</v>
      </c>
      <c r="D1444" s="1927" t="b">
        <f t="shared" si="25"/>
        <v>1</v>
      </c>
    </row>
    <row r="1445" spans="1:4">
      <c r="A1445" s="1927" t="s">
        <v>1712</v>
      </c>
      <c r="B1445" s="1928" t="str">
        <f>报表附注!E1687</f>
        <v>           在建工程减值</v>
      </c>
      <c r="C1445" s="1936">
        <f>报表附注!I1687</f>
        <v>0</v>
      </c>
      <c r="D1445" s="1927" t="b">
        <f t="shared" si="25"/>
        <v>1</v>
      </c>
    </row>
    <row r="1446" spans="1:4">
      <c r="A1446" s="1927" t="s">
        <v>1713</v>
      </c>
      <c r="B1446" s="1928" t="str">
        <f>报表附注!E1688</f>
        <v>           长期股权投资减值</v>
      </c>
      <c r="C1446" s="1936">
        <f>报表附注!I1688</f>
        <v>0</v>
      </c>
      <c r="D1446" s="1927" t="b">
        <f t="shared" si="25"/>
        <v>1</v>
      </c>
    </row>
    <row r="1447" spans="1:4">
      <c r="A1447" s="1927" t="s">
        <v>1714</v>
      </c>
      <c r="B1447" s="1928" t="str">
        <f>报表附注!E1689</f>
        <v>           固定资产减值</v>
      </c>
      <c r="C1447" s="1936">
        <f>报表附注!I1689</f>
        <v>0</v>
      </c>
      <c r="D1447" s="1927" t="b">
        <f t="shared" si="25"/>
        <v>1</v>
      </c>
    </row>
    <row r="1448" spans="1:4">
      <c r="A1448" s="1927" t="s">
        <v>1715</v>
      </c>
      <c r="B1448" s="1928" t="str">
        <f>报表附注!E1690</f>
        <v>            无形资产减值</v>
      </c>
      <c r="C1448" s="1936">
        <f>报表附注!I1690</f>
        <v>0</v>
      </c>
      <c r="D1448" s="1927" t="b">
        <f t="shared" si="25"/>
        <v>1</v>
      </c>
    </row>
    <row r="1449" spans="1:4">
      <c r="A1449" s="1927" t="s">
        <v>1716</v>
      </c>
      <c r="B1449" s="1928" t="str">
        <f>报表附注!E1691</f>
        <v>            商誉减值</v>
      </c>
      <c r="C1449" s="1936">
        <f>报表附注!I1691</f>
        <v>0</v>
      </c>
      <c r="D1449" s="1927" t="b">
        <f t="shared" si="25"/>
        <v>1</v>
      </c>
    </row>
    <row r="1450" spans="1:4">
      <c r="A1450" s="1927" t="s">
        <v>1717</v>
      </c>
      <c r="B1450" s="1928" t="str">
        <f>报表附注!E1692</f>
        <v>2、开办费</v>
      </c>
      <c r="C1450" s="1936">
        <f>报表附注!I1692</f>
        <v>0</v>
      </c>
      <c r="D1450" s="1927" t="b">
        <f t="shared" si="25"/>
        <v>0</v>
      </c>
    </row>
    <row r="1451" spans="1:4">
      <c r="A1451" s="1927" t="s">
        <v>1718</v>
      </c>
      <c r="B1451" s="1928" t="str">
        <f>报表附注!E1693</f>
        <v>3、可抵扣亏损</v>
      </c>
      <c r="C1451" s="1936">
        <f>报表附注!I1693</f>
        <v>0</v>
      </c>
      <c r="D1451" s="1927" t="b">
        <f t="shared" si="25"/>
        <v>0</v>
      </c>
    </row>
    <row r="1452" spans="1:4">
      <c r="A1452" s="1927" t="s">
        <v>1719</v>
      </c>
      <c r="B1452" s="1928" t="str">
        <f>报表附注!E1694</f>
        <v>4、非同一控制下企业合并产生递延所得税资产</v>
      </c>
      <c r="C1452" s="1936">
        <f>报表附注!I1694</f>
        <v>0</v>
      </c>
      <c r="D1452" s="1927" t="b">
        <f t="shared" si="25"/>
        <v>0</v>
      </c>
    </row>
    <row r="1453" spans="1:4">
      <c r="A1453" s="1927" t="s">
        <v>1720</v>
      </c>
      <c r="B1453" s="1928" t="str">
        <f>报表附注!E1695</f>
        <v>5、计提未付的工资</v>
      </c>
      <c r="C1453" s="1936">
        <f>报表附注!I1695</f>
        <v>0</v>
      </c>
      <c r="D1453" s="1927" t="b">
        <f t="shared" si="25"/>
        <v>0</v>
      </c>
    </row>
    <row r="1454" spans="1:4">
      <c r="A1454" s="1927" t="s">
        <v>1721</v>
      </c>
      <c r="B1454" s="1928" t="str">
        <f>报表附注!E1696</f>
        <v>6、递延收益</v>
      </c>
      <c r="C1454" s="1936">
        <f>报表附注!I1696</f>
        <v>0</v>
      </c>
      <c r="D1454" s="1927" t="b">
        <f t="shared" si="25"/>
        <v>0</v>
      </c>
    </row>
    <row r="1455" spans="1:4">
      <c r="A1455" s="1927" t="s">
        <v>1722</v>
      </c>
      <c r="B1455" s="1928" t="str">
        <f>报表附注!E1697</f>
        <v>7、内部交易未实现损益</v>
      </c>
      <c r="C1455" s="1936">
        <f>报表附注!I1697</f>
        <v>0</v>
      </c>
      <c r="D1455" s="1927" t="b">
        <f t="shared" si="25"/>
        <v>0</v>
      </c>
    </row>
    <row r="1456" spans="1:4">
      <c r="A1456" s="1927" t="s">
        <v>936</v>
      </c>
      <c r="B1456" s="1928" t="str">
        <f>报表附注!E1698</f>
        <v>二、递延所得税负债</v>
      </c>
      <c r="C1456" s="1936">
        <f>报表附注!I1698</f>
        <v>0</v>
      </c>
      <c r="D1456" s="1927" t="b">
        <f t="shared" si="25"/>
        <v>1</v>
      </c>
    </row>
    <row r="1457" spans="1:4">
      <c r="A1457" s="1927" t="s">
        <v>1723</v>
      </c>
      <c r="B1457" s="1928" t="str">
        <f>报表附注!E1699</f>
        <v>1、交易性金融工具、衍生金融工具的估值</v>
      </c>
      <c r="C1457" s="1936">
        <f>报表附注!I1699</f>
        <v>0</v>
      </c>
      <c r="D1457" s="1927" t="b">
        <f t="shared" si="25"/>
        <v>0</v>
      </c>
    </row>
    <row r="1458" spans="1:4">
      <c r="A1458" s="1927" t="s">
        <v>1724</v>
      </c>
      <c r="B1458" s="1928" t="str">
        <f>报表附注!E1700</f>
        <v>2、计入资本公积的可供出售金融资产公允价值变动</v>
      </c>
      <c r="C1458" s="1936">
        <f>报表附注!I1700</f>
        <v>0</v>
      </c>
      <c r="D1458" s="1927" t="b">
        <f t="shared" si="25"/>
        <v>0</v>
      </c>
    </row>
    <row r="1459" spans="1:4">
      <c r="A1459" s="1927" t="s">
        <v>1721</v>
      </c>
      <c r="B1459" s="1928" t="str">
        <f>报表附注!E1701</f>
        <v>3、非同一控制下企业合并产生递延所得税负债</v>
      </c>
      <c r="C1459" s="1936">
        <f>报表附注!I1701</f>
        <v>0</v>
      </c>
      <c r="D1459" s="1927" t="b">
        <f t="shared" si="25"/>
        <v>0</v>
      </c>
    </row>
    <row r="1460" spans="1:4">
      <c r="A1460" s="1927" t="s">
        <v>1722</v>
      </c>
      <c r="B1460" s="1928" t="str">
        <f>报表附注!E1702</f>
        <v>4、内部交易未实现损益</v>
      </c>
      <c r="C1460" s="1936">
        <f>报表附注!I1702</f>
        <v>0</v>
      </c>
      <c r="D1460" s="1927" t="b">
        <f t="shared" si="25"/>
        <v>0</v>
      </c>
    </row>
    <row r="1461" spans="1:4">
      <c r="A1461" s="1927" t="s">
        <v>1725</v>
      </c>
      <c r="B1461" s="1928" t="str">
        <f>报表附注!E1703</f>
        <v>5、固定资产评估增值</v>
      </c>
      <c r="C1461" s="1936">
        <f>报表附注!I1703</f>
        <v>0</v>
      </c>
      <c r="D1461" s="1927" t="b">
        <f t="shared" si="25"/>
        <v>0</v>
      </c>
    </row>
    <row r="1462" spans="1:4">
      <c r="A1462" s="1927" t="s">
        <v>1726</v>
      </c>
      <c r="B1462" s="1928" t="str">
        <f>报表附注!E1704</f>
        <v>新增项目4……</v>
      </c>
      <c r="C1462" s="1936">
        <f>报表附注!I1704</f>
        <v>0</v>
      </c>
      <c r="D1462" s="1927" t="b">
        <f t="shared" si="25"/>
        <v>1</v>
      </c>
    </row>
    <row r="1463" spans="1:4">
      <c r="A1463" s="1927" t="s">
        <v>1727</v>
      </c>
      <c r="B1463" s="1928" t="str">
        <f>报表附注!E1705</f>
        <v>新增项目5……</v>
      </c>
      <c r="C1463" s="1936">
        <f>报表附注!I1705</f>
        <v>0</v>
      </c>
      <c r="D1463" s="1927" t="b">
        <f t="shared" si="25"/>
        <v>1</v>
      </c>
    </row>
    <row r="1464" spans="1:4">
      <c r="A1464" s="1927" t="s">
        <v>1728</v>
      </c>
      <c r="B1464" s="1928" t="str">
        <f>报表附注!E1706</f>
        <v>新增项目6……</v>
      </c>
      <c r="C1464" s="1936">
        <f>报表附注!I1706</f>
        <v>0</v>
      </c>
      <c r="D1464" s="1927" t="b">
        <f t="shared" si="25"/>
        <v>1</v>
      </c>
    </row>
    <row r="1465" spans="1:4">
      <c r="A1465" s="1927" t="s">
        <v>1729</v>
      </c>
      <c r="B1465" s="1928" t="str">
        <f>报表附注!E1707</f>
        <v>新增项目7……</v>
      </c>
      <c r="C1465" s="1936">
        <f>报表附注!I1707</f>
        <v>0</v>
      </c>
      <c r="D1465" s="1927" t="b">
        <f t="shared" si="25"/>
        <v>1</v>
      </c>
    </row>
    <row r="1466" spans="1:4">
      <c r="A1466" s="1927" t="s">
        <v>1730</v>
      </c>
      <c r="B1466" s="1928" t="str">
        <f>报表附注!E1708</f>
        <v>新增项目8……</v>
      </c>
      <c r="C1466" s="1936">
        <f>报表附注!I1708</f>
        <v>0</v>
      </c>
      <c r="D1466" s="1927" t="b">
        <f t="shared" si="25"/>
        <v>1</v>
      </c>
    </row>
    <row r="1467" spans="1:4">
      <c r="A1467" s="1927" t="s">
        <v>1731</v>
      </c>
      <c r="B1467" s="1928" t="str">
        <f>报表附注!E1709</f>
        <v>新增项目9……</v>
      </c>
      <c r="C1467" s="1936">
        <f>报表附注!I1709</f>
        <v>0</v>
      </c>
      <c r="D1467" s="1927" t="b">
        <f t="shared" si="25"/>
        <v>1</v>
      </c>
    </row>
    <row r="1468" spans="1:4">
      <c r="A1468" s="1927" t="s">
        <v>1732</v>
      </c>
      <c r="B1468" s="1928" t="str">
        <f>报表附注!E1710</f>
        <v>新增项目10……</v>
      </c>
      <c r="C1468" s="1936">
        <f>报表附注!I1710</f>
        <v>0</v>
      </c>
      <c r="D1468" s="1927" t="b">
        <f t="shared" si="25"/>
        <v>1</v>
      </c>
    </row>
    <row r="1469" spans="4:4">
      <c r="D1469" s="1927" t="b">
        <f t="shared" si="25"/>
        <v>1</v>
      </c>
    </row>
    <row r="1470" spans="4:4">
      <c r="D1470" s="1927" t="b">
        <f t="shared" si="25"/>
        <v>1</v>
      </c>
    </row>
    <row r="1471" spans="1:4">
      <c r="A1471" s="1927" t="s">
        <v>1744</v>
      </c>
      <c r="B1471" s="1977" t="s">
        <v>1744</v>
      </c>
      <c r="D1471" s="1927" t="b">
        <f t="shared" si="25"/>
        <v>1</v>
      </c>
    </row>
    <row r="1472" spans="1:4">
      <c r="A1472" s="1927" t="s">
        <v>670</v>
      </c>
      <c r="B1472" s="1948" t="s">
        <v>670</v>
      </c>
      <c r="D1472" s="1927" t="b">
        <f t="shared" si="25"/>
        <v>1</v>
      </c>
    </row>
    <row r="1473" spans="1:4">
      <c r="A1473" s="1927" t="s">
        <v>470</v>
      </c>
      <c r="B1473" s="1949" t="str">
        <f>报表附注!E1730</f>
        <v>坏账准备</v>
      </c>
      <c r="C1473" s="1936">
        <f>报表附注!F1730</f>
        <v>0</v>
      </c>
      <c r="D1473" s="1927" t="b">
        <f t="shared" si="25"/>
        <v>1</v>
      </c>
    </row>
    <row r="1474" spans="1:4">
      <c r="A1474" s="1927" t="s">
        <v>1745</v>
      </c>
      <c r="B1474" s="1949" t="str">
        <f>报表附注!E1731</f>
        <v>存货跌价准备</v>
      </c>
      <c r="C1474" s="1936">
        <f>报表附注!F1731</f>
        <v>0</v>
      </c>
      <c r="D1474" s="1927" t="b">
        <f t="shared" si="25"/>
        <v>1</v>
      </c>
    </row>
    <row r="1475" spans="1:4">
      <c r="A1475" s="1927" t="s">
        <v>1746</v>
      </c>
      <c r="B1475" s="1949" t="str">
        <f>报表附注!E1732</f>
        <v>可供出售金融资产减值准备</v>
      </c>
      <c r="C1475" s="1936">
        <f>报表附注!F1732</f>
        <v>0</v>
      </c>
      <c r="D1475" s="1927" t="b">
        <f t="shared" si="25"/>
        <v>1</v>
      </c>
    </row>
    <row r="1476" spans="1:4">
      <c r="A1476" s="1927" t="s">
        <v>1747</v>
      </c>
      <c r="B1476" s="1949" t="str">
        <f>报表附注!E1733</f>
        <v>持有至到期投资减值准备</v>
      </c>
      <c r="C1476" s="1936">
        <f>报表附注!F1733</f>
        <v>0</v>
      </c>
      <c r="D1476" s="1927" t="b">
        <f t="shared" si="25"/>
        <v>1</v>
      </c>
    </row>
    <row r="1477" spans="1:4">
      <c r="A1477" s="1927" t="s">
        <v>1748</v>
      </c>
      <c r="B1477" s="1949" t="str">
        <f>报表附注!E1734</f>
        <v>长期股权投资减值准备</v>
      </c>
      <c r="C1477" s="1936">
        <f>报表附注!F1734</f>
        <v>0</v>
      </c>
      <c r="D1477" s="1927" t="b">
        <f t="shared" si="25"/>
        <v>1</v>
      </c>
    </row>
    <row r="1478" spans="1:4">
      <c r="A1478" s="1927" t="s">
        <v>1749</v>
      </c>
      <c r="B1478" s="1949" t="str">
        <f>报表附注!E1735</f>
        <v>投资性房地产减值准备</v>
      </c>
      <c r="C1478" s="1936">
        <f>报表附注!F1735</f>
        <v>0</v>
      </c>
      <c r="D1478" s="1927" t="b">
        <f t="shared" si="25"/>
        <v>1</v>
      </c>
    </row>
    <row r="1479" spans="1:4">
      <c r="A1479" s="1927" t="s">
        <v>1750</v>
      </c>
      <c r="B1479" s="1949" t="str">
        <f>报表附注!E1736</f>
        <v>固定资产减值准备</v>
      </c>
      <c r="C1479" s="1936">
        <f>报表附注!F1736</f>
        <v>0</v>
      </c>
      <c r="D1479" s="1927" t="b">
        <f t="shared" si="25"/>
        <v>1</v>
      </c>
    </row>
    <row r="1480" spans="1:4">
      <c r="A1480" s="1927" t="s">
        <v>1751</v>
      </c>
      <c r="B1480" s="1949" t="str">
        <f>报表附注!E1737</f>
        <v>工程物资减值准备</v>
      </c>
      <c r="C1480" s="1936">
        <f>报表附注!F1737</f>
        <v>0</v>
      </c>
      <c r="D1480" s="1927" t="b">
        <f t="shared" si="25"/>
        <v>1</v>
      </c>
    </row>
    <row r="1481" spans="1:4">
      <c r="A1481" s="1927" t="s">
        <v>1752</v>
      </c>
      <c r="B1481" s="1949" t="str">
        <f>报表附注!E1738</f>
        <v>在建工程减值准备</v>
      </c>
      <c r="C1481" s="1936">
        <f>报表附注!F1738</f>
        <v>0</v>
      </c>
      <c r="D1481" s="1927" t="b">
        <f t="shared" si="25"/>
        <v>1</v>
      </c>
    </row>
    <row r="1482" spans="1:4">
      <c r="A1482" s="1927" t="s">
        <v>1753</v>
      </c>
      <c r="B1482" s="1949" t="str">
        <f>报表附注!E1739</f>
        <v>生产性生物资产减值准备</v>
      </c>
      <c r="C1482" s="1936">
        <f>报表附注!F1739</f>
        <v>0</v>
      </c>
      <c r="D1482" s="1927" t="b">
        <f t="shared" si="25"/>
        <v>1</v>
      </c>
    </row>
    <row r="1483" spans="1:4">
      <c r="A1483" s="1927" t="s">
        <v>959</v>
      </c>
      <c r="B1483" s="1949" t="str">
        <f>报表附注!E1740</f>
        <v>其中：成熟生产性生物资产减值准备</v>
      </c>
      <c r="C1483" s="1936">
        <f>报表附注!F1740</f>
        <v>0</v>
      </c>
      <c r="D1483" s="1927" t="b">
        <f t="shared" si="25"/>
        <v>1</v>
      </c>
    </row>
    <row r="1484" spans="1:4">
      <c r="A1484" s="1927" t="s">
        <v>1754</v>
      </c>
      <c r="B1484" s="1949" t="str">
        <f>报表附注!E1741</f>
        <v>油气资产减值准备</v>
      </c>
      <c r="C1484" s="1936">
        <f>报表附注!F1741</f>
        <v>0</v>
      </c>
      <c r="D1484" s="1927" t="b">
        <f t="shared" ref="D1484:D1547" si="26">EXACT(A1484,B1484)</f>
        <v>1</v>
      </c>
    </row>
    <row r="1485" spans="1:4">
      <c r="A1485" s="1927" t="s">
        <v>1755</v>
      </c>
      <c r="B1485" s="1949" t="str">
        <f>报表附注!E1742</f>
        <v>无形资产减值准备</v>
      </c>
      <c r="C1485" s="1936">
        <f>报表附注!F1742</f>
        <v>0</v>
      </c>
      <c r="D1485" s="1927" t="b">
        <f t="shared" si="26"/>
        <v>1</v>
      </c>
    </row>
    <row r="1486" spans="1:4">
      <c r="A1486" s="1927" t="s">
        <v>1756</v>
      </c>
      <c r="B1486" s="1949" t="str">
        <f>报表附注!E1743</f>
        <v>商誉减值准备</v>
      </c>
      <c r="C1486" s="1936">
        <f>报表附注!F1743</f>
        <v>0</v>
      </c>
      <c r="D1486" s="1927" t="b">
        <f t="shared" si="26"/>
        <v>1</v>
      </c>
    </row>
    <row r="1487" spans="1:4">
      <c r="A1487" s="1927" t="s">
        <v>279</v>
      </c>
      <c r="B1487" s="1949" t="str">
        <f>报表附注!E1744</f>
        <v>其他</v>
      </c>
      <c r="C1487" s="1936">
        <f>报表附注!F1744</f>
        <v>0</v>
      </c>
      <c r="D1487" s="1927" t="b">
        <f t="shared" si="26"/>
        <v>1</v>
      </c>
    </row>
    <row r="1488" spans="1:4">
      <c r="A1488" s="1927" t="s">
        <v>346</v>
      </c>
      <c r="B1488" s="1953" t="str">
        <f>报表附注!E1745</f>
        <v>合 计</v>
      </c>
      <c r="C1488" s="1936">
        <f>报表附注!F1745</f>
        <v>0</v>
      </c>
      <c r="D1488" s="1927" t="b">
        <f t="shared" si="26"/>
        <v>1</v>
      </c>
    </row>
    <row r="1489" spans="1:4">
      <c r="A1489" s="1927" t="s">
        <v>1757</v>
      </c>
      <c r="B1489" s="1948" t="s">
        <v>1757</v>
      </c>
      <c r="D1489" s="1927" t="b">
        <f t="shared" si="26"/>
        <v>1</v>
      </c>
    </row>
    <row r="1490" spans="1:4">
      <c r="A1490" s="1927" t="s">
        <v>470</v>
      </c>
      <c r="B1490" s="1949" t="str">
        <f>报表附注!E1730</f>
        <v>坏账准备</v>
      </c>
      <c r="C1490" s="1936">
        <f>报表附注!G1730</f>
        <v>0</v>
      </c>
      <c r="D1490" s="1927" t="b">
        <f t="shared" si="26"/>
        <v>1</v>
      </c>
    </row>
    <row r="1491" spans="1:4">
      <c r="A1491" s="1927" t="s">
        <v>1745</v>
      </c>
      <c r="B1491" s="1949" t="str">
        <f>报表附注!E1731</f>
        <v>存货跌价准备</v>
      </c>
      <c r="C1491" s="1936">
        <f>报表附注!G1731</f>
        <v>0</v>
      </c>
      <c r="D1491" s="1927" t="b">
        <f t="shared" si="26"/>
        <v>1</v>
      </c>
    </row>
    <row r="1492" spans="1:4">
      <c r="A1492" s="1927" t="s">
        <v>1746</v>
      </c>
      <c r="B1492" s="1949" t="str">
        <f>报表附注!E1732</f>
        <v>可供出售金融资产减值准备</v>
      </c>
      <c r="C1492" s="1936">
        <f>报表附注!G1732</f>
        <v>0</v>
      </c>
      <c r="D1492" s="1927" t="b">
        <f t="shared" si="26"/>
        <v>1</v>
      </c>
    </row>
    <row r="1493" spans="1:4">
      <c r="A1493" s="1927" t="s">
        <v>1747</v>
      </c>
      <c r="B1493" s="1949" t="str">
        <f>报表附注!E1733</f>
        <v>持有至到期投资减值准备</v>
      </c>
      <c r="C1493" s="1936">
        <f>报表附注!G1733</f>
        <v>0</v>
      </c>
      <c r="D1493" s="1927" t="b">
        <f t="shared" si="26"/>
        <v>1</v>
      </c>
    </row>
    <row r="1494" spans="1:4">
      <c r="A1494" s="1927" t="s">
        <v>1748</v>
      </c>
      <c r="B1494" s="1949" t="str">
        <f>报表附注!E1734</f>
        <v>长期股权投资减值准备</v>
      </c>
      <c r="C1494" s="1936">
        <f>报表附注!G1734</f>
        <v>0</v>
      </c>
      <c r="D1494" s="1927" t="b">
        <f t="shared" si="26"/>
        <v>1</v>
      </c>
    </row>
    <row r="1495" spans="1:4">
      <c r="A1495" s="1927" t="s">
        <v>1749</v>
      </c>
      <c r="B1495" s="1949" t="str">
        <f>报表附注!E1735</f>
        <v>投资性房地产减值准备</v>
      </c>
      <c r="C1495" s="1936">
        <f>报表附注!G1735</f>
        <v>0</v>
      </c>
      <c r="D1495" s="1927" t="b">
        <f t="shared" si="26"/>
        <v>1</v>
      </c>
    </row>
    <row r="1496" spans="1:4">
      <c r="A1496" s="1927" t="s">
        <v>1750</v>
      </c>
      <c r="B1496" s="1949" t="str">
        <f>报表附注!E1736</f>
        <v>固定资产减值准备</v>
      </c>
      <c r="C1496" s="1936">
        <f>报表附注!G1736</f>
        <v>0</v>
      </c>
      <c r="D1496" s="1927" t="b">
        <f t="shared" si="26"/>
        <v>1</v>
      </c>
    </row>
    <row r="1497" spans="1:4">
      <c r="A1497" s="1927" t="s">
        <v>1751</v>
      </c>
      <c r="B1497" s="1949" t="str">
        <f>报表附注!E1737</f>
        <v>工程物资减值准备</v>
      </c>
      <c r="C1497" s="1936">
        <f>报表附注!G1737</f>
        <v>0</v>
      </c>
      <c r="D1497" s="1927" t="b">
        <f t="shared" si="26"/>
        <v>1</v>
      </c>
    </row>
    <row r="1498" spans="1:4">
      <c r="A1498" s="1927" t="s">
        <v>1752</v>
      </c>
      <c r="B1498" s="1949" t="str">
        <f>报表附注!E1738</f>
        <v>在建工程减值准备</v>
      </c>
      <c r="C1498" s="1936">
        <f>报表附注!G1738</f>
        <v>0</v>
      </c>
      <c r="D1498" s="1927" t="b">
        <f t="shared" si="26"/>
        <v>1</v>
      </c>
    </row>
    <row r="1499" spans="1:4">
      <c r="A1499" s="1927" t="s">
        <v>1753</v>
      </c>
      <c r="B1499" s="1949" t="str">
        <f>报表附注!E1739</f>
        <v>生产性生物资产减值准备</v>
      </c>
      <c r="C1499" s="1936">
        <f>报表附注!G1739</f>
        <v>0</v>
      </c>
      <c r="D1499" s="1927" t="b">
        <f t="shared" si="26"/>
        <v>1</v>
      </c>
    </row>
    <row r="1500" spans="1:4">
      <c r="A1500" s="1927" t="s">
        <v>959</v>
      </c>
      <c r="B1500" s="1949" t="str">
        <f>报表附注!E1740</f>
        <v>其中：成熟生产性生物资产减值准备</v>
      </c>
      <c r="C1500" s="1936">
        <f>报表附注!G1740</f>
        <v>0</v>
      </c>
      <c r="D1500" s="1927" t="b">
        <f t="shared" si="26"/>
        <v>1</v>
      </c>
    </row>
    <row r="1501" spans="1:4">
      <c r="A1501" s="1927" t="s">
        <v>1754</v>
      </c>
      <c r="B1501" s="1949" t="str">
        <f>报表附注!E1741</f>
        <v>油气资产减值准备</v>
      </c>
      <c r="C1501" s="1936">
        <f>报表附注!G1741</f>
        <v>0</v>
      </c>
      <c r="D1501" s="1927" t="b">
        <f t="shared" si="26"/>
        <v>1</v>
      </c>
    </row>
    <row r="1502" spans="1:4">
      <c r="A1502" s="1927" t="s">
        <v>1755</v>
      </c>
      <c r="B1502" s="1949" t="str">
        <f>报表附注!E1742</f>
        <v>无形资产减值准备</v>
      </c>
      <c r="C1502" s="1936">
        <f>报表附注!G1742</f>
        <v>0</v>
      </c>
      <c r="D1502" s="1927" t="b">
        <f t="shared" si="26"/>
        <v>1</v>
      </c>
    </row>
    <row r="1503" spans="1:4">
      <c r="A1503" s="1927" t="s">
        <v>1756</v>
      </c>
      <c r="B1503" s="1949" t="str">
        <f>报表附注!E1743</f>
        <v>商誉减值准备</v>
      </c>
      <c r="C1503" s="1936">
        <f>报表附注!G1743</f>
        <v>0</v>
      </c>
      <c r="D1503" s="1927" t="b">
        <f t="shared" si="26"/>
        <v>1</v>
      </c>
    </row>
    <row r="1504" spans="1:4">
      <c r="A1504" s="1927" t="s">
        <v>279</v>
      </c>
      <c r="B1504" s="1949" t="str">
        <f>报表附注!E1744</f>
        <v>其他</v>
      </c>
      <c r="C1504" s="1936">
        <f>报表附注!G1744</f>
        <v>0</v>
      </c>
      <c r="D1504" s="1927" t="b">
        <f t="shared" si="26"/>
        <v>1</v>
      </c>
    </row>
    <row r="1505" spans="1:4">
      <c r="A1505" s="1927" t="s">
        <v>346</v>
      </c>
      <c r="B1505" s="1953" t="str">
        <f>报表附注!E1745</f>
        <v>合 计</v>
      </c>
      <c r="C1505" s="1936">
        <f>报表附注!G1745</f>
        <v>0</v>
      </c>
      <c r="D1505" s="1927" t="b">
        <f t="shared" si="26"/>
        <v>1</v>
      </c>
    </row>
    <row r="1506" spans="1:4">
      <c r="A1506" s="1927" t="s">
        <v>1758</v>
      </c>
      <c r="B1506" s="1948" t="s">
        <v>1758</v>
      </c>
      <c r="D1506" s="1927" t="b">
        <f t="shared" si="26"/>
        <v>1</v>
      </c>
    </row>
    <row r="1507" spans="1:4">
      <c r="A1507" s="1927" t="s">
        <v>470</v>
      </c>
      <c r="B1507" s="1949" t="str">
        <f>报表附注!E1730</f>
        <v>坏账准备</v>
      </c>
      <c r="C1507" s="1936">
        <f>报表附注!H1730</f>
        <v>0</v>
      </c>
      <c r="D1507" s="1927" t="b">
        <f t="shared" si="26"/>
        <v>1</v>
      </c>
    </row>
    <row r="1508" spans="1:4">
      <c r="A1508" s="1927" t="s">
        <v>1745</v>
      </c>
      <c r="B1508" s="1949" t="str">
        <f>报表附注!E1731</f>
        <v>存货跌价准备</v>
      </c>
      <c r="C1508" s="1936">
        <f>报表附注!H1731</f>
        <v>0</v>
      </c>
      <c r="D1508" s="1927" t="b">
        <f t="shared" si="26"/>
        <v>1</v>
      </c>
    </row>
    <row r="1509" spans="1:4">
      <c r="A1509" s="1927" t="s">
        <v>1746</v>
      </c>
      <c r="B1509" s="1949" t="str">
        <f>报表附注!E1732</f>
        <v>可供出售金融资产减值准备</v>
      </c>
      <c r="C1509" s="1936">
        <f>报表附注!H1732</f>
        <v>0</v>
      </c>
      <c r="D1509" s="1927" t="b">
        <f t="shared" si="26"/>
        <v>1</v>
      </c>
    </row>
    <row r="1510" spans="1:4">
      <c r="A1510" s="1927" t="s">
        <v>1747</v>
      </c>
      <c r="B1510" s="1949" t="str">
        <f>报表附注!E1733</f>
        <v>持有至到期投资减值准备</v>
      </c>
      <c r="C1510" s="1936">
        <f>报表附注!H1733</f>
        <v>0</v>
      </c>
      <c r="D1510" s="1927" t="b">
        <f t="shared" si="26"/>
        <v>1</v>
      </c>
    </row>
    <row r="1511" spans="1:4">
      <c r="A1511" s="1927" t="s">
        <v>1748</v>
      </c>
      <c r="B1511" s="1949" t="str">
        <f>报表附注!E1734</f>
        <v>长期股权投资减值准备</v>
      </c>
      <c r="C1511" s="1936">
        <f>报表附注!H1734</f>
        <v>0</v>
      </c>
      <c r="D1511" s="1927" t="b">
        <f t="shared" si="26"/>
        <v>1</v>
      </c>
    </row>
    <row r="1512" spans="1:4">
      <c r="A1512" s="1927" t="s">
        <v>1749</v>
      </c>
      <c r="B1512" s="1949" t="str">
        <f>报表附注!E1735</f>
        <v>投资性房地产减值准备</v>
      </c>
      <c r="C1512" s="1936">
        <f>报表附注!H1735</f>
        <v>0</v>
      </c>
      <c r="D1512" s="1927" t="b">
        <f t="shared" si="26"/>
        <v>1</v>
      </c>
    </row>
    <row r="1513" spans="1:4">
      <c r="A1513" s="1927" t="s">
        <v>1750</v>
      </c>
      <c r="B1513" s="1949" t="str">
        <f>报表附注!E1736</f>
        <v>固定资产减值准备</v>
      </c>
      <c r="C1513" s="1936">
        <f>报表附注!H1736</f>
        <v>0</v>
      </c>
      <c r="D1513" s="1927" t="b">
        <f t="shared" si="26"/>
        <v>1</v>
      </c>
    </row>
    <row r="1514" spans="1:4">
      <c r="A1514" s="1927" t="s">
        <v>1751</v>
      </c>
      <c r="B1514" s="1949" t="str">
        <f>报表附注!E1737</f>
        <v>工程物资减值准备</v>
      </c>
      <c r="C1514" s="1936">
        <f>报表附注!H1737</f>
        <v>0</v>
      </c>
      <c r="D1514" s="1927" t="b">
        <f t="shared" si="26"/>
        <v>1</v>
      </c>
    </row>
    <row r="1515" spans="1:4">
      <c r="A1515" s="1927" t="s">
        <v>1752</v>
      </c>
      <c r="B1515" s="1949" t="str">
        <f>报表附注!E1738</f>
        <v>在建工程减值准备</v>
      </c>
      <c r="C1515" s="1936">
        <f>报表附注!H1738</f>
        <v>0</v>
      </c>
      <c r="D1515" s="1927" t="b">
        <f t="shared" si="26"/>
        <v>1</v>
      </c>
    </row>
    <row r="1516" spans="1:4">
      <c r="A1516" s="1927" t="s">
        <v>1753</v>
      </c>
      <c r="B1516" s="1949" t="str">
        <f>报表附注!E1739</f>
        <v>生产性生物资产减值准备</v>
      </c>
      <c r="C1516" s="1936">
        <f>报表附注!H1739</f>
        <v>0</v>
      </c>
      <c r="D1516" s="1927" t="b">
        <f t="shared" si="26"/>
        <v>1</v>
      </c>
    </row>
    <row r="1517" spans="1:4">
      <c r="A1517" s="1927" t="s">
        <v>959</v>
      </c>
      <c r="B1517" s="1949" t="str">
        <f>报表附注!E1740</f>
        <v>其中：成熟生产性生物资产减值准备</v>
      </c>
      <c r="C1517" s="1936">
        <f>报表附注!H1740</f>
        <v>0</v>
      </c>
      <c r="D1517" s="1927" t="b">
        <f t="shared" si="26"/>
        <v>1</v>
      </c>
    </row>
    <row r="1518" spans="1:4">
      <c r="A1518" s="1927" t="s">
        <v>1754</v>
      </c>
      <c r="B1518" s="1949" t="str">
        <f>报表附注!E1741</f>
        <v>油气资产减值准备</v>
      </c>
      <c r="C1518" s="1936">
        <f>报表附注!H1741</f>
        <v>0</v>
      </c>
      <c r="D1518" s="1927" t="b">
        <f t="shared" si="26"/>
        <v>1</v>
      </c>
    </row>
    <row r="1519" spans="1:4">
      <c r="A1519" s="1927" t="s">
        <v>1755</v>
      </c>
      <c r="B1519" s="1949" t="str">
        <f>报表附注!E1742</f>
        <v>无形资产减值准备</v>
      </c>
      <c r="C1519" s="1936">
        <f>报表附注!H1742</f>
        <v>0</v>
      </c>
      <c r="D1519" s="1927" t="b">
        <f t="shared" si="26"/>
        <v>1</v>
      </c>
    </row>
    <row r="1520" spans="1:4">
      <c r="A1520" s="1927" t="s">
        <v>1756</v>
      </c>
      <c r="B1520" s="1949" t="str">
        <f>报表附注!E1743</f>
        <v>商誉减值准备</v>
      </c>
      <c r="C1520" s="1936">
        <f>报表附注!H1743</f>
        <v>0</v>
      </c>
      <c r="D1520" s="1927" t="b">
        <f t="shared" si="26"/>
        <v>1</v>
      </c>
    </row>
    <row r="1521" spans="1:4">
      <c r="A1521" s="1927" t="s">
        <v>279</v>
      </c>
      <c r="B1521" s="1949" t="str">
        <f>报表附注!E1744</f>
        <v>其他</v>
      </c>
      <c r="C1521" s="1936">
        <f>报表附注!H1744</f>
        <v>0</v>
      </c>
      <c r="D1521" s="1927" t="b">
        <f t="shared" si="26"/>
        <v>1</v>
      </c>
    </row>
    <row r="1522" spans="1:4">
      <c r="A1522" s="1927" t="s">
        <v>346</v>
      </c>
      <c r="B1522" s="1953" t="str">
        <f>报表附注!E1745</f>
        <v>合 计</v>
      </c>
      <c r="C1522" s="1936">
        <f>报表附注!H1745</f>
        <v>0</v>
      </c>
      <c r="D1522" s="1927" t="b">
        <f t="shared" si="26"/>
        <v>1</v>
      </c>
    </row>
    <row r="1523" spans="1:4">
      <c r="A1523" s="1927" t="s">
        <v>1759</v>
      </c>
      <c r="B1523" s="1948" t="s">
        <v>1759</v>
      </c>
      <c r="D1523" s="1927" t="b">
        <f t="shared" si="26"/>
        <v>1</v>
      </c>
    </row>
    <row r="1524" spans="1:4">
      <c r="A1524" s="1927" t="s">
        <v>470</v>
      </c>
      <c r="B1524" s="1949" t="str">
        <f>报表附注!E1730</f>
        <v>坏账准备</v>
      </c>
      <c r="C1524" s="1936">
        <f>报表附注!I1730</f>
        <v>0</v>
      </c>
      <c r="D1524" s="1927" t="b">
        <f t="shared" si="26"/>
        <v>1</v>
      </c>
    </row>
    <row r="1525" spans="1:4">
      <c r="A1525" s="1927" t="s">
        <v>1745</v>
      </c>
      <c r="B1525" s="1949" t="str">
        <f>报表附注!E1731</f>
        <v>存货跌价准备</v>
      </c>
      <c r="C1525" s="1936">
        <f>报表附注!I1731</f>
        <v>0</v>
      </c>
      <c r="D1525" s="1927" t="b">
        <f t="shared" si="26"/>
        <v>1</v>
      </c>
    </row>
    <row r="1526" spans="1:4">
      <c r="A1526" s="1927" t="s">
        <v>1746</v>
      </c>
      <c r="B1526" s="1949" t="str">
        <f>报表附注!E1732</f>
        <v>可供出售金融资产减值准备</v>
      </c>
      <c r="C1526" s="1936">
        <f>报表附注!I1732</f>
        <v>0</v>
      </c>
      <c r="D1526" s="1927" t="b">
        <f t="shared" si="26"/>
        <v>1</v>
      </c>
    </row>
    <row r="1527" spans="1:4">
      <c r="A1527" s="1927" t="s">
        <v>1747</v>
      </c>
      <c r="B1527" s="1949" t="str">
        <f>报表附注!E1733</f>
        <v>持有至到期投资减值准备</v>
      </c>
      <c r="C1527" s="1936">
        <f>报表附注!I1733</f>
        <v>0</v>
      </c>
      <c r="D1527" s="1927" t="b">
        <f t="shared" si="26"/>
        <v>1</v>
      </c>
    </row>
    <row r="1528" spans="1:4">
      <c r="A1528" s="1927" t="s">
        <v>1748</v>
      </c>
      <c r="B1528" s="1949" t="str">
        <f>报表附注!E1734</f>
        <v>长期股权投资减值准备</v>
      </c>
      <c r="C1528" s="1936">
        <f>报表附注!I1734</f>
        <v>0</v>
      </c>
      <c r="D1528" s="1927" t="b">
        <f t="shared" si="26"/>
        <v>1</v>
      </c>
    </row>
    <row r="1529" spans="1:4">
      <c r="A1529" s="1927" t="s">
        <v>1749</v>
      </c>
      <c r="B1529" s="1949" t="str">
        <f>报表附注!E1735</f>
        <v>投资性房地产减值准备</v>
      </c>
      <c r="C1529" s="1936">
        <f>报表附注!I1735</f>
        <v>0</v>
      </c>
      <c r="D1529" s="1927" t="b">
        <f t="shared" si="26"/>
        <v>1</v>
      </c>
    </row>
    <row r="1530" spans="1:4">
      <c r="A1530" s="1927" t="s">
        <v>1750</v>
      </c>
      <c r="B1530" s="1949" t="str">
        <f>报表附注!E1736</f>
        <v>固定资产减值准备</v>
      </c>
      <c r="C1530" s="1936">
        <f>报表附注!I1736</f>
        <v>0</v>
      </c>
      <c r="D1530" s="1927" t="b">
        <f t="shared" si="26"/>
        <v>1</v>
      </c>
    </row>
    <row r="1531" spans="1:4">
      <c r="A1531" s="1927" t="s">
        <v>1751</v>
      </c>
      <c r="B1531" s="1949" t="str">
        <f>报表附注!E1737</f>
        <v>工程物资减值准备</v>
      </c>
      <c r="C1531" s="1936">
        <f>报表附注!I1737</f>
        <v>0</v>
      </c>
      <c r="D1531" s="1927" t="b">
        <f t="shared" si="26"/>
        <v>1</v>
      </c>
    </row>
    <row r="1532" spans="1:4">
      <c r="A1532" s="1927" t="s">
        <v>1752</v>
      </c>
      <c r="B1532" s="1949" t="str">
        <f>报表附注!E1738</f>
        <v>在建工程减值准备</v>
      </c>
      <c r="C1532" s="1936">
        <f>报表附注!I1738</f>
        <v>0</v>
      </c>
      <c r="D1532" s="1927" t="b">
        <f t="shared" si="26"/>
        <v>1</v>
      </c>
    </row>
    <row r="1533" spans="1:4">
      <c r="A1533" s="1927" t="s">
        <v>1753</v>
      </c>
      <c r="B1533" s="1949" t="str">
        <f>报表附注!E1739</f>
        <v>生产性生物资产减值准备</v>
      </c>
      <c r="C1533" s="1936">
        <f>报表附注!I1739</f>
        <v>0</v>
      </c>
      <c r="D1533" s="1927" t="b">
        <f t="shared" si="26"/>
        <v>1</v>
      </c>
    </row>
    <row r="1534" spans="1:4">
      <c r="A1534" s="1927" t="s">
        <v>959</v>
      </c>
      <c r="B1534" s="1949" t="str">
        <f>报表附注!E1740</f>
        <v>其中：成熟生产性生物资产减值准备</v>
      </c>
      <c r="C1534" s="1936">
        <f>报表附注!I1740</f>
        <v>0</v>
      </c>
      <c r="D1534" s="1927" t="b">
        <f t="shared" si="26"/>
        <v>1</v>
      </c>
    </row>
    <row r="1535" spans="1:4">
      <c r="A1535" s="1927" t="s">
        <v>1754</v>
      </c>
      <c r="B1535" s="1949" t="str">
        <f>报表附注!E1741</f>
        <v>油气资产减值准备</v>
      </c>
      <c r="C1535" s="1936">
        <f>报表附注!I1741</f>
        <v>0</v>
      </c>
      <c r="D1535" s="1927" t="b">
        <f t="shared" si="26"/>
        <v>1</v>
      </c>
    </row>
    <row r="1536" spans="1:4">
      <c r="A1536" s="1927" t="s">
        <v>1755</v>
      </c>
      <c r="B1536" s="1949" t="str">
        <f>报表附注!E1742</f>
        <v>无形资产减值准备</v>
      </c>
      <c r="C1536" s="1936">
        <f>报表附注!I1742</f>
        <v>0</v>
      </c>
      <c r="D1536" s="1927" t="b">
        <f t="shared" si="26"/>
        <v>1</v>
      </c>
    </row>
    <row r="1537" spans="1:4">
      <c r="A1537" s="1927" t="s">
        <v>1756</v>
      </c>
      <c r="B1537" s="1949" t="str">
        <f>报表附注!E1743</f>
        <v>商誉减值准备</v>
      </c>
      <c r="C1537" s="1936">
        <f>报表附注!I1743</f>
        <v>0</v>
      </c>
      <c r="D1537" s="1927" t="b">
        <f t="shared" si="26"/>
        <v>1</v>
      </c>
    </row>
    <row r="1538" spans="1:4">
      <c r="A1538" s="1927" t="s">
        <v>279</v>
      </c>
      <c r="B1538" s="1949" t="str">
        <f>报表附注!E1744</f>
        <v>其他</v>
      </c>
      <c r="C1538" s="1936">
        <f>报表附注!I1744</f>
        <v>0</v>
      </c>
      <c r="D1538" s="1927" t="b">
        <f t="shared" si="26"/>
        <v>1</v>
      </c>
    </row>
    <row r="1539" spans="1:4">
      <c r="A1539" s="1927" t="s">
        <v>346</v>
      </c>
      <c r="B1539" s="1953" t="str">
        <f>报表附注!E1745</f>
        <v>合 计</v>
      </c>
      <c r="C1539" s="1936">
        <f>报表附注!I1745</f>
        <v>0</v>
      </c>
      <c r="D1539" s="1927" t="b">
        <f t="shared" si="26"/>
        <v>1</v>
      </c>
    </row>
    <row r="1540" spans="1:4">
      <c r="A1540" s="1927" t="s">
        <v>515</v>
      </c>
      <c r="B1540" s="1948" t="s">
        <v>515</v>
      </c>
      <c r="C1540" s="1964"/>
      <c r="D1540" s="1927" t="b">
        <f t="shared" si="26"/>
        <v>1</v>
      </c>
    </row>
    <row r="1541" spans="1:4">
      <c r="A1541" s="1927" t="s">
        <v>470</v>
      </c>
      <c r="B1541" s="1952" t="str">
        <f>报表附注!E1730</f>
        <v>坏账准备</v>
      </c>
      <c r="C1541" s="1936">
        <f>报表附注!K1730</f>
        <v>0</v>
      </c>
      <c r="D1541" s="1927" t="b">
        <f t="shared" si="26"/>
        <v>1</v>
      </c>
    </row>
    <row r="1542" spans="1:4">
      <c r="A1542" s="1927" t="s">
        <v>1745</v>
      </c>
      <c r="B1542" s="1952" t="str">
        <f>报表附注!E1731</f>
        <v>存货跌价准备</v>
      </c>
      <c r="C1542" s="1936">
        <f>报表附注!K1731</f>
        <v>0</v>
      </c>
      <c r="D1542" s="1927" t="b">
        <f t="shared" si="26"/>
        <v>1</v>
      </c>
    </row>
    <row r="1543" spans="1:4">
      <c r="A1543" s="1927" t="s">
        <v>1746</v>
      </c>
      <c r="B1543" s="1952" t="str">
        <f>报表附注!E1732</f>
        <v>可供出售金融资产减值准备</v>
      </c>
      <c r="C1543" s="1936">
        <f>报表附注!K1732</f>
        <v>0</v>
      </c>
      <c r="D1543" s="1927" t="b">
        <f t="shared" si="26"/>
        <v>1</v>
      </c>
    </row>
    <row r="1544" spans="1:4">
      <c r="A1544" s="1927" t="s">
        <v>1747</v>
      </c>
      <c r="B1544" s="1952" t="str">
        <f>报表附注!E1733</f>
        <v>持有至到期投资减值准备</v>
      </c>
      <c r="C1544" s="1936">
        <f>报表附注!K1733</f>
        <v>0</v>
      </c>
      <c r="D1544" s="1927" t="b">
        <f t="shared" si="26"/>
        <v>1</v>
      </c>
    </row>
    <row r="1545" spans="1:4">
      <c r="A1545" s="1927" t="s">
        <v>1748</v>
      </c>
      <c r="B1545" s="1952" t="str">
        <f>报表附注!E1734</f>
        <v>长期股权投资减值准备</v>
      </c>
      <c r="C1545" s="1936">
        <f>报表附注!K1734</f>
        <v>0</v>
      </c>
      <c r="D1545" s="1927" t="b">
        <f t="shared" si="26"/>
        <v>1</v>
      </c>
    </row>
    <row r="1546" spans="1:4">
      <c r="A1546" s="1927" t="s">
        <v>1749</v>
      </c>
      <c r="B1546" s="1952" t="str">
        <f>报表附注!E1735</f>
        <v>投资性房地产减值准备</v>
      </c>
      <c r="C1546" s="1936">
        <f>报表附注!K1735</f>
        <v>0</v>
      </c>
      <c r="D1546" s="1927" t="b">
        <f t="shared" si="26"/>
        <v>1</v>
      </c>
    </row>
    <row r="1547" spans="1:4">
      <c r="A1547" s="1927" t="s">
        <v>1750</v>
      </c>
      <c r="B1547" s="1952" t="str">
        <f>报表附注!E1736</f>
        <v>固定资产减值准备</v>
      </c>
      <c r="C1547" s="1936">
        <f>报表附注!K1736</f>
        <v>0</v>
      </c>
      <c r="D1547" s="1927" t="b">
        <f t="shared" si="26"/>
        <v>1</v>
      </c>
    </row>
    <row r="1548" spans="1:4">
      <c r="A1548" s="1927" t="s">
        <v>1751</v>
      </c>
      <c r="B1548" s="1952" t="str">
        <f>报表附注!E1737</f>
        <v>工程物资减值准备</v>
      </c>
      <c r="C1548" s="1936">
        <f>报表附注!K1737</f>
        <v>0</v>
      </c>
      <c r="D1548" s="1927" t="b">
        <f t="shared" ref="D1548:D1621" si="27">EXACT(A1548,B1548)</f>
        <v>1</v>
      </c>
    </row>
    <row r="1549" spans="1:4">
      <c r="A1549" s="1927" t="s">
        <v>1752</v>
      </c>
      <c r="B1549" s="1952" t="str">
        <f>报表附注!E1738</f>
        <v>在建工程减值准备</v>
      </c>
      <c r="C1549" s="1936">
        <f>报表附注!K1738</f>
        <v>0</v>
      </c>
      <c r="D1549" s="1927" t="b">
        <f t="shared" si="27"/>
        <v>1</v>
      </c>
    </row>
    <row r="1550" spans="1:4">
      <c r="A1550" s="1927" t="s">
        <v>1753</v>
      </c>
      <c r="B1550" s="1952" t="str">
        <f>报表附注!E1739</f>
        <v>生产性生物资产减值准备</v>
      </c>
      <c r="C1550" s="1936">
        <f>报表附注!K1739</f>
        <v>0</v>
      </c>
      <c r="D1550" s="1927" t="b">
        <f t="shared" si="27"/>
        <v>1</v>
      </c>
    </row>
    <row r="1551" spans="1:4">
      <c r="A1551" s="1927" t="s">
        <v>959</v>
      </c>
      <c r="B1551" s="1952" t="str">
        <f>报表附注!E1740</f>
        <v>其中：成熟生产性生物资产减值准备</v>
      </c>
      <c r="C1551" s="1936">
        <f>报表附注!K1740</f>
        <v>0</v>
      </c>
      <c r="D1551" s="1927" t="b">
        <f t="shared" si="27"/>
        <v>1</v>
      </c>
    </row>
    <row r="1552" spans="1:4">
      <c r="A1552" s="1927" t="s">
        <v>1754</v>
      </c>
      <c r="B1552" s="1952" t="str">
        <f>报表附注!E1741</f>
        <v>油气资产减值准备</v>
      </c>
      <c r="C1552" s="1936">
        <f>报表附注!K1741</f>
        <v>0</v>
      </c>
      <c r="D1552" s="1927" t="b">
        <f t="shared" si="27"/>
        <v>1</v>
      </c>
    </row>
    <row r="1553" spans="1:4">
      <c r="A1553" s="1927" t="s">
        <v>1755</v>
      </c>
      <c r="B1553" s="1952" t="str">
        <f>报表附注!E1742</f>
        <v>无形资产减值准备</v>
      </c>
      <c r="C1553" s="1936">
        <f>报表附注!K1742</f>
        <v>0</v>
      </c>
      <c r="D1553" s="1927" t="b">
        <f t="shared" si="27"/>
        <v>1</v>
      </c>
    </row>
    <row r="1554" spans="1:4">
      <c r="A1554" s="1927" t="s">
        <v>1756</v>
      </c>
      <c r="B1554" s="1952" t="str">
        <f>报表附注!E1743</f>
        <v>商誉减值准备</v>
      </c>
      <c r="C1554" s="1936">
        <f>报表附注!K1743</f>
        <v>0</v>
      </c>
      <c r="D1554" s="1927" t="b">
        <f t="shared" si="27"/>
        <v>1</v>
      </c>
    </row>
    <row r="1555" spans="1:4">
      <c r="A1555" s="1927" t="s">
        <v>279</v>
      </c>
      <c r="B1555" s="1952" t="str">
        <f>报表附注!E1744</f>
        <v>其他</v>
      </c>
      <c r="C1555" s="1936">
        <f>报表附注!K1744</f>
        <v>0</v>
      </c>
      <c r="D1555" s="1927" t="b">
        <f t="shared" si="27"/>
        <v>1</v>
      </c>
    </row>
    <row r="1556" spans="1:4">
      <c r="A1556" s="1927" t="s">
        <v>346</v>
      </c>
      <c r="B1556" s="1953" t="str">
        <f>报表附注!E1745</f>
        <v>合 计</v>
      </c>
      <c r="C1556" s="1936">
        <f>报表附注!K1745</f>
        <v>0</v>
      </c>
      <c r="D1556" s="1927" t="b">
        <f t="shared" si="27"/>
        <v>1</v>
      </c>
    </row>
    <row r="1557" spans="4:4">
      <c r="D1557" s="1927" t="b">
        <f t="shared" si="27"/>
        <v>1</v>
      </c>
    </row>
    <row r="1558" spans="1:4">
      <c r="A1558" s="1927" t="s">
        <v>1760</v>
      </c>
      <c r="B1558" s="366" t="s">
        <v>1760</v>
      </c>
      <c r="D1558" s="1927" t="b">
        <f t="shared" si="27"/>
        <v>1</v>
      </c>
    </row>
    <row r="1559" spans="4:4">
      <c r="D1559" s="1927" t="b">
        <f t="shared" si="27"/>
        <v>1</v>
      </c>
    </row>
    <row r="1560" spans="1:4">
      <c r="A1560" s="1927" t="s">
        <v>1761</v>
      </c>
      <c r="B1560" s="1945" t="s">
        <v>1761</v>
      </c>
      <c r="D1560" s="1927" t="b">
        <f t="shared" si="27"/>
        <v>1</v>
      </c>
    </row>
    <row r="1561" spans="1:4">
      <c r="A1561" s="1927" t="s">
        <v>315</v>
      </c>
      <c r="B1561" s="1948" t="s">
        <v>315</v>
      </c>
      <c r="D1561" s="1927" t="b">
        <f t="shared" si="27"/>
        <v>1</v>
      </c>
    </row>
    <row r="1562" spans="1:4">
      <c r="A1562" s="1927" t="s">
        <v>982</v>
      </c>
      <c r="B1562" s="1928" t="str">
        <f>报表附注!E1772</f>
        <v>质押借款</v>
      </c>
      <c r="C1562" s="1936">
        <f>报表附注!F1772</f>
        <v>0</v>
      </c>
      <c r="D1562" s="1927" t="b">
        <f t="shared" si="27"/>
        <v>0</v>
      </c>
    </row>
    <row r="1563" spans="1:4">
      <c r="A1563" s="1927" t="s">
        <v>984</v>
      </c>
      <c r="B1563" s="1928" t="str">
        <f>报表附注!E1773</f>
        <v>抵押借款</v>
      </c>
      <c r="C1563" s="1936">
        <f>报表附注!F1773</f>
        <v>0</v>
      </c>
      <c r="D1563" s="1927" t="b">
        <f t="shared" si="27"/>
        <v>1</v>
      </c>
    </row>
    <row r="1564" spans="1:4">
      <c r="A1564" s="1927" t="s">
        <v>986</v>
      </c>
      <c r="B1564" s="1928" t="str">
        <f>报表附注!E1774</f>
        <v>保证借款</v>
      </c>
      <c r="C1564" s="1936">
        <f>报表附注!F1774</f>
        <v>0</v>
      </c>
      <c r="D1564" s="1927" t="b">
        <f t="shared" si="27"/>
        <v>1</v>
      </c>
    </row>
    <row r="1565" spans="1:4">
      <c r="A1565" s="1927" t="s">
        <v>988</v>
      </c>
      <c r="B1565" s="1928" t="str">
        <f>报表附注!E1775</f>
        <v>信用借款</v>
      </c>
      <c r="C1565" s="1936">
        <f>报表附注!F1775</f>
        <v>0</v>
      </c>
      <c r="D1565" s="1927" t="b">
        <f t="shared" si="27"/>
        <v>0</v>
      </c>
    </row>
    <row r="1566" spans="2:4">
      <c r="B1566" s="1928" t="str">
        <f>报表附注!E1776</f>
        <v>抵押加保证借款</v>
      </c>
      <c r="C1566" s="1936">
        <f>报表附注!F1776</f>
        <v>0</v>
      </c>
      <c r="D1566" s="1927" t="b">
        <f t="shared" si="27"/>
        <v>0</v>
      </c>
    </row>
    <row r="1567" spans="2:4">
      <c r="B1567" s="1928" t="str">
        <f>报表附注!E1777</f>
        <v>抵押加质押借款</v>
      </c>
      <c r="C1567" s="1936">
        <f>报表附注!F1777</f>
        <v>0</v>
      </c>
      <c r="D1567" s="1927" t="b">
        <f t="shared" si="27"/>
        <v>0</v>
      </c>
    </row>
    <row r="1568" spans="1:4">
      <c r="A1568" s="1927" t="s">
        <v>1762</v>
      </c>
      <c r="B1568" s="1939" t="str">
        <f>报表附注!E1778</f>
        <v>合   计</v>
      </c>
      <c r="C1568" s="1936">
        <f>报表附注!F1778</f>
        <v>0</v>
      </c>
      <c r="D1568" s="1927" t="b">
        <f t="shared" si="27"/>
        <v>1</v>
      </c>
    </row>
    <row r="1569" spans="1:4">
      <c r="A1569" s="1927" t="s">
        <v>1579</v>
      </c>
      <c r="B1569" s="1948" t="s">
        <v>1579</v>
      </c>
      <c r="D1569" s="1927" t="b">
        <f t="shared" si="27"/>
        <v>1</v>
      </c>
    </row>
    <row r="1570" spans="1:4">
      <c r="A1570" s="1927" t="s">
        <v>982</v>
      </c>
      <c r="B1570" s="1928" t="str">
        <f>报表附注!E1772</f>
        <v>质押借款</v>
      </c>
      <c r="C1570" s="1936">
        <f>报表附注!G1772</f>
        <v>0</v>
      </c>
      <c r="D1570" s="1927" t="b">
        <f t="shared" si="27"/>
        <v>0</v>
      </c>
    </row>
    <row r="1571" spans="1:4">
      <c r="A1571" s="1927" t="s">
        <v>984</v>
      </c>
      <c r="B1571" s="1928" t="str">
        <f>报表附注!E1773</f>
        <v>抵押借款</v>
      </c>
      <c r="C1571" s="1936">
        <f>报表附注!G1773</f>
        <v>0</v>
      </c>
      <c r="D1571" s="1927" t="b">
        <f t="shared" si="27"/>
        <v>1</v>
      </c>
    </row>
    <row r="1572" spans="1:4">
      <c r="A1572" s="1927" t="s">
        <v>986</v>
      </c>
      <c r="B1572" s="1928" t="str">
        <f>报表附注!E1774</f>
        <v>保证借款</v>
      </c>
      <c r="C1572" s="1936">
        <f>报表附注!G1774</f>
        <v>0</v>
      </c>
      <c r="D1572" s="1927" t="b">
        <f t="shared" si="27"/>
        <v>1</v>
      </c>
    </row>
    <row r="1573" spans="1:4">
      <c r="A1573" s="1927" t="s">
        <v>988</v>
      </c>
      <c r="B1573" s="1928" t="str">
        <f>报表附注!E1775</f>
        <v>信用借款</v>
      </c>
      <c r="C1573" s="1936">
        <f>报表附注!G1775</f>
        <v>0</v>
      </c>
      <c r="D1573" s="1927" t="b">
        <f t="shared" si="27"/>
        <v>0</v>
      </c>
    </row>
    <row r="1574" spans="2:4">
      <c r="B1574" s="1928" t="str">
        <f>报表附注!E1776</f>
        <v>抵押加保证借款</v>
      </c>
      <c r="C1574" s="1936">
        <f>报表附注!G1776</f>
        <v>0</v>
      </c>
      <c r="D1574" s="1927" t="b">
        <f t="shared" si="27"/>
        <v>0</v>
      </c>
    </row>
    <row r="1575" spans="2:4">
      <c r="B1575" s="1928" t="str">
        <f>报表附注!E1777</f>
        <v>抵押加质押借款</v>
      </c>
      <c r="C1575" s="1936">
        <f>报表附注!G1777</f>
        <v>0</v>
      </c>
      <c r="D1575" s="1927" t="b">
        <f t="shared" si="27"/>
        <v>0</v>
      </c>
    </row>
    <row r="1576" spans="1:4">
      <c r="A1576" s="1927" t="s">
        <v>1762</v>
      </c>
      <c r="B1576" s="1939" t="str">
        <f>报表附注!E1778</f>
        <v>合   计</v>
      </c>
      <c r="C1576" s="1936">
        <f>报表附注!G1778</f>
        <v>0</v>
      </c>
      <c r="D1576" s="1927" t="b">
        <f t="shared" si="27"/>
        <v>1</v>
      </c>
    </row>
    <row r="1577" spans="4:4">
      <c r="D1577" s="1927" t="b">
        <f t="shared" si="27"/>
        <v>1</v>
      </c>
    </row>
    <row r="1578" spans="1:4">
      <c r="A1578" s="1927" t="s">
        <v>1763</v>
      </c>
      <c r="B1578" s="1945" t="s">
        <v>1763</v>
      </c>
      <c r="D1578" s="1927" t="b">
        <f t="shared" si="27"/>
        <v>1</v>
      </c>
    </row>
    <row r="1579" spans="1:4">
      <c r="A1579" s="1927" t="s">
        <v>373</v>
      </c>
      <c r="B1579" s="1948" t="s">
        <v>373</v>
      </c>
      <c r="D1579" s="1927" t="b">
        <f t="shared" si="27"/>
        <v>1</v>
      </c>
    </row>
    <row r="1580" spans="1:4">
      <c r="A1580" s="1927" t="s">
        <v>1006</v>
      </c>
      <c r="B1580" s="1928" t="str">
        <f>报表附注!E1798</f>
        <v>发行的交易性债券</v>
      </c>
      <c r="C1580" s="1936">
        <f>报表附注!F1798</f>
        <v>0</v>
      </c>
      <c r="D1580" s="1927" t="b">
        <f t="shared" si="27"/>
        <v>1</v>
      </c>
    </row>
    <row r="1581" spans="1:4">
      <c r="A1581" s="1927" t="s">
        <v>1008</v>
      </c>
      <c r="B1581" s="1928" t="str">
        <f>报表附注!E1799</f>
        <v>指定为以公允价值计量且其变动计入当期损益的金融负债</v>
      </c>
      <c r="C1581" s="1936">
        <f>报表附注!F1799</f>
        <v>0</v>
      </c>
      <c r="D1581" s="1927" t="b">
        <f t="shared" si="27"/>
        <v>1</v>
      </c>
    </row>
    <row r="1582" spans="1:4">
      <c r="A1582" s="1927" t="s">
        <v>1010</v>
      </c>
      <c r="B1582" s="1928" t="str">
        <f>报表附注!E1800</f>
        <v>衍生金融负债</v>
      </c>
      <c r="C1582" s="1936">
        <f>报表附注!F1800</f>
        <v>0</v>
      </c>
      <c r="D1582" s="1927" t="b">
        <f t="shared" si="27"/>
        <v>1</v>
      </c>
    </row>
    <row r="1583" spans="1:4">
      <c r="A1583" s="1927" t="s">
        <v>279</v>
      </c>
      <c r="B1583" s="1928" t="str">
        <f>报表附注!E1801</f>
        <v>其他</v>
      </c>
      <c r="C1583" s="1936">
        <f>报表附注!F1801</f>
        <v>0</v>
      </c>
      <c r="D1583" s="1927" t="b">
        <f t="shared" si="27"/>
        <v>1</v>
      </c>
    </row>
    <row r="1584" spans="1:4">
      <c r="A1584" s="1927" t="s">
        <v>346</v>
      </c>
      <c r="B1584" s="1939" t="str">
        <f>报表附注!E1802</f>
        <v>合 计</v>
      </c>
      <c r="C1584" s="1936">
        <f>报表附注!F1802</f>
        <v>0</v>
      </c>
      <c r="D1584" s="1927" t="b">
        <f t="shared" si="27"/>
        <v>1</v>
      </c>
    </row>
    <row r="1585" spans="1:4">
      <c r="A1585" s="1927" t="s">
        <v>1570</v>
      </c>
      <c r="B1585" s="1948" t="s">
        <v>1570</v>
      </c>
      <c r="D1585" s="1927" t="b">
        <f t="shared" si="27"/>
        <v>1</v>
      </c>
    </row>
    <row r="1586" spans="1:4">
      <c r="A1586" s="1927" t="s">
        <v>1006</v>
      </c>
      <c r="B1586" s="1928" t="str">
        <f>报表附注!E1798</f>
        <v>发行的交易性债券</v>
      </c>
      <c r="C1586" s="1936">
        <f>报表附注!G1798</f>
        <v>0</v>
      </c>
      <c r="D1586" s="1927" t="b">
        <f t="shared" si="27"/>
        <v>1</v>
      </c>
    </row>
    <row r="1587" spans="1:4">
      <c r="A1587" s="1927" t="s">
        <v>1008</v>
      </c>
      <c r="B1587" s="1928" t="str">
        <f>报表附注!E1799</f>
        <v>指定为以公允价值计量且其变动计入当期损益的金融负债</v>
      </c>
      <c r="C1587" s="1936">
        <f>报表附注!G1799</f>
        <v>0</v>
      </c>
      <c r="D1587" s="1927" t="b">
        <f t="shared" si="27"/>
        <v>1</v>
      </c>
    </row>
    <row r="1588" spans="1:4">
      <c r="A1588" s="1927" t="s">
        <v>1010</v>
      </c>
      <c r="B1588" s="1928" t="str">
        <f>报表附注!E1800</f>
        <v>衍生金融负债</v>
      </c>
      <c r="C1588" s="1936">
        <f>报表附注!G1800</f>
        <v>0</v>
      </c>
      <c r="D1588" s="1927" t="b">
        <f t="shared" si="27"/>
        <v>1</v>
      </c>
    </row>
    <row r="1589" spans="1:4">
      <c r="A1589" s="1927" t="s">
        <v>279</v>
      </c>
      <c r="B1589" s="1928" t="str">
        <f>报表附注!E1801</f>
        <v>其他</v>
      </c>
      <c r="C1589" s="1936">
        <f>报表附注!G1801</f>
        <v>0</v>
      </c>
      <c r="D1589" s="1927" t="b">
        <f t="shared" si="27"/>
        <v>1</v>
      </c>
    </row>
    <row r="1590" spans="1:4">
      <c r="A1590" s="1927" t="s">
        <v>346</v>
      </c>
      <c r="B1590" s="1939" t="str">
        <f>报表附注!E1802</f>
        <v>合 计</v>
      </c>
      <c r="C1590" s="1936">
        <f>报表附注!G1802</f>
        <v>0</v>
      </c>
      <c r="D1590" s="1927" t="b">
        <f t="shared" si="27"/>
        <v>1</v>
      </c>
    </row>
    <row r="1591" spans="4:4">
      <c r="D1591" s="1927" t="b">
        <f t="shared" si="27"/>
        <v>1</v>
      </c>
    </row>
    <row r="1592" spans="1:4">
      <c r="A1592" s="1927" t="s">
        <v>1764</v>
      </c>
      <c r="B1592" s="1945" t="s">
        <v>1764</v>
      </c>
      <c r="D1592" s="1927" t="b">
        <f t="shared" si="27"/>
        <v>1</v>
      </c>
    </row>
    <row r="1593" spans="1:4">
      <c r="A1593" s="1927" t="s">
        <v>315</v>
      </c>
      <c r="B1593" s="1948" t="s">
        <v>315</v>
      </c>
      <c r="D1593" s="1927" t="b">
        <f t="shared" si="27"/>
        <v>1</v>
      </c>
    </row>
    <row r="1594" spans="1:4">
      <c r="A1594" s="1927" t="s">
        <v>391</v>
      </c>
      <c r="B1594" s="1928" t="str">
        <f>报表附注!E1811</f>
        <v>银行承兑汇票</v>
      </c>
      <c r="C1594" s="1936">
        <f>报表附注!F1811</f>
        <v>0</v>
      </c>
      <c r="D1594" s="1927" t="b">
        <f t="shared" si="27"/>
        <v>1</v>
      </c>
    </row>
    <row r="1595" spans="1:4">
      <c r="A1595" s="1927" t="s">
        <v>393</v>
      </c>
      <c r="B1595" s="1928" t="str">
        <f>报表附注!E1812</f>
        <v>商业承兑汇票</v>
      </c>
      <c r="C1595" s="1936">
        <f>报表附注!F1812</f>
        <v>0</v>
      </c>
      <c r="D1595" s="1927" t="b">
        <f t="shared" si="27"/>
        <v>1</v>
      </c>
    </row>
    <row r="1596" spans="1:4">
      <c r="A1596" s="1927" t="s">
        <v>1765</v>
      </c>
      <c r="B1596" s="1928" t="str">
        <f>报表附注!E1813</f>
        <v>信用证</v>
      </c>
      <c r="C1596" s="1936">
        <f>报表附注!F1813</f>
        <v>0</v>
      </c>
      <c r="D1596" s="1927" t="b">
        <f t="shared" si="27"/>
        <v>1</v>
      </c>
    </row>
    <row r="1597" spans="1:4">
      <c r="A1597" s="1927" t="s">
        <v>1766</v>
      </c>
      <c r="B1597" s="1928" t="str">
        <f>报表附注!E1814</f>
        <v>远期支票</v>
      </c>
      <c r="C1597" s="1936">
        <f>报表附注!F1814</f>
        <v>0</v>
      </c>
      <c r="D1597" s="1927" t="b">
        <f t="shared" si="27"/>
        <v>1</v>
      </c>
    </row>
    <row r="1598" spans="1:4">
      <c r="A1598" s="1927" t="s">
        <v>279</v>
      </c>
      <c r="B1598" s="1928" t="str">
        <f>报表附注!E1815</f>
        <v>其他</v>
      </c>
      <c r="C1598" s="1936">
        <f>报表附注!F1815</f>
        <v>0</v>
      </c>
      <c r="D1598" s="1927" t="b">
        <f t="shared" si="27"/>
        <v>1</v>
      </c>
    </row>
    <row r="1599" spans="1:4">
      <c r="A1599" s="1927" t="s">
        <v>1580</v>
      </c>
      <c r="B1599" s="1939" t="str">
        <f>报表附注!E1816</f>
        <v>合计</v>
      </c>
      <c r="C1599" s="1936">
        <f>报表附注!F1816</f>
        <v>0</v>
      </c>
      <c r="D1599" s="1927" t="b">
        <f t="shared" si="27"/>
        <v>1</v>
      </c>
    </row>
    <row r="1600" spans="1:4">
      <c r="A1600" s="1927" t="s">
        <v>1579</v>
      </c>
      <c r="B1600" s="1948" t="s">
        <v>1579</v>
      </c>
      <c r="D1600" s="1927" t="b">
        <f t="shared" si="27"/>
        <v>1</v>
      </c>
    </row>
    <row r="1601" spans="1:4">
      <c r="A1601" s="1927" t="s">
        <v>391</v>
      </c>
      <c r="B1601" s="1928" t="str">
        <f>报表附注!E1811</f>
        <v>银行承兑汇票</v>
      </c>
      <c r="C1601" s="1936">
        <f>报表附注!G1811</f>
        <v>0</v>
      </c>
      <c r="D1601" s="1927" t="b">
        <f t="shared" si="27"/>
        <v>1</v>
      </c>
    </row>
    <row r="1602" spans="1:4">
      <c r="A1602" s="1927" t="s">
        <v>393</v>
      </c>
      <c r="B1602" s="1928" t="str">
        <f>报表附注!E1812</f>
        <v>商业承兑汇票</v>
      </c>
      <c r="C1602" s="1936">
        <f>报表附注!G1812</f>
        <v>0</v>
      </c>
      <c r="D1602" s="1927" t="b">
        <f t="shared" si="27"/>
        <v>1</v>
      </c>
    </row>
    <row r="1603" spans="1:4">
      <c r="A1603" s="1927" t="s">
        <v>1765</v>
      </c>
      <c r="B1603" s="1928" t="str">
        <f>报表附注!E1813</f>
        <v>信用证</v>
      </c>
      <c r="C1603" s="1936">
        <f>报表附注!G1813</f>
        <v>0</v>
      </c>
      <c r="D1603" s="1927" t="b">
        <f t="shared" si="27"/>
        <v>1</v>
      </c>
    </row>
    <row r="1604" spans="1:4">
      <c r="A1604" s="1927" t="s">
        <v>1766</v>
      </c>
      <c r="B1604" s="1928" t="str">
        <f>报表附注!E1814</f>
        <v>远期支票</v>
      </c>
      <c r="C1604" s="1936">
        <f>报表附注!G1814</f>
        <v>0</v>
      </c>
      <c r="D1604" s="1927" t="b">
        <f t="shared" si="27"/>
        <v>1</v>
      </c>
    </row>
    <row r="1605" spans="1:4">
      <c r="A1605" s="1927" t="s">
        <v>279</v>
      </c>
      <c r="B1605" s="1928" t="str">
        <f>报表附注!E1815</f>
        <v>其他</v>
      </c>
      <c r="C1605" s="1936">
        <f>报表附注!G1815</f>
        <v>0</v>
      </c>
      <c r="D1605" s="1927" t="b">
        <f t="shared" si="27"/>
        <v>1</v>
      </c>
    </row>
    <row r="1606" spans="1:4">
      <c r="A1606" s="1927" t="s">
        <v>1580</v>
      </c>
      <c r="B1606" s="1939" t="str">
        <f>报表附注!E1816</f>
        <v>合计</v>
      </c>
      <c r="C1606" s="1936">
        <f>报表附注!G1816</f>
        <v>0</v>
      </c>
      <c r="D1606" s="1927" t="b">
        <f t="shared" si="27"/>
        <v>1</v>
      </c>
    </row>
    <row r="1607" spans="4:4">
      <c r="D1607" s="1927" t="b">
        <f t="shared" si="27"/>
        <v>1</v>
      </c>
    </row>
    <row r="1608" spans="1:4">
      <c r="A1608" s="1927" t="s">
        <v>1767</v>
      </c>
      <c r="B1608" s="1945" t="s">
        <v>1767</v>
      </c>
      <c r="D1608" s="1927" t="b">
        <f t="shared" si="27"/>
        <v>1</v>
      </c>
    </row>
    <row r="1609" spans="1:4">
      <c r="A1609" s="1927" t="s">
        <v>315</v>
      </c>
      <c r="B1609" s="1948" t="s">
        <v>315</v>
      </c>
      <c r="D1609" s="1927" t="b">
        <f t="shared" si="27"/>
        <v>1</v>
      </c>
    </row>
    <row r="1610" spans="1:4">
      <c r="A1610" s="1927" t="s">
        <v>1585</v>
      </c>
      <c r="B1610" s="1928" t="str">
        <f>报表附注!E1827</f>
        <v>1年以内（含1年）</v>
      </c>
      <c r="C1610" s="1936">
        <f>报表附注!F1827</f>
        <v>0</v>
      </c>
      <c r="D1610" s="1927" t="b">
        <f t="shared" si="27"/>
        <v>1</v>
      </c>
    </row>
    <row r="1611" spans="1:4">
      <c r="A1611" s="1927" t="s">
        <v>1586</v>
      </c>
      <c r="B1611" s="1928" t="str">
        <f>报表附注!E1828</f>
        <v>1-2年（含2年）</v>
      </c>
      <c r="C1611" s="1936">
        <f>报表附注!F1828</f>
        <v>0</v>
      </c>
      <c r="D1611" s="1927" t="b">
        <f t="shared" si="27"/>
        <v>1</v>
      </c>
    </row>
    <row r="1612" spans="1:4">
      <c r="A1612" s="1927" t="s">
        <v>1587</v>
      </c>
      <c r="B1612" s="1928" t="str">
        <f>报表附注!E1829</f>
        <v>2-3年（含3年）</v>
      </c>
      <c r="C1612" s="1936">
        <f>报表附注!F1829</f>
        <v>0</v>
      </c>
      <c r="D1612" s="1927" t="b">
        <f t="shared" si="27"/>
        <v>1</v>
      </c>
    </row>
    <row r="1613" spans="1:4">
      <c r="A1613" s="1927" t="s">
        <v>1588</v>
      </c>
      <c r="B1613" s="1928" t="str">
        <f>报表附注!E1830</f>
        <v>3-4年（含4年）</v>
      </c>
      <c r="C1613" s="1936">
        <f>报表附注!F1830</f>
        <v>0</v>
      </c>
      <c r="D1613" s="1927" t="b">
        <f t="shared" si="27"/>
        <v>1</v>
      </c>
    </row>
    <row r="1614" spans="1:4">
      <c r="A1614" s="1927" t="s">
        <v>1589</v>
      </c>
      <c r="B1614" s="1928" t="str">
        <f>报表附注!E1831</f>
        <v>4-5年（含5年）</v>
      </c>
      <c r="C1614" s="1936">
        <f>报表附注!F1831</f>
        <v>0</v>
      </c>
      <c r="D1614" s="1927" t="b">
        <f t="shared" si="27"/>
        <v>1</v>
      </c>
    </row>
    <row r="1615" spans="1:4">
      <c r="A1615" s="1927" t="s">
        <v>1590</v>
      </c>
      <c r="B1615" s="1928" t="str">
        <f>报表附注!E1832</f>
        <v>5年以上</v>
      </c>
      <c r="C1615" s="1936">
        <f>报表附注!F1832</f>
        <v>0</v>
      </c>
      <c r="D1615" s="1927" t="b">
        <f t="shared" si="27"/>
        <v>1</v>
      </c>
    </row>
    <row r="1616" spans="1:4">
      <c r="A1616" s="1927" t="s">
        <v>1580</v>
      </c>
      <c r="B1616" s="1939" t="str">
        <f>报表附注!E1833</f>
        <v>合计</v>
      </c>
      <c r="C1616" s="1936">
        <f>报表附注!F1833</f>
        <v>0</v>
      </c>
      <c r="D1616" s="1927" t="b">
        <f t="shared" si="27"/>
        <v>1</v>
      </c>
    </row>
    <row r="1617" spans="1:4">
      <c r="A1617" s="1927" t="s">
        <v>1579</v>
      </c>
      <c r="B1617" s="1948" t="s">
        <v>1579</v>
      </c>
      <c r="D1617" s="1927" t="b">
        <f t="shared" si="27"/>
        <v>1</v>
      </c>
    </row>
    <row r="1618" spans="1:4">
      <c r="A1618" s="1927" t="s">
        <v>1585</v>
      </c>
      <c r="B1618" s="1928" t="str">
        <f>报表附注!E1827</f>
        <v>1年以内（含1年）</v>
      </c>
      <c r="C1618" s="1936">
        <f>报表附注!G1827</f>
        <v>0</v>
      </c>
      <c r="D1618" s="1927" t="b">
        <f t="shared" si="27"/>
        <v>1</v>
      </c>
    </row>
    <row r="1619" spans="1:4">
      <c r="A1619" s="1927" t="s">
        <v>1586</v>
      </c>
      <c r="B1619" s="1928" t="str">
        <f>报表附注!E1828</f>
        <v>1-2年（含2年）</v>
      </c>
      <c r="C1619" s="1936">
        <f>报表附注!G1828</f>
        <v>0</v>
      </c>
      <c r="D1619" s="1927" t="b">
        <f t="shared" si="27"/>
        <v>1</v>
      </c>
    </row>
    <row r="1620" spans="1:4">
      <c r="A1620" s="1927" t="s">
        <v>1587</v>
      </c>
      <c r="B1620" s="1928" t="str">
        <f>报表附注!E1829</f>
        <v>2-3年（含3年）</v>
      </c>
      <c r="C1620" s="1936">
        <f>报表附注!G1829</f>
        <v>0</v>
      </c>
      <c r="D1620" s="1927" t="b">
        <f t="shared" si="27"/>
        <v>1</v>
      </c>
    </row>
    <row r="1621" spans="1:4">
      <c r="A1621" s="1927" t="s">
        <v>1588</v>
      </c>
      <c r="B1621" s="1928" t="str">
        <f>报表附注!E1830</f>
        <v>3-4年（含4年）</v>
      </c>
      <c r="C1621" s="1936">
        <f>报表附注!G1830</f>
        <v>0</v>
      </c>
      <c r="D1621" s="1927" t="b">
        <f t="shared" si="27"/>
        <v>1</v>
      </c>
    </row>
    <row r="1622" spans="1:4">
      <c r="A1622" s="1927" t="s">
        <v>1589</v>
      </c>
      <c r="B1622" s="1928" t="str">
        <f>报表附注!E1831</f>
        <v>4-5年（含5年）</v>
      </c>
      <c r="C1622" s="1936">
        <f>报表附注!G1831</f>
        <v>0</v>
      </c>
      <c r="D1622" s="1927" t="b">
        <f t="shared" ref="D1622:D1705" si="28">EXACT(A1622,B1622)</f>
        <v>1</v>
      </c>
    </row>
    <row r="1623" spans="1:4">
      <c r="A1623" s="1927" t="s">
        <v>1590</v>
      </c>
      <c r="B1623" s="1928" t="str">
        <f>报表附注!E1832</f>
        <v>5年以上</v>
      </c>
      <c r="C1623" s="1936">
        <f>报表附注!G1832</f>
        <v>0</v>
      </c>
      <c r="D1623" s="1927" t="b">
        <f t="shared" si="28"/>
        <v>1</v>
      </c>
    </row>
    <row r="1624" spans="1:4">
      <c r="A1624" s="1927" t="s">
        <v>1580</v>
      </c>
      <c r="B1624" s="1939" t="str">
        <f>报表附注!E1833</f>
        <v>合计</v>
      </c>
      <c r="C1624" s="1936">
        <f>报表附注!G1833</f>
        <v>0</v>
      </c>
      <c r="D1624" s="1927" t="b">
        <f t="shared" si="28"/>
        <v>1</v>
      </c>
    </row>
    <row r="1625" spans="4:4">
      <c r="D1625" s="1927" t="b">
        <f t="shared" si="28"/>
        <v>1</v>
      </c>
    </row>
    <row r="1626" spans="1:4">
      <c r="A1626" s="1927" t="s">
        <v>1768</v>
      </c>
      <c r="B1626" s="1945" t="s">
        <v>1768</v>
      </c>
      <c r="D1626" s="1927" t="b">
        <f t="shared" si="28"/>
        <v>1</v>
      </c>
    </row>
    <row r="1627" spans="1:4">
      <c r="A1627" s="1927" t="s">
        <v>315</v>
      </c>
      <c r="B1627" s="1948" t="s">
        <v>315</v>
      </c>
      <c r="D1627" s="1927" t="b">
        <f t="shared" si="28"/>
        <v>1</v>
      </c>
    </row>
    <row r="1628" spans="1:4">
      <c r="A1628" s="1927" t="s">
        <v>1600</v>
      </c>
      <c r="B1628" s="1928" t="str">
        <f>报表附注!E1893</f>
        <v>1年以内(含1年)</v>
      </c>
      <c r="C1628" s="1936">
        <f>报表附注!F1893</f>
        <v>0</v>
      </c>
      <c r="D1628" s="1927" t="b">
        <f t="shared" si="28"/>
        <v>1</v>
      </c>
    </row>
    <row r="1629" spans="1:4">
      <c r="A1629" s="1927" t="s">
        <v>1601</v>
      </c>
      <c r="B1629" s="1928" t="str">
        <f>报表附注!E1894</f>
        <v>1-2年(含2年)</v>
      </c>
      <c r="C1629" s="1936">
        <f>报表附注!F1894</f>
        <v>0</v>
      </c>
      <c r="D1629" s="1927" t="b">
        <f t="shared" si="28"/>
        <v>1</v>
      </c>
    </row>
    <row r="1630" spans="1:4">
      <c r="A1630" s="1927" t="s">
        <v>1602</v>
      </c>
      <c r="B1630" s="1928" t="str">
        <f>报表附注!E1895</f>
        <v>2-3年(含3年)</v>
      </c>
      <c r="C1630" s="1936">
        <f>报表附注!F1895</f>
        <v>0</v>
      </c>
      <c r="D1630" s="1927" t="b">
        <f t="shared" si="28"/>
        <v>1</v>
      </c>
    </row>
    <row r="1631" spans="1:4">
      <c r="A1631" s="1927" t="s">
        <v>1603</v>
      </c>
      <c r="B1631" s="1928" t="str">
        <f>报表附注!E1896</f>
        <v>3年以上 </v>
      </c>
      <c r="C1631" s="1936">
        <f>报表附注!F1896</f>
        <v>0</v>
      </c>
      <c r="D1631" s="1927" t="b">
        <f t="shared" si="28"/>
        <v>1</v>
      </c>
    </row>
    <row r="1632" spans="1:4">
      <c r="A1632" s="1927" t="s">
        <v>1580</v>
      </c>
      <c r="B1632" s="1939" t="str">
        <f>报表附注!E1897</f>
        <v>合计</v>
      </c>
      <c r="C1632" s="1936">
        <f>报表附注!F1897</f>
        <v>0</v>
      </c>
      <c r="D1632" s="1927" t="b">
        <f t="shared" si="28"/>
        <v>1</v>
      </c>
    </row>
    <row r="1633" spans="1:4">
      <c r="A1633" s="1927" t="s">
        <v>1579</v>
      </c>
      <c r="B1633" s="1948" t="s">
        <v>1579</v>
      </c>
      <c r="D1633" s="1927" t="b">
        <f t="shared" si="28"/>
        <v>1</v>
      </c>
    </row>
    <row r="1634" spans="1:4">
      <c r="A1634" s="1927" t="s">
        <v>1600</v>
      </c>
      <c r="B1634" s="1928" t="str">
        <f>报表附注!E1893</f>
        <v>1年以内(含1年)</v>
      </c>
      <c r="C1634" s="1936">
        <f>报表附注!G1893</f>
        <v>0</v>
      </c>
      <c r="D1634" s="1927" t="b">
        <f t="shared" si="28"/>
        <v>1</v>
      </c>
    </row>
    <row r="1635" spans="1:4">
      <c r="A1635" s="1927" t="s">
        <v>1601</v>
      </c>
      <c r="B1635" s="1928" t="str">
        <f>报表附注!E1894</f>
        <v>1-2年(含2年)</v>
      </c>
      <c r="C1635" s="1936">
        <f>报表附注!G1894</f>
        <v>0</v>
      </c>
      <c r="D1635" s="1927" t="b">
        <f t="shared" si="28"/>
        <v>1</v>
      </c>
    </row>
    <row r="1636" spans="1:4">
      <c r="A1636" s="1927" t="s">
        <v>1602</v>
      </c>
      <c r="B1636" s="1928" t="str">
        <f>报表附注!E1895</f>
        <v>2-3年(含3年)</v>
      </c>
      <c r="C1636" s="1936">
        <f>报表附注!G1895</f>
        <v>0</v>
      </c>
      <c r="D1636" s="1927" t="b">
        <f t="shared" si="28"/>
        <v>1</v>
      </c>
    </row>
    <row r="1637" spans="1:4">
      <c r="A1637" s="1927" t="s">
        <v>1603</v>
      </c>
      <c r="B1637" s="1928" t="str">
        <f>报表附注!E1896</f>
        <v>3年以上 </v>
      </c>
      <c r="C1637" s="1936">
        <f>报表附注!G1896</f>
        <v>0</v>
      </c>
      <c r="D1637" s="1927" t="b">
        <f t="shared" si="28"/>
        <v>1</v>
      </c>
    </row>
    <row r="1638" spans="1:4">
      <c r="A1638" s="1927" t="s">
        <v>1580</v>
      </c>
      <c r="B1638" s="1939" t="str">
        <f>报表附注!E1897</f>
        <v>合计</v>
      </c>
      <c r="C1638" s="1936">
        <f>报表附注!G1897</f>
        <v>0</v>
      </c>
      <c r="D1638" s="1927" t="b">
        <f t="shared" si="28"/>
        <v>1</v>
      </c>
    </row>
    <row r="1639" spans="4:4">
      <c r="D1639" s="1927" t="b">
        <f t="shared" si="28"/>
        <v>1</v>
      </c>
    </row>
    <row r="1640" spans="1:4">
      <c r="A1640" s="1927" t="s">
        <v>1769</v>
      </c>
      <c r="B1640" s="1945" t="s">
        <v>1769</v>
      </c>
      <c r="D1640" s="1927" t="b">
        <f t="shared" si="28"/>
        <v>1</v>
      </c>
    </row>
    <row r="1641" spans="1:4">
      <c r="A1641" s="1927" t="s">
        <v>1579</v>
      </c>
      <c r="B1641" s="1948" t="s">
        <v>1579</v>
      </c>
      <c r="D1641" s="1927" t="b">
        <f t="shared" si="28"/>
        <v>1</v>
      </c>
    </row>
    <row r="1642" spans="1:4">
      <c r="A1642" s="1927" t="s">
        <v>1052</v>
      </c>
      <c r="B1642" s="1928" t="str">
        <f>报表附注!E1954</f>
        <v>一、短期薪酬</v>
      </c>
      <c r="C1642" s="1936">
        <f>报表附注!F1954</f>
        <v>0</v>
      </c>
      <c r="D1642" s="1927" t="b">
        <f t="shared" si="28"/>
        <v>0</v>
      </c>
    </row>
    <row r="1643" spans="1:4">
      <c r="A1643" s="1927" t="s">
        <v>1054</v>
      </c>
      <c r="B1643" s="1928" t="str">
        <f>报表附注!E1955</f>
        <v>    1、工资、奖金、津贴和补贴</v>
      </c>
      <c r="C1643" s="1936">
        <f>报表附注!F1955</f>
        <v>0</v>
      </c>
      <c r="D1643" s="1927" t="b">
        <f t="shared" si="28"/>
        <v>0</v>
      </c>
    </row>
    <row r="1644" spans="1:4">
      <c r="A1644" s="1927" t="s">
        <v>1056</v>
      </c>
      <c r="B1644" s="1928" t="str">
        <f>报表附注!E1956</f>
        <v>    2、职工福利费</v>
      </c>
      <c r="C1644" s="1936">
        <f>报表附注!F1956</f>
        <v>0</v>
      </c>
      <c r="D1644" s="1927" t="b">
        <f t="shared" si="28"/>
        <v>0</v>
      </c>
    </row>
    <row r="1645" spans="1:4">
      <c r="A1645" s="1927" t="s">
        <v>1770</v>
      </c>
      <c r="B1645" s="1928" t="str">
        <f>报表附注!E1957</f>
        <v>    3、社会保险费</v>
      </c>
      <c r="C1645" s="1936">
        <f>报表附注!F1957</f>
        <v>0</v>
      </c>
      <c r="D1645" s="1927" t="b">
        <f t="shared" si="28"/>
        <v>0</v>
      </c>
    </row>
    <row r="1646" spans="1:4">
      <c r="A1646" s="1927" t="s">
        <v>1771</v>
      </c>
      <c r="B1646" s="1928" t="str">
        <f>报表附注!E1958</f>
        <v>     （1）医疗保险费</v>
      </c>
      <c r="C1646" s="1936">
        <f>报表附注!F1958</f>
        <v>0</v>
      </c>
      <c r="D1646" s="1927" t="b">
        <f t="shared" si="28"/>
        <v>0</v>
      </c>
    </row>
    <row r="1647" spans="1:4">
      <c r="A1647" s="1927" t="s">
        <v>1772</v>
      </c>
      <c r="B1647" s="1928" t="str">
        <f>报表附注!E1959</f>
        <v>     （2）工伤保险费</v>
      </c>
      <c r="C1647" s="1936">
        <f>报表附注!F1959</f>
        <v>0</v>
      </c>
      <c r="D1647" s="1927" t="b">
        <f t="shared" si="28"/>
        <v>0</v>
      </c>
    </row>
    <row r="1648" spans="1:4">
      <c r="A1648" s="1927" t="s">
        <v>1773</v>
      </c>
      <c r="B1648" s="1928" t="str">
        <f>报表附注!E1960</f>
        <v>     （3）生育保险费</v>
      </c>
      <c r="C1648" s="1936">
        <f>报表附注!F1960</f>
        <v>0</v>
      </c>
      <c r="D1648" s="1927" t="b">
        <f t="shared" si="28"/>
        <v>0</v>
      </c>
    </row>
    <row r="1649" spans="1:4">
      <c r="A1649" s="1927" t="s">
        <v>1774</v>
      </c>
      <c r="B1649" s="1928" t="str">
        <f>报表附注!E1961</f>
        <v>    4、住房公积金</v>
      </c>
      <c r="C1649" s="1936">
        <f>报表附注!F1961</f>
        <v>0</v>
      </c>
      <c r="D1649" s="1927" t="b">
        <f t="shared" si="28"/>
        <v>0</v>
      </c>
    </row>
    <row r="1650" spans="1:4">
      <c r="A1650" s="1927" t="s">
        <v>1775</v>
      </c>
      <c r="B1650" s="1928" t="str">
        <f>报表附注!E1962</f>
        <v>    5、工会经费和职工教育经费</v>
      </c>
      <c r="C1650" s="1936">
        <f>报表附注!F1962</f>
        <v>0</v>
      </c>
      <c r="D1650" s="1927" t="b">
        <f t="shared" si="28"/>
        <v>0</v>
      </c>
    </row>
    <row r="1651" spans="1:4">
      <c r="A1651" s="1927" t="s">
        <v>1070</v>
      </c>
      <c r="B1651" s="1928" t="str">
        <f>报表附注!E1963</f>
        <v>    6、短期带薪缺勤</v>
      </c>
      <c r="C1651" s="1936">
        <f>报表附注!F1963</f>
        <v>0</v>
      </c>
      <c r="D1651" s="1927" t="b">
        <f t="shared" si="28"/>
        <v>0</v>
      </c>
    </row>
    <row r="1652" spans="1:4">
      <c r="A1652" s="1927" t="s">
        <v>1776</v>
      </c>
      <c r="B1652" s="1928" t="str">
        <f>报表附注!E1964</f>
        <v>    7、短期利润分享计划</v>
      </c>
      <c r="C1652" s="1936">
        <f>报表附注!F1964</f>
        <v>0</v>
      </c>
      <c r="D1652" s="1927" t="b">
        <f t="shared" si="28"/>
        <v>0</v>
      </c>
    </row>
    <row r="1653" spans="1:4">
      <c r="A1653" s="1927" t="s">
        <v>1777</v>
      </c>
      <c r="B1653" s="1928" t="str">
        <f>报表附注!E1965</f>
        <v>    8、其他短期薪酬</v>
      </c>
      <c r="C1653" s="1936">
        <f>报表附注!F1965</f>
        <v>0</v>
      </c>
      <c r="D1653" s="1927" t="b">
        <f t="shared" si="28"/>
        <v>0</v>
      </c>
    </row>
    <row r="1654" spans="1:4">
      <c r="A1654" s="1927" t="s">
        <v>1778</v>
      </c>
      <c r="B1654" s="1928">
        <f>报表附注!E1966</f>
        <v>0</v>
      </c>
      <c r="C1654" s="1936">
        <f>报表附注!F1966</f>
        <v>0</v>
      </c>
      <c r="D1654" s="1927" t="b">
        <f t="shared" si="28"/>
        <v>0</v>
      </c>
    </row>
    <row r="1655" spans="1:4">
      <c r="A1655" s="1927" t="s">
        <v>1779</v>
      </c>
      <c r="B1655" s="1928" t="str">
        <f>报表附注!E1967</f>
        <v>二、离职后福利-设定提存计划</v>
      </c>
      <c r="C1655" s="1936">
        <f>报表附注!F1967</f>
        <v>0</v>
      </c>
      <c r="D1655" s="1927" t="b">
        <f t="shared" si="28"/>
        <v>0</v>
      </c>
    </row>
    <row r="1656" spans="1:4">
      <c r="A1656" s="1927" t="s">
        <v>1780</v>
      </c>
      <c r="B1656" s="1928" t="str">
        <f>报表附注!E1968</f>
        <v>  1、基本养老保险</v>
      </c>
      <c r="C1656" s="1936">
        <f>报表附注!F1968</f>
        <v>0</v>
      </c>
      <c r="D1656" s="1927" t="b">
        <f t="shared" si="28"/>
        <v>0</v>
      </c>
    </row>
    <row r="1657" spans="1:4">
      <c r="A1657" s="1927" t="s">
        <v>1781</v>
      </c>
      <c r="B1657" s="1928" t="str">
        <f>报表附注!E1969</f>
        <v>    2、失业保险费</v>
      </c>
      <c r="C1657" s="1936">
        <f>报表附注!F1969</f>
        <v>0</v>
      </c>
      <c r="D1657" s="1927" t="b">
        <f t="shared" si="28"/>
        <v>0</v>
      </c>
    </row>
    <row r="1658" spans="2:4">
      <c r="B1658" s="1928" t="str">
        <f>报表附注!E1970</f>
        <v>    3、企业年金缴费</v>
      </c>
      <c r="C1658" s="1936">
        <f>报表附注!F1970</f>
        <v>0</v>
      </c>
      <c r="D1658" s="1927" t="b">
        <f t="shared" si="28"/>
        <v>0</v>
      </c>
    </row>
    <row r="1659" spans="2:4">
      <c r="B1659" s="1928" t="str">
        <f>报表附注!E1971</f>
        <v>    4、其他</v>
      </c>
      <c r="C1659" s="1936">
        <f>报表附注!F1971</f>
        <v>0</v>
      </c>
      <c r="D1659" s="1927" t="b">
        <f t="shared" si="28"/>
        <v>0</v>
      </c>
    </row>
    <row r="1660" spans="2:4">
      <c r="B1660" s="1928">
        <f>报表附注!E1972</f>
        <v>0</v>
      </c>
      <c r="C1660" s="1936">
        <f>报表附注!F1972</f>
        <v>0</v>
      </c>
      <c r="D1660" s="1927" t="b">
        <f t="shared" si="28"/>
        <v>0</v>
      </c>
    </row>
    <row r="1661" spans="2:4">
      <c r="B1661" s="1928" t="str">
        <f>报表附注!E1973</f>
        <v>三、辞退福利</v>
      </c>
      <c r="C1661" s="1936">
        <f>报表附注!F1973</f>
        <v>0</v>
      </c>
      <c r="D1661" s="1927" t="b">
        <f t="shared" si="28"/>
        <v>0</v>
      </c>
    </row>
    <row r="1662" spans="2:4">
      <c r="B1662" s="1928" t="str">
        <f>报表附注!E1974</f>
        <v>    1、因解除劳动关系给予的补偿</v>
      </c>
      <c r="C1662" s="1936">
        <f>报表附注!F1974</f>
        <v>0</v>
      </c>
      <c r="D1662" s="1927" t="b">
        <f t="shared" ref="D1662:D1667" si="29">EXACT(A1662,B1662)</f>
        <v>0</v>
      </c>
    </row>
    <row r="1663" spans="2:4">
      <c r="B1663" s="1928" t="str">
        <f>报表附注!E1975</f>
        <v>    2、其他</v>
      </c>
      <c r="C1663" s="1936">
        <f>报表附注!F1975</f>
        <v>0</v>
      </c>
      <c r="D1663" s="1927" t="b">
        <f t="shared" si="29"/>
        <v>0</v>
      </c>
    </row>
    <row r="1664" spans="2:4">
      <c r="B1664" s="1928">
        <f>报表附注!E1976</f>
        <v>0</v>
      </c>
      <c r="C1664" s="1936">
        <f>报表附注!F1976</f>
        <v>0</v>
      </c>
      <c r="D1664" s="1927" t="b">
        <f t="shared" si="29"/>
        <v>0</v>
      </c>
    </row>
    <row r="1665" spans="2:4">
      <c r="B1665" s="1928" t="str">
        <f>报表附注!E1977</f>
        <v>四、一年内到期的其他福利</v>
      </c>
      <c r="C1665" s="1936">
        <f>报表附注!F1977</f>
        <v>0</v>
      </c>
      <c r="D1665" s="1927" t="b">
        <f t="shared" si="29"/>
        <v>0</v>
      </c>
    </row>
    <row r="1666" spans="2:4">
      <c r="B1666" s="1928" t="str">
        <f>报表附注!E1978</f>
        <v>    1、项目1</v>
      </c>
      <c r="C1666" s="1936">
        <f>报表附注!F1978</f>
        <v>0</v>
      </c>
      <c r="D1666" s="1927" t="b">
        <f t="shared" si="29"/>
        <v>0</v>
      </c>
    </row>
    <row r="1667" spans="2:4">
      <c r="B1667" s="1928" t="str">
        <f>报表附注!E1979</f>
        <v>    2、项目2</v>
      </c>
      <c r="C1667" s="1936">
        <f>报表附注!F1979</f>
        <v>0</v>
      </c>
      <c r="D1667" s="1927" t="b">
        <f t="shared" si="29"/>
        <v>0</v>
      </c>
    </row>
    <row r="1668" spans="1:4">
      <c r="A1668" s="1927" t="s">
        <v>1206</v>
      </c>
      <c r="B1668" s="1939" t="str">
        <f>报表附注!E1980</f>
        <v>合  计</v>
      </c>
      <c r="C1668" s="1936">
        <f>报表附注!F1980</f>
        <v>0</v>
      </c>
      <c r="D1668" s="1927" t="b">
        <f t="shared" si="28"/>
        <v>1</v>
      </c>
    </row>
    <row r="1669" spans="1:4">
      <c r="A1669" s="1927" t="s">
        <v>671</v>
      </c>
      <c r="B1669" s="1948" t="s">
        <v>671</v>
      </c>
      <c r="D1669" s="1927" t="b">
        <f t="shared" si="28"/>
        <v>1</v>
      </c>
    </row>
    <row r="1670" spans="1:4">
      <c r="A1670" s="1927" t="s">
        <v>1052</v>
      </c>
      <c r="B1670" s="1928" t="str">
        <f>报表附注!E1954</f>
        <v>一、短期薪酬</v>
      </c>
      <c r="C1670" s="1936">
        <f>报表附注!G1954</f>
        <v>0</v>
      </c>
      <c r="D1670" s="1927" t="b">
        <f t="shared" si="28"/>
        <v>0</v>
      </c>
    </row>
    <row r="1671" spans="1:4">
      <c r="A1671" s="1927" t="s">
        <v>1054</v>
      </c>
      <c r="B1671" s="1928" t="str">
        <f>报表附注!E1955</f>
        <v>    1、工资、奖金、津贴和补贴</v>
      </c>
      <c r="C1671" s="1936">
        <f>报表附注!G1955</f>
        <v>0</v>
      </c>
      <c r="D1671" s="1927" t="b">
        <f t="shared" si="28"/>
        <v>0</v>
      </c>
    </row>
    <row r="1672" spans="1:4">
      <c r="A1672" s="1927" t="s">
        <v>1056</v>
      </c>
      <c r="B1672" s="1928" t="str">
        <f>报表附注!E1956</f>
        <v>    2、职工福利费</v>
      </c>
      <c r="C1672" s="1936">
        <f>报表附注!G1956</f>
        <v>0</v>
      </c>
      <c r="D1672" s="1927" t="b">
        <f t="shared" si="28"/>
        <v>0</v>
      </c>
    </row>
    <row r="1673" spans="1:4">
      <c r="A1673" s="1927" t="s">
        <v>1770</v>
      </c>
      <c r="B1673" s="1928" t="str">
        <f>报表附注!E1957</f>
        <v>    3、社会保险费</v>
      </c>
      <c r="C1673" s="1936">
        <f>报表附注!G1957</f>
        <v>0</v>
      </c>
      <c r="D1673" s="1927" t="b">
        <f t="shared" si="28"/>
        <v>0</v>
      </c>
    </row>
    <row r="1674" spans="1:4">
      <c r="A1674" s="1927" t="s">
        <v>1771</v>
      </c>
      <c r="B1674" s="1928" t="str">
        <f>报表附注!E1958</f>
        <v>     （1）医疗保险费</v>
      </c>
      <c r="C1674" s="1936">
        <f>报表附注!G1958</f>
        <v>0</v>
      </c>
      <c r="D1674" s="1927" t="b">
        <f t="shared" si="28"/>
        <v>0</v>
      </c>
    </row>
    <row r="1675" spans="1:4">
      <c r="A1675" s="1927" t="s">
        <v>1772</v>
      </c>
      <c r="B1675" s="1928" t="str">
        <f>报表附注!E1959</f>
        <v>     （2）工伤保险费</v>
      </c>
      <c r="C1675" s="1936">
        <f>报表附注!G1959</f>
        <v>0</v>
      </c>
      <c r="D1675" s="1927" t="b">
        <f t="shared" si="28"/>
        <v>0</v>
      </c>
    </row>
    <row r="1676" spans="1:4">
      <c r="A1676" s="1927" t="s">
        <v>1773</v>
      </c>
      <c r="B1676" s="1928" t="str">
        <f>报表附注!E1960</f>
        <v>     （3）生育保险费</v>
      </c>
      <c r="C1676" s="1936">
        <f>报表附注!G1960</f>
        <v>0</v>
      </c>
      <c r="D1676" s="1927" t="b">
        <f t="shared" si="28"/>
        <v>0</v>
      </c>
    </row>
    <row r="1677" spans="1:4">
      <c r="A1677" s="1927" t="s">
        <v>1774</v>
      </c>
      <c r="B1677" s="1928" t="str">
        <f>报表附注!E1961</f>
        <v>    4、住房公积金</v>
      </c>
      <c r="C1677" s="1936">
        <f>报表附注!G1961</f>
        <v>0</v>
      </c>
      <c r="D1677" s="1927" t="b">
        <f t="shared" si="28"/>
        <v>0</v>
      </c>
    </row>
    <row r="1678" spans="1:4">
      <c r="A1678" s="1927" t="s">
        <v>1775</v>
      </c>
      <c r="B1678" s="1928" t="str">
        <f>报表附注!E1962</f>
        <v>    5、工会经费和职工教育经费</v>
      </c>
      <c r="C1678" s="1936">
        <f>报表附注!G1962</f>
        <v>0</v>
      </c>
      <c r="D1678" s="1927" t="b">
        <f t="shared" si="28"/>
        <v>0</v>
      </c>
    </row>
    <row r="1679" spans="1:4">
      <c r="A1679" s="1927" t="s">
        <v>1070</v>
      </c>
      <c r="B1679" s="1928" t="str">
        <f>报表附注!E1963</f>
        <v>    6、短期带薪缺勤</v>
      </c>
      <c r="C1679" s="1936">
        <f>报表附注!G1963</f>
        <v>0</v>
      </c>
      <c r="D1679" s="1927" t="b">
        <f t="shared" si="28"/>
        <v>0</v>
      </c>
    </row>
    <row r="1680" spans="1:4">
      <c r="A1680" s="1927" t="s">
        <v>1776</v>
      </c>
      <c r="B1680" s="1928" t="str">
        <f>报表附注!E1964</f>
        <v>    7、短期利润分享计划</v>
      </c>
      <c r="C1680" s="1936">
        <f>报表附注!G1964</f>
        <v>0</v>
      </c>
      <c r="D1680" s="1927" t="b">
        <f t="shared" si="28"/>
        <v>0</v>
      </c>
    </row>
    <row r="1681" spans="1:4">
      <c r="A1681" s="1927" t="s">
        <v>1777</v>
      </c>
      <c r="B1681" s="1928" t="str">
        <f>报表附注!E1965</f>
        <v>    8、其他短期薪酬</v>
      </c>
      <c r="C1681" s="1936">
        <f>报表附注!G1965</f>
        <v>0</v>
      </c>
      <c r="D1681" s="1927" t="b">
        <f t="shared" si="28"/>
        <v>0</v>
      </c>
    </row>
    <row r="1682" spans="1:4">
      <c r="A1682" s="1927" t="s">
        <v>1778</v>
      </c>
      <c r="B1682" s="1928">
        <f>报表附注!E1966</f>
        <v>0</v>
      </c>
      <c r="C1682" s="1936">
        <f>报表附注!G1966</f>
        <v>0</v>
      </c>
      <c r="D1682" s="1927" t="b">
        <f t="shared" si="28"/>
        <v>0</v>
      </c>
    </row>
    <row r="1683" spans="1:4">
      <c r="A1683" s="1927" t="s">
        <v>1779</v>
      </c>
      <c r="B1683" s="1928" t="str">
        <f>报表附注!E1967</f>
        <v>二、离职后福利-设定提存计划</v>
      </c>
      <c r="C1683" s="1936">
        <f>报表附注!G1967</f>
        <v>0</v>
      </c>
      <c r="D1683" s="1927" t="b">
        <f t="shared" si="28"/>
        <v>0</v>
      </c>
    </row>
    <row r="1684" spans="1:4">
      <c r="A1684" s="1927" t="s">
        <v>1780</v>
      </c>
      <c r="B1684" s="1928" t="str">
        <f>报表附注!E1968</f>
        <v>  1、基本养老保险</v>
      </c>
      <c r="C1684" s="1936">
        <f>报表附注!G1968</f>
        <v>0</v>
      </c>
      <c r="D1684" s="1927" t="b">
        <f t="shared" si="28"/>
        <v>0</v>
      </c>
    </row>
    <row r="1685" spans="1:4">
      <c r="A1685" s="1927" t="s">
        <v>1781</v>
      </c>
      <c r="B1685" s="1928" t="str">
        <f>报表附注!E1969</f>
        <v>    2、失业保险费</v>
      </c>
      <c r="C1685" s="1936">
        <f>报表附注!G1969</f>
        <v>0</v>
      </c>
      <c r="D1685" s="1927" t="b">
        <f t="shared" si="28"/>
        <v>0</v>
      </c>
    </row>
    <row r="1686" spans="2:4">
      <c r="B1686" s="1928" t="str">
        <f>报表附注!E1970</f>
        <v>    3、企业年金缴费</v>
      </c>
      <c r="C1686" s="1936">
        <f>报表附注!G1970</f>
        <v>0</v>
      </c>
      <c r="D1686" s="1927" t="b">
        <f t="shared" ref="D1686:D1695" si="30">EXACT(A1686,B1686)</f>
        <v>0</v>
      </c>
    </row>
    <row r="1687" spans="2:4">
      <c r="B1687" s="1928" t="str">
        <f>报表附注!E1971</f>
        <v>    4、其他</v>
      </c>
      <c r="C1687" s="1936">
        <f>报表附注!G1971</f>
        <v>0</v>
      </c>
      <c r="D1687" s="1927" t="b">
        <f t="shared" si="30"/>
        <v>0</v>
      </c>
    </row>
    <row r="1688" spans="2:4">
      <c r="B1688" s="1928">
        <f>报表附注!E1972</f>
        <v>0</v>
      </c>
      <c r="C1688" s="1936">
        <f>报表附注!G1972</f>
        <v>0</v>
      </c>
      <c r="D1688" s="1927" t="b">
        <f t="shared" si="30"/>
        <v>0</v>
      </c>
    </row>
    <row r="1689" spans="2:4">
      <c r="B1689" s="1928" t="str">
        <f>报表附注!E1973</f>
        <v>三、辞退福利</v>
      </c>
      <c r="C1689" s="1936">
        <f>报表附注!G1973</f>
        <v>0</v>
      </c>
      <c r="D1689" s="1927" t="b">
        <f t="shared" si="30"/>
        <v>0</v>
      </c>
    </row>
    <row r="1690" spans="2:4">
      <c r="B1690" s="1928" t="str">
        <f>报表附注!E1974</f>
        <v>    1、因解除劳动关系给予的补偿</v>
      </c>
      <c r="C1690" s="1936">
        <f>报表附注!G1974</f>
        <v>0</v>
      </c>
      <c r="D1690" s="1927" t="b">
        <f t="shared" si="30"/>
        <v>0</v>
      </c>
    </row>
    <row r="1691" spans="2:4">
      <c r="B1691" s="1928" t="str">
        <f>报表附注!E1975</f>
        <v>    2、其他</v>
      </c>
      <c r="C1691" s="1936">
        <f>报表附注!G1975</f>
        <v>0</v>
      </c>
      <c r="D1691" s="1927" t="b">
        <f t="shared" si="30"/>
        <v>0</v>
      </c>
    </row>
    <row r="1692" spans="2:4">
      <c r="B1692" s="1928">
        <f>报表附注!E1976</f>
        <v>0</v>
      </c>
      <c r="C1692" s="1936">
        <f>报表附注!G1976</f>
        <v>0</v>
      </c>
      <c r="D1692" s="1927" t="b">
        <f t="shared" si="30"/>
        <v>0</v>
      </c>
    </row>
    <row r="1693" spans="2:4">
      <c r="B1693" s="1928" t="str">
        <f>报表附注!E1977</f>
        <v>四、一年内到期的其他福利</v>
      </c>
      <c r="C1693" s="1936">
        <f>报表附注!G1977</f>
        <v>0</v>
      </c>
      <c r="D1693" s="1927" t="b">
        <f t="shared" si="30"/>
        <v>0</v>
      </c>
    </row>
    <row r="1694" spans="2:4">
      <c r="B1694" s="1928" t="str">
        <f>报表附注!E1978</f>
        <v>    1、项目1</v>
      </c>
      <c r="C1694" s="1936">
        <f>报表附注!G1978</f>
        <v>0</v>
      </c>
      <c r="D1694" s="1927" t="b">
        <f t="shared" si="30"/>
        <v>0</v>
      </c>
    </row>
    <row r="1695" spans="2:4">
      <c r="B1695" s="1928" t="str">
        <f>报表附注!E1979</f>
        <v>    2、项目2</v>
      </c>
      <c r="C1695" s="1936">
        <f>报表附注!G1979</f>
        <v>0</v>
      </c>
      <c r="D1695" s="1927" t="b">
        <f t="shared" si="30"/>
        <v>0</v>
      </c>
    </row>
    <row r="1696" spans="1:4">
      <c r="A1696" s="1927" t="s">
        <v>1206</v>
      </c>
      <c r="B1696" s="1939" t="str">
        <f>报表附注!E1980</f>
        <v>合  计</v>
      </c>
      <c r="C1696" s="1936">
        <f>报表附注!G1980</f>
        <v>0</v>
      </c>
      <c r="D1696" s="1927" t="b">
        <f t="shared" si="28"/>
        <v>1</v>
      </c>
    </row>
    <row r="1697" spans="1:4">
      <c r="A1697" s="1927" t="s">
        <v>1782</v>
      </c>
      <c r="B1697" s="1948" t="s">
        <v>1782</v>
      </c>
      <c r="D1697" s="1927" t="b">
        <f t="shared" si="28"/>
        <v>1</v>
      </c>
    </row>
    <row r="1698" spans="1:4">
      <c r="A1698" s="1927" t="s">
        <v>1052</v>
      </c>
      <c r="B1698" s="1928" t="str">
        <f>报表附注!E1954</f>
        <v>一、短期薪酬</v>
      </c>
      <c r="C1698" s="1936">
        <f>报表附注!H1954</f>
        <v>0</v>
      </c>
      <c r="D1698" s="1927" t="b">
        <f t="shared" si="28"/>
        <v>0</v>
      </c>
    </row>
    <row r="1699" spans="1:4">
      <c r="A1699" s="1927" t="s">
        <v>1054</v>
      </c>
      <c r="B1699" s="1928" t="str">
        <f>报表附注!E1955</f>
        <v>    1、工资、奖金、津贴和补贴</v>
      </c>
      <c r="C1699" s="1936">
        <f>报表附注!H1955</f>
        <v>0</v>
      </c>
      <c r="D1699" s="1927" t="b">
        <f t="shared" si="28"/>
        <v>0</v>
      </c>
    </row>
    <row r="1700" spans="1:4">
      <c r="A1700" s="1927" t="s">
        <v>1056</v>
      </c>
      <c r="B1700" s="1928" t="str">
        <f>报表附注!E1956</f>
        <v>    2、职工福利费</v>
      </c>
      <c r="C1700" s="1936">
        <f>报表附注!H1956</f>
        <v>0</v>
      </c>
      <c r="D1700" s="1927" t="b">
        <f t="shared" si="28"/>
        <v>0</v>
      </c>
    </row>
    <row r="1701" spans="1:4">
      <c r="A1701" s="1927" t="s">
        <v>1770</v>
      </c>
      <c r="B1701" s="1928" t="str">
        <f>报表附注!E1957</f>
        <v>    3、社会保险费</v>
      </c>
      <c r="C1701" s="1936">
        <f>报表附注!H1957</f>
        <v>0</v>
      </c>
      <c r="D1701" s="1927" t="b">
        <f t="shared" si="28"/>
        <v>0</v>
      </c>
    </row>
    <row r="1702" spans="1:4">
      <c r="A1702" s="1927" t="s">
        <v>1771</v>
      </c>
      <c r="B1702" s="1928" t="str">
        <f>报表附注!E1958</f>
        <v>     （1）医疗保险费</v>
      </c>
      <c r="C1702" s="1936">
        <f>报表附注!H1958</f>
        <v>0</v>
      </c>
      <c r="D1702" s="1927" t="b">
        <f t="shared" si="28"/>
        <v>0</v>
      </c>
    </row>
    <row r="1703" spans="1:4">
      <c r="A1703" s="1927" t="s">
        <v>1772</v>
      </c>
      <c r="B1703" s="1928" t="str">
        <f>报表附注!E1959</f>
        <v>     （2）工伤保险费</v>
      </c>
      <c r="C1703" s="1936">
        <f>报表附注!H1959</f>
        <v>0</v>
      </c>
      <c r="D1703" s="1927" t="b">
        <f t="shared" si="28"/>
        <v>0</v>
      </c>
    </row>
    <row r="1704" spans="1:4">
      <c r="A1704" s="1927" t="s">
        <v>1773</v>
      </c>
      <c r="B1704" s="1928" t="str">
        <f>报表附注!E1960</f>
        <v>     （3）生育保险费</v>
      </c>
      <c r="C1704" s="1936">
        <f>报表附注!H1960</f>
        <v>0</v>
      </c>
      <c r="D1704" s="1927" t="b">
        <f t="shared" si="28"/>
        <v>0</v>
      </c>
    </row>
    <row r="1705" spans="1:4">
      <c r="A1705" s="1927" t="s">
        <v>1774</v>
      </c>
      <c r="B1705" s="1928" t="str">
        <f>报表附注!E1961</f>
        <v>    4、住房公积金</v>
      </c>
      <c r="C1705" s="1936">
        <f>报表附注!H1961</f>
        <v>0</v>
      </c>
      <c r="D1705" s="1927" t="b">
        <f t="shared" si="28"/>
        <v>0</v>
      </c>
    </row>
    <row r="1706" spans="1:4">
      <c r="A1706" s="1927" t="s">
        <v>1775</v>
      </c>
      <c r="B1706" s="1928" t="str">
        <f>报表附注!E1962</f>
        <v>    5、工会经费和职工教育经费</v>
      </c>
      <c r="C1706" s="1936">
        <f>报表附注!H1962</f>
        <v>0</v>
      </c>
      <c r="D1706" s="1927" t="b">
        <f t="shared" ref="D1706:D1789" si="31">EXACT(A1706,B1706)</f>
        <v>0</v>
      </c>
    </row>
    <row r="1707" spans="1:4">
      <c r="A1707" s="1927" t="s">
        <v>1070</v>
      </c>
      <c r="B1707" s="1928" t="str">
        <f>报表附注!E1963</f>
        <v>    6、短期带薪缺勤</v>
      </c>
      <c r="C1707" s="1936">
        <f>报表附注!H1963</f>
        <v>0</v>
      </c>
      <c r="D1707" s="1927" t="b">
        <f t="shared" si="31"/>
        <v>0</v>
      </c>
    </row>
    <row r="1708" spans="1:4">
      <c r="A1708" s="1927" t="s">
        <v>1776</v>
      </c>
      <c r="B1708" s="1928" t="str">
        <f>报表附注!E1964</f>
        <v>    7、短期利润分享计划</v>
      </c>
      <c r="C1708" s="1936">
        <f>报表附注!H1964</f>
        <v>0</v>
      </c>
      <c r="D1708" s="1927" t="b">
        <f t="shared" si="31"/>
        <v>0</v>
      </c>
    </row>
    <row r="1709" spans="1:4">
      <c r="A1709" s="1927" t="s">
        <v>1777</v>
      </c>
      <c r="B1709" s="1928" t="str">
        <f>报表附注!E1965</f>
        <v>    8、其他短期薪酬</v>
      </c>
      <c r="C1709" s="1936">
        <f>报表附注!H1965</f>
        <v>0</v>
      </c>
      <c r="D1709" s="1927" t="b">
        <f t="shared" si="31"/>
        <v>0</v>
      </c>
    </row>
    <row r="1710" spans="1:4">
      <c r="A1710" s="1927" t="s">
        <v>1778</v>
      </c>
      <c r="B1710" s="1928">
        <f>报表附注!E1966</f>
        <v>0</v>
      </c>
      <c r="C1710" s="1936">
        <f>报表附注!H1966</f>
        <v>0</v>
      </c>
      <c r="D1710" s="1927" t="b">
        <f t="shared" si="31"/>
        <v>0</v>
      </c>
    </row>
    <row r="1711" spans="1:4">
      <c r="A1711" s="1927" t="s">
        <v>1779</v>
      </c>
      <c r="B1711" s="1928" t="str">
        <f>报表附注!E1967</f>
        <v>二、离职后福利-设定提存计划</v>
      </c>
      <c r="C1711" s="1936">
        <f>报表附注!H1967</f>
        <v>0</v>
      </c>
      <c r="D1711" s="1927" t="b">
        <f t="shared" si="31"/>
        <v>0</v>
      </c>
    </row>
    <row r="1712" spans="1:4">
      <c r="A1712" s="1927" t="s">
        <v>1780</v>
      </c>
      <c r="B1712" s="1928" t="str">
        <f>报表附注!E1968</f>
        <v>  1、基本养老保险</v>
      </c>
      <c r="C1712" s="1936">
        <f>报表附注!H1968</f>
        <v>0</v>
      </c>
      <c r="D1712" s="1927" t="b">
        <f t="shared" si="31"/>
        <v>0</v>
      </c>
    </row>
    <row r="1713" spans="1:4">
      <c r="A1713" s="1927" t="s">
        <v>1781</v>
      </c>
      <c r="B1713" s="1928" t="str">
        <f>报表附注!E1969</f>
        <v>    2、失业保险费</v>
      </c>
      <c r="C1713" s="1936">
        <f>报表附注!H1969</f>
        <v>0</v>
      </c>
      <c r="D1713" s="1927" t="b">
        <f t="shared" si="31"/>
        <v>0</v>
      </c>
    </row>
    <row r="1714" spans="2:4">
      <c r="B1714" s="1928" t="str">
        <f>报表附注!E1970</f>
        <v>    3、企业年金缴费</v>
      </c>
      <c r="C1714" s="1936">
        <f>报表附注!H1970</f>
        <v>0</v>
      </c>
      <c r="D1714" s="1927" t="b">
        <f t="shared" ref="D1714:D1723" si="32">EXACT(A1714,B1714)</f>
        <v>0</v>
      </c>
    </row>
    <row r="1715" spans="2:4">
      <c r="B1715" s="1928" t="str">
        <f>报表附注!E1971</f>
        <v>    4、其他</v>
      </c>
      <c r="C1715" s="1936">
        <f>报表附注!H1971</f>
        <v>0</v>
      </c>
      <c r="D1715" s="1927" t="b">
        <f t="shared" si="32"/>
        <v>0</v>
      </c>
    </row>
    <row r="1716" spans="2:4">
      <c r="B1716" s="1928">
        <f>报表附注!E1972</f>
        <v>0</v>
      </c>
      <c r="C1716" s="1936">
        <f>报表附注!H1972</f>
        <v>0</v>
      </c>
      <c r="D1716" s="1927" t="b">
        <f t="shared" si="32"/>
        <v>0</v>
      </c>
    </row>
    <row r="1717" spans="2:4">
      <c r="B1717" s="1928" t="str">
        <f>报表附注!E1973</f>
        <v>三、辞退福利</v>
      </c>
      <c r="C1717" s="1936">
        <f>报表附注!H1973</f>
        <v>0</v>
      </c>
      <c r="D1717" s="1927" t="b">
        <f t="shared" si="32"/>
        <v>0</v>
      </c>
    </row>
    <row r="1718" spans="2:4">
      <c r="B1718" s="1928" t="str">
        <f>报表附注!E1974</f>
        <v>    1、因解除劳动关系给予的补偿</v>
      </c>
      <c r="C1718" s="1936">
        <f>报表附注!H1974</f>
        <v>0</v>
      </c>
      <c r="D1718" s="1927" t="b">
        <f t="shared" si="32"/>
        <v>0</v>
      </c>
    </row>
    <row r="1719" spans="2:4">
      <c r="B1719" s="1928" t="str">
        <f>报表附注!E1975</f>
        <v>    2、其他</v>
      </c>
      <c r="C1719" s="1936">
        <f>报表附注!H1975</f>
        <v>0</v>
      </c>
      <c r="D1719" s="1927" t="b">
        <f t="shared" si="32"/>
        <v>0</v>
      </c>
    </row>
    <row r="1720" spans="2:4">
      <c r="B1720" s="1928">
        <f>报表附注!E1976</f>
        <v>0</v>
      </c>
      <c r="C1720" s="1936">
        <f>报表附注!H1976</f>
        <v>0</v>
      </c>
      <c r="D1720" s="1927" t="b">
        <f t="shared" si="32"/>
        <v>0</v>
      </c>
    </row>
    <row r="1721" spans="2:4">
      <c r="B1721" s="1928" t="str">
        <f>报表附注!E1977</f>
        <v>四、一年内到期的其他福利</v>
      </c>
      <c r="C1721" s="1936">
        <f>报表附注!H1977</f>
        <v>0</v>
      </c>
      <c r="D1721" s="1927" t="b">
        <f t="shared" si="32"/>
        <v>0</v>
      </c>
    </row>
    <row r="1722" spans="2:4">
      <c r="B1722" s="1928" t="str">
        <f>报表附注!E1978</f>
        <v>    1、项目1</v>
      </c>
      <c r="C1722" s="1936">
        <f>报表附注!H1978</f>
        <v>0</v>
      </c>
      <c r="D1722" s="1927" t="b">
        <f t="shared" si="32"/>
        <v>0</v>
      </c>
    </row>
    <row r="1723" spans="2:4">
      <c r="B1723" s="1928" t="str">
        <f>报表附注!E1979</f>
        <v>    2、项目2</v>
      </c>
      <c r="C1723" s="1936">
        <f>报表附注!H1979</f>
        <v>0</v>
      </c>
      <c r="D1723" s="1927" t="b">
        <f t="shared" si="32"/>
        <v>0</v>
      </c>
    </row>
    <row r="1724" spans="1:4">
      <c r="A1724" s="1927" t="s">
        <v>1206</v>
      </c>
      <c r="B1724" s="1939" t="str">
        <f>报表附注!E1980</f>
        <v>合  计</v>
      </c>
      <c r="C1724" s="1936">
        <f>报表附注!H1980</f>
        <v>0</v>
      </c>
      <c r="D1724" s="1927" t="b">
        <f t="shared" si="31"/>
        <v>1</v>
      </c>
    </row>
    <row r="1725" spans="1:4">
      <c r="A1725" s="1927" t="s">
        <v>315</v>
      </c>
      <c r="B1725" s="1948" t="s">
        <v>315</v>
      </c>
      <c r="D1725" s="1927" t="b">
        <f t="shared" si="31"/>
        <v>1</v>
      </c>
    </row>
    <row r="1726" spans="1:4">
      <c r="A1726" s="1927" t="s">
        <v>1052</v>
      </c>
      <c r="B1726" s="1942" t="str">
        <f>报表附注!E1954</f>
        <v>一、短期薪酬</v>
      </c>
      <c r="C1726" s="1936">
        <f>报表附注!I1954</f>
        <v>0</v>
      </c>
      <c r="D1726" s="1927" t="b">
        <f t="shared" si="31"/>
        <v>0</v>
      </c>
    </row>
    <row r="1727" spans="1:4">
      <c r="A1727" s="1927" t="s">
        <v>1054</v>
      </c>
      <c r="B1727" s="1942" t="str">
        <f>报表附注!E1955</f>
        <v>    1、工资、奖金、津贴和补贴</v>
      </c>
      <c r="C1727" s="1936">
        <f>报表附注!I1955</f>
        <v>0</v>
      </c>
      <c r="D1727" s="1927" t="b">
        <f t="shared" si="31"/>
        <v>0</v>
      </c>
    </row>
    <row r="1728" spans="1:4">
      <c r="A1728" s="1927" t="s">
        <v>1056</v>
      </c>
      <c r="B1728" s="1942" t="str">
        <f>报表附注!E1956</f>
        <v>    2、职工福利费</v>
      </c>
      <c r="C1728" s="1936">
        <f>报表附注!I1956</f>
        <v>0</v>
      </c>
      <c r="D1728" s="1927" t="b">
        <f t="shared" si="31"/>
        <v>0</v>
      </c>
    </row>
    <row r="1729" spans="1:4">
      <c r="A1729" s="1927" t="s">
        <v>1770</v>
      </c>
      <c r="B1729" s="1942" t="str">
        <f>报表附注!E1957</f>
        <v>    3、社会保险费</v>
      </c>
      <c r="C1729" s="1936">
        <f>报表附注!I1957</f>
        <v>0</v>
      </c>
      <c r="D1729" s="1927" t="b">
        <f t="shared" si="31"/>
        <v>0</v>
      </c>
    </row>
    <row r="1730" spans="1:4">
      <c r="A1730" s="1927" t="s">
        <v>1771</v>
      </c>
      <c r="B1730" s="1942" t="str">
        <f>报表附注!E1958</f>
        <v>     （1）医疗保险费</v>
      </c>
      <c r="C1730" s="1936">
        <f>报表附注!I1958</f>
        <v>0</v>
      </c>
      <c r="D1730" s="1927" t="b">
        <f t="shared" si="31"/>
        <v>0</v>
      </c>
    </row>
    <row r="1731" spans="1:4">
      <c r="A1731" s="1927" t="s">
        <v>1772</v>
      </c>
      <c r="B1731" s="1942" t="str">
        <f>报表附注!E1959</f>
        <v>     （2）工伤保险费</v>
      </c>
      <c r="C1731" s="1936">
        <f>报表附注!I1959</f>
        <v>0</v>
      </c>
      <c r="D1731" s="1927" t="b">
        <f t="shared" si="31"/>
        <v>0</v>
      </c>
    </row>
    <row r="1732" spans="1:4">
      <c r="A1732" s="1927" t="s">
        <v>1773</v>
      </c>
      <c r="B1732" s="1942" t="str">
        <f>报表附注!E1960</f>
        <v>     （3）生育保险费</v>
      </c>
      <c r="C1732" s="1936">
        <f>报表附注!I1960</f>
        <v>0</v>
      </c>
      <c r="D1732" s="1927" t="b">
        <f t="shared" si="31"/>
        <v>0</v>
      </c>
    </row>
    <row r="1733" spans="1:4">
      <c r="A1733" s="1927" t="s">
        <v>1774</v>
      </c>
      <c r="B1733" s="1942" t="str">
        <f>报表附注!E1961</f>
        <v>    4、住房公积金</v>
      </c>
      <c r="C1733" s="1936">
        <f>报表附注!I1961</f>
        <v>0</v>
      </c>
      <c r="D1733" s="1927" t="b">
        <f t="shared" si="31"/>
        <v>0</v>
      </c>
    </row>
    <row r="1734" spans="1:4">
      <c r="A1734" s="1927" t="s">
        <v>1775</v>
      </c>
      <c r="B1734" s="1942" t="str">
        <f>报表附注!E1962</f>
        <v>    5、工会经费和职工教育经费</v>
      </c>
      <c r="C1734" s="1936">
        <f>报表附注!I1962</f>
        <v>0</v>
      </c>
      <c r="D1734" s="1927" t="b">
        <f t="shared" si="31"/>
        <v>0</v>
      </c>
    </row>
    <row r="1735" spans="1:4">
      <c r="A1735" s="1927" t="s">
        <v>1070</v>
      </c>
      <c r="B1735" s="1942" t="str">
        <f>报表附注!E1963</f>
        <v>    6、短期带薪缺勤</v>
      </c>
      <c r="C1735" s="1936">
        <f>报表附注!I1963</f>
        <v>0</v>
      </c>
      <c r="D1735" s="1927" t="b">
        <f t="shared" si="31"/>
        <v>0</v>
      </c>
    </row>
    <row r="1736" spans="1:4">
      <c r="A1736" s="1927" t="s">
        <v>1776</v>
      </c>
      <c r="B1736" s="1942" t="str">
        <f>报表附注!E1964</f>
        <v>    7、短期利润分享计划</v>
      </c>
      <c r="C1736" s="1936">
        <f>报表附注!I1964</f>
        <v>0</v>
      </c>
      <c r="D1736" s="1927" t="b">
        <f t="shared" si="31"/>
        <v>0</v>
      </c>
    </row>
    <row r="1737" spans="1:4">
      <c r="A1737" s="1927" t="s">
        <v>1777</v>
      </c>
      <c r="B1737" s="1942" t="str">
        <f>报表附注!E1965</f>
        <v>    8、其他短期薪酬</v>
      </c>
      <c r="C1737" s="1936">
        <f>报表附注!I1965</f>
        <v>0</v>
      </c>
      <c r="D1737" s="1927" t="b">
        <f t="shared" si="31"/>
        <v>0</v>
      </c>
    </row>
    <row r="1738" spans="1:4">
      <c r="A1738" s="1927" t="s">
        <v>1778</v>
      </c>
      <c r="B1738" s="1942">
        <f>报表附注!E1966</f>
        <v>0</v>
      </c>
      <c r="C1738" s="1936">
        <f>报表附注!I1966</f>
        <v>0</v>
      </c>
      <c r="D1738" s="1927" t="b">
        <f t="shared" si="31"/>
        <v>0</v>
      </c>
    </row>
    <row r="1739" spans="1:4">
      <c r="A1739" s="1927" t="s">
        <v>1779</v>
      </c>
      <c r="B1739" s="1942" t="str">
        <f>报表附注!E1967</f>
        <v>二、离职后福利-设定提存计划</v>
      </c>
      <c r="C1739" s="1936">
        <f>报表附注!I1967</f>
        <v>0</v>
      </c>
      <c r="D1739" s="1927" t="b">
        <f t="shared" si="31"/>
        <v>0</v>
      </c>
    </row>
    <row r="1740" spans="1:4">
      <c r="A1740" s="1927" t="s">
        <v>1780</v>
      </c>
      <c r="B1740" s="1942" t="str">
        <f>报表附注!E1968</f>
        <v>  1、基本养老保险</v>
      </c>
      <c r="C1740" s="1936">
        <f>报表附注!I1968</f>
        <v>0</v>
      </c>
      <c r="D1740" s="1927" t="b">
        <f t="shared" si="31"/>
        <v>0</v>
      </c>
    </row>
    <row r="1741" spans="1:4">
      <c r="A1741" s="1927" t="s">
        <v>1781</v>
      </c>
      <c r="B1741" s="1942" t="str">
        <f>报表附注!E1969</f>
        <v>    2、失业保险费</v>
      </c>
      <c r="C1741" s="1936">
        <f>报表附注!I1969</f>
        <v>0</v>
      </c>
      <c r="D1741" s="1927" t="b">
        <f t="shared" si="31"/>
        <v>0</v>
      </c>
    </row>
    <row r="1742" spans="2:4">
      <c r="B1742" s="1942" t="str">
        <f>报表附注!E1970</f>
        <v>    3、企业年金缴费</v>
      </c>
      <c r="C1742" s="1936">
        <f>报表附注!I1970</f>
        <v>0</v>
      </c>
      <c r="D1742" s="1927" t="b">
        <f t="shared" ref="D1742:D1751" si="33">EXACT(A1742,B1742)</f>
        <v>0</v>
      </c>
    </row>
    <row r="1743" spans="2:4">
      <c r="B1743" s="1942" t="str">
        <f>报表附注!E1971</f>
        <v>    4、其他</v>
      </c>
      <c r="C1743" s="1936">
        <f>报表附注!I1971</f>
        <v>0</v>
      </c>
      <c r="D1743" s="1927" t="b">
        <f t="shared" si="33"/>
        <v>0</v>
      </c>
    </row>
    <row r="1744" spans="2:4">
      <c r="B1744" s="1942">
        <f>报表附注!E1972</f>
        <v>0</v>
      </c>
      <c r="C1744" s="1936">
        <f>报表附注!I1972</f>
        <v>0</v>
      </c>
      <c r="D1744" s="1927" t="b">
        <f t="shared" si="33"/>
        <v>0</v>
      </c>
    </row>
    <row r="1745" spans="2:4">
      <c r="B1745" s="1942" t="str">
        <f>报表附注!E1973</f>
        <v>三、辞退福利</v>
      </c>
      <c r="C1745" s="1936">
        <f>报表附注!I1973</f>
        <v>0</v>
      </c>
      <c r="D1745" s="1927" t="b">
        <f t="shared" si="33"/>
        <v>0</v>
      </c>
    </row>
    <row r="1746" spans="2:4">
      <c r="B1746" s="1942" t="str">
        <f>报表附注!E1974</f>
        <v>    1、因解除劳动关系给予的补偿</v>
      </c>
      <c r="C1746" s="1936">
        <f>报表附注!I1974</f>
        <v>0</v>
      </c>
      <c r="D1746" s="1927" t="b">
        <f t="shared" si="33"/>
        <v>0</v>
      </c>
    </row>
    <row r="1747" spans="2:4">
      <c r="B1747" s="1942" t="str">
        <f>报表附注!E1975</f>
        <v>    2、其他</v>
      </c>
      <c r="C1747" s="1936">
        <f>报表附注!I1975</f>
        <v>0</v>
      </c>
      <c r="D1747" s="1927" t="b">
        <f t="shared" si="33"/>
        <v>0</v>
      </c>
    </row>
    <row r="1748" spans="2:4">
      <c r="B1748" s="1942">
        <f>报表附注!E1976</f>
        <v>0</v>
      </c>
      <c r="C1748" s="1936">
        <f>报表附注!I1976</f>
        <v>0</v>
      </c>
      <c r="D1748" s="1927" t="b">
        <f t="shared" si="33"/>
        <v>0</v>
      </c>
    </row>
    <row r="1749" spans="2:4">
      <c r="B1749" s="1942" t="str">
        <f>报表附注!E1977</f>
        <v>四、一年内到期的其他福利</v>
      </c>
      <c r="C1749" s="1936">
        <f>报表附注!I1977</f>
        <v>0</v>
      </c>
      <c r="D1749" s="1927" t="b">
        <f t="shared" si="33"/>
        <v>0</v>
      </c>
    </row>
    <row r="1750" spans="2:4">
      <c r="B1750" s="1942" t="str">
        <f>报表附注!E1978</f>
        <v>    1、项目1</v>
      </c>
      <c r="C1750" s="1936">
        <f>报表附注!I1978</f>
        <v>0</v>
      </c>
      <c r="D1750" s="1927" t="b">
        <f t="shared" si="33"/>
        <v>0</v>
      </c>
    </row>
    <row r="1751" spans="2:4">
      <c r="B1751" s="1942" t="str">
        <f>报表附注!E1979</f>
        <v>    2、项目2</v>
      </c>
      <c r="C1751" s="1936">
        <f>报表附注!I1979</f>
        <v>0</v>
      </c>
      <c r="D1751" s="1927" t="b">
        <f t="shared" si="33"/>
        <v>0</v>
      </c>
    </row>
    <row r="1752" spans="1:4">
      <c r="A1752" s="1927" t="s">
        <v>1206</v>
      </c>
      <c r="B1752" s="1939" t="str">
        <f>报表附注!E1980</f>
        <v>合  计</v>
      </c>
      <c r="C1752" s="1936">
        <f>报表附注!I1980</f>
        <v>0</v>
      </c>
      <c r="D1752" s="1927" t="b">
        <f t="shared" si="31"/>
        <v>1</v>
      </c>
    </row>
    <row r="1753" spans="4:4">
      <c r="D1753" s="1927" t="b">
        <f t="shared" si="31"/>
        <v>1</v>
      </c>
    </row>
    <row r="1754" spans="1:4">
      <c r="A1754" s="1927" t="s">
        <v>1783</v>
      </c>
      <c r="B1754" s="1945" t="s">
        <v>1783</v>
      </c>
      <c r="D1754" s="1927" t="b">
        <f t="shared" si="31"/>
        <v>1</v>
      </c>
    </row>
    <row r="1755" spans="1:4">
      <c r="A1755" s="1927" t="s">
        <v>1579</v>
      </c>
      <c r="B1755" s="1948" t="s">
        <v>1579</v>
      </c>
      <c r="D1755" s="1927" t="b">
        <f t="shared" si="31"/>
        <v>1</v>
      </c>
    </row>
    <row r="1756" spans="1:4">
      <c r="A1756" s="1927" t="s">
        <v>1784</v>
      </c>
      <c r="B1756" s="1928" t="str">
        <f>报表附注!E1993</f>
        <v>1、企业所得税</v>
      </c>
      <c r="C1756" s="1936">
        <f>报表附注!F1993</f>
        <v>0</v>
      </c>
      <c r="D1756" s="1927" t="b">
        <f t="shared" si="31"/>
        <v>0</v>
      </c>
    </row>
    <row r="1757" spans="1:4">
      <c r="A1757" s="1927" t="s">
        <v>1785</v>
      </c>
      <c r="B1757" s="1928" t="str">
        <f>报表附注!E1994</f>
        <v>2、增值税</v>
      </c>
      <c r="C1757" s="1936">
        <f>报表附注!F1994</f>
        <v>0</v>
      </c>
      <c r="D1757" s="1927" t="b">
        <f t="shared" si="31"/>
        <v>0</v>
      </c>
    </row>
    <row r="1758" spans="1:4">
      <c r="A1758" s="1927" t="s">
        <v>1786</v>
      </c>
      <c r="B1758" s="1928" t="str">
        <f>报表附注!E1995</f>
        <v>3、营业税</v>
      </c>
      <c r="C1758" s="1936">
        <f>报表附注!F1995</f>
        <v>0</v>
      </c>
      <c r="D1758" s="1927" t="b">
        <f t="shared" si="31"/>
        <v>0</v>
      </c>
    </row>
    <row r="1759" spans="1:4">
      <c r="A1759" s="1927" t="s">
        <v>1787</v>
      </c>
      <c r="B1759" s="1928" t="str">
        <f>报表附注!E1996</f>
        <v>4、消费税</v>
      </c>
      <c r="C1759" s="1936">
        <f>报表附注!F1996</f>
        <v>0</v>
      </c>
      <c r="D1759" s="1927" t="b">
        <f t="shared" si="31"/>
        <v>0</v>
      </c>
    </row>
    <row r="1760" spans="1:4">
      <c r="A1760" s="1927" t="s">
        <v>1788</v>
      </c>
      <c r="B1760" s="1928" t="str">
        <f>报表附注!E1997</f>
        <v>5、资源税</v>
      </c>
      <c r="C1760" s="1936">
        <f>报表附注!F1997</f>
        <v>0</v>
      </c>
      <c r="D1760" s="1927" t="b">
        <f t="shared" si="31"/>
        <v>0</v>
      </c>
    </row>
    <row r="1761" spans="1:4">
      <c r="A1761" s="1927" t="s">
        <v>1789</v>
      </c>
      <c r="B1761" s="1928" t="str">
        <f>报表附注!E1998</f>
        <v>6、土地增值税</v>
      </c>
      <c r="C1761" s="1936">
        <f>报表附注!F1998</f>
        <v>0</v>
      </c>
      <c r="D1761" s="1927" t="b">
        <f t="shared" si="31"/>
        <v>0</v>
      </c>
    </row>
    <row r="1762" spans="1:4">
      <c r="A1762" s="1927" t="s">
        <v>1790</v>
      </c>
      <c r="B1762" s="1928" t="str">
        <f>报表附注!E1999</f>
        <v>7、土地使用税</v>
      </c>
      <c r="C1762" s="1936">
        <f>报表附注!F1999</f>
        <v>0</v>
      </c>
      <c r="D1762" s="1927" t="b">
        <f t="shared" si="31"/>
        <v>0</v>
      </c>
    </row>
    <row r="1763" spans="1:4">
      <c r="A1763" s="1927" t="s">
        <v>1791</v>
      </c>
      <c r="B1763" s="1928" t="str">
        <f>报表附注!E2000</f>
        <v>8、房产税</v>
      </c>
      <c r="C1763" s="1936">
        <f>报表附注!F2000</f>
        <v>0</v>
      </c>
      <c r="D1763" s="1927" t="b">
        <f t="shared" si="31"/>
        <v>0</v>
      </c>
    </row>
    <row r="1764" spans="1:4">
      <c r="A1764" s="1927" t="s">
        <v>1792</v>
      </c>
      <c r="B1764" s="1928" t="str">
        <f>报表附注!E2001</f>
        <v>9、车船使用税</v>
      </c>
      <c r="C1764" s="1936">
        <f>报表附注!F2001</f>
        <v>0</v>
      </c>
      <c r="D1764" s="1927" t="b">
        <f t="shared" si="31"/>
        <v>0</v>
      </c>
    </row>
    <row r="1765" spans="1:4">
      <c r="A1765" s="1927" t="s">
        <v>1793</v>
      </c>
      <c r="B1765" s="1928" t="str">
        <f>报表附注!E2002</f>
        <v>10、城市维护建设税</v>
      </c>
      <c r="C1765" s="1936">
        <f>报表附注!F2002</f>
        <v>0</v>
      </c>
      <c r="D1765" s="1927" t="b">
        <f t="shared" si="31"/>
        <v>0</v>
      </c>
    </row>
    <row r="1766" spans="1:4">
      <c r="A1766" s="1927" t="s">
        <v>1794</v>
      </c>
      <c r="B1766" s="1928" t="str">
        <f>报表附注!E2003</f>
        <v>11、教育附加（含地方）</v>
      </c>
      <c r="C1766" s="1936">
        <f>报表附注!F2003</f>
        <v>0</v>
      </c>
      <c r="D1766" s="1927" t="b">
        <f t="shared" si="31"/>
        <v>0</v>
      </c>
    </row>
    <row r="1767" spans="1:4">
      <c r="A1767" s="1927" t="s">
        <v>1795</v>
      </c>
      <c r="B1767" s="1928" t="str">
        <f>报表附注!E2004</f>
        <v>12、矿产资源补偿费</v>
      </c>
      <c r="C1767" s="1936">
        <f>报表附注!F2004</f>
        <v>0</v>
      </c>
      <c r="D1767" s="1927" t="b">
        <f t="shared" si="31"/>
        <v>0</v>
      </c>
    </row>
    <row r="1768" spans="1:4">
      <c r="A1768" s="1927" t="s">
        <v>1796</v>
      </c>
      <c r="B1768" s="1928" t="str">
        <f>报表附注!E2005</f>
        <v>13、代扣代缴个人所得税</v>
      </c>
      <c r="C1768" s="1936">
        <f>报表附注!F2005</f>
        <v>0</v>
      </c>
      <c r="D1768" s="1927" t="b">
        <f t="shared" si="31"/>
        <v>0</v>
      </c>
    </row>
    <row r="1769" spans="1:4">
      <c r="A1769" s="1927" t="s">
        <v>1797</v>
      </c>
      <c r="B1769" s="1928" t="str">
        <f>报表附注!E2006</f>
        <v>14、印花税</v>
      </c>
      <c r="C1769" s="1936">
        <f>报表附注!F2006</f>
        <v>0</v>
      </c>
      <c r="D1769" s="1927" t="b">
        <f t="shared" si="31"/>
        <v>0</v>
      </c>
    </row>
    <row r="1770" spans="1:4">
      <c r="A1770" s="1927" t="s">
        <v>1798</v>
      </c>
      <c r="B1770" s="1928" t="str">
        <f>报表附注!E2007</f>
        <v>15、防洪保安费（堤围费）</v>
      </c>
      <c r="C1770" s="1936">
        <f>报表附注!F2007</f>
        <v>0</v>
      </c>
      <c r="D1770" s="1927" t="b">
        <f t="shared" si="31"/>
        <v>0</v>
      </c>
    </row>
    <row r="1771" spans="1:4">
      <c r="A1771" s="1927" t="s">
        <v>1799</v>
      </c>
      <c r="B1771" s="1928" t="str">
        <f>报表附注!E2008</f>
        <v>16、电力监管费</v>
      </c>
      <c r="C1771" s="1936">
        <f>报表附注!F2008</f>
        <v>0</v>
      </c>
      <c r="D1771" s="1927" t="b">
        <f t="shared" si="31"/>
        <v>0</v>
      </c>
    </row>
    <row r="1772" spans="1:4">
      <c r="A1772" s="1927" t="s">
        <v>1800</v>
      </c>
      <c r="B1772" s="1928" t="str">
        <f>报表附注!E2009</f>
        <v>17、水资源费</v>
      </c>
      <c r="C1772" s="1936">
        <f>报表附注!F2009</f>
        <v>0</v>
      </c>
      <c r="D1772" s="1927" t="b">
        <f t="shared" si="31"/>
        <v>0</v>
      </c>
    </row>
    <row r="1773" spans="1:4">
      <c r="A1773" s="1927" t="s">
        <v>1801</v>
      </c>
      <c r="B1773" s="1928" t="str">
        <f>报表附注!E2010</f>
        <v>18、库区维护费</v>
      </c>
      <c r="C1773" s="1936">
        <f>报表附注!F2010</f>
        <v>0</v>
      </c>
      <c r="D1773" s="1927" t="b">
        <f t="shared" si="31"/>
        <v>0</v>
      </c>
    </row>
    <row r="1774" spans="1:4">
      <c r="A1774" s="1927" t="s">
        <v>1802</v>
      </c>
      <c r="B1774" s="1928" t="str">
        <f>报表附注!E2011</f>
        <v>19、代扣代缴企业所得税</v>
      </c>
      <c r="C1774" s="1936">
        <f>报表附注!F2011</f>
        <v>0</v>
      </c>
      <c r="D1774" s="1927" t="b">
        <f t="shared" si="31"/>
        <v>0</v>
      </c>
    </row>
    <row r="1775" spans="1:4">
      <c r="A1775" s="1927" t="s">
        <v>1803</v>
      </c>
      <c r="B1775" s="1928" t="str">
        <f>报表附注!E2012</f>
        <v>20、其他1-地方水利建设基金</v>
      </c>
      <c r="C1775" s="1936">
        <f>报表附注!F2012</f>
        <v>0</v>
      </c>
      <c r="D1775" s="1927" t="b">
        <f t="shared" si="31"/>
        <v>0</v>
      </c>
    </row>
    <row r="1776" spans="1:4">
      <c r="A1776" s="1927" t="s">
        <v>1804</v>
      </c>
      <c r="B1776" s="1928" t="str">
        <f>报表附注!E2013</f>
        <v>21、其他2-价格调节基金</v>
      </c>
      <c r="C1776" s="1936">
        <f>报表附注!F2013</f>
        <v>0</v>
      </c>
      <c r="D1776" s="1927" t="b">
        <f t="shared" si="31"/>
        <v>0</v>
      </c>
    </row>
    <row r="1777" spans="1:4">
      <c r="A1777" s="1927" t="s">
        <v>1805</v>
      </c>
      <c r="B1777" s="1928" t="str">
        <f>报表附注!E2014</f>
        <v>22、其他3-排污费</v>
      </c>
      <c r="C1777" s="1936">
        <f>报表附注!F2014</f>
        <v>0</v>
      </c>
      <c r="D1777" s="1927" t="b">
        <f t="shared" si="31"/>
        <v>0</v>
      </c>
    </row>
    <row r="1778" spans="1:4">
      <c r="A1778" s="1927" t="s">
        <v>1806</v>
      </c>
      <c r="B1778" s="1928" t="str">
        <f>报表附注!E2015</f>
        <v>23、其他4-</v>
      </c>
      <c r="C1778" s="1936">
        <f>报表附注!F2015</f>
        <v>0</v>
      </c>
      <c r="D1778" s="1927" t="b">
        <f t="shared" si="31"/>
        <v>0</v>
      </c>
    </row>
    <row r="1779" spans="1:4">
      <c r="A1779" s="1927" t="s">
        <v>1807</v>
      </c>
      <c r="B1779" s="1928" t="str">
        <f>报表附注!E2016</f>
        <v>24、其他5-</v>
      </c>
      <c r="C1779" s="1936">
        <f>报表附注!F2016</f>
        <v>0</v>
      </c>
      <c r="D1779" s="1927" t="b">
        <f t="shared" si="31"/>
        <v>0</v>
      </c>
    </row>
    <row r="1780" spans="1:4">
      <c r="A1780" s="1927" t="s">
        <v>1580</v>
      </c>
      <c r="B1780" s="1939" t="str">
        <f>报表附注!E2017</f>
        <v>合计</v>
      </c>
      <c r="C1780" s="1936">
        <f>报表附注!F2017</f>
        <v>0</v>
      </c>
      <c r="D1780" s="1927" t="b">
        <f t="shared" si="31"/>
        <v>1</v>
      </c>
    </row>
    <row r="1781" spans="1:4">
      <c r="A1781" s="1927" t="s">
        <v>1808</v>
      </c>
      <c r="B1781" s="1948" t="s">
        <v>1808</v>
      </c>
      <c r="D1781" s="1927" t="b">
        <f t="shared" si="31"/>
        <v>1</v>
      </c>
    </row>
    <row r="1782" spans="1:4">
      <c r="A1782" s="1927" t="s">
        <v>1784</v>
      </c>
      <c r="B1782" s="1928" t="str">
        <f>报表附注!E1993</f>
        <v>1、企业所得税</v>
      </c>
      <c r="C1782" s="1936">
        <f>报表附注!G1993</f>
        <v>0</v>
      </c>
      <c r="D1782" s="1927" t="b">
        <f t="shared" si="31"/>
        <v>0</v>
      </c>
    </row>
    <row r="1783" spans="1:4">
      <c r="A1783" s="1927" t="s">
        <v>1785</v>
      </c>
      <c r="B1783" s="1928" t="str">
        <f>报表附注!E1994</f>
        <v>2、增值税</v>
      </c>
      <c r="C1783" s="1936">
        <f>报表附注!G1994</f>
        <v>0</v>
      </c>
      <c r="D1783" s="1927" t="b">
        <f t="shared" si="31"/>
        <v>0</v>
      </c>
    </row>
    <row r="1784" spans="1:4">
      <c r="A1784" s="1927" t="s">
        <v>1786</v>
      </c>
      <c r="B1784" s="1928" t="str">
        <f>报表附注!E1995</f>
        <v>3、营业税</v>
      </c>
      <c r="C1784" s="1936">
        <f>报表附注!G1995</f>
        <v>0</v>
      </c>
      <c r="D1784" s="1927" t="b">
        <f t="shared" si="31"/>
        <v>0</v>
      </c>
    </row>
    <row r="1785" spans="1:4">
      <c r="A1785" s="1927" t="s">
        <v>1787</v>
      </c>
      <c r="B1785" s="1928" t="str">
        <f>报表附注!E1996</f>
        <v>4、消费税</v>
      </c>
      <c r="C1785" s="1936">
        <f>报表附注!G1996</f>
        <v>0</v>
      </c>
      <c r="D1785" s="1927" t="b">
        <f t="shared" si="31"/>
        <v>0</v>
      </c>
    </row>
    <row r="1786" spans="1:4">
      <c r="A1786" s="1927" t="s">
        <v>1788</v>
      </c>
      <c r="B1786" s="1928" t="str">
        <f>报表附注!E1997</f>
        <v>5、资源税</v>
      </c>
      <c r="C1786" s="1936">
        <f>报表附注!G1997</f>
        <v>0</v>
      </c>
      <c r="D1786" s="1927" t="b">
        <f t="shared" si="31"/>
        <v>0</v>
      </c>
    </row>
    <row r="1787" spans="1:4">
      <c r="A1787" s="1927" t="s">
        <v>1789</v>
      </c>
      <c r="B1787" s="1928" t="str">
        <f>报表附注!E1998</f>
        <v>6、土地增值税</v>
      </c>
      <c r="C1787" s="1936">
        <f>报表附注!G1998</f>
        <v>0</v>
      </c>
      <c r="D1787" s="1927" t="b">
        <f t="shared" si="31"/>
        <v>0</v>
      </c>
    </row>
    <row r="1788" spans="1:4">
      <c r="A1788" s="1927" t="s">
        <v>1790</v>
      </c>
      <c r="B1788" s="1928" t="str">
        <f>报表附注!E1999</f>
        <v>7、土地使用税</v>
      </c>
      <c r="C1788" s="1936">
        <f>报表附注!G1999</f>
        <v>0</v>
      </c>
      <c r="D1788" s="1927" t="b">
        <f t="shared" si="31"/>
        <v>0</v>
      </c>
    </row>
    <row r="1789" spans="1:4">
      <c r="A1789" s="1927" t="s">
        <v>1791</v>
      </c>
      <c r="B1789" s="1928" t="str">
        <f>报表附注!E2000</f>
        <v>8、房产税</v>
      </c>
      <c r="C1789" s="1936">
        <f>报表附注!G2000</f>
        <v>0</v>
      </c>
      <c r="D1789" s="1927" t="b">
        <f t="shared" si="31"/>
        <v>0</v>
      </c>
    </row>
    <row r="1790" spans="1:4">
      <c r="A1790" s="1927" t="s">
        <v>1792</v>
      </c>
      <c r="B1790" s="1928" t="str">
        <f>报表附注!E2001</f>
        <v>9、车船使用税</v>
      </c>
      <c r="C1790" s="1936">
        <f>报表附注!G2001</f>
        <v>0</v>
      </c>
      <c r="D1790" s="1927" t="b">
        <f t="shared" ref="D1790:D1853" si="34">EXACT(A1790,B1790)</f>
        <v>0</v>
      </c>
    </row>
    <row r="1791" spans="1:4">
      <c r="A1791" s="1927" t="s">
        <v>1793</v>
      </c>
      <c r="B1791" s="1928" t="str">
        <f>报表附注!E2002</f>
        <v>10、城市维护建设税</v>
      </c>
      <c r="C1791" s="1936">
        <f>报表附注!G2002</f>
        <v>0</v>
      </c>
      <c r="D1791" s="1927" t="b">
        <f t="shared" si="34"/>
        <v>0</v>
      </c>
    </row>
    <row r="1792" spans="1:4">
      <c r="A1792" s="1927" t="s">
        <v>1794</v>
      </c>
      <c r="B1792" s="1928" t="str">
        <f>报表附注!E2003</f>
        <v>11、教育附加（含地方）</v>
      </c>
      <c r="C1792" s="1936">
        <f>报表附注!G2003</f>
        <v>0</v>
      </c>
      <c r="D1792" s="1927" t="b">
        <f t="shared" si="34"/>
        <v>0</v>
      </c>
    </row>
    <row r="1793" spans="1:4">
      <c r="A1793" s="1927" t="s">
        <v>1795</v>
      </c>
      <c r="B1793" s="1928" t="str">
        <f>报表附注!E2004</f>
        <v>12、矿产资源补偿费</v>
      </c>
      <c r="C1793" s="1936">
        <f>报表附注!G2004</f>
        <v>0</v>
      </c>
      <c r="D1793" s="1927" t="b">
        <f t="shared" si="34"/>
        <v>0</v>
      </c>
    </row>
    <row r="1794" spans="1:4">
      <c r="A1794" s="1927" t="s">
        <v>1796</v>
      </c>
      <c r="B1794" s="1928" t="str">
        <f>报表附注!E2005</f>
        <v>13、代扣代缴个人所得税</v>
      </c>
      <c r="C1794" s="1936">
        <f>报表附注!G2005</f>
        <v>0</v>
      </c>
      <c r="D1794" s="1927" t="b">
        <f t="shared" si="34"/>
        <v>0</v>
      </c>
    </row>
    <row r="1795" spans="1:4">
      <c r="A1795" s="1927" t="s">
        <v>1797</v>
      </c>
      <c r="B1795" s="1928" t="str">
        <f>报表附注!E2006</f>
        <v>14、印花税</v>
      </c>
      <c r="C1795" s="1936">
        <f>报表附注!G2006</f>
        <v>0</v>
      </c>
      <c r="D1795" s="1927" t="b">
        <f t="shared" si="34"/>
        <v>0</v>
      </c>
    </row>
    <row r="1796" spans="1:4">
      <c r="A1796" s="1927" t="s">
        <v>1798</v>
      </c>
      <c r="B1796" s="1928" t="str">
        <f>报表附注!E2007</f>
        <v>15、防洪保安费（堤围费）</v>
      </c>
      <c r="C1796" s="1936">
        <f>报表附注!G2007</f>
        <v>0</v>
      </c>
      <c r="D1796" s="1927" t="b">
        <f t="shared" si="34"/>
        <v>0</v>
      </c>
    </row>
    <row r="1797" spans="1:4">
      <c r="A1797" s="1927" t="s">
        <v>1799</v>
      </c>
      <c r="B1797" s="1928" t="str">
        <f>报表附注!E2008</f>
        <v>16、电力监管费</v>
      </c>
      <c r="C1797" s="1936">
        <f>报表附注!G2008</f>
        <v>0</v>
      </c>
      <c r="D1797" s="1927" t="b">
        <f t="shared" si="34"/>
        <v>0</v>
      </c>
    </row>
    <row r="1798" spans="1:4">
      <c r="A1798" s="1927" t="s">
        <v>1800</v>
      </c>
      <c r="B1798" s="1928" t="str">
        <f>报表附注!E2009</f>
        <v>17、水资源费</v>
      </c>
      <c r="C1798" s="1936">
        <f>报表附注!G2009</f>
        <v>0</v>
      </c>
      <c r="D1798" s="1927" t="b">
        <f t="shared" si="34"/>
        <v>0</v>
      </c>
    </row>
    <row r="1799" spans="1:4">
      <c r="A1799" s="1927" t="s">
        <v>1801</v>
      </c>
      <c r="B1799" s="1928" t="str">
        <f>报表附注!E2010</f>
        <v>18、库区维护费</v>
      </c>
      <c r="C1799" s="1936">
        <f>报表附注!G2010</f>
        <v>0</v>
      </c>
      <c r="D1799" s="1927" t="b">
        <f t="shared" si="34"/>
        <v>0</v>
      </c>
    </row>
    <row r="1800" spans="1:4">
      <c r="A1800" s="1927" t="s">
        <v>1802</v>
      </c>
      <c r="B1800" s="1928" t="str">
        <f>报表附注!E2011</f>
        <v>19、代扣代缴企业所得税</v>
      </c>
      <c r="C1800" s="1936">
        <f>报表附注!G2011</f>
        <v>0</v>
      </c>
      <c r="D1800" s="1927" t="b">
        <f t="shared" si="34"/>
        <v>0</v>
      </c>
    </row>
    <row r="1801" spans="1:4">
      <c r="A1801" s="1927" t="s">
        <v>1803</v>
      </c>
      <c r="B1801" s="1928" t="str">
        <f>报表附注!E2012</f>
        <v>20、其他1-地方水利建设基金</v>
      </c>
      <c r="C1801" s="1936">
        <f>报表附注!G2012</f>
        <v>0</v>
      </c>
      <c r="D1801" s="1927" t="b">
        <f t="shared" si="34"/>
        <v>0</v>
      </c>
    </row>
    <row r="1802" spans="1:4">
      <c r="A1802" s="1927" t="s">
        <v>1804</v>
      </c>
      <c r="B1802" s="1928" t="str">
        <f>报表附注!E2013</f>
        <v>21、其他2-价格调节基金</v>
      </c>
      <c r="C1802" s="1936">
        <f>报表附注!G2013</f>
        <v>0</v>
      </c>
      <c r="D1802" s="1927" t="b">
        <f t="shared" si="34"/>
        <v>0</v>
      </c>
    </row>
    <row r="1803" spans="1:4">
      <c r="A1803" s="1927" t="s">
        <v>1805</v>
      </c>
      <c r="B1803" s="1928" t="str">
        <f>报表附注!E2014</f>
        <v>22、其他3-排污费</v>
      </c>
      <c r="C1803" s="1936">
        <f>报表附注!G2014</f>
        <v>0</v>
      </c>
      <c r="D1803" s="1927" t="b">
        <f t="shared" si="34"/>
        <v>0</v>
      </c>
    </row>
    <row r="1804" spans="1:4">
      <c r="A1804" s="1927" t="s">
        <v>1806</v>
      </c>
      <c r="B1804" s="1928" t="str">
        <f>报表附注!E2015</f>
        <v>23、其他4-</v>
      </c>
      <c r="C1804" s="1936">
        <f>报表附注!G2015</f>
        <v>0</v>
      </c>
      <c r="D1804" s="1927" t="b">
        <f t="shared" si="34"/>
        <v>0</v>
      </c>
    </row>
    <row r="1805" spans="1:4">
      <c r="A1805" s="1927" t="s">
        <v>1807</v>
      </c>
      <c r="B1805" s="1928" t="str">
        <f>报表附注!E2016</f>
        <v>24、其他5-</v>
      </c>
      <c r="C1805" s="1936">
        <f>报表附注!G2016</f>
        <v>0</v>
      </c>
      <c r="D1805" s="1927" t="b">
        <f t="shared" si="34"/>
        <v>0</v>
      </c>
    </row>
    <row r="1806" spans="1:4">
      <c r="A1806" s="1927" t="s">
        <v>1580</v>
      </c>
      <c r="B1806" s="1939" t="str">
        <f>报表附注!E2017</f>
        <v>合计</v>
      </c>
      <c r="C1806" s="1936">
        <f>报表附注!G2017</f>
        <v>0</v>
      </c>
      <c r="D1806" s="1927" t="b">
        <f t="shared" si="34"/>
        <v>1</v>
      </c>
    </row>
    <row r="1807" spans="1:4">
      <c r="A1807" s="1927" t="s">
        <v>1809</v>
      </c>
      <c r="B1807" s="1948" t="s">
        <v>1809</v>
      </c>
      <c r="D1807" s="1927" t="b">
        <f t="shared" si="34"/>
        <v>1</v>
      </c>
    </row>
    <row r="1808" spans="1:4">
      <c r="A1808" s="1927" t="s">
        <v>1784</v>
      </c>
      <c r="B1808" s="1928" t="str">
        <f>报表附注!E1993</f>
        <v>1、企业所得税</v>
      </c>
      <c r="C1808" s="1936">
        <f>报表附注!H1993</f>
        <v>0</v>
      </c>
      <c r="D1808" s="1927" t="b">
        <f t="shared" si="34"/>
        <v>0</v>
      </c>
    </row>
    <row r="1809" spans="1:4">
      <c r="A1809" s="1927" t="s">
        <v>1785</v>
      </c>
      <c r="B1809" s="1928" t="str">
        <f>报表附注!E1994</f>
        <v>2、增值税</v>
      </c>
      <c r="C1809" s="1936">
        <f>报表附注!H1994</f>
        <v>0</v>
      </c>
      <c r="D1809" s="1927" t="b">
        <f t="shared" si="34"/>
        <v>0</v>
      </c>
    </row>
    <row r="1810" spans="1:4">
      <c r="A1810" s="1927" t="s">
        <v>1786</v>
      </c>
      <c r="B1810" s="1928" t="str">
        <f>报表附注!E1995</f>
        <v>3、营业税</v>
      </c>
      <c r="C1810" s="1936">
        <f>报表附注!H1995</f>
        <v>0</v>
      </c>
      <c r="D1810" s="1927" t="b">
        <f t="shared" si="34"/>
        <v>0</v>
      </c>
    </row>
    <row r="1811" spans="1:4">
      <c r="A1811" s="1927" t="s">
        <v>1787</v>
      </c>
      <c r="B1811" s="1928" t="str">
        <f>报表附注!E1996</f>
        <v>4、消费税</v>
      </c>
      <c r="C1811" s="1936">
        <f>报表附注!H1996</f>
        <v>0</v>
      </c>
      <c r="D1811" s="1927" t="b">
        <f t="shared" si="34"/>
        <v>0</v>
      </c>
    </row>
    <row r="1812" spans="1:4">
      <c r="A1812" s="1927" t="s">
        <v>1788</v>
      </c>
      <c r="B1812" s="1928" t="str">
        <f>报表附注!E1997</f>
        <v>5、资源税</v>
      </c>
      <c r="C1812" s="1936">
        <f>报表附注!H1997</f>
        <v>0</v>
      </c>
      <c r="D1812" s="1927" t="b">
        <f t="shared" si="34"/>
        <v>0</v>
      </c>
    </row>
    <row r="1813" spans="1:4">
      <c r="A1813" s="1927" t="s">
        <v>1789</v>
      </c>
      <c r="B1813" s="1928" t="str">
        <f>报表附注!E1998</f>
        <v>6、土地增值税</v>
      </c>
      <c r="C1813" s="1936">
        <f>报表附注!H1998</f>
        <v>0</v>
      </c>
      <c r="D1813" s="1927" t="b">
        <f t="shared" si="34"/>
        <v>0</v>
      </c>
    </row>
    <row r="1814" spans="1:4">
      <c r="A1814" s="1927" t="s">
        <v>1790</v>
      </c>
      <c r="B1814" s="1928" t="str">
        <f>报表附注!E1999</f>
        <v>7、土地使用税</v>
      </c>
      <c r="C1814" s="1936">
        <f>报表附注!H1999</f>
        <v>0</v>
      </c>
      <c r="D1814" s="1927" t="b">
        <f t="shared" si="34"/>
        <v>0</v>
      </c>
    </row>
    <row r="1815" spans="1:4">
      <c r="A1815" s="1927" t="s">
        <v>1791</v>
      </c>
      <c r="B1815" s="1928" t="str">
        <f>报表附注!E2000</f>
        <v>8、房产税</v>
      </c>
      <c r="C1815" s="1936">
        <f>报表附注!H2000</f>
        <v>0</v>
      </c>
      <c r="D1815" s="1927" t="b">
        <f t="shared" si="34"/>
        <v>0</v>
      </c>
    </row>
    <row r="1816" spans="1:4">
      <c r="A1816" s="1927" t="s">
        <v>1792</v>
      </c>
      <c r="B1816" s="1928" t="str">
        <f>报表附注!E2001</f>
        <v>9、车船使用税</v>
      </c>
      <c r="C1816" s="1936">
        <f>报表附注!H2001</f>
        <v>0</v>
      </c>
      <c r="D1816" s="1927" t="b">
        <f t="shared" si="34"/>
        <v>0</v>
      </c>
    </row>
    <row r="1817" spans="1:4">
      <c r="A1817" s="1927" t="s">
        <v>1793</v>
      </c>
      <c r="B1817" s="1928" t="str">
        <f>报表附注!E2002</f>
        <v>10、城市维护建设税</v>
      </c>
      <c r="C1817" s="1936">
        <f>报表附注!H2002</f>
        <v>0</v>
      </c>
      <c r="D1817" s="1927" t="b">
        <f t="shared" si="34"/>
        <v>0</v>
      </c>
    </row>
    <row r="1818" spans="1:4">
      <c r="A1818" s="1927" t="s">
        <v>1794</v>
      </c>
      <c r="B1818" s="1928" t="str">
        <f>报表附注!E2003</f>
        <v>11、教育附加（含地方）</v>
      </c>
      <c r="C1818" s="1936">
        <f>报表附注!H2003</f>
        <v>0</v>
      </c>
      <c r="D1818" s="1927" t="b">
        <f t="shared" si="34"/>
        <v>0</v>
      </c>
    </row>
    <row r="1819" spans="1:4">
      <c r="A1819" s="1927" t="s">
        <v>1795</v>
      </c>
      <c r="B1819" s="1928" t="str">
        <f>报表附注!E2004</f>
        <v>12、矿产资源补偿费</v>
      </c>
      <c r="C1819" s="1936">
        <f>报表附注!H2004</f>
        <v>0</v>
      </c>
      <c r="D1819" s="1927" t="b">
        <f t="shared" si="34"/>
        <v>0</v>
      </c>
    </row>
    <row r="1820" spans="1:4">
      <c r="A1820" s="1927" t="s">
        <v>1796</v>
      </c>
      <c r="B1820" s="1928" t="str">
        <f>报表附注!E2005</f>
        <v>13、代扣代缴个人所得税</v>
      </c>
      <c r="C1820" s="1936">
        <f>报表附注!H2005</f>
        <v>0</v>
      </c>
      <c r="D1820" s="1927" t="b">
        <f t="shared" si="34"/>
        <v>0</v>
      </c>
    </row>
    <row r="1821" spans="1:4">
      <c r="A1821" s="1927" t="s">
        <v>1797</v>
      </c>
      <c r="B1821" s="1928" t="str">
        <f>报表附注!E2006</f>
        <v>14、印花税</v>
      </c>
      <c r="C1821" s="1936">
        <f>报表附注!H2006</f>
        <v>0</v>
      </c>
      <c r="D1821" s="1927" t="b">
        <f t="shared" si="34"/>
        <v>0</v>
      </c>
    </row>
    <row r="1822" spans="1:4">
      <c r="A1822" s="1927" t="s">
        <v>1798</v>
      </c>
      <c r="B1822" s="1928" t="str">
        <f>报表附注!E2007</f>
        <v>15、防洪保安费（堤围费）</v>
      </c>
      <c r="C1822" s="1936">
        <f>报表附注!H2007</f>
        <v>0</v>
      </c>
      <c r="D1822" s="1927" t="b">
        <f t="shared" si="34"/>
        <v>0</v>
      </c>
    </row>
    <row r="1823" spans="1:4">
      <c r="A1823" s="1927" t="s">
        <v>1799</v>
      </c>
      <c r="B1823" s="1928" t="str">
        <f>报表附注!E2008</f>
        <v>16、电力监管费</v>
      </c>
      <c r="C1823" s="1936">
        <f>报表附注!H2008</f>
        <v>0</v>
      </c>
      <c r="D1823" s="1927" t="b">
        <f t="shared" si="34"/>
        <v>0</v>
      </c>
    </row>
    <row r="1824" spans="1:4">
      <c r="A1824" s="1927" t="s">
        <v>1800</v>
      </c>
      <c r="B1824" s="1928" t="str">
        <f>报表附注!E2009</f>
        <v>17、水资源费</v>
      </c>
      <c r="C1824" s="1936">
        <f>报表附注!H2009</f>
        <v>0</v>
      </c>
      <c r="D1824" s="1927" t="b">
        <f t="shared" si="34"/>
        <v>0</v>
      </c>
    </row>
    <row r="1825" spans="1:4">
      <c r="A1825" s="1927" t="s">
        <v>1801</v>
      </c>
      <c r="B1825" s="1928" t="str">
        <f>报表附注!E2010</f>
        <v>18、库区维护费</v>
      </c>
      <c r="C1825" s="1936">
        <f>报表附注!H2010</f>
        <v>0</v>
      </c>
      <c r="D1825" s="1927" t="b">
        <f t="shared" si="34"/>
        <v>0</v>
      </c>
    </row>
    <row r="1826" spans="1:4">
      <c r="A1826" s="1927" t="s">
        <v>1802</v>
      </c>
      <c r="B1826" s="1928" t="str">
        <f>报表附注!E2011</f>
        <v>19、代扣代缴企业所得税</v>
      </c>
      <c r="C1826" s="1936">
        <f>报表附注!H2011</f>
        <v>0</v>
      </c>
      <c r="D1826" s="1927" t="b">
        <f t="shared" si="34"/>
        <v>0</v>
      </c>
    </row>
    <row r="1827" spans="1:4">
      <c r="A1827" s="1927" t="s">
        <v>1803</v>
      </c>
      <c r="B1827" s="1928" t="str">
        <f>报表附注!E2012</f>
        <v>20、其他1-地方水利建设基金</v>
      </c>
      <c r="C1827" s="1936">
        <f>报表附注!H2012</f>
        <v>0</v>
      </c>
      <c r="D1827" s="1927" t="b">
        <f t="shared" si="34"/>
        <v>0</v>
      </c>
    </row>
    <row r="1828" spans="1:4">
      <c r="A1828" s="1927" t="s">
        <v>1804</v>
      </c>
      <c r="B1828" s="1928" t="str">
        <f>报表附注!E2013</f>
        <v>21、其他2-价格调节基金</v>
      </c>
      <c r="C1828" s="1936">
        <f>报表附注!H2013</f>
        <v>0</v>
      </c>
      <c r="D1828" s="1927" t="b">
        <f t="shared" si="34"/>
        <v>0</v>
      </c>
    </row>
    <row r="1829" spans="1:4">
      <c r="A1829" s="1927" t="s">
        <v>1805</v>
      </c>
      <c r="B1829" s="1928" t="str">
        <f>报表附注!E2014</f>
        <v>22、其他3-排污费</v>
      </c>
      <c r="C1829" s="1936">
        <f>报表附注!H2014</f>
        <v>0</v>
      </c>
      <c r="D1829" s="1927" t="b">
        <f t="shared" si="34"/>
        <v>0</v>
      </c>
    </row>
    <row r="1830" spans="1:4">
      <c r="A1830" s="1927" t="s">
        <v>1806</v>
      </c>
      <c r="B1830" s="1928" t="str">
        <f>报表附注!E2015</f>
        <v>23、其他4-</v>
      </c>
      <c r="C1830" s="1936">
        <f>报表附注!H2015</f>
        <v>0</v>
      </c>
      <c r="D1830" s="1927" t="b">
        <f t="shared" si="34"/>
        <v>0</v>
      </c>
    </row>
    <row r="1831" spans="1:4">
      <c r="A1831" s="1927" t="s">
        <v>1807</v>
      </c>
      <c r="B1831" s="1928" t="str">
        <f>报表附注!E2016</f>
        <v>24、其他5-</v>
      </c>
      <c r="C1831" s="1936">
        <f>报表附注!H2016</f>
        <v>0</v>
      </c>
      <c r="D1831" s="1927" t="b">
        <f t="shared" si="34"/>
        <v>0</v>
      </c>
    </row>
    <row r="1832" spans="1:4">
      <c r="A1832" s="1927" t="s">
        <v>1580</v>
      </c>
      <c r="B1832" s="1939" t="str">
        <f>报表附注!E2017</f>
        <v>合计</v>
      </c>
      <c r="C1832" s="1936">
        <f>报表附注!H2017</f>
        <v>0</v>
      </c>
      <c r="D1832" s="1927" t="b">
        <f t="shared" si="34"/>
        <v>1</v>
      </c>
    </row>
    <row r="1833" spans="1:4">
      <c r="A1833" s="1927" t="s">
        <v>315</v>
      </c>
      <c r="B1833" s="1948" t="s">
        <v>315</v>
      </c>
      <c r="D1833" s="1927" t="b">
        <f t="shared" si="34"/>
        <v>1</v>
      </c>
    </row>
    <row r="1834" spans="1:4">
      <c r="A1834" s="1927" t="s">
        <v>1784</v>
      </c>
      <c r="B1834" s="1942" t="str">
        <f>报表附注!E1993</f>
        <v>1、企业所得税</v>
      </c>
      <c r="C1834" s="1936">
        <f>报表附注!I1993</f>
        <v>0</v>
      </c>
      <c r="D1834" s="1927" t="b">
        <f t="shared" si="34"/>
        <v>0</v>
      </c>
    </row>
    <row r="1835" spans="1:4">
      <c r="A1835" s="1927" t="s">
        <v>1785</v>
      </c>
      <c r="B1835" s="1942" t="str">
        <f>报表附注!E1994</f>
        <v>2、增值税</v>
      </c>
      <c r="C1835" s="1936">
        <f>报表附注!I1994</f>
        <v>0</v>
      </c>
      <c r="D1835" s="1927" t="b">
        <f t="shared" si="34"/>
        <v>0</v>
      </c>
    </row>
    <row r="1836" spans="1:4">
      <c r="A1836" s="1927" t="s">
        <v>1786</v>
      </c>
      <c r="B1836" s="1942" t="str">
        <f>报表附注!E1995</f>
        <v>3、营业税</v>
      </c>
      <c r="C1836" s="1936">
        <f>报表附注!I1995</f>
        <v>0</v>
      </c>
      <c r="D1836" s="1927" t="b">
        <f t="shared" si="34"/>
        <v>0</v>
      </c>
    </row>
    <row r="1837" spans="1:4">
      <c r="A1837" s="1927" t="s">
        <v>1787</v>
      </c>
      <c r="B1837" s="1942" t="str">
        <f>报表附注!E1996</f>
        <v>4、消费税</v>
      </c>
      <c r="C1837" s="1936">
        <f>报表附注!I1996</f>
        <v>0</v>
      </c>
      <c r="D1837" s="1927" t="b">
        <f t="shared" si="34"/>
        <v>0</v>
      </c>
    </row>
    <row r="1838" spans="1:4">
      <c r="A1838" s="1927" t="s">
        <v>1788</v>
      </c>
      <c r="B1838" s="1942" t="str">
        <f>报表附注!E1997</f>
        <v>5、资源税</v>
      </c>
      <c r="C1838" s="1936">
        <f>报表附注!I1997</f>
        <v>0</v>
      </c>
      <c r="D1838" s="1927" t="b">
        <f t="shared" si="34"/>
        <v>0</v>
      </c>
    </row>
    <row r="1839" spans="1:4">
      <c r="A1839" s="1927" t="s">
        <v>1789</v>
      </c>
      <c r="B1839" s="1942" t="str">
        <f>报表附注!E1998</f>
        <v>6、土地增值税</v>
      </c>
      <c r="C1839" s="1936">
        <f>报表附注!I1998</f>
        <v>0</v>
      </c>
      <c r="D1839" s="1927" t="b">
        <f t="shared" si="34"/>
        <v>0</v>
      </c>
    </row>
    <row r="1840" spans="1:4">
      <c r="A1840" s="1927" t="s">
        <v>1790</v>
      </c>
      <c r="B1840" s="1942" t="str">
        <f>报表附注!E1999</f>
        <v>7、土地使用税</v>
      </c>
      <c r="C1840" s="1936">
        <f>报表附注!I1999</f>
        <v>0</v>
      </c>
      <c r="D1840" s="1927" t="b">
        <f t="shared" si="34"/>
        <v>0</v>
      </c>
    </row>
    <row r="1841" spans="1:4">
      <c r="A1841" s="1927" t="s">
        <v>1791</v>
      </c>
      <c r="B1841" s="1942" t="str">
        <f>报表附注!E2000</f>
        <v>8、房产税</v>
      </c>
      <c r="C1841" s="1936">
        <f>报表附注!I2000</f>
        <v>0</v>
      </c>
      <c r="D1841" s="1927" t="b">
        <f t="shared" si="34"/>
        <v>0</v>
      </c>
    </row>
    <row r="1842" spans="1:4">
      <c r="A1842" s="1927" t="s">
        <v>1792</v>
      </c>
      <c r="B1842" s="1942" t="str">
        <f>报表附注!E2001</f>
        <v>9、车船使用税</v>
      </c>
      <c r="C1842" s="1936">
        <f>报表附注!I2001</f>
        <v>0</v>
      </c>
      <c r="D1842" s="1927" t="b">
        <f t="shared" si="34"/>
        <v>0</v>
      </c>
    </row>
    <row r="1843" spans="1:4">
      <c r="A1843" s="1927" t="s">
        <v>1793</v>
      </c>
      <c r="B1843" s="1942" t="str">
        <f>报表附注!E2002</f>
        <v>10、城市维护建设税</v>
      </c>
      <c r="C1843" s="1936">
        <f>报表附注!I2002</f>
        <v>0</v>
      </c>
      <c r="D1843" s="1927" t="b">
        <f t="shared" si="34"/>
        <v>0</v>
      </c>
    </row>
    <row r="1844" spans="1:4">
      <c r="A1844" s="1927" t="s">
        <v>1794</v>
      </c>
      <c r="B1844" s="1942" t="str">
        <f>报表附注!E2003</f>
        <v>11、教育附加（含地方）</v>
      </c>
      <c r="C1844" s="1936">
        <f>报表附注!I2003</f>
        <v>0</v>
      </c>
      <c r="D1844" s="1927" t="b">
        <f t="shared" si="34"/>
        <v>0</v>
      </c>
    </row>
    <row r="1845" spans="1:4">
      <c r="A1845" s="1927" t="s">
        <v>1795</v>
      </c>
      <c r="B1845" s="1942" t="str">
        <f>报表附注!E2004</f>
        <v>12、矿产资源补偿费</v>
      </c>
      <c r="C1845" s="1936">
        <f>报表附注!I2004</f>
        <v>0</v>
      </c>
      <c r="D1845" s="1927" t="b">
        <f t="shared" si="34"/>
        <v>0</v>
      </c>
    </row>
    <row r="1846" spans="1:4">
      <c r="A1846" s="1927" t="s">
        <v>1796</v>
      </c>
      <c r="B1846" s="1942" t="str">
        <f>报表附注!E2005</f>
        <v>13、代扣代缴个人所得税</v>
      </c>
      <c r="C1846" s="1936">
        <f>报表附注!I2005</f>
        <v>0</v>
      </c>
      <c r="D1846" s="1927" t="b">
        <f t="shared" si="34"/>
        <v>0</v>
      </c>
    </row>
    <row r="1847" spans="1:4">
      <c r="A1847" s="1927" t="s">
        <v>1797</v>
      </c>
      <c r="B1847" s="1942" t="str">
        <f>报表附注!E2006</f>
        <v>14、印花税</v>
      </c>
      <c r="C1847" s="1936">
        <f>报表附注!I2006</f>
        <v>0</v>
      </c>
      <c r="D1847" s="1927" t="b">
        <f t="shared" si="34"/>
        <v>0</v>
      </c>
    </row>
    <row r="1848" spans="1:4">
      <c r="A1848" s="1927" t="s">
        <v>1798</v>
      </c>
      <c r="B1848" s="1942" t="str">
        <f>报表附注!E2007</f>
        <v>15、防洪保安费（堤围费）</v>
      </c>
      <c r="C1848" s="1936">
        <f>报表附注!I2007</f>
        <v>0</v>
      </c>
      <c r="D1848" s="1927" t="b">
        <f t="shared" si="34"/>
        <v>0</v>
      </c>
    </row>
    <row r="1849" spans="1:4">
      <c r="A1849" s="1927" t="s">
        <v>1799</v>
      </c>
      <c r="B1849" s="1942" t="str">
        <f>报表附注!E2008</f>
        <v>16、电力监管费</v>
      </c>
      <c r="C1849" s="1936">
        <f>报表附注!I2008</f>
        <v>0</v>
      </c>
      <c r="D1849" s="1927" t="b">
        <f t="shared" si="34"/>
        <v>0</v>
      </c>
    </row>
    <row r="1850" spans="1:4">
      <c r="A1850" s="1927" t="s">
        <v>1800</v>
      </c>
      <c r="B1850" s="1942" t="str">
        <f>报表附注!E2009</f>
        <v>17、水资源费</v>
      </c>
      <c r="C1850" s="1936">
        <f>报表附注!I2009</f>
        <v>0</v>
      </c>
      <c r="D1850" s="1927" t="b">
        <f t="shared" si="34"/>
        <v>0</v>
      </c>
    </row>
    <row r="1851" spans="1:4">
      <c r="A1851" s="1927" t="s">
        <v>1801</v>
      </c>
      <c r="B1851" s="1942" t="str">
        <f>报表附注!E2010</f>
        <v>18、库区维护费</v>
      </c>
      <c r="C1851" s="1936">
        <f>报表附注!I2010</f>
        <v>0</v>
      </c>
      <c r="D1851" s="1927" t="b">
        <f t="shared" si="34"/>
        <v>0</v>
      </c>
    </row>
    <row r="1852" spans="1:4">
      <c r="A1852" s="1927" t="s">
        <v>1802</v>
      </c>
      <c r="B1852" s="1942" t="str">
        <f>报表附注!E2011</f>
        <v>19、代扣代缴企业所得税</v>
      </c>
      <c r="C1852" s="1936">
        <f>报表附注!I2011</f>
        <v>0</v>
      </c>
      <c r="D1852" s="1927" t="b">
        <f t="shared" si="34"/>
        <v>0</v>
      </c>
    </row>
    <row r="1853" spans="1:4">
      <c r="A1853" s="1927" t="s">
        <v>1803</v>
      </c>
      <c r="B1853" s="1942" t="str">
        <f>报表附注!E2012</f>
        <v>20、其他1-地方水利建设基金</v>
      </c>
      <c r="C1853" s="1936">
        <f>报表附注!I2012</f>
        <v>0</v>
      </c>
      <c r="D1853" s="1927" t="b">
        <f t="shared" si="34"/>
        <v>0</v>
      </c>
    </row>
    <row r="1854" spans="1:4">
      <c r="A1854" s="1927" t="s">
        <v>1804</v>
      </c>
      <c r="B1854" s="1942" t="str">
        <f>报表附注!E2013</f>
        <v>21、其他2-价格调节基金</v>
      </c>
      <c r="C1854" s="1936">
        <f>报表附注!I2013</f>
        <v>0</v>
      </c>
      <c r="D1854" s="1927" t="b">
        <f t="shared" ref="D1854:D1917" si="35">EXACT(A1854,B1854)</f>
        <v>0</v>
      </c>
    </row>
    <row r="1855" spans="1:4">
      <c r="A1855" s="1927" t="s">
        <v>1805</v>
      </c>
      <c r="B1855" s="1942" t="str">
        <f>报表附注!E2014</f>
        <v>22、其他3-排污费</v>
      </c>
      <c r="C1855" s="1936">
        <f>报表附注!I2014</f>
        <v>0</v>
      </c>
      <c r="D1855" s="1927" t="b">
        <f t="shared" si="35"/>
        <v>0</v>
      </c>
    </row>
    <row r="1856" spans="1:4">
      <c r="A1856" s="1927" t="s">
        <v>1806</v>
      </c>
      <c r="B1856" s="1942" t="str">
        <f>报表附注!E2015</f>
        <v>23、其他4-</v>
      </c>
      <c r="C1856" s="1936">
        <f>报表附注!I2015</f>
        <v>0</v>
      </c>
      <c r="D1856" s="1927" t="b">
        <f t="shared" si="35"/>
        <v>0</v>
      </c>
    </row>
    <row r="1857" spans="1:4">
      <c r="A1857" s="1927" t="s">
        <v>1807</v>
      </c>
      <c r="B1857" s="1942" t="str">
        <f>报表附注!E2016</f>
        <v>24、其他5-</v>
      </c>
      <c r="C1857" s="1936">
        <f>报表附注!I2016</f>
        <v>0</v>
      </c>
      <c r="D1857" s="1927" t="b">
        <f t="shared" si="35"/>
        <v>0</v>
      </c>
    </row>
    <row r="1858" spans="1:4">
      <c r="A1858" s="1927" t="s">
        <v>1580</v>
      </c>
      <c r="B1858" s="1939" t="str">
        <f>报表附注!E2017</f>
        <v>合计</v>
      </c>
      <c r="C1858" s="1936">
        <f>报表附注!I2017</f>
        <v>0</v>
      </c>
      <c r="D1858" s="1927" t="b">
        <f t="shared" si="35"/>
        <v>1</v>
      </c>
    </row>
    <row r="1859" spans="4:4">
      <c r="D1859" s="1927" t="b">
        <f t="shared" si="35"/>
        <v>1</v>
      </c>
    </row>
    <row r="1860" spans="1:4">
      <c r="A1860" s="1927" t="s">
        <v>1810</v>
      </c>
      <c r="B1860" s="377" t="s">
        <v>1810</v>
      </c>
      <c r="D1860" s="1927" t="b">
        <f t="shared" si="35"/>
        <v>1</v>
      </c>
    </row>
    <row r="1861" spans="1:4">
      <c r="A1861" s="1927" t="s">
        <v>515</v>
      </c>
      <c r="B1861" s="1948" t="s">
        <v>515</v>
      </c>
      <c r="D1861" s="1927" t="b">
        <f t="shared" si="35"/>
        <v>1</v>
      </c>
    </row>
    <row r="1862" spans="1:4">
      <c r="A1862" s="1927" t="s">
        <v>1811</v>
      </c>
      <c r="B1862" s="1928" t="str">
        <f>报表附注!E2028</f>
        <v>分期付息到期还本的长期借款利息</v>
      </c>
      <c r="C1862" s="1936">
        <f>报表附注!F2028</f>
        <v>0</v>
      </c>
      <c r="D1862" s="1927" t="b">
        <f t="shared" si="35"/>
        <v>1</v>
      </c>
    </row>
    <row r="1863" spans="1:4">
      <c r="A1863" s="1927" t="s">
        <v>1812</v>
      </c>
      <c r="B1863" s="1928" t="str">
        <f>报表附注!E2029</f>
        <v>企业债券利息</v>
      </c>
      <c r="C1863" s="1936">
        <f>报表附注!F2029</f>
        <v>0</v>
      </c>
      <c r="D1863" s="1927" t="b">
        <f t="shared" si="35"/>
        <v>1</v>
      </c>
    </row>
    <row r="1864" spans="1:4">
      <c r="A1864" s="1927" t="s">
        <v>1813</v>
      </c>
      <c r="B1864" s="1928" t="str">
        <f>报表附注!E2030</f>
        <v>短期借款应付利息</v>
      </c>
      <c r="C1864" s="1936">
        <f>报表附注!F2030</f>
        <v>0</v>
      </c>
      <c r="D1864" s="1927" t="b">
        <f t="shared" si="35"/>
        <v>1</v>
      </c>
    </row>
    <row r="1865" spans="1:4">
      <c r="A1865" s="1927" t="s">
        <v>1580</v>
      </c>
      <c r="B1865" s="1939" t="str">
        <f>报表附注!E2031</f>
        <v>合计</v>
      </c>
      <c r="C1865" s="1936">
        <f>报表附注!F2031</f>
        <v>0</v>
      </c>
      <c r="D1865" s="1927" t="b">
        <f t="shared" si="35"/>
        <v>1</v>
      </c>
    </row>
    <row r="1866" spans="4:4">
      <c r="D1866" s="1927" t="b">
        <f t="shared" si="35"/>
        <v>1</v>
      </c>
    </row>
    <row r="1867" spans="4:4">
      <c r="D1867" s="1927" t="b">
        <f t="shared" si="35"/>
        <v>1</v>
      </c>
    </row>
    <row r="1868" spans="1:4">
      <c r="A1868" s="1927" t="s">
        <v>1814</v>
      </c>
      <c r="B1868" s="1947" t="s">
        <v>1814</v>
      </c>
      <c r="D1868" s="1927" t="b">
        <f t="shared" si="35"/>
        <v>1</v>
      </c>
    </row>
    <row r="1869" spans="4:4">
      <c r="D1869" s="1927" t="b">
        <f t="shared" si="35"/>
        <v>1</v>
      </c>
    </row>
    <row r="1870" spans="1:4">
      <c r="A1870" s="1927" t="s">
        <v>1815</v>
      </c>
      <c r="B1870" s="1945" t="s">
        <v>1815</v>
      </c>
      <c r="D1870" s="1927" t="b">
        <f t="shared" si="35"/>
        <v>1</v>
      </c>
    </row>
    <row r="1871" spans="1:4">
      <c r="A1871" s="1927" t="s">
        <v>315</v>
      </c>
      <c r="B1871" s="1948" t="s">
        <v>315</v>
      </c>
      <c r="D1871" s="1927" t="b">
        <f t="shared" si="35"/>
        <v>1</v>
      </c>
    </row>
    <row r="1872" spans="1:4">
      <c r="A1872" s="1927" t="s">
        <v>1585</v>
      </c>
      <c r="B1872" s="1928" t="str">
        <f>报表附注!E2065</f>
        <v>1年以内（含1年）</v>
      </c>
      <c r="C1872" s="1936">
        <f>报表附注!F2065</f>
        <v>0</v>
      </c>
      <c r="D1872" s="1927" t="b">
        <f t="shared" si="35"/>
        <v>1</v>
      </c>
    </row>
    <row r="1873" spans="1:4">
      <c r="A1873" s="1927" t="s">
        <v>1586</v>
      </c>
      <c r="B1873" s="1928" t="str">
        <f>报表附注!E2066</f>
        <v>1-2年（含2年）</v>
      </c>
      <c r="C1873" s="1936">
        <f>报表附注!F2066</f>
        <v>0</v>
      </c>
      <c r="D1873" s="1927" t="b">
        <f t="shared" si="35"/>
        <v>1</v>
      </c>
    </row>
    <row r="1874" spans="1:4">
      <c r="A1874" s="1927" t="s">
        <v>1587</v>
      </c>
      <c r="B1874" s="1928" t="str">
        <f>报表附注!E2067</f>
        <v>2-3年（含3年）</v>
      </c>
      <c r="C1874" s="1936">
        <f>报表附注!F2067</f>
        <v>0</v>
      </c>
      <c r="D1874" s="1927" t="b">
        <f t="shared" si="35"/>
        <v>1</v>
      </c>
    </row>
    <row r="1875" spans="1:4">
      <c r="A1875" s="1927" t="s">
        <v>1588</v>
      </c>
      <c r="B1875" s="1928" t="str">
        <f>报表附注!E2068</f>
        <v>3-4年（含4年）</v>
      </c>
      <c r="C1875" s="1936">
        <f>报表附注!F2068</f>
        <v>0</v>
      </c>
      <c r="D1875" s="1927" t="b">
        <f t="shared" si="35"/>
        <v>1</v>
      </c>
    </row>
    <row r="1876" spans="1:4">
      <c r="A1876" s="1927" t="s">
        <v>1589</v>
      </c>
      <c r="B1876" s="1928" t="str">
        <f>报表附注!E2069</f>
        <v>4-5年（含5年）</v>
      </c>
      <c r="C1876" s="1936">
        <f>报表附注!F2069</f>
        <v>0</v>
      </c>
      <c r="D1876" s="1927" t="b">
        <f t="shared" si="35"/>
        <v>1</v>
      </c>
    </row>
    <row r="1877" spans="1:4">
      <c r="A1877" s="1927" t="s">
        <v>1590</v>
      </c>
      <c r="B1877" s="1928" t="str">
        <f>报表附注!E2070</f>
        <v>5年以上</v>
      </c>
      <c r="C1877" s="1936">
        <f>报表附注!F2070</f>
        <v>0</v>
      </c>
      <c r="D1877" s="1927" t="b">
        <f t="shared" si="35"/>
        <v>1</v>
      </c>
    </row>
    <row r="1878" spans="1:4">
      <c r="A1878" s="1927" t="s">
        <v>1580</v>
      </c>
      <c r="B1878" s="1939" t="str">
        <f>报表附注!E2071</f>
        <v>合计</v>
      </c>
      <c r="C1878" s="1936">
        <f>报表附注!F2071</f>
        <v>0</v>
      </c>
      <c r="D1878" s="1927" t="b">
        <f t="shared" si="35"/>
        <v>1</v>
      </c>
    </row>
    <row r="1879" spans="1:4">
      <c r="A1879" s="1927" t="s">
        <v>1579</v>
      </c>
      <c r="B1879" s="1948" t="s">
        <v>1579</v>
      </c>
      <c r="D1879" s="1927" t="b">
        <f t="shared" si="35"/>
        <v>1</v>
      </c>
    </row>
    <row r="1880" spans="1:4">
      <c r="A1880" s="1927" t="s">
        <v>1585</v>
      </c>
      <c r="B1880" s="1928" t="str">
        <f>报表附注!E2065</f>
        <v>1年以内（含1年）</v>
      </c>
      <c r="C1880" s="1936">
        <f>报表附注!G2065</f>
        <v>0</v>
      </c>
      <c r="D1880" s="1927" t="b">
        <f t="shared" si="35"/>
        <v>1</v>
      </c>
    </row>
    <row r="1881" spans="1:4">
      <c r="A1881" s="1927" t="s">
        <v>1586</v>
      </c>
      <c r="B1881" s="1928" t="str">
        <f>报表附注!E2066</f>
        <v>1-2年（含2年）</v>
      </c>
      <c r="C1881" s="1936">
        <f>报表附注!G2066</f>
        <v>0</v>
      </c>
      <c r="D1881" s="1927" t="b">
        <f t="shared" si="35"/>
        <v>1</v>
      </c>
    </row>
    <row r="1882" spans="1:4">
      <c r="A1882" s="1927" t="s">
        <v>1587</v>
      </c>
      <c r="B1882" s="1928" t="str">
        <f>报表附注!E2067</f>
        <v>2-3年（含3年）</v>
      </c>
      <c r="C1882" s="1936">
        <f>报表附注!G2067</f>
        <v>0</v>
      </c>
      <c r="D1882" s="1927" t="b">
        <f t="shared" si="35"/>
        <v>1</v>
      </c>
    </row>
    <row r="1883" spans="1:4">
      <c r="A1883" s="1927" t="s">
        <v>1588</v>
      </c>
      <c r="B1883" s="1928" t="str">
        <f>报表附注!E2068</f>
        <v>3-4年（含4年）</v>
      </c>
      <c r="C1883" s="1936">
        <f>报表附注!G2068</f>
        <v>0</v>
      </c>
      <c r="D1883" s="1927" t="b">
        <f t="shared" si="35"/>
        <v>1</v>
      </c>
    </row>
    <row r="1884" spans="1:4">
      <c r="A1884" s="1927" t="s">
        <v>1589</v>
      </c>
      <c r="B1884" s="1928" t="str">
        <f>报表附注!E2069</f>
        <v>4-5年（含5年）</v>
      </c>
      <c r="C1884" s="1936">
        <f>报表附注!G2069</f>
        <v>0</v>
      </c>
      <c r="D1884" s="1927" t="b">
        <f t="shared" si="35"/>
        <v>1</v>
      </c>
    </row>
    <row r="1885" spans="1:4">
      <c r="A1885" s="1927" t="s">
        <v>1590</v>
      </c>
      <c r="B1885" s="1928" t="str">
        <f>报表附注!E2070</f>
        <v>5年以上</v>
      </c>
      <c r="C1885" s="1936">
        <f>报表附注!G2070</f>
        <v>0</v>
      </c>
      <c r="D1885" s="1927" t="b">
        <f t="shared" si="35"/>
        <v>1</v>
      </c>
    </row>
    <row r="1886" spans="1:4">
      <c r="A1886" s="1927" t="s">
        <v>1580</v>
      </c>
      <c r="B1886" s="1939" t="str">
        <f>报表附注!E2071</f>
        <v>合计</v>
      </c>
      <c r="C1886" s="1936">
        <f>报表附注!G2071</f>
        <v>0</v>
      </c>
      <c r="D1886" s="1927" t="b">
        <f t="shared" si="35"/>
        <v>1</v>
      </c>
    </row>
    <row r="1887" spans="4:4">
      <c r="D1887" s="1927" t="b">
        <f t="shared" si="35"/>
        <v>1</v>
      </c>
    </row>
    <row r="1888" ht="12" spans="1:4">
      <c r="A1888" s="1927" t="s">
        <v>1816</v>
      </c>
      <c r="B1888" s="1968" t="s">
        <v>1816</v>
      </c>
      <c r="D1888" s="1927" t="b">
        <f t="shared" si="35"/>
        <v>1</v>
      </c>
    </row>
    <row r="1889" ht="12" spans="1:4">
      <c r="A1889" s="1927" t="s">
        <v>670</v>
      </c>
      <c r="B1889" s="1978" t="s">
        <v>670</v>
      </c>
      <c r="D1889" s="1927" t="b">
        <f t="shared" si="35"/>
        <v>1</v>
      </c>
    </row>
    <row r="1890" ht="12" spans="1:4">
      <c r="A1890" s="1927" t="s">
        <v>1817</v>
      </c>
      <c r="B1890" s="1979" t="str">
        <f>报表附注!E2160</f>
        <v>对外提供担保</v>
      </c>
      <c r="C1890" s="1936">
        <f>报表附注!F2160</f>
        <v>0</v>
      </c>
      <c r="D1890" s="1927" t="b">
        <f t="shared" si="35"/>
        <v>1</v>
      </c>
    </row>
    <row r="1891" ht="12" spans="1:4">
      <c r="A1891" s="1927" t="s">
        <v>1818</v>
      </c>
      <c r="B1891" s="1979" t="str">
        <f>报表附注!E2161</f>
        <v>未决诉讼</v>
      </c>
      <c r="C1891" s="1936">
        <f>报表附注!F2161</f>
        <v>0</v>
      </c>
      <c r="D1891" s="1927" t="b">
        <f t="shared" si="35"/>
        <v>1</v>
      </c>
    </row>
    <row r="1892" ht="12" spans="1:4">
      <c r="A1892" s="1927" t="s">
        <v>1819</v>
      </c>
      <c r="B1892" s="1979" t="str">
        <f>报表附注!E2162</f>
        <v>产品质量保证</v>
      </c>
      <c r="C1892" s="1936">
        <f>报表附注!F2162</f>
        <v>0</v>
      </c>
      <c r="D1892" s="1927" t="b">
        <f t="shared" si="35"/>
        <v>1</v>
      </c>
    </row>
    <row r="1893" ht="12" spans="1:4">
      <c r="A1893" s="1927" t="s">
        <v>1820</v>
      </c>
      <c r="B1893" s="1979" t="str">
        <f>报表附注!E2163</f>
        <v>重组义务</v>
      </c>
      <c r="C1893" s="1936">
        <f>报表附注!F2163</f>
        <v>0</v>
      </c>
      <c r="D1893" s="1927" t="b">
        <f t="shared" si="35"/>
        <v>1</v>
      </c>
    </row>
    <row r="1894" ht="12" spans="1:4">
      <c r="A1894" s="1927" t="s">
        <v>1821</v>
      </c>
      <c r="B1894" s="1979" t="str">
        <f>报表附注!E2164</f>
        <v>辞退福利</v>
      </c>
      <c r="C1894" s="1936">
        <f>报表附注!F2164</f>
        <v>0</v>
      </c>
      <c r="D1894" s="1927" t="b">
        <f t="shared" si="35"/>
        <v>1</v>
      </c>
    </row>
    <row r="1895" ht="12" spans="1:4">
      <c r="A1895" s="1927" t="s">
        <v>1822</v>
      </c>
      <c r="B1895" s="1979" t="str">
        <f>报表附注!E2165</f>
        <v>待执行的亏损合同</v>
      </c>
      <c r="C1895" s="1936">
        <f>报表附注!F2165</f>
        <v>0</v>
      </c>
      <c r="D1895" s="1927" t="b">
        <f t="shared" si="35"/>
        <v>1</v>
      </c>
    </row>
    <row r="1896" ht="12" spans="1:4">
      <c r="A1896" s="1927" t="s">
        <v>279</v>
      </c>
      <c r="B1896" s="1979" t="str">
        <f>报表附注!E2166</f>
        <v>其他</v>
      </c>
      <c r="C1896" s="1936">
        <f>报表附注!F2166</f>
        <v>0</v>
      </c>
      <c r="D1896" s="1927" t="b">
        <f t="shared" si="35"/>
        <v>1</v>
      </c>
    </row>
    <row r="1897" ht="12" spans="1:4">
      <c r="A1897" s="1927" t="s">
        <v>346</v>
      </c>
      <c r="B1897" s="1980" t="str">
        <f>报表附注!E2167</f>
        <v>合 计</v>
      </c>
      <c r="C1897" s="1936">
        <f>报表附注!F2167</f>
        <v>0</v>
      </c>
      <c r="D1897" s="1927" t="b">
        <f t="shared" si="35"/>
        <v>1</v>
      </c>
    </row>
    <row r="1898" ht="12" spans="1:4">
      <c r="A1898" s="1927" t="s">
        <v>671</v>
      </c>
      <c r="B1898" s="1978" t="s">
        <v>671</v>
      </c>
      <c r="D1898" s="1927" t="b">
        <f t="shared" si="35"/>
        <v>1</v>
      </c>
    </row>
    <row r="1899" ht="12" spans="1:4">
      <c r="A1899" s="1927" t="s">
        <v>1817</v>
      </c>
      <c r="B1899" s="1979" t="str">
        <f>报表附注!E2160</f>
        <v>对外提供担保</v>
      </c>
      <c r="C1899" s="1936">
        <f>报表附注!G2160</f>
        <v>0</v>
      </c>
      <c r="D1899" s="1927" t="b">
        <f t="shared" si="35"/>
        <v>1</v>
      </c>
    </row>
    <row r="1900" ht="12" spans="1:4">
      <c r="A1900" s="1927" t="s">
        <v>1818</v>
      </c>
      <c r="B1900" s="1979" t="str">
        <f>报表附注!E2161</f>
        <v>未决诉讼</v>
      </c>
      <c r="C1900" s="1936">
        <f>报表附注!G2161</f>
        <v>0</v>
      </c>
      <c r="D1900" s="1927" t="b">
        <f t="shared" si="35"/>
        <v>1</v>
      </c>
    </row>
    <row r="1901" ht="12" spans="1:4">
      <c r="A1901" s="1927" t="s">
        <v>1819</v>
      </c>
      <c r="B1901" s="1979" t="str">
        <f>报表附注!E2162</f>
        <v>产品质量保证</v>
      </c>
      <c r="C1901" s="1936">
        <f>报表附注!G2162</f>
        <v>0</v>
      </c>
      <c r="D1901" s="1927" t="b">
        <f t="shared" si="35"/>
        <v>1</v>
      </c>
    </row>
    <row r="1902" ht="12" spans="1:4">
      <c r="A1902" s="1927" t="s">
        <v>1820</v>
      </c>
      <c r="B1902" s="1979" t="str">
        <f>报表附注!E2163</f>
        <v>重组义务</v>
      </c>
      <c r="C1902" s="1936">
        <f>报表附注!G2163</f>
        <v>0</v>
      </c>
      <c r="D1902" s="1927" t="b">
        <f t="shared" si="35"/>
        <v>1</v>
      </c>
    </row>
    <row r="1903" ht="12" spans="1:4">
      <c r="A1903" s="1927" t="s">
        <v>1821</v>
      </c>
      <c r="B1903" s="1979" t="str">
        <f>报表附注!E2164</f>
        <v>辞退福利</v>
      </c>
      <c r="C1903" s="1936">
        <f>报表附注!G2164</f>
        <v>0</v>
      </c>
      <c r="D1903" s="1927" t="b">
        <f t="shared" si="35"/>
        <v>1</v>
      </c>
    </row>
    <row r="1904" ht="12" spans="1:4">
      <c r="A1904" s="1927" t="s">
        <v>1822</v>
      </c>
      <c r="B1904" s="1979" t="str">
        <f>报表附注!E2165</f>
        <v>待执行的亏损合同</v>
      </c>
      <c r="C1904" s="1936">
        <f>报表附注!G2165</f>
        <v>0</v>
      </c>
      <c r="D1904" s="1927" t="b">
        <f t="shared" si="35"/>
        <v>1</v>
      </c>
    </row>
    <row r="1905" ht="12" spans="1:4">
      <c r="A1905" s="1927" t="s">
        <v>279</v>
      </c>
      <c r="B1905" s="1979" t="str">
        <f>报表附注!E2166</f>
        <v>其他</v>
      </c>
      <c r="C1905" s="1936">
        <f>报表附注!G2166</f>
        <v>0</v>
      </c>
      <c r="D1905" s="1927" t="b">
        <f t="shared" si="35"/>
        <v>1</v>
      </c>
    </row>
    <row r="1906" ht="12" spans="1:4">
      <c r="A1906" s="1927" t="s">
        <v>346</v>
      </c>
      <c r="B1906" s="1980" t="str">
        <f>报表附注!E2167</f>
        <v>合 计</v>
      </c>
      <c r="C1906" s="1936">
        <f>报表附注!G2167</f>
        <v>0</v>
      </c>
      <c r="D1906" s="1927" t="b">
        <f t="shared" si="35"/>
        <v>1</v>
      </c>
    </row>
    <row r="1907" ht="12" spans="1:4">
      <c r="A1907" s="1927" t="s">
        <v>672</v>
      </c>
      <c r="B1907" s="1978" t="s">
        <v>672</v>
      </c>
      <c r="D1907" s="1927" t="b">
        <f t="shared" si="35"/>
        <v>1</v>
      </c>
    </row>
    <row r="1908" ht="12" spans="1:4">
      <c r="A1908" s="1927" t="s">
        <v>1817</v>
      </c>
      <c r="B1908" s="1979" t="str">
        <f>报表附注!E2160</f>
        <v>对外提供担保</v>
      </c>
      <c r="C1908" s="1936">
        <f>报表附注!H2160</f>
        <v>0</v>
      </c>
      <c r="D1908" s="1927" t="b">
        <f t="shared" si="35"/>
        <v>1</v>
      </c>
    </row>
    <row r="1909" ht="12" spans="1:4">
      <c r="A1909" s="1927" t="s">
        <v>1818</v>
      </c>
      <c r="B1909" s="1979" t="str">
        <f>报表附注!E2161</f>
        <v>未决诉讼</v>
      </c>
      <c r="C1909" s="1936">
        <f>报表附注!H2161</f>
        <v>0</v>
      </c>
      <c r="D1909" s="1927" t="b">
        <f t="shared" si="35"/>
        <v>1</v>
      </c>
    </row>
    <row r="1910" ht="12" spans="1:4">
      <c r="A1910" s="1927" t="s">
        <v>1819</v>
      </c>
      <c r="B1910" s="1979" t="str">
        <f>报表附注!E2162</f>
        <v>产品质量保证</v>
      </c>
      <c r="C1910" s="1936">
        <f>报表附注!H2162</f>
        <v>0</v>
      </c>
      <c r="D1910" s="1927" t="b">
        <f t="shared" si="35"/>
        <v>1</v>
      </c>
    </row>
    <row r="1911" ht="12" spans="1:4">
      <c r="A1911" s="1927" t="s">
        <v>1820</v>
      </c>
      <c r="B1911" s="1979" t="str">
        <f>报表附注!E2163</f>
        <v>重组义务</v>
      </c>
      <c r="C1911" s="1936">
        <f>报表附注!H2163</f>
        <v>0</v>
      </c>
      <c r="D1911" s="1927" t="b">
        <f t="shared" si="35"/>
        <v>1</v>
      </c>
    </row>
    <row r="1912" ht="12" spans="1:4">
      <c r="A1912" s="1927" t="s">
        <v>1821</v>
      </c>
      <c r="B1912" s="1979" t="str">
        <f>报表附注!E2164</f>
        <v>辞退福利</v>
      </c>
      <c r="C1912" s="1936">
        <f>报表附注!H2164</f>
        <v>0</v>
      </c>
      <c r="D1912" s="1927" t="b">
        <f t="shared" si="35"/>
        <v>1</v>
      </c>
    </row>
    <row r="1913" ht="12" spans="1:4">
      <c r="A1913" s="1927" t="s">
        <v>1822</v>
      </c>
      <c r="B1913" s="1979" t="str">
        <f>报表附注!E2165</f>
        <v>待执行的亏损合同</v>
      </c>
      <c r="C1913" s="1936">
        <f>报表附注!H2165</f>
        <v>0</v>
      </c>
      <c r="D1913" s="1927" t="b">
        <f t="shared" si="35"/>
        <v>1</v>
      </c>
    </row>
    <row r="1914" ht="12" spans="1:4">
      <c r="A1914" s="1927" t="s">
        <v>279</v>
      </c>
      <c r="B1914" s="1979" t="str">
        <f>报表附注!E2166</f>
        <v>其他</v>
      </c>
      <c r="C1914" s="1936">
        <f>报表附注!H2166</f>
        <v>0</v>
      </c>
      <c r="D1914" s="1927" t="b">
        <f t="shared" si="35"/>
        <v>1</v>
      </c>
    </row>
    <row r="1915" ht="12" spans="1:4">
      <c r="A1915" s="1927" t="s">
        <v>346</v>
      </c>
      <c r="B1915" s="1980" t="str">
        <f>报表附注!E2167</f>
        <v>合 计</v>
      </c>
      <c r="C1915" s="1936">
        <f>报表附注!H2167</f>
        <v>0</v>
      </c>
      <c r="D1915" s="1927" t="b">
        <f t="shared" si="35"/>
        <v>1</v>
      </c>
    </row>
    <row r="1916" ht="12" spans="2:4">
      <c r="B1916" s="1979"/>
      <c r="D1916" s="1927" t="b">
        <f t="shared" si="35"/>
        <v>1</v>
      </c>
    </row>
    <row r="1917" spans="4:4">
      <c r="D1917" s="1927" t="b">
        <f t="shared" si="35"/>
        <v>1</v>
      </c>
    </row>
    <row r="1918" spans="1:4">
      <c r="A1918" s="1927" t="s">
        <v>1823</v>
      </c>
      <c r="B1918" s="1945" t="s">
        <v>1823</v>
      </c>
      <c r="D1918" s="1927" t="b">
        <f t="shared" ref="D1918:D1981" si="36">EXACT(A1918,B1918)</f>
        <v>1</v>
      </c>
    </row>
    <row r="1919" spans="1:4">
      <c r="A1919" s="1927" t="s">
        <v>1824</v>
      </c>
      <c r="B1919" s="377" t="s">
        <v>1824</v>
      </c>
      <c r="D1919" s="1927" t="b">
        <f t="shared" si="36"/>
        <v>1</v>
      </c>
    </row>
    <row r="1920" spans="1:4">
      <c r="A1920" s="1927" t="s">
        <v>515</v>
      </c>
      <c r="B1920" s="1948" t="s">
        <v>515</v>
      </c>
      <c r="D1920" s="1927" t="b">
        <f t="shared" si="36"/>
        <v>1</v>
      </c>
    </row>
    <row r="1921" spans="1:4">
      <c r="A1921" s="1927" t="s">
        <v>1825</v>
      </c>
      <c r="B1921" s="1928" t="str">
        <f>报表附注!E2176</f>
        <v>一年内到期的长期借款</v>
      </c>
      <c r="C1921" s="1936">
        <f>报表附注!F2176</f>
        <v>0</v>
      </c>
      <c r="D1921" s="1927" t="b">
        <f t="shared" si="36"/>
        <v>1</v>
      </c>
    </row>
    <row r="1922" spans="1:4">
      <c r="A1922" s="1927" t="s">
        <v>1826</v>
      </c>
      <c r="B1922" s="1928" t="str">
        <f>报表附注!E2177</f>
        <v>一年内到期的应付债券</v>
      </c>
      <c r="C1922" s="1936">
        <f>报表附注!F2177</f>
        <v>0</v>
      </c>
      <c r="D1922" s="1927" t="b">
        <f t="shared" si="36"/>
        <v>1</v>
      </c>
    </row>
    <row r="1923" spans="1:4">
      <c r="A1923" s="1927" t="s">
        <v>1827</v>
      </c>
      <c r="B1923" s="1928" t="str">
        <f>报表附注!E2178</f>
        <v>一年内到期的长期应付款</v>
      </c>
      <c r="C1923" s="1936">
        <f>报表附注!F2178</f>
        <v>6935621.62</v>
      </c>
      <c r="D1923" s="1927" t="b">
        <f t="shared" si="36"/>
        <v>1</v>
      </c>
    </row>
    <row r="1924" spans="1:4">
      <c r="A1924" s="1927" t="s">
        <v>1828</v>
      </c>
      <c r="B1924" s="1928" t="str">
        <f>报表附注!E2179</f>
        <v>一年内到期内的预计负债</v>
      </c>
      <c r="C1924" s="1936">
        <f>报表附注!F2179</f>
        <v>0</v>
      </c>
      <c r="D1924" s="1927" t="b">
        <f t="shared" si="36"/>
        <v>1</v>
      </c>
    </row>
    <row r="1925" spans="1:4">
      <c r="A1925" s="1927" t="s">
        <v>1762</v>
      </c>
      <c r="B1925" s="1939" t="str">
        <f>报表附注!E2180</f>
        <v>合   计</v>
      </c>
      <c r="C1925" s="1936">
        <f>报表附注!F2180</f>
        <v>6935621.62</v>
      </c>
      <c r="D1925" s="1927" t="b">
        <f t="shared" si="36"/>
        <v>1</v>
      </c>
    </row>
    <row r="1926" spans="1:4">
      <c r="A1926" s="1927" t="s">
        <v>670</v>
      </c>
      <c r="B1926" s="1948" t="s">
        <v>670</v>
      </c>
      <c r="D1926" s="1927" t="b">
        <f t="shared" si="36"/>
        <v>1</v>
      </c>
    </row>
    <row r="1927" spans="1:4">
      <c r="A1927" s="1927" t="s">
        <v>1825</v>
      </c>
      <c r="B1927" s="1928" t="str">
        <f>报表附注!E2176</f>
        <v>一年内到期的长期借款</v>
      </c>
      <c r="C1927" s="1936">
        <f>报表附注!G2176</f>
        <v>0</v>
      </c>
      <c r="D1927" s="1927" t="b">
        <f t="shared" si="36"/>
        <v>1</v>
      </c>
    </row>
    <row r="1928" spans="1:4">
      <c r="A1928" s="1927" t="s">
        <v>1826</v>
      </c>
      <c r="B1928" s="1928" t="str">
        <f>报表附注!E2177</f>
        <v>一年内到期的应付债券</v>
      </c>
      <c r="C1928" s="1936">
        <f>报表附注!G2177</f>
        <v>0</v>
      </c>
      <c r="D1928" s="1927" t="b">
        <f t="shared" si="36"/>
        <v>1</v>
      </c>
    </row>
    <row r="1929" spans="1:4">
      <c r="A1929" s="1927" t="s">
        <v>1827</v>
      </c>
      <c r="B1929" s="1928" t="str">
        <f>报表附注!E2178</f>
        <v>一年内到期的长期应付款</v>
      </c>
      <c r="C1929" s="1936">
        <f>报表附注!G2178</f>
        <v>0</v>
      </c>
      <c r="D1929" s="1927" t="b">
        <f t="shared" si="36"/>
        <v>1</v>
      </c>
    </row>
    <row r="1930" spans="1:4">
      <c r="A1930" s="1927" t="s">
        <v>1828</v>
      </c>
      <c r="B1930" s="1928" t="str">
        <f>报表附注!E2179</f>
        <v>一年内到期内的预计负债</v>
      </c>
      <c r="C1930" s="1936">
        <f>报表附注!G2179</f>
        <v>0</v>
      </c>
      <c r="D1930" s="1927" t="b">
        <f t="shared" si="36"/>
        <v>1</v>
      </c>
    </row>
    <row r="1931" spans="1:4">
      <c r="A1931" s="1927" t="s">
        <v>1762</v>
      </c>
      <c r="B1931" s="1939" t="str">
        <f>报表附注!E2180</f>
        <v>合   计</v>
      </c>
      <c r="C1931" s="1936">
        <f>报表附注!G2180</f>
        <v>0</v>
      </c>
      <c r="D1931" s="1927" t="b">
        <f t="shared" si="36"/>
        <v>1</v>
      </c>
    </row>
    <row r="1932" spans="4:4">
      <c r="D1932" s="1927" t="b">
        <f t="shared" si="36"/>
        <v>1</v>
      </c>
    </row>
    <row r="1933" spans="1:4">
      <c r="A1933" s="1927" t="s">
        <v>1829</v>
      </c>
      <c r="B1933" s="1933" t="s">
        <v>1829</v>
      </c>
      <c r="D1933" s="1927" t="b">
        <f t="shared" si="36"/>
        <v>1</v>
      </c>
    </row>
    <row r="1934" spans="1:4">
      <c r="A1934" s="1927" t="s">
        <v>315</v>
      </c>
      <c r="B1934" s="1948" t="s">
        <v>315</v>
      </c>
      <c r="D1934" s="1927" t="b">
        <f t="shared" si="36"/>
        <v>1</v>
      </c>
    </row>
    <row r="1935" spans="1:4">
      <c r="A1935" s="1927" t="s">
        <v>982</v>
      </c>
      <c r="B1935" s="1949" t="str">
        <f>报表附注!E2186</f>
        <v>信用借款</v>
      </c>
      <c r="C1935" s="1936">
        <f>报表附注!F2186</f>
        <v>0</v>
      </c>
      <c r="D1935" s="1927" t="b">
        <f t="shared" si="36"/>
        <v>1</v>
      </c>
    </row>
    <row r="1936" spans="1:4">
      <c r="A1936" s="1927" t="s">
        <v>984</v>
      </c>
      <c r="B1936" s="1949" t="str">
        <f>报表附注!E2187</f>
        <v>抵押借款</v>
      </c>
      <c r="C1936" s="1936">
        <f>报表附注!F2187</f>
        <v>0</v>
      </c>
      <c r="D1936" s="1927" t="b">
        <f t="shared" si="36"/>
        <v>1</v>
      </c>
    </row>
    <row r="1937" spans="1:4">
      <c r="A1937" s="1927" t="s">
        <v>986</v>
      </c>
      <c r="B1937" s="1949" t="str">
        <f>报表附注!E2188</f>
        <v>保证借款</v>
      </c>
      <c r="C1937" s="1936">
        <f>报表附注!F2188</f>
        <v>0</v>
      </c>
      <c r="D1937" s="1927" t="b">
        <f t="shared" si="36"/>
        <v>1</v>
      </c>
    </row>
    <row r="1938" spans="1:4">
      <c r="A1938" s="1927" t="s">
        <v>988</v>
      </c>
      <c r="B1938" s="1949" t="str">
        <f>报表附注!E2189</f>
        <v>质押借款</v>
      </c>
      <c r="C1938" s="1936">
        <f>报表附注!F2189</f>
        <v>0</v>
      </c>
      <c r="D1938" s="1927" t="b">
        <f t="shared" si="36"/>
        <v>1</v>
      </c>
    </row>
    <row r="1939" spans="1:4">
      <c r="A1939" s="1927" t="s">
        <v>1762</v>
      </c>
      <c r="B1939" s="1953" t="str">
        <f>报表附注!E2190</f>
        <v>合   计</v>
      </c>
      <c r="C1939" s="1936">
        <f>报表附注!F2190</f>
        <v>0</v>
      </c>
      <c r="D1939" s="1927" t="b">
        <f t="shared" si="36"/>
        <v>1</v>
      </c>
    </row>
    <row r="1940" spans="1:4">
      <c r="A1940" s="1927" t="s">
        <v>1579</v>
      </c>
      <c r="B1940" s="1948" t="s">
        <v>1579</v>
      </c>
      <c r="D1940" s="1927" t="b">
        <f t="shared" si="36"/>
        <v>1</v>
      </c>
    </row>
    <row r="1941" spans="1:4">
      <c r="A1941" s="1927" t="s">
        <v>982</v>
      </c>
      <c r="B1941" s="1949" t="str">
        <f>报表附注!E2186</f>
        <v>信用借款</v>
      </c>
      <c r="C1941" s="1936">
        <f>报表附注!G2186</f>
        <v>0</v>
      </c>
      <c r="D1941" s="1927" t="b">
        <f t="shared" si="36"/>
        <v>1</v>
      </c>
    </row>
    <row r="1942" spans="1:4">
      <c r="A1942" s="1927" t="s">
        <v>984</v>
      </c>
      <c r="B1942" s="1949" t="str">
        <f>报表附注!E2187</f>
        <v>抵押借款</v>
      </c>
      <c r="C1942" s="1936">
        <f>报表附注!G2187</f>
        <v>0</v>
      </c>
      <c r="D1942" s="1927" t="b">
        <f t="shared" si="36"/>
        <v>1</v>
      </c>
    </row>
    <row r="1943" spans="1:4">
      <c r="A1943" s="1927" t="s">
        <v>986</v>
      </c>
      <c r="B1943" s="1949" t="str">
        <f>报表附注!E2188</f>
        <v>保证借款</v>
      </c>
      <c r="C1943" s="1936">
        <f>报表附注!G2188</f>
        <v>0</v>
      </c>
      <c r="D1943" s="1927" t="b">
        <f t="shared" si="36"/>
        <v>1</v>
      </c>
    </row>
    <row r="1944" spans="1:4">
      <c r="A1944" s="1927" t="s">
        <v>988</v>
      </c>
      <c r="B1944" s="1949" t="str">
        <f>报表附注!E2189</f>
        <v>质押借款</v>
      </c>
      <c r="C1944" s="1936">
        <f>报表附注!G2189</f>
        <v>0</v>
      </c>
      <c r="D1944" s="1927" t="b">
        <f t="shared" si="36"/>
        <v>1</v>
      </c>
    </row>
    <row r="1945" spans="1:4">
      <c r="A1945" s="1927" t="s">
        <v>1762</v>
      </c>
      <c r="B1945" s="1953" t="str">
        <f>报表附注!E2190</f>
        <v>合   计</v>
      </c>
      <c r="C1945" s="1936">
        <f>报表附注!G2190</f>
        <v>0</v>
      </c>
      <c r="D1945" s="1927" t="b">
        <f t="shared" si="36"/>
        <v>1</v>
      </c>
    </row>
    <row r="1946" spans="4:4">
      <c r="D1946" s="1927" t="b">
        <f t="shared" si="36"/>
        <v>1</v>
      </c>
    </row>
    <row r="1947" spans="1:4">
      <c r="A1947" s="1927" t="s">
        <v>1830</v>
      </c>
      <c r="B1947" s="1947" t="s">
        <v>1830</v>
      </c>
      <c r="D1947" s="1927" t="b">
        <f t="shared" si="36"/>
        <v>1</v>
      </c>
    </row>
    <row r="1948" spans="4:4">
      <c r="D1948" s="1927" t="b">
        <f t="shared" si="36"/>
        <v>1</v>
      </c>
    </row>
    <row r="1949" spans="1:4">
      <c r="A1949" s="1927" t="s">
        <v>1831</v>
      </c>
      <c r="B1949" s="1945" t="s">
        <v>1831</v>
      </c>
      <c r="D1949" s="1927" t="b">
        <f t="shared" si="36"/>
        <v>1</v>
      </c>
    </row>
    <row r="1950" spans="1:4">
      <c r="A1950" s="1927" t="s">
        <v>315</v>
      </c>
      <c r="B1950" s="1948" t="s">
        <v>315</v>
      </c>
      <c r="D1950" s="1927" t="b">
        <f t="shared" si="36"/>
        <v>1</v>
      </c>
    </row>
    <row r="1951" spans="1:4">
      <c r="A1951" s="1927" t="s">
        <v>982</v>
      </c>
      <c r="B1951" s="1928" t="str">
        <f>报表附注!E2274</f>
        <v>信用借款</v>
      </c>
      <c r="C1951" s="1936">
        <f>报表附注!F2274</f>
        <v>0</v>
      </c>
      <c r="D1951" s="1927" t="b">
        <f t="shared" si="36"/>
        <v>1</v>
      </c>
    </row>
    <row r="1952" spans="1:4">
      <c r="A1952" s="1927" t="s">
        <v>984</v>
      </c>
      <c r="B1952" s="1928" t="str">
        <f>报表附注!E2275</f>
        <v>抵押借款</v>
      </c>
      <c r="C1952" s="1936">
        <f>报表附注!F2275</f>
        <v>0</v>
      </c>
      <c r="D1952" s="1927" t="b">
        <f t="shared" si="36"/>
        <v>1</v>
      </c>
    </row>
    <row r="1953" spans="1:4">
      <c r="A1953" s="1927" t="s">
        <v>986</v>
      </c>
      <c r="B1953" s="1928" t="str">
        <f>报表附注!E2276</f>
        <v>保证借款</v>
      </c>
      <c r="C1953" s="1936">
        <f>报表附注!F2276</f>
        <v>0</v>
      </c>
      <c r="D1953" s="1927" t="b">
        <f t="shared" si="36"/>
        <v>1</v>
      </c>
    </row>
    <row r="1954" spans="1:4">
      <c r="A1954" s="1927" t="s">
        <v>988</v>
      </c>
      <c r="B1954" s="1928" t="str">
        <f>报表附注!E2277</f>
        <v>质押借款</v>
      </c>
      <c r="C1954" s="1936">
        <f>报表附注!F2277</f>
        <v>0</v>
      </c>
      <c r="D1954" s="1927" t="b">
        <f t="shared" si="36"/>
        <v>1</v>
      </c>
    </row>
    <row r="1955" spans="1:4">
      <c r="A1955" s="1927" t="s">
        <v>1762</v>
      </c>
      <c r="B1955" s="1939" t="str">
        <f>报表附注!E2278</f>
        <v>合   计</v>
      </c>
      <c r="C1955" s="1936">
        <f>报表附注!F2278</f>
        <v>0</v>
      </c>
      <c r="D1955" s="1927" t="b">
        <f t="shared" si="36"/>
        <v>1</v>
      </c>
    </row>
    <row r="1956" spans="1:4">
      <c r="A1956" s="1927" t="s">
        <v>1579</v>
      </c>
      <c r="B1956" s="1948" t="s">
        <v>1579</v>
      </c>
      <c r="D1956" s="1927" t="b">
        <f t="shared" si="36"/>
        <v>1</v>
      </c>
    </row>
    <row r="1957" spans="1:4">
      <c r="A1957" s="1927" t="s">
        <v>982</v>
      </c>
      <c r="B1957" s="1928" t="str">
        <f>报表附注!E2274</f>
        <v>信用借款</v>
      </c>
      <c r="C1957" s="1936">
        <f>报表附注!G2274</f>
        <v>0</v>
      </c>
      <c r="D1957" s="1927" t="b">
        <f t="shared" si="36"/>
        <v>1</v>
      </c>
    </row>
    <row r="1958" spans="1:4">
      <c r="A1958" s="1927" t="s">
        <v>984</v>
      </c>
      <c r="B1958" s="1928" t="str">
        <f>报表附注!E2275</f>
        <v>抵押借款</v>
      </c>
      <c r="C1958" s="1936">
        <f>报表附注!G2275</f>
        <v>0</v>
      </c>
      <c r="D1958" s="1927" t="b">
        <f t="shared" si="36"/>
        <v>1</v>
      </c>
    </row>
    <row r="1959" spans="1:4">
      <c r="A1959" s="1927" t="s">
        <v>986</v>
      </c>
      <c r="B1959" s="1928" t="str">
        <f>报表附注!E2276</f>
        <v>保证借款</v>
      </c>
      <c r="C1959" s="1936">
        <f>报表附注!G2276</f>
        <v>0</v>
      </c>
      <c r="D1959" s="1927" t="b">
        <f t="shared" si="36"/>
        <v>1</v>
      </c>
    </row>
    <row r="1960" spans="1:4">
      <c r="A1960" s="1927" t="s">
        <v>988</v>
      </c>
      <c r="B1960" s="1928" t="str">
        <f>报表附注!E2277</f>
        <v>质押借款</v>
      </c>
      <c r="C1960" s="1936">
        <f>报表附注!G2277</f>
        <v>0</v>
      </c>
      <c r="D1960" s="1927" t="b">
        <f t="shared" si="36"/>
        <v>1</v>
      </c>
    </row>
    <row r="1961" spans="1:4">
      <c r="A1961" s="1927" t="s">
        <v>1762</v>
      </c>
      <c r="B1961" s="1939" t="str">
        <f>报表附注!E2278</f>
        <v>合   计</v>
      </c>
      <c r="C1961" s="1936">
        <f>报表附注!G2278</f>
        <v>0</v>
      </c>
      <c r="D1961" s="1927" t="b">
        <f t="shared" si="36"/>
        <v>1</v>
      </c>
    </row>
    <row r="1962" spans="4:4">
      <c r="D1962" s="1927" t="b">
        <f t="shared" si="36"/>
        <v>1</v>
      </c>
    </row>
    <row r="1963" ht="13.5" spans="1:4">
      <c r="A1963" s="1927" t="s">
        <v>1832</v>
      </c>
      <c r="B1963" s="1947" t="s">
        <v>1833</v>
      </c>
      <c r="D1963" s="1927" t="b">
        <f t="shared" si="36"/>
        <v>1</v>
      </c>
    </row>
    <row r="1964" spans="4:4">
      <c r="D1964" s="1927" t="b">
        <f t="shared" si="36"/>
        <v>1</v>
      </c>
    </row>
    <row r="1965" ht="13.5" spans="1:4">
      <c r="A1965" s="1927" t="s">
        <v>1834</v>
      </c>
      <c r="B1965" s="1947" t="s">
        <v>1835</v>
      </c>
      <c r="D1965" s="1927" t="b">
        <f t="shared" si="36"/>
        <v>1</v>
      </c>
    </row>
    <row r="1966" spans="4:4">
      <c r="D1966" s="1927" t="b">
        <f t="shared" si="36"/>
        <v>1</v>
      </c>
    </row>
    <row r="1967" ht="13.5" spans="1:4">
      <c r="A1967" s="1927" t="s">
        <v>1836</v>
      </c>
      <c r="B1967" s="1947" t="s">
        <v>1837</v>
      </c>
      <c r="D1967" s="1927" t="b">
        <f t="shared" si="36"/>
        <v>1</v>
      </c>
    </row>
    <row r="1968" spans="4:4">
      <c r="D1968" s="1927" t="b">
        <f t="shared" si="36"/>
        <v>1</v>
      </c>
    </row>
    <row r="1969" spans="1:4">
      <c r="A1969" s="1927" t="s">
        <v>1838</v>
      </c>
      <c r="B1969" s="1981" t="s">
        <v>1838</v>
      </c>
      <c r="D1969" s="1927" t="b">
        <f t="shared" si="36"/>
        <v>1</v>
      </c>
    </row>
    <row r="1970" spans="4:4">
      <c r="D1970" s="1927" t="b">
        <f t="shared" si="36"/>
        <v>1</v>
      </c>
    </row>
    <row r="1971" ht="13.5" spans="1:4">
      <c r="A1971" s="1927" t="s">
        <v>1839</v>
      </c>
      <c r="B1971" s="1981" t="s">
        <v>1840</v>
      </c>
      <c r="D1971" s="1927" t="b">
        <f t="shared" si="36"/>
        <v>1</v>
      </c>
    </row>
    <row r="1972" spans="4:4">
      <c r="D1972" s="1927" t="b">
        <f t="shared" si="36"/>
        <v>1</v>
      </c>
    </row>
    <row r="1973" spans="1:4">
      <c r="A1973" s="1927" t="s">
        <v>1841</v>
      </c>
      <c r="B1973" s="1972" t="s">
        <v>1841</v>
      </c>
      <c r="D1973" s="1927" t="b">
        <f t="shared" si="36"/>
        <v>1</v>
      </c>
    </row>
    <row r="1974" spans="4:4">
      <c r="D1974" s="1927" t="b">
        <f t="shared" si="36"/>
        <v>1</v>
      </c>
    </row>
    <row r="1975" ht="12" spans="1:4">
      <c r="A1975" s="1927" t="s">
        <v>1842</v>
      </c>
      <c r="B1975" s="1982" t="s">
        <v>1842</v>
      </c>
      <c r="D1975" s="1927" t="b">
        <f t="shared" si="36"/>
        <v>1</v>
      </c>
    </row>
    <row r="1976" spans="4:4">
      <c r="D1976" s="1927" t="b">
        <f t="shared" si="36"/>
        <v>1</v>
      </c>
    </row>
    <row r="1977" spans="1:4">
      <c r="A1977" s="1927" t="s">
        <v>1843</v>
      </c>
      <c r="B1977" s="1945" t="s">
        <v>1843</v>
      </c>
      <c r="D1977" s="1927" t="b">
        <f t="shared" si="36"/>
        <v>1</v>
      </c>
    </row>
    <row r="1978" spans="1:4">
      <c r="A1978" s="1927" t="s">
        <v>1579</v>
      </c>
      <c r="B1978" s="1948" t="s">
        <v>1579</v>
      </c>
      <c r="D1978" s="1927" t="b">
        <f t="shared" si="36"/>
        <v>1</v>
      </c>
    </row>
    <row r="1979" spans="1:4">
      <c r="A1979" s="1927" t="s">
        <v>1844</v>
      </c>
      <c r="B1979" s="1928" t="str">
        <f>报表附注!E2472</f>
        <v>1、股本溢价</v>
      </c>
      <c r="C1979" s="1936">
        <f>报表附注!F2472</f>
        <v>0</v>
      </c>
      <c r="D1979" s="1927" t="b">
        <f t="shared" si="36"/>
        <v>1</v>
      </c>
    </row>
    <row r="1980" spans="1:4">
      <c r="A1980" s="1927" t="s">
        <v>1845</v>
      </c>
      <c r="B1980" s="1928" t="str">
        <f>报表附注!E2473</f>
        <v>2、其他资本公积</v>
      </c>
      <c r="C1980" s="1936">
        <f>报表附注!F2473</f>
        <v>0</v>
      </c>
      <c r="D1980" s="1927" t="b">
        <f t="shared" si="36"/>
        <v>1</v>
      </c>
    </row>
    <row r="1981" spans="1:4">
      <c r="A1981" s="1927" t="s">
        <v>1580</v>
      </c>
      <c r="B1981" s="1939" t="str">
        <f>报表附注!E2474</f>
        <v>合计</v>
      </c>
      <c r="C1981" s="1936">
        <f>报表附注!F2474</f>
        <v>0</v>
      </c>
      <c r="D1981" s="1927" t="b">
        <f t="shared" si="36"/>
        <v>1</v>
      </c>
    </row>
    <row r="1982" spans="1:4">
      <c r="A1982" s="1927" t="s">
        <v>671</v>
      </c>
      <c r="B1982" s="1948" t="s">
        <v>671</v>
      </c>
      <c r="D1982" s="1927" t="b">
        <f t="shared" ref="D1982:D2045" si="37">EXACT(A1982,B1982)</f>
        <v>1</v>
      </c>
    </row>
    <row r="1983" spans="1:4">
      <c r="A1983" s="1927" t="s">
        <v>1844</v>
      </c>
      <c r="B1983" s="1928" t="str">
        <f>报表附注!E2472</f>
        <v>1、股本溢价</v>
      </c>
      <c r="C1983" s="1936">
        <f>报表附注!G2472</f>
        <v>0</v>
      </c>
      <c r="D1983" s="1927" t="b">
        <f t="shared" si="37"/>
        <v>1</v>
      </c>
    </row>
    <row r="1984" spans="1:4">
      <c r="A1984" s="1927" t="s">
        <v>1845</v>
      </c>
      <c r="B1984" s="1928" t="str">
        <f>报表附注!E2473</f>
        <v>2、其他资本公积</v>
      </c>
      <c r="C1984" s="1936">
        <f>报表附注!G2473</f>
        <v>0</v>
      </c>
      <c r="D1984" s="1927" t="b">
        <f t="shared" si="37"/>
        <v>1</v>
      </c>
    </row>
    <row r="1985" spans="1:4">
      <c r="A1985" s="1927" t="s">
        <v>1580</v>
      </c>
      <c r="B1985" s="1939" t="str">
        <f>报表附注!E2474</f>
        <v>合计</v>
      </c>
      <c r="C1985" s="1936">
        <f>报表附注!G2474</f>
        <v>0</v>
      </c>
      <c r="D1985" s="1927" t="b">
        <f t="shared" si="37"/>
        <v>1</v>
      </c>
    </row>
    <row r="1986" spans="1:4">
      <c r="A1986" s="1927" t="s">
        <v>672</v>
      </c>
      <c r="B1986" s="1948" t="s">
        <v>672</v>
      </c>
      <c r="D1986" s="1927" t="b">
        <f t="shared" si="37"/>
        <v>1</v>
      </c>
    </row>
    <row r="1987" spans="1:4">
      <c r="A1987" s="1927" t="s">
        <v>1844</v>
      </c>
      <c r="B1987" s="1928" t="str">
        <f>报表附注!E2472</f>
        <v>1、股本溢价</v>
      </c>
      <c r="C1987" s="1936">
        <f>报表附注!H2472</f>
        <v>0</v>
      </c>
      <c r="D1987" s="1927" t="b">
        <f t="shared" si="37"/>
        <v>1</v>
      </c>
    </row>
    <row r="1988" spans="1:4">
      <c r="A1988" s="1927" t="s">
        <v>1845</v>
      </c>
      <c r="B1988" s="1928" t="str">
        <f>报表附注!E2473</f>
        <v>2、其他资本公积</v>
      </c>
      <c r="C1988" s="1936">
        <f>报表附注!H2473</f>
        <v>0</v>
      </c>
      <c r="D1988" s="1927" t="b">
        <f t="shared" si="37"/>
        <v>1</v>
      </c>
    </row>
    <row r="1989" spans="1:4">
      <c r="A1989" s="1927" t="s">
        <v>1580</v>
      </c>
      <c r="B1989" s="1939" t="str">
        <f>报表附注!E2474</f>
        <v>合计</v>
      </c>
      <c r="C1989" s="1936">
        <f>报表附注!H2474</f>
        <v>0</v>
      </c>
      <c r="D1989" s="1927" t="b">
        <f t="shared" si="37"/>
        <v>1</v>
      </c>
    </row>
    <row r="1990" spans="4:4">
      <c r="D1990" s="1927" t="b">
        <f t="shared" si="37"/>
        <v>1</v>
      </c>
    </row>
    <row r="1991" spans="1:4">
      <c r="A1991" s="1927" t="s">
        <v>1846</v>
      </c>
      <c r="B1991" s="1945" t="s">
        <v>1846</v>
      </c>
      <c r="D1991" s="1927" t="b">
        <f t="shared" si="37"/>
        <v>1</v>
      </c>
    </row>
    <row r="1992" spans="1:4">
      <c r="A1992" s="1927" t="s">
        <v>1579</v>
      </c>
      <c r="B1992" s="1948" t="s">
        <v>1579</v>
      </c>
      <c r="D1992" s="1927" t="b">
        <f t="shared" si="37"/>
        <v>1</v>
      </c>
    </row>
    <row r="1993" spans="1:4">
      <c r="A1993" s="1927" t="s">
        <v>1847</v>
      </c>
      <c r="B1993" s="1928" t="str">
        <f>报表附注!E2483</f>
        <v>法定盈余公积</v>
      </c>
      <c r="C1993" s="1936">
        <f>报表附注!F2483</f>
        <v>0</v>
      </c>
      <c r="D1993" s="1927" t="b">
        <f t="shared" si="37"/>
        <v>1</v>
      </c>
    </row>
    <row r="1994" spans="1:4">
      <c r="A1994" s="1927" t="s">
        <v>1848</v>
      </c>
      <c r="B1994" s="1928" t="str">
        <f>报表附注!E2484</f>
        <v>任意盈余公积</v>
      </c>
      <c r="C1994" s="1936">
        <f>报表附注!F2484</f>
        <v>0</v>
      </c>
      <c r="D1994" s="1927" t="b">
        <f t="shared" si="37"/>
        <v>1</v>
      </c>
    </row>
    <row r="1995" spans="1:4">
      <c r="A1995" s="1927" t="s">
        <v>1201</v>
      </c>
      <c r="B1995" s="1928" t="str">
        <f>报表附注!E2485</f>
        <v>储备基金</v>
      </c>
      <c r="C1995" s="1936">
        <f>报表附注!F2485</f>
        <v>0</v>
      </c>
      <c r="D1995" s="1927" t="b">
        <f t="shared" si="37"/>
        <v>1</v>
      </c>
    </row>
    <row r="1996" spans="1:4">
      <c r="A1996" s="1927" t="s">
        <v>1203</v>
      </c>
      <c r="B1996" s="1928" t="str">
        <f>报表附注!E2486</f>
        <v>企业发展基金</v>
      </c>
      <c r="C1996" s="1936">
        <f>报表附注!F2486</f>
        <v>0</v>
      </c>
      <c r="D1996" s="1927" t="b">
        <f t="shared" si="37"/>
        <v>1</v>
      </c>
    </row>
    <row r="1997" spans="1:4">
      <c r="A1997" s="1927" t="s">
        <v>1580</v>
      </c>
      <c r="B1997" s="1939" t="str">
        <f>报表附注!E2487</f>
        <v>合计</v>
      </c>
      <c r="C1997" s="1936">
        <f>报表附注!F2487</f>
        <v>0</v>
      </c>
      <c r="D1997" s="1927" t="b">
        <f t="shared" si="37"/>
        <v>1</v>
      </c>
    </row>
    <row r="1998" spans="1:4">
      <c r="A1998" s="1927" t="s">
        <v>671</v>
      </c>
      <c r="B1998" s="1948" t="s">
        <v>671</v>
      </c>
      <c r="D1998" s="1927" t="b">
        <f t="shared" si="37"/>
        <v>1</v>
      </c>
    </row>
    <row r="1999" spans="1:4">
      <c r="A1999" s="1927" t="s">
        <v>1847</v>
      </c>
      <c r="B1999" s="1928" t="str">
        <f>报表附注!E2483</f>
        <v>法定盈余公积</v>
      </c>
      <c r="C1999" s="1936">
        <f>报表附注!G2483</f>
        <v>0</v>
      </c>
      <c r="D1999" s="1927" t="b">
        <f t="shared" si="37"/>
        <v>1</v>
      </c>
    </row>
    <row r="2000" spans="1:4">
      <c r="A2000" s="1927" t="s">
        <v>1848</v>
      </c>
      <c r="B2000" s="1928" t="str">
        <f>报表附注!E2484</f>
        <v>任意盈余公积</v>
      </c>
      <c r="C2000" s="1936">
        <f>报表附注!G2484</f>
        <v>0</v>
      </c>
      <c r="D2000" s="1927" t="b">
        <f t="shared" si="37"/>
        <v>1</v>
      </c>
    </row>
    <row r="2001" spans="1:4">
      <c r="A2001" s="1927" t="s">
        <v>1201</v>
      </c>
      <c r="B2001" s="1928" t="str">
        <f>报表附注!E2485</f>
        <v>储备基金</v>
      </c>
      <c r="C2001" s="1936">
        <f>报表附注!G2485</f>
        <v>0</v>
      </c>
      <c r="D2001" s="1927" t="b">
        <f t="shared" si="37"/>
        <v>1</v>
      </c>
    </row>
    <row r="2002" spans="1:4">
      <c r="A2002" s="1927" t="s">
        <v>1203</v>
      </c>
      <c r="B2002" s="1928" t="str">
        <f>报表附注!E2486</f>
        <v>企业发展基金</v>
      </c>
      <c r="C2002" s="1936">
        <f>报表附注!G2486</f>
        <v>0</v>
      </c>
      <c r="D2002" s="1927" t="b">
        <f t="shared" si="37"/>
        <v>1</v>
      </c>
    </row>
    <row r="2003" spans="1:4">
      <c r="A2003" s="1927" t="s">
        <v>1580</v>
      </c>
      <c r="B2003" s="1939" t="str">
        <f>报表附注!E2487</f>
        <v>合计</v>
      </c>
      <c r="C2003" s="1936">
        <f>报表附注!G2487</f>
        <v>0</v>
      </c>
      <c r="D2003" s="1927" t="b">
        <f t="shared" si="37"/>
        <v>1</v>
      </c>
    </row>
    <row r="2004" spans="1:4">
      <c r="A2004" s="1927" t="s">
        <v>672</v>
      </c>
      <c r="B2004" s="1948" t="s">
        <v>672</v>
      </c>
      <c r="D2004" s="1927" t="b">
        <f t="shared" si="37"/>
        <v>1</v>
      </c>
    </row>
    <row r="2005" spans="1:4">
      <c r="A2005" s="1927" t="s">
        <v>1847</v>
      </c>
      <c r="B2005" s="1928" t="str">
        <f>报表附注!E2483</f>
        <v>法定盈余公积</v>
      </c>
      <c r="C2005" s="1936">
        <f>报表附注!H2483</f>
        <v>0</v>
      </c>
      <c r="D2005" s="1927" t="b">
        <f t="shared" si="37"/>
        <v>1</v>
      </c>
    </row>
    <row r="2006" spans="1:4">
      <c r="A2006" s="1927" t="s">
        <v>1848</v>
      </c>
      <c r="B2006" s="1928" t="str">
        <f>报表附注!E2484</f>
        <v>任意盈余公积</v>
      </c>
      <c r="C2006" s="1936">
        <f>报表附注!H2484</f>
        <v>0</v>
      </c>
      <c r="D2006" s="1927" t="b">
        <f t="shared" si="37"/>
        <v>1</v>
      </c>
    </row>
    <row r="2007" spans="1:4">
      <c r="A2007" s="1927" t="s">
        <v>1201</v>
      </c>
      <c r="B2007" s="1928" t="str">
        <f>报表附注!E2485</f>
        <v>储备基金</v>
      </c>
      <c r="C2007" s="1936">
        <f>报表附注!H2485</f>
        <v>0</v>
      </c>
      <c r="D2007" s="1927" t="b">
        <f t="shared" si="37"/>
        <v>1</v>
      </c>
    </row>
    <row r="2008" spans="1:4">
      <c r="A2008" s="1927" t="s">
        <v>1203</v>
      </c>
      <c r="B2008" s="1928" t="str">
        <f>报表附注!E2486</f>
        <v>企业发展基金</v>
      </c>
      <c r="C2008" s="1936">
        <f>报表附注!H2486</f>
        <v>0</v>
      </c>
      <c r="D2008" s="1927" t="b">
        <f t="shared" si="37"/>
        <v>1</v>
      </c>
    </row>
    <row r="2009" spans="1:4">
      <c r="A2009" s="1927" t="s">
        <v>1580</v>
      </c>
      <c r="B2009" s="1939" t="str">
        <f>报表附注!E2487</f>
        <v>合计</v>
      </c>
      <c r="C2009" s="1936">
        <f>报表附注!H2487</f>
        <v>0</v>
      </c>
      <c r="D2009" s="1927" t="b">
        <f t="shared" si="37"/>
        <v>1</v>
      </c>
    </row>
    <row r="2010" spans="4:4">
      <c r="D2010" s="1927" t="b">
        <f t="shared" si="37"/>
        <v>1</v>
      </c>
    </row>
    <row r="2011" spans="1:4">
      <c r="A2011" s="1927" t="s">
        <v>1849</v>
      </c>
      <c r="B2011" s="1947" t="s">
        <v>1849</v>
      </c>
      <c r="D2011" s="1927" t="b">
        <f t="shared" si="37"/>
        <v>1</v>
      </c>
    </row>
    <row r="2012" spans="4:4">
      <c r="D2012" s="1927" t="b">
        <f t="shared" si="37"/>
        <v>1</v>
      </c>
    </row>
    <row r="2013" spans="1:4">
      <c r="A2013" s="1927" t="s">
        <v>1850</v>
      </c>
      <c r="B2013" s="1945" t="s">
        <v>1850</v>
      </c>
      <c r="D2013" s="1927" t="b">
        <f t="shared" si="37"/>
        <v>1</v>
      </c>
    </row>
    <row r="2014" spans="2:4">
      <c r="B2014" s="1945"/>
      <c r="D2014" s="1927" t="b">
        <f t="shared" si="37"/>
        <v>1</v>
      </c>
    </row>
    <row r="2015" spans="1:4">
      <c r="A2015" s="1927" t="s">
        <v>1851</v>
      </c>
      <c r="B2015" s="1948" t="s">
        <v>1851</v>
      </c>
      <c r="D2015" s="1927" t="b">
        <f t="shared" si="37"/>
        <v>1</v>
      </c>
    </row>
    <row r="2016" spans="1:4">
      <c r="A2016" s="1927" t="s">
        <v>1852</v>
      </c>
      <c r="B2016" s="1928" t="str">
        <f>报表附注!E2529</f>
        <v>主营业务收入</v>
      </c>
      <c r="C2016" s="1936">
        <f>报表附注!F2529</f>
        <v>0</v>
      </c>
      <c r="D2016" s="1927" t="b">
        <f t="shared" si="37"/>
        <v>1</v>
      </c>
    </row>
    <row r="2017" spans="1:4">
      <c r="A2017" s="1927" t="s">
        <v>1853</v>
      </c>
      <c r="B2017" s="1928" t="str">
        <f>报表附注!E2530</f>
        <v>其他业务收入</v>
      </c>
      <c r="C2017" s="1936">
        <f>报表附注!F2530</f>
        <v>0</v>
      </c>
      <c r="D2017" s="1927" t="b">
        <f t="shared" si="37"/>
        <v>1</v>
      </c>
    </row>
    <row r="2018" spans="1:4">
      <c r="A2018" s="1927" t="s">
        <v>346</v>
      </c>
      <c r="B2018" s="1939" t="str">
        <f>报表附注!E2531</f>
        <v>合 计</v>
      </c>
      <c r="C2018" s="1936">
        <f>报表附注!F2531</f>
        <v>0</v>
      </c>
      <c r="D2018" s="1927" t="b">
        <f t="shared" si="37"/>
        <v>1</v>
      </c>
    </row>
    <row r="2019" spans="1:4">
      <c r="A2019" s="1927" t="s">
        <v>1854</v>
      </c>
      <c r="B2019" s="1948" t="s">
        <v>1854</v>
      </c>
      <c r="D2019" s="1927" t="b">
        <f t="shared" si="37"/>
        <v>1</v>
      </c>
    </row>
    <row r="2020" spans="1:4">
      <c r="A2020" s="1927" t="s">
        <v>1852</v>
      </c>
      <c r="B2020" s="1928" t="str">
        <f>报表附注!E2529</f>
        <v>主营业务收入</v>
      </c>
      <c r="C2020" s="1936">
        <f>报表附注!G2529</f>
        <v>0</v>
      </c>
      <c r="D2020" s="1927" t="b">
        <f t="shared" si="37"/>
        <v>1</v>
      </c>
    </row>
    <row r="2021" spans="1:4">
      <c r="A2021" s="1927" t="s">
        <v>1853</v>
      </c>
      <c r="B2021" s="1928" t="str">
        <f>报表附注!E2530</f>
        <v>其他业务收入</v>
      </c>
      <c r="C2021" s="1936">
        <f>报表附注!G2530</f>
        <v>0</v>
      </c>
      <c r="D2021" s="1927" t="b">
        <f t="shared" si="37"/>
        <v>1</v>
      </c>
    </row>
    <row r="2022" spans="1:4">
      <c r="A2022" s="1927" t="s">
        <v>346</v>
      </c>
      <c r="B2022" s="1939" t="str">
        <f>报表附注!E2531</f>
        <v>合 计</v>
      </c>
      <c r="C2022" s="1936">
        <f>报表附注!G2531</f>
        <v>0</v>
      </c>
      <c r="D2022" s="1927" t="b">
        <f t="shared" si="37"/>
        <v>1</v>
      </c>
    </row>
    <row r="2023" s="1673" customFormat="1" spans="1:9">
      <c r="A2023" s="1673" t="s">
        <v>1855</v>
      </c>
      <c r="B2023" s="1948" t="s">
        <v>1855</v>
      </c>
      <c r="C2023" s="1958"/>
      <c r="D2023" s="1927" t="b">
        <f t="shared" si="37"/>
        <v>1</v>
      </c>
      <c r="F2023" s="1927"/>
      <c r="H2023" s="1958"/>
      <c r="I2023" s="1958"/>
    </row>
    <row r="2024" s="1673" customFormat="1" spans="1:9">
      <c r="A2024" s="1673" t="s">
        <v>1852</v>
      </c>
      <c r="B2024" s="1983" t="str">
        <f>B2016</f>
        <v>主营业务收入</v>
      </c>
      <c r="C2024" s="1936">
        <f>报表附注!H2529</f>
        <v>0</v>
      </c>
      <c r="D2024" s="1927" t="b">
        <f t="shared" si="37"/>
        <v>1</v>
      </c>
      <c r="F2024" s="1927"/>
      <c r="H2024" s="1958"/>
      <c r="I2024" s="1958"/>
    </row>
    <row r="2025" s="1673" customFormat="1" spans="1:9">
      <c r="A2025" s="1673" t="s">
        <v>1853</v>
      </c>
      <c r="B2025" s="1983" t="str">
        <f>B2017</f>
        <v>其他业务收入</v>
      </c>
      <c r="C2025" s="1936">
        <f>报表附注!H2530</f>
        <v>0</v>
      </c>
      <c r="D2025" s="1927" t="b">
        <f t="shared" si="37"/>
        <v>1</v>
      </c>
      <c r="F2025" s="1927"/>
      <c r="H2025" s="1958"/>
      <c r="I2025" s="1958"/>
    </row>
    <row r="2026" s="1673" customFormat="1" spans="1:9">
      <c r="A2026" s="1673" t="s">
        <v>346</v>
      </c>
      <c r="B2026" s="1939" t="str">
        <f>B2018</f>
        <v>合 计</v>
      </c>
      <c r="C2026" s="1936">
        <f>报表附注!H2531</f>
        <v>0</v>
      </c>
      <c r="D2026" s="1927" t="b">
        <f t="shared" si="37"/>
        <v>1</v>
      </c>
      <c r="F2026" s="1927"/>
      <c r="H2026" s="1958"/>
      <c r="I2026" s="1958"/>
    </row>
    <row r="2027" s="1673" customFormat="1" spans="1:9">
      <c r="A2027" s="1673" t="s">
        <v>1856</v>
      </c>
      <c r="B2027" s="1948" t="s">
        <v>1856</v>
      </c>
      <c r="C2027" s="1958"/>
      <c r="D2027" s="1927" t="b">
        <f t="shared" si="37"/>
        <v>1</v>
      </c>
      <c r="F2027" s="1927"/>
      <c r="H2027" s="1958"/>
      <c r="I2027" s="1958"/>
    </row>
    <row r="2028" s="1673" customFormat="1" spans="1:9">
      <c r="A2028" s="1673" t="s">
        <v>1852</v>
      </c>
      <c r="B2028" s="1983" t="str">
        <f>B2016</f>
        <v>主营业务收入</v>
      </c>
      <c r="C2028" s="1936">
        <f>报表附注!I2529</f>
        <v>0</v>
      </c>
      <c r="D2028" s="1927" t="b">
        <f t="shared" si="37"/>
        <v>1</v>
      </c>
      <c r="F2028" s="1927"/>
      <c r="H2028" s="1958"/>
      <c r="I2028" s="1958"/>
    </row>
    <row r="2029" s="1673" customFormat="1" spans="1:9">
      <c r="A2029" s="1673" t="s">
        <v>1853</v>
      </c>
      <c r="B2029" s="1983" t="str">
        <f>B2017</f>
        <v>其他业务收入</v>
      </c>
      <c r="C2029" s="1936">
        <f>报表附注!I2530</f>
        <v>0</v>
      </c>
      <c r="D2029" s="1927" t="b">
        <f t="shared" si="37"/>
        <v>1</v>
      </c>
      <c r="F2029" s="1927"/>
      <c r="H2029" s="1958"/>
      <c r="I2029" s="1958"/>
    </row>
    <row r="2030" s="1673" customFormat="1" spans="1:9">
      <c r="A2030" s="1673" t="s">
        <v>346</v>
      </c>
      <c r="B2030" s="1939" t="str">
        <f>B2018</f>
        <v>合 计</v>
      </c>
      <c r="C2030" s="1936">
        <f>报表附注!I2531</f>
        <v>0</v>
      </c>
      <c r="D2030" s="1927" t="b">
        <f t="shared" si="37"/>
        <v>1</v>
      </c>
      <c r="F2030" s="1927"/>
      <c r="H2030" s="1958"/>
      <c r="I2030" s="1958"/>
    </row>
    <row r="2031" spans="4:4">
      <c r="D2031" s="1927" t="b">
        <f t="shared" si="37"/>
        <v>1</v>
      </c>
    </row>
    <row r="2032" spans="1:4">
      <c r="A2032" s="1927" t="s">
        <v>1857</v>
      </c>
      <c r="B2032" s="1933" t="s">
        <v>1857</v>
      </c>
      <c r="D2032" s="1927" t="b">
        <f t="shared" si="37"/>
        <v>1</v>
      </c>
    </row>
    <row r="2033" spans="1:4">
      <c r="A2033" s="1927" t="s">
        <v>1858</v>
      </c>
      <c r="B2033" s="1948" t="s">
        <v>1858</v>
      </c>
      <c r="D2033" s="1927" t="b">
        <f t="shared" si="37"/>
        <v>1</v>
      </c>
    </row>
    <row r="2034" spans="1:4">
      <c r="A2034" s="1927" t="s">
        <v>1859</v>
      </c>
      <c r="B2034" s="1928" t="str">
        <f>报表附注!E2538</f>
        <v>类别1--</v>
      </c>
      <c r="C2034" s="1936">
        <f>报表附注!F2538</f>
        <v>0</v>
      </c>
      <c r="D2034" s="1927" t="b">
        <f t="shared" si="37"/>
        <v>0</v>
      </c>
    </row>
    <row r="2035" spans="1:4">
      <c r="A2035" s="1927" t="s">
        <v>1860</v>
      </c>
      <c r="B2035" s="1928" t="str">
        <f>报表附注!E2539</f>
        <v>类别2--</v>
      </c>
      <c r="C2035" s="1936">
        <f>报表附注!F2539</f>
        <v>0</v>
      </c>
      <c r="D2035" s="1927" t="b">
        <f t="shared" si="37"/>
        <v>1</v>
      </c>
    </row>
    <row r="2036" spans="1:4">
      <c r="A2036" s="1927" t="s">
        <v>1861</v>
      </c>
      <c r="B2036" s="1928" t="str">
        <f>报表附注!E2540</f>
        <v>类别3--</v>
      </c>
      <c r="C2036" s="1936">
        <f>报表附注!F2540</f>
        <v>0</v>
      </c>
      <c r="D2036" s="1927" t="b">
        <f t="shared" si="37"/>
        <v>1</v>
      </c>
    </row>
    <row r="2037" spans="1:4">
      <c r="A2037" s="1927" t="s">
        <v>1862</v>
      </c>
      <c r="B2037" s="1928" t="str">
        <f>报表附注!E2541</f>
        <v>类别4-</v>
      </c>
      <c r="C2037" s="1936">
        <f>报表附注!F2541</f>
        <v>0</v>
      </c>
      <c r="D2037" s="1927" t="b">
        <f t="shared" si="37"/>
        <v>0</v>
      </c>
    </row>
    <row r="2038" spans="1:4">
      <c r="A2038" s="1927" t="s">
        <v>1863</v>
      </c>
      <c r="B2038" s="1928" t="str">
        <f>报表附注!E2542</f>
        <v>类别5-</v>
      </c>
      <c r="C2038" s="1936">
        <f>报表附注!F2542</f>
        <v>0</v>
      </c>
      <c r="D2038" s="1927" t="b">
        <f t="shared" si="37"/>
        <v>0</v>
      </c>
    </row>
    <row r="2039" spans="1:4">
      <c r="A2039" s="1927" t="s">
        <v>1864</v>
      </c>
      <c r="B2039" s="1928" t="str">
        <f>报表附注!E2543</f>
        <v>类别6--</v>
      </c>
      <c r="C2039" s="1936">
        <f>报表附注!F2543</f>
        <v>0</v>
      </c>
      <c r="D2039" s="1927" t="b">
        <f t="shared" si="37"/>
        <v>1</v>
      </c>
    </row>
    <row r="2040" spans="1:4">
      <c r="A2040" s="1927" t="s">
        <v>1865</v>
      </c>
      <c r="B2040" s="1928" t="str">
        <f>报表附注!E2544</f>
        <v>类别7-</v>
      </c>
      <c r="C2040" s="1936">
        <f>报表附注!F2544</f>
        <v>0</v>
      </c>
      <c r="D2040" s="1927" t="b">
        <f t="shared" si="37"/>
        <v>0</v>
      </c>
    </row>
    <row r="2041" spans="1:4">
      <c r="A2041" s="1927" t="s">
        <v>1866</v>
      </c>
      <c r="B2041" s="1928" t="str">
        <f>报表附注!E2545</f>
        <v>类别8--</v>
      </c>
      <c r="C2041" s="1936">
        <f>报表附注!F2545</f>
        <v>0</v>
      </c>
      <c r="D2041" s="1927" t="b">
        <f t="shared" si="37"/>
        <v>1</v>
      </c>
    </row>
    <row r="2042" spans="1:4">
      <c r="A2042" s="1927" t="s">
        <v>1867</v>
      </c>
      <c r="B2042" s="1928" t="str">
        <f>报表附注!E2546</f>
        <v>类别9--</v>
      </c>
      <c r="C2042" s="1936">
        <f>报表附注!F2546</f>
        <v>0</v>
      </c>
      <c r="D2042" s="1927" t="b">
        <f t="shared" si="37"/>
        <v>1</v>
      </c>
    </row>
    <row r="2043" spans="1:4">
      <c r="A2043" s="1927" t="s">
        <v>1868</v>
      </c>
      <c r="B2043" s="1928" t="str">
        <f>报表附注!E2547</f>
        <v>类别10--</v>
      </c>
      <c r="C2043" s="1936">
        <f>报表附注!F2547</f>
        <v>0</v>
      </c>
      <c r="D2043" s="1927" t="b">
        <f t="shared" si="37"/>
        <v>1</v>
      </c>
    </row>
    <row r="2044" spans="1:4">
      <c r="A2044" s="1927" t="s">
        <v>1869</v>
      </c>
      <c r="B2044" s="1928" t="str">
        <f>报表附注!E2548</f>
        <v>类别11--</v>
      </c>
      <c r="C2044" s="1936">
        <f>报表附注!F2548</f>
        <v>0</v>
      </c>
      <c r="D2044" s="1927" t="b">
        <f t="shared" si="37"/>
        <v>1</v>
      </c>
    </row>
    <row r="2045" spans="1:4">
      <c r="A2045" s="1927" t="s">
        <v>1870</v>
      </c>
      <c r="B2045" s="1928" t="str">
        <f>报表附注!E2549</f>
        <v>类别12--</v>
      </c>
      <c r="C2045" s="1936">
        <f>报表附注!F2549</f>
        <v>0</v>
      </c>
      <c r="D2045" s="1927" t="b">
        <f t="shared" si="37"/>
        <v>1</v>
      </c>
    </row>
    <row r="2046" spans="1:4">
      <c r="A2046" s="1927" t="s">
        <v>1871</v>
      </c>
      <c r="B2046" s="1928" t="str">
        <f>报表附注!E2550</f>
        <v>类别13--</v>
      </c>
      <c r="C2046" s="1936">
        <f>报表附注!F2550</f>
        <v>0</v>
      </c>
      <c r="D2046" s="1927" t="b">
        <f t="shared" ref="D2046:D2109" si="38">EXACT(A2046,B2046)</f>
        <v>1</v>
      </c>
    </row>
    <row r="2047" spans="1:4">
      <c r="A2047" s="1927" t="s">
        <v>1872</v>
      </c>
      <c r="B2047" s="1928" t="str">
        <f>报表附注!E2551</f>
        <v>类别14--</v>
      </c>
      <c r="C2047" s="1936">
        <f>报表附注!F2551</f>
        <v>0</v>
      </c>
      <c r="D2047" s="1927" t="b">
        <f t="shared" si="38"/>
        <v>1</v>
      </c>
    </row>
    <row r="2048" spans="1:4">
      <c r="A2048" s="1927" t="s">
        <v>1580</v>
      </c>
      <c r="B2048" s="1939" t="str">
        <f>报表附注!E2552</f>
        <v>合计</v>
      </c>
      <c r="C2048" s="1936">
        <f>报表附注!F2552</f>
        <v>0</v>
      </c>
      <c r="D2048" s="1927" t="b">
        <f t="shared" si="38"/>
        <v>1</v>
      </c>
    </row>
    <row r="2049" spans="1:4">
      <c r="A2049" s="1927" t="s">
        <v>1873</v>
      </c>
      <c r="B2049" s="1948" t="s">
        <v>1873</v>
      </c>
      <c r="D2049" s="1927" t="b">
        <f t="shared" si="38"/>
        <v>1</v>
      </c>
    </row>
    <row r="2050" spans="1:4">
      <c r="A2050" s="1927" t="s">
        <v>1859</v>
      </c>
      <c r="B2050" s="1928" t="str">
        <f>报表附注!E2538</f>
        <v>类别1--</v>
      </c>
      <c r="C2050" s="1936">
        <f>报表附注!G2538</f>
        <v>0</v>
      </c>
      <c r="D2050" s="1927" t="b">
        <f t="shared" si="38"/>
        <v>0</v>
      </c>
    </row>
    <row r="2051" spans="1:4">
      <c r="A2051" s="1927" t="s">
        <v>1860</v>
      </c>
      <c r="B2051" s="1928" t="str">
        <f>报表附注!E2539</f>
        <v>类别2--</v>
      </c>
      <c r="C2051" s="1936">
        <f>报表附注!G2539</f>
        <v>0</v>
      </c>
      <c r="D2051" s="1927" t="b">
        <f t="shared" si="38"/>
        <v>1</v>
      </c>
    </row>
    <row r="2052" spans="1:4">
      <c r="A2052" s="1927" t="s">
        <v>1861</v>
      </c>
      <c r="B2052" s="1928" t="str">
        <f>报表附注!E2540</f>
        <v>类别3--</v>
      </c>
      <c r="C2052" s="1936">
        <f>报表附注!G2540</f>
        <v>0</v>
      </c>
      <c r="D2052" s="1927" t="b">
        <f t="shared" si="38"/>
        <v>1</v>
      </c>
    </row>
    <row r="2053" spans="1:4">
      <c r="A2053" s="1927" t="s">
        <v>1862</v>
      </c>
      <c r="B2053" s="1928" t="str">
        <f>报表附注!E2541</f>
        <v>类别4-</v>
      </c>
      <c r="C2053" s="1936">
        <f>报表附注!G2541</f>
        <v>0</v>
      </c>
      <c r="D2053" s="1927" t="b">
        <f t="shared" si="38"/>
        <v>0</v>
      </c>
    </row>
    <row r="2054" spans="1:4">
      <c r="A2054" s="1927" t="s">
        <v>1863</v>
      </c>
      <c r="B2054" s="1928" t="str">
        <f>报表附注!E2542</f>
        <v>类别5-</v>
      </c>
      <c r="C2054" s="1936">
        <f>报表附注!G2542</f>
        <v>0</v>
      </c>
      <c r="D2054" s="1927" t="b">
        <f t="shared" si="38"/>
        <v>0</v>
      </c>
    </row>
    <row r="2055" spans="1:4">
      <c r="A2055" s="1927" t="s">
        <v>1864</v>
      </c>
      <c r="B2055" s="1928" t="str">
        <f>报表附注!E2543</f>
        <v>类别6--</v>
      </c>
      <c r="C2055" s="1936">
        <f>报表附注!G2543</f>
        <v>0</v>
      </c>
      <c r="D2055" s="1927" t="b">
        <f t="shared" si="38"/>
        <v>1</v>
      </c>
    </row>
    <row r="2056" spans="1:4">
      <c r="A2056" s="1927" t="s">
        <v>1865</v>
      </c>
      <c r="B2056" s="1928" t="str">
        <f>报表附注!E2544</f>
        <v>类别7-</v>
      </c>
      <c r="C2056" s="1936">
        <f>报表附注!G2544</f>
        <v>0</v>
      </c>
      <c r="D2056" s="1927" t="b">
        <f t="shared" si="38"/>
        <v>0</v>
      </c>
    </row>
    <row r="2057" spans="1:4">
      <c r="A2057" s="1927" t="s">
        <v>1866</v>
      </c>
      <c r="B2057" s="1928" t="str">
        <f>报表附注!E2545</f>
        <v>类别8--</v>
      </c>
      <c r="C2057" s="1936">
        <f>报表附注!G2545</f>
        <v>0</v>
      </c>
      <c r="D2057" s="1927" t="b">
        <f t="shared" si="38"/>
        <v>1</v>
      </c>
    </row>
    <row r="2058" spans="1:4">
      <c r="A2058" s="1927" t="s">
        <v>1867</v>
      </c>
      <c r="B2058" s="1928" t="str">
        <f>报表附注!E2546</f>
        <v>类别9--</v>
      </c>
      <c r="C2058" s="1936">
        <f>报表附注!G2546</f>
        <v>0</v>
      </c>
      <c r="D2058" s="1927" t="b">
        <f t="shared" si="38"/>
        <v>1</v>
      </c>
    </row>
    <row r="2059" spans="1:4">
      <c r="A2059" s="1927" t="s">
        <v>1868</v>
      </c>
      <c r="B2059" s="1928" t="str">
        <f>报表附注!E2547</f>
        <v>类别10--</v>
      </c>
      <c r="C2059" s="1936">
        <f>报表附注!G2547</f>
        <v>0</v>
      </c>
      <c r="D2059" s="1927" t="b">
        <f t="shared" si="38"/>
        <v>1</v>
      </c>
    </row>
    <row r="2060" spans="1:4">
      <c r="A2060" s="1927" t="s">
        <v>1869</v>
      </c>
      <c r="B2060" s="1928" t="str">
        <f>报表附注!E2548</f>
        <v>类别11--</v>
      </c>
      <c r="C2060" s="1936">
        <f>报表附注!G2548</f>
        <v>0</v>
      </c>
      <c r="D2060" s="1927" t="b">
        <f t="shared" si="38"/>
        <v>1</v>
      </c>
    </row>
    <row r="2061" spans="1:4">
      <c r="A2061" s="1927" t="s">
        <v>1870</v>
      </c>
      <c r="B2061" s="1928" t="str">
        <f>报表附注!E2549</f>
        <v>类别12--</v>
      </c>
      <c r="C2061" s="1936">
        <f>报表附注!G2549</f>
        <v>0</v>
      </c>
      <c r="D2061" s="1927" t="b">
        <f t="shared" si="38"/>
        <v>1</v>
      </c>
    </row>
    <row r="2062" spans="1:4">
      <c r="A2062" s="1927" t="s">
        <v>1871</v>
      </c>
      <c r="B2062" s="1928" t="str">
        <f>报表附注!E2550</f>
        <v>类别13--</v>
      </c>
      <c r="C2062" s="1936">
        <f>报表附注!G2550</f>
        <v>0</v>
      </c>
      <c r="D2062" s="1927" t="b">
        <f t="shared" si="38"/>
        <v>1</v>
      </c>
    </row>
    <row r="2063" spans="1:4">
      <c r="A2063" s="1927" t="s">
        <v>1872</v>
      </c>
      <c r="B2063" s="1928" t="str">
        <f>报表附注!E2551</f>
        <v>类别14--</v>
      </c>
      <c r="C2063" s="1936">
        <f>报表附注!G2551</f>
        <v>0</v>
      </c>
      <c r="D2063" s="1927" t="b">
        <f t="shared" si="38"/>
        <v>1</v>
      </c>
    </row>
    <row r="2064" spans="1:4">
      <c r="A2064" s="1927" t="s">
        <v>1580</v>
      </c>
      <c r="B2064" s="1939" t="str">
        <f>报表附注!E2552</f>
        <v>合计</v>
      </c>
      <c r="C2064" s="1936">
        <f>报表附注!G2552</f>
        <v>0</v>
      </c>
      <c r="D2064" s="1927" t="b">
        <f t="shared" si="38"/>
        <v>1</v>
      </c>
    </row>
    <row r="2065" spans="1:4">
      <c r="A2065" s="1927" t="s">
        <v>1874</v>
      </c>
      <c r="B2065" s="1948" t="s">
        <v>1874</v>
      </c>
      <c r="D2065" s="1927" t="b">
        <f t="shared" si="38"/>
        <v>1</v>
      </c>
    </row>
    <row r="2066" spans="1:4">
      <c r="A2066" s="1927" t="s">
        <v>1859</v>
      </c>
      <c r="B2066" s="1928" t="str">
        <f>报表附注!E2538</f>
        <v>类别1--</v>
      </c>
      <c r="C2066" s="1936">
        <f>报表附注!H2538</f>
        <v>0</v>
      </c>
      <c r="D2066" s="1927" t="b">
        <f t="shared" si="38"/>
        <v>0</v>
      </c>
    </row>
    <row r="2067" spans="1:4">
      <c r="A2067" s="1927" t="s">
        <v>1860</v>
      </c>
      <c r="B2067" s="1928" t="str">
        <f>报表附注!E2539</f>
        <v>类别2--</v>
      </c>
      <c r="C2067" s="1936">
        <f>报表附注!H2539</f>
        <v>0</v>
      </c>
      <c r="D2067" s="1927" t="b">
        <f t="shared" si="38"/>
        <v>1</v>
      </c>
    </row>
    <row r="2068" spans="1:4">
      <c r="A2068" s="1927" t="s">
        <v>1861</v>
      </c>
      <c r="B2068" s="1928" t="str">
        <f>报表附注!E2540</f>
        <v>类别3--</v>
      </c>
      <c r="C2068" s="1936">
        <f>报表附注!H2540</f>
        <v>0</v>
      </c>
      <c r="D2068" s="1927" t="b">
        <f t="shared" si="38"/>
        <v>1</v>
      </c>
    </row>
    <row r="2069" spans="1:4">
      <c r="A2069" s="1927" t="s">
        <v>1862</v>
      </c>
      <c r="B2069" s="1928" t="str">
        <f>报表附注!E2541</f>
        <v>类别4-</v>
      </c>
      <c r="C2069" s="1936">
        <f>报表附注!H2541</f>
        <v>0</v>
      </c>
      <c r="D2069" s="1927" t="b">
        <f t="shared" si="38"/>
        <v>0</v>
      </c>
    </row>
    <row r="2070" spans="1:4">
      <c r="A2070" s="1927" t="s">
        <v>1863</v>
      </c>
      <c r="B2070" s="1928" t="str">
        <f>报表附注!E2542</f>
        <v>类别5-</v>
      </c>
      <c r="C2070" s="1936">
        <f>报表附注!H2542</f>
        <v>0</v>
      </c>
      <c r="D2070" s="1927" t="b">
        <f t="shared" si="38"/>
        <v>0</v>
      </c>
    </row>
    <row r="2071" spans="1:4">
      <c r="A2071" s="1927" t="s">
        <v>1864</v>
      </c>
      <c r="B2071" s="1928" t="str">
        <f>报表附注!E2543</f>
        <v>类别6--</v>
      </c>
      <c r="C2071" s="1936">
        <f>报表附注!H2543</f>
        <v>0</v>
      </c>
      <c r="D2071" s="1927" t="b">
        <f t="shared" si="38"/>
        <v>1</v>
      </c>
    </row>
    <row r="2072" spans="1:4">
      <c r="A2072" s="1927" t="s">
        <v>1865</v>
      </c>
      <c r="B2072" s="1928" t="str">
        <f>报表附注!E2544</f>
        <v>类别7-</v>
      </c>
      <c r="C2072" s="1936">
        <f>报表附注!H2544</f>
        <v>0</v>
      </c>
      <c r="D2072" s="1927" t="b">
        <f t="shared" si="38"/>
        <v>0</v>
      </c>
    </row>
    <row r="2073" spans="1:4">
      <c r="A2073" s="1927" t="s">
        <v>1866</v>
      </c>
      <c r="B2073" s="1928" t="str">
        <f>报表附注!E2545</f>
        <v>类别8--</v>
      </c>
      <c r="C2073" s="1936">
        <f>报表附注!H2545</f>
        <v>0</v>
      </c>
      <c r="D2073" s="1927" t="b">
        <f t="shared" si="38"/>
        <v>1</v>
      </c>
    </row>
    <row r="2074" spans="1:4">
      <c r="A2074" s="1927" t="s">
        <v>1867</v>
      </c>
      <c r="B2074" s="1928" t="str">
        <f>报表附注!E2546</f>
        <v>类别9--</v>
      </c>
      <c r="C2074" s="1936">
        <f>报表附注!H2546</f>
        <v>0</v>
      </c>
      <c r="D2074" s="1927" t="b">
        <f t="shared" si="38"/>
        <v>1</v>
      </c>
    </row>
    <row r="2075" spans="1:4">
      <c r="A2075" s="1927" t="s">
        <v>1868</v>
      </c>
      <c r="B2075" s="1928" t="str">
        <f>报表附注!E2547</f>
        <v>类别10--</v>
      </c>
      <c r="C2075" s="1936">
        <f>报表附注!H2547</f>
        <v>0</v>
      </c>
      <c r="D2075" s="1927" t="b">
        <f t="shared" si="38"/>
        <v>1</v>
      </c>
    </row>
    <row r="2076" spans="1:4">
      <c r="A2076" s="1927" t="s">
        <v>1869</v>
      </c>
      <c r="B2076" s="1928" t="str">
        <f>报表附注!E2548</f>
        <v>类别11--</v>
      </c>
      <c r="C2076" s="1936">
        <f>报表附注!H2548</f>
        <v>0</v>
      </c>
      <c r="D2076" s="1927" t="b">
        <f t="shared" si="38"/>
        <v>1</v>
      </c>
    </row>
    <row r="2077" spans="1:4">
      <c r="A2077" s="1927" t="s">
        <v>1870</v>
      </c>
      <c r="B2077" s="1928" t="str">
        <f>报表附注!E2549</f>
        <v>类别12--</v>
      </c>
      <c r="C2077" s="1936">
        <f>报表附注!H2549</f>
        <v>0</v>
      </c>
      <c r="D2077" s="1927" t="b">
        <f t="shared" si="38"/>
        <v>1</v>
      </c>
    </row>
    <row r="2078" spans="1:4">
      <c r="A2078" s="1927" t="s">
        <v>1871</v>
      </c>
      <c r="B2078" s="1928" t="str">
        <f>报表附注!E2550</f>
        <v>类别13--</v>
      </c>
      <c r="C2078" s="1936">
        <f>报表附注!H2550</f>
        <v>0</v>
      </c>
      <c r="D2078" s="1927" t="b">
        <f t="shared" si="38"/>
        <v>1</v>
      </c>
    </row>
    <row r="2079" spans="1:4">
      <c r="A2079" s="1927" t="s">
        <v>1872</v>
      </c>
      <c r="B2079" s="1928" t="str">
        <f>报表附注!E2551</f>
        <v>类别14--</v>
      </c>
      <c r="C2079" s="1936">
        <f>报表附注!H2551</f>
        <v>0</v>
      </c>
      <c r="D2079" s="1927" t="b">
        <f t="shared" si="38"/>
        <v>1</v>
      </c>
    </row>
    <row r="2080" spans="1:4">
      <c r="A2080" s="1927" t="s">
        <v>1580</v>
      </c>
      <c r="B2080" s="1939" t="str">
        <f>报表附注!E2552</f>
        <v>合计</v>
      </c>
      <c r="C2080" s="1936">
        <f>报表附注!H2552</f>
        <v>0</v>
      </c>
      <c r="D2080" s="1927" t="b">
        <f t="shared" si="38"/>
        <v>1</v>
      </c>
    </row>
    <row r="2081" spans="1:4">
      <c r="A2081" s="1927" t="s">
        <v>1875</v>
      </c>
      <c r="B2081" s="1948" t="s">
        <v>1875</v>
      </c>
      <c r="D2081" s="1927" t="b">
        <f t="shared" si="38"/>
        <v>1</v>
      </c>
    </row>
    <row r="2082" spans="1:4">
      <c r="A2082" s="1927" t="s">
        <v>1859</v>
      </c>
      <c r="B2082" s="1928" t="str">
        <f>报表附注!E2538</f>
        <v>类别1--</v>
      </c>
      <c r="C2082" s="1936">
        <f>报表附注!I2538</f>
        <v>0</v>
      </c>
      <c r="D2082" s="1927" t="b">
        <f t="shared" si="38"/>
        <v>0</v>
      </c>
    </row>
    <row r="2083" spans="1:4">
      <c r="A2083" s="1927" t="s">
        <v>1860</v>
      </c>
      <c r="B2083" s="1928" t="str">
        <f>报表附注!E2539</f>
        <v>类别2--</v>
      </c>
      <c r="C2083" s="1936">
        <f>报表附注!I2539</f>
        <v>0</v>
      </c>
      <c r="D2083" s="1927" t="b">
        <f t="shared" si="38"/>
        <v>1</v>
      </c>
    </row>
    <row r="2084" spans="1:4">
      <c r="A2084" s="1927" t="s">
        <v>1861</v>
      </c>
      <c r="B2084" s="1928" t="str">
        <f>报表附注!E2540</f>
        <v>类别3--</v>
      </c>
      <c r="C2084" s="1936">
        <f>报表附注!I2540</f>
        <v>0</v>
      </c>
      <c r="D2084" s="1927" t="b">
        <f t="shared" si="38"/>
        <v>1</v>
      </c>
    </row>
    <row r="2085" spans="1:4">
      <c r="A2085" s="1927" t="s">
        <v>1862</v>
      </c>
      <c r="B2085" s="1928" t="str">
        <f>报表附注!E2541</f>
        <v>类别4-</v>
      </c>
      <c r="C2085" s="1936">
        <f>报表附注!I2541</f>
        <v>0</v>
      </c>
      <c r="D2085" s="1927" t="b">
        <f t="shared" si="38"/>
        <v>0</v>
      </c>
    </row>
    <row r="2086" spans="1:4">
      <c r="A2086" s="1927" t="s">
        <v>1863</v>
      </c>
      <c r="B2086" s="1928" t="str">
        <f>报表附注!E2542</f>
        <v>类别5-</v>
      </c>
      <c r="C2086" s="1936">
        <f>报表附注!I2542</f>
        <v>0</v>
      </c>
      <c r="D2086" s="1927" t="b">
        <f t="shared" si="38"/>
        <v>0</v>
      </c>
    </row>
    <row r="2087" spans="1:4">
      <c r="A2087" s="1927" t="s">
        <v>1864</v>
      </c>
      <c r="B2087" s="1928" t="str">
        <f>报表附注!E2543</f>
        <v>类别6--</v>
      </c>
      <c r="C2087" s="1936">
        <f>报表附注!I2543</f>
        <v>0</v>
      </c>
      <c r="D2087" s="1927" t="b">
        <f t="shared" si="38"/>
        <v>1</v>
      </c>
    </row>
    <row r="2088" spans="1:4">
      <c r="A2088" s="1927" t="s">
        <v>1865</v>
      </c>
      <c r="B2088" s="1928" t="str">
        <f>报表附注!E2544</f>
        <v>类别7-</v>
      </c>
      <c r="C2088" s="1936">
        <f>报表附注!I2544</f>
        <v>0</v>
      </c>
      <c r="D2088" s="1927" t="b">
        <f t="shared" si="38"/>
        <v>0</v>
      </c>
    </row>
    <row r="2089" spans="1:4">
      <c r="A2089" s="1927" t="s">
        <v>1866</v>
      </c>
      <c r="B2089" s="1928" t="str">
        <f>报表附注!E2545</f>
        <v>类别8--</v>
      </c>
      <c r="C2089" s="1936">
        <f>报表附注!I2545</f>
        <v>0</v>
      </c>
      <c r="D2089" s="1927" t="b">
        <f t="shared" si="38"/>
        <v>1</v>
      </c>
    </row>
    <row r="2090" spans="1:4">
      <c r="A2090" s="1927" t="s">
        <v>1867</v>
      </c>
      <c r="B2090" s="1928" t="str">
        <f>报表附注!E2546</f>
        <v>类别9--</v>
      </c>
      <c r="C2090" s="1936">
        <f>报表附注!I2546</f>
        <v>0</v>
      </c>
      <c r="D2090" s="1927" t="b">
        <f t="shared" si="38"/>
        <v>1</v>
      </c>
    </row>
    <row r="2091" spans="1:4">
      <c r="A2091" s="1927" t="s">
        <v>1868</v>
      </c>
      <c r="B2091" s="1928" t="str">
        <f>报表附注!E2547</f>
        <v>类别10--</v>
      </c>
      <c r="C2091" s="1936">
        <f>报表附注!I2547</f>
        <v>0</v>
      </c>
      <c r="D2091" s="1927" t="b">
        <f t="shared" si="38"/>
        <v>1</v>
      </c>
    </row>
    <row r="2092" spans="1:4">
      <c r="A2092" s="1927" t="s">
        <v>1869</v>
      </c>
      <c r="B2092" s="1928" t="str">
        <f>报表附注!E2548</f>
        <v>类别11--</v>
      </c>
      <c r="C2092" s="1936">
        <f>报表附注!I2548</f>
        <v>0</v>
      </c>
      <c r="D2092" s="1927" t="b">
        <f t="shared" si="38"/>
        <v>1</v>
      </c>
    </row>
    <row r="2093" spans="1:4">
      <c r="A2093" s="1927" t="s">
        <v>1870</v>
      </c>
      <c r="B2093" s="1928" t="str">
        <f>报表附注!E2549</f>
        <v>类别12--</v>
      </c>
      <c r="C2093" s="1936">
        <f>报表附注!I2549</f>
        <v>0</v>
      </c>
      <c r="D2093" s="1927" t="b">
        <f t="shared" si="38"/>
        <v>1</v>
      </c>
    </row>
    <row r="2094" spans="1:4">
      <c r="A2094" s="1927" t="s">
        <v>1871</v>
      </c>
      <c r="B2094" s="1928" t="str">
        <f>报表附注!E2550</f>
        <v>类别13--</v>
      </c>
      <c r="C2094" s="1936">
        <f>报表附注!I2550</f>
        <v>0</v>
      </c>
      <c r="D2094" s="1927" t="b">
        <f t="shared" si="38"/>
        <v>1</v>
      </c>
    </row>
    <row r="2095" spans="1:4">
      <c r="A2095" s="1927" t="s">
        <v>1872</v>
      </c>
      <c r="B2095" s="1928" t="str">
        <f>报表附注!E2551</f>
        <v>类别14--</v>
      </c>
      <c r="C2095" s="1936">
        <f>报表附注!I2551</f>
        <v>0</v>
      </c>
      <c r="D2095" s="1927" t="b">
        <f t="shared" si="38"/>
        <v>1</v>
      </c>
    </row>
    <row r="2096" spans="1:4">
      <c r="A2096" s="1927" t="s">
        <v>1580</v>
      </c>
      <c r="B2096" s="1939" t="str">
        <f>报表附注!E2552</f>
        <v>合计</v>
      </c>
      <c r="C2096" s="1936">
        <f>报表附注!I2552</f>
        <v>0</v>
      </c>
      <c r="D2096" s="1927" t="b">
        <f t="shared" si="38"/>
        <v>1</v>
      </c>
    </row>
    <row r="2097" spans="4:4">
      <c r="D2097" s="1927" t="b">
        <f t="shared" si="38"/>
        <v>1</v>
      </c>
    </row>
    <row r="2098" spans="1:4">
      <c r="A2098" s="1927" t="s">
        <v>1876</v>
      </c>
      <c r="B2098" s="385" t="s">
        <v>1876</v>
      </c>
      <c r="D2098" s="1927" t="b">
        <f t="shared" si="38"/>
        <v>1</v>
      </c>
    </row>
    <row r="2099" spans="1:4">
      <c r="A2099" s="1927" t="s">
        <v>1858</v>
      </c>
      <c r="B2099" s="1948" t="s">
        <v>1858</v>
      </c>
      <c r="D2099" s="1927" t="b">
        <f t="shared" si="38"/>
        <v>1</v>
      </c>
    </row>
    <row r="2100" spans="1:4">
      <c r="A2100" s="1927" t="s">
        <v>1877</v>
      </c>
      <c r="B2100" s="1928" t="str">
        <f>报表附注!E2557</f>
        <v>类别1--</v>
      </c>
      <c r="C2100" s="1936">
        <f>报表附注!F2557</f>
        <v>0</v>
      </c>
      <c r="D2100" s="1927" t="b">
        <f t="shared" si="38"/>
        <v>0</v>
      </c>
    </row>
    <row r="2101" spans="1:4">
      <c r="A2101" s="1927" t="s">
        <v>1878</v>
      </c>
      <c r="B2101" s="1928" t="str">
        <f>报表附注!E2558</f>
        <v>类别2--</v>
      </c>
      <c r="C2101" s="1936">
        <f>报表附注!F2558</f>
        <v>0</v>
      </c>
      <c r="D2101" s="1927" t="b">
        <f t="shared" si="38"/>
        <v>0</v>
      </c>
    </row>
    <row r="2102" spans="1:4">
      <c r="A2102" s="1927" t="s">
        <v>1879</v>
      </c>
      <c r="B2102" s="1928" t="str">
        <f>报表附注!E2559</f>
        <v>类别3--</v>
      </c>
      <c r="C2102" s="1936">
        <f>报表附注!F2559</f>
        <v>0</v>
      </c>
      <c r="D2102" s="1927" t="b">
        <f t="shared" si="38"/>
        <v>0</v>
      </c>
    </row>
    <row r="2103" spans="1:4">
      <c r="A2103" s="1927" t="s">
        <v>1880</v>
      </c>
      <c r="B2103" s="1928" t="str">
        <f>报表附注!E2560</f>
        <v>类别4-</v>
      </c>
      <c r="C2103" s="1936">
        <f>报表附注!F2560</f>
        <v>0</v>
      </c>
      <c r="D2103" s="1927" t="b">
        <f t="shared" si="38"/>
        <v>0</v>
      </c>
    </row>
    <row r="2104" spans="1:4">
      <c r="A2104" s="1927" t="s">
        <v>1881</v>
      </c>
      <c r="B2104" s="1928" t="str">
        <f>报表附注!E2561</f>
        <v>类别5-</v>
      </c>
      <c r="C2104" s="1936">
        <f>报表附注!F2561</f>
        <v>0</v>
      </c>
      <c r="D2104" s="1927" t="b">
        <f t="shared" si="38"/>
        <v>0</v>
      </c>
    </row>
    <row r="2105" spans="1:4">
      <c r="A2105" s="1927" t="s">
        <v>1882</v>
      </c>
      <c r="B2105" s="1928" t="str">
        <f>报表附注!E2562</f>
        <v>类别6--</v>
      </c>
      <c r="C2105" s="1936">
        <f>报表附注!F2562</f>
        <v>0</v>
      </c>
      <c r="D2105" s="1927" t="b">
        <f t="shared" si="38"/>
        <v>0</v>
      </c>
    </row>
    <row r="2106" spans="1:4">
      <c r="A2106" s="1927" t="s">
        <v>1883</v>
      </c>
      <c r="B2106" s="1928" t="str">
        <f>报表附注!E2563</f>
        <v>类别7-</v>
      </c>
      <c r="C2106" s="1936">
        <f>报表附注!F2563</f>
        <v>0</v>
      </c>
      <c r="D2106" s="1927" t="b">
        <f t="shared" si="38"/>
        <v>0</v>
      </c>
    </row>
    <row r="2107" spans="1:4">
      <c r="A2107" s="1927" t="s">
        <v>1884</v>
      </c>
      <c r="B2107" s="1928" t="str">
        <f>报表附注!E2564</f>
        <v>类别8--</v>
      </c>
      <c r="C2107" s="1936">
        <f>报表附注!F2564</f>
        <v>0</v>
      </c>
      <c r="D2107" s="1927" t="b">
        <f t="shared" si="38"/>
        <v>0</v>
      </c>
    </row>
    <row r="2108" spans="1:4">
      <c r="A2108" s="1927" t="s">
        <v>1885</v>
      </c>
      <c r="B2108" s="1928" t="str">
        <f>报表附注!E2565</f>
        <v>类别9--</v>
      </c>
      <c r="C2108" s="1936">
        <f>报表附注!F2565</f>
        <v>0</v>
      </c>
      <c r="D2108" s="1927" t="b">
        <f t="shared" si="38"/>
        <v>0</v>
      </c>
    </row>
    <row r="2109" spans="1:4">
      <c r="A2109" s="1927" t="s">
        <v>1886</v>
      </c>
      <c r="B2109" s="1928" t="str">
        <f>报表附注!E2566</f>
        <v>类别10--</v>
      </c>
      <c r="C2109" s="1936">
        <f>报表附注!F2566</f>
        <v>0</v>
      </c>
      <c r="D2109" s="1927" t="b">
        <f t="shared" si="38"/>
        <v>0</v>
      </c>
    </row>
    <row r="2110" spans="1:4">
      <c r="A2110" s="1927" t="s">
        <v>1887</v>
      </c>
      <c r="B2110" s="1928" t="str">
        <f>报表附注!E2567</f>
        <v>产品名称11--</v>
      </c>
      <c r="C2110" s="1936">
        <f>报表附注!F2567</f>
        <v>0</v>
      </c>
      <c r="D2110" s="1927" t="b">
        <f t="shared" ref="D2110:D2173" si="39">EXACT(A2110,B2110)</f>
        <v>1</v>
      </c>
    </row>
    <row r="2111" spans="1:4">
      <c r="A2111" s="1927" t="s">
        <v>1888</v>
      </c>
      <c r="B2111" s="1928" t="str">
        <f>报表附注!E2568</f>
        <v>产品名称12--</v>
      </c>
      <c r="C2111" s="1936">
        <f>报表附注!F2568</f>
        <v>0</v>
      </c>
      <c r="D2111" s="1927" t="b">
        <f t="shared" si="39"/>
        <v>1</v>
      </c>
    </row>
    <row r="2112" spans="1:4">
      <c r="A2112" s="1927" t="s">
        <v>1889</v>
      </c>
      <c r="B2112" s="1928" t="str">
        <f>报表附注!E2569</f>
        <v>产品名称13--</v>
      </c>
      <c r="C2112" s="1936">
        <f>报表附注!F2569</f>
        <v>0</v>
      </c>
      <c r="D2112" s="1927" t="b">
        <f t="shared" si="39"/>
        <v>1</v>
      </c>
    </row>
    <row r="2113" spans="1:4">
      <c r="A2113" s="1927" t="s">
        <v>1580</v>
      </c>
      <c r="B2113" s="1939" t="str">
        <f>报表附注!E2570</f>
        <v>合计</v>
      </c>
      <c r="C2113" s="1936">
        <f>报表附注!F2570</f>
        <v>0</v>
      </c>
      <c r="D2113" s="1927" t="b">
        <f t="shared" si="39"/>
        <v>1</v>
      </c>
    </row>
    <row r="2114" spans="1:4">
      <c r="A2114" s="1927" t="s">
        <v>1873</v>
      </c>
      <c r="B2114" s="1948" t="s">
        <v>1873</v>
      </c>
      <c r="D2114" s="1927" t="b">
        <f t="shared" si="39"/>
        <v>1</v>
      </c>
    </row>
    <row r="2115" spans="1:4">
      <c r="A2115" s="1927" t="s">
        <v>1877</v>
      </c>
      <c r="B2115" s="1928" t="str">
        <f>报表附注!E2557</f>
        <v>类别1--</v>
      </c>
      <c r="C2115" s="1936">
        <f>报表附注!G2557</f>
        <v>0</v>
      </c>
      <c r="D2115" s="1927" t="b">
        <f t="shared" si="39"/>
        <v>0</v>
      </c>
    </row>
    <row r="2116" spans="1:4">
      <c r="A2116" s="1927" t="s">
        <v>1878</v>
      </c>
      <c r="B2116" s="1928" t="str">
        <f>报表附注!E2558</f>
        <v>类别2--</v>
      </c>
      <c r="C2116" s="1936">
        <f>报表附注!G2558</f>
        <v>0</v>
      </c>
      <c r="D2116" s="1927" t="b">
        <f t="shared" si="39"/>
        <v>0</v>
      </c>
    </row>
    <row r="2117" spans="1:4">
      <c r="A2117" s="1927" t="s">
        <v>1879</v>
      </c>
      <c r="B2117" s="1928" t="str">
        <f>报表附注!E2559</f>
        <v>类别3--</v>
      </c>
      <c r="C2117" s="1936">
        <f>报表附注!G2559</f>
        <v>0</v>
      </c>
      <c r="D2117" s="1927" t="b">
        <f t="shared" si="39"/>
        <v>0</v>
      </c>
    </row>
    <row r="2118" spans="1:4">
      <c r="A2118" s="1927" t="s">
        <v>1880</v>
      </c>
      <c r="B2118" s="1928" t="str">
        <f>报表附注!E2560</f>
        <v>类别4-</v>
      </c>
      <c r="C2118" s="1936">
        <f>报表附注!G2560</f>
        <v>0</v>
      </c>
      <c r="D2118" s="1927" t="b">
        <f t="shared" si="39"/>
        <v>0</v>
      </c>
    </row>
    <row r="2119" spans="1:4">
      <c r="A2119" s="1927" t="s">
        <v>1881</v>
      </c>
      <c r="B2119" s="1928" t="str">
        <f>报表附注!E2561</f>
        <v>类别5-</v>
      </c>
      <c r="C2119" s="1936">
        <f>报表附注!G2561</f>
        <v>0</v>
      </c>
      <c r="D2119" s="1927" t="b">
        <f t="shared" si="39"/>
        <v>0</v>
      </c>
    </row>
    <row r="2120" spans="1:4">
      <c r="A2120" s="1927" t="s">
        <v>1882</v>
      </c>
      <c r="B2120" s="1928" t="str">
        <f>报表附注!E2562</f>
        <v>类别6--</v>
      </c>
      <c r="C2120" s="1936">
        <f>报表附注!G2562</f>
        <v>0</v>
      </c>
      <c r="D2120" s="1927" t="b">
        <f t="shared" si="39"/>
        <v>0</v>
      </c>
    </row>
    <row r="2121" spans="1:4">
      <c r="A2121" s="1927" t="s">
        <v>1883</v>
      </c>
      <c r="B2121" s="1928" t="str">
        <f>报表附注!E2563</f>
        <v>类别7-</v>
      </c>
      <c r="C2121" s="1936">
        <f>报表附注!G2563</f>
        <v>0</v>
      </c>
      <c r="D2121" s="1927" t="b">
        <f t="shared" si="39"/>
        <v>0</v>
      </c>
    </row>
    <row r="2122" spans="1:4">
      <c r="A2122" s="1927" t="s">
        <v>1884</v>
      </c>
      <c r="B2122" s="1928" t="str">
        <f>报表附注!E2564</f>
        <v>类别8--</v>
      </c>
      <c r="C2122" s="1936">
        <f>报表附注!G2564</f>
        <v>0</v>
      </c>
      <c r="D2122" s="1927" t="b">
        <f t="shared" si="39"/>
        <v>0</v>
      </c>
    </row>
    <row r="2123" spans="1:4">
      <c r="A2123" s="1927" t="s">
        <v>1885</v>
      </c>
      <c r="B2123" s="1928" t="str">
        <f>报表附注!E2565</f>
        <v>类别9--</v>
      </c>
      <c r="C2123" s="1936">
        <f>报表附注!G2565</f>
        <v>0</v>
      </c>
      <c r="D2123" s="1927" t="b">
        <f t="shared" si="39"/>
        <v>0</v>
      </c>
    </row>
    <row r="2124" spans="1:4">
      <c r="A2124" s="1927" t="s">
        <v>1886</v>
      </c>
      <c r="B2124" s="1928" t="str">
        <f>报表附注!E2566</f>
        <v>类别10--</v>
      </c>
      <c r="C2124" s="1936">
        <f>报表附注!G2566</f>
        <v>0</v>
      </c>
      <c r="D2124" s="1927" t="b">
        <f t="shared" si="39"/>
        <v>0</v>
      </c>
    </row>
    <row r="2125" spans="1:4">
      <c r="A2125" s="1927" t="s">
        <v>1887</v>
      </c>
      <c r="B2125" s="1928" t="str">
        <f>报表附注!E2567</f>
        <v>产品名称11--</v>
      </c>
      <c r="C2125" s="1936">
        <f>报表附注!G2567</f>
        <v>0</v>
      </c>
      <c r="D2125" s="1927" t="b">
        <f t="shared" si="39"/>
        <v>1</v>
      </c>
    </row>
    <row r="2126" spans="1:4">
      <c r="A2126" s="1927" t="s">
        <v>1888</v>
      </c>
      <c r="B2126" s="1928" t="str">
        <f>报表附注!E2568</f>
        <v>产品名称12--</v>
      </c>
      <c r="C2126" s="1936">
        <f>报表附注!G2568</f>
        <v>0</v>
      </c>
      <c r="D2126" s="1927" t="b">
        <f t="shared" si="39"/>
        <v>1</v>
      </c>
    </row>
    <row r="2127" spans="1:4">
      <c r="A2127" s="1927" t="s">
        <v>1889</v>
      </c>
      <c r="B2127" s="1928" t="str">
        <f>报表附注!E2569</f>
        <v>产品名称13--</v>
      </c>
      <c r="C2127" s="1936">
        <f>报表附注!G2569</f>
        <v>0</v>
      </c>
      <c r="D2127" s="1927" t="b">
        <f t="shared" si="39"/>
        <v>1</v>
      </c>
    </row>
    <row r="2128" spans="1:4">
      <c r="A2128" s="1927" t="s">
        <v>1580</v>
      </c>
      <c r="B2128" s="1939" t="str">
        <f>报表附注!E2570</f>
        <v>合计</v>
      </c>
      <c r="C2128" s="1936">
        <f>报表附注!G2570</f>
        <v>0</v>
      </c>
      <c r="D2128" s="1927" t="b">
        <f t="shared" si="39"/>
        <v>1</v>
      </c>
    </row>
    <row r="2129" spans="1:4">
      <c r="A2129" s="1927" t="s">
        <v>1874</v>
      </c>
      <c r="B2129" s="1948" t="s">
        <v>1874</v>
      </c>
      <c r="D2129" s="1927" t="b">
        <f t="shared" si="39"/>
        <v>1</v>
      </c>
    </row>
    <row r="2130" spans="1:4">
      <c r="A2130" s="1927" t="s">
        <v>1877</v>
      </c>
      <c r="B2130" s="1928" t="str">
        <f>报表附注!E2557</f>
        <v>类别1--</v>
      </c>
      <c r="C2130" s="1936">
        <f>报表附注!H2557</f>
        <v>0</v>
      </c>
      <c r="D2130" s="1927" t="b">
        <f t="shared" si="39"/>
        <v>0</v>
      </c>
    </row>
    <row r="2131" spans="1:4">
      <c r="A2131" s="1927" t="s">
        <v>1878</v>
      </c>
      <c r="B2131" s="1928" t="str">
        <f>报表附注!E2558</f>
        <v>类别2--</v>
      </c>
      <c r="C2131" s="1936">
        <f>报表附注!H2558</f>
        <v>0</v>
      </c>
      <c r="D2131" s="1927" t="b">
        <f t="shared" si="39"/>
        <v>0</v>
      </c>
    </row>
    <row r="2132" spans="1:4">
      <c r="A2132" s="1927" t="s">
        <v>1879</v>
      </c>
      <c r="B2132" s="1928" t="str">
        <f>报表附注!E2559</f>
        <v>类别3--</v>
      </c>
      <c r="C2132" s="1936">
        <f>报表附注!H2559</f>
        <v>0</v>
      </c>
      <c r="D2132" s="1927" t="b">
        <f t="shared" si="39"/>
        <v>0</v>
      </c>
    </row>
    <row r="2133" spans="1:4">
      <c r="A2133" s="1927" t="s">
        <v>1880</v>
      </c>
      <c r="B2133" s="1928" t="str">
        <f>报表附注!E2560</f>
        <v>类别4-</v>
      </c>
      <c r="C2133" s="1936">
        <f>报表附注!H2560</f>
        <v>0</v>
      </c>
      <c r="D2133" s="1927" t="b">
        <f t="shared" si="39"/>
        <v>0</v>
      </c>
    </row>
    <row r="2134" spans="1:4">
      <c r="A2134" s="1927" t="s">
        <v>1881</v>
      </c>
      <c r="B2134" s="1928" t="str">
        <f>报表附注!E2561</f>
        <v>类别5-</v>
      </c>
      <c r="C2134" s="1936">
        <f>报表附注!H2561</f>
        <v>0</v>
      </c>
      <c r="D2134" s="1927" t="b">
        <f t="shared" si="39"/>
        <v>0</v>
      </c>
    </row>
    <row r="2135" spans="1:4">
      <c r="A2135" s="1927" t="s">
        <v>1882</v>
      </c>
      <c r="B2135" s="1928" t="str">
        <f>报表附注!E2562</f>
        <v>类别6--</v>
      </c>
      <c r="C2135" s="1936">
        <f>报表附注!H2562</f>
        <v>0</v>
      </c>
      <c r="D2135" s="1927" t="b">
        <f t="shared" si="39"/>
        <v>0</v>
      </c>
    </row>
    <row r="2136" spans="1:4">
      <c r="A2136" s="1927" t="s">
        <v>1883</v>
      </c>
      <c r="B2136" s="1928" t="str">
        <f>报表附注!E2563</f>
        <v>类别7-</v>
      </c>
      <c r="C2136" s="1936">
        <f>报表附注!H2563</f>
        <v>0</v>
      </c>
      <c r="D2136" s="1927" t="b">
        <f t="shared" si="39"/>
        <v>0</v>
      </c>
    </row>
    <row r="2137" spans="1:4">
      <c r="A2137" s="1927" t="s">
        <v>1884</v>
      </c>
      <c r="B2137" s="1928" t="str">
        <f>报表附注!E2564</f>
        <v>类别8--</v>
      </c>
      <c r="C2137" s="1936">
        <f>报表附注!H2564</f>
        <v>0</v>
      </c>
      <c r="D2137" s="1927" t="b">
        <f t="shared" si="39"/>
        <v>0</v>
      </c>
    </row>
    <row r="2138" spans="1:4">
      <c r="A2138" s="1927" t="s">
        <v>1885</v>
      </c>
      <c r="B2138" s="1928" t="str">
        <f>报表附注!E2565</f>
        <v>类别9--</v>
      </c>
      <c r="C2138" s="1936">
        <f>报表附注!H2565</f>
        <v>0</v>
      </c>
      <c r="D2138" s="1927" t="b">
        <f t="shared" si="39"/>
        <v>0</v>
      </c>
    </row>
    <row r="2139" spans="1:4">
      <c r="A2139" s="1927" t="s">
        <v>1886</v>
      </c>
      <c r="B2139" s="1928" t="str">
        <f>报表附注!E2566</f>
        <v>类别10--</v>
      </c>
      <c r="C2139" s="1936">
        <f>报表附注!H2566</f>
        <v>0</v>
      </c>
      <c r="D2139" s="1927" t="b">
        <f t="shared" si="39"/>
        <v>0</v>
      </c>
    </row>
    <row r="2140" spans="1:4">
      <c r="A2140" s="1927" t="s">
        <v>1887</v>
      </c>
      <c r="B2140" s="1928" t="str">
        <f>报表附注!E2567</f>
        <v>产品名称11--</v>
      </c>
      <c r="C2140" s="1936">
        <f>报表附注!H2567</f>
        <v>0</v>
      </c>
      <c r="D2140" s="1927" t="b">
        <f t="shared" si="39"/>
        <v>1</v>
      </c>
    </row>
    <row r="2141" spans="1:4">
      <c r="A2141" s="1927" t="s">
        <v>1888</v>
      </c>
      <c r="B2141" s="1928" t="str">
        <f>报表附注!E2568</f>
        <v>产品名称12--</v>
      </c>
      <c r="C2141" s="1936">
        <f>报表附注!H2568</f>
        <v>0</v>
      </c>
      <c r="D2141" s="1927" t="b">
        <f t="shared" si="39"/>
        <v>1</v>
      </c>
    </row>
    <row r="2142" spans="1:4">
      <c r="A2142" s="1927" t="s">
        <v>1889</v>
      </c>
      <c r="B2142" s="1928" t="str">
        <f>报表附注!E2569</f>
        <v>产品名称13--</v>
      </c>
      <c r="C2142" s="1936">
        <f>报表附注!H2569</f>
        <v>0</v>
      </c>
      <c r="D2142" s="1927" t="b">
        <f t="shared" si="39"/>
        <v>1</v>
      </c>
    </row>
    <row r="2143" spans="1:4">
      <c r="A2143" s="1927" t="s">
        <v>1580</v>
      </c>
      <c r="B2143" s="1939" t="str">
        <f>报表附注!E2570</f>
        <v>合计</v>
      </c>
      <c r="C2143" s="1936">
        <f>报表附注!H2570</f>
        <v>0</v>
      </c>
      <c r="D2143" s="1927" t="b">
        <f t="shared" si="39"/>
        <v>1</v>
      </c>
    </row>
    <row r="2144" spans="1:4">
      <c r="A2144" s="1927" t="s">
        <v>1875</v>
      </c>
      <c r="B2144" s="1948" t="s">
        <v>1875</v>
      </c>
      <c r="D2144" s="1927" t="b">
        <f t="shared" si="39"/>
        <v>1</v>
      </c>
    </row>
    <row r="2145" spans="1:4">
      <c r="A2145" s="1927" t="s">
        <v>1877</v>
      </c>
      <c r="B2145" s="1935" t="str">
        <f>报表附注!E2557</f>
        <v>类别1--</v>
      </c>
      <c r="C2145" s="1936">
        <f>报表附注!I2557</f>
        <v>0</v>
      </c>
      <c r="D2145" s="1927" t="b">
        <f t="shared" si="39"/>
        <v>0</v>
      </c>
    </row>
    <row r="2146" spans="1:4">
      <c r="A2146" s="1927" t="s">
        <v>1878</v>
      </c>
      <c r="B2146" s="1935" t="str">
        <f>报表附注!E2558</f>
        <v>类别2--</v>
      </c>
      <c r="C2146" s="1936">
        <f>报表附注!I2558</f>
        <v>0</v>
      </c>
      <c r="D2146" s="1927" t="b">
        <f t="shared" si="39"/>
        <v>0</v>
      </c>
    </row>
    <row r="2147" spans="1:4">
      <c r="A2147" s="1927" t="s">
        <v>1879</v>
      </c>
      <c r="B2147" s="1935" t="str">
        <f>报表附注!E2559</f>
        <v>类别3--</v>
      </c>
      <c r="C2147" s="1936">
        <f>报表附注!I2559</f>
        <v>0</v>
      </c>
      <c r="D2147" s="1927" t="b">
        <f t="shared" si="39"/>
        <v>0</v>
      </c>
    </row>
    <row r="2148" spans="1:4">
      <c r="A2148" s="1927" t="s">
        <v>1880</v>
      </c>
      <c r="B2148" s="1935" t="str">
        <f>报表附注!E2560</f>
        <v>类别4-</v>
      </c>
      <c r="C2148" s="1936">
        <f>报表附注!I2560</f>
        <v>0</v>
      </c>
      <c r="D2148" s="1927" t="b">
        <f t="shared" si="39"/>
        <v>0</v>
      </c>
    </row>
    <row r="2149" spans="1:4">
      <c r="A2149" s="1927" t="s">
        <v>1881</v>
      </c>
      <c r="B2149" s="1935" t="str">
        <f>报表附注!E2561</f>
        <v>类别5-</v>
      </c>
      <c r="C2149" s="1936">
        <f>报表附注!I2561</f>
        <v>0</v>
      </c>
      <c r="D2149" s="1927" t="b">
        <f t="shared" si="39"/>
        <v>0</v>
      </c>
    </row>
    <row r="2150" spans="1:4">
      <c r="A2150" s="1927" t="s">
        <v>1882</v>
      </c>
      <c r="B2150" s="1935" t="str">
        <f>报表附注!E2562</f>
        <v>类别6--</v>
      </c>
      <c r="C2150" s="1936">
        <f>报表附注!I2562</f>
        <v>0</v>
      </c>
      <c r="D2150" s="1927" t="b">
        <f t="shared" si="39"/>
        <v>0</v>
      </c>
    </row>
    <row r="2151" spans="1:4">
      <c r="A2151" s="1927" t="s">
        <v>1883</v>
      </c>
      <c r="B2151" s="1935" t="str">
        <f>报表附注!E2563</f>
        <v>类别7-</v>
      </c>
      <c r="C2151" s="1936">
        <f>报表附注!I2563</f>
        <v>0</v>
      </c>
      <c r="D2151" s="1927" t="b">
        <f t="shared" si="39"/>
        <v>0</v>
      </c>
    </row>
    <row r="2152" spans="1:4">
      <c r="A2152" s="1927" t="s">
        <v>1884</v>
      </c>
      <c r="B2152" s="1935" t="str">
        <f>报表附注!E2564</f>
        <v>类别8--</v>
      </c>
      <c r="C2152" s="1936">
        <f>报表附注!I2564</f>
        <v>0</v>
      </c>
      <c r="D2152" s="1927" t="b">
        <f t="shared" si="39"/>
        <v>0</v>
      </c>
    </row>
    <row r="2153" spans="1:4">
      <c r="A2153" s="1927" t="s">
        <v>1885</v>
      </c>
      <c r="B2153" s="1935" t="str">
        <f>报表附注!E2565</f>
        <v>类别9--</v>
      </c>
      <c r="C2153" s="1936">
        <f>报表附注!I2565</f>
        <v>0</v>
      </c>
      <c r="D2153" s="1927" t="b">
        <f t="shared" si="39"/>
        <v>0</v>
      </c>
    </row>
    <row r="2154" spans="1:4">
      <c r="A2154" s="1927" t="s">
        <v>1886</v>
      </c>
      <c r="B2154" s="1935" t="str">
        <f>报表附注!E2566</f>
        <v>类别10--</v>
      </c>
      <c r="C2154" s="1936">
        <f>报表附注!I2566</f>
        <v>0</v>
      </c>
      <c r="D2154" s="1927" t="b">
        <f t="shared" si="39"/>
        <v>0</v>
      </c>
    </row>
    <row r="2155" spans="1:4">
      <c r="A2155" s="1927" t="s">
        <v>1887</v>
      </c>
      <c r="B2155" s="1935" t="str">
        <f>报表附注!E2567</f>
        <v>产品名称11--</v>
      </c>
      <c r="C2155" s="1936">
        <f>报表附注!I2567</f>
        <v>0</v>
      </c>
      <c r="D2155" s="1927" t="b">
        <f t="shared" si="39"/>
        <v>1</v>
      </c>
    </row>
    <row r="2156" spans="1:4">
      <c r="A2156" s="1927" t="s">
        <v>1888</v>
      </c>
      <c r="B2156" s="1935" t="str">
        <f>报表附注!E2568</f>
        <v>产品名称12--</v>
      </c>
      <c r="C2156" s="1936">
        <f>报表附注!I2568</f>
        <v>0</v>
      </c>
      <c r="D2156" s="1927" t="b">
        <f t="shared" si="39"/>
        <v>1</v>
      </c>
    </row>
    <row r="2157" spans="1:4">
      <c r="A2157" s="1927" t="s">
        <v>1889</v>
      </c>
      <c r="B2157" s="1935" t="str">
        <f>报表附注!E2569</f>
        <v>产品名称13--</v>
      </c>
      <c r="C2157" s="1936">
        <f>报表附注!I2569</f>
        <v>0</v>
      </c>
      <c r="D2157" s="1927" t="b">
        <f t="shared" si="39"/>
        <v>1</v>
      </c>
    </row>
    <row r="2158" spans="1:4">
      <c r="A2158" s="1927" t="s">
        <v>1580</v>
      </c>
      <c r="B2158" s="1938" t="str">
        <f>报表附注!E2570</f>
        <v>合计</v>
      </c>
      <c r="C2158" s="1936">
        <f>报表附注!I2570</f>
        <v>0</v>
      </c>
      <c r="D2158" s="1927" t="b">
        <f t="shared" si="39"/>
        <v>1</v>
      </c>
    </row>
    <row r="2159" spans="2:4">
      <c r="B2159" s="1948"/>
      <c r="D2159" s="1927" t="b">
        <f t="shared" si="39"/>
        <v>1</v>
      </c>
    </row>
    <row r="2160" spans="1:4">
      <c r="A2160" s="1927" t="s">
        <v>1890</v>
      </c>
      <c r="B2160" s="385" t="s">
        <v>1890</v>
      </c>
      <c r="D2160" s="1927" t="b">
        <f t="shared" si="39"/>
        <v>1</v>
      </c>
    </row>
    <row r="2161" spans="1:4">
      <c r="A2161" s="1927" t="s">
        <v>1858</v>
      </c>
      <c r="B2161" s="1948" t="s">
        <v>1858</v>
      </c>
      <c r="D2161" s="1927" t="b">
        <f t="shared" si="39"/>
        <v>1</v>
      </c>
    </row>
    <row r="2162" spans="1:4">
      <c r="A2162" s="1927" t="s">
        <v>1891</v>
      </c>
      <c r="B2162" s="386" t="str">
        <f>报表附注!E2575</f>
        <v>地区1--国内销售</v>
      </c>
      <c r="C2162" s="1936">
        <f>报表附注!F2575</f>
        <v>0</v>
      </c>
      <c r="D2162" s="1927" t="b">
        <f t="shared" si="39"/>
        <v>0</v>
      </c>
    </row>
    <row r="2163" spans="1:4">
      <c r="A2163" s="1927" t="s">
        <v>1892</v>
      </c>
      <c r="B2163" s="386" t="str">
        <f>报表附注!E2576</f>
        <v>地区2--国外销售</v>
      </c>
      <c r="C2163" s="1936">
        <f>报表附注!F2576</f>
        <v>0</v>
      </c>
      <c r="D2163" s="1927" t="b">
        <f t="shared" si="39"/>
        <v>0</v>
      </c>
    </row>
    <row r="2164" spans="1:4">
      <c r="A2164" s="1927" t="s">
        <v>1893</v>
      </c>
      <c r="B2164" s="386" t="str">
        <f>报表附注!E2577</f>
        <v>地区3--港澳台销售</v>
      </c>
      <c r="C2164" s="1936">
        <f>报表附注!F2577</f>
        <v>0</v>
      </c>
      <c r="D2164" s="1927" t="b">
        <f t="shared" si="39"/>
        <v>0</v>
      </c>
    </row>
    <row r="2165" spans="1:4">
      <c r="A2165" s="1927" t="s">
        <v>1894</v>
      </c>
      <c r="B2165" s="386">
        <f>报表附注!E2578</f>
        <v>0</v>
      </c>
      <c r="C2165" s="1936">
        <f>报表附注!F2578</f>
        <v>0</v>
      </c>
      <c r="D2165" s="1927" t="b">
        <f t="shared" si="39"/>
        <v>0</v>
      </c>
    </row>
    <row r="2166" spans="1:4">
      <c r="A2166" s="1927" t="s">
        <v>1895</v>
      </c>
      <c r="B2166" s="386">
        <f>报表附注!E2579</f>
        <v>0</v>
      </c>
      <c r="C2166" s="1936">
        <f>报表附注!F2579</f>
        <v>0</v>
      </c>
      <c r="D2166" s="1927" t="b">
        <f t="shared" si="39"/>
        <v>0</v>
      </c>
    </row>
    <row r="2167" spans="1:4">
      <c r="A2167" s="1927" t="s">
        <v>1896</v>
      </c>
      <c r="B2167" s="386" t="str">
        <f>报表附注!E2580</f>
        <v>地区6--</v>
      </c>
      <c r="C2167" s="1936">
        <f>报表附注!F2580</f>
        <v>0</v>
      </c>
      <c r="D2167" s="1927" t="b">
        <f t="shared" si="39"/>
        <v>1</v>
      </c>
    </row>
    <row r="2168" spans="1:4">
      <c r="A2168" s="1927" t="s">
        <v>1897</v>
      </c>
      <c r="B2168" s="386" t="str">
        <f>报表附注!E2581</f>
        <v>地区7--</v>
      </c>
      <c r="C2168" s="1936">
        <f>报表附注!F2581</f>
        <v>0</v>
      </c>
      <c r="D2168" s="1927" t="b">
        <f t="shared" si="39"/>
        <v>1</v>
      </c>
    </row>
    <row r="2169" spans="1:4">
      <c r="A2169" s="1927" t="s">
        <v>1898</v>
      </c>
      <c r="B2169" s="386" t="str">
        <f>报表附注!E2582</f>
        <v>地区8--</v>
      </c>
      <c r="C2169" s="1936">
        <f>报表附注!F2582</f>
        <v>0</v>
      </c>
      <c r="D2169" s="1927" t="b">
        <f t="shared" si="39"/>
        <v>1</v>
      </c>
    </row>
    <row r="2170" spans="1:4">
      <c r="A2170" s="1927" t="s">
        <v>1899</v>
      </c>
      <c r="B2170" s="386" t="str">
        <f>报表附注!E2583</f>
        <v>地区9--</v>
      </c>
      <c r="C2170" s="1936">
        <f>报表附注!F2583</f>
        <v>0</v>
      </c>
      <c r="D2170" s="1927" t="b">
        <f t="shared" si="39"/>
        <v>1</v>
      </c>
    </row>
    <row r="2171" spans="1:4">
      <c r="A2171" s="1927" t="s">
        <v>1900</v>
      </c>
      <c r="B2171" s="386" t="str">
        <f>报表附注!E2584</f>
        <v>地区10--</v>
      </c>
      <c r="C2171" s="1936">
        <f>报表附注!F2584</f>
        <v>0</v>
      </c>
      <c r="D2171" s="1927" t="b">
        <f t="shared" si="39"/>
        <v>1</v>
      </c>
    </row>
    <row r="2172" spans="1:4">
      <c r="A2172" s="1927" t="s">
        <v>1901</v>
      </c>
      <c r="B2172" s="386" t="str">
        <f>报表附注!E2585</f>
        <v>地区11--</v>
      </c>
      <c r="C2172" s="1936">
        <f>报表附注!F2585</f>
        <v>0</v>
      </c>
      <c r="D2172" s="1927" t="b">
        <f t="shared" si="39"/>
        <v>1</v>
      </c>
    </row>
    <row r="2173" spans="1:4">
      <c r="A2173" s="1927" t="s">
        <v>1902</v>
      </c>
      <c r="B2173" s="386" t="str">
        <f>报表附注!E2586</f>
        <v>地区12--</v>
      </c>
      <c r="C2173" s="1936">
        <f>报表附注!F2586</f>
        <v>0</v>
      </c>
      <c r="D2173" s="1927" t="b">
        <f t="shared" si="39"/>
        <v>1</v>
      </c>
    </row>
    <row r="2174" spans="1:4">
      <c r="A2174" s="1927" t="s">
        <v>1903</v>
      </c>
      <c r="B2174" s="386" t="str">
        <f>报表附注!E2587</f>
        <v>地区13--</v>
      </c>
      <c r="C2174" s="1936">
        <f>报表附注!F2587</f>
        <v>0</v>
      </c>
      <c r="D2174" s="1927" t="b">
        <f t="shared" ref="D2174:D2237" si="40">EXACT(A2174,B2174)</f>
        <v>1</v>
      </c>
    </row>
    <row r="2175" spans="1:4">
      <c r="A2175" s="1927" t="s">
        <v>1580</v>
      </c>
      <c r="B2175" s="387" t="str">
        <f>报表附注!E2588</f>
        <v>合计</v>
      </c>
      <c r="C2175" s="1936">
        <f>报表附注!F2588</f>
        <v>0</v>
      </c>
      <c r="D2175" s="1927" t="b">
        <f t="shared" si="40"/>
        <v>1</v>
      </c>
    </row>
    <row r="2176" spans="1:4">
      <c r="A2176" s="1927" t="s">
        <v>1873</v>
      </c>
      <c r="B2176" s="1948" t="s">
        <v>1873</v>
      </c>
      <c r="D2176" s="1927" t="b">
        <f t="shared" si="40"/>
        <v>1</v>
      </c>
    </row>
    <row r="2177" spans="1:4">
      <c r="A2177" s="1927" t="s">
        <v>1891</v>
      </c>
      <c r="B2177" s="386" t="str">
        <f>报表附注!E2575</f>
        <v>地区1--国内销售</v>
      </c>
      <c r="C2177" s="1936">
        <f>报表附注!G2575</f>
        <v>0</v>
      </c>
      <c r="D2177" s="1927" t="b">
        <f t="shared" si="40"/>
        <v>0</v>
      </c>
    </row>
    <row r="2178" spans="1:4">
      <c r="A2178" s="1927" t="s">
        <v>1892</v>
      </c>
      <c r="B2178" s="386" t="str">
        <f>报表附注!E2576</f>
        <v>地区2--国外销售</v>
      </c>
      <c r="C2178" s="1936">
        <f>报表附注!G2576</f>
        <v>0</v>
      </c>
      <c r="D2178" s="1927" t="b">
        <f t="shared" si="40"/>
        <v>0</v>
      </c>
    </row>
    <row r="2179" spans="1:4">
      <c r="A2179" s="1927" t="s">
        <v>1893</v>
      </c>
      <c r="B2179" s="386" t="str">
        <f>报表附注!E2577</f>
        <v>地区3--港澳台销售</v>
      </c>
      <c r="C2179" s="1936">
        <f>报表附注!G2577</f>
        <v>0</v>
      </c>
      <c r="D2179" s="1927" t="b">
        <f t="shared" si="40"/>
        <v>0</v>
      </c>
    </row>
    <row r="2180" spans="1:4">
      <c r="A2180" s="1927" t="s">
        <v>1894</v>
      </c>
      <c r="B2180" s="386">
        <f>报表附注!E2578</f>
        <v>0</v>
      </c>
      <c r="C2180" s="1936">
        <f>报表附注!G2578</f>
        <v>0</v>
      </c>
      <c r="D2180" s="1927" t="b">
        <f t="shared" si="40"/>
        <v>0</v>
      </c>
    </row>
    <row r="2181" spans="1:4">
      <c r="A2181" s="1927" t="s">
        <v>1895</v>
      </c>
      <c r="B2181" s="386">
        <f>报表附注!E2579</f>
        <v>0</v>
      </c>
      <c r="C2181" s="1936">
        <f>报表附注!G2579</f>
        <v>0</v>
      </c>
      <c r="D2181" s="1927" t="b">
        <f t="shared" si="40"/>
        <v>0</v>
      </c>
    </row>
    <row r="2182" spans="1:4">
      <c r="A2182" s="1927" t="s">
        <v>1896</v>
      </c>
      <c r="B2182" s="386" t="str">
        <f>报表附注!E2580</f>
        <v>地区6--</v>
      </c>
      <c r="C2182" s="1936">
        <f>报表附注!G2580</f>
        <v>0</v>
      </c>
      <c r="D2182" s="1927" t="b">
        <f t="shared" si="40"/>
        <v>1</v>
      </c>
    </row>
    <row r="2183" spans="1:4">
      <c r="A2183" s="1927" t="s">
        <v>1897</v>
      </c>
      <c r="B2183" s="386" t="str">
        <f>报表附注!E2581</f>
        <v>地区7--</v>
      </c>
      <c r="C2183" s="1936">
        <f>报表附注!G2581</f>
        <v>0</v>
      </c>
      <c r="D2183" s="1927" t="b">
        <f t="shared" si="40"/>
        <v>1</v>
      </c>
    </row>
    <row r="2184" spans="1:4">
      <c r="A2184" s="1927" t="s">
        <v>1898</v>
      </c>
      <c r="B2184" s="386" t="str">
        <f>报表附注!E2582</f>
        <v>地区8--</v>
      </c>
      <c r="C2184" s="1936">
        <f>报表附注!G2582</f>
        <v>0</v>
      </c>
      <c r="D2184" s="1927" t="b">
        <f t="shared" si="40"/>
        <v>1</v>
      </c>
    </row>
    <row r="2185" spans="1:4">
      <c r="A2185" s="1927" t="s">
        <v>1899</v>
      </c>
      <c r="B2185" s="386" t="str">
        <f>报表附注!E2583</f>
        <v>地区9--</v>
      </c>
      <c r="C2185" s="1936">
        <f>报表附注!G2583</f>
        <v>0</v>
      </c>
      <c r="D2185" s="1927" t="b">
        <f t="shared" si="40"/>
        <v>1</v>
      </c>
    </row>
    <row r="2186" spans="1:4">
      <c r="A2186" s="1927" t="s">
        <v>1900</v>
      </c>
      <c r="B2186" s="386" t="str">
        <f>报表附注!E2584</f>
        <v>地区10--</v>
      </c>
      <c r="C2186" s="1936">
        <f>报表附注!G2584</f>
        <v>0</v>
      </c>
      <c r="D2186" s="1927" t="b">
        <f t="shared" si="40"/>
        <v>1</v>
      </c>
    </row>
    <row r="2187" spans="1:4">
      <c r="A2187" s="1927" t="s">
        <v>1901</v>
      </c>
      <c r="B2187" s="386" t="str">
        <f>报表附注!E2585</f>
        <v>地区11--</v>
      </c>
      <c r="C2187" s="1936">
        <f>报表附注!G2585</f>
        <v>0</v>
      </c>
      <c r="D2187" s="1927" t="b">
        <f t="shared" si="40"/>
        <v>1</v>
      </c>
    </row>
    <row r="2188" spans="1:4">
      <c r="A2188" s="1927" t="s">
        <v>1902</v>
      </c>
      <c r="B2188" s="386" t="str">
        <f>报表附注!E2586</f>
        <v>地区12--</v>
      </c>
      <c r="C2188" s="1936">
        <f>报表附注!G2586</f>
        <v>0</v>
      </c>
      <c r="D2188" s="1927" t="b">
        <f t="shared" si="40"/>
        <v>1</v>
      </c>
    </row>
    <row r="2189" spans="1:4">
      <c r="A2189" s="1927" t="s">
        <v>1903</v>
      </c>
      <c r="B2189" s="386" t="str">
        <f>报表附注!E2587</f>
        <v>地区13--</v>
      </c>
      <c r="C2189" s="1936">
        <f>报表附注!G2587</f>
        <v>0</v>
      </c>
      <c r="D2189" s="1927" t="b">
        <f t="shared" si="40"/>
        <v>1</v>
      </c>
    </row>
    <row r="2190" spans="1:4">
      <c r="A2190" s="1927" t="s">
        <v>1580</v>
      </c>
      <c r="B2190" s="387" t="str">
        <f>报表附注!E2588</f>
        <v>合计</v>
      </c>
      <c r="C2190" s="1936">
        <f>报表附注!G2588</f>
        <v>0</v>
      </c>
      <c r="D2190" s="1927" t="b">
        <f t="shared" si="40"/>
        <v>1</v>
      </c>
    </row>
    <row r="2191" spans="1:4">
      <c r="A2191" s="1927" t="s">
        <v>1874</v>
      </c>
      <c r="B2191" s="1948" t="s">
        <v>1874</v>
      </c>
      <c r="D2191" s="1927" t="b">
        <f t="shared" si="40"/>
        <v>1</v>
      </c>
    </row>
    <row r="2192" spans="1:4">
      <c r="A2192" s="1927" t="s">
        <v>1891</v>
      </c>
      <c r="B2192" s="1935" t="str">
        <f>报表附注!E2575</f>
        <v>地区1--国内销售</v>
      </c>
      <c r="C2192" s="1936">
        <f>报表附注!H2575</f>
        <v>0</v>
      </c>
      <c r="D2192" s="1927" t="b">
        <f t="shared" si="40"/>
        <v>0</v>
      </c>
    </row>
    <row r="2193" spans="1:4">
      <c r="A2193" s="1927" t="s">
        <v>1892</v>
      </c>
      <c r="B2193" s="1935" t="str">
        <f>报表附注!E2576</f>
        <v>地区2--国外销售</v>
      </c>
      <c r="C2193" s="1936">
        <f>报表附注!H2576</f>
        <v>0</v>
      </c>
      <c r="D2193" s="1927" t="b">
        <f t="shared" si="40"/>
        <v>0</v>
      </c>
    </row>
    <row r="2194" spans="1:4">
      <c r="A2194" s="1927" t="s">
        <v>1893</v>
      </c>
      <c r="B2194" s="1935" t="str">
        <f>报表附注!E2577</f>
        <v>地区3--港澳台销售</v>
      </c>
      <c r="C2194" s="1936">
        <f>报表附注!H2577</f>
        <v>0</v>
      </c>
      <c r="D2194" s="1927" t="b">
        <f t="shared" si="40"/>
        <v>0</v>
      </c>
    </row>
    <row r="2195" spans="1:4">
      <c r="A2195" s="1927" t="s">
        <v>1894</v>
      </c>
      <c r="B2195" s="1935">
        <f>报表附注!E2578</f>
        <v>0</v>
      </c>
      <c r="C2195" s="1936">
        <f>报表附注!H2578</f>
        <v>0</v>
      </c>
      <c r="D2195" s="1927" t="b">
        <f t="shared" si="40"/>
        <v>0</v>
      </c>
    </row>
    <row r="2196" spans="1:4">
      <c r="A2196" s="1927" t="s">
        <v>1895</v>
      </c>
      <c r="B2196" s="1935">
        <f>报表附注!E2579</f>
        <v>0</v>
      </c>
      <c r="C2196" s="1936">
        <f>报表附注!H2579</f>
        <v>0</v>
      </c>
      <c r="D2196" s="1927" t="b">
        <f t="shared" si="40"/>
        <v>0</v>
      </c>
    </row>
    <row r="2197" spans="1:4">
      <c r="A2197" s="1927" t="s">
        <v>1896</v>
      </c>
      <c r="B2197" s="1935" t="str">
        <f>报表附注!E2580</f>
        <v>地区6--</v>
      </c>
      <c r="C2197" s="1936">
        <f>报表附注!H2580</f>
        <v>0</v>
      </c>
      <c r="D2197" s="1927" t="b">
        <f t="shared" si="40"/>
        <v>1</v>
      </c>
    </row>
    <row r="2198" spans="1:4">
      <c r="A2198" s="1927" t="s">
        <v>1897</v>
      </c>
      <c r="B2198" s="1935" t="str">
        <f>报表附注!E2581</f>
        <v>地区7--</v>
      </c>
      <c r="C2198" s="1936">
        <f>报表附注!H2581</f>
        <v>0</v>
      </c>
      <c r="D2198" s="1927" t="b">
        <f t="shared" si="40"/>
        <v>1</v>
      </c>
    </row>
    <row r="2199" spans="1:4">
      <c r="A2199" s="1927" t="s">
        <v>1898</v>
      </c>
      <c r="B2199" s="1935" t="str">
        <f>报表附注!E2582</f>
        <v>地区8--</v>
      </c>
      <c r="C2199" s="1936">
        <f>报表附注!H2582</f>
        <v>0</v>
      </c>
      <c r="D2199" s="1927" t="b">
        <f t="shared" si="40"/>
        <v>1</v>
      </c>
    </row>
    <row r="2200" spans="1:4">
      <c r="A2200" s="1927" t="s">
        <v>1899</v>
      </c>
      <c r="B2200" s="1935" t="str">
        <f>报表附注!E2583</f>
        <v>地区9--</v>
      </c>
      <c r="C2200" s="1936">
        <f>报表附注!H2583</f>
        <v>0</v>
      </c>
      <c r="D2200" s="1927" t="b">
        <f t="shared" si="40"/>
        <v>1</v>
      </c>
    </row>
    <row r="2201" spans="1:4">
      <c r="A2201" s="1927" t="s">
        <v>1900</v>
      </c>
      <c r="B2201" s="1935" t="str">
        <f>报表附注!E2584</f>
        <v>地区10--</v>
      </c>
      <c r="C2201" s="1936">
        <f>报表附注!H2584</f>
        <v>0</v>
      </c>
      <c r="D2201" s="1927" t="b">
        <f t="shared" si="40"/>
        <v>1</v>
      </c>
    </row>
    <row r="2202" spans="1:4">
      <c r="A2202" s="1927" t="s">
        <v>1901</v>
      </c>
      <c r="B2202" s="1935" t="str">
        <f>报表附注!E2585</f>
        <v>地区11--</v>
      </c>
      <c r="C2202" s="1936">
        <f>报表附注!H2585</f>
        <v>0</v>
      </c>
      <c r="D2202" s="1927" t="b">
        <f t="shared" si="40"/>
        <v>1</v>
      </c>
    </row>
    <row r="2203" spans="1:4">
      <c r="A2203" s="1927" t="s">
        <v>1902</v>
      </c>
      <c r="B2203" s="1935" t="str">
        <f>报表附注!E2586</f>
        <v>地区12--</v>
      </c>
      <c r="C2203" s="1936">
        <f>报表附注!H2586</f>
        <v>0</v>
      </c>
      <c r="D2203" s="1927" t="b">
        <f t="shared" si="40"/>
        <v>1</v>
      </c>
    </row>
    <row r="2204" spans="1:4">
      <c r="A2204" s="1927" t="s">
        <v>1903</v>
      </c>
      <c r="B2204" s="1935" t="str">
        <f>报表附注!E2587</f>
        <v>地区13--</v>
      </c>
      <c r="C2204" s="1936">
        <f>报表附注!H2587</f>
        <v>0</v>
      </c>
      <c r="D2204" s="1927" t="b">
        <f t="shared" si="40"/>
        <v>1</v>
      </c>
    </row>
    <row r="2205" spans="1:4">
      <c r="A2205" s="1927" t="s">
        <v>1580</v>
      </c>
      <c r="B2205" s="1938" t="str">
        <f>报表附注!E2588</f>
        <v>合计</v>
      </c>
      <c r="C2205" s="1936">
        <f>报表附注!H2588</f>
        <v>0</v>
      </c>
      <c r="D2205" s="1927" t="b">
        <f t="shared" si="40"/>
        <v>1</v>
      </c>
    </row>
    <row r="2206" spans="1:4">
      <c r="A2206" s="1927" t="s">
        <v>1875</v>
      </c>
      <c r="B2206" s="1948" t="s">
        <v>1875</v>
      </c>
      <c r="D2206" s="1927" t="b">
        <f t="shared" si="40"/>
        <v>1</v>
      </c>
    </row>
    <row r="2207" spans="1:4">
      <c r="A2207" s="1927" t="s">
        <v>1891</v>
      </c>
      <c r="B2207" s="1935" t="str">
        <f>报表附注!E2575</f>
        <v>地区1--国内销售</v>
      </c>
      <c r="C2207" s="1936">
        <f>报表附注!I2575</f>
        <v>0</v>
      </c>
      <c r="D2207" s="1927" t="b">
        <f t="shared" si="40"/>
        <v>0</v>
      </c>
    </row>
    <row r="2208" spans="1:4">
      <c r="A2208" s="1927" t="s">
        <v>1892</v>
      </c>
      <c r="B2208" s="1935" t="str">
        <f>报表附注!E2576</f>
        <v>地区2--国外销售</v>
      </c>
      <c r="C2208" s="1936">
        <f>报表附注!I2576</f>
        <v>0</v>
      </c>
      <c r="D2208" s="1927" t="b">
        <f t="shared" si="40"/>
        <v>0</v>
      </c>
    </row>
    <row r="2209" spans="1:4">
      <c r="A2209" s="1927" t="s">
        <v>1893</v>
      </c>
      <c r="B2209" s="1935" t="str">
        <f>报表附注!E2577</f>
        <v>地区3--港澳台销售</v>
      </c>
      <c r="C2209" s="1936">
        <f>报表附注!I2577</f>
        <v>0</v>
      </c>
      <c r="D2209" s="1927" t="b">
        <f t="shared" si="40"/>
        <v>0</v>
      </c>
    </row>
    <row r="2210" spans="1:4">
      <c r="A2210" s="1927" t="s">
        <v>1894</v>
      </c>
      <c r="B2210" s="1935">
        <f>报表附注!E2578</f>
        <v>0</v>
      </c>
      <c r="C2210" s="1936">
        <f>报表附注!I2578</f>
        <v>0</v>
      </c>
      <c r="D2210" s="1927" t="b">
        <f t="shared" si="40"/>
        <v>0</v>
      </c>
    </row>
    <row r="2211" spans="1:4">
      <c r="A2211" s="1927" t="s">
        <v>1895</v>
      </c>
      <c r="B2211" s="1935">
        <f>报表附注!E2579</f>
        <v>0</v>
      </c>
      <c r="C2211" s="1936">
        <f>报表附注!I2579</f>
        <v>0</v>
      </c>
      <c r="D2211" s="1927" t="b">
        <f t="shared" si="40"/>
        <v>0</v>
      </c>
    </row>
    <row r="2212" spans="1:4">
      <c r="A2212" s="1927" t="s">
        <v>1896</v>
      </c>
      <c r="B2212" s="1935" t="str">
        <f>报表附注!E2580</f>
        <v>地区6--</v>
      </c>
      <c r="C2212" s="1936">
        <f>报表附注!I2580</f>
        <v>0</v>
      </c>
      <c r="D2212" s="1927" t="b">
        <f t="shared" si="40"/>
        <v>1</v>
      </c>
    </row>
    <row r="2213" spans="1:4">
      <c r="A2213" s="1927" t="s">
        <v>1897</v>
      </c>
      <c r="B2213" s="1935" t="str">
        <f>报表附注!E2581</f>
        <v>地区7--</v>
      </c>
      <c r="C2213" s="1936">
        <f>报表附注!I2581</f>
        <v>0</v>
      </c>
      <c r="D2213" s="1927" t="b">
        <f t="shared" si="40"/>
        <v>1</v>
      </c>
    </row>
    <row r="2214" spans="1:4">
      <c r="A2214" s="1927" t="s">
        <v>1898</v>
      </c>
      <c r="B2214" s="1935" t="str">
        <f>报表附注!E2582</f>
        <v>地区8--</v>
      </c>
      <c r="C2214" s="1936">
        <f>报表附注!I2582</f>
        <v>0</v>
      </c>
      <c r="D2214" s="1927" t="b">
        <f t="shared" si="40"/>
        <v>1</v>
      </c>
    </row>
    <row r="2215" spans="1:4">
      <c r="A2215" s="1927" t="s">
        <v>1899</v>
      </c>
      <c r="B2215" s="1935" t="str">
        <f>报表附注!E2583</f>
        <v>地区9--</v>
      </c>
      <c r="C2215" s="1936">
        <f>报表附注!I2583</f>
        <v>0</v>
      </c>
      <c r="D2215" s="1927" t="b">
        <f t="shared" si="40"/>
        <v>1</v>
      </c>
    </row>
    <row r="2216" spans="1:4">
      <c r="A2216" s="1927" t="s">
        <v>1900</v>
      </c>
      <c r="B2216" s="1935" t="str">
        <f>报表附注!E2584</f>
        <v>地区10--</v>
      </c>
      <c r="C2216" s="1936">
        <f>报表附注!I2584</f>
        <v>0</v>
      </c>
      <c r="D2216" s="1927" t="b">
        <f t="shared" si="40"/>
        <v>1</v>
      </c>
    </row>
    <row r="2217" spans="1:4">
      <c r="A2217" s="1927" t="s">
        <v>1901</v>
      </c>
      <c r="B2217" s="1935" t="str">
        <f>报表附注!E2585</f>
        <v>地区11--</v>
      </c>
      <c r="C2217" s="1936">
        <f>报表附注!I2585</f>
        <v>0</v>
      </c>
      <c r="D2217" s="1927" t="b">
        <f t="shared" si="40"/>
        <v>1</v>
      </c>
    </row>
    <row r="2218" spans="1:4">
      <c r="A2218" s="1927" t="s">
        <v>1902</v>
      </c>
      <c r="B2218" s="1935" t="str">
        <f>报表附注!E2586</f>
        <v>地区12--</v>
      </c>
      <c r="C2218" s="1936">
        <f>报表附注!I2586</f>
        <v>0</v>
      </c>
      <c r="D2218" s="1927" t="b">
        <f t="shared" si="40"/>
        <v>1</v>
      </c>
    </row>
    <row r="2219" spans="1:4">
      <c r="A2219" s="1927" t="s">
        <v>1903</v>
      </c>
      <c r="B2219" s="1935" t="str">
        <f>报表附注!E2587</f>
        <v>地区13--</v>
      </c>
      <c r="C2219" s="1936">
        <f>报表附注!I2587</f>
        <v>0</v>
      </c>
      <c r="D2219" s="1927" t="b">
        <f t="shared" si="40"/>
        <v>1</v>
      </c>
    </row>
    <row r="2220" spans="1:4">
      <c r="A2220" s="1927" t="s">
        <v>1580</v>
      </c>
      <c r="B2220" s="1938" t="str">
        <f>报表附注!E2588</f>
        <v>合计</v>
      </c>
      <c r="C2220" s="1936">
        <f>报表附注!I2588</f>
        <v>0</v>
      </c>
      <c r="D2220" s="1927" t="b">
        <f t="shared" si="40"/>
        <v>1</v>
      </c>
    </row>
    <row r="2221" spans="2:4">
      <c r="B2221" s="1948"/>
      <c r="D2221" s="1927" t="b">
        <f t="shared" si="40"/>
        <v>1</v>
      </c>
    </row>
    <row r="2222" ht="12" spans="1:4">
      <c r="A2222" s="1927" t="s">
        <v>1904</v>
      </c>
      <c r="B2222" s="1982" t="s">
        <v>1904</v>
      </c>
      <c r="D2222" s="1927" t="b">
        <f t="shared" si="40"/>
        <v>1</v>
      </c>
    </row>
    <row r="2223" spans="4:4">
      <c r="D2223" s="1927" t="b">
        <f t="shared" si="40"/>
        <v>1</v>
      </c>
    </row>
    <row r="2224" spans="1:4">
      <c r="A2224" s="1927" t="s">
        <v>1905</v>
      </c>
      <c r="B2224" s="1945" t="s">
        <v>1905</v>
      </c>
      <c r="D2224" s="1927" t="b">
        <f t="shared" si="40"/>
        <v>1</v>
      </c>
    </row>
    <row r="2225" spans="1:4">
      <c r="A2225" s="1927" t="s">
        <v>1906</v>
      </c>
      <c r="B2225" s="1948" t="s">
        <v>1906</v>
      </c>
      <c r="D2225" s="1927" t="b">
        <f t="shared" si="40"/>
        <v>1</v>
      </c>
    </row>
    <row r="2226" spans="1:4">
      <c r="A2226" s="1927" t="s">
        <v>1087</v>
      </c>
      <c r="B2226" s="1928" t="str">
        <f>报表附注!E2623</f>
        <v>营业税</v>
      </c>
      <c r="C2226" s="1936">
        <f>报表附注!F2623</f>
        <v>0</v>
      </c>
      <c r="D2226" s="1927" t="b">
        <f t="shared" si="40"/>
        <v>1</v>
      </c>
    </row>
    <row r="2227" spans="1:4">
      <c r="A2227" s="1927" t="s">
        <v>1089</v>
      </c>
      <c r="B2227" s="1928" t="str">
        <f>报表附注!E2624</f>
        <v>消费税</v>
      </c>
      <c r="C2227" s="1936">
        <f>报表附注!F2624</f>
        <v>0</v>
      </c>
      <c r="D2227" s="1927" t="b">
        <f t="shared" si="40"/>
        <v>1</v>
      </c>
    </row>
    <row r="2228" spans="1:4">
      <c r="A2228" s="1927" t="s">
        <v>1103</v>
      </c>
      <c r="B2228" s="1928" t="str">
        <f>报表附注!E2625</f>
        <v>资源税</v>
      </c>
      <c r="C2228" s="1936">
        <f>报表附注!F2625</f>
        <v>0</v>
      </c>
      <c r="D2228" s="1927" t="b">
        <f t="shared" si="40"/>
        <v>1</v>
      </c>
    </row>
    <row r="2229" spans="1:4">
      <c r="A2229" s="1927" t="s">
        <v>1907</v>
      </c>
      <c r="B2229" s="1928" t="str">
        <f>报表附注!E2626</f>
        <v>城市维护建设税</v>
      </c>
      <c r="C2229" s="1936">
        <f>报表附注!F2626</f>
        <v>0</v>
      </c>
      <c r="D2229" s="1927" t="b">
        <f t="shared" si="40"/>
        <v>1</v>
      </c>
    </row>
    <row r="2230" spans="1:4">
      <c r="A2230" s="1927" t="s">
        <v>1908</v>
      </c>
      <c r="B2230" s="1928" t="str">
        <f>报表附注!E2627</f>
        <v>教育费附加</v>
      </c>
      <c r="C2230" s="1936">
        <f>报表附注!F2627</f>
        <v>0</v>
      </c>
      <c r="D2230" s="1927" t="b">
        <f t="shared" si="40"/>
        <v>1</v>
      </c>
    </row>
    <row r="2231" spans="1:4">
      <c r="A2231" s="1927" t="s">
        <v>1909</v>
      </c>
      <c r="B2231" s="1928" t="str">
        <f>报表附注!E2628</f>
        <v>地方费附加</v>
      </c>
      <c r="C2231" s="1936">
        <f>报表附注!F2628</f>
        <v>0</v>
      </c>
      <c r="D2231" s="1927" t="b">
        <f t="shared" si="40"/>
        <v>1</v>
      </c>
    </row>
    <row r="2232" spans="1:4">
      <c r="A2232" s="1927" t="s">
        <v>279</v>
      </c>
      <c r="B2232" s="1928" t="str">
        <f>报表附注!E2629</f>
        <v>其他</v>
      </c>
      <c r="C2232" s="1936">
        <f>报表附注!F2629</f>
        <v>0</v>
      </c>
      <c r="D2232" s="1927" t="b">
        <f t="shared" si="40"/>
        <v>1</v>
      </c>
    </row>
    <row r="2233" spans="1:4">
      <c r="A2233" s="1927" t="s">
        <v>1580</v>
      </c>
      <c r="B2233" s="1939" t="str">
        <f>报表附注!E2630</f>
        <v>合计</v>
      </c>
      <c r="C2233" s="1936">
        <f>报表附注!F2630</f>
        <v>0</v>
      </c>
      <c r="D2233" s="1927" t="b">
        <f t="shared" si="40"/>
        <v>1</v>
      </c>
    </row>
    <row r="2234" spans="1:4">
      <c r="A2234" s="1927" t="s">
        <v>1910</v>
      </c>
      <c r="B2234" s="1948" t="s">
        <v>1910</v>
      </c>
      <c r="D2234" s="1927" t="b">
        <f t="shared" si="40"/>
        <v>1</v>
      </c>
    </row>
    <row r="2235" spans="1:4">
      <c r="A2235" s="1927" t="s">
        <v>1087</v>
      </c>
      <c r="B2235" s="1928" t="str">
        <f>报表附注!E2623</f>
        <v>营业税</v>
      </c>
      <c r="C2235" s="1936">
        <f>报表附注!G2623</f>
        <v>0</v>
      </c>
      <c r="D2235" s="1927" t="b">
        <f t="shared" si="40"/>
        <v>1</v>
      </c>
    </row>
    <row r="2236" spans="1:4">
      <c r="A2236" s="1927" t="s">
        <v>1089</v>
      </c>
      <c r="B2236" s="1928" t="str">
        <f>报表附注!E2624</f>
        <v>消费税</v>
      </c>
      <c r="C2236" s="1936">
        <f>报表附注!G2624</f>
        <v>0</v>
      </c>
      <c r="D2236" s="1927" t="b">
        <f t="shared" si="40"/>
        <v>1</v>
      </c>
    </row>
    <row r="2237" spans="1:4">
      <c r="A2237" s="1927" t="s">
        <v>1103</v>
      </c>
      <c r="B2237" s="1928" t="str">
        <f>报表附注!E2625</f>
        <v>资源税</v>
      </c>
      <c r="C2237" s="1936">
        <f>报表附注!G2625</f>
        <v>0</v>
      </c>
      <c r="D2237" s="1927" t="b">
        <f t="shared" si="40"/>
        <v>1</v>
      </c>
    </row>
    <row r="2238" spans="1:4">
      <c r="A2238" s="1927" t="s">
        <v>1907</v>
      </c>
      <c r="B2238" s="1928" t="str">
        <f>报表附注!E2626</f>
        <v>城市维护建设税</v>
      </c>
      <c r="C2238" s="1936">
        <f>报表附注!G2626</f>
        <v>0</v>
      </c>
      <c r="D2238" s="1927" t="b">
        <f t="shared" ref="D2238:D2301" si="41">EXACT(A2238,B2238)</f>
        <v>1</v>
      </c>
    </row>
    <row r="2239" spans="1:4">
      <c r="A2239" s="1927" t="s">
        <v>1908</v>
      </c>
      <c r="B2239" s="1928" t="str">
        <f>报表附注!E2627</f>
        <v>教育费附加</v>
      </c>
      <c r="C2239" s="1936">
        <f>报表附注!G2627</f>
        <v>0</v>
      </c>
      <c r="D2239" s="1927" t="b">
        <f t="shared" si="41"/>
        <v>1</v>
      </c>
    </row>
    <row r="2240" spans="1:4">
      <c r="A2240" s="1927" t="s">
        <v>1909</v>
      </c>
      <c r="B2240" s="1928" t="str">
        <f>报表附注!E2628</f>
        <v>地方费附加</v>
      </c>
      <c r="C2240" s="1936">
        <f>报表附注!G2628</f>
        <v>0</v>
      </c>
      <c r="D2240" s="1927" t="b">
        <f t="shared" si="41"/>
        <v>1</v>
      </c>
    </row>
    <row r="2241" spans="1:4">
      <c r="A2241" s="1927" t="s">
        <v>279</v>
      </c>
      <c r="B2241" s="1928" t="str">
        <f>报表附注!E2629</f>
        <v>其他</v>
      </c>
      <c r="C2241" s="1936">
        <f>报表附注!G2629</f>
        <v>0</v>
      </c>
      <c r="D2241" s="1927" t="b">
        <f t="shared" si="41"/>
        <v>1</v>
      </c>
    </row>
    <row r="2242" spans="1:4">
      <c r="A2242" s="1927" t="s">
        <v>1580</v>
      </c>
      <c r="B2242" s="1939" t="str">
        <f>报表附注!E2630</f>
        <v>合计</v>
      </c>
      <c r="C2242" s="1936">
        <f>报表附注!G2630</f>
        <v>0</v>
      </c>
      <c r="D2242" s="1927" t="b">
        <f t="shared" si="41"/>
        <v>1</v>
      </c>
    </row>
    <row r="2243" spans="4:4">
      <c r="D2243" s="1927" t="b">
        <f t="shared" si="41"/>
        <v>1</v>
      </c>
    </row>
    <row r="2244" spans="1:4">
      <c r="A2244" s="1927" t="s">
        <v>1911</v>
      </c>
      <c r="B2244" s="1947" t="s">
        <v>1911</v>
      </c>
      <c r="D2244" s="1927" t="b">
        <f t="shared" si="41"/>
        <v>1</v>
      </c>
    </row>
    <row r="2245" spans="4:4">
      <c r="D2245" s="1927" t="b">
        <f t="shared" si="41"/>
        <v>1</v>
      </c>
    </row>
    <row r="2246" spans="1:4">
      <c r="A2246" s="1927" t="s">
        <v>1912</v>
      </c>
      <c r="B2246" s="1945" t="s">
        <v>1912</v>
      </c>
      <c r="D2246" s="1927" t="b">
        <f t="shared" si="41"/>
        <v>1</v>
      </c>
    </row>
    <row r="2247" spans="1:4">
      <c r="A2247" s="1927" t="s">
        <v>1906</v>
      </c>
      <c r="B2247" s="1948" t="s">
        <v>1906</v>
      </c>
      <c r="D2247" s="1927" t="b">
        <f t="shared" si="41"/>
        <v>1</v>
      </c>
    </row>
    <row r="2248" spans="1:4">
      <c r="A2248" s="1927" t="s">
        <v>1913</v>
      </c>
      <c r="B2248" s="1949" t="str">
        <f>报表附注!E2661</f>
        <v>成本法核算的长期股权投资收益</v>
      </c>
      <c r="C2248" s="1936">
        <f>报表附注!F2661</f>
        <v>0</v>
      </c>
      <c r="D2248" s="1927" t="b">
        <f t="shared" si="41"/>
        <v>1</v>
      </c>
    </row>
    <row r="2249" spans="1:4">
      <c r="A2249" s="1927" t="s">
        <v>1914</v>
      </c>
      <c r="B2249" s="1949" t="str">
        <f>报表附注!E2662</f>
        <v>权益法核算的长期股权投资收益</v>
      </c>
      <c r="C2249" s="1936">
        <f>报表附注!F2662</f>
        <v>0</v>
      </c>
      <c r="D2249" s="1927" t="b">
        <f t="shared" si="41"/>
        <v>1</v>
      </c>
    </row>
    <row r="2250" spans="1:4">
      <c r="A2250" s="1927" t="s">
        <v>1915</v>
      </c>
      <c r="B2250" s="1949" t="str">
        <f>报表附注!E2663</f>
        <v>处置长期股权投资产生的投资收益</v>
      </c>
      <c r="C2250" s="1936">
        <f>报表附注!F2663</f>
        <v>0</v>
      </c>
      <c r="D2250" s="1927" t="b">
        <f t="shared" si="41"/>
        <v>1</v>
      </c>
    </row>
    <row r="2251" spans="1:4">
      <c r="A2251" s="1927" t="s">
        <v>1916</v>
      </c>
      <c r="B2251" s="1949" t="str">
        <f>报表附注!E2664</f>
        <v>持有交易性金融资产期间取得的投资收益</v>
      </c>
      <c r="C2251" s="1936">
        <f>报表附注!F2664</f>
        <v>0</v>
      </c>
      <c r="D2251" s="1927" t="b">
        <f t="shared" si="41"/>
        <v>1</v>
      </c>
    </row>
    <row r="2252" spans="1:4">
      <c r="A2252" s="1927" t="s">
        <v>1917</v>
      </c>
      <c r="B2252" s="1949" t="str">
        <f>报表附注!E2665</f>
        <v>持有至到期投资期间取得的投资收益</v>
      </c>
      <c r="C2252" s="1936">
        <f>报表附注!F2665</f>
        <v>0</v>
      </c>
      <c r="D2252" s="1927" t="b">
        <f t="shared" si="41"/>
        <v>1</v>
      </c>
    </row>
    <row r="2253" spans="1:4">
      <c r="A2253" s="1927" t="s">
        <v>1918</v>
      </c>
      <c r="B2253" s="1949" t="str">
        <f>报表附注!E2666</f>
        <v>持有可供出售金融资产等期间取得的投资收益</v>
      </c>
      <c r="C2253" s="1936">
        <f>报表附注!F2666</f>
        <v>0</v>
      </c>
      <c r="D2253" s="1927" t="b">
        <f t="shared" si="41"/>
        <v>1</v>
      </c>
    </row>
    <row r="2254" spans="1:4">
      <c r="A2254" s="1927" t="s">
        <v>1919</v>
      </c>
      <c r="B2254" s="1949" t="str">
        <f>报表附注!E2667</f>
        <v>处置交易性金融资产取得的投资收益</v>
      </c>
      <c r="C2254" s="1936">
        <f>报表附注!F2667</f>
        <v>0</v>
      </c>
      <c r="D2254" s="1927" t="b">
        <f t="shared" si="41"/>
        <v>1</v>
      </c>
    </row>
    <row r="2255" spans="1:4">
      <c r="A2255" s="1927" t="s">
        <v>1920</v>
      </c>
      <c r="B2255" s="1949" t="str">
        <f>报表附注!E2668</f>
        <v>持有至到期投资取得的投资收益</v>
      </c>
      <c r="C2255" s="1936">
        <f>报表附注!F2668</f>
        <v>0</v>
      </c>
      <c r="D2255" s="1927" t="b">
        <f t="shared" si="41"/>
        <v>1</v>
      </c>
    </row>
    <row r="2256" spans="1:4">
      <c r="A2256" s="1927" t="s">
        <v>1921</v>
      </c>
      <c r="B2256" s="1949" t="str">
        <f>报表附注!E2669</f>
        <v>处置可供出售金融资产等取得的投资收益</v>
      </c>
      <c r="C2256" s="1936">
        <f>报表附注!F2669</f>
        <v>0</v>
      </c>
      <c r="D2256" s="1927" t="b">
        <f t="shared" si="41"/>
        <v>0</v>
      </c>
    </row>
    <row r="2257" spans="1:4">
      <c r="A2257" s="1927" t="s">
        <v>279</v>
      </c>
      <c r="B2257" s="1949" t="str">
        <f>报表附注!E2670</f>
        <v>其他</v>
      </c>
      <c r="C2257" s="1936">
        <f>报表附注!F2670</f>
        <v>0</v>
      </c>
      <c r="D2257" s="1927" t="b">
        <f t="shared" si="41"/>
        <v>1</v>
      </c>
    </row>
    <row r="2258" spans="1:4">
      <c r="A2258" s="1927" t="s">
        <v>1922</v>
      </c>
      <c r="B2258" s="1949" t="str">
        <f>报表附注!E2671</f>
        <v>增加项目1--</v>
      </c>
      <c r="C2258" s="1936">
        <f>报表附注!F2671</f>
        <v>0</v>
      </c>
      <c r="D2258" s="1927" t="b">
        <f t="shared" si="41"/>
        <v>1</v>
      </c>
    </row>
    <row r="2259" spans="1:4">
      <c r="A2259" s="1927" t="s">
        <v>1923</v>
      </c>
      <c r="B2259" s="1949" t="str">
        <f>报表附注!E2672</f>
        <v>增加项目2--</v>
      </c>
      <c r="C2259" s="1936">
        <f>报表附注!F2672</f>
        <v>0</v>
      </c>
      <c r="D2259" s="1927" t="b">
        <f t="shared" si="41"/>
        <v>1</v>
      </c>
    </row>
    <row r="2260" spans="1:4">
      <c r="A2260" s="1927" t="s">
        <v>1924</v>
      </c>
      <c r="B2260" s="1953" t="str">
        <f>报表附注!E2673</f>
        <v>合       计</v>
      </c>
      <c r="C2260" s="1936">
        <f>报表附注!F2673</f>
        <v>0</v>
      </c>
      <c r="D2260" s="1927" t="b">
        <f t="shared" si="41"/>
        <v>1</v>
      </c>
    </row>
    <row r="2261" spans="1:4">
      <c r="A2261" s="1927" t="s">
        <v>1910</v>
      </c>
      <c r="B2261" s="1948" t="s">
        <v>1910</v>
      </c>
      <c r="D2261" s="1927" t="b">
        <f t="shared" si="41"/>
        <v>1</v>
      </c>
    </row>
    <row r="2262" spans="1:4">
      <c r="A2262" s="1927" t="s">
        <v>1913</v>
      </c>
      <c r="B2262" s="1949" t="str">
        <f>报表附注!E2661</f>
        <v>成本法核算的长期股权投资收益</v>
      </c>
      <c r="C2262" s="1936">
        <f>报表附注!G2661</f>
        <v>0</v>
      </c>
      <c r="D2262" s="1927" t="b">
        <f t="shared" si="41"/>
        <v>1</v>
      </c>
    </row>
    <row r="2263" spans="1:4">
      <c r="A2263" s="1927" t="s">
        <v>1914</v>
      </c>
      <c r="B2263" s="1949" t="str">
        <f>报表附注!E2662</f>
        <v>权益法核算的长期股权投资收益</v>
      </c>
      <c r="C2263" s="1936">
        <f>报表附注!G2662</f>
        <v>0</v>
      </c>
      <c r="D2263" s="1927" t="b">
        <f t="shared" si="41"/>
        <v>1</v>
      </c>
    </row>
    <row r="2264" spans="1:4">
      <c r="A2264" s="1927" t="s">
        <v>1915</v>
      </c>
      <c r="B2264" s="1949" t="str">
        <f>报表附注!E2663</f>
        <v>处置长期股权投资产生的投资收益</v>
      </c>
      <c r="C2264" s="1936">
        <f>报表附注!G2663</f>
        <v>0</v>
      </c>
      <c r="D2264" s="1927" t="b">
        <f t="shared" si="41"/>
        <v>1</v>
      </c>
    </row>
    <row r="2265" spans="1:4">
      <c r="A2265" s="1927" t="s">
        <v>1916</v>
      </c>
      <c r="B2265" s="1949" t="str">
        <f>报表附注!E2664</f>
        <v>持有交易性金融资产期间取得的投资收益</v>
      </c>
      <c r="C2265" s="1936">
        <f>报表附注!G2664</f>
        <v>0</v>
      </c>
      <c r="D2265" s="1927" t="b">
        <f t="shared" si="41"/>
        <v>1</v>
      </c>
    </row>
    <row r="2266" spans="1:4">
      <c r="A2266" s="1927" t="s">
        <v>1917</v>
      </c>
      <c r="B2266" s="1949" t="str">
        <f>报表附注!E2665</f>
        <v>持有至到期投资期间取得的投资收益</v>
      </c>
      <c r="C2266" s="1936">
        <f>报表附注!G2665</f>
        <v>0</v>
      </c>
      <c r="D2266" s="1927" t="b">
        <f t="shared" si="41"/>
        <v>1</v>
      </c>
    </row>
    <row r="2267" spans="1:4">
      <c r="A2267" s="1927" t="s">
        <v>1918</v>
      </c>
      <c r="B2267" s="1949" t="str">
        <f>报表附注!E2666</f>
        <v>持有可供出售金融资产等期间取得的投资收益</v>
      </c>
      <c r="C2267" s="1936">
        <f>报表附注!G2666</f>
        <v>0</v>
      </c>
      <c r="D2267" s="1927" t="b">
        <f t="shared" si="41"/>
        <v>1</v>
      </c>
    </row>
    <row r="2268" spans="1:4">
      <c r="A2268" s="1927" t="s">
        <v>1919</v>
      </c>
      <c r="B2268" s="1949" t="str">
        <f>报表附注!E2667</f>
        <v>处置交易性金融资产取得的投资收益</v>
      </c>
      <c r="C2268" s="1936">
        <f>报表附注!G2667</f>
        <v>0</v>
      </c>
      <c r="D2268" s="1927" t="b">
        <f t="shared" si="41"/>
        <v>1</v>
      </c>
    </row>
    <row r="2269" spans="1:4">
      <c r="A2269" s="1927" t="s">
        <v>1920</v>
      </c>
      <c r="B2269" s="1949" t="str">
        <f>报表附注!E2668</f>
        <v>持有至到期投资取得的投资收益</v>
      </c>
      <c r="C2269" s="1936">
        <f>报表附注!G2668</f>
        <v>0</v>
      </c>
      <c r="D2269" s="1927" t="b">
        <f t="shared" si="41"/>
        <v>1</v>
      </c>
    </row>
    <row r="2270" spans="1:4">
      <c r="A2270" s="1927" t="s">
        <v>1921</v>
      </c>
      <c r="B2270" s="1949" t="str">
        <f>报表附注!E2669</f>
        <v>处置可供出售金融资产等取得的投资收益</v>
      </c>
      <c r="C2270" s="1936">
        <f>报表附注!G2669</f>
        <v>0</v>
      </c>
      <c r="D2270" s="1927" t="b">
        <f t="shared" si="41"/>
        <v>0</v>
      </c>
    </row>
    <row r="2271" spans="1:4">
      <c r="A2271" s="1927" t="s">
        <v>279</v>
      </c>
      <c r="B2271" s="1949" t="str">
        <f>报表附注!E2670</f>
        <v>其他</v>
      </c>
      <c r="C2271" s="1936">
        <f>报表附注!G2670</f>
        <v>0</v>
      </c>
      <c r="D2271" s="1927" t="b">
        <f t="shared" si="41"/>
        <v>1</v>
      </c>
    </row>
    <row r="2272" spans="1:4">
      <c r="A2272" s="1927" t="s">
        <v>1922</v>
      </c>
      <c r="B2272" s="1949" t="str">
        <f>报表附注!E2671</f>
        <v>增加项目1--</v>
      </c>
      <c r="C2272" s="1936">
        <f>报表附注!G2671</f>
        <v>0</v>
      </c>
      <c r="D2272" s="1927" t="b">
        <f t="shared" si="41"/>
        <v>1</v>
      </c>
    </row>
    <row r="2273" spans="1:4">
      <c r="A2273" s="1927" t="s">
        <v>1923</v>
      </c>
      <c r="B2273" s="1949" t="str">
        <f>报表附注!E2672</f>
        <v>增加项目2--</v>
      </c>
      <c r="C2273" s="1936">
        <f>报表附注!G2672</f>
        <v>0</v>
      </c>
      <c r="D2273" s="1927" t="b">
        <f t="shared" si="41"/>
        <v>1</v>
      </c>
    </row>
    <row r="2274" spans="1:4">
      <c r="A2274" s="1927" t="s">
        <v>1924</v>
      </c>
      <c r="B2274" s="1939" t="str">
        <f>报表附注!E2673</f>
        <v>合       计</v>
      </c>
      <c r="C2274" s="1936">
        <f>报表附注!G2673</f>
        <v>0</v>
      </c>
      <c r="D2274" s="1927" t="b">
        <f t="shared" si="41"/>
        <v>1</v>
      </c>
    </row>
    <row r="2275" spans="4:4">
      <c r="D2275" s="1927" t="b">
        <f t="shared" si="41"/>
        <v>1</v>
      </c>
    </row>
    <row r="2276" spans="1:4">
      <c r="A2276" s="1927" t="s">
        <v>1925</v>
      </c>
      <c r="B2276" s="1945" t="s">
        <v>1925</v>
      </c>
      <c r="D2276" s="1927" t="b">
        <f t="shared" si="41"/>
        <v>1</v>
      </c>
    </row>
    <row r="2277" spans="1:4">
      <c r="A2277" s="1927" t="s">
        <v>1906</v>
      </c>
      <c r="B2277" s="1948" t="s">
        <v>1906</v>
      </c>
      <c r="D2277" s="1927" t="b">
        <f t="shared" si="41"/>
        <v>1</v>
      </c>
    </row>
    <row r="2278" spans="1:4">
      <c r="A2278" s="1927" t="s">
        <v>1926</v>
      </c>
      <c r="B2278" s="1928" t="str">
        <f>报表附注!E2712</f>
        <v>1．坏账损失</v>
      </c>
      <c r="C2278" s="1936">
        <f>报表附注!F2712</f>
        <v>0</v>
      </c>
      <c r="D2278" s="1927" t="b">
        <f t="shared" si="41"/>
        <v>1</v>
      </c>
    </row>
    <row r="2279" spans="1:4">
      <c r="A2279" s="1927" t="s">
        <v>1927</v>
      </c>
      <c r="B2279" s="1928" t="str">
        <f>报表附注!E2713</f>
        <v>2．存货跌价损失</v>
      </c>
      <c r="C2279" s="1936">
        <f>报表附注!F2713</f>
        <v>0</v>
      </c>
      <c r="D2279" s="1927" t="b">
        <f t="shared" si="41"/>
        <v>1</v>
      </c>
    </row>
    <row r="2280" spans="1:4">
      <c r="A2280" s="1927" t="s">
        <v>1928</v>
      </c>
      <c r="B2280" s="1928" t="str">
        <f>报表附注!E2714</f>
        <v>3．可供出售金融资产减值损失</v>
      </c>
      <c r="C2280" s="1936">
        <f>报表附注!F2714</f>
        <v>0</v>
      </c>
      <c r="D2280" s="1927" t="b">
        <f t="shared" si="41"/>
        <v>1</v>
      </c>
    </row>
    <row r="2281" spans="1:4">
      <c r="A2281" s="1927" t="s">
        <v>1929</v>
      </c>
      <c r="B2281" s="1928" t="str">
        <f>报表附注!E2715</f>
        <v>4．持有至到期投资减值损失</v>
      </c>
      <c r="C2281" s="1936">
        <f>报表附注!F2715</f>
        <v>0</v>
      </c>
      <c r="D2281" s="1927" t="b">
        <f t="shared" si="41"/>
        <v>1</v>
      </c>
    </row>
    <row r="2282" spans="1:4">
      <c r="A2282" s="1927" t="s">
        <v>1930</v>
      </c>
      <c r="B2282" s="1928" t="str">
        <f>报表附注!E2716</f>
        <v>5．长期股权投资减值损失</v>
      </c>
      <c r="C2282" s="1936">
        <f>报表附注!F2716</f>
        <v>0</v>
      </c>
      <c r="D2282" s="1927" t="b">
        <f t="shared" si="41"/>
        <v>1</v>
      </c>
    </row>
    <row r="2283" spans="1:4">
      <c r="A2283" s="1927" t="s">
        <v>1931</v>
      </c>
      <c r="B2283" s="1928" t="str">
        <f>报表附注!E2717</f>
        <v>6．投资性房地产减值损失</v>
      </c>
      <c r="C2283" s="1936">
        <f>报表附注!F2717</f>
        <v>0</v>
      </c>
      <c r="D2283" s="1927" t="b">
        <f t="shared" si="41"/>
        <v>1</v>
      </c>
    </row>
    <row r="2284" spans="1:4">
      <c r="A2284" s="1927" t="s">
        <v>1932</v>
      </c>
      <c r="B2284" s="1928" t="str">
        <f>报表附注!E2718</f>
        <v>7．固定资产减值损失</v>
      </c>
      <c r="C2284" s="1936">
        <f>报表附注!F2718</f>
        <v>0</v>
      </c>
      <c r="D2284" s="1927" t="b">
        <f t="shared" si="41"/>
        <v>1</v>
      </c>
    </row>
    <row r="2285" spans="1:4">
      <c r="A2285" s="1927" t="s">
        <v>1933</v>
      </c>
      <c r="B2285" s="1928" t="str">
        <f>报表附注!E2719</f>
        <v>8．工程物资减值损失</v>
      </c>
      <c r="C2285" s="1936">
        <f>报表附注!F2719</f>
        <v>0</v>
      </c>
      <c r="D2285" s="1927" t="b">
        <f t="shared" si="41"/>
        <v>1</v>
      </c>
    </row>
    <row r="2286" spans="1:4">
      <c r="A2286" s="1927" t="s">
        <v>1934</v>
      </c>
      <c r="B2286" s="1928" t="str">
        <f>报表附注!E2720</f>
        <v>9．在建工程减值损失</v>
      </c>
      <c r="C2286" s="1936">
        <f>报表附注!F2720</f>
        <v>0</v>
      </c>
      <c r="D2286" s="1927" t="b">
        <f t="shared" si="41"/>
        <v>1</v>
      </c>
    </row>
    <row r="2287" spans="1:4">
      <c r="A2287" s="1927" t="s">
        <v>1935</v>
      </c>
      <c r="B2287" s="1928" t="str">
        <f>报表附注!E2721</f>
        <v>10．生产性生物资产减值损失</v>
      </c>
      <c r="C2287" s="1936">
        <f>报表附注!F2721</f>
        <v>0</v>
      </c>
      <c r="D2287" s="1927" t="b">
        <f t="shared" si="41"/>
        <v>1</v>
      </c>
    </row>
    <row r="2288" spans="1:4">
      <c r="A2288" s="1927" t="s">
        <v>1936</v>
      </c>
      <c r="B2288" s="1928" t="str">
        <f>报表附注!E2722</f>
        <v>11．油气资产减值损失</v>
      </c>
      <c r="C2288" s="1936">
        <f>报表附注!F2722</f>
        <v>0</v>
      </c>
      <c r="D2288" s="1927" t="b">
        <f t="shared" si="41"/>
        <v>1</v>
      </c>
    </row>
    <row r="2289" spans="1:4">
      <c r="A2289" s="1927" t="s">
        <v>1937</v>
      </c>
      <c r="B2289" s="1928" t="str">
        <f>报表附注!E2723</f>
        <v>12．无形资产减值损失</v>
      </c>
      <c r="C2289" s="1936">
        <f>报表附注!F2723</f>
        <v>0</v>
      </c>
      <c r="D2289" s="1927" t="b">
        <f t="shared" si="41"/>
        <v>1</v>
      </c>
    </row>
    <row r="2290" spans="1:4">
      <c r="A2290" s="1927" t="s">
        <v>1938</v>
      </c>
      <c r="B2290" s="1928" t="str">
        <f>报表附注!E2724</f>
        <v>13．商誉减值损失</v>
      </c>
      <c r="C2290" s="1936">
        <f>报表附注!F2724</f>
        <v>0</v>
      </c>
      <c r="D2290" s="1927" t="b">
        <f t="shared" si="41"/>
        <v>1</v>
      </c>
    </row>
    <row r="2291" spans="1:4">
      <c r="A2291" s="1927" t="s">
        <v>1939</v>
      </c>
      <c r="B2291" s="1928" t="str">
        <f>报表附注!E2725</f>
        <v>14．其他</v>
      </c>
      <c r="C2291" s="1936">
        <f>报表附注!F2725</f>
        <v>0</v>
      </c>
      <c r="D2291" s="1927" t="b">
        <f t="shared" si="41"/>
        <v>1</v>
      </c>
    </row>
    <row r="2292" spans="1:4">
      <c r="A2292" s="1927" t="s">
        <v>346</v>
      </c>
      <c r="B2292" s="1939" t="str">
        <f>报表附注!E2726</f>
        <v>合 计</v>
      </c>
      <c r="C2292" s="1936">
        <f>报表附注!F2726</f>
        <v>0</v>
      </c>
      <c r="D2292" s="1927" t="b">
        <f t="shared" si="41"/>
        <v>1</v>
      </c>
    </row>
    <row r="2293" spans="1:4">
      <c r="A2293" s="1927" t="s">
        <v>1910</v>
      </c>
      <c r="B2293" s="1948" t="s">
        <v>1910</v>
      </c>
      <c r="D2293" s="1927" t="b">
        <f t="shared" si="41"/>
        <v>1</v>
      </c>
    </row>
    <row r="2294" spans="1:4">
      <c r="A2294" s="1927" t="s">
        <v>1926</v>
      </c>
      <c r="B2294" s="1928" t="str">
        <f>报表附注!E2712</f>
        <v>1．坏账损失</v>
      </c>
      <c r="C2294" s="1936">
        <f>报表附注!G2712</f>
        <v>0</v>
      </c>
      <c r="D2294" s="1927" t="b">
        <f t="shared" si="41"/>
        <v>1</v>
      </c>
    </row>
    <row r="2295" spans="1:4">
      <c r="A2295" s="1927" t="s">
        <v>1927</v>
      </c>
      <c r="B2295" s="1928" t="str">
        <f>报表附注!E2713</f>
        <v>2．存货跌价损失</v>
      </c>
      <c r="C2295" s="1936">
        <f>报表附注!G2713</f>
        <v>0</v>
      </c>
      <c r="D2295" s="1927" t="b">
        <f t="shared" si="41"/>
        <v>1</v>
      </c>
    </row>
    <row r="2296" spans="1:4">
      <c r="A2296" s="1927" t="s">
        <v>1928</v>
      </c>
      <c r="B2296" s="1928" t="str">
        <f>报表附注!E2714</f>
        <v>3．可供出售金融资产减值损失</v>
      </c>
      <c r="C2296" s="1936">
        <f>报表附注!G2714</f>
        <v>0</v>
      </c>
      <c r="D2296" s="1927" t="b">
        <f t="shared" si="41"/>
        <v>1</v>
      </c>
    </row>
    <row r="2297" spans="1:4">
      <c r="A2297" s="1927" t="s">
        <v>1929</v>
      </c>
      <c r="B2297" s="1928" t="str">
        <f>报表附注!E2715</f>
        <v>4．持有至到期投资减值损失</v>
      </c>
      <c r="C2297" s="1936">
        <f>报表附注!G2715</f>
        <v>0</v>
      </c>
      <c r="D2297" s="1927" t="b">
        <f t="shared" si="41"/>
        <v>1</v>
      </c>
    </row>
    <row r="2298" spans="1:4">
      <c r="A2298" s="1927" t="s">
        <v>1930</v>
      </c>
      <c r="B2298" s="1928" t="str">
        <f>报表附注!E2716</f>
        <v>5．长期股权投资减值损失</v>
      </c>
      <c r="C2298" s="1936">
        <f>报表附注!G2716</f>
        <v>0</v>
      </c>
      <c r="D2298" s="1927" t="b">
        <f t="shared" si="41"/>
        <v>1</v>
      </c>
    </row>
    <row r="2299" spans="1:4">
      <c r="A2299" s="1927" t="s">
        <v>1931</v>
      </c>
      <c r="B2299" s="1928" t="str">
        <f>报表附注!E2717</f>
        <v>6．投资性房地产减值损失</v>
      </c>
      <c r="C2299" s="1936">
        <f>报表附注!G2717</f>
        <v>0</v>
      </c>
      <c r="D2299" s="1927" t="b">
        <f t="shared" si="41"/>
        <v>1</v>
      </c>
    </row>
    <row r="2300" spans="1:4">
      <c r="A2300" s="1927" t="s">
        <v>1932</v>
      </c>
      <c r="B2300" s="1928" t="str">
        <f>报表附注!E2718</f>
        <v>7．固定资产减值损失</v>
      </c>
      <c r="C2300" s="1936">
        <f>报表附注!G2718</f>
        <v>0</v>
      </c>
      <c r="D2300" s="1927" t="b">
        <f t="shared" si="41"/>
        <v>1</v>
      </c>
    </row>
    <row r="2301" spans="1:4">
      <c r="A2301" s="1927" t="s">
        <v>1933</v>
      </c>
      <c r="B2301" s="1928" t="str">
        <f>报表附注!E2719</f>
        <v>8．工程物资减值损失</v>
      </c>
      <c r="C2301" s="1936">
        <f>报表附注!G2719</f>
        <v>0</v>
      </c>
      <c r="D2301" s="1927" t="b">
        <f t="shared" si="41"/>
        <v>1</v>
      </c>
    </row>
    <row r="2302" spans="1:4">
      <c r="A2302" s="1927" t="s">
        <v>1934</v>
      </c>
      <c r="B2302" s="1928" t="str">
        <f>报表附注!E2720</f>
        <v>9．在建工程减值损失</v>
      </c>
      <c r="C2302" s="1936">
        <f>报表附注!G2720</f>
        <v>0</v>
      </c>
      <c r="D2302" s="1927" t="b">
        <f t="shared" ref="D2302:D2365" si="42">EXACT(A2302,B2302)</f>
        <v>1</v>
      </c>
    </row>
    <row r="2303" spans="1:4">
      <c r="A2303" s="1927" t="s">
        <v>1935</v>
      </c>
      <c r="B2303" s="1928" t="str">
        <f>报表附注!E2721</f>
        <v>10．生产性生物资产减值损失</v>
      </c>
      <c r="C2303" s="1936">
        <f>报表附注!G2721</f>
        <v>0</v>
      </c>
      <c r="D2303" s="1927" t="b">
        <f t="shared" si="42"/>
        <v>1</v>
      </c>
    </row>
    <row r="2304" spans="1:4">
      <c r="A2304" s="1927" t="s">
        <v>1936</v>
      </c>
      <c r="B2304" s="1928" t="str">
        <f>报表附注!E2722</f>
        <v>11．油气资产减值损失</v>
      </c>
      <c r="C2304" s="1936">
        <f>报表附注!G2722</f>
        <v>0</v>
      </c>
      <c r="D2304" s="1927" t="b">
        <f t="shared" si="42"/>
        <v>1</v>
      </c>
    </row>
    <row r="2305" spans="1:4">
      <c r="A2305" s="1927" t="s">
        <v>1937</v>
      </c>
      <c r="B2305" s="1928" t="str">
        <f>报表附注!E2723</f>
        <v>12．无形资产减值损失</v>
      </c>
      <c r="C2305" s="1936">
        <f>报表附注!G2723</f>
        <v>0</v>
      </c>
      <c r="D2305" s="1927" t="b">
        <f t="shared" si="42"/>
        <v>1</v>
      </c>
    </row>
    <row r="2306" spans="1:4">
      <c r="A2306" s="1927" t="s">
        <v>1938</v>
      </c>
      <c r="B2306" s="1928" t="str">
        <f>报表附注!E2724</f>
        <v>13．商誉减值损失</v>
      </c>
      <c r="C2306" s="1936">
        <f>报表附注!G2724</f>
        <v>0</v>
      </c>
      <c r="D2306" s="1927" t="b">
        <f t="shared" si="42"/>
        <v>1</v>
      </c>
    </row>
    <row r="2307" spans="1:4">
      <c r="A2307" s="1927" t="s">
        <v>1939</v>
      </c>
      <c r="B2307" s="1928" t="str">
        <f>报表附注!E2725</f>
        <v>14．其他</v>
      </c>
      <c r="C2307" s="1936">
        <f>报表附注!G2725</f>
        <v>0</v>
      </c>
      <c r="D2307" s="1927" t="b">
        <f t="shared" si="42"/>
        <v>1</v>
      </c>
    </row>
    <row r="2308" spans="1:4">
      <c r="A2308" s="1927" t="s">
        <v>346</v>
      </c>
      <c r="B2308" s="1939" t="str">
        <f>报表附注!E2726</f>
        <v>合 计</v>
      </c>
      <c r="C2308" s="1936">
        <f>报表附注!G2726</f>
        <v>0</v>
      </c>
      <c r="D2308" s="1927" t="b">
        <f t="shared" si="42"/>
        <v>1</v>
      </c>
    </row>
    <row r="2309" spans="4:4">
      <c r="D2309" s="1927" t="b">
        <f t="shared" si="42"/>
        <v>1</v>
      </c>
    </row>
    <row r="2310" spans="1:4">
      <c r="A2310" s="1927" t="s">
        <v>1940</v>
      </c>
      <c r="B2310" s="1945" t="s">
        <v>1940</v>
      </c>
      <c r="D2310" s="1927" t="b">
        <f t="shared" si="42"/>
        <v>1</v>
      </c>
    </row>
    <row r="2311" spans="1:4">
      <c r="A2311" s="1927" t="s">
        <v>1906</v>
      </c>
      <c r="B2311" s="1948" t="s">
        <v>1906</v>
      </c>
      <c r="D2311" s="1927" t="b">
        <f t="shared" si="42"/>
        <v>1</v>
      </c>
    </row>
    <row r="2312" spans="1:4">
      <c r="A2312" s="1927" t="s">
        <v>1283</v>
      </c>
      <c r="B2312" s="1960" t="str">
        <f>报表附注!E2734</f>
        <v>利息支出</v>
      </c>
      <c r="C2312" s="1936">
        <f>报表附注!F2734</f>
        <v>0</v>
      </c>
      <c r="D2312" s="1927" t="b">
        <f t="shared" si="42"/>
        <v>1</v>
      </c>
    </row>
    <row r="2313" spans="1:4">
      <c r="A2313" s="1927" t="s">
        <v>1941</v>
      </c>
      <c r="B2313" s="1960" t="str">
        <f>报表附注!E2735</f>
        <v>利息收入</v>
      </c>
      <c r="C2313" s="1936">
        <f>报表附注!F2735</f>
        <v>0</v>
      </c>
      <c r="D2313" s="1927" t="b">
        <f t="shared" si="42"/>
        <v>1</v>
      </c>
    </row>
    <row r="2314" spans="1:4">
      <c r="A2314" s="1927" t="s">
        <v>1942</v>
      </c>
      <c r="B2314" s="1960" t="str">
        <f>报表附注!E2736</f>
        <v>手续费</v>
      </c>
      <c r="C2314" s="1936">
        <f>报表附注!F2736</f>
        <v>0</v>
      </c>
      <c r="D2314" s="1927" t="b">
        <f t="shared" si="42"/>
        <v>1</v>
      </c>
    </row>
    <row r="2315" spans="1:4">
      <c r="A2315" s="1927" t="s">
        <v>1943</v>
      </c>
      <c r="B2315" s="1960" t="str">
        <f>报表附注!E2737</f>
        <v>汇兑损益</v>
      </c>
      <c r="C2315" s="1936">
        <f>报表附注!F2737</f>
        <v>0</v>
      </c>
      <c r="D2315" s="1927" t="b">
        <f t="shared" si="42"/>
        <v>1</v>
      </c>
    </row>
    <row r="2316" spans="1:4">
      <c r="A2316" s="1927" t="s">
        <v>1944</v>
      </c>
      <c r="B2316" s="1960" t="str">
        <f>报表附注!E2738</f>
        <v>   其 中：货币资金引起汇兑损益</v>
      </c>
      <c r="C2316" s="1936">
        <f>报表附注!F2738</f>
        <v>0</v>
      </c>
      <c r="D2316" s="1927" t="b">
        <f t="shared" si="42"/>
        <v>1</v>
      </c>
    </row>
    <row r="2317" ht="13.5" customHeight="1" spans="1:4">
      <c r="A2317" s="1927" t="s">
        <v>1945</v>
      </c>
      <c r="B2317" s="1960" t="str">
        <f>报表附注!E2739</f>
        <v>                      应收账款引起汇兑损益</v>
      </c>
      <c r="C2317" s="1936">
        <f>报表附注!F2739</f>
        <v>0</v>
      </c>
      <c r="D2317" s="1927" t="b">
        <f t="shared" si="42"/>
        <v>1</v>
      </c>
    </row>
    <row r="2318" ht="13.5" customHeight="1" spans="1:4">
      <c r="A2318" s="1927" t="s">
        <v>1946</v>
      </c>
      <c r="B2318" s="1960" t="str">
        <f>报表附注!E2740</f>
        <v>                      其他应收账款引起汇兑损益</v>
      </c>
      <c r="C2318" s="1936">
        <f>报表附注!F2740</f>
        <v>0</v>
      </c>
      <c r="D2318" s="1927" t="b">
        <f t="shared" si="42"/>
        <v>1</v>
      </c>
    </row>
    <row r="2319" ht="13.5" customHeight="1" spans="1:4">
      <c r="A2319" s="1927" t="s">
        <v>1947</v>
      </c>
      <c r="B2319" s="1960" t="str">
        <f>报表附注!E2741</f>
        <v>                       应付账款引起汇兑损益</v>
      </c>
      <c r="C2319" s="1936">
        <f>报表附注!F2741</f>
        <v>0</v>
      </c>
      <c r="D2319" s="1927" t="b">
        <f t="shared" si="42"/>
        <v>1</v>
      </c>
    </row>
    <row r="2320" ht="13.5" customHeight="1" spans="1:4">
      <c r="A2320" s="1927" t="s">
        <v>1948</v>
      </c>
      <c r="B2320" s="1960" t="str">
        <f>报表附注!E2742</f>
        <v>                      其他应付款引起汇兑损益</v>
      </c>
      <c r="C2320" s="1936">
        <f>报表附注!F2742</f>
        <v>0</v>
      </c>
      <c r="D2320" s="1927" t="b">
        <f t="shared" si="42"/>
        <v>1</v>
      </c>
    </row>
    <row r="2321" ht="13.5" customHeight="1" spans="1:4">
      <c r="A2321" s="1927" t="s">
        <v>1949</v>
      </c>
      <c r="B2321" s="1960" t="str">
        <f>报表附注!E2743</f>
        <v>                      其他科目1-短期借款引起汇兑损益</v>
      </c>
      <c r="C2321" s="1936">
        <f>报表附注!F2743</f>
        <v>0</v>
      </c>
      <c r="D2321" s="1927" t="b">
        <f t="shared" si="42"/>
        <v>0</v>
      </c>
    </row>
    <row r="2322" ht="13.5" customHeight="1" spans="1:4">
      <c r="A2322" s="1927" t="s">
        <v>1950</v>
      </c>
      <c r="B2322" s="1960" t="str">
        <f>报表附注!E2744</f>
        <v>                      其他科目2--</v>
      </c>
      <c r="C2322" s="1936">
        <f>报表附注!F2744</f>
        <v>0</v>
      </c>
      <c r="D2322" s="1927" t="b">
        <f t="shared" si="42"/>
        <v>1</v>
      </c>
    </row>
    <row r="2323" spans="1:4">
      <c r="A2323" s="1927" t="s">
        <v>279</v>
      </c>
      <c r="B2323" s="1960" t="str">
        <f>报表附注!E2745</f>
        <v>其他</v>
      </c>
      <c r="C2323" s="1936">
        <f>报表附注!F2745</f>
        <v>0</v>
      </c>
      <c r="D2323" s="1927" t="b">
        <f t="shared" si="42"/>
        <v>1</v>
      </c>
    </row>
    <row r="2324" spans="1:4">
      <c r="A2324" s="1927" t="s">
        <v>1580</v>
      </c>
      <c r="B2324" s="1969" t="str">
        <f>报表附注!E2746</f>
        <v>合计</v>
      </c>
      <c r="C2324" s="1936">
        <f>报表附注!F2746</f>
        <v>0</v>
      </c>
      <c r="D2324" s="1927" t="b">
        <f t="shared" si="42"/>
        <v>1</v>
      </c>
    </row>
    <row r="2325" spans="1:4">
      <c r="A2325" s="1927" t="s">
        <v>1910</v>
      </c>
      <c r="B2325" s="1948" t="s">
        <v>1910</v>
      </c>
      <c r="D2325" s="1927" t="b">
        <f t="shared" si="42"/>
        <v>1</v>
      </c>
    </row>
    <row r="2326" spans="1:4">
      <c r="A2326" s="1927" t="s">
        <v>1283</v>
      </c>
      <c r="B2326" s="1960" t="str">
        <f>报表附注!E2734</f>
        <v>利息支出</v>
      </c>
      <c r="C2326" s="1936">
        <f>报表附注!G2734</f>
        <v>0</v>
      </c>
      <c r="D2326" s="1927" t="b">
        <f t="shared" si="42"/>
        <v>1</v>
      </c>
    </row>
    <row r="2327" spans="1:4">
      <c r="A2327" s="1927" t="s">
        <v>1941</v>
      </c>
      <c r="B2327" s="1960" t="str">
        <f>报表附注!E2735</f>
        <v>利息收入</v>
      </c>
      <c r="C2327" s="1936">
        <f>报表附注!G2735</f>
        <v>0</v>
      </c>
      <c r="D2327" s="1927" t="b">
        <f t="shared" si="42"/>
        <v>1</v>
      </c>
    </row>
    <row r="2328" spans="1:4">
      <c r="A2328" s="1927" t="s">
        <v>1942</v>
      </c>
      <c r="B2328" s="1960" t="str">
        <f>报表附注!E2736</f>
        <v>手续费</v>
      </c>
      <c r="C2328" s="1936">
        <f>报表附注!G2736</f>
        <v>0</v>
      </c>
      <c r="D2328" s="1927" t="b">
        <f t="shared" si="42"/>
        <v>1</v>
      </c>
    </row>
    <row r="2329" spans="1:4">
      <c r="A2329" s="1927" t="s">
        <v>1943</v>
      </c>
      <c r="B2329" s="1960" t="str">
        <f>报表附注!E2737</f>
        <v>汇兑损益</v>
      </c>
      <c r="C2329" s="1936">
        <f>报表附注!G2737</f>
        <v>0</v>
      </c>
      <c r="D2329" s="1927" t="b">
        <f t="shared" si="42"/>
        <v>1</v>
      </c>
    </row>
    <row r="2330" spans="1:4">
      <c r="A2330" s="1927" t="s">
        <v>1944</v>
      </c>
      <c r="B2330" s="1960" t="str">
        <f>报表附注!E2738</f>
        <v>   其 中：货币资金引起汇兑损益</v>
      </c>
      <c r="C2330" s="1936">
        <f>报表附注!G2738</f>
        <v>0</v>
      </c>
      <c r="D2330" s="1927" t="b">
        <f t="shared" si="42"/>
        <v>1</v>
      </c>
    </row>
    <row r="2331" ht="15" customHeight="1" spans="1:4">
      <c r="A2331" s="1927" t="s">
        <v>1945</v>
      </c>
      <c r="B2331" s="1960" t="str">
        <f>报表附注!E2739</f>
        <v>                      应收账款引起汇兑损益</v>
      </c>
      <c r="C2331" s="1936">
        <f>报表附注!G2739</f>
        <v>0</v>
      </c>
      <c r="D2331" s="1927" t="b">
        <f t="shared" si="42"/>
        <v>1</v>
      </c>
    </row>
    <row r="2332" ht="15" customHeight="1" spans="1:4">
      <c r="A2332" s="1927" t="s">
        <v>1946</v>
      </c>
      <c r="B2332" s="1960" t="str">
        <f>报表附注!E2740</f>
        <v>                      其他应收账款引起汇兑损益</v>
      </c>
      <c r="C2332" s="1936">
        <f>报表附注!G2740</f>
        <v>0</v>
      </c>
      <c r="D2332" s="1927" t="b">
        <f t="shared" si="42"/>
        <v>1</v>
      </c>
    </row>
    <row r="2333" ht="15" customHeight="1" spans="1:4">
      <c r="A2333" s="1927" t="s">
        <v>1947</v>
      </c>
      <c r="B2333" s="1960" t="str">
        <f>报表附注!E2741</f>
        <v>                       应付账款引起汇兑损益</v>
      </c>
      <c r="C2333" s="1936">
        <f>报表附注!G2741</f>
        <v>0</v>
      </c>
      <c r="D2333" s="1927" t="b">
        <f t="shared" si="42"/>
        <v>1</v>
      </c>
    </row>
    <row r="2334" ht="15" customHeight="1" spans="1:4">
      <c r="A2334" s="1927" t="s">
        <v>1948</v>
      </c>
      <c r="B2334" s="1960" t="str">
        <f>报表附注!E2742</f>
        <v>                      其他应付款引起汇兑损益</v>
      </c>
      <c r="C2334" s="1936">
        <f>报表附注!G2742</f>
        <v>0</v>
      </c>
      <c r="D2334" s="1927" t="b">
        <f t="shared" si="42"/>
        <v>1</v>
      </c>
    </row>
    <row r="2335" ht="15" customHeight="1" spans="1:4">
      <c r="A2335" s="1927" t="s">
        <v>1949</v>
      </c>
      <c r="B2335" s="1960" t="str">
        <f>报表附注!E2743</f>
        <v>                      其他科目1-短期借款引起汇兑损益</v>
      </c>
      <c r="C2335" s="1936">
        <f>报表附注!G2743</f>
        <v>0</v>
      </c>
      <c r="D2335" s="1927" t="b">
        <f t="shared" si="42"/>
        <v>0</v>
      </c>
    </row>
    <row r="2336" spans="1:4">
      <c r="A2336" s="1927" t="s">
        <v>1950</v>
      </c>
      <c r="B2336" s="1960" t="str">
        <f>报表附注!E2744</f>
        <v>                      其他科目2--</v>
      </c>
      <c r="C2336" s="1936">
        <f>报表附注!G2744</f>
        <v>0</v>
      </c>
      <c r="D2336" s="1927" t="b">
        <f t="shared" si="42"/>
        <v>1</v>
      </c>
    </row>
    <row r="2337" spans="1:4">
      <c r="A2337" s="1927" t="s">
        <v>279</v>
      </c>
      <c r="B2337" s="1960" t="str">
        <f>报表附注!E2745</f>
        <v>其他</v>
      </c>
      <c r="C2337" s="1936">
        <f>报表附注!G2745</f>
        <v>0</v>
      </c>
      <c r="D2337" s="1927" t="b">
        <f t="shared" si="42"/>
        <v>1</v>
      </c>
    </row>
    <row r="2338" spans="1:4">
      <c r="A2338" s="1927" t="s">
        <v>1580</v>
      </c>
      <c r="B2338" s="1969" t="str">
        <f>报表附注!E2746</f>
        <v>合计</v>
      </c>
      <c r="C2338" s="1936">
        <f>报表附注!G2746</f>
        <v>0</v>
      </c>
      <c r="D2338" s="1927" t="b">
        <f t="shared" si="42"/>
        <v>1</v>
      </c>
    </row>
    <row r="2339" spans="4:4">
      <c r="D2339" s="1927" t="b">
        <f t="shared" si="42"/>
        <v>1</v>
      </c>
    </row>
    <row r="2340" spans="1:4">
      <c r="A2340" s="1927" t="s">
        <v>1951</v>
      </c>
      <c r="B2340" s="1945" t="s">
        <v>1951</v>
      </c>
      <c r="D2340" s="1927" t="b">
        <f t="shared" si="42"/>
        <v>1</v>
      </c>
    </row>
    <row r="2341" spans="1:4">
      <c r="A2341" s="1927" t="s">
        <v>1906</v>
      </c>
      <c r="B2341" s="1948" t="s">
        <v>1906</v>
      </c>
      <c r="D2341" s="1927" t="b">
        <f t="shared" si="42"/>
        <v>1</v>
      </c>
    </row>
    <row r="2342" spans="1:4">
      <c r="A2342" s="1927" t="s">
        <v>1952</v>
      </c>
      <c r="B2342" s="1928" t="str">
        <f>报表附注!E2915</f>
        <v>1．处置非流动资产利得小计</v>
      </c>
      <c r="C2342" s="1936">
        <f>报表附注!F2915</f>
        <v>0</v>
      </c>
      <c r="D2342" s="1927" t="b">
        <f t="shared" si="42"/>
        <v>1</v>
      </c>
    </row>
    <row r="2343" spans="1:4">
      <c r="A2343" s="1927" t="s">
        <v>1953</v>
      </c>
      <c r="B2343" s="1928" t="str">
        <f>报表附注!E2916</f>
        <v>其中：处置固定资产利得</v>
      </c>
      <c r="C2343" s="1936">
        <f>报表附注!F2916</f>
        <v>0</v>
      </c>
      <c r="D2343" s="1927" t="b">
        <f t="shared" si="42"/>
        <v>1</v>
      </c>
    </row>
    <row r="2344" spans="1:4">
      <c r="A2344" s="1927" t="s">
        <v>1954</v>
      </c>
      <c r="B2344" s="1928" t="str">
        <f>报表附注!E2917</f>
        <v>      处置无形资产利得</v>
      </c>
      <c r="C2344" s="1936">
        <f>报表附注!F2917</f>
        <v>0</v>
      </c>
      <c r="D2344" s="1927" t="b">
        <f t="shared" si="42"/>
        <v>1</v>
      </c>
    </row>
    <row r="2345" spans="1:4">
      <c r="A2345" s="1927" t="s">
        <v>1955</v>
      </c>
      <c r="B2345" s="1928" t="str">
        <f>报表附注!E2918</f>
        <v>2．非货币性资产交换利得</v>
      </c>
      <c r="C2345" s="1936">
        <f>报表附注!F2918</f>
        <v>0</v>
      </c>
      <c r="D2345" s="1927" t="b">
        <f t="shared" si="42"/>
        <v>1</v>
      </c>
    </row>
    <row r="2346" spans="1:4">
      <c r="A2346" s="1927" t="s">
        <v>1956</v>
      </c>
      <c r="B2346" s="1928" t="str">
        <f>报表附注!E2919</f>
        <v>3．债务重组利得</v>
      </c>
      <c r="C2346" s="1936">
        <f>报表附注!F2919</f>
        <v>0</v>
      </c>
      <c r="D2346" s="1927" t="b">
        <f t="shared" si="42"/>
        <v>1</v>
      </c>
    </row>
    <row r="2347" spans="1:4">
      <c r="A2347" s="1927" t="s">
        <v>1957</v>
      </c>
      <c r="B2347" s="1928" t="str">
        <f>报表附注!E2920</f>
        <v>4．政府补助</v>
      </c>
      <c r="C2347" s="1936">
        <f>报表附注!F2920</f>
        <v>0</v>
      </c>
      <c r="D2347" s="1927" t="b">
        <f t="shared" si="42"/>
        <v>1</v>
      </c>
    </row>
    <row r="2348" spans="1:4">
      <c r="A2348" s="1927" t="s">
        <v>1958</v>
      </c>
      <c r="B2348" s="1928" t="str">
        <f>报表附注!E2921</f>
        <v>5．盘盈利得</v>
      </c>
      <c r="C2348" s="1936">
        <f>报表附注!F2921</f>
        <v>0</v>
      </c>
      <c r="D2348" s="1927" t="b">
        <f t="shared" si="42"/>
        <v>1</v>
      </c>
    </row>
    <row r="2349" spans="1:4">
      <c r="A2349" s="1927" t="s">
        <v>1959</v>
      </c>
      <c r="B2349" s="1928" t="str">
        <f>报表附注!E2922</f>
        <v>6．捐赠利得</v>
      </c>
      <c r="C2349" s="1936">
        <f>报表附注!F2922</f>
        <v>0</v>
      </c>
      <c r="D2349" s="1927" t="b">
        <f t="shared" si="42"/>
        <v>1</v>
      </c>
    </row>
    <row r="2350" spans="1:4">
      <c r="A2350" s="1927" t="s">
        <v>1960</v>
      </c>
      <c r="B2350" s="1928" t="str">
        <f>报表附注!E2923</f>
        <v>7．罚款收入</v>
      </c>
      <c r="C2350" s="1936">
        <f>报表附注!F2923</f>
        <v>0</v>
      </c>
      <c r="D2350" s="1927" t="b">
        <f t="shared" si="42"/>
        <v>1</v>
      </c>
    </row>
    <row r="2351" spans="1:4">
      <c r="A2351" s="1927" t="s">
        <v>1961</v>
      </c>
      <c r="B2351" s="1928" t="str">
        <f>报表附注!E2924</f>
        <v>8．其他</v>
      </c>
      <c r="C2351" s="1936">
        <f>报表附注!F2924</f>
        <v>0</v>
      </c>
      <c r="D2351" s="1927" t="b">
        <f t="shared" si="42"/>
        <v>1</v>
      </c>
    </row>
    <row r="2352" spans="1:4">
      <c r="A2352" s="1927" t="s">
        <v>1206</v>
      </c>
      <c r="B2352" s="1939" t="str">
        <f>报表附注!E2925</f>
        <v>合  计</v>
      </c>
      <c r="C2352" s="1936">
        <f>报表附注!F2925</f>
        <v>0</v>
      </c>
      <c r="D2352" s="1927" t="b">
        <f t="shared" si="42"/>
        <v>1</v>
      </c>
    </row>
    <row r="2353" spans="1:4">
      <c r="A2353" s="1927" t="s">
        <v>1910</v>
      </c>
      <c r="B2353" s="1948" t="s">
        <v>1910</v>
      </c>
      <c r="D2353" s="1927" t="b">
        <f t="shared" si="42"/>
        <v>1</v>
      </c>
    </row>
    <row r="2354" spans="1:4">
      <c r="A2354" s="1927" t="s">
        <v>1952</v>
      </c>
      <c r="B2354" s="1928" t="str">
        <f>报表附注!E2915</f>
        <v>1．处置非流动资产利得小计</v>
      </c>
      <c r="C2354" s="1936">
        <f>报表附注!G2915</f>
        <v>0</v>
      </c>
      <c r="D2354" s="1927" t="b">
        <f t="shared" si="42"/>
        <v>1</v>
      </c>
    </row>
    <row r="2355" spans="1:4">
      <c r="A2355" s="1927" t="s">
        <v>1953</v>
      </c>
      <c r="B2355" s="1928" t="str">
        <f>报表附注!E2916</f>
        <v>其中：处置固定资产利得</v>
      </c>
      <c r="C2355" s="1936">
        <f>报表附注!G2916</f>
        <v>0</v>
      </c>
      <c r="D2355" s="1927" t="b">
        <f t="shared" si="42"/>
        <v>1</v>
      </c>
    </row>
    <row r="2356" spans="1:4">
      <c r="A2356" s="1927" t="s">
        <v>1954</v>
      </c>
      <c r="B2356" s="1928" t="str">
        <f>报表附注!E2917</f>
        <v>      处置无形资产利得</v>
      </c>
      <c r="C2356" s="1936">
        <f>报表附注!G2917</f>
        <v>0</v>
      </c>
      <c r="D2356" s="1927" t="b">
        <f t="shared" si="42"/>
        <v>1</v>
      </c>
    </row>
    <row r="2357" spans="1:4">
      <c r="A2357" s="1927" t="s">
        <v>1955</v>
      </c>
      <c r="B2357" s="1928" t="str">
        <f>报表附注!E2918</f>
        <v>2．非货币性资产交换利得</v>
      </c>
      <c r="C2357" s="1936">
        <f>报表附注!G2918</f>
        <v>0</v>
      </c>
      <c r="D2357" s="1927" t="b">
        <f t="shared" si="42"/>
        <v>1</v>
      </c>
    </row>
    <row r="2358" spans="1:4">
      <c r="A2358" s="1927" t="s">
        <v>1956</v>
      </c>
      <c r="B2358" s="1928" t="str">
        <f>报表附注!E2919</f>
        <v>3．债务重组利得</v>
      </c>
      <c r="C2358" s="1936">
        <f>报表附注!G2919</f>
        <v>0</v>
      </c>
      <c r="D2358" s="1927" t="b">
        <f t="shared" si="42"/>
        <v>1</v>
      </c>
    </row>
    <row r="2359" spans="1:4">
      <c r="A2359" s="1927" t="s">
        <v>1957</v>
      </c>
      <c r="B2359" s="1928" t="str">
        <f>报表附注!E2920</f>
        <v>4．政府补助</v>
      </c>
      <c r="C2359" s="1936">
        <f>报表附注!G2920</f>
        <v>0</v>
      </c>
      <c r="D2359" s="1927" t="b">
        <f t="shared" si="42"/>
        <v>1</v>
      </c>
    </row>
    <row r="2360" spans="1:4">
      <c r="A2360" s="1927" t="s">
        <v>1958</v>
      </c>
      <c r="B2360" s="1928" t="str">
        <f>报表附注!E2921</f>
        <v>5．盘盈利得</v>
      </c>
      <c r="C2360" s="1936">
        <f>报表附注!G2921</f>
        <v>0</v>
      </c>
      <c r="D2360" s="1927" t="b">
        <f t="shared" si="42"/>
        <v>1</v>
      </c>
    </row>
    <row r="2361" spans="1:4">
      <c r="A2361" s="1927" t="s">
        <v>1959</v>
      </c>
      <c r="B2361" s="1928" t="str">
        <f>报表附注!E2922</f>
        <v>6．捐赠利得</v>
      </c>
      <c r="C2361" s="1936">
        <f>报表附注!G2922</f>
        <v>0</v>
      </c>
      <c r="D2361" s="1927" t="b">
        <f t="shared" si="42"/>
        <v>1</v>
      </c>
    </row>
    <row r="2362" spans="1:4">
      <c r="A2362" s="1927" t="s">
        <v>1960</v>
      </c>
      <c r="B2362" s="1928" t="str">
        <f>报表附注!E2923</f>
        <v>7．罚款收入</v>
      </c>
      <c r="C2362" s="1936">
        <f>报表附注!G2923</f>
        <v>0</v>
      </c>
      <c r="D2362" s="1927" t="b">
        <f t="shared" si="42"/>
        <v>1</v>
      </c>
    </row>
    <row r="2363" spans="1:4">
      <c r="A2363" s="1927" t="s">
        <v>1961</v>
      </c>
      <c r="B2363" s="1928" t="str">
        <f>报表附注!E2924</f>
        <v>8．其他</v>
      </c>
      <c r="C2363" s="1936">
        <f>报表附注!G2924</f>
        <v>0</v>
      </c>
      <c r="D2363" s="1927" t="b">
        <f t="shared" si="42"/>
        <v>1</v>
      </c>
    </row>
    <row r="2364" spans="1:4">
      <c r="A2364" s="1927" t="s">
        <v>1206</v>
      </c>
      <c r="B2364" s="1939" t="str">
        <f>报表附注!E2925</f>
        <v>合  计</v>
      </c>
      <c r="C2364" s="1936">
        <f>报表附注!G2925</f>
        <v>0</v>
      </c>
      <c r="D2364" s="1927" t="b">
        <f t="shared" si="42"/>
        <v>1</v>
      </c>
    </row>
    <row r="2365" spans="1:4">
      <c r="A2365" s="1927" t="s">
        <v>1962</v>
      </c>
      <c r="B2365" s="1948" t="s">
        <v>1962</v>
      </c>
      <c r="D2365" s="1927" t="b">
        <f t="shared" si="42"/>
        <v>1</v>
      </c>
    </row>
    <row r="2366" spans="1:4">
      <c r="A2366" s="1927" t="s">
        <v>1952</v>
      </c>
      <c r="B2366" s="1942" t="str">
        <f>报表附注!E2915</f>
        <v>1．处置非流动资产利得小计</v>
      </c>
      <c r="C2366" s="1936">
        <f>报表附注!H2915</f>
        <v>0</v>
      </c>
      <c r="D2366" s="1927" t="b">
        <f t="shared" ref="D2366:D2429" si="43">EXACT(A2366,B2366)</f>
        <v>1</v>
      </c>
    </row>
    <row r="2367" spans="1:4">
      <c r="A2367" s="1927" t="s">
        <v>1953</v>
      </c>
      <c r="B2367" s="1942" t="str">
        <f>报表附注!E2916</f>
        <v>其中：处置固定资产利得</v>
      </c>
      <c r="C2367" s="1936">
        <f>报表附注!H2916</f>
        <v>0</v>
      </c>
      <c r="D2367" s="1927" t="b">
        <f t="shared" si="43"/>
        <v>1</v>
      </c>
    </row>
    <row r="2368" spans="1:4">
      <c r="A2368" s="1927" t="s">
        <v>1954</v>
      </c>
      <c r="B2368" s="1942" t="str">
        <f>报表附注!E2917</f>
        <v>      处置无形资产利得</v>
      </c>
      <c r="C2368" s="1936">
        <f>报表附注!H2917</f>
        <v>0</v>
      </c>
      <c r="D2368" s="1927" t="b">
        <f t="shared" si="43"/>
        <v>1</v>
      </c>
    </row>
    <row r="2369" spans="1:4">
      <c r="A2369" s="1927" t="s">
        <v>1955</v>
      </c>
      <c r="B2369" s="1942" t="str">
        <f>报表附注!E2918</f>
        <v>2．非货币性资产交换利得</v>
      </c>
      <c r="C2369" s="1936">
        <f>报表附注!H2918</f>
        <v>0</v>
      </c>
      <c r="D2369" s="1927" t="b">
        <f t="shared" si="43"/>
        <v>1</v>
      </c>
    </row>
    <row r="2370" spans="1:4">
      <c r="A2370" s="1927" t="s">
        <v>1956</v>
      </c>
      <c r="B2370" s="1942" t="str">
        <f>报表附注!E2919</f>
        <v>3．债务重组利得</v>
      </c>
      <c r="C2370" s="1936">
        <f>报表附注!H2919</f>
        <v>0</v>
      </c>
      <c r="D2370" s="1927" t="b">
        <f t="shared" si="43"/>
        <v>1</v>
      </c>
    </row>
    <row r="2371" spans="1:4">
      <c r="A2371" s="1927" t="s">
        <v>1957</v>
      </c>
      <c r="B2371" s="1942" t="str">
        <f>报表附注!E2920</f>
        <v>4．政府补助</v>
      </c>
      <c r="C2371" s="1936">
        <f>报表附注!H2920</f>
        <v>0</v>
      </c>
      <c r="D2371" s="1927" t="b">
        <f t="shared" si="43"/>
        <v>1</v>
      </c>
    </row>
    <row r="2372" spans="1:4">
      <c r="A2372" s="1927" t="s">
        <v>1958</v>
      </c>
      <c r="B2372" s="1942" t="str">
        <f>报表附注!E2921</f>
        <v>5．盘盈利得</v>
      </c>
      <c r="C2372" s="1936">
        <f>报表附注!H2921</f>
        <v>0</v>
      </c>
      <c r="D2372" s="1927" t="b">
        <f t="shared" si="43"/>
        <v>1</v>
      </c>
    </row>
    <row r="2373" spans="1:4">
      <c r="A2373" s="1927" t="s">
        <v>1959</v>
      </c>
      <c r="B2373" s="1942" t="str">
        <f>报表附注!E2922</f>
        <v>6．捐赠利得</v>
      </c>
      <c r="C2373" s="1936">
        <f>报表附注!H2922</f>
        <v>0</v>
      </c>
      <c r="D2373" s="1927" t="b">
        <f t="shared" si="43"/>
        <v>1</v>
      </c>
    </row>
    <row r="2374" spans="1:4">
      <c r="A2374" s="1927" t="s">
        <v>1960</v>
      </c>
      <c r="B2374" s="1942" t="str">
        <f>报表附注!E2923</f>
        <v>7．罚款收入</v>
      </c>
      <c r="C2374" s="1936">
        <f>报表附注!H2923</f>
        <v>0</v>
      </c>
      <c r="D2374" s="1927" t="b">
        <f t="shared" si="43"/>
        <v>1</v>
      </c>
    </row>
    <row r="2375" spans="1:4">
      <c r="A2375" s="1927" t="s">
        <v>1961</v>
      </c>
      <c r="B2375" s="1942" t="str">
        <f>报表附注!E2924</f>
        <v>8．其他</v>
      </c>
      <c r="C2375" s="1936">
        <f>报表附注!H2924</f>
        <v>0</v>
      </c>
      <c r="D2375" s="1927" t="b">
        <f t="shared" si="43"/>
        <v>1</v>
      </c>
    </row>
    <row r="2376" spans="1:4">
      <c r="A2376" s="1927" t="s">
        <v>1206</v>
      </c>
      <c r="B2376" s="1939" t="str">
        <f>报表附注!E2925</f>
        <v>合  计</v>
      </c>
      <c r="C2376" s="1936">
        <f>报表附注!H2925</f>
        <v>0</v>
      </c>
      <c r="D2376" s="1927" t="b">
        <f t="shared" si="43"/>
        <v>1</v>
      </c>
    </row>
    <row r="2377" spans="1:4">
      <c r="A2377" s="1927" t="s">
        <v>1963</v>
      </c>
      <c r="B2377" s="1948" t="s">
        <v>1963</v>
      </c>
      <c r="D2377" s="1927" t="b">
        <f t="shared" si="43"/>
        <v>1</v>
      </c>
    </row>
    <row r="2378" spans="1:4">
      <c r="A2378" s="1927" t="s">
        <v>1952</v>
      </c>
      <c r="B2378" s="1942" t="str">
        <f>报表附注!E2915</f>
        <v>1．处置非流动资产利得小计</v>
      </c>
      <c r="C2378" s="1936" t="str">
        <f>报表附注!H2914</f>
        <v>“其他”项目大于20万元，在右边表说明</v>
      </c>
      <c r="D2378" s="1927" t="b">
        <f t="shared" si="43"/>
        <v>1</v>
      </c>
    </row>
    <row r="2379" spans="1:4">
      <c r="A2379" s="1927" t="s">
        <v>1953</v>
      </c>
      <c r="B2379" s="1942" t="str">
        <f>报表附注!E2916</f>
        <v>其中：处置固定资产利得</v>
      </c>
      <c r="C2379" s="1936">
        <f>报表附注!I2916</f>
        <v>0</v>
      </c>
      <c r="D2379" s="1927" t="b">
        <f t="shared" si="43"/>
        <v>1</v>
      </c>
    </row>
    <row r="2380" spans="1:4">
      <c r="A2380" s="1927" t="s">
        <v>1954</v>
      </c>
      <c r="B2380" s="1942" t="str">
        <f>报表附注!E2917</f>
        <v>      处置无形资产利得</v>
      </c>
      <c r="C2380" s="1936">
        <f>报表附注!I2917</f>
        <v>0</v>
      </c>
      <c r="D2380" s="1927" t="b">
        <f t="shared" si="43"/>
        <v>1</v>
      </c>
    </row>
    <row r="2381" spans="1:4">
      <c r="A2381" s="1927" t="s">
        <v>1955</v>
      </c>
      <c r="B2381" s="1942" t="str">
        <f>报表附注!E2918</f>
        <v>2．非货币性资产交换利得</v>
      </c>
      <c r="C2381" s="1936">
        <f>报表附注!I2918</f>
        <v>0</v>
      </c>
      <c r="D2381" s="1927" t="b">
        <f t="shared" si="43"/>
        <v>1</v>
      </c>
    </row>
    <row r="2382" spans="1:4">
      <c r="A2382" s="1927" t="s">
        <v>1956</v>
      </c>
      <c r="B2382" s="1942" t="str">
        <f>报表附注!E2919</f>
        <v>3．债务重组利得</v>
      </c>
      <c r="C2382" s="1936">
        <f>报表附注!I2919</f>
        <v>0</v>
      </c>
      <c r="D2382" s="1927" t="b">
        <f t="shared" si="43"/>
        <v>1</v>
      </c>
    </row>
    <row r="2383" spans="1:4">
      <c r="A2383" s="1927" t="s">
        <v>1957</v>
      </c>
      <c r="B2383" s="1942" t="str">
        <f>报表附注!E2920</f>
        <v>4．政府补助</v>
      </c>
      <c r="C2383" s="1936">
        <f>报表附注!I2920</f>
        <v>0</v>
      </c>
      <c r="D2383" s="1927" t="b">
        <f t="shared" si="43"/>
        <v>1</v>
      </c>
    </row>
    <row r="2384" spans="1:4">
      <c r="A2384" s="1927" t="s">
        <v>1958</v>
      </c>
      <c r="B2384" s="1942" t="str">
        <f>报表附注!E2921</f>
        <v>5．盘盈利得</v>
      </c>
      <c r="C2384" s="1936">
        <f>报表附注!I2921</f>
        <v>0</v>
      </c>
      <c r="D2384" s="1927" t="b">
        <f t="shared" si="43"/>
        <v>1</v>
      </c>
    </row>
    <row r="2385" spans="1:4">
      <c r="A2385" s="1927" t="s">
        <v>1959</v>
      </c>
      <c r="B2385" s="1942" t="str">
        <f>报表附注!E2922</f>
        <v>6．捐赠利得</v>
      </c>
      <c r="C2385" s="1936">
        <f>报表附注!I2922</f>
        <v>0</v>
      </c>
      <c r="D2385" s="1927" t="b">
        <f t="shared" si="43"/>
        <v>1</v>
      </c>
    </row>
    <row r="2386" spans="1:4">
      <c r="A2386" s="1927" t="s">
        <v>1960</v>
      </c>
      <c r="B2386" s="1942" t="str">
        <f>报表附注!E2923</f>
        <v>7．罚款收入</v>
      </c>
      <c r="C2386" s="1936">
        <f>报表附注!I2923</f>
        <v>0</v>
      </c>
      <c r="D2386" s="1927" t="b">
        <f t="shared" si="43"/>
        <v>1</v>
      </c>
    </row>
    <row r="2387" spans="1:4">
      <c r="A2387" s="1927" t="s">
        <v>1961</v>
      </c>
      <c r="B2387" s="1942" t="str">
        <f>报表附注!E2924</f>
        <v>8．其他</v>
      </c>
      <c r="C2387" s="1936">
        <f>报表附注!I2924</f>
        <v>0</v>
      </c>
      <c r="D2387" s="1927" t="b">
        <f t="shared" si="43"/>
        <v>1</v>
      </c>
    </row>
    <row r="2388" spans="1:4">
      <c r="A2388" s="1927" t="s">
        <v>1206</v>
      </c>
      <c r="B2388" s="1939" t="str">
        <f>报表附注!E2925</f>
        <v>合  计</v>
      </c>
      <c r="C2388" s="1936" t="str">
        <f>报表附注!I2925</f>
        <v>合  计</v>
      </c>
      <c r="D2388" s="1927" t="b">
        <f t="shared" si="43"/>
        <v>1</v>
      </c>
    </row>
    <row r="2389" spans="4:4">
      <c r="D2389" s="1927" t="b">
        <f t="shared" si="43"/>
        <v>1</v>
      </c>
    </row>
    <row r="2390" spans="1:4">
      <c r="A2390" s="1927" t="s">
        <v>1964</v>
      </c>
      <c r="B2390" s="1945" t="s">
        <v>1964</v>
      </c>
      <c r="D2390" s="1927" t="b">
        <f t="shared" si="43"/>
        <v>1</v>
      </c>
    </row>
    <row r="2391" spans="1:4">
      <c r="A2391" s="1927" t="s">
        <v>1906</v>
      </c>
      <c r="B2391" s="1948" t="s">
        <v>1906</v>
      </c>
      <c r="D2391" s="1927" t="b">
        <f t="shared" si="43"/>
        <v>1</v>
      </c>
    </row>
    <row r="2392" spans="1:4">
      <c r="A2392" s="1927" t="s">
        <v>1965</v>
      </c>
      <c r="B2392" s="1928" t="str">
        <f>报表附注!E2981</f>
        <v>１．处置非流动资损失合计</v>
      </c>
      <c r="C2392" s="1936">
        <f>报表附注!F2981</f>
        <v>0</v>
      </c>
      <c r="D2392" s="1927" t="b">
        <f t="shared" si="43"/>
        <v>1</v>
      </c>
    </row>
    <row r="2393" spans="1:4">
      <c r="A2393" s="1927" t="s">
        <v>1966</v>
      </c>
      <c r="B2393" s="1928" t="str">
        <f>报表附注!E2982</f>
        <v>  其中：处置固定资产损失</v>
      </c>
      <c r="C2393" s="1936">
        <f>报表附注!F2982</f>
        <v>0</v>
      </c>
      <c r="D2393" s="1927" t="b">
        <f t="shared" si="43"/>
        <v>1</v>
      </c>
    </row>
    <row r="2394" spans="1:4">
      <c r="A2394" s="1927" t="s">
        <v>1967</v>
      </c>
      <c r="B2394" s="1928" t="str">
        <f>报表附注!E2983</f>
        <v>          处置无形资产损失</v>
      </c>
      <c r="C2394" s="1936">
        <f>报表附注!F2983</f>
        <v>0</v>
      </c>
      <c r="D2394" s="1927" t="b">
        <f t="shared" si="43"/>
        <v>1</v>
      </c>
    </row>
    <row r="2395" spans="1:4">
      <c r="A2395" s="1927" t="s">
        <v>1968</v>
      </c>
      <c r="B2395" s="1928" t="str">
        <f>报表附注!E2984</f>
        <v>２．非贷币性资产交换损失</v>
      </c>
      <c r="C2395" s="1936">
        <f>报表附注!F2984</f>
        <v>0</v>
      </c>
      <c r="D2395" s="1927" t="b">
        <f t="shared" si="43"/>
        <v>1</v>
      </c>
    </row>
    <row r="2396" spans="1:4">
      <c r="A2396" s="1927" t="s">
        <v>1969</v>
      </c>
      <c r="B2396" s="1928" t="str">
        <f>报表附注!E2985</f>
        <v>３．债务重组损失</v>
      </c>
      <c r="C2396" s="1936">
        <f>报表附注!F2985</f>
        <v>0</v>
      </c>
      <c r="D2396" s="1927" t="b">
        <f t="shared" si="43"/>
        <v>1</v>
      </c>
    </row>
    <row r="2397" spans="1:4">
      <c r="A2397" s="1927" t="s">
        <v>1970</v>
      </c>
      <c r="B2397" s="1928" t="str">
        <f>报表附注!E2986</f>
        <v>４．公益性捐赠支出</v>
      </c>
      <c r="C2397" s="1936">
        <f>报表附注!F2986</f>
        <v>0</v>
      </c>
      <c r="D2397" s="1927" t="b">
        <f t="shared" si="43"/>
        <v>1</v>
      </c>
    </row>
    <row r="2398" spans="1:4">
      <c r="A2398" s="1927" t="s">
        <v>1971</v>
      </c>
      <c r="B2398" s="1928" t="str">
        <f>报表附注!E2987</f>
        <v>５．非常损失</v>
      </c>
      <c r="C2398" s="1936">
        <f>报表附注!F2987</f>
        <v>0</v>
      </c>
      <c r="D2398" s="1927" t="b">
        <f t="shared" si="43"/>
        <v>1</v>
      </c>
    </row>
    <row r="2399" spans="1:4">
      <c r="A2399" s="1927" t="s">
        <v>1972</v>
      </c>
      <c r="B2399" s="1928" t="str">
        <f>报表附注!E2988</f>
        <v>６．盘亏损失</v>
      </c>
      <c r="C2399" s="1936">
        <f>报表附注!F2988</f>
        <v>0</v>
      </c>
      <c r="D2399" s="1927" t="b">
        <f t="shared" si="43"/>
        <v>1</v>
      </c>
    </row>
    <row r="2400" spans="1:4">
      <c r="A2400" s="1927" t="s">
        <v>1973</v>
      </c>
      <c r="B2400" s="1928" t="str">
        <f>报表附注!E2989</f>
        <v>７．罚款支出</v>
      </c>
      <c r="C2400" s="1936">
        <f>报表附注!F2989</f>
        <v>0</v>
      </c>
      <c r="D2400" s="1927" t="b">
        <f t="shared" si="43"/>
        <v>1</v>
      </c>
    </row>
    <row r="2401" spans="1:4">
      <c r="A2401" s="1927" t="s">
        <v>1974</v>
      </c>
      <c r="B2401" s="1928" t="str">
        <f>报表附注!E2990</f>
        <v>８．其他</v>
      </c>
      <c r="C2401" s="1936">
        <f>报表附注!F2990</f>
        <v>0</v>
      </c>
      <c r="D2401" s="1927" t="b">
        <f t="shared" si="43"/>
        <v>1</v>
      </c>
    </row>
    <row r="2402" spans="1:4">
      <c r="A2402" s="1927" t="s">
        <v>1206</v>
      </c>
      <c r="B2402" s="1939" t="str">
        <f>报表附注!E2991</f>
        <v>合  计</v>
      </c>
      <c r="C2402" s="1936">
        <f>报表附注!F2991</f>
        <v>0</v>
      </c>
      <c r="D2402" s="1927" t="b">
        <f t="shared" si="43"/>
        <v>1</v>
      </c>
    </row>
    <row r="2403" spans="1:4">
      <c r="A2403" s="1927" t="s">
        <v>1910</v>
      </c>
      <c r="B2403" s="1948" t="s">
        <v>1910</v>
      </c>
      <c r="D2403" s="1927" t="b">
        <f t="shared" si="43"/>
        <v>1</v>
      </c>
    </row>
    <row r="2404" spans="1:4">
      <c r="A2404" s="1927" t="s">
        <v>1965</v>
      </c>
      <c r="B2404" s="1928" t="str">
        <f>报表附注!E2981</f>
        <v>１．处置非流动资损失合计</v>
      </c>
      <c r="C2404" s="1936">
        <f>报表附注!G2981</f>
        <v>0</v>
      </c>
      <c r="D2404" s="1927" t="b">
        <f t="shared" si="43"/>
        <v>1</v>
      </c>
    </row>
    <row r="2405" spans="1:4">
      <c r="A2405" s="1927" t="s">
        <v>1966</v>
      </c>
      <c r="B2405" s="1928" t="str">
        <f>报表附注!E2982</f>
        <v>  其中：处置固定资产损失</v>
      </c>
      <c r="C2405" s="1936">
        <f>报表附注!G2982</f>
        <v>0</v>
      </c>
      <c r="D2405" s="1927" t="b">
        <f t="shared" si="43"/>
        <v>1</v>
      </c>
    </row>
    <row r="2406" spans="1:4">
      <c r="A2406" s="1927" t="s">
        <v>1967</v>
      </c>
      <c r="B2406" s="1928" t="str">
        <f>报表附注!E2983</f>
        <v>          处置无形资产损失</v>
      </c>
      <c r="C2406" s="1936">
        <f>报表附注!G2983</f>
        <v>0</v>
      </c>
      <c r="D2406" s="1927" t="b">
        <f t="shared" si="43"/>
        <v>1</v>
      </c>
    </row>
    <row r="2407" spans="1:4">
      <c r="A2407" s="1927" t="s">
        <v>1968</v>
      </c>
      <c r="B2407" s="1928" t="str">
        <f>报表附注!E2984</f>
        <v>２．非贷币性资产交换损失</v>
      </c>
      <c r="C2407" s="1936">
        <f>报表附注!G2984</f>
        <v>0</v>
      </c>
      <c r="D2407" s="1927" t="b">
        <f t="shared" si="43"/>
        <v>1</v>
      </c>
    </row>
    <row r="2408" spans="1:4">
      <c r="A2408" s="1927" t="s">
        <v>1969</v>
      </c>
      <c r="B2408" s="1928" t="str">
        <f>报表附注!E2985</f>
        <v>３．债务重组损失</v>
      </c>
      <c r="C2408" s="1936">
        <f>报表附注!G2985</f>
        <v>0</v>
      </c>
      <c r="D2408" s="1927" t="b">
        <f t="shared" si="43"/>
        <v>1</v>
      </c>
    </row>
    <row r="2409" spans="1:4">
      <c r="A2409" s="1927" t="s">
        <v>1970</v>
      </c>
      <c r="B2409" s="1928" t="str">
        <f>报表附注!E2986</f>
        <v>４．公益性捐赠支出</v>
      </c>
      <c r="C2409" s="1936">
        <f>报表附注!G2986</f>
        <v>0</v>
      </c>
      <c r="D2409" s="1927" t="b">
        <f t="shared" si="43"/>
        <v>1</v>
      </c>
    </row>
    <row r="2410" spans="1:4">
      <c r="A2410" s="1927" t="s">
        <v>1971</v>
      </c>
      <c r="B2410" s="1928" t="str">
        <f>报表附注!E2987</f>
        <v>５．非常损失</v>
      </c>
      <c r="C2410" s="1936">
        <f>报表附注!G2987</f>
        <v>0</v>
      </c>
      <c r="D2410" s="1927" t="b">
        <f t="shared" si="43"/>
        <v>1</v>
      </c>
    </row>
    <row r="2411" spans="1:4">
      <c r="A2411" s="1927" t="s">
        <v>1972</v>
      </c>
      <c r="B2411" s="1928" t="str">
        <f>报表附注!E2988</f>
        <v>６．盘亏损失</v>
      </c>
      <c r="C2411" s="1936">
        <f>报表附注!G2988</f>
        <v>0</v>
      </c>
      <c r="D2411" s="1927" t="b">
        <f t="shared" si="43"/>
        <v>1</v>
      </c>
    </row>
    <row r="2412" spans="1:4">
      <c r="A2412" s="1927" t="s">
        <v>1973</v>
      </c>
      <c r="B2412" s="1928" t="str">
        <f>报表附注!E2989</f>
        <v>７．罚款支出</v>
      </c>
      <c r="C2412" s="1936">
        <f>报表附注!G2989</f>
        <v>0</v>
      </c>
      <c r="D2412" s="1927" t="b">
        <f t="shared" si="43"/>
        <v>1</v>
      </c>
    </row>
    <row r="2413" spans="1:4">
      <c r="A2413" s="1927" t="s">
        <v>1974</v>
      </c>
      <c r="B2413" s="1928" t="str">
        <f>报表附注!E2990</f>
        <v>８．其他</v>
      </c>
      <c r="C2413" s="1936">
        <f>报表附注!G2990</f>
        <v>0</v>
      </c>
      <c r="D2413" s="1927" t="b">
        <f t="shared" si="43"/>
        <v>1</v>
      </c>
    </row>
    <row r="2414" spans="1:4">
      <c r="A2414" s="1927" t="s">
        <v>1206</v>
      </c>
      <c r="B2414" s="1939" t="str">
        <f>报表附注!E2991</f>
        <v>合  计</v>
      </c>
      <c r="C2414" s="1936">
        <f>报表附注!G2991</f>
        <v>0</v>
      </c>
      <c r="D2414" s="1927" t="b">
        <f t="shared" si="43"/>
        <v>1</v>
      </c>
    </row>
    <row r="2415" spans="1:4">
      <c r="A2415" s="1927" t="s">
        <v>1962</v>
      </c>
      <c r="B2415" s="1948" t="s">
        <v>1962</v>
      </c>
      <c r="D2415" s="1927" t="b">
        <f t="shared" si="43"/>
        <v>1</v>
      </c>
    </row>
    <row r="2416" spans="1:4">
      <c r="A2416" s="1927" t="s">
        <v>1965</v>
      </c>
      <c r="B2416" s="1942" t="str">
        <f>报表附注!E2981</f>
        <v>１．处置非流动资损失合计</v>
      </c>
      <c r="C2416" s="1936">
        <f>报表附注!H2981</f>
        <v>0</v>
      </c>
      <c r="D2416" s="1927" t="b">
        <f t="shared" si="43"/>
        <v>1</v>
      </c>
    </row>
    <row r="2417" spans="1:4">
      <c r="A2417" s="1927" t="s">
        <v>1966</v>
      </c>
      <c r="B2417" s="1942" t="str">
        <f>报表附注!E2982</f>
        <v>  其中：处置固定资产损失</v>
      </c>
      <c r="C2417" s="1936">
        <f>报表附注!H2982</f>
        <v>0</v>
      </c>
      <c r="D2417" s="1927" t="b">
        <f t="shared" si="43"/>
        <v>1</v>
      </c>
    </row>
    <row r="2418" spans="1:4">
      <c r="A2418" s="1927" t="s">
        <v>1967</v>
      </c>
      <c r="B2418" s="1942" t="str">
        <f>报表附注!E2983</f>
        <v>          处置无形资产损失</v>
      </c>
      <c r="C2418" s="1936">
        <f>报表附注!H2983</f>
        <v>0</v>
      </c>
      <c r="D2418" s="1927" t="b">
        <f t="shared" si="43"/>
        <v>1</v>
      </c>
    </row>
    <row r="2419" spans="1:4">
      <c r="A2419" s="1927" t="s">
        <v>1968</v>
      </c>
      <c r="B2419" s="1942" t="str">
        <f>报表附注!E2984</f>
        <v>２．非贷币性资产交换损失</v>
      </c>
      <c r="C2419" s="1936">
        <f>报表附注!H2984</f>
        <v>0</v>
      </c>
      <c r="D2419" s="1927" t="b">
        <f t="shared" si="43"/>
        <v>1</v>
      </c>
    </row>
    <row r="2420" spans="1:4">
      <c r="A2420" s="1927" t="s">
        <v>1969</v>
      </c>
      <c r="B2420" s="1942" t="str">
        <f>报表附注!E2985</f>
        <v>３．债务重组损失</v>
      </c>
      <c r="C2420" s="1936">
        <f>报表附注!H2985</f>
        <v>0</v>
      </c>
      <c r="D2420" s="1927" t="b">
        <f t="shared" si="43"/>
        <v>1</v>
      </c>
    </row>
    <row r="2421" spans="1:4">
      <c r="A2421" s="1927" t="s">
        <v>1970</v>
      </c>
      <c r="B2421" s="1942" t="str">
        <f>报表附注!E2986</f>
        <v>４．公益性捐赠支出</v>
      </c>
      <c r="C2421" s="1936">
        <f>报表附注!H2986</f>
        <v>0</v>
      </c>
      <c r="D2421" s="1927" t="b">
        <f t="shared" si="43"/>
        <v>1</v>
      </c>
    </row>
    <row r="2422" spans="1:4">
      <c r="A2422" s="1927" t="s">
        <v>1971</v>
      </c>
      <c r="B2422" s="1942" t="str">
        <f>报表附注!E2987</f>
        <v>５．非常损失</v>
      </c>
      <c r="C2422" s="1936">
        <f>报表附注!H2987</f>
        <v>0</v>
      </c>
      <c r="D2422" s="1927" t="b">
        <f t="shared" si="43"/>
        <v>1</v>
      </c>
    </row>
    <row r="2423" spans="1:4">
      <c r="A2423" s="1927" t="s">
        <v>1972</v>
      </c>
      <c r="B2423" s="1942" t="str">
        <f>报表附注!E2988</f>
        <v>６．盘亏损失</v>
      </c>
      <c r="C2423" s="1936">
        <f>报表附注!H2988</f>
        <v>0</v>
      </c>
      <c r="D2423" s="1927" t="b">
        <f t="shared" si="43"/>
        <v>1</v>
      </c>
    </row>
    <row r="2424" spans="1:4">
      <c r="A2424" s="1927" t="s">
        <v>1973</v>
      </c>
      <c r="B2424" s="1942" t="str">
        <f>报表附注!E2989</f>
        <v>７．罚款支出</v>
      </c>
      <c r="C2424" s="1936">
        <f>报表附注!H2989</f>
        <v>0</v>
      </c>
      <c r="D2424" s="1927" t="b">
        <f t="shared" si="43"/>
        <v>1</v>
      </c>
    </row>
    <row r="2425" spans="1:4">
      <c r="A2425" s="1927" t="s">
        <v>1974</v>
      </c>
      <c r="B2425" s="1942" t="str">
        <f>报表附注!E2990</f>
        <v>８．其他</v>
      </c>
      <c r="C2425" s="1936">
        <f>报表附注!H2990</f>
        <v>0</v>
      </c>
      <c r="D2425" s="1927" t="b">
        <f t="shared" si="43"/>
        <v>1</v>
      </c>
    </row>
    <row r="2426" spans="1:4">
      <c r="A2426" s="1927" t="s">
        <v>1206</v>
      </c>
      <c r="B2426" s="1939" t="str">
        <f>报表附注!E2991</f>
        <v>合  计</v>
      </c>
      <c r="C2426" s="1936">
        <f>报表附注!H2991</f>
        <v>0</v>
      </c>
      <c r="D2426" s="1927" t="b">
        <f t="shared" si="43"/>
        <v>1</v>
      </c>
    </row>
    <row r="2427" spans="1:4">
      <c r="A2427" s="1927" t="s">
        <v>1963</v>
      </c>
      <c r="B2427" s="1948" t="s">
        <v>1963</v>
      </c>
      <c r="D2427" s="1927" t="b">
        <f t="shared" si="43"/>
        <v>1</v>
      </c>
    </row>
    <row r="2428" spans="1:4">
      <c r="A2428" s="1927" t="s">
        <v>1965</v>
      </c>
      <c r="B2428" s="1942" t="str">
        <f>报表附注!E2981</f>
        <v>１．处置非流动资损失合计</v>
      </c>
      <c r="C2428" s="1936">
        <f>报表附注!I2981</f>
        <v>0</v>
      </c>
      <c r="D2428" s="1927" t="b">
        <f t="shared" si="43"/>
        <v>1</v>
      </c>
    </row>
    <row r="2429" spans="1:4">
      <c r="A2429" s="1927" t="s">
        <v>1966</v>
      </c>
      <c r="B2429" s="1942" t="str">
        <f>报表附注!E2982</f>
        <v>  其中：处置固定资产损失</v>
      </c>
      <c r="C2429" s="1936">
        <f>报表附注!I2982</f>
        <v>0</v>
      </c>
      <c r="D2429" s="1927" t="b">
        <f t="shared" si="43"/>
        <v>1</v>
      </c>
    </row>
    <row r="2430" spans="1:4">
      <c r="A2430" s="1927" t="s">
        <v>1967</v>
      </c>
      <c r="B2430" s="1942" t="str">
        <f>报表附注!E2983</f>
        <v>          处置无形资产损失</v>
      </c>
      <c r="C2430" s="1936">
        <f>报表附注!I2983</f>
        <v>0</v>
      </c>
      <c r="D2430" s="1927" t="b">
        <f t="shared" ref="D2430:D2493" si="44">EXACT(A2430,B2430)</f>
        <v>1</v>
      </c>
    </row>
    <row r="2431" spans="1:4">
      <c r="A2431" s="1927" t="s">
        <v>1968</v>
      </c>
      <c r="B2431" s="1942" t="str">
        <f>报表附注!E2984</f>
        <v>２．非贷币性资产交换损失</v>
      </c>
      <c r="C2431" s="1936">
        <f>报表附注!I2984</f>
        <v>0</v>
      </c>
      <c r="D2431" s="1927" t="b">
        <f t="shared" si="44"/>
        <v>1</v>
      </c>
    </row>
    <row r="2432" spans="1:4">
      <c r="A2432" s="1927" t="s">
        <v>1969</v>
      </c>
      <c r="B2432" s="1942" t="str">
        <f>报表附注!E2985</f>
        <v>３．债务重组损失</v>
      </c>
      <c r="C2432" s="1936">
        <f>报表附注!I2985</f>
        <v>0</v>
      </c>
      <c r="D2432" s="1927" t="b">
        <f t="shared" si="44"/>
        <v>1</v>
      </c>
    </row>
    <row r="2433" spans="1:4">
      <c r="A2433" s="1927" t="s">
        <v>1970</v>
      </c>
      <c r="B2433" s="1942" t="str">
        <f>报表附注!E2986</f>
        <v>４．公益性捐赠支出</v>
      </c>
      <c r="C2433" s="1936">
        <f>报表附注!I2986</f>
        <v>0</v>
      </c>
      <c r="D2433" s="1927" t="b">
        <f t="shared" si="44"/>
        <v>1</v>
      </c>
    </row>
    <row r="2434" spans="1:4">
      <c r="A2434" s="1927" t="s">
        <v>1971</v>
      </c>
      <c r="B2434" s="1942" t="str">
        <f>报表附注!E2987</f>
        <v>５．非常损失</v>
      </c>
      <c r="C2434" s="1936">
        <f>报表附注!I2987</f>
        <v>0</v>
      </c>
      <c r="D2434" s="1927" t="b">
        <f t="shared" si="44"/>
        <v>1</v>
      </c>
    </row>
    <row r="2435" spans="1:4">
      <c r="A2435" s="1927" t="s">
        <v>1972</v>
      </c>
      <c r="B2435" s="1942" t="str">
        <f>报表附注!E2988</f>
        <v>６．盘亏损失</v>
      </c>
      <c r="C2435" s="1936">
        <f>报表附注!I2988</f>
        <v>0</v>
      </c>
      <c r="D2435" s="1927" t="b">
        <f t="shared" si="44"/>
        <v>1</v>
      </c>
    </row>
    <row r="2436" spans="1:4">
      <c r="A2436" s="1927" t="s">
        <v>1973</v>
      </c>
      <c r="B2436" s="1942" t="str">
        <f>报表附注!E2989</f>
        <v>７．罚款支出</v>
      </c>
      <c r="C2436" s="1936">
        <f>报表附注!I2989</f>
        <v>0</v>
      </c>
      <c r="D2436" s="1927" t="b">
        <f t="shared" si="44"/>
        <v>1</v>
      </c>
    </row>
    <row r="2437" spans="1:4">
      <c r="A2437" s="1927" t="s">
        <v>1974</v>
      </c>
      <c r="B2437" s="1942" t="str">
        <f>报表附注!E2990</f>
        <v>８．其他</v>
      </c>
      <c r="C2437" s="1936">
        <f>报表附注!I2990</f>
        <v>0</v>
      </c>
      <c r="D2437" s="1927" t="b">
        <f t="shared" si="44"/>
        <v>1</v>
      </c>
    </row>
    <row r="2438" spans="1:4">
      <c r="A2438" s="1927" t="s">
        <v>1206</v>
      </c>
      <c r="B2438" s="1939" t="str">
        <f>报表附注!E2991</f>
        <v>合  计</v>
      </c>
      <c r="C2438" s="1936">
        <f>报表附注!I2991</f>
        <v>0</v>
      </c>
      <c r="D2438" s="1927" t="b">
        <f t="shared" si="44"/>
        <v>1</v>
      </c>
    </row>
    <row r="2439" spans="4:4">
      <c r="D2439" s="1927" t="b">
        <f t="shared" si="44"/>
        <v>1</v>
      </c>
    </row>
    <row r="2440" spans="1:4">
      <c r="A2440" s="1927" t="s">
        <v>1975</v>
      </c>
      <c r="B2440" s="1945" t="s">
        <v>1975</v>
      </c>
      <c r="D2440" s="1927" t="b">
        <f t="shared" si="44"/>
        <v>1</v>
      </c>
    </row>
    <row r="2441" spans="1:4">
      <c r="A2441" s="1927" t="s">
        <v>1906</v>
      </c>
      <c r="B2441" s="1948" t="s">
        <v>1906</v>
      </c>
      <c r="D2441" s="1927" t="b">
        <f t="shared" si="44"/>
        <v>1</v>
      </c>
    </row>
    <row r="2442" spans="1:4">
      <c r="A2442" s="1927" t="s">
        <v>1411</v>
      </c>
      <c r="B2442" s="1928" t="str">
        <f>报表附注!E3000</f>
        <v>所得税费用</v>
      </c>
      <c r="C2442" s="1936">
        <f>报表附注!F3000</f>
        <v>0</v>
      </c>
      <c r="D2442" s="1927" t="b">
        <f t="shared" si="44"/>
        <v>1</v>
      </c>
    </row>
    <row r="2443" spans="1:4">
      <c r="A2443" s="1927" t="s">
        <v>1976</v>
      </c>
      <c r="B2443" s="1928" t="str">
        <f>报表附注!E3001</f>
        <v>其中：当期所得税</v>
      </c>
      <c r="C2443" s="1936">
        <f>报表附注!F3001</f>
        <v>0</v>
      </c>
      <c r="D2443" s="1927" t="b">
        <f t="shared" si="44"/>
        <v>1</v>
      </c>
    </row>
    <row r="2444" spans="1:4">
      <c r="A2444" s="1927" t="s">
        <v>1977</v>
      </c>
      <c r="B2444" s="1928" t="str">
        <f>报表附注!E3002</f>
        <v>      递延所得税</v>
      </c>
      <c r="C2444" s="1936">
        <f>报表附注!F3002</f>
        <v>0</v>
      </c>
      <c r="D2444" s="1927" t="b">
        <f t="shared" si="44"/>
        <v>1</v>
      </c>
    </row>
    <row r="2445" spans="1:4">
      <c r="A2445" s="1927" t="s">
        <v>1910</v>
      </c>
      <c r="B2445" s="1948" t="s">
        <v>1910</v>
      </c>
      <c r="D2445" s="1927" t="b">
        <f t="shared" si="44"/>
        <v>1</v>
      </c>
    </row>
    <row r="2446" spans="1:4">
      <c r="A2446" s="1927" t="s">
        <v>1411</v>
      </c>
      <c r="B2446" s="1928" t="str">
        <f>报表附注!E3000</f>
        <v>所得税费用</v>
      </c>
      <c r="C2446" s="1936">
        <f>报表附注!G3000</f>
        <v>0</v>
      </c>
      <c r="D2446" s="1927" t="b">
        <f t="shared" si="44"/>
        <v>1</v>
      </c>
    </row>
    <row r="2447" spans="1:4">
      <c r="A2447" s="1927" t="s">
        <v>1976</v>
      </c>
      <c r="B2447" s="1928" t="str">
        <f>报表附注!E3001</f>
        <v>其中：当期所得税</v>
      </c>
      <c r="C2447" s="1936">
        <f>报表附注!G3001</f>
        <v>0</v>
      </c>
      <c r="D2447" s="1927" t="b">
        <f t="shared" si="44"/>
        <v>1</v>
      </c>
    </row>
    <row r="2448" spans="1:4">
      <c r="A2448" s="1927" t="s">
        <v>1977</v>
      </c>
      <c r="B2448" s="1928" t="str">
        <f>报表附注!E3002</f>
        <v>      递延所得税</v>
      </c>
      <c r="C2448" s="1936">
        <f>报表附注!G3002</f>
        <v>0</v>
      </c>
      <c r="D2448" s="1927" t="b">
        <f t="shared" si="44"/>
        <v>1</v>
      </c>
    </row>
    <row r="2449" spans="4:4">
      <c r="D2449" s="1927" t="b">
        <f t="shared" si="44"/>
        <v>1</v>
      </c>
    </row>
    <row r="2450" spans="4:4">
      <c r="D2450" s="1927" t="b">
        <f t="shared" si="44"/>
        <v>1</v>
      </c>
    </row>
    <row r="2451" ht="12" spans="1:4">
      <c r="A2451" s="1927" t="s">
        <v>1978</v>
      </c>
      <c r="B2451" s="1968" t="s">
        <v>1978</v>
      </c>
      <c r="D2451" s="1927" t="b">
        <f t="shared" si="44"/>
        <v>1</v>
      </c>
    </row>
    <row r="2452" spans="4:4">
      <c r="D2452" s="1927" t="b">
        <f t="shared" si="44"/>
        <v>1</v>
      </c>
    </row>
    <row r="2453" spans="1:4">
      <c r="A2453" s="1927" t="s">
        <v>1979</v>
      </c>
      <c r="B2453" s="1945" t="s">
        <v>1979</v>
      </c>
      <c r="D2453" s="1927" t="b">
        <f t="shared" si="44"/>
        <v>1</v>
      </c>
    </row>
    <row r="2454" spans="1:4">
      <c r="A2454" s="1927" t="s">
        <v>1980</v>
      </c>
      <c r="B2454" s="1984" t="s">
        <v>1980</v>
      </c>
      <c r="D2454" s="1927" t="b">
        <f t="shared" si="44"/>
        <v>1</v>
      </c>
    </row>
    <row r="2455" spans="1:4">
      <c r="A2455" s="1927" t="s">
        <v>1981</v>
      </c>
      <c r="B2455" s="1928" t="str">
        <f>报表附注!E3114</f>
        <v>   减：与其他计入其他综合收益相关的所得税影响</v>
      </c>
      <c r="C2455" s="1936">
        <f>报表附注!F3114</f>
        <v>0</v>
      </c>
      <c r="D2455" s="1927" t="b">
        <f t="shared" si="44"/>
        <v>0</v>
      </c>
    </row>
    <row r="2456" spans="1:4">
      <c r="A2456" s="1927" t="s">
        <v>1982</v>
      </c>
      <c r="B2456" s="1928" t="str">
        <f>报表附注!E3115</f>
        <v>       前期其他计入其他综合收益当期转入损益的净额</v>
      </c>
      <c r="C2456" s="1936">
        <f>报表附注!F3115</f>
        <v>0</v>
      </c>
      <c r="D2456" s="1927" t="b">
        <f t="shared" si="44"/>
        <v>0</v>
      </c>
    </row>
    <row r="2457" spans="1:4">
      <c r="A2457" s="1927" t="s">
        <v>1983</v>
      </c>
      <c r="B2457" s="1928" t="str">
        <f>报表附注!E3116</f>
        <v>小  计</v>
      </c>
      <c r="C2457" s="1936">
        <f>报表附注!F3116</f>
        <v>0</v>
      </c>
      <c r="D2457" s="1927" t="b">
        <f t="shared" si="44"/>
        <v>0</v>
      </c>
    </row>
    <row r="2458" spans="1:4">
      <c r="A2458" s="1927" t="s">
        <v>1984</v>
      </c>
      <c r="B2458" s="1928" t="str">
        <f>报表附注!E3117</f>
        <v>合   计</v>
      </c>
      <c r="C2458" s="1936">
        <f>报表附注!F3117</f>
        <v>0</v>
      </c>
      <c r="D2458" s="1927" t="b">
        <f t="shared" si="44"/>
        <v>0</v>
      </c>
    </row>
    <row r="2459" spans="1:4">
      <c r="A2459" s="1927" t="s">
        <v>1985</v>
      </c>
      <c r="B2459" s="1928">
        <f>报表附注!E3118</f>
        <v>0</v>
      </c>
      <c r="C2459" s="1936">
        <f>报表附注!F3118</f>
        <v>0</v>
      </c>
      <c r="D2459" s="1927" t="b">
        <f t="shared" si="44"/>
        <v>0</v>
      </c>
    </row>
    <row r="2460" spans="1:4">
      <c r="A2460" s="1927" t="s">
        <v>1986</v>
      </c>
      <c r="B2460" s="1928">
        <f>报表附注!E3119</f>
        <v>0</v>
      </c>
      <c r="C2460" s="1936">
        <f>报表附注!F3119</f>
        <v>0</v>
      </c>
      <c r="D2460" s="1927" t="b">
        <f t="shared" si="44"/>
        <v>0</v>
      </c>
    </row>
    <row r="2461" spans="1:4">
      <c r="A2461" s="1927" t="s">
        <v>1983</v>
      </c>
      <c r="B2461" s="1928">
        <f>报表附注!E3120</f>
        <v>0</v>
      </c>
      <c r="C2461" s="1936">
        <f>报表附注!F3120</f>
        <v>0</v>
      </c>
      <c r="D2461" s="1927" t="b">
        <f t="shared" si="44"/>
        <v>0</v>
      </c>
    </row>
    <row r="2462" spans="1:4">
      <c r="A2462" s="1927" t="s">
        <v>1984</v>
      </c>
      <c r="B2462" s="1928" t="str">
        <f>报表附注!E3121</f>
        <v>（六十六）收到或支付的其他与经营活动有关的现金</v>
      </c>
      <c r="C2462" s="1936">
        <f>报表附注!F3121</f>
        <v>0</v>
      </c>
      <c r="D2462" s="1927" t="b">
        <f t="shared" si="44"/>
        <v>0</v>
      </c>
    </row>
    <row r="2463" spans="1:4">
      <c r="A2463" s="1927" t="s">
        <v>1987</v>
      </c>
      <c r="B2463" s="1928" t="str">
        <f>报表附注!E3122</f>
        <v>大额项目</v>
      </c>
      <c r="C2463" s="1936" t="str">
        <f>报表附注!F3122</f>
        <v>本期数</v>
      </c>
      <c r="D2463" s="1927" t="b">
        <f t="shared" si="44"/>
        <v>0</v>
      </c>
    </row>
    <row r="2464" spans="1:4">
      <c r="A2464" s="1927" t="s">
        <v>1988</v>
      </c>
      <c r="B2464" s="1928" t="str">
        <f>报表附注!E3123</f>
        <v>一、收到的其他与经营活动有关的现金</v>
      </c>
      <c r="C2464" s="1936">
        <f>报表附注!F3123</f>
        <v>0</v>
      </c>
      <c r="D2464" s="1927" t="b">
        <f t="shared" si="44"/>
        <v>0</v>
      </c>
    </row>
    <row r="2465" spans="1:4">
      <c r="A2465" s="1927" t="s">
        <v>1983</v>
      </c>
      <c r="B2465" s="1928" t="str">
        <f>报表附注!E3124</f>
        <v>其中：往来款</v>
      </c>
      <c r="C2465" s="1936">
        <f>报表附注!F3124</f>
        <v>0</v>
      </c>
      <c r="D2465" s="1927" t="b">
        <f t="shared" si="44"/>
        <v>0</v>
      </c>
    </row>
    <row r="2466" spans="1:4">
      <c r="A2466" s="1927" t="s">
        <v>1989</v>
      </c>
      <c r="B2466" s="1928" t="str">
        <f>报表附注!E3125</f>
        <v>      利息收入</v>
      </c>
      <c r="C2466" s="1936">
        <f>报表附注!F3125</f>
        <v>0</v>
      </c>
      <c r="D2466" s="1927" t="b">
        <f t="shared" si="44"/>
        <v>0</v>
      </c>
    </row>
    <row r="2467" spans="1:4">
      <c r="A2467" s="1927" t="s">
        <v>1984</v>
      </c>
      <c r="B2467" s="1928" t="str">
        <f>报表附注!E3126</f>
        <v>政府补助</v>
      </c>
      <c r="C2467" s="1936">
        <f>报表附注!F3126</f>
        <v>0</v>
      </c>
      <c r="D2467" s="1927" t="b">
        <f t="shared" si="44"/>
        <v>0</v>
      </c>
    </row>
    <row r="2468" spans="1:4">
      <c r="A2468" s="1927" t="s">
        <v>1990</v>
      </c>
      <c r="B2468" s="1928" t="str">
        <f>报表附注!E3127</f>
        <v>其他…….</v>
      </c>
      <c r="C2468" s="1936">
        <f>报表附注!F3127</f>
        <v>0</v>
      </c>
      <c r="D2468" s="1927" t="b">
        <f t="shared" si="44"/>
        <v>0</v>
      </c>
    </row>
    <row r="2469" spans="1:4">
      <c r="A2469" s="1927" t="s">
        <v>1991</v>
      </c>
      <c r="B2469" s="1928" t="str">
        <f>报表附注!E3128</f>
        <v>非关联方租金收入</v>
      </c>
      <c r="C2469" s="1936">
        <f>报表附注!F3128</f>
        <v>0</v>
      </c>
      <c r="D2469" s="1927" t="b">
        <f t="shared" si="44"/>
        <v>0</v>
      </c>
    </row>
    <row r="2470" spans="1:4">
      <c r="A2470" s="1927" t="s">
        <v>1984</v>
      </c>
      <c r="B2470" s="1928" t="str">
        <f>报表附注!E3129</f>
        <v>关联方租金收入</v>
      </c>
      <c r="C2470" s="1936">
        <f>报表附注!F3129</f>
        <v>0</v>
      </c>
      <c r="D2470" s="1927" t="b">
        <f t="shared" si="44"/>
        <v>0</v>
      </c>
    </row>
    <row r="2471" spans="1:4">
      <c r="A2471" s="1927" t="s">
        <v>1992</v>
      </c>
      <c r="B2471" s="1928" t="str">
        <f>报表附注!E3130</f>
        <v>银行承兑汇票保证金收入</v>
      </c>
      <c r="C2471" s="1936">
        <f>报表附注!F3130</f>
        <v>0</v>
      </c>
      <c r="D2471" s="1927" t="b">
        <f t="shared" si="44"/>
        <v>0</v>
      </c>
    </row>
    <row r="2472" spans="1:4">
      <c r="A2472" s="1927" t="s">
        <v>1993</v>
      </c>
      <c r="B2472" s="1928">
        <f>报表附注!E3131</f>
        <v>0</v>
      </c>
      <c r="C2472" s="1936">
        <f>报表附注!F3131</f>
        <v>0</v>
      </c>
      <c r="D2472" s="1927" t="b">
        <f t="shared" si="44"/>
        <v>0</v>
      </c>
    </row>
    <row r="2473" spans="1:4">
      <c r="A2473" s="1927" t="s">
        <v>1994</v>
      </c>
      <c r="B2473" s="1928">
        <f>报表附注!E3132</f>
        <v>0</v>
      </c>
      <c r="C2473" s="1936">
        <f>报表附注!F3132</f>
        <v>0</v>
      </c>
      <c r="D2473" s="1927" t="b">
        <f t="shared" si="44"/>
        <v>0</v>
      </c>
    </row>
    <row r="2474" spans="1:4">
      <c r="A2474" s="1927" t="s">
        <v>1984</v>
      </c>
      <c r="B2474" s="1928">
        <f>报表附注!E3133</f>
        <v>0</v>
      </c>
      <c r="C2474" s="1936">
        <f>报表附注!F3133</f>
        <v>0</v>
      </c>
      <c r="D2474" s="1927" t="b">
        <f t="shared" si="44"/>
        <v>0</v>
      </c>
    </row>
    <row r="2475" spans="1:4">
      <c r="A2475" s="1927" t="s">
        <v>1762</v>
      </c>
      <c r="B2475" s="1939">
        <f>报表附注!E3134</f>
        <v>0</v>
      </c>
      <c r="C2475" s="1936">
        <f>报表附注!F3134</f>
        <v>0</v>
      </c>
      <c r="D2475" s="1927" t="b">
        <f t="shared" si="44"/>
        <v>0</v>
      </c>
    </row>
    <row r="2476" spans="1:4">
      <c r="A2476" s="1927" t="s">
        <v>1995</v>
      </c>
      <c r="B2476" s="1948" t="s">
        <v>1995</v>
      </c>
      <c r="D2476" s="1927" t="b">
        <f t="shared" si="44"/>
        <v>1</v>
      </c>
    </row>
    <row r="2477" spans="1:4">
      <c r="A2477" s="1927" t="s">
        <v>1981</v>
      </c>
      <c r="B2477" s="1928" t="str">
        <f>报表附注!E3114</f>
        <v>   减：与其他计入其他综合收益相关的所得税影响</v>
      </c>
      <c r="C2477" s="1936">
        <f>报表附注!G3114</f>
        <v>0</v>
      </c>
      <c r="D2477" s="1927" t="b">
        <f t="shared" si="44"/>
        <v>0</v>
      </c>
    </row>
    <row r="2478" spans="1:4">
      <c r="A2478" s="1927" t="s">
        <v>1982</v>
      </c>
      <c r="B2478" s="1928" t="str">
        <f>报表附注!E3115</f>
        <v>       前期其他计入其他综合收益当期转入损益的净额</v>
      </c>
      <c r="C2478" s="1936">
        <f>报表附注!G3115</f>
        <v>0</v>
      </c>
      <c r="D2478" s="1927" t="b">
        <f t="shared" si="44"/>
        <v>0</v>
      </c>
    </row>
    <row r="2479" spans="1:4">
      <c r="A2479" s="1927" t="s">
        <v>1983</v>
      </c>
      <c r="B2479" s="1928" t="str">
        <f>报表附注!E3116</f>
        <v>小  计</v>
      </c>
      <c r="C2479" s="1936">
        <f>报表附注!G3116</f>
        <v>0</v>
      </c>
      <c r="D2479" s="1927" t="b">
        <f t="shared" si="44"/>
        <v>0</v>
      </c>
    </row>
    <row r="2480" spans="1:4">
      <c r="A2480" s="1927" t="s">
        <v>1984</v>
      </c>
      <c r="B2480" s="1928" t="str">
        <f>报表附注!E3117</f>
        <v>合   计</v>
      </c>
      <c r="C2480" s="1936">
        <f>报表附注!G3117</f>
        <v>0</v>
      </c>
      <c r="D2480" s="1927" t="b">
        <f t="shared" si="44"/>
        <v>0</v>
      </c>
    </row>
    <row r="2481" spans="1:4">
      <c r="A2481" s="1927" t="s">
        <v>1985</v>
      </c>
      <c r="B2481" s="1928">
        <f>报表附注!E3118</f>
        <v>0</v>
      </c>
      <c r="C2481" s="1936">
        <f>报表附注!G3118</f>
        <v>0</v>
      </c>
      <c r="D2481" s="1927" t="b">
        <f t="shared" si="44"/>
        <v>0</v>
      </c>
    </row>
    <row r="2482" spans="1:4">
      <c r="A2482" s="1927" t="s">
        <v>1986</v>
      </c>
      <c r="B2482" s="1928">
        <f>报表附注!E3119</f>
        <v>0</v>
      </c>
      <c r="C2482" s="1936">
        <f>报表附注!G3119</f>
        <v>0</v>
      </c>
      <c r="D2482" s="1927" t="b">
        <f t="shared" si="44"/>
        <v>0</v>
      </c>
    </row>
    <row r="2483" spans="1:4">
      <c r="A2483" s="1927" t="s">
        <v>1983</v>
      </c>
      <c r="B2483" s="1928">
        <f>报表附注!E3120</f>
        <v>0</v>
      </c>
      <c r="C2483" s="1936">
        <f>报表附注!G3120</f>
        <v>0</v>
      </c>
      <c r="D2483" s="1927" t="b">
        <f t="shared" si="44"/>
        <v>0</v>
      </c>
    </row>
    <row r="2484" spans="1:4">
      <c r="A2484" s="1927" t="s">
        <v>1984</v>
      </c>
      <c r="B2484" s="1928" t="str">
        <f>报表附注!E3121</f>
        <v>（六十六）收到或支付的其他与经营活动有关的现金</v>
      </c>
      <c r="C2484" s="1936" t="str">
        <f>报表附注!G3121</f>
        <v>（单独合并）</v>
      </c>
      <c r="D2484" s="1927" t="b">
        <f t="shared" si="44"/>
        <v>0</v>
      </c>
    </row>
    <row r="2485" spans="1:4">
      <c r="A2485" s="1927" t="s">
        <v>1987</v>
      </c>
      <c r="B2485" s="1928" t="str">
        <f>报表附注!E3122</f>
        <v>大额项目</v>
      </c>
      <c r="C2485" s="1936" t="str">
        <f>报表附注!G3122</f>
        <v>上期数</v>
      </c>
      <c r="D2485" s="1927" t="b">
        <f t="shared" si="44"/>
        <v>0</v>
      </c>
    </row>
    <row r="2486" spans="1:4">
      <c r="A2486" s="1927" t="s">
        <v>1988</v>
      </c>
      <c r="B2486" s="1928" t="str">
        <f>报表附注!E3123</f>
        <v>一、收到的其他与经营活动有关的现金</v>
      </c>
      <c r="C2486" s="1936">
        <f>报表附注!G3123</f>
        <v>0</v>
      </c>
      <c r="D2486" s="1927" t="b">
        <f t="shared" si="44"/>
        <v>0</v>
      </c>
    </row>
    <row r="2487" spans="1:4">
      <c r="A2487" s="1927" t="s">
        <v>1983</v>
      </c>
      <c r="B2487" s="1928" t="str">
        <f>报表附注!E3124</f>
        <v>其中：往来款</v>
      </c>
      <c r="C2487" s="1936">
        <f>报表附注!G3124</f>
        <v>0</v>
      </c>
      <c r="D2487" s="1927" t="b">
        <f t="shared" si="44"/>
        <v>0</v>
      </c>
    </row>
    <row r="2488" spans="1:4">
      <c r="A2488" s="1927" t="s">
        <v>1989</v>
      </c>
      <c r="B2488" s="1928" t="str">
        <f>报表附注!E3125</f>
        <v>      利息收入</v>
      </c>
      <c r="C2488" s="1936">
        <f>报表附注!G3125</f>
        <v>0</v>
      </c>
      <c r="D2488" s="1927" t="b">
        <f t="shared" si="44"/>
        <v>0</v>
      </c>
    </row>
    <row r="2489" spans="1:4">
      <c r="A2489" s="1927" t="s">
        <v>1984</v>
      </c>
      <c r="B2489" s="1928" t="str">
        <f>报表附注!E3126</f>
        <v>政府补助</v>
      </c>
      <c r="C2489" s="1936">
        <f>报表附注!G3126</f>
        <v>0</v>
      </c>
      <c r="D2489" s="1927" t="b">
        <f t="shared" si="44"/>
        <v>0</v>
      </c>
    </row>
    <row r="2490" spans="1:4">
      <c r="A2490" s="1927" t="s">
        <v>1990</v>
      </c>
      <c r="B2490" s="1928" t="str">
        <f>报表附注!E3127</f>
        <v>其他…….</v>
      </c>
      <c r="C2490" s="1936">
        <f>报表附注!G3127</f>
        <v>0</v>
      </c>
      <c r="D2490" s="1927" t="b">
        <f t="shared" si="44"/>
        <v>0</v>
      </c>
    </row>
    <row r="2491" spans="1:4">
      <c r="A2491" s="1927" t="s">
        <v>1991</v>
      </c>
      <c r="B2491" s="1928" t="str">
        <f>报表附注!E3128</f>
        <v>非关联方租金收入</v>
      </c>
      <c r="C2491" s="1936">
        <f>报表附注!G3128</f>
        <v>0</v>
      </c>
      <c r="D2491" s="1927" t="b">
        <f t="shared" si="44"/>
        <v>0</v>
      </c>
    </row>
    <row r="2492" spans="1:4">
      <c r="A2492" s="1927" t="s">
        <v>1984</v>
      </c>
      <c r="B2492" s="1928" t="str">
        <f>报表附注!E3129</f>
        <v>关联方租金收入</v>
      </c>
      <c r="C2492" s="1936">
        <f>报表附注!G3129</f>
        <v>0</v>
      </c>
      <c r="D2492" s="1927" t="b">
        <f t="shared" si="44"/>
        <v>0</v>
      </c>
    </row>
    <row r="2493" spans="1:4">
      <c r="A2493" s="1927" t="s">
        <v>1992</v>
      </c>
      <c r="B2493" s="1928" t="str">
        <f>报表附注!E3130</f>
        <v>银行承兑汇票保证金收入</v>
      </c>
      <c r="C2493" s="1936">
        <f>报表附注!G3130</f>
        <v>0</v>
      </c>
      <c r="D2493" s="1927" t="b">
        <f t="shared" si="44"/>
        <v>0</v>
      </c>
    </row>
    <row r="2494" spans="1:4">
      <c r="A2494" s="1927" t="s">
        <v>1993</v>
      </c>
      <c r="B2494" s="1928">
        <f>报表附注!E3131</f>
        <v>0</v>
      </c>
      <c r="C2494" s="1936">
        <f>报表附注!G3131</f>
        <v>0</v>
      </c>
      <c r="D2494" s="1927" t="b">
        <f>EXACT(A2494,B2494)</f>
        <v>0</v>
      </c>
    </row>
    <row r="2495" spans="1:4">
      <c r="A2495" s="1927" t="s">
        <v>1994</v>
      </c>
      <c r="B2495" s="1928">
        <f>报表附注!E3132</f>
        <v>0</v>
      </c>
      <c r="C2495" s="1936">
        <f>报表附注!G3132</f>
        <v>0</v>
      </c>
      <c r="D2495" s="1927" t="b">
        <f>EXACT(A2495,B2495)</f>
        <v>0</v>
      </c>
    </row>
    <row r="2496" spans="1:4">
      <c r="A2496" s="1927" t="s">
        <v>1984</v>
      </c>
      <c r="B2496" s="1928">
        <f>报表附注!E3133</f>
        <v>0</v>
      </c>
      <c r="C2496" s="1936">
        <f>报表附注!G3133</f>
        <v>0</v>
      </c>
      <c r="D2496" s="1927" t="b">
        <f>EXACT(A2496,B2496)</f>
        <v>0</v>
      </c>
    </row>
    <row r="2497" spans="1:4">
      <c r="A2497" s="1927" t="s">
        <v>1762</v>
      </c>
      <c r="B2497" s="1939">
        <f>报表附注!E3134</f>
        <v>0</v>
      </c>
      <c r="C2497" s="1936">
        <f>报表附注!G3134</f>
        <v>0</v>
      </c>
      <c r="D2497" s="1927" t="b">
        <f>EXACT(A2497,B2497)</f>
        <v>0</v>
      </c>
    </row>
    <row r="2500" spans="1:2">
      <c r="A2500" s="1927" t="s">
        <v>1996</v>
      </c>
      <c r="B2500" s="1985" t="s">
        <v>1996</v>
      </c>
    </row>
    <row r="2502" spans="2:2">
      <c r="B2502" s="1933" t="s">
        <v>1997</v>
      </c>
    </row>
    <row r="2503" spans="2:2">
      <c r="B2503" s="1933" t="s">
        <v>1998</v>
      </c>
    </row>
    <row r="2504" spans="2:3">
      <c r="B2504" s="1933" t="s">
        <v>1906</v>
      </c>
      <c r="C2504" s="1964"/>
    </row>
    <row r="2505" spans="2:3">
      <c r="B2505" s="1949" t="str">
        <f>'1.管理费用'!B4</f>
        <v>职工薪酬</v>
      </c>
      <c r="C2505" s="1936">
        <f>'1.管理费用'!C4</f>
        <v>0</v>
      </c>
    </row>
    <row r="2506" spans="2:3">
      <c r="B2506" s="1949" t="str">
        <f>'1.管理费用'!B5</f>
        <v>研发费</v>
      </c>
      <c r="C2506" s="1936">
        <f>'1.管理费用'!C5</f>
        <v>0</v>
      </c>
    </row>
    <row r="2507" spans="2:3">
      <c r="B2507" s="1949" t="str">
        <f>'1.管理费用'!B6</f>
        <v>机物料</v>
      </c>
      <c r="C2507" s="1936">
        <f>'1.管理费用'!C6</f>
        <v>0</v>
      </c>
    </row>
    <row r="2508" spans="2:3">
      <c r="B2508" s="1949" t="str">
        <f>'1.管理费用'!B7</f>
        <v>办公费</v>
      </c>
      <c r="C2508" s="1936">
        <f>'1.管理费用'!C7</f>
        <v>0</v>
      </c>
    </row>
    <row r="2509" spans="2:3">
      <c r="B2509" s="1949" t="str">
        <f>'1.管理费用'!B8</f>
        <v>税金</v>
      </c>
      <c r="C2509" s="1936">
        <f>'1.管理费用'!C8</f>
        <v>0</v>
      </c>
    </row>
    <row r="2510" spans="2:3">
      <c r="B2510" s="1949" t="str">
        <f>'1.管理费用'!B9</f>
        <v>业务费</v>
      </c>
      <c r="C2510" s="1936">
        <f>'1.管理费用'!C9</f>
        <v>0</v>
      </c>
    </row>
    <row r="2511" spans="2:3">
      <c r="B2511" s="1949" t="str">
        <f>'1.管理费用'!B10</f>
        <v>折旧与摊销</v>
      </c>
      <c r="C2511" s="1936">
        <f>'1.管理费用'!C10</f>
        <v>0</v>
      </c>
    </row>
    <row r="2512" spans="2:3">
      <c r="B2512" s="1949" t="str">
        <f>'1.管理费用'!B11</f>
        <v>差旅费</v>
      </c>
      <c r="C2512" s="1936">
        <f>'1.管理费用'!C11</f>
        <v>0</v>
      </c>
    </row>
    <row r="2513" spans="2:3">
      <c r="B2513" s="1949" t="str">
        <f>'1.管理费用'!B12</f>
        <v>中介机构费</v>
      </c>
      <c r="C2513" s="1936">
        <f>'1.管理费用'!C12</f>
        <v>0</v>
      </c>
    </row>
    <row r="2514" spans="2:3">
      <c r="B2514" s="1949" t="str">
        <f>'1.管理费用'!B13</f>
        <v>保险费</v>
      </c>
      <c r="C2514" s="1936">
        <f>'1.管理费用'!C13</f>
        <v>0</v>
      </c>
    </row>
    <row r="2515" spans="2:3">
      <c r="B2515" s="1949" t="str">
        <f>'1.管理费用'!B14</f>
        <v>其他费用</v>
      </c>
      <c r="C2515" s="1936">
        <f>'1.管理费用'!C14</f>
        <v>0</v>
      </c>
    </row>
    <row r="2516" spans="2:3">
      <c r="B2516" s="1953" t="str">
        <f>'1.管理费用'!B15</f>
        <v>合计</v>
      </c>
      <c r="C2516" s="1936">
        <f>'1.管理费用'!C15</f>
        <v>0</v>
      </c>
    </row>
    <row r="2517" spans="2:3">
      <c r="B2517" s="1933" t="s">
        <v>1910</v>
      </c>
      <c r="C2517" s="1964"/>
    </row>
    <row r="2518" spans="2:3">
      <c r="B2518" s="1949" t="str">
        <f>B2505</f>
        <v>职工薪酬</v>
      </c>
      <c r="C2518" s="1936">
        <f>'1.管理费用'!D4</f>
        <v>0</v>
      </c>
    </row>
    <row r="2519" spans="2:3">
      <c r="B2519" s="1949" t="str">
        <f t="shared" ref="B2519:B2529" si="45">B2506</f>
        <v>研发费</v>
      </c>
      <c r="C2519" s="1936">
        <f>'1.管理费用'!D5</f>
        <v>0</v>
      </c>
    </row>
    <row r="2520" spans="2:3">
      <c r="B2520" s="1949" t="str">
        <f t="shared" si="45"/>
        <v>机物料</v>
      </c>
      <c r="C2520" s="1936">
        <f>'1.管理费用'!D6</f>
        <v>0</v>
      </c>
    </row>
    <row r="2521" spans="2:3">
      <c r="B2521" s="1949" t="str">
        <f t="shared" si="45"/>
        <v>办公费</v>
      </c>
      <c r="C2521" s="1936">
        <f>'1.管理费用'!D7</f>
        <v>0</v>
      </c>
    </row>
    <row r="2522" spans="2:3">
      <c r="B2522" s="1949" t="str">
        <f t="shared" si="45"/>
        <v>税金</v>
      </c>
      <c r="C2522" s="1936">
        <f>'1.管理费用'!D8</f>
        <v>0</v>
      </c>
    </row>
    <row r="2523" spans="2:3">
      <c r="B2523" s="1949" t="str">
        <f t="shared" si="45"/>
        <v>业务费</v>
      </c>
      <c r="C2523" s="1936">
        <f>'1.管理费用'!D9</f>
        <v>0</v>
      </c>
    </row>
    <row r="2524" spans="2:3">
      <c r="B2524" s="1949" t="str">
        <f t="shared" si="45"/>
        <v>折旧与摊销</v>
      </c>
      <c r="C2524" s="1936">
        <f>'1.管理费用'!D10</f>
        <v>0</v>
      </c>
    </row>
    <row r="2525" spans="2:3">
      <c r="B2525" s="1949" t="str">
        <f t="shared" si="45"/>
        <v>差旅费</v>
      </c>
      <c r="C2525" s="1936">
        <f>'1.管理费用'!D11</f>
        <v>0</v>
      </c>
    </row>
    <row r="2526" spans="2:3">
      <c r="B2526" s="1949" t="str">
        <f t="shared" si="45"/>
        <v>中介机构费</v>
      </c>
      <c r="C2526" s="1936">
        <f>'1.管理费用'!D12</f>
        <v>0</v>
      </c>
    </row>
    <row r="2527" spans="2:3">
      <c r="B2527" s="1949" t="str">
        <f t="shared" si="45"/>
        <v>保险费</v>
      </c>
      <c r="C2527" s="1936">
        <f>'1.管理费用'!D13</f>
        <v>0</v>
      </c>
    </row>
    <row r="2528" spans="2:3">
      <c r="B2528" s="1949" t="str">
        <f t="shared" si="45"/>
        <v>其他费用</v>
      </c>
      <c r="C2528" s="1936">
        <f>'1.管理费用'!D14</f>
        <v>0</v>
      </c>
    </row>
    <row r="2529" spans="2:3">
      <c r="B2529" s="1939" t="str">
        <f t="shared" si="45"/>
        <v>合计</v>
      </c>
      <c r="C2529" s="1936">
        <f>'1.管理费用'!D15</f>
        <v>0</v>
      </c>
    </row>
    <row r="2531" spans="2:2">
      <c r="B2531" s="1933" t="s">
        <v>1999</v>
      </c>
    </row>
    <row r="2532" spans="2:2">
      <c r="B2532" s="1933" t="s">
        <v>1998</v>
      </c>
    </row>
    <row r="2533" spans="2:3">
      <c r="B2533" s="1933" t="s">
        <v>1906</v>
      </c>
      <c r="C2533" s="1964"/>
    </row>
    <row r="2534" spans="2:3">
      <c r="B2534" s="1949" t="str">
        <f>'2.销售费用'!B4</f>
        <v>运输费及物料消耗 </v>
      </c>
      <c r="C2534" s="1936">
        <f>'2.销售费用'!C4</f>
        <v>0</v>
      </c>
    </row>
    <row r="2535" spans="2:3">
      <c r="B2535" s="1949" t="str">
        <f>'2.销售费用'!B5</f>
        <v>业务费 </v>
      </c>
      <c r="C2535" s="1936">
        <f>'2.销售费用'!C5</f>
        <v>0</v>
      </c>
    </row>
    <row r="2536" spans="2:3">
      <c r="B2536" s="1949" t="str">
        <f>'2.销售费用'!B6</f>
        <v>职工薪酬</v>
      </c>
      <c r="C2536" s="1936">
        <f>'2.销售费用'!C6</f>
        <v>0</v>
      </c>
    </row>
    <row r="2537" spans="2:3">
      <c r="B2537" s="1949" t="str">
        <f>'2.销售费用'!B7</f>
        <v>差旅费 </v>
      </c>
      <c r="C2537" s="1936">
        <f>'2.销售费用'!C7</f>
        <v>0</v>
      </c>
    </row>
    <row r="2538" spans="2:3">
      <c r="B2538" s="1949" t="str">
        <f>'2.销售费用'!B8</f>
        <v>折旧 </v>
      </c>
      <c r="C2538" s="1936">
        <f>'2.销售费用'!C8</f>
        <v>0</v>
      </c>
    </row>
    <row r="2539" spans="2:3">
      <c r="B2539" s="1949" t="str">
        <f>'2.销售费用'!B9</f>
        <v>办公费 </v>
      </c>
      <c r="C2539" s="1936">
        <f>'2.销售费用'!C9</f>
        <v>0</v>
      </c>
    </row>
    <row r="2540" spans="2:3">
      <c r="B2540" s="1949" t="str">
        <f>'2.销售费用'!B10</f>
        <v>其他 </v>
      </c>
      <c r="C2540" s="1936">
        <f>'2.销售费用'!C10</f>
        <v>0</v>
      </c>
    </row>
    <row r="2541" spans="2:3">
      <c r="B2541" s="1953" t="str">
        <f>'2.销售费用'!B11</f>
        <v>合计</v>
      </c>
      <c r="C2541" s="1986">
        <f>'2.销售费用'!C11</f>
        <v>0</v>
      </c>
    </row>
    <row r="2542" spans="2:3">
      <c r="B2542" s="1933" t="s">
        <v>1910</v>
      </c>
      <c r="C2542" s="1964"/>
    </row>
    <row r="2543" spans="2:3">
      <c r="B2543" s="1949" t="str">
        <f>B2534</f>
        <v>运输费及物料消耗 </v>
      </c>
      <c r="C2543" s="1936">
        <f>'2.销售费用'!D4</f>
        <v>0</v>
      </c>
    </row>
    <row r="2544" spans="2:3">
      <c r="B2544" s="1949" t="str">
        <f t="shared" ref="B2544:B2550" si="46">B2535</f>
        <v>业务费 </v>
      </c>
      <c r="C2544" s="1936">
        <f>'2.销售费用'!D5</f>
        <v>0</v>
      </c>
    </row>
    <row r="2545" spans="2:3">
      <c r="B2545" s="1949" t="str">
        <f t="shared" si="46"/>
        <v>职工薪酬</v>
      </c>
      <c r="C2545" s="1936">
        <f>'2.销售费用'!D6</f>
        <v>0</v>
      </c>
    </row>
    <row r="2546" spans="2:3">
      <c r="B2546" s="1949" t="str">
        <f t="shared" si="46"/>
        <v>差旅费 </v>
      </c>
      <c r="C2546" s="1936">
        <f>'2.销售费用'!D7</f>
        <v>0</v>
      </c>
    </row>
    <row r="2547" spans="2:3">
      <c r="B2547" s="1949" t="str">
        <f t="shared" si="46"/>
        <v>折旧 </v>
      </c>
      <c r="C2547" s="1936">
        <f>'2.销售费用'!D8</f>
        <v>0</v>
      </c>
    </row>
    <row r="2548" spans="2:3">
      <c r="B2548" s="1949" t="str">
        <f t="shared" si="46"/>
        <v>办公费 </v>
      </c>
      <c r="C2548" s="1936">
        <f>'2.销售费用'!D9</f>
        <v>0</v>
      </c>
    </row>
    <row r="2549" spans="2:3">
      <c r="B2549" s="1949" t="str">
        <f t="shared" si="46"/>
        <v>其他 </v>
      </c>
      <c r="C2549" s="1936">
        <f>'2.销售费用'!D10</f>
        <v>0</v>
      </c>
    </row>
    <row r="2550" spans="2:3">
      <c r="B2550" s="1939" t="str">
        <f t="shared" si="46"/>
        <v>合计</v>
      </c>
      <c r="C2550" s="1986">
        <f>'2.销售费用'!D11</f>
        <v>0</v>
      </c>
    </row>
    <row r="2552" spans="2:3">
      <c r="B2552" s="1928" t="str">
        <f>报表附注!H3155</f>
        <v>收到其他-利息收入与财务费用利息收入核对</v>
      </c>
      <c r="C2552" s="1929" t="str">
        <f>报表附注!I3155&amp;报表附注!J3155</f>
        <v>相符原因是：</v>
      </c>
    </row>
    <row r="2553" spans="2:3">
      <c r="B2553" s="1928" t="str">
        <f>附注其他核对!$B$182</f>
        <v>收到其他-政府补助与营业外收入政府补助收入核对</v>
      </c>
      <c r="C2553" s="1929" t="str">
        <f>报表附注!I3158&amp;报表附注!J3158</f>
        <v>合理原因是：</v>
      </c>
    </row>
    <row r="2554" spans="2:3">
      <c r="B2554" s="1987" t="str">
        <f>报表附注!E3121</f>
        <v>（六十六）收到或支付的其他与经营活动有关的现金</v>
      </c>
      <c r="C2554" s="1936">
        <f>报表附注!F3121</f>
        <v>0</v>
      </c>
    </row>
    <row r="2555" spans="2:3">
      <c r="B2555" s="1988" t="str">
        <f>报表附注!E3122</f>
        <v>大额项目</v>
      </c>
      <c r="C2555" s="1936" t="str">
        <f>报表附注!F3122</f>
        <v>本期数</v>
      </c>
    </row>
    <row r="2556" spans="2:3">
      <c r="B2556" s="1989" t="str">
        <f>报表附注!E3123</f>
        <v>一、收到的其他与经营活动有关的现金</v>
      </c>
      <c r="C2556" s="1986">
        <f>报表附注!F3123</f>
        <v>0</v>
      </c>
    </row>
    <row r="2557" spans="2:3">
      <c r="B2557" s="1988" t="str">
        <f>报表附注!E3124</f>
        <v>其中：往来款</v>
      </c>
      <c r="C2557" s="1936">
        <f>报表附注!F3124</f>
        <v>0</v>
      </c>
    </row>
    <row r="2558" spans="2:3">
      <c r="B2558" s="1988" t="str">
        <f>报表附注!E3125</f>
        <v>      利息收入</v>
      </c>
      <c r="C2558" s="1936">
        <f>报表附注!F3125</f>
        <v>0</v>
      </c>
    </row>
    <row r="2559" spans="2:3">
      <c r="B2559" s="1988" t="str">
        <f>报表附注!E3126</f>
        <v>政府补助</v>
      </c>
      <c r="C2559" s="1936">
        <f>报表附注!F3126</f>
        <v>0</v>
      </c>
    </row>
    <row r="2560" spans="2:3">
      <c r="B2560" s="1988" t="str">
        <f>报表附注!E3127</f>
        <v>其他…….</v>
      </c>
      <c r="C2560" s="1936">
        <f>报表附注!F3127</f>
        <v>0</v>
      </c>
    </row>
    <row r="2561" spans="2:3">
      <c r="B2561" s="1988" t="str">
        <f>报表附注!E3128</f>
        <v>非关联方租金收入</v>
      </c>
      <c r="C2561" s="1936">
        <f>报表附注!F3128</f>
        <v>0</v>
      </c>
    </row>
    <row r="2562" spans="2:3">
      <c r="B2562" s="1988" t="str">
        <f>报表附注!E3129</f>
        <v>关联方租金收入</v>
      </c>
      <c r="C2562" s="1936">
        <f>报表附注!F3129</f>
        <v>0</v>
      </c>
    </row>
    <row r="2563" spans="2:3">
      <c r="B2563" s="1988" t="str">
        <f>报表附注!E3130</f>
        <v>银行承兑汇票保证金收入</v>
      </c>
      <c r="C2563" s="1936">
        <f>报表附注!F3130</f>
        <v>0</v>
      </c>
    </row>
    <row r="2564" spans="2:3">
      <c r="B2564" s="1988">
        <f>报表附注!E3131</f>
        <v>0</v>
      </c>
      <c r="C2564" s="1936">
        <f>报表附注!F3131</f>
        <v>0</v>
      </c>
    </row>
    <row r="2565" spans="2:3">
      <c r="B2565" s="1988">
        <f>报表附注!E3132</f>
        <v>0</v>
      </c>
      <c r="C2565" s="1936">
        <f>报表附注!F3132</f>
        <v>0</v>
      </c>
    </row>
    <row r="2566" spans="2:3">
      <c r="B2566" s="1988">
        <f>报表附注!E3133</f>
        <v>0</v>
      </c>
      <c r="C2566" s="1936">
        <f>报表附注!F3133</f>
        <v>0</v>
      </c>
    </row>
    <row r="2567" spans="2:3">
      <c r="B2567" s="1988">
        <f>报表附注!E3134</f>
        <v>0</v>
      </c>
      <c r="C2567" s="1936">
        <f>报表附注!F3134</f>
        <v>0</v>
      </c>
    </row>
    <row r="2568" spans="2:3">
      <c r="B2568" s="1988">
        <f>报表附注!E3135</f>
        <v>0</v>
      </c>
      <c r="C2568" s="1936">
        <f>报表附注!F3135</f>
        <v>0</v>
      </c>
    </row>
    <row r="2569" spans="2:3">
      <c r="B2569" s="1988">
        <f>报表附注!E3136</f>
        <v>0</v>
      </c>
      <c r="C2569" s="1936">
        <f>报表附注!F3136</f>
        <v>0</v>
      </c>
    </row>
    <row r="2570" spans="2:3">
      <c r="B2570" s="1988">
        <f>报表附注!E3137</f>
        <v>0</v>
      </c>
      <c r="C2570" s="1936">
        <f>报表附注!F3137</f>
        <v>0</v>
      </c>
    </row>
    <row r="2571" spans="2:2">
      <c r="B2571" s="1928" t="s">
        <v>2000</v>
      </c>
    </row>
    <row r="2572" spans="2:2">
      <c r="B2572" s="1928" t="str">
        <f>报表附注!H3123</f>
        <v>往来单位</v>
      </c>
    </row>
    <row r="2573" spans="2:3">
      <c r="B2573" s="1988">
        <f>报表附注!H3124</f>
        <v>0</v>
      </c>
      <c r="C2573" s="1936">
        <f>报表附注!I3124</f>
        <v>0</v>
      </c>
    </row>
    <row r="2574" spans="2:3">
      <c r="B2574" s="1988">
        <f>报表附注!H3125</f>
        <v>0</v>
      </c>
      <c r="C2574" s="1936">
        <f>报表附注!I3125</f>
        <v>0</v>
      </c>
    </row>
    <row r="2575" spans="2:3">
      <c r="B2575" s="1988">
        <f>报表附注!H3126</f>
        <v>0</v>
      </c>
      <c r="C2575" s="1936">
        <f>报表附注!I3126</f>
        <v>0</v>
      </c>
    </row>
    <row r="2576" spans="2:3">
      <c r="B2576" s="1988">
        <f>报表附注!H3127</f>
        <v>0</v>
      </c>
      <c r="C2576" s="1936">
        <f>报表附注!I3127</f>
        <v>0</v>
      </c>
    </row>
    <row r="2577" spans="2:3">
      <c r="B2577" s="1988">
        <f>报表附注!H3128</f>
        <v>0</v>
      </c>
      <c r="C2577" s="1936">
        <f>报表附注!I3128</f>
        <v>0</v>
      </c>
    </row>
    <row r="2578" spans="2:3">
      <c r="B2578" s="1988">
        <f>报表附注!H3129</f>
        <v>0</v>
      </c>
      <c r="C2578" s="1936">
        <f>报表附注!I3129</f>
        <v>0</v>
      </c>
    </row>
    <row r="2579" spans="2:3">
      <c r="B2579" s="1988">
        <f>报表附注!H3130</f>
        <v>0</v>
      </c>
      <c r="C2579" s="1936">
        <f>报表附注!I3130</f>
        <v>0</v>
      </c>
    </row>
    <row r="2580" spans="2:3">
      <c r="B2580" s="1988">
        <f>报表附注!H3131</f>
        <v>0</v>
      </c>
      <c r="C2580" s="1936">
        <f>报表附注!I3131</f>
        <v>0</v>
      </c>
    </row>
    <row r="2581" spans="2:3">
      <c r="B2581" s="1988">
        <f>报表附注!H3132</f>
        <v>0</v>
      </c>
      <c r="C2581" s="1936">
        <f>报表附注!I3132</f>
        <v>0</v>
      </c>
    </row>
    <row r="2582" spans="2:3">
      <c r="B2582" s="1988">
        <f>报表附注!H3133</f>
        <v>0</v>
      </c>
      <c r="C2582" s="1936">
        <f>报表附注!I3133</f>
        <v>0</v>
      </c>
    </row>
    <row r="2583" spans="2:3">
      <c r="B2583" s="1988">
        <f>报表附注!H3134</f>
        <v>0</v>
      </c>
      <c r="C2583" s="1936">
        <f>报表附注!I3134</f>
        <v>0</v>
      </c>
    </row>
    <row r="2584" spans="2:3">
      <c r="B2584" s="1988">
        <f>报表附注!H3135</f>
        <v>0</v>
      </c>
      <c r="C2584" s="1936">
        <f>报表附注!I3135</f>
        <v>0</v>
      </c>
    </row>
    <row r="2585" spans="2:3">
      <c r="B2585" s="1988">
        <f>报表附注!H3136</f>
        <v>0</v>
      </c>
      <c r="C2585" s="1936">
        <f>报表附注!I3136</f>
        <v>0</v>
      </c>
    </row>
    <row r="2586" spans="2:3">
      <c r="B2586" s="1989" t="str">
        <f>报表附注!H3137</f>
        <v>合计</v>
      </c>
      <c r="C2586" s="1936">
        <f>报表附注!I3137</f>
        <v>0</v>
      </c>
    </row>
    <row r="2588" spans="2:3">
      <c r="B2588" s="1987" t="s">
        <v>20</v>
      </c>
      <c r="C2588" s="1990" t="str">
        <f>报表附注!G3122</f>
        <v>上期数</v>
      </c>
    </row>
    <row r="2589" spans="2:3">
      <c r="B2589" s="1989" t="str">
        <f t="shared" ref="B2589:B2619" si="47">B2556</f>
        <v>一、收到的其他与经营活动有关的现金</v>
      </c>
      <c r="C2589" s="1986">
        <f>报表附注!G3123</f>
        <v>0</v>
      </c>
    </row>
    <row r="2590" spans="2:3">
      <c r="B2590" s="1988" t="str">
        <f t="shared" si="47"/>
        <v>其中：往来款</v>
      </c>
      <c r="C2590" s="1936">
        <f>报表附注!G3124</f>
        <v>0</v>
      </c>
    </row>
    <row r="2591" spans="2:3">
      <c r="B2591" s="1988" t="str">
        <f t="shared" si="47"/>
        <v>      利息收入</v>
      </c>
      <c r="C2591" s="1936">
        <f>报表附注!G3125</f>
        <v>0</v>
      </c>
    </row>
    <row r="2592" spans="2:3">
      <c r="B2592" s="1988" t="str">
        <f t="shared" si="47"/>
        <v>政府补助</v>
      </c>
      <c r="C2592" s="1936">
        <f>报表附注!G3126</f>
        <v>0</v>
      </c>
    </row>
    <row r="2593" spans="2:3">
      <c r="B2593" s="1988" t="str">
        <f t="shared" si="47"/>
        <v>其他…….</v>
      </c>
      <c r="C2593" s="1936">
        <f>报表附注!G3127</f>
        <v>0</v>
      </c>
    </row>
    <row r="2594" spans="2:3">
      <c r="B2594" s="1988" t="str">
        <f t="shared" si="47"/>
        <v>非关联方租金收入</v>
      </c>
      <c r="C2594" s="1936">
        <f>报表附注!G3128</f>
        <v>0</v>
      </c>
    </row>
    <row r="2595" spans="2:3">
      <c r="B2595" s="1988" t="str">
        <f t="shared" si="47"/>
        <v>关联方租金收入</v>
      </c>
      <c r="C2595" s="1936">
        <f>报表附注!G3129</f>
        <v>0</v>
      </c>
    </row>
    <row r="2596" spans="2:3">
      <c r="B2596" s="1988" t="str">
        <f t="shared" si="47"/>
        <v>银行承兑汇票保证金收入</v>
      </c>
      <c r="C2596" s="1936">
        <f>报表附注!G3130</f>
        <v>0</v>
      </c>
    </row>
    <row r="2597" spans="2:3">
      <c r="B2597" s="1988">
        <f t="shared" si="47"/>
        <v>0</v>
      </c>
      <c r="C2597" s="1936">
        <f>报表附注!G3131</f>
        <v>0</v>
      </c>
    </row>
    <row r="2598" spans="2:3">
      <c r="B2598" s="1988">
        <f t="shared" si="47"/>
        <v>0</v>
      </c>
      <c r="C2598" s="1936">
        <f>报表附注!G3132</f>
        <v>0</v>
      </c>
    </row>
    <row r="2599" spans="2:3">
      <c r="B2599" s="1988">
        <f t="shared" si="47"/>
        <v>0</v>
      </c>
      <c r="C2599" s="1936">
        <f>报表附注!G3133</f>
        <v>0</v>
      </c>
    </row>
    <row r="2600" spans="2:3">
      <c r="B2600" s="1988">
        <f t="shared" si="47"/>
        <v>0</v>
      </c>
      <c r="C2600" s="1936">
        <f>报表附注!G3134</f>
        <v>0</v>
      </c>
    </row>
    <row r="2601" spans="2:3">
      <c r="B2601" s="1988">
        <f t="shared" si="47"/>
        <v>0</v>
      </c>
      <c r="C2601" s="1936">
        <f>报表附注!G3135</f>
        <v>0</v>
      </c>
    </row>
    <row r="2602" spans="2:3">
      <c r="B2602" s="1988">
        <f t="shared" si="47"/>
        <v>0</v>
      </c>
      <c r="C2602" s="1936">
        <f>报表附注!G3136</f>
        <v>0</v>
      </c>
    </row>
    <row r="2603" spans="2:3">
      <c r="B2603" s="1988">
        <f t="shared" si="47"/>
        <v>0</v>
      </c>
      <c r="C2603" s="1936">
        <f>报表附注!G3137</f>
        <v>0</v>
      </c>
    </row>
    <row r="2604" spans="2:2">
      <c r="B2604" s="1988" t="str">
        <f t="shared" si="47"/>
        <v>本期往来款-大额往来款明细：</v>
      </c>
    </row>
    <row r="2605" spans="2:2">
      <c r="B2605" s="1928" t="str">
        <f t="shared" si="47"/>
        <v>往来单位</v>
      </c>
    </row>
    <row r="2606" spans="2:3">
      <c r="B2606" s="1988">
        <f t="shared" si="47"/>
        <v>0</v>
      </c>
      <c r="C2606" s="1936">
        <f>报表附注!K3124</f>
        <v>0</v>
      </c>
    </row>
    <row r="2607" spans="2:3">
      <c r="B2607" s="1988">
        <f t="shared" si="47"/>
        <v>0</v>
      </c>
      <c r="C2607" s="1936">
        <f>报表附注!K3125</f>
        <v>0</v>
      </c>
    </row>
    <row r="2608" spans="2:3">
      <c r="B2608" s="1988">
        <f t="shared" si="47"/>
        <v>0</v>
      </c>
      <c r="C2608" s="1936">
        <f>报表附注!K3126</f>
        <v>0</v>
      </c>
    </row>
    <row r="2609" spans="2:3">
      <c r="B2609" s="1988">
        <f t="shared" si="47"/>
        <v>0</v>
      </c>
      <c r="C2609" s="1936">
        <f>报表附注!K3127</f>
        <v>0</v>
      </c>
    </row>
    <row r="2610" spans="2:3">
      <c r="B2610" s="1988">
        <f t="shared" si="47"/>
        <v>0</v>
      </c>
      <c r="C2610" s="1936">
        <f>报表附注!K3128</f>
        <v>0</v>
      </c>
    </row>
    <row r="2611" spans="2:3">
      <c r="B2611" s="1988">
        <f t="shared" si="47"/>
        <v>0</v>
      </c>
      <c r="C2611" s="1936">
        <f>报表附注!K3129</f>
        <v>0</v>
      </c>
    </row>
    <row r="2612" spans="2:3">
      <c r="B2612" s="1988">
        <f t="shared" si="47"/>
        <v>0</v>
      </c>
      <c r="C2612" s="1936">
        <f>报表附注!K3130</f>
        <v>0</v>
      </c>
    </row>
    <row r="2613" spans="2:3">
      <c r="B2613" s="1988">
        <f t="shared" si="47"/>
        <v>0</v>
      </c>
      <c r="C2613" s="1936">
        <f>报表附注!K3131</f>
        <v>0</v>
      </c>
    </row>
    <row r="2614" spans="2:3">
      <c r="B2614" s="1988">
        <f t="shared" si="47"/>
        <v>0</v>
      </c>
      <c r="C2614" s="1936">
        <f>报表附注!K3132</f>
        <v>0</v>
      </c>
    </row>
    <row r="2615" spans="2:3">
      <c r="B2615" s="1988">
        <f t="shared" si="47"/>
        <v>0</v>
      </c>
      <c r="C2615" s="1936">
        <f>报表附注!K3133</f>
        <v>0</v>
      </c>
    </row>
    <row r="2616" spans="2:3">
      <c r="B2616" s="1988">
        <f t="shared" si="47"/>
        <v>0</v>
      </c>
      <c r="C2616" s="1936">
        <f>报表附注!K3134</f>
        <v>0</v>
      </c>
    </row>
    <row r="2617" spans="2:3">
      <c r="B2617" s="1988">
        <f t="shared" si="47"/>
        <v>0</v>
      </c>
      <c r="C2617" s="1936">
        <f>报表附注!K3135</f>
        <v>0</v>
      </c>
    </row>
    <row r="2618" spans="2:3">
      <c r="B2618" s="1988">
        <f t="shared" si="47"/>
        <v>0</v>
      </c>
      <c r="C2618" s="1936">
        <f>报表附注!K3136</f>
        <v>0</v>
      </c>
    </row>
    <row r="2619" spans="2:3">
      <c r="B2619" s="1989" t="str">
        <f t="shared" si="47"/>
        <v>合计</v>
      </c>
      <c r="C2619" s="1936">
        <f>报表附注!K3137</f>
        <v>0</v>
      </c>
    </row>
    <row r="2622" spans="2:3">
      <c r="B2622" s="1989" t="str">
        <f>报表附注!E3138</f>
        <v>二、支付的其他与经营活动有关的现金</v>
      </c>
      <c r="C2622" s="1986">
        <f>报表附注!F3138</f>
        <v>0</v>
      </c>
    </row>
    <row r="2623" spans="2:3">
      <c r="B2623" s="1988" t="str">
        <f>报表附注!E3139</f>
        <v>其中：管理费用</v>
      </c>
      <c r="C2623" s="1936">
        <f>报表附注!F3139</f>
        <v>0</v>
      </c>
    </row>
    <row r="2624" spans="2:3">
      <c r="B2624" s="1988" t="str">
        <f>报表附注!E3140</f>
        <v>往来款</v>
      </c>
      <c r="C2624" s="1936">
        <f>报表附注!F3140</f>
        <v>0</v>
      </c>
    </row>
    <row r="2625" spans="2:3">
      <c r="B2625" s="1988" t="str">
        <f>报表附注!E3141</f>
        <v>营业费用</v>
      </c>
      <c r="C2625" s="1936">
        <f>报表附注!F3141</f>
        <v>0</v>
      </c>
    </row>
    <row r="2626" spans="2:3">
      <c r="B2626" s="1988" t="str">
        <f>报表附注!E3142</f>
        <v>手续费支出</v>
      </c>
      <c r="C2626" s="1936">
        <f>报表附注!F3142</f>
        <v>0</v>
      </c>
    </row>
    <row r="2627" spans="2:3">
      <c r="B2627" s="1988" t="str">
        <f>报表附注!E3143</f>
        <v>其他…….</v>
      </c>
      <c r="C2627" s="1936">
        <f>报表附注!F3143</f>
        <v>0</v>
      </c>
    </row>
    <row r="2628" spans="2:3">
      <c r="B2628" s="1988" t="str">
        <f>报表附注!E3144</f>
        <v>支付银行承兑汇票保证金</v>
      </c>
      <c r="C2628" s="1936">
        <f>报表附注!F3144</f>
        <v>0</v>
      </c>
    </row>
    <row r="2629" spans="2:3">
      <c r="B2629" s="1988">
        <f>报表附注!E3145</f>
        <v>0</v>
      </c>
      <c r="C2629" s="1936">
        <f>报表附注!F3145</f>
        <v>0</v>
      </c>
    </row>
    <row r="2630" spans="2:3">
      <c r="B2630" s="1988">
        <f>报表附注!E3146</f>
        <v>0</v>
      </c>
      <c r="C2630" s="1936">
        <f>报表附注!F3146</f>
        <v>0</v>
      </c>
    </row>
    <row r="2631" spans="2:3">
      <c r="B2631" s="1988">
        <f>报表附注!E3147</f>
        <v>0</v>
      </c>
      <c r="C2631" s="1936">
        <f>报表附注!F3147</f>
        <v>0</v>
      </c>
    </row>
    <row r="2632" spans="2:3">
      <c r="B2632" s="1988">
        <f>报表附注!E3148</f>
        <v>0</v>
      </c>
      <c r="C2632" s="1936">
        <f>报表附注!F3148</f>
        <v>0</v>
      </c>
    </row>
    <row r="2633" spans="2:3">
      <c r="B2633" s="1988">
        <f>报表附注!E3149</f>
        <v>0</v>
      </c>
      <c r="C2633" s="1936">
        <f>报表附注!F3149</f>
        <v>0</v>
      </c>
    </row>
    <row r="2634" spans="2:3">
      <c r="B2634" s="1988">
        <f>报表附注!E3150</f>
        <v>0</v>
      </c>
      <c r="C2634" s="1936">
        <f>报表附注!F3150</f>
        <v>0</v>
      </c>
    </row>
    <row r="2635" spans="2:3">
      <c r="B2635" s="1988">
        <f>报表附注!E3151</f>
        <v>0</v>
      </c>
      <c r="C2635" s="1936">
        <f>报表附注!F3151</f>
        <v>0</v>
      </c>
    </row>
    <row r="2636" spans="2:3">
      <c r="B2636" s="1988">
        <f>报表附注!E3152</f>
        <v>0</v>
      </c>
      <c r="C2636" s="1936">
        <f>报表附注!F3152</f>
        <v>0</v>
      </c>
    </row>
    <row r="2637" spans="2:3">
      <c r="B2637" s="1988">
        <f>报表附注!E3153</f>
        <v>0</v>
      </c>
      <c r="C2637" s="1936">
        <f>报表附注!F3153</f>
        <v>0</v>
      </c>
    </row>
    <row r="2638" spans="2:2">
      <c r="B2638" s="1928" t="s">
        <v>2000</v>
      </c>
    </row>
    <row r="2639" spans="2:2">
      <c r="B2639" s="1988" t="str">
        <f>报表附注!H3139</f>
        <v>往来单位</v>
      </c>
    </row>
    <row r="2640" spans="2:3">
      <c r="B2640" s="1988">
        <f>报表附注!H3140</f>
        <v>0</v>
      </c>
      <c r="C2640" s="1936">
        <f>报表附注!I3140</f>
        <v>0</v>
      </c>
    </row>
    <row r="2641" spans="2:3">
      <c r="B2641" s="1988">
        <f>报表附注!H3141</f>
        <v>0</v>
      </c>
      <c r="C2641" s="1936">
        <f>报表附注!I3141</f>
        <v>0</v>
      </c>
    </row>
    <row r="2642" spans="2:3">
      <c r="B2642" s="1988">
        <f>报表附注!H3142</f>
        <v>0</v>
      </c>
      <c r="C2642" s="1936">
        <f>报表附注!I3142</f>
        <v>0</v>
      </c>
    </row>
    <row r="2643" spans="2:3">
      <c r="B2643" s="1988">
        <f>报表附注!H3143</f>
        <v>0</v>
      </c>
      <c r="C2643" s="1936">
        <f>报表附注!I3143</f>
        <v>0</v>
      </c>
    </row>
    <row r="2644" spans="2:3">
      <c r="B2644" s="1988">
        <f>报表附注!H3144</f>
        <v>0</v>
      </c>
      <c r="C2644" s="1936">
        <f>报表附注!I3144</f>
        <v>0</v>
      </c>
    </row>
    <row r="2645" spans="2:3">
      <c r="B2645" s="1988">
        <f>报表附注!H3145</f>
        <v>0</v>
      </c>
      <c r="C2645" s="1936">
        <f>报表附注!I3145</f>
        <v>0</v>
      </c>
    </row>
    <row r="2646" spans="2:3">
      <c r="B2646" s="1988">
        <f>报表附注!H3146</f>
        <v>0</v>
      </c>
      <c r="C2646" s="1936">
        <f>报表附注!I3146</f>
        <v>0</v>
      </c>
    </row>
    <row r="2647" spans="2:3">
      <c r="B2647" s="1988">
        <f>报表附注!H3147</f>
        <v>0</v>
      </c>
      <c r="C2647" s="1936">
        <f>报表附注!I3147</f>
        <v>0</v>
      </c>
    </row>
    <row r="2648" spans="2:3">
      <c r="B2648" s="1988">
        <f>报表附注!H3148</f>
        <v>0</v>
      </c>
      <c r="C2648" s="1936">
        <f>报表附注!I3148</f>
        <v>0</v>
      </c>
    </row>
    <row r="2649" spans="2:3">
      <c r="B2649" s="1988">
        <f>报表附注!H3149</f>
        <v>0</v>
      </c>
      <c r="C2649" s="1936">
        <f>报表附注!I3149</f>
        <v>0</v>
      </c>
    </row>
    <row r="2650" spans="2:3">
      <c r="B2650" s="1988">
        <f>报表附注!H3150</f>
        <v>0</v>
      </c>
      <c r="C2650" s="1936">
        <f>报表附注!I3150</f>
        <v>0</v>
      </c>
    </row>
    <row r="2651" spans="2:3">
      <c r="B2651" s="1988">
        <f>报表附注!H3151</f>
        <v>0</v>
      </c>
      <c r="C2651" s="1936">
        <f>报表附注!I3151</f>
        <v>0</v>
      </c>
    </row>
    <row r="2652" spans="2:3">
      <c r="B2652" s="1988">
        <f>报表附注!H3152</f>
        <v>0</v>
      </c>
      <c r="C2652" s="1936">
        <f>报表附注!I3152</f>
        <v>0</v>
      </c>
    </row>
    <row r="2653" spans="2:3">
      <c r="B2653" s="1989" t="str">
        <f>报表附注!H3153</f>
        <v>合计</v>
      </c>
      <c r="C2653" s="1936">
        <f>报表附注!I3153</f>
        <v>0</v>
      </c>
    </row>
    <row r="2655" spans="2:3">
      <c r="B2655" s="1928" t="s">
        <v>20</v>
      </c>
      <c r="C2655" s="1929" t="s">
        <v>2001</v>
      </c>
    </row>
    <row r="2656" spans="2:3">
      <c r="B2656" s="1989" t="str">
        <f t="shared" ref="B2656:B2672" si="48">B2622</f>
        <v>二、支付的其他与经营活动有关的现金</v>
      </c>
      <c r="C2656" s="1986">
        <f>报表附注!G3138</f>
        <v>0</v>
      </c>
    </row>
    <row r="2657" spans="2:3">
      <c r="B2657" s="1988" t="str">
        <f t="shared" si="48"/>
        <v>其中：管理费用</v>
      </c>
      <c r="C2657" s="1936">
        <f>报表附注!G3139</f>
        <v>0</v>
      </c>
    </row>
    <row r="2658" spans="2:3">
      <c r="B2658" s="1988" t="str">
        <f t="shared" si="48"/>
        <v>往来款</v>
      </c>
      <c r="C2658" s="1936">
        <f>报表附注!G3140</f>
        <v>0</v>
      </c>
    </row>
    <row r="2659" spans="2:3">
      <c r="B2659" s="1988" t="str">
        <f t="shared" si="48"/>
        <v>营业费用</v>
      </c>
      <c r="C2659" s="1936">
        <f>报表附注!G3141</f>
        <v>0</v>
      </c>
    </row>
    <row r="2660" spans="2:3">
      <c r="B2660" s="1988" t="str">
        <f t="shared" si="48"/>
        <v>手续费支出</v>
      </c>
      <c r="C2660" s="1936">
        <f>报表附注!G3142</f>
        <v>0</v>
      </c>
    </row>
    <row r="2661" spans="2:3">
      <c r="B2661" s="1988" t="str">
        <f t="shared" si="48"/>
        <v>其他…….</v>
      </c>
      <c r="C2661" s="1936">
        <f>报表附注!G3143</f>
        <v>0</v>
      </c>
    </row>
    <row r="2662" spans="2:3">
      <c r="B2662" s="1988" t="str">
        <f t="shared" si="48"/>
        <v>支付银行承兑汇票保证金</v>
      </c>
      <c r="C2662" s="1936">
        <f>报表附注!G3144</f>
        <v>0</v>
      </c>
    </row>
    <row r="2663" spans="2:3">
      <c r="B2663" s="1988">
        <f t="shared" si="48"/>
        <v>0</v>
      </c>
      <c r="C2663" s="1936">
        <f>报表附注!G3145</f>
        <v>0</v>
      </c>
    </row>
    <row r="2664" spans="2:3">
      <c r="B2664" s="1988">
        <f t="shared" si="48"/>
        <v>0</v>
      </c>
      <c r="C2664" s="1936">
        <f>报表附注!G3146</f>
        <v>0</v>
      </c>
    </row>
    <row r="2665" spans="2:3">
      <c r="B2665" s="1988">
        <f t="shared" si="48"/>
        <v>0</v>
      </c>
      <c r="C2665" s="1936">
        <f>报表附注!G3147</f>
        <v>0</v>
      </c>
    </row>
    <row r="2666" spans="2:3">
      <c r="B2666" s="1988">
        <f t="shared" si="48"/>
        <v>0</v>
      </c>
      <c r="C2666" s="1936">
        <f>报表附注!G3148</f>
        <v>0</v>
      </c>
    </row>
    <row r="2667" spans="2:3">
      <c r="B2667" s="1988">
        <f t="shared" si="48"/>
        <v>0</v>
      </c>
      <c r="C2667" s="1936">
        <f>报表附注!G3149</f>
        <v>0</v>
      </c>
    </row>
    <row r="2668" spans="2:3">
      <c r="B2668" s="1988">
        <f t="shared" si="48"/>
        <v>0</v>
      </c>
      <c r="C2668" s="1936">
        <f>报表附注!G3150</f>
        <v>0</v>
      </c>
    </row>
    <row r="2669" spans="2:3">
      <c r="B2669" s="1988">
        <f t="shared" si="48"/>
        <v>0</v>
      </c>
      <c r="C2669" s="1936">
        <f>报表附注!G3151</f>
        <v>0</v>
      </c>
    </row>
    <row r="2670" spans="2:3">
      <c r="B2670" s="1988">
        <f t="shared" si="48"/>
        <v>0</v>
      </c>
      <c r="C2670" s="1936">
        <f>报表附注!G3152</f>
        <v>0</v>
      </c>
    </row>
    <row r="2671" spans="2:3">
      <c r="B2671" s="1988">
        <f t="shared" si="48"/>
        <v>0</v>
      </c>
      <c r="C2671" s="1936">
        <f>报表附注!G3153</f>
        <v>0</v>
      </c>
    </row>
    <row r="2672" spans="2:2">
      <c r="B2672" s="1949" t="str">
        <f t="shared" si="48"/>
        <v>本期往来款-大额往来款明细：</v>
      </c>
    </row>
    <row r="2673" spans="2:2">
      <c r="B2673" s="1988" t="str">
        <f>报表附注!J3139</f>
        <v>往来单位</v>
      </c>
    </row>
    <row r="2674" spans="2:3">
      <c r="B2674" s="1988">
        <f>报表附注!J3140</f>
        <v>0</v>
      </c>
      <c r="C2674" s="1936">
        <f>报表附注!K3140</f>
        <v>0</v>
      </c>
    </row>
    <row r="2675" spans="2:3">
      <c r="B2675" s="1988">
        <f>报表附注!J3141</f>
        <v>0</v>
      </c>
      <c r="C2675" s="1936">
        <f>报表附注!K3141</f>
        <v>0</v>
      </c>
    </row>
    <row r="2676" spans="2:3">
      <c r="B2676" s="1988">
        <f>报表附注!J3142</f>
        <v>0</v>
      </c>
      <c r="C2676" s="1936">
        <f>报表附注!K3142</f>
        <v>0</v>
      </c>
    </row>
    <row r="2677" spans="2:3">
      <c r="B2677" s="1988">
        <f>报表附注!J3143</f>
        <v>0</v>
      </c>
      <c r="C2677" s="1936">
        <f>报表附注!K3143</f>
        <v>0</v>
      </c>
    </row>
    <row r="2678" spans="2:3">
      <c r="B2678" s="1988">
        <f>报表附注!J3144</f>
        <v>0</v>
      </c>
      <c r="C2678" s="1936">
        <f>报表附注!K3144</f>
        <v>0</v>
      </c>
    </row>
    <row r="2679" spans="2:3">
      <c r="B2679" s="1988">
        <f>报表附注!J3145</f>
        <v>0</v>
      </c>
      <c r="C2679" s="1936">
        <f>报表附注!K3145</f>
        <v>0</v>
      </c>
    </row>
    <row r="2680" spans="2:3">
      <c r="B2680" s="1988">
        <f>报表附注!J3146</f>
        <v>0</v>
      </c>
      <c r="C2680" s="1936">
        <f>报表附注!K3146</f>
        <v>0</v>
      </c>
    </row>
    <row r="2681" spans="2:3">
      <c r="B2681" s="1988">
        <f>报表附注!J3147</f>
        <v>0</v>
      </c>
      <c r="C2681" s="1936">
        <f>报表附注!K3147</f>
        <v>0</v>
      </c>
    </row>
    <row r="2682" spans="2:3">
      <c r="B2682" s="1988">
        <f>报表附注!J3148</f>
        <v>0</v>
      </c>
      <c r="C2682" s="1936">
        <f>报表附注!K3148</f>
        <v>0</v>
      </c>
    </row>
    <row r="2683" spans="2:3">
      <c r="B2683" s="1988">
        <f>报表附注!J3149</f>
        <v>0</v>
      </c>
      <c r="C2683" s="1936">
        <f>报表附注!K3149</f>
        <v>0</v>
      </c>
    </row>
    <row r="2684" spans="2:3">
      <c r="B2684" s="1988">
        <f>报表附注!J3150</f>
        <v>0</v>
      </c>
      <c r="C2684" s="1936">
        <f>报表附注!K3150</f>
        <v>0</v>
      </c>
    </row>
    <row r="2685" spans="2:3">
      <c r="B2685" s="1988">
        <f>报表附注!J3151</f>
        <v>0</v>
      </c>
      <c r="C2685" s="1936">
        <f>报表附注!K3151</f>
        <v>0</v>
      </c>
    </row>
    <row r="2686" spans="2:3">
      <c r="B2686" s="1988">
        <f>报表附注!J3152</f>
        <v>0</v>
      </c>
      <c r="C2686" s="1936">
        <f>报表附注!K3152</f>
        <v>0</v>
      </c>
    </row>
    <row r="2687" spans="2:3">
      <c r="B2687" s="1989" t="str">
        <f>报表附注!J3153</f>
        <v>合计</v>
      </c>
      <c r="C2687" s="1936">
        <f>报表附注!K3153</f>
        <v>0</v>
      </c>
    </row>
    <row r="2690" spans="2:2">
      <c r="B2690" s="1933" t="str">
        <f>报表附注!E943</f>
        <v>（十）其他流动资产-披露表</v>
      </c>
    </row>
    <row r="2691" spans="2:2">
      <c r="B2691" s="1948" t="s">
        <v>515</v>
      </c>
    </row>
    <row r="2692" spans="2:3">
      <c r="B2692" s="1928" t="str">
        <f>报表附注!E946</f>
        <v>待抵扣增值税进项税金</v>
      </c>
      <c r="C2692" s="1936">
        <f>报表附注!F946</f>
        <v>0</v>
      </c>
    </row>
    <row r="2693" spans="2:3">
      <c r="B2693" s="1928" t="str">
        <f>报表附注!E947</f>
        <v>企业所得税</v>
      </c>
      <c r="C2693" s="1936">
        <f>报表附注!F947</f>
        <v>0</v>
      </c>
    </row>
    <row r="2694" spans="2:3">
      <c r="B2694" s="1928" t="str">
        <f>报表附注!E948</f>
        <v>其他预交税金</v>
      </c>
      <c r="C2694" s="1936">
        <f>报表附注!F948</f>
        <v>0</v>
      </c>
    </row>
    <row r="2695" spans="2:3">
      <c r="B2695" s="1928" t="str">
        <f>报表附注!E949</f>
        <v>委托贷款</v>
      </c>
      <c r="C2695" s="1936">
        <f>报表附注!F949</f>
        <v>0</v>
      </c>
    </row>
    <row r="2696" spans="2:3">
      <c r="B2696" s="1988" t="str">
        <f>报表附注!E950</f>
        <v>一年以内保本理财产品</v>
      </c>
      <c r="C2696" s="1936">
        <f>报表附注!F950</f>
        <v>0</v>
      </c>
    </row>
    <row r="2697" spans="2:3">
      <c r="B2697" s="1988" t="str">
        <f>报表附注!E951</f>
        <v>待摊销短期美金借款远期结汇差额</v>
      </c>
      <c r="C2697" s="1936">
        <f>报表附注!F951</f>
        <v>0</v>
      </c>
    </row>
    <row r="2698" spans="2:3">
      <c r="B2698" s="1988">
        <f>报表附注!E952</f>
        <v>0</v>
      </c>
      <c r="C2698" s="1936">
        <f>报表附注!F952</f>
        <v>0</v>
      </c>
    </row>
    <row r="2699" spans="2:3">
      <c r="B2699" s="1988">
        <f>报表附注!E953</f>
        <v>0</v>
      </c>
      <c r="C2699" s="1936">
        <f>报表附注!F953</f>
        <v>0</v>
      </c>
    </row>
    <row r="2700" spans="2:3">
      <c r="B2700" s="1989" t="str">
        <f>报表附注!E954</f>
        <v>合计</v>
      </c>
      <c r="C2700" s="1936">
        <f>报表附注!F954</f>
        <v>0</v>
      </c>
    </row>
    <row r="2701" spans="2:2">
      <c r="B2701" s="1948" t="s">
        <v>670</v>
      </c>
    </row>
    <row r="2702" spans="2:3">
      <c r="B2702" s="1928" t="str">
        <f t="shared" ref="B2702:B2710" si="49">B2692</f>
        <v>待抵扣增值税进项税金</v>
      </c>
      <c r="C2702" s="1936">
        <f>报表附注!G946</f>
        <v>0</v>
      </c>
    </row>
    <row r="2703" spans="2:3">
      <c r="B2703" s="1928" t="str">
        <f t="shared" si="49"/>
        <v>企业所得税</v>
      </c>
      <c r="C2703" s="1936">
        <f>报表附注!G947</f>
        <v>0</v>
      </c>
    </row>
    <row r="2704" spans="2:3">
      <c r="B2704" s="1928" t="str">
        <f t="shared" si="49"/>
        <v>其他预交税金</v>
      </c>
      <c r="C2704" s="1936">
        <f>报表附注!G948</f>
        <v>0</v>
      </c>
    </row>
    <row r="2705" spans="2:3">
      <c r="B2705" s="1928" t="str">
        <f t="shared" si="49"/>
        <v>委托贷款</v>
      </c>
      <c r="C2705" s="1936">
        <f>报表附注!G949</f>
        <v>0</v>
      </c>
    </row>
    <row r="2706" spans="2:3">
      <c r="B2706" s="1988" t="str">
        <f t="shared" si="49"/>
        <v>一年以内保本理财产品</v>
      </c>
      <c r="C2706" s="1936">
        <f>报表附注!G950</f>
        <v>0</v>
      </c>
    </row>
    <row r="2707" spans="2:3">
      <c r="B2707" s="1988" t="str">
        <f t="shared" si="49"/>
        <v>待摊销短期美金借款远期结汇差额</v>
      </c>
      <c r="C2707" s="1936">
        <f>报表附注!G951</f>
        <v>0</v>
      </c>
    </row>
    <row r="2708" spans="2:3">
      <c r="B2708" s="1988">
        <f t="shared" si="49"/>
        <v>0</v>
      </c>
      <c r="C2708" s="1936">
        <f>报表附注!G952</f>
        <v>0</v>
      </c>
    </row>
    <row r="2709" spans="2:3">
      <c r="B2709" s="1988">
        <f t="shared" si="49"/>
        <v>0</v>
      </c>
      <c r="C2709" s="1991">
        <f>报表附注!G953</f>
        <v>0</v>
      </c>
    </row>
    <row r="2710" spans="2:3">
      <c r="B2710" s="1989" t="str">
        <f t="shared" si="49"/>
        <v>合计</v>
      </c>
      <c r="C2710" s="1991">
        <f>报表附注!G954</f>
        <v>0</v>
      </c>
    </row>
    <row r="2712" spans="2:2">
      <c r="B2712" s="1933" t="str">
        <f>报表附注!$E$155</f>
        <v>（五）应收利息-披露表</v>
      </c>
    </row>
    <row r="2713" spans="2:2">
      <c r="B2713" s="1933" t="str">
        <f>报表附注!$F$157</f>
        <v>期初余额</v>
      </c>
    </row>
    <row r="2714" spans="2:3">
      <c r="B2714" s="1988" t="str">
        <f>报表附注!E158</f>
        <v>账龄1年以内的应收利息：</v>
      </c>
      <c r="C2714" s="1991">
        <f>报表附注!F158</f>
        <v>0</v>
      </c>
    </row>
    <row r="2715" spans="2:3">
      <c r="B2715" s="1988" t="str">
        <f>报表附注!E159</f>
        <v>1定期存款利息</v>
      </c>
      <c r="C2715" s="1991">
        <f>报表附注!F159</f>
        <v>0</v>
      </c>
    </row>
    <row r="2716" spans="2:3">
      <c r="B2716" s="1988" t="str">
        <f>报表附注!E160</f>
        <v>2其他应收利息-集团外</v>
      </c>
      <c r="C2716" s="1991">
        <f>报表附注!F160</f>
        <v>0</v>
      </c>
    </row>
    <row r="2717" spans="2:3">
      <c r="B2717" s="1988" t="str">
        <f>报表附注!E161</f>
        <v>2其他应收利息-集团内</v>
      </c>
      <c r="C2717" s="1991">
        <f>报表附注!F161</f>
        <v>0</v>
      </c>
    </row>
    <row r="2718" spans="2:3">
      <c r="B2718" s="1988" t="str">
        <f>报表附注!E162</f>
        <v>3委托贷款应收利息</v>
      </c>
      <c r="C2718" s="1991">
        <f>报表附注!F162</f>
        <v>0</v>
      </c>
    </row>
    <row r="2719" spans="2:3">
      <c r="B2719" s="1988" t="str">
        <f>报表附注!E163</f>
        <v>4债券投资应收利息</v>
      </c>
      <c r="C2719" s="1991">
        <f>报表附注!F163</f>
        <v>0</v>
      </c>
    </row>
    <row r="2720" spans="2:3">
      <c r="B2720" s="1988" t="str">
        <f>报表附注!E164</f>
        <v>5理财产品计提应收利息</v>
      </c>
      <c r="C2720" s="1991">
        <f>报表附注!F164</f>
        <v>0</v>
      </c>
    </row>
    <row r="2721" spans="2:3">
      <c r="B2721" s="1988" t="str">
        <f>报表附注!E165</f>
        <v>项目7…….</v>
      </c>
      <c r="C2721" s="1991">
        <f>报表附注!F165</f>
        <v>0</v>
      </c>
    </row>
    <row r="2722" spans="2:3">
      <c r="B2722" s="1988" t="str">
        <f>报表附注!E166</f>
        <v>项目8…….</v>
      </c>
      <c r="C2722" s="1991">
        <f>报表附注!F166</f>
        <v>0</v>
      </c>
    </row>
    <row r="2723" spans="2:3">
      <c r="B2723" s="1988" t="str">
        <f>报表附注!E167</f>
        <v>项目9…….</v>
      </c>
      <c r="C2723" s="1991">
        <f>报表附注!F167</f>
        <v>0</v>
      </c>
    </row>
    <row r="2724" spans="2:3">
      <c r="B2724" s="1988" t="str">
        <f>报表附注!E168</f>
        <v>项目10…….</v>
      </c>
      <c r="C2724" s="1991">
        <f>报表附注!F168</f>
        <v>0</v>
      </c>
    </row>
    <row r="2725" spans="2:3">
      <c r="B2725" s="1988" t="str">
        <f>报表附注!E169</f>
        <v>账龄1年以上的应收利息:</v>
      </c>
      <c r="C2725" s="1991">
        <f>报表附注!F169</f>
        <v>0</v>
      </c>
    </row>
    <row r="2726" spans="2:3">
      <c r="B2726" s="1988" t="str">
        <f>报表附注!E170</f>
        <v>1定期存款利息</v>
      </c>
      <c r="C2726" s="1991">
        <f>报表附注!F170</f>
        <v>0</v>
      </c>
    </row>
    <row r="2727" spans="2:3">
      <c r="B2727" s="1988" t="str">
        <f>报表附注!E171</f>
        <v>2其他应收利息-集团外</v>
      </c>
      <c r="C2727" s="1991">
        <f>报表附注!F171</f>
        <v>0</v>
      </c>
    </row>
    <row r="2728" spans="2:3">
      <c r="B2728" s="1988" t="str">
        <f>报表附注!E172</f>
        <v>2其他应收利息-集团内</v>
      </c>
      <c r="C2728" s="1991">
        <f>报表附注!F172</f>
        <v>0</v>
      </c>
    </row>
    <row r="2729" spans="2:3">
      <c r="B2729" s="1988" t="str">
        <f>报表附注!E173</f>
        <v>3委托贷款应收利息</v>
      </c>
      <c r="C2729" s="1991">
        <f>报表附注!F173</f>
        <v>0</v>
      </c>
    </row>
    <row r="2730" spans="2:3">
      <c r="B2730" s="1988" t="str">
        <f>报表附注!E174</f>
        <v>4债券投资应收利息</v>
      </c>
      <c r="C2730" s="1991">
        <f>报表附注!F174</f>
        <v>0</v>
      </c>
    </row>
    <row r="2731" spans="2:3">
      <c r="B2731" s="1988" t="str">
        <f>报表附注!E175</f>
        <v>5理财产品计提应收利息</v>
      </c>
      <c r="C2731" s="1991">
        <f>报表附注!F175</f>
        <v>0</v>
      </c>
    </row>
    <row r="2732" spans="2:3">
      <c r="B2732" s="1988" t="str">
        <f>报表附注!E176</f>
        <v>项目7…….</v>
      </c>
      <c r="C2732" s="1991">
        <f>报表附注!F176</f>
        <v>0</v>
      </c>
    </row>
    <row r="2733" spans="2:3">
      <c r="B2733" s="1988" t="str">
        <f>报表附注!E177</f>
        <v>项目8…….</v>
      </c>
      <c r="C2733" s="1991">
        <f>报表附注!F177</f>
        <v>0</v>
      </c>
    </row>
    <row r="2734" spans="2:3">
      <c r="B2734" s="1988" t="str">
        <f>报表附注!E178</f>
        <v>项目9…….</v>
      </c>
      <c r="C2734" s="1991">
        <f>报表附注!F178</f>
        <v>0</v>
      </c>
    </row>
    <row r="2735" spans="2:3">
      <c r="B2735" s="1988" t="str">
        <f>报表附注!E179</f>
        <v>项目10…….</v>
      </c>
      <c r="C2735" s="1991">
        <f>报表附注!F179</f>
        <v>0</v>
      </c>
    </row>
    <row r="2736" spans="2:3">
      <c r="B2736" s="1989" t="str">
        <f>报表附注!E180</f>
        <v>合计</v>
      </c>
      <c r="C2736" s="1991">
        <f>报表附注!F180</f>
        <v>0</v>
      </c>
    </row>
    <row r="2737" spans="2:2">
      <c r="B2737" s="1977" t="str">
        <f>报表附注!G157</f>
        <v>本期增加</v>
      </c>
    </row>
    <row r="2738" spans="2:3">
      <c r="B2738" s="1927" t="str">
        <f>报表附注!E158</f>
        <v>账龄1年以内的应收利息：</v>
      </c>
      <c r="C2738" s="1991">
        <f>报表附注!G158</f>
        <v>0</v>
      </c>
    </row>
    <row r="2739" spans="2:3">
      <c r="B2739" s="1927" t="str">
        <f>报表附注!E159</f>
        <v>1定期存款利息</v>
      </c>
      <c r="C2739" s="1991">
        <f>报表附注!G159</f>
        <v>0</v>
      </c>
    </row>
    <row r="2740" spans="2:3">
      <c r="B2740" s="1927" t="str">
        <f>报表附注!E160</f>
        <v>2其他应收利息-集团外</v>
      </c>
      <c r="C2740" s="1991">
        <f>报表附注!G160</f>
        <v>0</v>
      </c>
    </row>
    <row r="2741" spans="2:3">
      <c r="B2741" s="1927" t="str">
        <f>报表附注!E161</f>
        <v>2其他应收利息-集团内</v>
      </c>
      <c r="C2741" s="1991">
        <f>报表附注!G161</f>
        <v>0</v>
      </c>
    </row>
    <row r="2742" spans="2:3">
      <c r="B2742" s="1927" t="str">
        <f>报表附注!E162</f>
        <v>3委托贷款应收利息</v>
      </c>
      <c r="C2742" s="1991">
        <f>报表附注!G162</f>
        <v>0</v>
      </c>
    </row>
    <row r="2743" spans="2:3">
      <c r="B2743" s="1927" t="str">
        <f>报表附注!E163</f>
        <v>4债券投资应收利息</v>
      </c>
      <c r="C2743" s="1991">
        <f>报表附注!G163</f>
        <v>0</v>
      </c>
    </row>
    <row r="2744" spans="2:3">
      <c r="B2744" s="1927" t="str">
        <f>报表附注!E164</f>
        <v>5理财产品计提应收利息</v>
      </c>
      <c r="C2744" s="1991">
        <f>报表附注!G164</f>
        <v>0</v>
      </c>
    </row>
    <row r="2745" spans="2:3">
      <c r="B2745" s="1927" t="str">
        <f>报表附注!E165</f>
        <v>项目7…….</v>
      </c>
      <c r="C2745" s="1991">
        <f>报表附注!G165</f>
        <v>0</v>
      </c>
    </row>
    <row r="2746" spans="2:3">
      <c r="B2746" s="1927" t="str">
        <f>报表附注!E166</f>
        <v>项目8…….</v>
      </c>
      <c r="C2746" s="1991">
        <f>报表附注!G166</f>
        <v>0</v>
      </c>
    </row>
    <row r="2747" spans="2:3">
      <c r="B2747" s="1927" t="str">
        <f>报表附注!E167</f>
        <v>项目9…….</v>
      </c>
      <c r="C2747" s="1991">
        <f>报表附注!G167</f>
        <v>0</v>
      </c>
    </row>
    <row r="2748" spans="2:3">
      <c r="B2748" s="1927" t="str">
        <f>报表附注!E168</f>
        <v>项目10…….</v>
      </c>
      <c r="C2748" s="1991">
        <f>报表附注!G168</f>
        <v>0</v>
      </c>
    </row>
    <row r="2749" spans="2:3">
      <c r="B2749" s="1927" t="str">
        <f>报表附注!E169</f>
        <v>账龄1年以上的应收利息:</v>
      </c>
      <c r="C2749" s="1991">
        <f>报表附注!G169</f>
        <v>0</v>
      </c>
    </row>
    <row r="2750" spans="2:3">
      <c r="B2750" s="1927" t="str">
        <f>报表附注!E170</f>
        <v>1定期存款利息</v>
      </c>
      <c r="C2750" s="1991">
        <f>报表附注!G170</f>
        <v>0</v>
      </c>
    </row>
    <row r="2751" spans="2:3">
      <c r="B2751" s="1927" t="str">
        <f>报表附注!E171</f>
        <v>2其他应收利息-集团外</v>
      </c>
      <c r="C2751" s="1991">
        <f>报表附注!G171</f>
        <v>0</v>
      </c>
    </row>
    <row r="2752" spans="2:3">
      <c r="B2752" s="1927" t="str">
        <f>报表附注!E172</f>
        <v>2其他应收利息-集团内</v>
      </c>
      <c r="C2752" s="1991">
        <f>报表附注!G172</f>
        <v>0</v>
      </c>
    </row>
    <row r="2753" spans="2:3">
      <c r="B2753" s="1927" t="str">
        <f>报表附注!E173</f>
        <v>3委托贷款应收利息</v>
      </c>
      <c r="C2753" s="1991">
        <f>报表附注!G173</f>
        <v>0</v>
      </c>
    </row>
    <row r="2754" spans="2:3">
      <c r="B2754" s="1927" t="str">
        <f>报表附注!E174</f>
        <v>4债券投资应收利息</v>
      </c>
      <c r="C2754" s="1991">
        <f>报表附注!G174</f>
        <v>0</v>
      </c>
    </row>
    <row r="2755" spans="2:3">
      <c r="B2755" s="1927" t="str">
        <f>报表附注!E175</f>
        <v>5理财产品计提应收利息</v>
      </c>
      <c r="C2755" s="1991">
        <f>报表附注!G175</f>
        <v>0</v>
      </c>
    </row>
    <row r="2756" spans="2:3">
      <c r="B2756" s="1927" t="str">
        <f>报表附注!E176</f>
        <v>项目7…….</v>
      </c>
      <c r="C2756" s="1991">
        <f>报表附注!G176</f>
        <v>0</v>
      </c>
    </row>
    <row r="2757" spans="2:3">
      <c r="B2757" s="1927" t="str">
        <f>报表附注!E177</f>
        <v>项目8…….</v>
      </c>
      <c r="C2757" s="1991">
        <f>报表附注!G177</f>
        <v>0</v>
      </c>
    </row>
    <row r="2758" spans="2:3">
      <c r="B2758" s="1927" t="str">
        <f>报表附注!E178</f>
        <v>项目9…….</v>
      </c>
      <c r="C2758" s="1991">
        <f>报表附注!G178</f>
        <v>0</v>
      </c>
    </row>
    <row r="2759" spans="2:3">
      <c r="B2759" s="1927" t="str">
        <f>报表附注!E179</f>
        <v>项目10…….</v>
      </c>
      <c r="C2759" s="1991">
        <f>报表附注!G179</f>
        <v>0</v>
      </c>
    </row>
    <row r="2760" spans="2:3">
      <c r="B2760" s="1989" t="str">
        <f>报表附注!E180</f>
        <v>合计</v>
      </c>
      <c r="C2760" s="1991">
        <f>报表附注!G180</f>
        <v>0</v>
      </c>
    </row>
    <row r="2761" spans="2:2">
      <c r="B2761" s="1933" t="str">
        <f>报表附注!$I$157</f>
        <v>期末账面余额</v>
      </c>
    </row>
    <row r="2762" spans="2:3">
      <c r="B2762" s="1928" t="str">
        <f>报表附注!E158</f>
        <v>账龄1年以内的应收利息：</v>
      </c>
      <c r="C2762" s="1936">
        <f>报表附注!I158</f>
        <v>0</v>
      </c>
    </row>
    <row r="2763" spans="2:3">
      <c r="B2763" s="1928" t="str">
        <f>报表附注!E159</f>
        <v>1定期存款利息</v>
      </c>
      <c r="C2763" s="1936">
        <f>报表附注!I159</f>
        <v>0</v>
      </c>
    </row>
    <row r="2764" spans="2:3">
      <c r="B2764" s="1928" t="str">
        <f>报表附注!E160</f>
        <v>2其他应收利息-集团外</v>
      </c>
      <c r="C2764" s="1936">
        <f>报表附注!I160</f>
        <v>0</v>
      </c>
    </row>
    <row r="2765" spans="2:3">
      <c r="B2765" s="1928" t="str">
        <f>报表附注!E161</f>
        <v>2其他应收利息-集团内</v>
      </c>
      <c r="C2765" s="1936">
        <f>报表附注!I161</f>
        <v>0</v>
      </c>
    </row>
    <row r="2766" spans="2:3">
      <c r="B2766" s="1928" t="str">
        <f>报表附注!E162</f>
        <v>3委托贷款应收利息</v>
      </c>
      <c r="C2766" s="1936">
        <f>报表附注!I162</f>
        <v>0</v>
      </c>
    </row>
    <row r="2767" spans="2:3">
      <c r="B2767" s="1928" t="str">
        <f>报表附注!E163</f>
        <v>4债券投资应收利息</v>
      </c>
      <c r="C2767" s="1936">
        <f>报表附注!I163</f>
        <v>0</v>
      </c>
    </row>
    <row r="2768" spans="2:3">
      <c r="B2768" s="1928" t="str">
        <f>报表附注!E164</f>
        <v>5理财产品计提应收利息</v>
      </c>
      <c r="C2768" s="1936">
        <f>报表附注!I164</f>
        <v>0</v>
      </c>
    </row>
    <row r="2769" spans="2:3">
      <c r="B2769" s="1928" t="str">
        <f>报表附注!E165</f>
        <v>项目7…….</v>
      </c>
      <c r="C2769" s="1936">
        <f>报表附注!I165</f>
        <v>0</v>
      </c>
    </row>
    <row r="2770" spans="2:3">
      <c r="B2770" s="1928" t="str">
        <f>报表附注!E166</f>
        <v>项目8…….</v>
      </c>
      <c r="C2770" s="1936">
        <f>报表附注!I166</f>
        <v>0</v>
      </c>
    </row>
    <row r="2771" spans="2:3">
      <c r="B2771" s="1928" t="str">
        <f>报表附注!E167</f>
        <v>项目9…….</v>
      </c>
      <c r="C2771" s="1936">
        <f>报表附注!I167</f>
        <v>0</v>
      </c>
    </row>
    <row r="2772" spans="2:3">
      <c r="B2772" s="1928" t="str">
        <f>报表附注!E168</f>
        <v>项目10…….</v>
      </c>
      <c r="C2772" s="1936">
        <f>报表附注!I168</f>
        <v>0</v>
      </c>
    </row>
    <row r="2773" spans="2:3">
      <c r="B2773" s="1928" t="str">
        <f>报表附注!E169</f>
        <v>账龄1年以上的应收利息:</v>
      </c>
      <c r="C2773" s="1936">
        <f>报表附注!I169</f>
        <v>0</v>
      </c>
    </row>
    <row r="2774" spans="2:3">
      <c r="B2774" s="1928" t="str">
        <f>报表附注!E170</f>
        <v>1定期存款利息</v>
      </c>
      <c r="C2774" s="1936">
        <f>报表附注!I170</f>
        <v>0</v>
      </c>
    </row>
    <row r="2775" spans="2:3">
      <c r="B2775" s="1928" t="str">
        <f>报表附注!E171</f>
        <v>2其他应收利息-集团外</v>
      </c>
      <c r="C2775" s="1936">
        <f>报表附注!I171</f>
        <v>0</v>
      </c>
    </row>
    <row r="2776" spans="2:3">
      <c r="B2776" s="1928" t="str">
        <f>报表附注!E172</f>
        <v>2其他应收利息-集团内</v>
      </c>
      <c r="C2776" s="1936">
        <f>报表附注!I172</f>
        <v>0</v>
      </c>
    </row>
    <row r="2777" spans="2:3">
      <c r="B2777" s="1928" t="str">
        <f>报表附注!E173</f>
        <v>3委托贷款应收利息</v>
      </c>
      <c r="C2777" s="1936">
        <f>报表附注!I173</f>
        <v>0</v>
      </c>
    </row>
    <row r="2778" spans="2:3">
      <c r="B2778" s="1928" t="str">
        <f>报表附注!E174</f>
        <v>4债券投资应收利息</v>
      </c>
      <c r="C2778" s="1936">
        <f>报表附注!I174</f>
        <v>0</v>
      </c>
    </row>
    <row r="2779" spans="2:3">
      <c r="B2779" s="1928" t="str">
        <f>报表附注!E175</f>
        <v>5理财产品计提应收利息</v>
      </c>
      <c r="C2779" s="1936">
        <f>报表附注!I175</f>
        <v>0</v>
      </c>
    </row>
    <row r="2780" spans="2:3">
      <c r="B2780" s="1928" t="str">
        <f>报表附注!E176</f>
        <v>项目7…….</v>
      </c>
      <c r="C2780" s="1936">
        <f>报表附注!I176</f>
        <v>0</v>
      </c>
    </row>
    <row r="2781" spans="2:3">
      <c r="B2781" s="1928" t="str">
        <f>报表附注!E177</f>
        <v>项目8…….</v>
      </c>
      <c r="C2781" s="1936">
        <f>报表附注!I177</f>
        <v>0</v>
      </c>
    </row>
    <row r="2782" spans="2:3">
      <c r="B2782" s="1928" t="str">
        <f>报表附注!E178</f>
        <v>项目9…….</v>
      </c>
      <c r="C2782" s="1936">
        <f>报表附注!I178</f>
        <v>0</v>
      </c>
    </row>
    <row r="2783" spans="2:3">
      <c r="B2783" s="1928" t="str">
        <f>报表附注!E179</f>
        <v>项目10…….</v>
      </c>
      <c r="C2783" s="1936">
        <f>报表附注!I179</f>
        <v>0</v>
      </c>
    </row>
    <row r="2784" spans="2:3">
      <c r="B2784" s="1939" t="str">
        <f>报表附注!E180</f>
        <v>合计</v>
      </c>
      <c r="C2784" s="1936">
        <f>报表附注!I180</f>
        <v>0</v>
      </c>
    </row>
    <row r="2786" spans="2:2">
      <c r="B2786" s="1933" t="str">
        <f>报表附注!$E$1582</f>
        <v>(二十六)其他非流动资产-批露表</v>
      </c>
    </row>
    <row r="2787" spans="2:2">
      <c r="B2787" s="1933" t="s">
        <v>515</v>
      </c>
    </row>
    <row r="2788" spans="2:3">
      <c r="B2788" s="1949" t="str">
        <f>报表附注!E1585</f>
        <v>预付工程款</v>
      </c>
      <c r="C2788" s="1991">
        <f>报表附注!G1585</f>
        <v>0</v>
      </c>
    </row>
    <row r="2789" spans="2:3">
      <c r="B2789" s="1949" t="str">
        <f>报表附注!E1586</f>
        <v>预付设备款</v>
      </c>
      <c r="C2789" s="1991">
        <f>报表附注!G1586</f>
        <v>0</v>
      </c>
    </row>
    <row r="2790" spans="2:3">
      <c r="B2790" s="1949">
        <f>报表附注!E1587</f>
        <v>0</v>
      </c>
      <c r="C2790" s="1991">
        <f>报表附注!G1587</f>
        <v>0</v>
      </c>
    </row>
    <row r="2791" spans="2:3">
      <c r="B2791" s="1949">
        <f>报表附注!E1588</f>
        <v>0</v>
      </c>
      <c r="C2791" s="1991">
        <f>报表附注!G1588</f>
        <v>0</v>
      </c>
    </row>
    <row r="2792" spans="2:3">
      <c r="B2792" s="1949">
        <f>报表附注!E1589</f>
        <v>0</v>
      </c>
      <c r="C2792" s="1991">
        <f>报表附注!G1589</f>
        <v>0</v>
      </c>
    </row>
    <row r="2793" spans="2:3">
      <c r="B2793" s="1949">
        <f>报表附注!E1590</f>
        <v>0</v>
      </c>
      <c r="C2793" s="1991">
        <f>报表附注!G1590</f>
        <v>0</v>
      </c>
    </row>
    <row r="2794" spans="2:3">
      <c r="B2794" s="1953" t="str">
        <f>报表附注!E1591</f>
        <v>合计</v>
      </c>
      <c r="C2794" s="1991">
        <f>报表附注!G1591</f>
        <v>0</v>
      </c>
    </row>
    <row r="2795" spans="2:2">
      <c r="B2795" s="1933" t="s">
        <v>670</v>
      </c>
    </row>
    <row r="2796" spans="2:3">
      <c r="B2796" s="1949" t="str">
        <f>报表附注!E1585</f>
        <v>预付工程款</v>
      </c>
      <c r="C2796" s="1936">
        <f>报表附注!H1585</f>
        <v>0</v>
      </c>
    </row>
    <row r="2797" spans="2:3">
      <c r="B2797" s="1949" t="str">
        <f>报表附注!E1586</f>
        <v>预付设备款</v>
      </c>
      <c r="C2797" s="1936">
        <f>报表附注!H1586</f>
        <v>0</v>
      </c>
    </row>
    <row r="2798" spans="2:3">
      <c r="B2798" s="1949">
        <f>报表附注!E1587</f>
        <v>0</v>
      </c>
      <c r="C2798" s="1936">
        <f>报表附注!H1587</f>
        <v>0</v>
      </c>
    </row>
    <row r="2799" spans="2:3">
      <c r="B2799" s="1949">
        <f>报表附注!E1588</f>
        <v>0</v>
      </c>
      <c r="C2799" s="1936">
        <f>报表附注!H1588</f>
        <v>0</v>
      </c>
    </row>
    <row r="2800" spans="2:3">
      <c r="B2800" s="1949">
        <f>报表附注!E1589</f>
        <v>0</v>
      </c>
      <c r="C2800" s="1936">
        <f>报表附注!H1589</f>
        <v>0</v>
      </c>
    </row>
    <row r="2801" spans="2:3">
      <c r="B2801" s="1949">
        <f>报表附注!E1590</f>
        <v>0</v>
      </c>
      <c r="C2801" s="1936">
        <f>报表附注!H1590</f>
        <v>0</v>
      </c>
    </row>
    <row r="2802" spans="2:3">
      <c r="B2802" s="1953" t="str">
        <f>报表附注!E1591</f>
        <v>合计</v>
      </c>
      <c r="C2802" s="1936">
        <f>报表附注!H1591</f>
        <v>0</v>
      </c>
    </row>
    <row r="2804" spans="2:2">
      <c r="B2804" s="1933" t="str">
        <f>报表附注!$E$2037</f>
        <v>（三十八）应付股利-披露表</v>
      </c>
    </row>
    <row r="2805" spans="2:3">
      <c r="B2805" s="1988" t="str">
        <f>报表附注!E2039</f>
        <v>主要投资者名称</v>
      </c>
      <c r="C2805" s="1990" t="str">
        <f>报表附注!E2039</f>
        <v>主要投资者名称</v>
      </c>
    </row>
    <row r="2806" spans="2:3">
      <c r="B2806" s="1988">
        <f>报表附注!E2040</f>
        <v>0</v>
      </c>
      <c r="C2806" s="1936">
        <f>报表附注!E2040</f>
        <v>0</v>
      </c>
    </row>
    <row r="2807" spans="2:3">
      <c r="B2807" s="1988">
        <f>报表附注!E2041</f>
        <v>0</v>
      </c>
      <c r="C2807" s="1936">
        <f>报表附注!E2041</f>
        <v>0</v>
      </c>
    </row>
    <row r="2808" spans="2:3">
      <c r="B2808" s="1988">
        <f>报表附注!E2042</f>
        <v>0</v>
      </c>
      <c r="C2808" s="1936">
        <f>报表附注!E2042</f>
        <v>0</v>
      </c>
    </row>
    <row r="2809" spans="2:3">
      <c r="B2809" s="1988">
        <f>报表附注!E2043</f>
        <v>0</v>
      </c>
      <c r="C2809" s="1936">
        <f>报表附注!E2043</f>
        <v>0</v>
      </c>
    </row>
    <row r="2810" spans="2:3">
      <c r="B2810" s="1988">
        <f>报表附注!E2044</f>
        <v>0</v>
      </c>
      <c r="C2810" s="1936">
        <f>报表附注!E2044</f>
        <v>0</v>
      </c>
    </row>
    <row r="2811" spans="2:3">
      <c r="B2811" s="1988">
        <f>报表附注!E2045</f>
        <v>0</v>
      </c>
      <c r="C2811" s="1936">
        <f>报表附注!E2045</f>
        <v>0</v>
      </c>
    </row>
    <row r="2812" spans="2:3">
      <c r="B2812" s="1988">
        <f>报表附注!E2046</f>
        <v>0</v>
      </c>
      <c r="C2812" s="1936">
        <f>报表附注!E2046</f>
        <v>0</v>
      </c>
    </row>
    <row r="2813" spans="2:3">
      <c r="B2813" s="1988">
        <f>报表附注!E2047</f>
        <v>0</v>
      </c>
      <c r="C2813" s="1936">
        <f>报表附注!E2047</f>
        <v>0</v>
      </c>
    </row>
    <row r="2814" spans="2:3">
      <c r="B2814" s="1988">
        <f>报表附注!E2048</f>
        <v>0</v>
      </c>
      <c r="C2814" s="1936">
        <f>报表附注!E2048</f>
        <v>0</v>
      </c>
    </row>
    <row r="2815" spans="2:3">
      <c r="B2815" s="1988">
        <f>报表附注!E2049</f>
        <v>0</v>
      </c>
      <c r="C2815" s="1936">
        <f>报表附注!E2049</f>
        <v>0</v>
      </c>
    </row>
    <row r="2816" spans="2:3">
      <c r="B2816" s="1988">
        <f>报表附注!E2050</f>
        <v>0</v>
      </c>
      <c r="C2816" s="1936">
        <f>报表附注!E2050</f>
        <v>0</v>
      </c>
    </row>
    <row r="2817" spans="2:3">
      <c r="B2817" s="1988">
        <f>报表附注!E2051</f>
        <v>0</v>
      </c>
      <c r="C2817" s="1936">
        <f>报表附注!E2051</f>
        <v>0</v>
      </c>
    </row>
    <row r="2818" spans="2:3">
      <c r="B2818" s="1988">
        <f>报表附注!E2052</f>
        <v>0</v>
      </c>
      <c r="C2818" s="1936">
        <f>报表附注!E2052</f>
        <v>0</v>
      </c>
    </row>
    <row r="2819" spans="2:3">
      <c r="B2819" s="1988">
        <f>报表附注!E2053</f>
        <v>0</v>
      </c>
      <c r="C2819" s="1936">
        <f>报表附注!E2053</f>
        <v>0</v>
      </c>
    </row>
    <row r="2820" spans="2:3">
      <c r="B2820" s="1988">
        <f>报表附注!E2054</f>
        <v>0</v>
      </c>
      <c r="C2820" s="1936">
        <f>报表附注!E2054</f>
        <v>0</v>
      </c>
    </row>
    <row r="2821" spans="2:3">
      <c r="B2821" s="1988">
        <f>报表附注!E2055</f>
        <v>0</v>
      </c>
      <c r="C2821" s="1936">
        <f>报表附注!E2055</f>
        <v>0</v>
      </c>
    </row>
    <row r="2822" spans="2:3">
      <c r="B2822" s="1988">
        <f>报表附注!E2056</f>
        <v>0</v>
      </c>
      <c r="C2822" s="1936">
        <f>报表附注!E2056</f>
        <v>0</v>
      </c>
    </row>
    <row r="2823" spans="2:3">
      <c r="B2823" s="1989" t="str">
        <f>报表附注!E2057</f>
        <v>合计</v>
      </c>
      <c r="C2823" s="1964"/>
    </row>
    <row r="2824" spans="2:2">
      <c r="B2824" s="1928" t="str">
        <f>报表附注!F2039</f>
        <v>期末账面余额</v>
      </c>
    </row>
    <row r="2825" spans="2:3">
      <c r="B2825" s="1949">
        <f>报表附注!E2040</f>
        <v>0</v>
      </c>
      <c r="C2825" s="1936">
        <f>报表附注!F2040</f>
        <v>0</v>
      </c>
    </row>
    <row r="2826" spans="2:3">
      <c r="B2826" s="1949">
        <f>报表附注!E2041</f>
        <v>0</v>
      </c>
      <c r="C2826" s="1936">
        <f>报表附注!F2041</f>
        <v>0</v>
      </c>
    </row>
    <row r="2827" spans="2:3">
      <c r="B2827" s="1949">
        <f>报表附注!E2042</f>
        <v>0</v>
      </c>
      <c r="C2827" s="1936">
        <f>报表附注!F2042</f>
        <v>0</v>
      </c>
    </row>
    <row r="2828" spans="2:3">
      <c r="B2828" s="1949">
        <f>报表附注!E2043</f>
        <v>0</v>
      </c>
      <c r="C2828" s="1936">
        <f>报表附注!F2043</f>
        <v>0</v>
      </c>
    </row>
    <row r="2829" spans="2:3">
      <c r="B2829" s="1949">
        <f>报表附注!E2044</f>
        <v>0</v>
      </c>
      <c r="C2829" s="1936">
        <f>报表附注!F2044</f>
        <v>0</v>
      </c>
    </row>
    <row r="2830" spans="2:3">
      <c r="B2830" s="1949">
        <f>报表附注!E2045</f>
        <v>0</v>
      </c>
      <c r="C2830" s="1936">
        <f>报表附注!F2045</f>
        <v>0</v>
      </c>
    </row>
    <row r="2831" spans="2:3">
      <c r="B2831" s="1949">
        <f>报表附注!E2046</f>
        <v>0</v>
      </c>
      <c r="C2831" s="1936">
        <f>报表附注!F2046</f>
        <v>0</v>
      </c>
    </row>
    <row r="2832" spans="2:3">
      <c r="B2832" s="1949">
        <f>报表附注!E2047</f>
        <v>0</v>
      </c>
      <c r="C2832" s="1936">
        <f>报表附注!F2047</f>
        <v>0</v>
      </c>
    </row>
    <row r="2833" spans="2:3">
      <c r="B2833" s="1949">
        <f>报表附注!E2048</f>
        <v>0</v>
      </c>
      <c r="C2833" s="1936">
        <f>报表附注!F2048</f>
        <v>0</v>
      </c>
    </row>
    <row r="2834" spans="2:3">
      <c r="B2834" s="1949">
        <f>报表附注!E2049</f>
        <v>0</v>
      </c>
      <c r="C2834" s="1936">
        <f>报表附注!F2049</f>
        <v>0</v>
      </c>
    </row>
    <row r="2835" spans="2:3">
      <c r="B2835" s="1949">
        <f>报表附注!E2050</f>
        <v>0</v>
      </c>
      <c r="C2835" s="1936">
        <f>报表附注!F2050</f>
        <v>0</v>
      </c>
    </row>
    <row r="2836" spans="2:3">
      <c r="B2836" s="1949">
        <f>报表附注!E2051</f>
        <v>0</v>
      </c>
      <c r="C2836" s="1936">
        <f>报表附注!F2051</f>
        <v>0</v>
      </c>
    </row>
    <row r="2837" spans="2:3">
      <c r="B2837" s="1949">
        <f>报表附注!E2052</f>
        <v>0</v>
      </c>
      <c r="C2837" s="1936">
        <f>报表附注!F2052</f>
        <v>0</v>
      </c>
    </row>
    <row r="2838" spans="2:3">
      <c r="B2838" s="1949">
        <f>报表附注!E2053</f>
        <v>0</v>
      </c>
      <c r="C2838" s="1936">
        <f>报表附注!F2053</f>
        <v>0</v>
      </c>
    </row>
    <row r="2839" spans="2:3">
      <c r="B2839" s="1949">
        <f>报表附注!E2054</f>
        <v>0</v>
      </c>
      <c r="C2839" s="1936">
        <f>报表附注!F2054</f>
        <v>0</v>
      </c>
    </row>
    <row r="2840" spans="2:3">
      <c r="B2840" s="1949">
        <f>报表附注!E2055</f>
        <v>0</v>
      </c>
      <c r="C2840" s="1936">
        <f>报表附注!F2055</f>
        <v>0</v>
      </c>
    </row>
    <row r="2841" spans="2:3">
      <c r="B2841" s="1949">
        <f>报表附注!E2056</f>
        <v>0</v>
      </c>
      <c r="C2841" s="1936">
        <f>报表附注!F2056</f>
        <v>0</v>
      </c>
    </row>
    <row r="2842" spans="2:3">
      <c r="B2842" s="1953" t="str">
        <f>报表附注!E2057</f>
        <v>合计</v>
      </c>
      <c r="C2842" s="1936">
        <f>报表附注!F2057</f>
        <v>0</v>
      </c>
    </row>
    <row r="2843" spans="2:2">
      <c r="B2843" s="1949" t="s">
        <v>1579</v>
      </c>
    </row>
    <row r="2844" spans="2:3">
      <c r="B2844" s="1949">
        <f>报表附注!E2040</f>
        <v>0</v>
      </c>
      <c r="C2844" s="1936">
        <f>报表附注!G2040</f>
        <v>0</v>
      </c>
    </row>
    <row r="2845" spans="2:3">
      <c r="B2845" s="1949">
        <f>报表附注!E2041</f>
        <v>0</v>
      </c>
      <c r="C2845" s="1936">
        <f>报表附注!G2041</f>
        <v>0</v>
      </c>
    </row>
    <row r="2846" spans="2:3">
      <c r="B2846" s="1949">
        <f>报表附注!E2042</f>
        <v>0</v>
      </c>
      <c r="C2846" s="1936">
        <f>报表附注!G2042</f>
        <v>0</v>
      </c>
    </row>
    <row r="2847" spans="2:3">
      <c r="B2847" s="1949">
        <f>报表附注!E2043</f>
        <v>0</v>
      </c>
      <c r="C2847" s="1936">
        <f>报表附注!G2043</f>
        <v>0</v>
      </c>
    </row>
    <row r="2848" spans="2:3">
      <c r="B2848" s="1949">
        <f>报表附注!E2044</f>
        <v>0</v>
      </c>
      <c r="C2848" s="1936">
        <f>报表附注!G2044</f>
        <v>0</v>
      </c>
    </row>
    <row r="2849" spans="2:3">
      <c r="B2849" s="1949">
        <f>报表附注!E2045</f>
        <v>0</v>
      </c>
      <c r="C2849" s="1936">
        <f>报表附注!G2045</f>
        <v>0</v>
      </c>
    </row>
    <row r="2850" spans="2:3">
      <c r="B2850" s="1949">
        <f>报表附注!E2046</f>
        <v>0</v>
      </c>
      <c r="C2850" s="1936">
        <f>报表附注!G2046</f>
        <v>0</v>
      </c>
    </row>
    <row r="2851" spans="2:3">
      <c r="B2851" s="1949">
        <f>报表附注!E2047</f>
        <v>0</v>
      </c>
      <c r="C2851" s="1936">
        <f>报表附注!G2047</f>
        <v>0</v>
      </c>
    </row>
    <row r="2852" spans="2:3">
      <c r="B2852" s="1949">
        <f>报表附注!E2048</f>
        <v>0</v>
      </c>
      <c r="C2852" s="1936">
        <f>报表附注!G2048</f>
        <v>0</v>
      </c>
    </row>
    <row r="2853" spans="2:3">
      <c r="B2853" s="1949">
        <f>报表附注!E2049</f>
        <v>0</v>
      </c>
      <c r="C2853" s="1936">
        <f>报表附注!G2049</f>
        <v>0</v>
      </c>
    </row>
    <row r="2854" spans="2:3">
      <c r="B2854" s="1949">
        <f>报表附注!E2050</f>
        <v>0</v>
      </c>
      <c r="C2854" s="1936">
        <f>报表附注!G2050</f>
        <v>0</v>
      </c>
    </row>
    <row r="2855" spans="2:3">
      <c r="B2855" s="1949">
        <f>报表附注!E2051</f>
        <v>0</v>
      </c>
      <c r="C2855" s="1936">
        <f>报表附注!G2051</f>
        <v>0</v>
      </c>
    </row>
    <row r="2856" spans="2:3">
      <c r="B2856" s="1949">
        <f>报表附注!E2052</f>
        <v>0</v>
      </c>
      <c r="C2856" s="1936">
        <f>报表附注!G2052</f>
        <v>0</v>
      </c>
    </row>
    <row r="2857" spans="2:3">
      <c r="B2857" s="1949">
        <f>报表附注!E2053</f>
        <v>0</v>
      </c>
      <c r="C2857" s="1936">
        <f>报表附注!G2053</f>
        <v>0</v>
      </c>
    </row>
    <row r="2858" spans="2:3">
      <c r="B2858" s="1949">
        <f>报表附注!E2054</f>
        <v>0</v>
      </c>
      <c r="C2858" s="1936">
        <f>报表附注!G2054</f>
        <v>0</v>
      </c>
    </row>
    <row r="2859" spans="2:3">
      <c r="B2859" s="1949">
        <f>报表附注!E2055</f>
        <v>0</v>
      </c>
      <c r="C2859" s="1936">
        <f>报表附注!G2055</f>
        <v>0</v>
      </c>
    </row>
    <row r="2860" spans="2:3">
      <c r="B2860" s="1949">
        <f>报表附注!E2056</f>
        <v>0</v>
      </c>
      <c r="C2860" s="1936">
        <f>报表附注!G2056</f>
        <v>0</v>
      </c>
    </row>
    <row r="2861" spans="2:3">
      <c r="B2861" s="1953" t="str">
        <f>报表附注!E2057</f>
        <v>合计</v>
      </c>
      <c r="C2861" s="1936">
        <f>报表附注!G2057</f>
        <v>0</v>
      </c>
    </row>
    <row r="2863" spans="2:2">
      <c r="B2863" s="1933" t="str">
        <f>报表附注!$E$2998</f>
        <v>（六十三）所得税费用-披露表</v>
      </c>
    </row>
    <row r="2864" spans="2:2">
      <c r="B2864" s="1933" t="str">
        <f>报表附注!$F$2999</f>
        <v>本期实际数</v>
      </c>
    </row>
    <row r="2865" spans="2:3">
      <c r="B2865" s="1939" t="str">
        <f>报表附注!E3000</f>
        <v>所得税费用</v>
      </c>
      <c r="C2865" s="1936">
        <f>报表附注!F3000</f>
        <v>0</v>
      </c>
    </row>
    <row r="2866" spans="2:3">
      <c r="B2866" s="1928" t="str">
        <f>报表附注!E3001</f>
        <v>其中：当期所得税</v>
      </c>
      <c r="C2866" s="1936">
        <f>报表附注!F3001</f>
        <v>0</v>
      </c>
    </row>
    <row r="2867" spans="2:3">
      <c r="B2867" s="1928" t="str">
        <f>报表附注!E3002</f>
        <v>      递延所得税</v>
      </c>
      <c r="C2867" s="1936">
        <f>报表附注!F3002</f>
        <v>0</v>
      </c>
    </row>
    <row r="2868" spans="2:3">
      <c r="B2868" s="1928" t="str">
        <f>报表附注!E3003</f>
        <v>报表项目</v>
      </c>
      <c r="C2868" s="1990">
        <f>报表附注!F3003</f>
        <v>0</v>
      </c>
    </row>
    <row r="2869" spans="2:3">
      <c r="B2869" s="1928" t="str">
        <f>报表附注!E3004</f>
        <v>差异</v>
      </c>
      <c r="C2869" s="1990">
        <f>报表附注!F3004</f>
        <v>0</v>
      </c>
    </row>
    <row r="2871" spans="2:2">
      <c r="B2871" s="1992" t="str">
        <f>报表附注!$F$3009</f>
        <v>期未金额</v>
      </c>
    </row>
    <row r="2872" spans="2:3">
      <c r="B2872" s="1928" t="str">
        <f>报表附注!E3010</f>
        <v>一、利润总额</v>
      </c>
      <c r="C2872" s="1936">
        <f>报表附注!F3010</f>
        <v>0</v>
      </c>
    </row>
    <row r="2873" spans="2:3">
      <c r="B2873" s="1928" t="str">
        <f>报表附注!E3011</f>
        <v>二、调整事项：</v>
      </c>
      <c r="C2873" s="1936">
        <f>报表附注!F3011</f>
        <v>0</v>
      </c>
    </row>
    <row r="2874" spans="2:3">
      <c r="B2874" s="1928" t="str">
        <f>报表附注!E3012</f>
        <v>1、归属于合营企业和联营企业的损益</v>
      </c>
      <c r="C2874" s="1936">
        <f>报表附注!F3012</f>
        <v>0</v>
      </c>
    </row>
    <row r="2875" spans="2:3">
      <c r="B2875" s="1928" t="str">
        <f>报表附注!E3013</f>
        <v>2、无须纳税的收入:</v>
      </c>
      <c r="C2875" s="1936">
        <f>报表附注!F3013</f>
        <v>0</v>
      </c>
    </row>
    <row r="2876" spans="2:3">
      <c r="B2876" s="1928" t="str">
        <f>报表附注!E3014</f>
        <v>其中：项目1-收到政府补助</v>
      </c>
      <c r="C2876" s="1936">
        <f>报表附注!F3014</f>
        <v>0</v>
      </c>
    </row>
    <row r="2877" spans="2:3">
      <c r="B2877" s="1928" t="str">
        <f>报表附注!E3015</f>
        <v>            项目2-成本法-子公司分红</v>
      </c>
      <c r="C2877" s="1936">
        <f>报表附注!F3015</f>
        <v>0</v>
      </c>
    </row>
    <row r="2878" spans="2:3">
      <c r="B2878" s="1928" t="str">
        <f>报表附注!E3016</f>
        <v>            项目3-其他投资分红</v>
      </c>
      <c r="C2878" s="1936">
        <f>报表附注!F3016</f>
        <v>0</v>
      </c>
    </row>
    <row r="2879" spans="2:3">
      <c r="B2879" s="1928" t="str">
        <f>报表附注!E3017</f>
        <v>            项目4-</v>
      </c>
      <c r="C2879" s="1936">
        <f>报表附注!F3017</f>
        <v>0</v>
      </c>
    </row>
    <row r="2880" spans="2:3">
      <c r="B2880" s="1928" t="str">
        <f>报表附注!E3018</f>
        <v>            项目5-</v>
      </c>
      <c r="C2880" s="1936">
        <f>报表附注!F3018</f>
        <v>0</v>
      </c>
    </row>
    <row r="2881" spans="2:3">
      <c r="B2881" s="1928" t="str">
        <f>报表附注!E3019</f>
        <v>3、不可抵扣的费用:</v>
      </c>
      <c r="C2881" s="1936">
        <f>报表附注!F3019</f>
        <v>0</v>
      </c>
    </row>
    <row r="2882" spans="2:3">
      <c r="B2882" s="1928" t="str">
        <f>报表附注!E3020</f>
        <v>其中：项目1-超标准业务费</v>
      </c>
      <c r="C2882" s="1936">
        <f>报表附注!F3020</f>
        <v>0</v>
      </c>
    </row>
    <row r="2883" spans="2:3">
      <c r="B2883" s="1928" t="str">
        <f>报表附注!E3021</f>
        <v>            项目2-财产损失</v>
      </c>
      <c r="C2883" s="1936">
        <f>报表附注!F3021</f>
        <v>0</v>
      </c>
    </row>
    <row r="2884" spans="2:3">
      <c r="B2884" s="1928" t="str">
        <f>报表附注!E3022</f>
        <v>            项目3-其他</v>
      </c>
      <c r="C2884" s="1936">
        <f>报表附注!F3022</f>
        <v>0</v>
      </c>
    </row>
    <row r="2885" spans="2:3">
      <c r="B2885" s="1928" t="str">
        <f>报表附注!E3023</f>
        <v>            项目4-罚款</v>
      </c>
      <c r="C2885" s="1936">
        <f>报表附注!F3023</f>
        <v>0</v>
      </c>
    </row>
    <row r="2886" spans="2:3">
      <c r="B2886" s="1928" t="str">
        <f>报表附注!E3024</f>
        <v>            项目5-资产增值调整折旧</v>
      </c>
      <c r="C2886" s="1936">
        <f>报表附注!F3024</f>
        <v>0</v>
      </c>
    </row>
    <row r="2887" spans="2:3">
      <c r="B2887" s="1928" t="str">
        <f>报表附注!E3025</f>
        <v>4、利用以前年度可抵扣亏损</v>
      </c>
      <c r="C2887" s="1936">
        <f>报表附注!F3025</f>
        <v>0</v>
      </c>
    </row>
    <row r="2888" spans="2:3">
      <c r="B2888" s="1928" t="str">
        <f>报表附注!E3026</f>
        <v>5、加计扣除的技术开发费用</v>
      </c>
      <c r="C2888" s="1936">
        <f>报表附注!F3026</f>
        <v>0</v>
      </c>
    </row>
    <row r="2889" spans="2:3">
      <c r="B2889" s="1935" t="str">
        <f>报表附注!E3027</f>
        <v>     加计扣除的安置残疾人员所支付的工资</v>
      </c>
      <c r="C2889" s="1936">
        <f>报表附注!F3027</f>
        <v>0</v>
      </c>
    </row>
    <row r="2890" spans="2:3">
      <c r="B2890" s="1928" t="str">
        <f>报表附注!E3028</f>
        <v>6、抵扣应纳税所得额</v>
      </c>
      <c r="C2890" s="1936">
        <f>报表附注!F3028</f>
        <v>0</v>
      </c>
    </row>
    <row r="2891" spans="2:3">
      <c r="B2891" s="1928" t="str">
        <f>报表附注!E3029</f>
        <v>其中：项目1-</v>
      </c>
      <c r="C2891" s="1936">
        <f>报表附注!F3029</f>
        <v>0</v>
      </c>
    </row>
    <row r="2892" spans="2:3">
      <c r="B2892" s="1928" t="str">
        <f>报表附注!E3030</f>
        <v>      项目2-</v>
      </c>
      <c r="C2892" s="1936">
        <f>报表附注!F3030</f>
        <v>0</v>
      </c>
    </row>
    <row r="2893" spans="2:3">
      <c r="B2893" s="1928" t="str">
        <f>报表附注!E3031</f>
        <v>      项目3-</v>
      </c>
      <c r="C2893" s="1936">
        <f>报表附注!F3031</f>
        <v>0</v>
      </c>
    </row>
    <row r="2894" spans="2:3">
      <c r="B2894" s="1928" t="str">
        <f>报表附注!E3032</f>
        <v>7、其他调整</v>
      </c>
      <c r="C2894" s="1936">
        <f>报表附注!F3032</f>
        <v>0</v>
      </c>
    </row>
    <row r="2895" spans="2:3">
      <c r="B2895" s="1928" t="str">
        <f>报表附注!E3033</f>
        <v>其中：1-坏账损失</v>
      </c>
      <c r="C2895" s="1936">
        <f>报表附注!F3033</f>
        <v>0</v>
      </c>
    </row>
    <row r="2896" spans="2:3">
      <c r="B2896" s="1928" t="str">
        <f>报表附注!E3034</f>
        <v>            2-存货跌价损失</v>
      </c>
      <c r="C2896" s="1936">
        <f>报表附注!F3034</f>
        <v>0</v>
      </c>
    </row>
    <row r="2897" spans="2:3">
      <c r="B2897" s="1928" t="str">
        <f>报表附注!E3035</f>
        <v>　 　3-已确认递延的存货跌价准备转销（负号填列“-”）</v>
      </c>
      <c r="C2897" s="1936">
        <f>报表附注!F3035</f>
        <v>0</v>
      </c>
    </row>
    <row r="2898" spans="2:3">
      <c r="B2898" s="1928" t="str">
        <f>报表附注!E3036</f>
        <v>      项目4-</v>
      </c>
      <c r="C2898" s="1936">
        <f>报表附注!F3036</f>
        <v>0</v>
      </c>
    </row>
    <row r="2899" spans="2:3">
      <c r="B2899" s="1928" t="str">
        <f>报表附注!E3037</f>
        <v>三、应纳税所得额</v>
      </c>
      <c r="C2899" s="1936">
        <f>报表附注!F3037</f>
        <v>0</v>
      </c>
    </row>
    <row r="2900" spans="2:3">
      <c r="B2900" s="1928" t="str">
        <f>报表附注!E3038</f>
        <v>四、当期适用税率</v>
      </c>
      <c r="C2900" s="1936">
        <f>报表附注!F3038</f>
        <v>0.25</v>
      </c>
    </row>
    <row r="2901" spans="2:3">
      <c r="B2901" s="1928" t="str">
        <f>报表附注!E3039</f>
        <v>五、按法定(或适用)税率计算的所得税费用</v>
      </c>
      <c r="C2901" s="1936">
        <f>报表附注!F3039</f>
        <v>0</v>
      </c>
    </row>
    <row r="2902" spans="2:3">
      <c r="B2902" s="1928" t="str">
        <f>报表附注!E3040</f>
        <v>六、对以前期间当期所得税的调整</v>
      </c>
      <c r="C2902" s="1936">
        <f>报表附注!F3040</f>
        <v>0</v>
      </c>
    </row>
    <row r="2903" spans="2:3">
      <c r="B2903" s="1928" t="str">
        <f>报表附注!E3041</f>
        <v>七、调整后当期所得税费用</v>
      </c>
      <c r="C2903" s="1936">
        <f>报表附注!F3041</f>
        <v>0</v>
      </c>
    </row>
    <row r="2904" spans="2:3">
      <c r="B2904" s="1928" t="str">
        <f>报表附注!E3042</f>
        <v>八、递延所得税费用</v>
      </c>
      <c r="C2904" s="1936">
        <f>报表附注!F3042</f>
        <v>0</v>
      </c>
    </row>
    <row r="2905" spans="2:3">
      <c r="B2905" s="1928" t="str">
        <f>报表附注!E3043</f>
        <v>1、期初确认递延所得税使用税率</v>
      </c>
      <c r="C2905" s="1936">
        <f>报表附注!F3043</f>
        <v>0</v>
      </c>
    </row>
    <row r="2906" spans="2:3">
      <c r="B2906" s="1928" t="str">
        <f>报表附注!E3044</f>
        <v>2、当期确认递延所得税使用税率</v>
      </c>
      <c r="C2906" s="1936">
        <f>报表附注!F3044</f>
        <v>0.25</v>
      </c>
    </row>
    <row r="2907" spans="2:3">
      <c r="B2907" s="1928" t="str">
        <f>报表附注!E3045</f>
        <v>3、税率变动对期初递延所得税余额的影响</v>
      </c>
      <c r="C2907" s="1936">
        <f>报表附注!F3045</f>
        <v>0</v>
      </c>
    </row>
    <row r="2908" spans="2:3">
      <c r="B2908" s="1928" t="str">
        <f>报表附注!E3046</f>
        <v>①期初确认的可抵扣暂时性差异</v>
      </c>
      <c r="C2908" s="1936">
        <f>报表附注!F3046</f>
        <v>0</v>
      </c>
    </row>
    <row r="2909" spans="2:3">
      <c r="B2909" s="1928" t="str">
        <f>报表附注!E3047</f>
        <v>其中：项目1-</v>
      </c>
      <c r="C2909" s="1936">
        <f>报表附注!F3047</f>
        <v>0</v>
      </c>
    </row>
    <row r="2910" spans="2:3">
      <c r="B2910" s="1928" t="str">
        <f>报表附注!E3048</f>
        <v>      项目2-</v>
      </c>
      <c r="C2910" s="1936">
        <f>报表附注!F3048</f>
        <v>0</v>
      </c>
    </row>
    <row r="2911" spans="2:3">
      <c r="B2911" s="1928" t="str">
        <f>报表附注!E3049</f>
        <v>      项目3-</v>
      </c>
      <c r="C2911" s="1936">
        <f>报表附注!F3049</f>
        <v>0</v>
      </c>
    </row>
    <row r="2912" spans="2:3">
      <c r="B2912" s="1928" t="str">
        <f>报表附注!E3050</f>
        <v>      项目4-</v>
      </c>
      <c r="C2912" s="1936">
        <f>报表附注!F3050</f>
        <v>0</v>
      </c>
    </row>
    <row r="2913" spans="2:3">
      <c r="B2913" s="1928" t="str">
        <f>报表附注!E3051</f>
        <v>②已确认可抵扣暂时性差异转销</v>
      </c>
      <c r="C2913" s="1936">
        <f>报表附注!F3051</f>
        <v>0</v>
      </c>
    </row>
    <row r="2914" spans="2:3">
      <c r="B2914" s="1928" t="str">
        <f>报表附注!E3052</f>
        <v>4、未确认的可抵扣暂时性差异的影响和可抵扣亏损</v>
      </c>
      <c r="C2914" s="1936">
        <f>报表附注!F3052</f>
        <v>0</v>
      </c>
    </row>
    <row r="2915" spans="2:3">
      <c r="B2915" s="1928" t="str">
        <f>报表附注!E3053</f>
        <v>①未确认的可抵扣暂时性差异</v>
      </c>
      <c r="C2915" s="1936">
        <f>报表附注!F3053</f>
        <v>0</v>
      </c>
    </row>
    <row r="2916" spans="2:3">
      <c r="B2916" s="1928" t="str">
        <f>报表附注!E3054</f>
        <v>其中：1-坏账损失</v>
      </c>
      <c r="C2916" s="1936">
        <f>报表附注!F3054</f>
        <v>0</v>
      </c>
    </row>
    <row r="2917" spans="2:3">
      <c r="B2917" s="1928" t="str">
        <f>报表附注!E3055</f>
        <v>            2-存货跌价损失</v>
      </c>
      <c r="C2917" s="1936">
        <f>报表附注!F3055</f>
        <v>0</v>
      </c>
    </row>
    <row r="2918" spans="2:3">
      <c r="B2918" s="1928" t="str">
        <f>报表附注!E3056</f>
        <v>      项目3-</v>
      </c>
      <c r="C2918" s="1936">
        <f>报表附注!F3056</f>
        <v>0</v>
      </c>
    </row>
    <row r="2919" spans="2:3">
      <c r="B2919" s="1928" t="str">
        <f>报表附注!E3057</f>
        <v>      项目4-</v>
      </c>
      <c r="C2919" s="1936">
        <f>报表附注!F3057</f>
        <v>0</v>
      </c>
    </row>
    <row r="2920" spans="2:3">
      <c r="B2920" s="1928" t="str">
        <f>报表附注!E3058</f>
        <v>      项目5-</v>
      </c>
      <c r="C2920" s="1936">
        <f>报表附注!F3058</f>
        <v>0</v>
      </c>
    </row>
    <row r="2921" spans="2:3">
      <c r="B2921" s="1928" t="str">
        <f>报表附注!E3059</f>
        <v>②未确认可抵扣亏损</v>
      </c>
      <c r="C2921" s="1936">
        <f>报表附注!F3059</f>
        <v>0</v>
      </c>
    </row>
    <row r="2922" spans="2:3">
      <c r="B2922" s="1933" t="str">
        <f>报表附注!E3060</f>
        <v>附注批露表：</v>
      </c>
      <c r="C2922" s="1990">
        <f>报表附注!F3060</f>
        <v>0</v>
      </c>
    </row>
    <row r="2923" spans="2:3">
      <c r="B2923" s="1928" t="str">
        <f>报表附注!E3061</f>
        <v>项目</v>
      </c>
      <c r="C2923" s="1990" t="str">
        <f>报表附注!F3061</f>
        <v>期未金额</v>
      </c>
    </row>
    <row r="2924" spans="2:3">
      <c r="B2924" s="1928" t="str">
        <f>报表附注!E3062</f>
        <v>利润总额</v>
      </c>
      <c r="C2924" s="1936">
        <f>报表附注!F3062</f>
        <v>0</v>
      </c>
    </row>
    <row r="2925" spans="2:3">
      <c r="B2925" s="1928" t="str">
        <f>报表附注!E3063</f>
        <v>按法定(或适用)税率计算的所得税费用</v>
      </c>
      <c r="C2925" s="1936">
        <f>报表附注!F3063</f>
        <v>0</v>
      </c>
    </row>
    <row r="2926" spans="2:3">
      <c r="B2926" s="1928" t="str">
        <f>报表附注!E3064</f>
        <v>子公司适用不同税率的影响（合并用）</v>
      </c>
      <c r="C2926" s="1936">
        <f>报表附注!F3064</f>
        <v>0</v>
      </c>
    </row>
    <row r="2927" spans="2:3">
      <c r="B2927" s="1928" t="str">
        <f>报表附注!E3065</f>
        <v>核定征收的子公司的纳税影响</v>
      </c>
      <c r="C2927" s="1936">
        <f>报表附注!F3065</f>
        <v>0</v>
      </c>
    </row>
    <row r="2928" spans="2:3">
      <c r="B2928" s="1928" t="str">
        <f>报表附注!E3066</f>
        <v>对以前期间当期所得税的调整</v>
      </c>
      <c r="C2928" s="1936">
        <f>报表附注!F3066</f>
        <v>0</v>
      </c>
    </row>
    <row r="2929" spans="2:3">
      <c r="B2929" s="1928" t="str">
        <f>报表附注!E3067</f>
        <v>归属于合营企业和联营企业的损益</v>
      </c>
      <c r="C2929" s="1936">
        <f>报表附注!F3067</f>
        <v>0</v>
      </c>
    </row>
    <row r="2930" spans="2:3">
      <c r="B2930" s="1928" t="str">
        <f>报表附注!E3068</f>
        <v>无须纳税的收入</v>
      </c>
      <c r="C2930" s="1936">
        <f>报表附注!F3068</f>
        <v>0</v>
      </c>
    </row>
    <row r="2931" spans="2:3">
      <c r="B2931" s="1928" t="str">
        <f>报表附注!E3069</f>
        <v>不可抵扣的费用</v>
      </c>
      <c r="C2931" s="1936">
        <f>报表附注!F3069</f>
        <v>0</v>
      </c>
    </row>
    <row r="2932" spans="2:3">
      <c r="B2932" s="1928" t="str">
        <f>报表附注!E3070</f>
        <v>加计扣除的技术开发费用</v>
      </c>
      <c r="C2932" s="1936">
        <f>报表附注!F3070</f>
        <v>0</v>
      </c>
    </row>
    <row r="2933" spans="2:3">
      <c r="B2933" s="1928" t="str">
        <f>报表附注!E3072</f>
        <v>利用以前年度可抵扣亏损</v>
      </c>
      <c r="C2933" s="1936">
        <f>报表附注!F3072</f>
        <v>0</v>
      </c>
    </row>
    <row r="2934" spans="2:3">
      <c r="B2934" s="1928" t="str">
        <f>报表附注!E3073</f>
        <v>其他调整影响</v>
      </c>
      <c r="C2934" s="1936">
        <f>报表附注!F3073</f>
        <v>0</v>
      </c>
    </row>
    <row r="2935" spans="2:3">
      <c r="B2935" s="1928" t="str">
        <f>报表附注!E3074</f>
        <v>税率变动对期初递延所得税余额的影响</v>
      </c>
      <c r="C2935" s="1936">
        <f>报表附注!F3074</f>
        <v>0</v>
      </c>
    </row>
    <row r="2936" spans="2:3">
      <c r="B2936" s="1928" t="str">
        <f>报表附注!E3075</f>
        <v>未确认的可抵扣暂时性差异的影响和可抵扣亏损</v>
      </c>
      <c r="C2936" s="1936">
        <f>报表附注!F3075</f>
        <v>0</v>
      </c>
    </row>
    <row r="2937" spans="2:3">
      <c r="B2937" s="1939" t="str">
        <f>报表附注!E3076</f>
        <v>所得税费用</v>
      </c>
      <c r="C2937" s="1936">
        <f>报表附注!F3076</f>
        <v>0</v>
      </c>
    </row>
    <row r="2939" spans="2:2">
      <c r="B2939" s="1933" t="str">
        <f>报表附注!$E$3078</f>
        <v>(4)补充表：弥补亏损明细表</v>
      </c>
    </row>
    <row r="2940" spans="2:2">
      <c r="B2940" s="1928" t="str">
        <f>报表附注!$G$3079</f>
        <v>年　度</v>
      </c>
    </row>
    <row r="2941" spans="2:3">
      <c r="B2941" s="1928">
        <f>报表附注!G3083</f>
        <v>2010</v>
      </c>
      <c r="C2941" s="1993" t="str">
        <f>报表附注!O3083</f>
        <v>*</v>
      </c>
    </row>
    <row r="2942" spans="2:3">
      <c r="B2942" s="1928">
        <f>报表附注!G3084</f>
        <v>2011</v>
      </c>
      <c r="C2942" s="1936">
        <f>报表附注!O3084</f>
        <v>0</v>
      </c>
    </row>
    <row r="2943" spans="2:3">
      <c r="B2943" s="1928">
        <f>报表附注!G3085</f>
        <v>2012</v>
      </c>
      <c r="C2943" s="1936">
        <f>报表附注!O3085</f>
        <v>0</v>
      </c>
    </row>
    <row r="2944" spans="2:3">
      <c r="B2944" s="1928">
        <f>报表附注!G3086</f>
        <v>2013</v>
      </c>
      <c r="C2944" s="1936">
        <f>报表附注!O3086</f>
        <v>0</v>
      </c>
    </row>
    <row r="2945" spans="2:3">
      <c r="B2945" s="1928">
        <f>报表附注!G3087</f>
        <v>2014</v>
      </c>
      <c r="C2945" s="1936">
        <f>报表附注!O3087</f>
        <v>0</v>
      </c>
    </row>
    <row r="2946" spans="2:3">
      <c r="B2946" s="1928">
        <f>报表附注!G3088</f>
        <v>2015</v>
      </c>
      <c r="C2946" s="1936">
        <f>报表附注!O3088</f>
        <v>0</v>
      </c>
    </row>
    <row r="2947" spans="2:3">
      <c r="B2947" s="1939" t="str">
        <f>报表附注!$E$3089</f>
        <v>　可结转下一年度未弥补完的亏损额</v>
      </c>
      <c r="C2947" s="1936">
        <f>报表附注!O3089</f>
        <v>0</v>
      </c>
    </row>
    <row r="2949" spans="2:2">
      <c r="B2949" s="1994" t="str">
        <f>报表附注!$E$1646</f>
        <v>（3）未确认递延所得税资产的可抵扣亏损将于以下年度到期</v>
      </c>
    </row>
    <row r="2950" spans="2:2">
      <c r="B2950" s="1994" t="s">
        <v>515</v>
      </c>
    </row>
    <row r="2951" spans="2:2">
      <c r="B2951" s="1928" t="str">
        <f>报表附注!E1647</f>
        <v>年份</v>
      </c>
    </row>
    <row r="2952" spans="2:3">
      <c r="B2952" s="1928">
        <f>报表附注!E1648</f>
        <v>2016</v>
      </c>
      <c r="C2952" s="1936">
        <f>报表附注!F1648</f>
        <v>0</v>
      </c>
    </row>
    <row r="2953" spans="2:3">
      <c r="B2953" s="1928">
        <f>报表附注!E1649</f>
        <v>2017</v>
      </c>
      <c r="C2953" s="1936">
        <f>报表附注!F1649</f>
        <v>0</v>
      </c>
    </row>
    <row r="2954" spans="2:3">
      <c r="B2954" s="1928">
        <f>报表附注!E1650</f>
        <v>2018</v>
      </c>
      <c r="C2954" s="1936">
        <f>报表附注!F1650</f>
        <v>0</v>
      </c>
    </row>
    <row r="2955" spans="2:3">
      <c r="B2955" s="1928">
        <f>报表附注!E1651</f>
        <v>2019</v>
      </c>
      <c r="C2955" s="1936">
        <f>报表附注!F1651</f>
        <v>0</v>
      </c>
    </row>
    <row r="2956" spans="2:3">
      <c r="B2956" s="1928">
        <f>报表附注!E1652</f>
        <v>2020</v>
      </c>
      <c r="C2956" s="1936">
        <f>报表附注!F1652</f>
        <v>0</v>
      </c>
    </row>
    <row r="2957" spans="2:3">
      <c r="B2957" s="1939" t="str">
        <f>报表附注!E1653</f>
        <v>合计</v>
      </c>
      <c r="C2957" s="1936">
        <f>报表附注!F1653</f>
        <v>0</v>
      </c>
    </row>
    <row r="2958" spans="2:2">
      <c r="B2958" s="1933" t="s">
        <v>670</v>
      </c>
    </row>
    <row r="2959" spans="2:3">
      <c r="B2959" s="1928">
        <f>报表附注!E1648</f>
        <v>2016</v>
      </c>
      <c r="C2959" s="1936">
        <f>报表附注!G1648</f>
        <v>0</v>
      </c>
    </row>
    <row r="2960" spans="2:3">
      <c r="B2960" s="1928">
        <f>报表附注!E1649</f>
        <v>2017</v>
      </c>
      <c r="C2960" s="1936">
        <f>报表附注!G1649</f>
        <v>0</v>
      </c>
    </row>
    <row r="2961" spans="2:3">
      <c r="B2961" s="1928">
        <f>报表附注!E1650</f>
        <v>2018</v>
      </c>
      <c r="C2961" s="1936">
        <f>报表附注!G1650</f>
        <v>0</v>
      </c>
    </row>
    <row r="2962" spans="2:3">
      <c r="B2962" s="1928">
        <f>报表附注!E1651</f>
        <v>2019</v>
      </c>
      <c r="C2962" s="1936">
        <f>报表附注!G1651</f>
        <v>0</v>
      </c>
    </row>
    <row r="2963" spans="2:3">
      <c r="B2963" s="1928">
        <f>报表附注!E1652</f>
        <v>2020</v>
      </c>
      <c r="C2963" s="1936">
        <f>报表附注!G1652</f>
        <v>0</v>
      </c>
    </row>
    <row r="2964" spans="2:3">
      <c r="B2964" s="1939" t="str">
        <f>报表附注!E1653</f>
        <v>合计</v>
      </c>
      <c r="C2964" s="1936">
        <f>报表附注!G1653</f>
        <v>0</v>
      </c>
    </row>
    <row r="2966" spans="2:2">
      <c r="B2966" s="1933" t="str">
        <f>报表附注!$E$3903</f>
        <v>（五十四）递延收益-披露表</v>
      </c>
    </row>
    <row r="2967" spans="2:2">
      <c r="B2967" s="1962" t="str">
        <f>报表附注!$E$3905</f>
        <v>项 目</v>
      </c>
    </row>
    <row r="2968" spans="2:3">
      <c r="B2968" s="1928" t="str">
        <f>报表附注!$E$3905</f>
        <v>项 目</v>
      </c>
      <c r="C2968" s="1936">
        <f>报表附注!E3906</f>
        <v>0</v>
      </c>
    </row>
    <row r="2969" spans="2:3">
      <c r="B2969" s="1928" t="str">
        <f>报表附注!$E$3905</f>
        <v>项 目</v>
      </c>
      <c r="C2969" s="1936">
        <f>报表附注!E3907</f>
        <v>0</v>
      </c>
    </row>
    <row r="2970" spans="2:3">
      <c r="B2970" s="1928" t="str">
        <f>报表附注!$E$3905</f>
        <v>项 目</v>
      </c>
      <c r="C2970" s="1936">
        <f>报表附注!E3908</f>
        <v>0</v>
      </c>
    </row>
    <row r="2971" spans="2:3">
      <c r="B2971" s="1928" t="str">
        <f>报表附注!$E$3905</f>
        <v>项 目</v>
      </c>
      <c r="C2971" s="1936">
        <f>报表附注!E3909</f>
        <v>0</v>
      </c>
    </row>
    <row r="2972" spans="2:3">
      <c r="B2972" s="1928" t="str">
        <f>报表附注!$E$3905</f>
        <v>项 目</v>
      </c>
      <c r="C2972" s="1936">
        <f>报表附注!E3910</f>
        <v>0</v>
      </c>
    </row>
    <row r="2973" spans="2:3">
      <c r="B2973" s="1928" t="str">
        <f>报表附注!$E$3905</f>
        <v>项 目</v>
      </c>
      <c r="C2973" s="1936">
        <f>报表附注!E3911</f>
        <v>0</v>
      </c>
    </row>
    <row r="2974" spans="2:3">
      <c r="B2974" s="1928" t="str">
        <f>报表附注!$E$3905</f>
        <v>项 目</v>
      </c>
      <c r="C2974" s="1936">
        <f>报表附注!E3912</f>
        <v>0</v>
      </c>
    </row>
    <row r="2975" spans="2:3">
      <c r="B2975" s="1928" t="str">
        <f>报表附注!$E$3905</f>
        <v>项 目</v>
      </c>
      <c r="C2975" s="1936">
        <f>报表附注!E3913</f>
        <v>0</v>
      </c>
    </row>
    <row r="2976" spans="2:3">
      <c r="B2976" s="1928" t="str">
        <f>报表附注!$E$3905</f>
        <v>项 目</v>
      </c>
      <c r="C2976" s="1936">
        <f>报表附注!E3914</f>
        <v>0</v>
      </c>
    </row>
    <row r="2977" spans="2:3">
      <c r="B2977" s="1928" t="str">
        <f>报表附注!$E$3905</f>
        <v>项 目</v>
      </c>
      <c r="C2977" s="1936">
        <f>报表附注!E3915</f>
        <v>0</v>
      </c>
    </row>
    <row r="2978" spans="2:3">
      <c r="B2978" s="1939" t="str">
        <f>报表附注!$E$3905</f>
        <v>项 目</v>
      </c>
      <c r="C2978" s="1964"/>
    </row>
    <row r="2979" spans="2:2">
      <c r="B2979" s="1933" t="str">
        <f>报表附注!$F$3905</f>
        <v>项目金额</v>
      </c>
    </row>
    <row r="2980" spans="2:3">
      <c r="B2980" s="1988">
        <f>报表附注!E3906</f>
        <v>0</v>
      </c>
      <c r="C2980" s="1936">
        <f>报表附注!F3906</f>
        <v>0</v>
      </c>
    </row>
    <row r="2981" spans="2:3">
      <c r="B2981" s="1988">
        <f>报表附注!E3907</f>
        <v>0</v>
      </c>
      <c r="C2981" s="1936">
        <f>报表附注!F3907</f>
        <v>0</v>
      </c>
    </row>
    <row r="2982" spans="2:3">
      <c r="B2982" s="1988">
        <f>报表附注!E3908</f>
        <v>0</v>
      </c>
      <c r="C2982" s="1936">
        <f>报表附注!F3908</f>
        <v>0</v>
      </c>
    </row>
    <row r="2983" spans="2:3">
      <c r="B2983" s="1988">
        <f>报表附注!E3909</f>
        <v>0</v>
      </c>
      <c r="C2983" s="1936">
        <f>报表附注!F3909</f>
        <v>0</v>
      </c>
    </row>
    <row r="2984" spans="2:3">
      <c r="B2984" s="1988">
        <f>报表附注!E3910</f>
        <v>0</v>
      </c>
      <c r="C2984" s="1936">
        <f>报表附注!F3910</f>
        <v>0</v>
      </c>
    </row>
    <row r="2985" spans="2:3">
      <c r="B2985" s="1988">
        <f>报表附注!E3911</f>
        <v>0</v>
      </c>
      <c r="C2985" s="1936">
        <f>报表附注!F3911</f>
        <v>0</v>
      </c>
    </row>
    <row r="2986" spans="2:3">
      <c r="B2986" s="1988">
        <f>报表附注!E3912</f>
        <v>0</v>
      </c>
      <c r="C2986" s="1936">
        <f>报表附注!F3912</f>
        <v>0</v>
      </c>
    </row>
    <row r="2987" spans="2:3">
      <c r="B2987" s="1988">
        <f>报表附注!E3913</f>
        <v>0</v>
      </c>
      <c r="C2987" s="1936">
        <f>报表附注!F3913</f>
        <v>0</v>
      </c>
    </row>
    <row r="2988" spans="2:3">
      <c r="B2988" s="1988">
        <f>报表附注!E3914</f>
        <v>0</v>
      </c>
      <c r="C2988" s="1936">
        <f>报表附注!F3914</f>
        <v>0</v>
      </c>
    </row>
    <row r="2989" spans="2:3">
      <c r="B2989" s="1988">
        <f>报表附注!E3915</f>
        <v>0</v>
      </c>
      <c r="C2989" s="1936">
        <f>报表附注!F3915</f>
        <v>0</v>
      </c>
    </row>
    <row r="2990" spans="2:3">
      <c r="B2990" s="1989" t="str">
        <f>报表附注!E3916</f>
        <v>合计</v>
      </c>
      <c r="C2990" s="1936">
        <f>报表附注!F3916</f>
        <v>0</v>
      </c>
    </row>
    <row r="2991" spans="2:2">
      <c r="B2991" s="1933" t="str">
        <f>报表附注!$H$3905</f>
        <v>期初账面余额</v>
      </c>
    </row>
    <row r="2992" spans="2:3">
      <c r="B2992" s="1988">
        <f>报表附注!E3906</f>
        <v>0</v>
      </c>
      <c r="C2992" s="1990">
        <f>报表附注!H3906</f>
        <v>0</v>
      </c>
    </row>
    <row r="2993" spans="2:3">
      <c r="B2993" s="1988">
        <f>报表附注!E3907</f>
        <v>0</v>
      </c>
      <c r="C2993" s="1936">
        <f>报表附注!H3907</f>
        <v>0</v>
      </c>
    </row>
    <row r="2994" spans="2:3">
      <c r="B2994" s="1988">
        <f>报表附注!E3908</f>
        <v>0</v>
      </c>
      <c r="C2994" s="1936">
        <f>报表附注!H3908</f>
        <v>0</v>
      </c>
    </row>
    <row r="2995" spans="2:3">
      <c r="B2995" s="1988">
        <f>报表附注!E3909</f>
        <v>0</v>
      </c>
      <c r="C2995" s="1936">
        <f>报表附注!H3909</f>
        <v>0</v>
      </c>
    </row>
    <row r="2996" spans="2:3">
      <c r="B2996" s="1988">
        <f>报表附注!E3910</f>
        <v>0</v>
      </c>
      <c r="C2996" s="1936">
        <f>报表附注!H3910</f>
        <v>0</v>
      </c>
    </row>
    <row r="2997" spans="2:3">
      <c r="B2997" s="1988">
        <f>报表附注!E3911</f>
        <v>0</v>
      </c>
      <c r="C2997" s="1936">
        <f>报表附注!H3911</f>
        <v>0</v>
      </c>
    </row>
    <row r="2998" spans="2:3">
      <c r="B2998" s="1988">
        <f>报表附注!E3912</f>
        <v>0</v>
      </c>
      <c r="C2998" s="1936">
        <f>报表附注!H3912</f>
        <v>0</v>
      </c>
    </row>
    <row r="2999" spans="2:3">
      <c r="B2999" s="1988">
        <f>报表附注!E3913</f>
        <v>0</v>
      </c>
      <c r="C2999" s="1936">
        <f>报表附注!H3913</f>
        <v>0</v>
      </c>
    </row>
    <row r="3000" spans="2:3">
      <c r="B3000" s="1988">
        <f>报表附注!E3914</f>
        <v>0</v>
      </c>
      <c r="C3000" s="1936">
        <f>报表附注!H3914</f>
        <v>0</v>
      </c>
    </row>
    <row r="3001" spans="2:3">
      <c r="B3001" s="1988">
        <f>报表附注!E3915</f>
        <v>0</v>
      </c>
      <c r="C3001" s="1936">
        <f>报表附注!H3915</f>
        <v>0</v>
      </c>
    </row>
    <row r="3002" spans="2:3">
      <c r="B3002" s="1989" t="str">
        <f>报表附注!E3916</f>
        <v>合计</v>
      </c>
      <c r="C3002" s="1936">
        <f>报表附注!H3916</f>
        <v>0</v>
      </c>
    </row>
    <row r="3003" spans="2:2">
      <c r="B3003" s="1987" t="str">
        <f>报表附注!$I$3905</f>
        <v>本期增加</v>
      </c>
    </row>
    <row r="3004" spans="2:3">
      <c r="B3004" s="1988">
        <f>报表附注!E3906</f>
        <v>0</v>
      </c>
      <c r="C3004" s="1936">
        <f>报表附注!I3906</f>
        <v>0</v>
      </c>
    </row>
    <row r="3005" spans="2:3">
      <c r="B3005" s="1988">
        <f>报表附注!E3907</f>
        <v>0</v>
      </c>
      <c r="C3005" s="1936">
        <f>报表附注!I3907</f>
        <v>0</v>
      </c>
    </row>
    <row r="3006" spans="2:3">
      <c r="B3006" s="1988">
        <f>报表附注!E3908</f>
        <v>0</v>
      </c>
      <c r="C3006" s="1936">
        <f>报表附注!I3908</f>
        <v>0</v>
      </c>
    </row>
    <row r="3007" spans="2:3">
      <c r="B3007" s="1988">
        <f>报表附注!E3909</f>
        <v>0</v>
      </c>
      <c r="C3007" s="1936">
        <f>报表附注!I3909</f>
        <v>0</v>
      </c>
    </row>
    <row r="3008" spans="2:3">
      <c r="B3008" s="1988">
        <f>报表附注!E3910</f>
        <v>0</v>
      </c>
      <c r="C3008" s="1936">
        <f>报表附注!I3910</f>
        <v>0</v>
      </c>
    </row>
    <row r="3009" spans="2:3">
      <c r="B3009" s="1988">
        <f>报表附注!E3911</f>
        <v>0</v>
      </c>
      <c r="C3009" s="1936">
        <f>报表附注!I3911</f>
        <v>0</v>
      </c>
    </row>
    <row r="3010" spans="2:3">
      <c r="B3010" s="1988">
        <f>报表附注!E3912</f>
        <v>0</v>
      </c>
      <c r="C3010" s="1936">
        <f>报表附注!I3912</f>
        <v>0</v>
      </c>
    </row>
    <row r="3011" spans="2:3">
      <c r="B3011" s="1988">
        <f>报表附注!E3913</f>
        <v>0</v>
      </c>
      <c r="C3011" s="1936">
        <f>报表附注!I3913</f>
        <v>0</v>
      </c>
    </row>
    <row r="3012" spans="2:3">
      <c r="B3012" s="1988">
        <f>报表附注!E3914</f>
        <v>0</v>
      </c>
      <c r="C3012" s="1936">
        <f>报表附注!I3914</f>
        <v>0</v>
      </c>
    </row>
    <row r="3013" spans="2:3">
      <c r="B3013" s="1988">
        <f>报表附注!E3915</f>
        <v>0</v>
      </c>
      <c r="C3013" s="1936">
        <f>报表附注!I3915</f>
        <v>0</v>
      </c>
    </row>
    <row r="3014" spans="2:3">
      <c r="B3014" s="1989" t="str">
        <f>报表附注!E3916</f>
        <v>合计</v>
      </c>
      <c r="C3014" s="1936">
        <f>报表附注!I3916</f>
        <v>0</v>
      </c>
    </row>
    <row r="3015" spans="2:2">
      <c r="B3015" s="1988" t="str">
        <f>报表附注!$J$3905</f>
        <v>本期计入营业外收入金额</v>
      </c>
    </row>
    <row r="3016" spans="2:3">
      <c r="B3016" s="1988">
        <f>报表附注!E3906</f>
        <v>0</v>
      </c>
      <c r="C3016" s="1936">
        <f>报表附注!J3906</f>
        <v>0</v>
      </c>
    </row>
    <row r="3017" spans="2:3">
      <c r="B3017" s="1988">
        <f>报表附注!E3907</f>
        <v>0</v>
      </c>
      <c r="C3017" s="1936">
        <f>报表附注!J3907</f>
        <v>0</v>
      </c>
    </row>
    <row r="3018" spans="2:3">
      <c r="B3018" s="1988">
        <f>报表附注!E3908</f>
        <v>0</v>
      </c>
      <c r="C3018" s="1936">
        <f>报表附注!J3908</f>
        <v>0</v>
      </c>
    </row>
    <row r="3019" spans="2:3">
      <c r="B3019" s="1988">
        <f>报表附注!E3909</f>
        <v>0</v>
      </c>
      <c r="C3019" s="1936">
        <f>报表附注!J3909</f>
        <v>0</v>
      </c>
    </row>
    <row r="3020" spans="2:3">
      <c r="B3020" s="1988">
        <f>报表附注!E3910</f>
        <v>0</v>
      </c>
      <c r="C3020" s="1936">
        <f>报表附注!J3910</f>
        <v>0</v>
      </c>
    </row>
    <row r="3021" spans="2:3">
      <c r="B3021" s="1988">
        <f>报表附注!E3911</f>
        <v>0</v>
      </c>
      <c r="C3021" s="1936">
        <f>报表附注!J3911</f>
        <v>0</v>
      </c>
    </row>
    <row r="3022" spans="2:3">
      <c r="B3022" s="1988">
        <f>报表附注!E3912</f>
        <v>0</v>
      </c>
      <c r="C3022" s="1936">
        <f>报表附注!J3912</f>
        <v>0</v>
      </c>
    </row>
    <row r="3023" spans="2:3">
      <c r="B3023" s="1988">
        <f>报表附注!E3913</f>
        <v>0</v>
      </c>
      <c r="C3023" s="1936">
        <f>报表附注!J3913</f>
        <v>0</v>
      </c>
    </row>
    <row r="3024" spans="2:3">
      <c r="B3024" s="1988">
        <f>报表附注!E3914</f>
        <v>0</v>
      </c>
      <c r="C3024" s="1936">
        <f>报表附注!J3914</f>
        <v>0</v>
      </c>
    </row>
    <row r="3025" spans="2:3">
      <c r="B3025" s="1988">
        <f>报表附注!E3915</f>
        <v>0</v>
      </c>
      <c r="C3025" s="1936">
        <f>报表附注!J3915</f>
        <v>0</v>
      </c>
    </row>
    <row r="3026" spans="2:3">
      <c r="B3026" s="1989" t="str">
        <f>报表附注!E3916</f>
        <v>合计</v>
      </c>
      <c r="C3026" s="1936">
        <f>报表附注!J3916</f>
        <v>0</v>
      </c>
    </row>
    <row r="3027" spans="2:2">
      <c r="B3027" s="1987" t="str">
        <f>报表附注!$K$3905</f>
        <v>其他变动</v>
      </c>
    </row>
    <row r="3028" spans="2:3">
      <c r="B3028" s="1988">
        <f>报表附注!E3906</f>
        <v>0</v>
      </c>
      <c r="C3028" s="1936">
        <f>报表附注!K3906</f>
        <v>0</v>
      </c>
    </row>
    <row r="3029" spans="2:3">
      <c r="B3029" s="1988">
        <f>报表附注!E3907</f>
        <v>0</v>
      </c>
      <c r="C3029" s="1936">
        <f>报表附注!K3907</f>
        <v>0</v>
      </c>
    </row>
    <row r="3030" spans="2:3">
      <c r="B3030" s="1988">
        <f>报表附注!E3908</f>
        <v>0</v>
      </c>
      <c r="C3030" s="1936">
        <f>报表附注!K3908</f>
        <v>0</v>
      </c>
    </row>
    <row r="3031" spans="2:3">
      <c r="B3031" s="1988">
        <f>报表附注!E3909</f>
        <v>0</v>
      </c>
      <c r="C3031" s="1936">
        <f>报表附注!K3909</f>
        <v>0</v>
      </c>
    </row>
    <row r="3032" spans="2:3">
      <c r="B3032" s="1988">
        <f>报表附注!E3910</f>
        <v>0</v>
      </c>
      <c r="C3032" s="1936">
        <f>报表附注!K3910</f>
        <v>0</v>
      </c>
    </row>
    <row r="3033" spans="2:3">
      <c r="B3033" s="1988">
        <f>报表附注!E3911</f>
        <v>0</v>
      </c>
      <c r="C3033" s="1936">
        <f>报表附注!K3911</f>
        <v>0</v>
      </c>
    </row>
    <row r="3034" spans="2:3">
      <c r="B3034" s="1988">
        <f>报表附注!E3912</f>
        <v>0</v>
      </c>
      <c r="C3034" s="1936">
        <f>报表附注!K3912</f>
        <v>0</v>
      </c>
    </row>
    <row r="3035" spans="2:3">
      <c r="B3035" s="1988">
        <f>报表附注!E3913</f>
        <v>0</v>
      </c>
      <c r="C3035" s="1936">
        <f>报表附注!K3913</f>
        <v>0</v>
      </c>
    </row>
    <row r="3036" spans="2:3">
      <c r="B3036" s="1988">
        <f>报表附注!E3914</f>
        <v>0</v>
      </c>
      <c r="C3036" s="1936">
        <f>报表附注!K3914</f>
        <v>0</v>
      </c>
    </row>
    <row r="3037" spans="2:3">
      <c r="B3037" s="1988">
        <f>报表附注!E3915</f>
        <v>0</v>
      </c>
      <c r="C3037" s="1936">
        <f>报表附注!K3915</f>
        <v>0</v>
      </c>
    </row>
    <row r="3038" spans="2:3">
      <c r="B3038" s="1989" t="str">
        <f>报表附注!E3916</f>
        <v>合计</v>
      </c>
      <c r="C3038" s="1936">
        <f>报表附注!K3916</f>
        <v>0</v>
      </c>
    </row>
    <row r="3039" spans="2:2">
      <c r="B3039" s="1987" t="str">
        <f>报表附注!$L$3905</f>
        <v>期末账面余额</v>
      </c>
    </row>
    <row r="3040" spans="2:3">
      <c r="B3040" s="1988">
        <f>报表附注!E3906</f>
        <v>0</v>
      </c>
      <c r="C3040" s="1936">
        <f>报表附注!L3906</f>
        <v>0</v>
      </c>
    </row>
    <row r="3041" spans="2:3">
      <c r="B3041" s="1988">
        <f>报表附注!E3907</f>
        <v>0</v>
      </c>
      <c r="C3041" s="1936">
        <f>报表附注!L3907</f>
        <v>0</v>
      </c>
    </row>
    <row r="3042" spans="2:3">
      <c r="B3042" s="1988">
        <f>报表附注!E3908</f>
        <v>0</v>
      </c>
      <c r="C3042" s="1936">
        <f>报表附注!L3908</f>
        <v>0</v>
      </c>
    </row>
    <row r="3043" spans="2:3">
      <c r="B3043" s="1988">
        <f>报表附注!E3909</f>
        <v>0</v>
      </c>
      <c r="C3043" s="1936">
        <f>报表附注!L3909</f>
        <v>0</v>
      </c>
    </row>
    <row r="3044" spans="2:3">
      <c r="B3044" s="1988">
        <f>报表附注!E3910</f>
        <v>0</v>
      </c>
      <c r="C3044" s="1936">
        <f>报表附注!L3910</f>
        <v>0</v>
      </c>
    </row>
    <row r="3045" spans="2:3">
      <c r="B3045" s="1988">
        <f>报表附注!E3911</f>
        <v>0</v>
      </c>
      <c r="C3045" s="1936">
        <f>报表附注!L3911</f>
        <v>0</v>
      </c>
    </row>
    <row r="3046" spans="2:3">
      <c r="B3046" s="1988">
        <f>报表附注!E3912</f>
        <v>0</v>
      </c>
      <c r="C3046" s="1936">
        <f>报表附注!L3912</f>
        <v>0</v>
      </c>
    </row>
    <row r="3047" spans="2:3">
      <c r="B3047" s="1988">
        <f>报表附注!E3913</f>
        <v>0</v>
      </c>
      <c r="C3047" s="1936">
        <f>报表附注!L3913</f>
        <v>0</v>
      </c>
    </row>
    <row r="3048" spans="2:3">
      <c r="B3048" s="1988">
        <f>报表附注!E3914</f>
        <v>0</v>
      </c>
      <c r="C3048" s="1936">
        <f>报表附注!L3914</f>
        <v>0</v>
      </c>
    </row>
    <row r="3049" spans="2:3">
      <c r="B3049" s="1988">
        <f>报表附注!E3915</f>
        <v>0</v>
      </c>
      <c r="C3049" s="1936">
        <f>报表附注!L3915</f>
        <v>0</v>
      </c>
    </row>
    <row r="3050" spans="2:3">
      <c r="B3050" s="1989" t="str">
        <f>报表附注!E3916</f>
        <v>合计</v>
      </c>
      <c r="C3050" s="1936">
        <f>报表附注!L3916</f>
        <v>0</v>
      </c>
    </row>
    <row r="3051" spans="3:3">
      <c r="C3051" s="1988"/>
    </row>
    <row r="3052" spans="2:2">
      <c r="B3052" s="1933" t="str">
        <f>报表附注!$E$2913</f>
        <v>（六十一）营业外收入-披露表</v>
      </c>
    </row>
    <row r="3053" spans="2:2">
      <c r="B3053" s="1933" t="s">
        <v>2002</v>
      </c>
    </row>
    <row r="3054" spans="2:2">
      <c r="B3054" s="1988" t="str">
        <f>报表附注!E2930</f>
        <v>项目</v>
      </c>
    </row>
    <row r="3055" spans="2:3">
      <c r="B3055" s="1988">
        <f>报表附注!E2931</f>
        <v>0</v>
      </c>
      <c r="C3055" s="1936">
        <f>报表附注!E2931</f>
        <v>0</v>
      </c>
    </row>
    <row r="3056" spans="2:3">
      <c r="B3056" s="1988">
        <f>报表附注!E2932</f>
        <v>0</v>
      </c>
      <c r="C3056" s="1936">
        <f>报表附注!E2932</f>
        <v>0</v>
      </c>
    </row>
    <row r="3057" spans="2:3">
      <c r="B3057" s="1988">
        <f>报表附注!E2933</f>
        <v>0</v>
      </c>
      <c r="C3057" s="1936">
        <f>报表附注!E2933</f>
        <v>0</v>
      </c>
    </row>
    <row r="3058" spans="2:3">
      <c r="B3058" s="1988">
        <f>报表附注!E2934</f>
        <v>0</v>
      </c>
      <c r="C3058" s="1936">
        <f>报表附注!E2934</f>
        <v>0</v>
      </c>
    </row>
    <row r="3059" spans="2:3">
      <c r="B3059" s="1988">
        <f>报表附注!E2935</f>
        <v>0</v>
      </c>
      <c r="C3059" s="1936">
        <f>报表附注!E2935</f>
        <v>0</v>
      </c>
    </row>
    <row r="3060" spans="2:3">
      <c r="B3060" s="1988">
        <f>报表附注!E2936</f>
        <v>0</v>
      </c>
      <c r="C3060" s="1936">
        <f>报表附注!E2936</f>
        <v>0</v>
      </c>
    </row>
    <row r="3061" spans="2:3">
      <c r="B3061" s="1988">
        <f>报表附注!E2937</f>
        <v>0</v>
      </c>
      <c r="C3061" s="1936">
        <f>报表附注!E2937</f>
        <v>0</v>
      </c>
    </row>
    <row r="3062" spans="2:3">
      <c r="B3062" s="1988">
        <f>报表附注!E2938</f>
        <v>0</v>
      </c>
      <c r="C3062" s="1936">
        <f>报表附注!E2938</f>
        <v>0</v>
      </c>
    </row>
    <row r="3063" spans="2:3">
      <c r="B3063" s="1988">
        <f>报表附注!E2939</f>
        <v>0</v>
      </c>
      <c r="C3063" s="1936">
        <f>报表附注!E2939</f>
        <v>0</v>
      </c>
    </row>
    <row r="3064" spans="2:3">
      <c r="B3064" s="1988">
        <f>报表附注!E2940</f>
        <v>0</v>
      </c>
      <c r="C3064" s="1936">
        <f>报表附注!E2940</f>
        <v>0</v>
      </c>
    </row>
    <row r="3065" spans="2:3">
      <c r="B3065" s="1988">
        <f>报表附注!E2941</f>
        <v>0</v>
      </c>
      <c r="C3065" s="1936">
        <f>报表附注!E2941</f>
        <v>0</v>
      </c>
    </row>
    <row r="3066" spans="2:3">
      <c r="B3066" s="1988">
        <f>报表附注!E2942</f>
        <v>0</v>
      </c>
      <c r="C3066" s="1936">
        <f>报表附注!E2942</f>
        <v>0</v>
      </c>
    </row>
    <row r="3067" spans="2:3">
      <c r="B3067" s="1988">
        <f>报表附注!E2943</f>
        <v>0</v>
      </c>
      <c r="C3067" s="1936">
        <f>报表附注!E2943</f>
        <v>0</v>
      </c>
    </row>
    <row r="3068" spans="2:3">
      <c r="B3068" s="1988">
        <f>报表附注!E2944</f>
        <v>0</v>
      </c>
      <c r="C3068" s="1936">
        <f>报表附注!E2944</f>
        <v>0</v>
      </c>
    </row>
    <row r="3069" spans="2:3">
      <c r="B3069" s="1988">
        <f>报表附注!E2945</f>
        <v>0</v>
      </c>
      <c r="C3069" s="1936">
        <f>报表附注!E2945</f>
        <v>0</v>
      </c>
    </row>
    <row r="3070" spans="2:3">
      <c r="B3070" s="1988">
        <f>报表附注!E2946</f>
        <v>0</v>
      </c>
      <c r="C3070" s="1936">
        <f>报表附注!E2946</f>
        <v>0</v>
      </c>
    </row>
    <row r="3071" spans="2:3">
      <c r="B3071" s="1988">
        <f>报表附注!E2947</f>
        <v>0</v>
      </c>
      <c r="C3071" s="1936">
        <f>报表附注!E2947</f>
        <v>0</v>
      </c>
    </row>
    <row r="3072" spans="2:3">
      <c r="B3072" s="1988">
        <f>报表附注!E2948</f>
        <v>0</v>
      </c>
      <c r="C3072" s="1936">
        <f>报表附注!E2948</f>
        <v>0</v>
      </c>
    </row>
    <row r="3073" spans="2:3">
      <c r="B3073" s="1988">
        <f>报表附注!E2949</f>
        <v>0</v>
      </c>
      <c r="C3073" s="1936">
        <f>报表附注!E2949</f>
        <v>0</v>
      </c>
    </row>
    <row r="3074" spans="2:3">
      <c r="B3074" s="1988">
        <f>报表附注!E2950</f>
        <v>0</v>
      </c>
      <c r="C3074" s="1936">
        <f>报表附注!E2950</f>
        <v>0</v>
      </c>
    </row>
    <row r="3075" spans="2:3">
      <c r="B3075" s="1988">
        <f>报表附注!E2951</f>
        <v>0</v>
      </c>
      <c r="C3075" s="1936">
        <f>报表附注!E2951</f>
        <v>0</v>
      </c>
    </row>
    <row r="3076" spans="2:3">
      <c r="B3076" s="1988">
        <f>报表附注!E2952</f>
        <v>0</v>
      </c>
      <c r="C3076" s="1936">
        <f>报表附注!E2952</f>
        <v>0</v>
      </c>
    </row>
    <row r="3077" spans="2:3">
      <c r="B3077" s="1988">
        <f>报表附注!E2953</f>
        <v>0</v>
      </c>
      <c r="C3077" s="1936">
        <f>报表附注!E2953</f>
        <v>0</v>
      </c>
    </row>
    <row r="3078" spans="2:3">
      <c r="B3078" s="1988">
        <f>报表附注!E2954</f>
        <v>0</v>
      </c>
      <c r="C3078" s="1936">
        <f>报表附注!E2954</f>
        <v>0</v>
      </c>
    </row>
    <row r="3079" spans="2:3">
      <c r="B3079" s="1988">
        <f>报表附注!E2955</f>
        <v>0</v>
      </c>
      <c r="C3079" s="1936">
        <f>报表附注!E2955</f>
        <v>0</v>
      </c>
    </row>
    <row r="3080" spans="2:3">
      <c r="B3080" s="1988">
        <f>报表附注!E2956</f>
        <v>0</v>
      </c>
      <c r="C3080" s="1936">
        <f>报表附注!E2956</f>
        <v>0</v>
      </c>
    </row>
    <row r="3081" spans="2:3">
      <c r="B3081" s="1989" t="str">
        <f>报表附注!E2957</f>
        <v>合计</v>
      </c>
      <c r="C3081" s="1964"/>
    </row>
    <row r="3082" spans="2:2">
      <c r="B3082" s="1933" t="str">
        <f>报表附注!$F$2930</f>
        <v>本期金额</v>
      </c>
    </row>
    <row r="3083" spans="2:3">
      <c r="B3083" s="1928">
        <f>报表附注!E2931</f>
        <v>0</v>
      </c>
      <c r="C3083" s="1936">
        <f>报表附注!F2931</f>
        <v>0</v>
      </c>
    </row>
    <row r="3084" spans="2:3">
      <c r="B3084" s="1928">
        <f>报表附注!E2932</f>
        <v>0</v>
      </c>
      <c r="C3084" s="1936">
        <f>报表附注!F2932</f>
        <v>0</v>
      </c>
    </row>
    <row r="3085" spans="2:3">
      <c r="B3085" s="1928">
        <f>报表附注!E2933</f>
        <v>0</v>
      </c>
      <c r="C3085" s="1936">
        <f>报表附注!F2933</f>
        <v>0</v>
      </c>
    </row>
    <row r="3086" spans="2:3">
      <c r="B3086" s="1928">
        <f>报表附注!E2934</f>
        <v>0</v>
      </c>
      <c r="C3086" s="1936">
        <f>报表附注!F2934</f>
        <v>0</v>
      </c>
    </row>
    <row r="3087" spans="2:3">
      <c r="B3087" s="1928">
        <f>报表附注!E2935</f>
        <v>0</v>
      </c>
      <c r="C3087" s="1936">
        <f>报表附注!F2935</f>
        <v>0</v>
      </c>
    </row>
    <row r="3088" spans="2:3">
      <c r="B3088" s="1928">
        <f>报表附注!E2936</f>
        <v>0</v>
      </c>
      <c r="C3088" s="1936">
        <f>报表附注!F2936</f>
        <v>0</v>
      </c>
    </row>
    <row r="3089" spans="2:3">
      <c r="B3089" s="1928">
        <f>报表附注!E2937</f>
        <v>0</v>
      </c>
      <c r="C3089" s="1936">
        <f>报表附注!F2937</f>
        <v>0</v>
      </c>
    </row>
    <row r="3090" spans="2:3">
      <c r="B3090" s="1928">
        <f>报表附注!E2938</f>
        <v>0</v>
      </c>
      <c r="C3090" s="1936">
        <f>报表附注!F2938</f>
        <v>0</v>
      </c>
    </row>
    <row r="3091" spans="2:3">
      <c r="B3091" s="1928">
        <f>报表附注!E2939</f>
        <v>0</v>
      </c>
      <c r="C3091" s="1936">
        <f>报表附注!F2939</f>
        <v>0</v>
      </c>
    </row>
    <row r="3092" spans="2:3">
      <c r="B3092" s="1928">
        <f>报表附注!E2940</f>
        <v>0</v>
      </c>
      <c r="C3092" s="1936">
        <f>报表附注!F2940</f>
        <v>0</v>
      </c>
    </row>
    <row r="3093" spans="2:3">
      <c r="B3093" s="1928">
        <f>报表附注!E2941</f>
        <v>0</v>
      </c>
      <c r="C3093" s="1936">
        <f>报表附注!F2941</f>
        <v>0</v>
      </c>
    </row>
    <row r="3094" spans="2:3">
      <c r="B3094" s="1928">
        <f>报表附注!E2942</f>
        <v>0</v>
      </c>
      <c r="C3094" s="1936">
        <f>报表附注!F2942</f>
        <v>0</v>
      </c>
    </row>
    <row r="3095" spans="2:3">
      <c r="B3095" s="1928">
        <f>报表附注!E2943</f>
        <v>0</v>
      </c>
      <c r="C3095" s="1936">
        <f>报表附注!F2943</f>
        <v>0</v>
      </c>
    </row>
    <row r="3096" spans="2:3">
      <c r="B3096" s="1928">
        <f>报表附注!E2944</f>
        <v>0</v>
      </c>
      <c r="C3096" s="1936">
        <f>报表附注!F2944</f>
        <v>0</v>
      </c>
    </row>
    <row r="3097" spans="2:3">
      <c r="B3097" s="1928">
        <f>报表附注!E2945</f>
        <v>0</v>
      </c>
      <c r="C3097" s="1936">
        <f>报表附注!F2945</f>
        <v>0</v>
      </c>
    </row>
    <row r="3098" spans="2:3">
      <c r="B3098" s="1928">
        <f>报表附注!E2946</f>
        <v>0</v>
      </c>
      <c r="C3098" s="1936">
        <f>报表附注!F2946</f>
        <v>0</v>
      </c>
    </row>
    <row r="3099" spans="2:3">
      <c r="B3099" s="1928">
        <f>报表附注!E2947</f>
        <v>0</v>
      </c>
      <c r="C3099" s="1936">
        <f>报表附注!F2947</f>
        <v>0</v>
      </c>
    </row>
    <row r="3100" spans="2:3">
      <c r="B3100" s="1928">
        <f>报表附注!E2948</f>
        <v>0</v>
      </c>
      <c r="C3100" s="1936">
        <f>报表附注!F2948</f>
        <v>0</v>
      </c>
    </row>
    <row r="3101" spans="2:3">
      <c r="B3101" s="1928">
        <f>报表附注!E2949</f>
        <v>0</v>
      </c>
      <c r="C3101" s="1936">
        <f>报表附注!F2949</f>
        <v>0</v>
      </c>
    </row>
    <row r="3102" spans="2:3">
      <c r="B3102" s="1928">
        <f>报表附注!E2950</f>
        <v>0</v>
      </c>
      <c r="C3102" s="1936">
        <f>报表附注!F2950</f>
        <v>0</v>
      </c>
    </row>
    <row r="3103" spans="2:3">
      <c r="B3103" s="1928">
        <f>报表附注!E2951</f>
        <v>0</v>
      </c>
      <c r="C3103" s="1936">
        <f>报表附注!F2951</f>
        <v>0</v>
      </c>
    </row>
    <row r="3104" spans="2:3">
      <c r="B3104" s="1928">
        <f>报表附注!E2952</f>
        <v>0</v>
      </c>
      <c r="C3104" s="1936">
        <f>报表附注!F2952</f>
        <v>0</v>
      </c>
    </row>
    <row r="3105" spans="2:3">
      <c r="B3105" s="1928">
        <f>报表附注!E2953</f>
        <v>0</v>
      </c>
      <c r="C3105" s="1936">
        <f>报表附注!F2953</f>
        <v>0</v>
      </c>
    </row>
    <row r="3106" spans="2:3">
      <c r="B3106" s="1928">
        <f>报表附注!E2954</f>
        <v>0</v>
      </c>
      <c r="C3106" s="1936">
        <f>报表附注!F2954</f>
        <v>0</v>
      </c>
    </row>
    <row r="3107" spans="2:3">
      <c r="B3107" s="1928">
        <f>报表附注!E2955</f>
        <v>0</v>
      </c>
      <c r="C3107" s="1936">
        <f>报表附注!F2955</f>
        <v>0</v>
      </c>
    </row>
    <row r="3108" spans="2:3">
      <c r="B3108" s="1928">
        <f>报表附注!E2956</f>
        <v>0</v>
      </c>
      <c r="C3108" s="1936">
        <f>报表附注!F2956</f>
        <v>0</v>
      </c>
    </row>
    <row r="3109" spans="2:3">
      <c r="B3109" s="1939" t="str">
        <f>报表附注!E2957</f>
        <v>合计</v>
      </c>
      <c r="C3109" s="1936">
        <f>报表附注!F2957</f>
        <v>0</v>
      </c>
    </row>
    <row r="3110" spans="2:2">
      <c r="B3110" s="1933" t="str">
        <f>报表附注!$G$2930</f>
        <v>上期金额</v>
      </c>
    </row>
    <row r="3111" spans="2:3">
      <c r="B3111" s="1928">
        <f>报表附注!E2931</f>
        <v>0</v>
      </c>
      <c r="C3111" s="1936">
        <f>报表附注!G2931</f>
        <v>0</v>
      </c>
    </row>
    <row r="3112" spans="2:3">
      <c r="B3112" s="1928">
        <f>报表附注!E2932</f>
        <v>0</v>
      </c>
      <c r="C3112" s="1936">
        <f>报表附注!G2932</f>
        <v>0</v>
      </c>
    </row>
    <row r="3113" spans="2:3">
      <c r="B3113" s="1928">
        <f>报表附注!E2933</f>
        <v>0</v>
      </c>
      <c r="C3113" s="1936">
        <f>报表附注!G2933</f>
        <v>0</v>
      </c>
    </row>
    <row r="3114" spans="2:3">
      <c r="B3114" s="1928">
        <f>报表附注!E2934</f>
        <v>0</v>
      </c>
      <c r="C3114" s="1936">
        <f>报表附注!G2934</f>
        <v>0</v>
      </c>
    </row>
    <row r="3115" spans="2:3">
      <c r="B3115" s="1928">
        <f>报表附注!E2935</f>
        <v>0</v>
      </c>
      <c r="C3115" s="1936">
        <f>报表附注!G2935</f>
        <v>0</v>
      </c>
    </row>
    <row r="3116" spans="2:3">
      <c r="B3116" s="1928">
        <f>报表附注!E2936</f>
        <v>0</v>
      </c>
      <c r="C3116" s="1936">
        <f>报表附注!G2936</f>
        <v>0</v>
      </c>
    </row>
    <row r="3117" spans="2:3">
      <c r="B3117" s="1928">
        <f>报表附注!E2937</f>
        <v>0</v>
      </c>
      <c r="C3117" s="1936">
        <f>报表附注!G2937</f>
        <v>0</v>
      </c>
    </row>
    <row r="3118" spans="2:3">
      <c r="B3118" s="1928">
        <f>报表附注!E2938</f>
        <v>0</v>
      </c>
      <c r="C3118" s="1936">
        <f>报表附注!G2938</f>
        <v>0</v>
      </c>
    </row>
    <row r="3119" spans="2:3">
      <c r="B3119" s="1928">
        <f>报表附注!E2939</f>
        <v>0</v>
      </c>
      <c r="C3119" s="1936">
        <f>报表附注!G2939</f>
        <v>0</v>
      </c>
    </row>
    <row r="3120" spans="2:3">
      <c r="B3120" s="1928">
        <f>报表附注!E2940</f>
        <v>0</v>
      </c>
      <c r="C3120" s="1936">
        <f>报表附注!G2940</f>
        <v>0</v>
      </c>
    </row>
    <row r="3121" spans="2:3">
      <c r="B3121" s="1928">
        <f>报表附注!E2941</f>
        <v>0</v>
      </c>
      <c r="C3121" s="1936">
        <f>报表附注!G2941</f>
        <v>0</v>
      </c>
    </row>
    <row r="3122" spans="2:3">
      <c r="B3122" s="1928">
        <f>报表附注!E2942</f>
        <v>0</v>
      </c>
      <c r="C3122" s="1936">
        <f>报表附注!G2942</f>
        <v>0</v>
      </c>
    </row>
    <row r="3123" spans="2:3">
      <c r="B3123" s="1928">
        <f>报表附注!E2943</f>
        <v>0</v>
      </c>
      <c r="C3123" s="1936">
        <f>报表附注!G2943</f>
        <v>0</v>
      </c>
    </row>
    <row r="3124" spans="2:3">
      <c r="B3124" s="1928">
        <f>报表附注!E2944</f>
        <v>0</v>
      </c>
      <c r="C3124" s="1936">
        <f>报表附注!G2944</f>
        <v>0</v>
      </c>
    </row>
    <row r="3125" spans="2:3">
      <c r="B3125" s="1928">
        <f>报表附注!E2945</f>
        <v>0</v>
      </c>
      <c r="C3125" s="1936">
        <f>报表附注!G2945</f>
        <v>0</v>
      </c>
    </row>
    <row r="3126" spans="2:3">
      <c r="B3126" s="1928">
        <f>报表附注!E2946</f>
        <v>0</v>
      </c>
      <c r="C3126" s="1936">
        <f>报表附注!G2946</f>
        <v>0</v>
      </c>
    </row>
    <row r="3127" spans="2:3">
      <c r="B3127" s="1928">
        <f>报表附注!E2947</f>
        <v>0</v>
      </c>
      <c r="C3127" s="1936">
        <f>报表附注!G2947</f>
        <v>0</v>
      </c>
    </row>
    <row r="3128" spans="2:3">
      <c r="B3128" s="1928">
        <f>报表附注!E2948</f>
        <v>0</v>
      </c>
      <c r="C3128" s="1936">
        <f>报表附注!G2948</f>
        <v>0</v>
      </c>
    </row>
    <row r="3129" spans="2:3">
      <c r="B3129" s="1928">
        <f>报表附注!E2949</f>
        <v>0</v>
      </c>
      <c r="C3129" s="1936">
        <f>报表附注!G2949</f>
        <v>0</v>
      </c>
    </row>
    <row r="3130" spans="2:3">
      <c r="B3130" s="1928">
        <f>报表附注!E2950</f>
        <v>0</v>
      </c>
      <c r="C3130" s="1936">
        <f>报表附注!G2950</f>
        <v>0</v>
      </c>
    </row>
    <row r="3131" spans="2:3">
      <c r="B3131" s="1928">
        <f>报表附注!E2951</f>
        <v>0</v>
      </c>
      <c r="C3131" s="1936">
        <f>报表附注!G2951</f>
        <v>0</v>
      </c>
    </row>
    <row r="3132" spans="2:3">
      <c r="B3132" s="1928">
        <f>报表附注!E2952</f>
        <v>0</v>
      </c>
      <c r="C3132" s="1936">
        <f>报表附注!G2952</f>
        <v>0</v>
      </c>
    </row>
    <row r="3133" spans="2:3">
      <c r="B3133" s="1928">
        <f>报表附注!E2953</f>
        <v>0</v>
      </c>
      <c r="C3133" s="1936">
        <f>报表附注!G2953</f>
        <v>0</v>
      </c>
    </row>
    <row r="3134" spans="2:3">
      <c r="B3134" s="1928">
        <f>报表附注!E2954</f>
        <v>0</v>
      </c>
      <c r="C3134" s="1936">
        <f>报表附注!G2954</f>
        <v>0</v>
      </c>
    </row>
    <row r="3135" spans="2:3">
      <c r="B3135" s="1928">
        <f>报表附注!E2955</f>
        <v>0</v>
      </c>
      <c r="C3135" s="1936">
        <f>报表附注!G2955</f>
        <v>0</v>
      </c>
    </row>
    <row r="3136" spans="2:3">
      <c r="B3136" s="1928">
        <f>报表附注!E2956</f>
        <v>0</v>
      </c>
      <c r="C3136" s="1936">
        <f>报表附注!G2956</f>
        <v>0</v>
      </c>
    </row>
    <row r="3137" spans="2:3">
      <c r="B3137" s="1939" t="str">
        <f>报表附注!E2957</f>
        <v>合计</v>
      </c>
      <c r="C3137" s="1936">
        <f>报表附注!G2957</f>
        <v>0</v>
      </c>
    </row>
    <row r="3138" spans="2:2">
      <c r="B3138" s="1933" t="str">
        <f>报表附注!$H$2930</f>
        <v>来源和依据</v>
      </c>
    </row>
    <row r="3139" spans="2:3">
      <c r="B3139" s="1928">
        <f>报表附注!E2931</f>
        <v>0</v>
      </c>
      <c r="C3139" s="1936">
        <f>报表附注!H2931</f>
        <v>0</v>
      </c>
    </row>
    <row r="3140" spans="2:3">
      <c r="B3140" s="1928">
        <f>报表附注!E2932</f>
        <v>0</v>
      </c>
      <c r="C3140" s="1936">
        <f>报表附注!H2932</f>
        <v>0</v>
      </c>
    </row>
    <row r="3141" spans="2:3">
      <c r="B3141" s="1928">
        <f>报表附注!E2933</f>
        <v>0</v>
      </c>
      <c r="C3141" s="1936">
        <f>报表附注!H2933</f>
        <v>0</v>
      </c>
    </row>
    <row r="3142" spans="2:3">
      <c r="B3142" s="1928">
        <f>报表附注!E2934</f>
        <v>0</v>
      </c>
      <c r="C3142" s="1936">
        <f>报表附注!H2934</f>
        <v>0</v>
      </c>
    </row>
    <row r="3143" spans="2:3">
      <c r="B3143" s="1928">
        <f>报表附注!E2935</f>
        <v>0</v>
      </c>
      <c r="C3143" s="1936">
        <f>报表附注!H2935</f>
        <v>0</v>
      </c>
    </row>
    <row r="3144" spans="2:3">
      <c r="B3144" s="1928">
        <f>报表附注!E2936</f>
        <v>0</v>
      </c>
      <c r="C3144" s="1936">
        <f>报表附注!H2936</f>
        <v>0</v>
      </c>
    </row>
    <row r="3145" spans="2:3">
      <c r="B3145" s="1928">
        <f>报表附注!E2937</f>
        <v>0</v>
      </c>
      <c r="C3145" s="1936">
        <f>报表附注!H2937</f>
        <v>0</v>
      </c>
    </row>
    <row r="3146" spans="2:3">
      <c r="B3146" s="1928">
        <f>报表附注!E2938</f>
        <v>0</v>
      </c>
      <c r="C3146" s="1936">
        <f>报表附注!H2938</f>
        <v>0</v>
      </c>
    </row>
    <row r="3147" spans="2:3">
      <c r="B3147" s="1928">
        <f>报表附注!E2939</f>
        <v>0</v>
      </c>
      <c r="C3147" s="1936">
        <f>报表附注!H2939</f>
        <v>0</v>
      </c>
    </row>
    <row r="3148" spans="2:3">
      <c r="B3148" s="1928">
        <f>报表附注!E2940</f>
        <v>0</v>
      </c>
      <c r="C3148" s="1936">
        <f>报表附注!H2940</f>
        <v>0</v>
      </c>
    </row>
    <row r="3149" spans="2:3">
      <c r="B3149" s="1928">
        <f>报表附注!E2941</f>
        <v>0</v>
      </c>
      <c r="C3149" s="1936">
        <f>报表附注!H2941</f>
        <v>0</v>
      </c>
    </row>
    <row r="3150" spans="2:3">
      <c r="B3150" s="1928">
        <f>报表附注!E2942</f>
        <v>0</v>
      </c>
      <c r="C3150" s="1936">
        <f>报表附注!H2942</f>
        <v>0</v>
      </c>
    </row>
    <row r="3151" spans="2:3">
      <c r="B3151" s="1928">
        <f>报表附注!E2943</f>
        <v>0</v>
      </c>
      <c r="C3151" s="1936">
        <f>报表附注!H2943</f>
        <v>0</v>
      </c>
    </row>
    <row r="3152" spans="2:3">
      <c r="B3152" s="1928">
        <f>报表附注!E2944</f>
        <v>0</v>
      </c>
      <c r="C3152" s="1936">
        <f>报表附注!H2944</f>
        <v>0</v>
      </c>
    </row>
    <row r="3153" spans="2:3">
      <c r="B3153" s="1928">
        <f>报表附注!E2945</f>
        <v>0</v>
      </c>
      <c r="C3153" s="1936">
        <f>报表附注!H2945</f>
        <v>0</v>
      </c>
    </row>
    <row r="3154" spans="2:3">
      <c r="B3154" s="1928">
        <f>报表附注!E2946</f>
        <v>0</v>
      </c>
      <c r="C3154" s="1936">
        <f>报表附注!H2946</f>
        <v>0</v>
      </c>
    </row>
    <row r="3155" spans="2:3">
      <c r="B3155" s="1928">
        <f>报表附注!E2947</f>
        <v>0</v>
      </c>
      <c r="C3155" s="1936">
        <f>报表附注!H2947</f>
        <v>0</v>
      </c>
    </row>
    <row r="3156" spans="2:3">
      <c r="B3156" s="1928">
        <f>报表附注!E2948</f>
        <v>0</v>
      </c>
      <c r="C3156" s="1936">
        <f>报表附注!H2948</f>
        <v>0</v>
      </c>
    </row>
    <row r="3157" spans="2:3">
      <c r="B3157" s="1928">
        <f>报表附注!E2949</f>
        <v>0</v>
      </c>
      <c r="C3157" s="1936">
        <f>报表附注!H2949</f>
        <v>0</v>
      </c>
    </row>
    <row r="3158" spans="2:3">
      <c r="B3158" s="1928">
        <f>报表附注!E2950</f>
        <v>0</v>
      </c>
      <c r="C3158" s="1936">
        <f>报表附注!H2950</f>
        <v>0</v>
      </c>
    </row>
    <row r="3159" spans="2:3">
      <c r="B3159" s="1928">
        <f>报表附注!E2951</f>
        <v>0</v>
      </c>
      <c r="C3159" s="1936">
        <f>报表附注!H2951</f>
        <v>0</v>
      </c>
    </row>
    <row r="3160" spans="2:3">
      <c r="B3160" s="1928">
        <f>报表附注!E2952</f>
        <v>0</v>
      </c>
      <c r="C3160" s="1936">
        <f>报表附注!H2952</f>
        <v>0</v>
      </c>
    </row>
    <row r="3161" spans="2:3">
      <c r="B3161" s="1928">
        <f>报表附注!E2953</f>
        <v>0</v>
      </c>
      <c r="C3161" s="1936">
        <f>报表附注!H2953</f>
        <v>0</v>
      </c>
    </row>
    <row r="3162" spans="2:3">
      <c r="B3162" s="1928">
        <f>报表附注!E2954</f>
        <v>0</v>
      </c>
      <c r="C3162" s="1936">
        <f>报表附注!H2954</f>
        <v>0</v>
      </c>
    </row>
    <row r="3163" spans="2:3">
      <c r="B3163" s="1928">
        <f>报表附注!E2955</f>
        <v>0</v>
      </c>
      <c r="C3163" s="1936">
        <f>报表附注!H2955</f>
        <v>0</v>
      </c>
    </row>
    <row r="3164" spans="2:3">
      <c r="B3164" s="1928">
        <f>报表附注!E2956</f>
        <v>0</v>
      </c>
      <c r="C3164" s="1936">
        <f>报表附注!H2956</f>
        <v>0</v>
      </c>
    </row>
    <row r="3165" spans="2:3">
      <c r="B3165" s="1939" t="str">
        <f>报表附注!E2957</f>
        <v>合计</v>
      </c>
      <c r="C3165" s="1936">
        <f>报表附注!H2957</f>
        <v>0</v>
      </c>
    </row>
    <row r="3167" spans="2:2">
      <c r="B3167" s="1933" t="str">
        <f>报表附注!$E$3749</f>
        <v>(十六)投资性房地产-披露表</v>
      </c>
    </row>
    <row r="3168" spans="2:2">
      <c r="B3168" s="1933"/>
    </row>
    <row r="3169" spans="2:3">
      <c r="B3169" s="1987" t="s">
        <v>2003</v>
      </c>
      <c r="C3169" s="1995" t="str">
        <f>报表附注!F3751</f>
        <v>房屋、建筑物</v>
      </c>
    </row>
    <row r="3170" spans="2:3">
      <c r="B3170" s="1988" t="str">
        <f>报表附注!E3752</f>
        <v>一、账面原值</v>
      </c>
      <c r="C3170" s="1936">
        <f>报表附注!F3752</f>
        <v>0</v>
      </c>
    </row>
    <row r="3171" spans="2:3">
      <c r="B3171" s="1988" t="str">
        <f>报表附注!E3753</f>
        <v>　　1.期初余额</v>
      </c>
      <c r="C3171" s="1936">
        <f>报表附注!F3753</f>
        <v>0</v>
      </c>
    </row>
    <row r="3172" spans="2:3">
      <c r="B3172" s="1988" t="str">
        <f>报表附注!E3754</f>
        <v>　　2.本期增加金额</v>
      </c>
      <c r="C3172" s="1936">
        <f>报表附注!F3754</f>
        <v>0</v>
      </c>
    </row>
    <row r="3173" spans="2:3">
      <c r="B3173" s="1988" t="str">
        <f>报表附注!E3755</f>
        <v>　　（1）外购</v>
      </c>
      <c r="C3173" s="1936">
        <f>报表附注!F3755</f>
        <v>0</v>
      </c>
    </row>
    <row r="3174" spans="2:3">
      <c r="B3174" s="1988" t="str">
        <f>报表附注!E3756</f>
        <v>　　（2）存货\固定资产\在建工程转入</v>
      </c>
      <c r="C3174" s="1936">
        <f>报表附注!F3756</f>
        <v>0</v>
      </c>
    </row>
    <row r="3175" spans="2:3">
      <c r="B3175" s="1988" t="str">
        <f>报表附注!E3757</f>
        <v>　　（3）企业合并增加</v>
      </c>
      <c r="C3175" s="1936">
        <f>报表附注!F3757</f>
        <v>0</v>
      </c>
    </row>
    <row r="3176" spans="2:3">
      <c r="B3176" s="1988">
        <f>报表附注!E3758</f>
        <v>0</v>
      </c>
      <c r="C3176" s="1936">
        <f>报表附注!F3758</f>
        <v>0</v>
      </c>
    </row>
    <row r="3177" spans="2:3">
      <c r="B3177" s="1988" t="str">
        <f>报表附注!E3759</f>
        <v>　　3.本期减少金额</v>
      </c>
      <c r="C3177" s="1936">
        <f>报表附注!F3759</f>
        <v>0</v>
      </c>
    </row>
    <row r="3178" spans="2:3">
      <c r="B3178" s="1988" t="str">
        <f>报表附注!E3760</f>
        <v>　　（1）处置</v>
      </c>
      <c r="C3178" s="1936">
        <f>报表附注!F3760</f>
        <v>0</v>
      </c>
    </row>
    <row r="3179" spans="2:3">
      <c r="B3179" s="1988" t="str">
        <f>报表附注!E3761</f>
        <v>　　（2）其他转出</v>
      </c>
      <c r="C3179" s="1936">
        <f>报表附注!F3761</f>
        <v>0</v>
      </c>
    </row>
    <row r="3180" spans="2:3">
      <c r="B3180" s="1988" t="str">
        <f>报表附注!E3762</f>
        <v>　　（3）企业合并减少</v>
      </c>
      <c r="C3180" s="1936">
        <f>报表附注!F3762</f>
        <v>0</v>
      </c>
    </row>
    <row r="3181" spans="2:3">
      <c r="B3181" s="1988" t="str">
        <f>报表附注!E3763</f>
        <v>　　4.期末余额</v>
      </c>
      <c r="C3181" s="1936">
        <f>报表附注!F3763</f>
        <v>0</v>
      </c>
    </row>
    <row r="3182" spans="2:3">
      <c r="B3182" s="1988" t="str">
        <f>报表附注!E3764</f>
        <v>二、累计折旧和累计摊销</v>
      </c>
      <c r="C3182" s="1936">
        <f>报表附注!F3764</f>
        <v>0</v>
      </c>
    </row>
    <row r="3183" spans="2:3">
      <c r="B3183" s="1988" t="str">
        <f>报表附注!E3765</f>
        <v>　　1.期初余额</v>
      </c>
      <c r="C3183" s="1936">
        <f>报表附注!F3765</f>
        <v>0</v>
      </c>
    </row>
    <row r="3184" spans="2:3">
      <c r="B3184" s="1988" t="str">
        <f>报表附注!E3766</f>
        <v>　　2.本期增加金额</v>
      </c>
      <c r="C3184" s="1936">
        <f>报表附注!F3766</f>
        <v>0</v>
      </c>
    </row>
    <row r="3185" spans="2:3">
      <c r="B3185" s="1988" t="str">
        <f>报表附注!E3767</f>
        <v>　　（1）计提或摊销</v>
      </c>
      <c r="C3185" s="1936">
        <f>报表附注!F3767</f>
        <v>0</v>
      </c>
    </row>
    <row r="3186" spans="2:3">
      <c r="B3186" s="1988" t="str">
        <f>报表附注!E3768</f>
        <v>　　（2）固定资产\无形资产转入</v>
      </c>
      <c r="C3186" s="1936">
        <f>报表附注!F3768</f>
        <v>0</v>
      </c>
    </row>
    <row r="3187" spans="2:3">
      <c r="B3187" s="1988" t="str">
        <f>报表附注!E3769</f>
        <v>　　（3）企业合并增加</v>
      </c>
      <c r="C3187" s="1936">
        <f>报表附注!F3769</f>
        <v>0</v>
      </c>
    </row>
    <row r="3188" spans="2:3">
      <c r="B3188" s="1988" t="str">
        <f>报表附注!E3770</f>
        <v>　　3.本期减少金额</v>
      </c>
      <c r="C3188" s="1936">
        <f>报表附注!F3770</f>
        <v>0</v>
      </c>
    </row>
    <row r="3189" spans="2:3">
      <c r="B3189" s="1988" t="str">
        <f>报表附注!E3771</f>
        <v>　　（1）处置</v>
      </c>
      <c r="C3189" s="1936">
        <f>报表附注!F3771</f>
        <v>0</v>
      </c>
    </row>
    <row r="3190" spans="2:3">
      <c r="B3190" s="1988" t="str">
        <f>报表附注!E3772</f>
        <v>　　（2）其他转出</v>
      </c>
      <c r="C3190" s="1936">
        <f>报表附注!F3772</f>
        <v>0</v>
      </c>
    </row>
    <row r="3191" spans="2:3">
      <c r="B3191" s="1988" t="str">
        <f>报表附注!E3773</f>
        <v>　　（3）企业合并减少</v>
      </c>
      <c r="C3191" s="1936">
        <f>报表附注!F3773</f>
        <v>0</v>
      </c>
    </row>
    <row r="3192" spans="2:3">
      <c r="B3192" s="1988" t="str">
        <f>报表附注!E3774</f>
        <v>　　4.期末余额</v>
      </c>
      <c r="C3192" s="1936">
        <f>报表附注!F3774</f>
        <v>0</v>
      </c>
    </row>
    <row r="3193" spans="2:3">
      <c r="B3193" s="1988" t="str">
        <f>报表附注!E3775</f>
        <v>三、减值准备</v>
      </c>
      <c r="C3193" s="1936">
        <f>报表附注!F3775</f>
        <v>0</v>
      </c>
    </row>
    <row r="3194" spans="2:3">
      <c r="B3194" s="1988" t="str">
        <f>报表附注!E3776</f>
        <v>　　1.期初余额</v>
      </c>
      <c r="C3194" s="1936">
        <f>报表附注!F3776</f>
        <v>0</v>
      </c>
    </row>
    <row r="3195" spans="2:3">
      <c r="B3195" s="1988" t="str">
        <f>报表附注!E3777</f>
        <v>　　2.本期增加金额</v>
      </c>
      <c r="C3195" s="1936">
        <f>报表附注!F3777</f>
        <v>0</v>
      </c>
    </row>
    <row r="3196" spans="2:3">
      <c r="B3196" s="1988" t="str">
        <f>报表附注!E3778</f>
        <v>　　（1）计提</v>
      </c>
      <c r="C3196" s="1936">
        <f>报表附注!F3778</f>
        <v>0</v>
      </c>
    </row>
    <row r="3197" spans="2:3">
      <c r="B3197" s="1988">
        <f>报表附注!E3779</f>
        <v>0</v>
      </c>
      <c r="C3197" s="1936">
        <f>报表附注!F3779</f>
        <v>0</v>
      </c>
    </row>
    <row r="3198" spans="2:3">
      <c r="B3198" s="1988" t="str">
        <f>报表附注!E3780</f>
        <v>　　3、本期减少金额</v>
      </c>
      <c r="C3198" s="1936">
        <f>报表附注!F3780</f>
        <v>0</v>
      </c>
    </row>
    <row r="3199" spans="2:3">
      <c r="B3199" s="1988" t="str">
        <f>报表附注!E3781</f>
        <v>　　（1）处置</v>
      </c>
      <c r="C3199" s="1936">
        <f>报表附注!F3781</f>
        <v>0</v>
      </c>
    </row>
    <row r="3200" spans="2:3">
      <c r="B3200" s="1988" t="str">
        <f>报表附注!E3782</f>
        <v>　　（2）其他转出</v>
      </c>
      <c r="C3200" s="1936">
        <f>报表附注!F3782</f>
        <v>0</v>
      </c>
    </row>
    <row r="3201" spans="2:3">
      <c r="B3201" s="1988">
        <f>报表附注!E3783</f>
        <v>0</v>
      </c>
      <c r="C3201" s="1936">
        <f>报表附注!F3783</f>
        <v>0</v>
      </c>
    </row>
    <row r="3202" spans="2:3">
      <c r="B3202" s="1988" t="str">
        <f>报表附注!E3784</f>
        <v>　　4.期末余额</v>
      </c>
      <c r="C3202" s="1936">
        <f>报表附注!F3784</f>
        <v>0</v>
      </c>
    </row>
    <row r="3203" spans="2:3">
      <c r="B3203" s="1996" t="str">
        <f>报表附注!E3785</f>
        <v>四、账面价值</v>
      </c>
      <c r="C3203" s="1936">
        <f>报表附注!F3785</f>
        <v>0</v>
      </c>
    </row>
    <row r="3204" spans="2:3">
      <c r="B3204" s="1989" t="str">
        <f>报表附注!E3786</f>
        <v>　　1.期末账面价值</v>
      </c>
      <c r="C3204" s="1936">
        <f>报表附注!F3786</f>
        <v>0</v>
      </c>
    </row>
    <row r="3205" spans="2:3">
      <c r="B3205" s="1989" t="str">
        <f>报表附注!E3787</f>
        <v>　　2.期初账面价值</v>
      </c>
      <c r="C3205" s="1936">
        <f>报表附注!F3787</f>
        <v>0</v>
      </c>
    </row>
    <row r="3206" spans="2:3">
      <c r="B3206" s="1933" t="str">
        <f>报表附注!$G$3751</f>
        <v>土地使用权</v>
      </c>
      <c r="C3206" s="1990" t="str">
        <f>报表附注!G3751</f>
        <v>土地使用权</v>
      </c>
    </row>
    <row r="3207" spans="2:3">
      <c r="B3207" s="1928" t="str">
        <f>报表附注!E3752</f>
        <v>一、账面原值</v>
      </c>
      <c r="C3207" s="1936">
        <f>报表附注!G3752</f>
        <v>0</v>
      </c>
    </row>
    <row r="3208" spans="2:3">
      <c r="B3208" s="1928" t="str">
        <f>报表附注!E3753</f>
        <v>　　1.期初余额</v>
      </c>
      <c r="C3208" s="1936">
        <f>报表附注!G3753</f>
        <v>0</v>
      </c>
    </row>
    <row r="3209" spans="2:3">
      <c r="B3209" s="1928" t="str">
        <f>报表附注!E3754</f>
        <v>　　2.本期增加金额</v>
      </c>
      <c r="C3209" s="1936">
        <f>报表附注!G3754</f>
        <v>0</v>
      </c>
    </row>
    <row r="3210" spans="2:3">
      <c r="B3210" s="1928" t="str">
        <f>报表附注!E3755</f>
        <v>　　（1）外购</v>
      </c>
      <c r="C3210" s="1936">
        <f>报表附注!G3755</f>
        <v>0</v>
      </c>
    </row>
    <row r="3211" spans="2:3">
      <c r="B3211" s="1928" t="str">
        <f>报表附注!E3756</f>
        <v>　　（2）存货\固定资产\在建工程转入</v>
      </c>
      <c r="C3211" s="1936">
        <f>报表附注!G3756</f>
        <v>0</v>
      </c>
    </row>
    <row r="3212" spans="2:3">
      <c r="B3212" s="1928" t="str">
        <f>报表附注!E3757</f>
        <v>　　（3）企业合并增加</v>
      </c>
      <c r="C3212" s="1936">
        <f>报表附注!G3757</f>
        <v>0</v>
      </c>
    </row>
    <row r="3213" spans="2:3">
      <c r="B3213" s="1928">
        <f>报表附注!E3758</f>
        <v>0</v>
      </c>
      <c r="C3213" s="1936">
        <f>报表附注!G3758</f>
        <v>0</v>
      </c>
    </row>
    <row r="3214" spans="2:3">
      <c r="B3214" s="1928" t="str">
        <f>报表附注!E3759</f>
        <v>　　3.本期减少金额</v>
      </c>
      <c r="C3214" s="1936">
        <f>报表附注!G3759</f>
        <v>0</v>
      </c>
    </row>
    <row r="3215" spans="2:3">
      <c r="B3215" s="1928" t="str">
        <f>报表附注!E3760</f>
        <v>　　（1）处置</v>
      </c>
      <c r="C3215" s="1936">
        <f>报表附注!G3760</f>
        <v>0</v>
      </c>
    </row>
    <row r="3216" spans="2:3">
      <c r="B3216" s="1928" t="str">
        <f>报表附注!E3761</f>
        <v>　　（2）其他转出</v>
      </c>
      <c r="C3216" s="1936">
        <f>报表附注!G3761</f>
        <v>0</v>
      </c>
    </row>
    <row r="3217" spans="2:3">
      <c r="B3217" s="1928" t="str">
        <f>报表附注!E3762</f>
        <v>　　（3）企业合并减少</v>
      </c>
      <c r="C3217" s="1936">
        <f>报表附注!G3762</f>
        <v>0</v>
      </c>
    </row>
    <row r="3218" spans="2:3">
      <c r="B3218" s="1928" t="str">
        <f>报表附注!E3763</f>
        <v>　　4.期末余额</v>
      </c>
      <c r="C3218" s="1936">
        <f>报表附注!G3763</f>
        <v>0</v>
      </c>
    </row>
    <row r="3219" spans="2:3">
      <c r="B3219" s="1928" t="str">
        <f>报表附注!E3764</f>
        <v>二、累计折旧和累计摊销</v>
      </c>
      <c r="C3219" s="1936">
        <f>报表附注!G3764</f>
        <v>0</v>
      </c>
    </row>
    <row r="3220" spans="2:3">
      <c r="B3220" s="1928" t="str">
        <f>报表附注!E3765</f>
        <v>　　1.期初余额</v>
      </c>
      <c r="C3220" s="1936">
        <f>报表附注!G3765</f>
        <v>0</v>
      </c>
    </row>
    <row r="3221" spans="2:3">
      <c r="B3221" s="1928" t="str">
        <f>报表附注!E3766</f>
        <v>　　2.本期增加金额</v>
      </c>
      <c r="C3221" s="1936">
        <f>报表附注!G3766</f>
        <v>0</v>
      </c>
    </row>
    <row r="3222" spans="2:3">
      <c r="B3222" s="1928" t="str">
        <f>报表附注!E3767</f>
        <v>　　（1）计提或摊销</v>
      </c>
      <c r="C3222" s="1936">
        <f>报表附注!G3767</f>
        <v>0</v>
      </c>
    </row>
    <row r="3223" spans="2:3">
      <c r="B3223" s="1928" t="str">
        <f>报表附注!E3768</f>
        <v>　　（2）固定资产\无形资产转入</v>
      </c>
      <c r="C3223" s="1936">
        <f>报表附注!G3768</f>
        <v>0</v>
      </c>
    </row>
    <row r="3224" spans="2:3">
      <c r="B3224" s="1928" t="str">
        <f>报表附注!E3769</f>
        <v>　　（3）企业合并增加</v>
      </c>
      <c r="C3224" s="1936">
        <f>报表附注!G3769</f>
        <v>0</v>
      </c>
    </row>
    <row r="3225" spans="2:3">
      <c r="B3225" s="1928" t="str">
        <f>报表附注!E3770</f>
        <v>　　3.本期减少金额</v>
      </c>
      <c r="C3225" s="1936">
        <f>报表附注!G3770</f>
        <v>0</v>
      </c>
    </row>
    <row r="3226" spans="2:3">
      <c r="B3226" s="1928" t="str">
        <f>报表附注!E3771</f>
        <v>　　（1）处置</v>
      </c>
      <c r="C3226" s="1936">
        <f>报表附注!G3771</f>
        <v>0</v>
      </c>
    </row>
    <row r="3227" spans="2:3">
      <c r="B3227" s="1928" t="str">
        <f>报表附注!E3772</f>
        <v>　　（2）其他转出</v>
      </c>
      <c r="C3227" s="1936">
        <f>报表附注!G3772</f>
        <v>0</v>
      </c>
    </row>
    <row r="3228" spans="2:3">
      <c r="B3228" s="1928" t="str">
        <f>报表附注!E3773</f>
        <v>　　（3）企业合并减少</v>
      </c>
      <c r="C3228" s="1936">
        <f>报表附注!G3773</f>
        <v>0</v>
      </c>
    </row>
    <row r="3229" spans="2:3">
      <c r="B3229" s="1928" t="str">
        <f>报表附注!E3774</f>
        <v>　　4.期末余额</v>
      </c>
      <c r="C3229" s="1936">
        <f>报表附注!G3774</f>
        <v>0</v>
      </c>
    </row>
    <row r="3230" spans="2:3">
      <c r="B3230" s="1928" t="str">
        <f>报表附注!E3775</f>
        <v>三、减值准备</v>
      </c>
      <c r="C3230" s="1936">
        <f>报表附注!G3775</f>
        <v>0</v>
      </c>
    </row>
    <row r="3231" spans="2:3">
      <c r="B3231" s="1928" t="str">
        <f>报表附注!E3776</f>
        <v>　　1.期初余额</v>
      </c>
      <c r="C3231" s="1936">
        <f>报表附注!G3776</f>
        <v>0</v>
      </c>
    </row>
    <row r="3232" spans="2:3">
      <c r="B3232" s="1928" t="str">
        <f>报表附注!E3777</f>
        <v>　　2.本期增加金额</v>
      </c>
      <c r="C3232" s="1936">
        <f>报表附注!G3777</f>
        <v>0</v>
      </c>
    </row>
    <row r="3233" spans="2:3">
      <c r="B3233" s="1928" t="str">
        <f>报表附注!E3778</f>
        <v>　　（1）计提</v>
      </c>
      <c r="C3233" s="1936">
        <f>报表附注!G3778</f>
        <v>0</v>
      </c>
    </row>
    <row r="3234" spans="2:3">
      <c r="B3234" s="1928">
        <f>报表附注!E3779</f>
        <v>0</v>
      </c>
      <c r="C3234" s="1936">
        <f>报表附注!G3779</f>
        <v>0</v>
      </c>
    </row>
    <row r="3235" spans="2:3">
      <c r="B3235" s="1928" t="str">
        <f>报表附注!E3780</f>
        <v>　　3、本期减少金额</v>
      </c>
      <c r="C3235" s="1936">
        <f>报表附注!G3780</f>
        <v>0</v>
      </c>
    </row>
    <row r="3236" spans="2:3">
      <c r="B3236" s="1928" t="str">
        <f>报表附注!E3781</f>
        <v>　　（1）处置</v>
      </c>
      <c r="C3236" s="1936">
        <f>报表附注!G3781</f>
        <v>0</v>
      </c>
    </row>
    <row r="3237" spans="2:3">
      <c r="B3237" s="1928" t="str">
        <f>报表附注!E3782</f>
        <v>　　（2）其他转出</v>
      </c>
      <c r="C3237" s="1936">
        <f>报表附注!G3782</f>
        <v>0</v>
      </c>
    </row>
    <row r="3238" spans="2:3">
      <c r="B3238" s="1928">
        <f>报表附注!E3783</f>
        <v>0</v>
      </c>
      <c r="C3238" s="1936">
        <f>报表附注!G3783</f>
        <v>0</v>
      </c>
    </row>
    <row r="3239" spans="2:3">
      <c r="B3239" s="1928" t="str">
        <f>报表附注!E3784</f>
        <v>　　4.期末余额</v>
      </c>
      <c r="C3239" s="1936">
        <f>报表附注!G3784</f>
        <v>0</v>
      </c>
    </row>
    <row r="3240" spans="2:3">
      <c r="B3240" s="1928" t="str">
        <f>报表附注!E3785</f>
        <v>四、账面价值</v>
      </c>
      <c r="C3240" s="1936">
        <f>报表附注!G3785</f>
        <v>0</v>
      </c>
    </row>
    <row r="3241" spans="2:3">
      <c r="B3241" s="1939" t="str">
        <f>报表附注!E3786</f>
        <v>　　1.期末账面价值</v>
      </c>
      <c r="C3241" s="1936">
        <f>报表附注!G3786</f>
        <v>0</v>
      </c>
    </row>
    <row r="3242" spans="2:3">
      <c r="B3242" s="1939" t="str">
        <f>报表附注!E3787</f>
        <v>　　2.期初账面价值</v>
      </c>
      <c r="C3242" s="1936">
        <f>报表附注!G3787</f>
        <v>0</v>
      </c>
    </row>
    <row r="3243" spans="2:3">
      <c r="B3243" s="1933" t="str">
        <f>报表附注!$H$3751</f>
        <v>在建工程</v>
      </c>
      <c r="C3243" s="1990" t="str">
        <f>报表附注!H3751</f>
        <v>在建工程</v>
      </c>
    </row>
    <row r="3244" spans="2:3">
      <c r="B3244" s="1928" t="str">
        <f>报表附注!E3752</f>
        <v>一、账面原值</v>
      </c>
      <c r="C3244" s="1936">
        <f>报表附注!H3752</f>
        <v>0</v>
      </c>
    </row>
    <row r="3245" spans="2:3">
      <c r="B3245" s="1928" t="str">
        <f>报表附注!E3753</f>
        <v>　　1.期初余额</v>
      </c>
      <c r="C3245" s="1936">
        <f>报表附注!H3753</f>
        <v>0</v>
      </c>
    </row>
    <row r="3246" spans="2:3">
      <c r="B3246" s="1928" t="str">
        <f>报表附注!E3754</f>
        <v>　　2.本期增加金额</v>
      </c>
      <c r="C3246" s="1936">
        <f>报表附注!H3754</f>
        <v>0</v>
      </c>
    </row>
    <row r="3247" spans="2:3">
      <c r="B3247" s="1928" t="str">
        <f>报表附注!E3755</f>
        <v>　　（1）外购</v>
      </c>
      <c r="C3247" s="1936">
        <f>报表附注!H3755</f>
        <v>0</v>
      </c>
    </row>
    <row r="3248" spans="2:3">
      <c r="B3248" s="1928" t="str">
        <f>报表附注!E3756</f>
        <v>　　（2）存货\固定资产\在建工程转入</v>
      </c>
      <c r="C3248" s="1936">
        <f>报表附注!H3756</f>
        <v>0</v>
      </c>
    </row>
    <row r="3249" spans="2:3">
      <c r="B3249" s="1928" t="str">
        <f>报表附注!E3757</f>
        <v>　　（3）企业合并增加</v>
      </c>
      <c r="C3249" s="1936">
        <f>报表附注!H3757</f>
        <v>0</v>
      </c>
    </row>
    <row r="3250" spans="2:3">
      <c r="B3250" s="1928">
        <f>报表附注!E3758</f>
        <v>0</v>
      </c>
      <c r="C3250" s="1936">
        <f>报表附注!H3758</f>
        <v>0</v>
      </c>
    </row>
    <row r="3251" spans="2:3">
      <c r="B3251" s="1928" t="str">
        <f>报表附注!E3759</f>
        <v>　　3.本期减少金额</v>
      </c>
      <c r="C3251" s="1936">
        <f>报表附注!H3759</f>
        <v>0</v>
      </c>
    </row>
    <row r="3252" spans="2:3">
      <c r="B3252" s="1928" t="str">
        <f>报表附注!E3760</f>
        <v>　　（1）处置</v>
      </c>
      <c r="C3252" s="1936">
        <f>报表附注!H3760</f>
        <v>0</v>
      </c>
    </row>
    <row r="3253" spans="2:3">
      <c r="B3253" s="1928" t="str">
        <f>报表附注!E3761</f>
        <v>　　（2）其他转出</v>
      </c>
      <c r="C3253" s="1936">
        <f>报表附注!H3761</f>
        <v>0</v>
      </c>
    </row>
    <row r="3254" spans="2:3">
      <c r="B3254" s="1928" t="str">
        <f>报表附注!E3762</f>
        <v>　　（3）企业合并减少</v>
      </c>
      <c r="C3254" s="1936">
        <f>报表附注!H3762</f>
        <v>0</v>
      </c>
    </row>
    <row r="3255" spans="2:3">
      <c r="B3255" s="1928" t="str">
        <f>报表附注!E3763</f>
        <v>　　4.期末余额</v>
      </c>
      <c r="C3255" s="1936">
        <f>报表附注!H3763</f>
        <v>0</v>
      </c>
    </row>
    <row r="3256" spans="2:3">
      <c r="B3256" s="1928" t="str">
        <f>报表附注!E3764</f>
        <v>二、累计折旧和累计摊销</v>
      </c>
      <c r="C3256" s="1936">
        <f>报表附注!H3764</f>
        <v>0</v>
      </c>
    </row>
    <row r="3257" spans="2:3">
      <c r="B3257" s="1928" t="str">
        <f>报表附注!E3765</f>
        <v>　　1.期初余额</v>
      </c>
      <c r="C3257" s="1936">
        <f>报表附注!H3765</f>
        <v>0</v>
      </c>
    </row>
    <row r="3258" spans="2:3">
      <c r="B3258" s="1928" t="str">
        <f>报表附注!E3766</f>
        <v>　　2.本期增加金额</v>
      </c>
      <c r="C3258" s="1936">
        <f>报表附注!H3766</f>
        <v>0</v>
      </c>
    </row>
    <row r="3259" spans="2:3">
      <c r="B3259" s="1928" t="str">
        <f>报表附注!E3767</f>
        <v>　　（1）计提或摊销</v>
      </c>
      <c r="C3259" s="1936">
        <f>报表附注!H3767</f>
        <v>0</v>
      </c>
    </row>
    <row r="3260" spans="2:3">
      <c r="B3260" s="1928" t="str">
        <f>报表附注!E3768</f>
        <v>　　（2）固定资产\无形资产转入</v>
      </c>
      <c r="C3260" s="1936">
        <f>报表附注!H3768</f>
        <v>0</v>
      </c>
    </row>
    <row r="3261" spans="2:3">
      <c r="B3261" s="1928" t="str">
        <f>报表附注!E3769</f>
        <v>　　（3）企业合并增加</v>
      </c>
      <c r="C3261" s="1936">
        <f>报表附注!H3769</f>
        <v>0</v>
      </c>
    </row>
    <row r="3262" spans="2:3">
      <c r="B3262" s="1928" t="str">
        <f>报表附注!E3770</f>
        <v>　　3.本期减少金额</v>
      </c>
      <c r="C3262" s="1936">
        <f>报表附注!H3770</f>
        <v>0</v>
      </c>
    </row>
    <row r="3263" spans="2:3">
      <c r="B3263" s="1928" t="str">
        <f>报表附注!E3771</f>
        <v>　　（1）处置</v>
      </c>
      <c r="C3263" s="1936">
        <f>报表附注!H3771</f>
        <v>0</v>
      </c>
    </row>
    <row r="3264" spans="2:3">
      <c r="B3264" s="1928" t="str">
        <f>报表附注!E3772</f>
        <v>　　（2）其他转出</v>
      </c>
      <c r="C3264" s="1936">
        <f>报表附注!H3772</f>
        <v>0</v>
      </c>
    </row>
    <row r="3265" spans="2:3">
      <c r="B3265" s="1928" t="str">
        <f>报表附注!E3773</f>
        <v>　　（3）企业合并减少</v>
      </c>
      <c r="C3265" s="1936">
        <f>报表附注!H3773</f>
        <v>0</v>
      </c>
    </row>
    <row r="3266" spans="2:3">
      <c r="B3266" s="1928" t="str">
        <f>报表附注!E3774</f>
        <v>　　4.期末余额</v>
      </c>
      <c r="C3266" s="1936">
        <f>报表附注!H3774</f>
        <v>0</v>
      </c>
    </row>
    <row r="3267" spans="2:3">
      <c r="B3267" s="1928" t="str">
        <f>报表附注!E3775</f>
        <v>三、减值准备</v>
      </c>
      <c r="C3267" s="1936">
        <f>报表附注!H3775</f>
        <v>0</v>
      </c>
    </row>
    <row r="3268" spans="2:3">
      <c r="B3268" s="1928" t="str">
        <f>报表附注!E3776</f>
        <v>　　1.期初余额</v>
      </c>
      <c r="C3268" s="1936">
        <f>报表附注!H3776</f>
        <v>0</v>
      </c>
    </row>
    <row r="3269" spans="2:3">
      <c r="B3269" s="1928" t="str">
        <f>报表附注!E3777</f>
        <v>　　2.本期增加金额</v>
      </c>
      <c r="C3269" s="1936">
        <f>报表附注!H3777</f>
        <v>0</v>
      </c>
    </row>
    <row r="3270" spans="2:3">
      <c r="B3270" s="1928" t="str">
        <f>报表附注!E3778</f>
        <v>　　（1）计提</v>
      </c>
      <c r="C3270" s="1936">
        <f>报表附注!H3778</f>
        <v>0</v>
      </c>
    </row>
    <row r="3271" spans="2:3">
      <c r="B3271" s="1928">
        <f>报表附注!E3779</f>
        <v>0</v>
      </c>
      <c r="C3271" s="1936">
        <f>报表附注!H3779</f>
        <v>0</v>
      </c>
    </row>
    <row r="3272" spans="2:3">
      <c r="B3272" s="1928" t="str">
        <f>报表附注!E3780</f>
        <v>　　3、本期减少金额</v>
      </c>
      <c r="C3272" s="1936">
        <f>报表附注!H3780</f>
        <v>0</v>
      </c>
    </row>
    <row r="3273" spans="2:3">
      <c r="B3273" s="1928" t="str">
        <f>报表附注!E3781</f>
        <v>　　（1）处置</v>
      </c>
      <c r="C3273" s="1936">
        <f>报表附注!H3781</f>
        <v>0</v>
      </c>
    </row>
    <row r="3274" spans="2:3">
      <c r="B3274" s="1928" t="str">
        <f>报表附注!E3782</f>
        <v>　　（2）其他转出</v>
      </c>
      <c r="C3274" s="1936">
        <f>报表附注!H3782</f>
        <v>0</v>
      </c>
    </row>
    <row r="3275" spans="2:3">
      <c r="B3275" s="1928">
        <f>报表附注!E3783</f>
        <v>0</v>
      </c>
      <c r="C3275" s="1936">
        <f>报表附注!H3783</f>
        <v>0</v>
      </c>
    </row>
    <row r="3276" spans="2:3">
      <c r="B3276" s="1928" t="str">
        <f>报表附注!E3784</f>
        <v>　　4.期末余额</v>
      </c>
      <c r="C3276" s="1936">
        <f>报表附注!H3784</f>
        <v>0</v>
      </c>
    </row>
    <row r="3277" spans="2:3">
      <c r="B3277" s="1928" t="str">
        <f>报表附注!E3785</f>
        <v>四、账面价值</v>
      </c>
      <c r="C3277" s="1936">
        <f>报表附注!H3785</f>
        <v>0</v>
      </c>
    </row>
    <row r="3278" spans="2:3">
      <c r="B3278" s="1939" t="str">
        <f>报表附注!E3786</f>
        <v>　　1.期末账面价值</v>
      </c>
      <c r="C3278" s="1936">
        <f>报表附注!H3786</f>
        <v>0</v>
      </c>
    </row>
    <row r="3279" spans="2:3">
      <c r="B3279" s="1939" t="str">
        <f>报表附注!E3787</f>
        <v>　　2.期初账面价值</v>
      </c>
      <c r="C3279" s="1936">
        <f>报表附注!H3787</f>
        <v>0</v>
      </c>
    </row>
    <row r="3280" spans="2:3">
      <c r="B3280" s="1933" t="str">
        <f>报表附注!$I$3751</f>
        <v>合计</v>
      </c>
      <c r="C3280" s="1990" t="str">
        <f>报表附注!I3751</f>
        <v>合计</v>
      </c>
    </row>
    <row r="3281" spans="2:3">
      <c r="B3281" s="1928" t="str">
        <f>报表附注!E3752</f>
        <v>一、账面原值</v>
      </c>
      <c r="C3281" s="1936">
        <f>报表附注!I3752</f>
        <v>0</v>
      </c>
    </row>
    <row r="3282" spans="2:3">
      <c r="B3282" s="1928" t="str">
        <f>报表附注!E3753</f>
        <v>　　1.期初余额</v>
      </c>
      <c r="C3282" s="1936">
        <f>报表附注!I3753</f>
        <v>0</v>
      </c>
    </row>
    <row r="3283" spans="2:3">
      <c r="B3283" s="1928" t="str">
        <f>报表附注!E3754</f>
        <v>　　2.本期增加金额</v>
      </c>
      <c r="C3283" s="1936">
        <f>报表附注!I3754</f>
        <v>0</v>
      </c>
    </row>
    <row r="3284" spans="2:3">
      <c r="B3284" s="1928" t="str">
        <f>报表附注!E3755</f>
        <v>　　（1）外购</v>
      </c>
      <c r="C3284" s="1936">
        <f>报表附注!I3755</f>
        <v>0</v>
      </c>
    </row>
    <row r="3285" spans="2:3">
      <c r="B3285" s="1928" t="str">
        <f>报表附注!E3756</f>
        <v>　　（2）存货\固定资产\在建工程转入</v>
      </c>
      <c r="C3285" s="1936">
        <f>报表附注!I3756</f>
        <v>0</v>
      </c>
    </row>
    <row r="3286" spans="2:3">
      <c r="B3286" s="1928" t="str">
        <f>报表附注!E3757</f>
        <v>　　（3）企业合并增加</v>
      </c>
      <c r="C3286" s="1936">
        <f>报表附注!I3757</f>
        <v>0</v>
      </c>
    </row>
    <row r="3287" spans="2:3">
      <c r="B3287" s="1928">
        <f>报表附注!E3758</f>
        <v>0</v>
      </c>
      <c r="C3287" s="1936">
        <f>报表附注!I3758</f>
        <v>0</v>
      </c>
    </row>
    <row r="3288" spans="2:3">
      <c r="B3288" s="1928" t="str">
        <f>报表附注!E3759</f>
        <v>　　3.本期减少金额</v>
      </c>
      <c r="C3288" s="1936">
        <f>报表附注!I3759</f>
        <v>0</v>
      </c>
    </row>
    <row r="3289" spans="2:3">
      <c r="B3289" s="1928" t="str">
        <f>报表附注!E3760</f>
        <v>　　（1）处置</v>
      </c>
      <c r="C3289" s="1936">
        <f>报表附注!I3760</f>
        <v>0</v>
      </c>
    </row>
    <row r="3290" spans="2:3">
      <c r="B3290" s="1928" t="str">
        <f>报表附注!E3761</f>
        <v>　　（2）其他转出</v>
      </c>
      <c r="C3290" s="1936">
        <f>报表附注!I3761</f>
        <v>0</v>
      </c>
    </row>
    <row r="3291" spans="2:3">
      <c r="B3291" s="1928" t="str">
        <f>报表附注!E3762</f>
        <v>　　（3）企业合并减少</v>
      </c>
      <c r="C3291" s="1936">
        <f>报表附注!I3762</f>
        <v>0</v>
      </c>
    </row>
    <row r="3292" spans="2:3">
      <c r="B3292" s="1928" t="str">
        <f>报表附注!E3763</f>
        <v>　　4.期末余额</v>
      </c>
      <c r="C3292" s="1936">
        <f>报表附注!I3763</f>
        <v>0</v>
      </c>
    </row>
    <row r="3293" spans="2:3">
      <c r="B3293" s="1928" t="str">
        <f>报表附注!E3764</f>
        <v>二、累计折旧和累计摊销</v>
      </c>
      <c r="C3293" s="1936">
        <f>报表附注!I3764</f>
        <v>0</v>
      </c>
    </row>
    <row r="3294" spans="2:3">
      <c r="B3294" s="1928" t="str">
        <f>报表附注!E3765</f>
        <v>　　1.期初余额</v>
      </c>
      <c r="C3294" s="1936">
        <f>报表附注!I3765</f>
        <v>0</v>
      </c>
    </row>
    <row r="3295" spans="2:3">
      <c r="B3295" s="1928" t="str">
        <f>报表附注!E3766</f>
        <v>　　2.本期增加金额</v>
      </c>
      <c r="C3295" s="1936">
        <f>报表附注!I3766</f>
        <v>0</v>
      </c>
    </row>
    <row r="3296" spans="2:3">
      <c r="B3296" s="1928" t="str">
        <f>报表附注!E3767</f>
        <v>　　（1）计提或摊销</v>
      </c>
      <c r="C3296" s="1936">
        <f>报表附注!I3767</f>
        <v>0</v>
      </c>
    </row>
    <row r="3297" spans="2:3">
      <c r="B3297" s="1928" t="str">
        <f>报表附注!E3768</f>
        <v>　　（2）固定资产\无形资产转入</v>
      </c>
      <c r="C3297" s="1936">
        <f>报表附注!I3768</f>
        <v>0</v>
      </c>
    </row>
    <row r="3298" spans="2:3">
      <c r="B3298" s="1928" t="str">
        <f>报表附注!E3769</f>
        <v>　　（3）企业合并增加</v>
      </c>
      <c r="C3298" s="1936">
        <f>报表附注!I3769</f>
        <v>0</v>
      </c>
    </row>
    <row r="3299" spans="2:3">
      <c r="B3299" s="1928" t="str">
        <f>报表附注!E3770</f>
        <v>　　3.本期减少金额</v>
      </c>
      <c r="C3299" s="1936">
        <f>报表附注!I3770</f>
        <v>0</v>
      </c>
    </row>
    <row r="3300" spans="2:3">
      <c r="B3300" s="1928" t="str">
        <f>报表附注!E3771</f>
        <v>　　（1）处置</v>
      </c>
      <c r="C3300" s="1936">
        <f>报表附注!I3771</f>
        <v>0</v>
      </c>
    </row>
    <row r="3301" spans="2:3">
      <c r="B3301" s="1928" t="str">
        <f>报表附注!E3772</f>
        <v>　　（2）其他转出</v>
      </c>
      <c r="C3301" s="1936">
        <f>报表附注!I3772</f>
        <v>0</v>
      </c>
    </row>
    <row r="3302" spans="2:3">
      <c r="B3302" s="1928" t="str">
        <f>报表附注!E3773</f>
        <v>　　（3）企业合并减少</v>
      </c>
      <c r="C3302" s="1936">
        <f>报表附注!I3773</f>
        <v>0</v>
      </c>
    </row>
    <row r="3303" spans="2:3">
      <c r="B3303" s="1928" t="str">
        <f>报表附注!E3774</f>
        <v>　　4.期末余额</v>
      </c>
      <c r="C3303" s="1936">
        <f>报表附注!I3774</f>
        <v>0</v>
      </c>
    </row>
    <row r="3304" spans="2:3">
      <c r="B3304" s="1928" t="str">
        <f>报表附注!E3775</f>
        <v>三、减值准备</v>
      </c>
      <c r="C3304" s="1936">
        <f>报表附注!I3775</f>
        <v>0</v>
      </c>
    </row>
    <row r="3305" spans="2:3">
      <c r="B3305" s="1928" t="str">
        <f>报表附注!E3776</f>
        <v>　　1.期初余额</v>
      </c>
      <c r="C3305" s="1936">
        <f>报表附注!I3776</f>
        <v>0</v>
      </c>
    </row>
    <row r="3306" spans="2:3">
      <c r="B3306" s="1928" t="str">
        <f>报表附注!E3777</f>
        <v>　　2.本期增加金额</v>
      </c>
      <c r="C3306" s="1936">
        <f>报表附注!I3777</f>
        <v>0</v>
      </c>
    </row>
    <row r="3307" spans="2:3">
      <c r="B3307" s="1928" t="str">
        <f>报表附注!E3778</f>
        <v>　　（1）计提</v>
      </c>
      <c r="C3307" s="1936">
        <f>报表附注!I3778</f>
        <v>0</v>
      </c>
    </row>
    <row r="3308" spans="2:3">
      <c r="B3308" s="1988">
        <f>报表附注!E3779</f>
        <v>0</v>
      </c>
      <c r="C3308" s="1936">
        <f>报表附注!I3779</f>
        <v>0</v>
      </c>
    </row>
    <row r="3309" spans="2:3">
      <c r="B3309" s="1988" t="str">
        <f>报表附注!E3780</f>
        <v>　　3、本期减少金额</v>
      </c>
      <c r="C3309" s="1936">
        <f>报表附注!I3780</f>
        <v>0</v>
      </c>
    </row>
    <row r="3310" spans="2:3">
      <c r="B3310" s="1988" t="str">
        <f>报表附注!E3781</f>
        <v>　　（1）处置</v>
      </c>
      <c r="C3310" s="1936">
        <f>报表附注!I3781</f>
        <v>0</v>
      </c>
    </row>
    <row r="3311" spans="2:3">
      <c r="B3311" s="1988" t="str">
        <f>报表附注!E3782</f>
        <v>　　（2）其他转出</v>
      </c>
      <c r="C3311" s="1936">
        <f>报表附注!I3782</f>
        <v>0</v>
      </c>
    </row>
    <row r="3312" spans="2:3">
      <c r="B3312" s="1988">
        <f>报表附注!E3783</f>
        <v>0</v>
      </c>
      <c r="C3312" s="1936">
        <f>报表附注!I3783</f>
        <v>0</v>
      </c>
    </row>
    <row r="3313" spans="2:3">
      <c r="B3313" s="1928" t="str">
        <f>报表附注!E3784</f>
        <v>　　4.期末余额</v>
      </c>
      <c r="C3313" s="1936">
        <f>报表附注!I3784</f>
        <v>0</v>
      </c>
    </row>
    <row r="3314" spans="2:3">
      <c r="B3314" s="1983" t="str">
        <f>报表附注!E3785</f>
        <v>四、账面价值</v>
      </c>
      <c r="C3314" s="1936">
        <f>报表附注!I3785</f>
        <v>0</v>
      </c>
    </row>
    <row r="3315" spans="2:3">
      <c r="B3315" s="1939" t="str">
        <f>报表附注!E3786</f>
        <v>　　1.期末账面价值</v>
      </c>
      <c r="C3315" s="1936">
        <f>报表附注!I3786</f>
        <v>0</v>
      </c>
    </row>
    <row r="3316" spans="2:3">
      <c r="B3316" s="1939" t="str">
        <f>报表附注!E3787</f>
        <v>　　2.期初账面价值</v>
      </c>
      <c r="C3316" s="1936">
        <f>报表附注!I3787</f>
        <v>0</v>
      </c>
    </row>
    <row r="3318" spans="2:2">
      <c r="B3318" s="1933" t="str">
        <f>报表附注!$E$3795</f>
        <v>(十七)固定资产-披露表</v>
      </c>
    </row>
    <row r="3319" spans="2:3">
      <c r="B3319" s="1933" t="str">
        <f>报表附注!$F$3796</f>
        <v>房屋及建筑物</v>
      </c>
      <c r="C3319" s="1990" t="str">
        <f>报表附注!F3796</f>
        <v>房屋及建筑物</v>
      </c>
    </row>
    <row r="3320" spans="2:3">
      <c r="B3320" s="1928" t="str">
        <f>报表附注!E3797</f>
        <v>一、账面原值：</v>
      </c>
      <c r="C3320" s="1936">
        <f>报表附注!F3797</f>
        <v>0</v>
      </c>
    </row>
    <row r="3321" spans="2:3">
      <c r="B3321" s="1928" t="str">
        <f>报表附注!E3798</f>
        <v>　　1.期初余额</v>
      </c>
      <c r="C3321" s="1936">
        <f>报表附注!F3798</f>
        <v>0</v>
      </c>
    </row>
    <row r="3322" spans="2:3">
      <c r="B3322" s="1928" t="str">
        <f>报表附注!E3799</f>
        <v>　　2.本期增加金额</v>
      </c>
      <c r="C3322" s="1936">
        <f>报表附注!F3799</f>
        <v>0</v>
      </c>
    </row>
    <row r="3323" spans="2:3">
      <c r="B3323" s="1928" t="str">
        <f>报表附注!E3800</f>
        <v>　　　（1）购置</v>
      </c>
      <c r="C3323" s="1936">
        <f>报表附注!F3800</f>
        <v>0</v>
      </c>
    </row>
    <row r="3324" spans="2:3">
      <c r="B3324" s="1928" t="str">
        <f>报表附注!E3801</f>
        <v>　　　（2）在建工程转入</v>
      </c>
      <c r="C3324" s="1936">
        <f>报表附注!F3801</f>
        <v>0</v>
      </c>
    </row>
    <row r="3325" spans="2:3">
      <c r="B3325" s="1928" t="str">
        <f>报表附注!E3802</f>
        <v>　　　（3）企业合并增加</v>
      </c>
      <c r="C3325" s="1936">
        <f>报表附注!F3802</f>
        <v>0</v>
      </c>
    </row>
    <row r="3326" spans="2:3">
      <c r="B3326" s="1928" t="str">
        <f>报表附注!E3803</f>
        <v>　　　（4）投资性房地产转回</v>
      </c>
      <c r="C3326" s="1936">
        <f>报表附注!F3803</f>
        <v>0</v>
      </c>
    </row>
    <row r="3327" spans="2:3">
      <c r="B3327" s="1928" t="str">
        <f>报表附注!E3804</f>
        <v>　　　（5）业务并购</v>
      </c>
      <c r="C3327" s="1936">
        <f>报表附注!F3804</f>
        <v>0</v>
      </c>
    </row>
    <row r="3328" spans="2:3">
      <c r="B3328" s="1928" t="str">
        <f>报表附注!E3805</f>
        <v>　　　（6）其他</v>
      </c>
      <c r="C3328" s="1936">
        <f>报表附注!F3805</f>
        <v>0</v>
      </c>
    </row>
    <row r="3329" spans="2:3">
      <c r="B3329" s="1928" t="str">
        <f>报表附注!E3806</f>
        <v>　　3.本期减少金额</v>
      </c>
      <c r="C3329" s="1936">
        <f>报表附注!F3806</f>
        <v>0</v>
      </c>
    </row>
    <row r="3330" spans="2:3">
      <c r="B3330" s="1928" t="str">
        <f>报表附注!E3807</f>
        <v>　　　（1）处置或报废</v>
      </c>
      <c r="C3330" s="1936">
        <f>报表附注!F3807</f>
        <v>0</v>
      </c>
    </row>
    <row r="3331" spans="2:3">
      <c r="B3331" s="1928" t="str">
        <f>报表附注!E3808</f>
        <v>　　　（2）转入投资性房地产</v>
      </c>
      <c r="C3331" s="1936">
        <f>报表附注!F3808</f>
        <v>0</v>
      </c>
    </row>
    <row r="3332" spans="2:3">
      <c r="B3332" s="1928" t="str">
        <f>报表附注!E3809</f>
        <v>      （3）企业合并减少</v>
      </c>
      <c r="C3332" s="1936">
        <f>报表附注!F3809</f>
        <v>0</v>
      </c>
    </row>
    <row r="3333" spans="2:3">
      <c r="B3333" s="1928" t="str">
        <f>报表附注!E3810</f>
        <v>      （4）其他减少</v>
      </c>
      <c r="C3333" s="1936">
        <f>报表附注!F3810</f>
        <v>0</v>
      </c>
    </row>
    <row r="3334" spans="2:3">
      <c r="B3334" s="1928" t="str">
        <f>报表附注!E3811</f>
        <v>　　4.期末余额</v>
      </c>
      <c r="C3334" s="1936">
        <f>报表附注!F3811</f>
        <v>0</v>
      </c>
    </row>
    <row r="3335" spans="2:3">
      <c r="B3335" s="1928" t="str">
        <f>报表附注!E3812</f>
        <v>二、累计折旧</v>
      </c>
      <c r="C3335" s="1936">
        <f>报表附注!F3812</f>
        <v>0</v>
      </c>
    </row>
    <row r="3336" spans="2:3">
      <c r="B3336" s="1928" t="str">
        <f>报表附注!E3813</f>
        <v>　　1.期初余额</v>
      </c>
      <c r="C3336" s="1936">
        <f>报表附注!F3813</f>
        <v>0</v>
      </c>
    </row>
    <row r="3337" spans="2:3">
      <c r="B3337" s="1928" t="str">
        <f>报表附注!E3814</f>
        <v>　　2.本期增加金额</v>
      </c>
      <c r="C3337" s="1936">
        <f>报表附注!F3814</f>
        <v>0</v>
      </c>
    </row>
    <row r="3338" spans="2:3">
      <c r="B3338" s="1928" t="str">
        <f>报表附注!E3815</f>
        <v>　　　（1）计提</v>
      </c>
      <c r="C3338" s="1936">
        <f>报表附注!F3815</f>
        <v>0</v>
      </c>
    </row>
    <row r="3339" spans="2:3">
      <c r="B3339" s="1928" t="str">
        <f>报表附注!E3816</f>
        <v>      （2）企业合并增加</v>
      </c>
      <c r="C3339" s="1936">
        <f>报表附注!F3816</f>
        <v>0</v>
      </c>
    </row>
    <row r="3340" spans="2:3">
      <c r="B3340" s="1928" t="str">
        <f>报表附注!E3817</f>
        <v>　　　（3）投资性房地产转回</v>
      </c>
      <c r="C3340" s="1936">
        <f>报表附注!F3817</f>
        <v>0</v>
      </c>
    </row>
    <row r="3341" spans="2:3">
      <c r="B3341" s="1928" t="str">
        <f>报表附注!E3818</f>
        <v>　　　（4）其他转入</v>
      </c>
      <c r="C3341" s="1936">
        <f>报表附注!F3818</f>
        <v>0</v>
      </c>
    </row>
    <row r="3342" spans="2:3">
      <c r="B3342" s="1928" t="str">
        <f>报表附注!E3819</f>
        <v>　　3.本期减少金额</v>
      </c>
      <c r="C3342" s="1936">
        <f>报表附注!F3819</f>
        <v>0</v>
      </c>
    </row>
    <row r="3343" spans="2:3">
      <c r="B3343" s="1928" t="str">
        <f>报表附注!E3820</f>
        <v>　　　（1）处置或报废</v>
      </c>
      <c r="C3343" s="1936">
        <f>报表附注!F3820</f>
        <v>0</v>
      </c>
    </row>
    <row r="3344" spans="2:3">
      <c r="B3344" s="1928" t="str">
        <f>报表附注!E3821</f>
        <v>　　　（2）转入投资性房地产</v>
      </c>
      <c r="C3344" s="1936">
        <f>报表附注!F3821</f>
        <v>0</v>
      </c>
    </row>
    <row r="3345" spans="2:3">
      <c r="B3345" s="1928" t="str">
        <f>报表附注!E3822</f>
        <v>      （3）企业合并减少</v>
      </c>
      <c r="C3345" s="1936">
        <f>报表附注!F3822</f>
        <v>0</v>
      </c>
    </row>
    <row r="3346" spans="2:3">
      <c r="B3346" s="1928" t="str">
        <f>报表附注!E3823</f>
        <v>　　　（4）其他转出</v>
      </c>
      <c r="C3346" s="1936">
        <f>报表附注!F3823</f>
        <v>0</v>
      </c>
    </row>
    <row r="3347" spans="2:3">
      <c r="B3347" s="1928" t="str">
        <f>报表附注!E3824</f>
        <v>　　4.期末余额</v>
      </c>
      <c r="C3347" s="1936">
        <f>报表附注!F3824</f>
        <v>0</v>
      </c>
    </row>
    <row r="3348" spans="2:3">
      <c r="B3348" s="1928" t="str">
        <f>报表附注!E3825</f>
        <v>三、减值准备</v>
      </c>
      <c r="C3348" s="1936">
        <f>报表附注!F3825</f>
        <v>0</v>
      </c>
    </row>
    <row r="3349" spans="2:3">
      <c r="B3349" s="1928" t="str">
        <f>报表附注!E3826</f>
        <v>　　1.期初余额</v>
      </c>
      <c r="C3349" s="1936">
        <f>报表附注!F3826</f>
        <v>0</v>
      </c>
    </row>
    <row r="3350" spans="2:3">
      <c r="B3350" s="1928" t="str">
        <f>报表附注!E3827</f>
        <v>　　2.本期增加金额</v>
      </c>
      <c r="C3350" s="1936">
        <f>报表附注!F3827</f>
        <v>0</v>
      </c>
    </row>
    <row r="3351" spans="2:3">
      <c r="B3351" s="1928" t="str">
        <f>报表附注!E3828</f>
        <v>　　　（1）计提</v>
      </c>
      <c r="C3351" s="1936">
        <f>报表附注!F3828</f>
        <v>0</v>
      </c>
    </row>
    <row r="3352" spans="2:3">
      <c r="B3352" s="1928">
        <f>报表附注!E3829</f>
        <v>0</v>
      </c>
      <c r="C3352" s="1936">
        <f>报表附注!F3829</f>
        <v>0</v>
      </c>
    </row>
    <row r="3353" spans="2:3">
      <c r="B3353" s="1928" t="str">
        <f>报表附注!E3830</f>
        <v>　　3.本期减少金额</v>
      </c>
      <c r="C3353" s="1936">
        <f>报表附注!F3830</f>
        <v>0</v>
      </c>
    </row>
    <row r="3354" spans="2:3">
      <c r="B3354" s="1928" t="str">
        <f>报表附注!E3831</f>
        <v>　　　（1）处置或报废</v>
      </c>
      <c r="C3354" s="1936">
        <f>报表附注!F3831</f>
        <v>0</v>
      </c>
    </row>
    <row r="3355" spans="2:3">
      <c r="B3355" s="1928">
        <f>报表附注!E3832</f>
        <v>0</v>
      </c>
      <c r="C3355" s="1936">
        <f>报表附注!F3832</f>
        <v>0</v>
      </c>
    </row>
    <row r="3356" spans="2:3">
      <c r="B3356" s="1928" t="str">
        <f>报表附注!E3833</f>
        <v>　　4.期末余额</v>
      </c>
      <c r="C3356" s="1936">
        <f>报表附注!F3833</f>
        <v>0</v>
      </c>
    </row>
    <row r="3357" spans="2:3">
      <c r="B3357" s="1928" t="str">
        <f>报表附注!E3834</f>
        <v>四、账面价值</v>
      </c>
      <c r="C3357" s="1936">
        <f>报表附注!F3834</f>
        <v>0</v>
      </c>
    </row>
    <row r="3358" spans="2:3">
      <c r="B3358" s="1939" t="str">
        <f>报表附注!E3835</f>
        <v>　　1.期末账面价值</v>
      </c>
      <c r="C3358" s="1936">
        <f>报表附注!F3835</f>
        <v>0</v>
      </c>
    </row>
    <row r="3359" spans="2:3">
      <c r="B3359" s="1939" t="str">
        <f>报表附注!E3836</f>
        <v>　　2.期初账面价值</v>
      </c>
      <c r="C3359" s="1936">
        <f>报表附注!F3836</f>
        <v>0</v>
      </c>
    </row>
    <row r="3360" spans="2:3">
      <c r="B3360" s="1933" t="str">
        <f>报表附注!$G$3796</f>
        <v>机器设备</v>
      </c>
      <c r="C3360" s="1990" t="str">
        <f>报表附注!G3796</f>
        <v>机器设备</v>
      </c>
    </row>
    <row r="3361" spans="2:3">
      <c r="B3361" s="1928" t="str">
        <f>报表附注!E3797</f>
        <v>一、账面原值：</v>
      </c>
      <c r="C3361" s="1990">
        <f>报表附注!G3797</f>
        <v>0</v>
      </c>
    </row>
    <row r="3362" spans="2:3">
      <c r="B3362" s="1928" t="str">
        <f>报表附注!E3798</f>
        <v>　　1.期初余额</v>
      </c>
      <c r="C3362" s="1936">
        <f>报表附注!G3798</f>
        <v>0</v>
      </c>
    </row>
    <row r="3363" spans="2:3">
      <c r="B3363" s="1928" t="str">
        <f>报表附注!E3799</f>
        <v>　　2.本期增加金额</v>
      </c>
      <c r="C3363" s="1936">
        <f>报表附注!G3799</f>
        <v>0</v>
      </c>
    </row>
    <row r="3364" spans="2:3">
      <c r="B3364" s="1928" t="str">
        <f>报表附注!E3800</f>
        <v>　　　（1）购置</v>
      </c>
      <c r="C3364" s="1936">
        <f>报表附注!G3800</f>
        <v>0</v>
      </c>
    </row>
    <row r="3365" spans="2:3">
      <c r="B3365" s="1928" t="str">
        <f>报表附注!E3801</f>
        <v>　　　（2）在建工程转入</v>
      </c>
      <c r="C3365" s="1936">
        <f>报表附注!G3801</f>
        <v>0</v>
      </c>
    </row>
    <row r="3366" spans="2:3">
      <c r="B3366" s="1928" t="str">
        <f>报表附注!E3802</f>
        <v>　　　（3）企业合并增加</v>
      </c>
      <c r="C3366" s="1936">
        <f>报表附注!G3802</f>
        <v>0</v>
      </c>
    </row>
    <row r="3367" spans="2:3">
      <c r="B3367" s="1928" t="str">
        <f>报表附注!E3803</f>
        <v>　　　（4）投资性房地产转回</v>
      </c>
      <c r="C3367" s="1936">
        <f>报表附注!G3803</f>
        <v>0</v>
      </c>
    </row>
    <row r="3368" spans="2:3">
      <c r="B3368" s="1928" t="str">
        <f>报表附注!E3804</f>
        <v>　　　（5）业务并购</v>
      </c>
      <c r="C3368" s="1936">
        <f>报表附注!G3804</f>
        <v>0</v>
      </c>
    </row>
    <row r="3369" spans="2:3">
      <c r="B3369" s="1928" t="str">
        <f>报表附注!E3805</f>
        <v>　　　（6）其他</v>
      </c>
      <c r="C3369" s="1936">
        <f>报表附注!G3805</f>
        <v>0</v>
      </c>
    </row>
    <row r="3370" spans="2:3">
      <c r="B3370" s="1928" t="str">
        <f>报表附注!E3806</f>
        <v>　　3.本期减少金额</v>
      </c>
      <c r="C3370" s="1936">
        <f>报表附注!G3806</f>
        <v>0</v>
      </c>
    </row>
    <row r="3371" spans="2:3">
      <c r="B3371" s="1928" t="str">
        <f>报表附注!E3807</f>
        <v>　　　（1）处置或报废</v>
      </c>
      <c r="C3371" s="1936">
        <f>报表附注!G3807</f>
        <v>0</v>
      </c>
    </row>
    <row r="3372" spans="2:3">
      <c r="B3372" s="1928" t="str">
        <f>报表附注!E3808</f>
        <v>　　　（2）转入投资性房地产</v>
      </c>
      <c r="C3372" s="1936">
        <f>报表附注!G3808</f>
        <v>0</v>
      </c>
    </row>
    <row r="3373" spans="2:3">
      <c r="B3373" s="1928" t="str">
        <f>报表附注!E3809</f>
        <v>      （3）企业合并减少</v>
      </c>
      <c r="C3373" s="1936">
        <f>报表附注!G3809</f>
        <v>0</v>
      </c>
    </row>
    <row r="3374" spans="2:3">
      <c r="B3374" s="1928" t="str">
        <f>报表附注!E3810</f>
        <v>      （4）其他减少</v>
      </c>
      <c r="C3374" s="1936">
        <f>报表附注!G3810</f>
        <v>0</v>
      </c>
    </row>
    <row r="3375" spans="2:3">
      <c r="B3375" s="1928" t="str">
        <f>报表附注!E3811</f>
        <v>　　4.期末余额</v>
      </c>
      <c r="C3375" s="1936">
        <f>报表附注!G3811</f>
        <v>0</v>
      </c>
    </row>
    <row r="3376" spans="2:3">
      <c r="B3376" s="1928" t="str">
        <f>报表附注!E3812</f>
        <v>二、累计折旧</v>
      </c>
      <c r="C3376" s="1936">
        <f>报表附注!G3812</f>
        <v>0</v>
      </c>
    </row>
    <row r="3377" spans="2:3">
      <c r="B3377" s="1928" t="str">
        <f>报表附注!E3813</f>
        <v>　　1.期初余额</v>
      </c>
      <c r="C3377" s="1936">
        <f>报表附注!G3813</f>
        <v>0</v>
      </c>
    </row>
    <row r="3378" spans="2:3">
      <c r="B3378" s="1928" t="str">
        <f>报表附注!E3814</f>
        <v>　　2.本期增加金额</v>
      </c>
      <c r="C3378" s="1936">
        <f>报表附注!G3814</f>
        <v>0</v>
      </c>
    </row>
    <row r="3379" spans="2:3">
      <c r="B3379" s="1928" t="str">
        <f>报表附注!E3815</f>
        <v>　　　（1）计提</v>
      </c>
      <c r="C3379" s="1936">
        <f>报表附注!G3815</f>
        <v>0</v>
      </c>
    </row>
    <row r="3380" spans="2:3">
      <c r="B3380" s="1928" t="str">
        <f>报表附注!E3816</f>
        <v>      （2）企业合并增加</v>
      </c>
      <c r="C3380" s="1936">
        <f>报表附注!G3816</f>
        <v>0</v>
      </c>
    </row>
    <row r="3381" spans="2:3">
      <c r="B3381" s="1928" t="str">
        <f>报表附注!E3817</f>
        <v>　　　（3）投资性房地产转回</v>
      </c>
      <c r="C3381" s="1936">
        <f>报表附注!G3817</f>
        <v>0</v>
      </c>
    </row>
    <row r="3382" spans="2:3">
      <c r="B3382" s="1928" t="str">
        <f>报表附注!E3818</f>
        <v>　　　（4）其他转入</v>
      </c>
      <c r="C3382" s="1936">
        <f>报表附注!G3818</f>
        <v>0</v>
      </c>
    </row>
    <row r="3383" spans="2:3">
      <c r="B3383" s="1928" t="str">
        <f>报表附注!E3819</f>
        <v>　　3.本期减少金额</v>
      </c>
      <c r="C3383" s="1936">
        <f>报表附注!G3819</f>
        <v>0</v>
      </c>
    </row>
    <row r="3384" spans="2:3">
      <c r="B3384" s="1928" t="str">
        <f>报表附注!E3820</f>
        <v>　　　（1）处置或报废</v>
      </c>
      <c r="C3384" s="1936">
        <f>报表附注!G3820</f>
        <v>0</v>
      </c>
    </row>
    <row r="3385" spans="2:3">
      <c r="B3385" s="1928" t="str">
        <f>报表附注!E3821</f>
        <v>　　　（2）转入投资性房地产</v>
      </c>
      <c r="C3385" s="1936">
        <f>报表附注!G3821</f>
        <v>0</v>
      </c>
    </row>
    <row r="3386" spans="2:3">
      <c r="B3386" s="1928" t="str">
        <f>报表附注!E3822</f>
        <v>      （3）企业合并减少</v>
      </c>
      <c r="C3386" s="1936">
        <f>报表附注!G3822</f>
        <v>0</v>
      </c>
    </row>
    <row r="3387" spans="2:3">
      <c r="B3387" s="1928" t="str">
        <f>报表附注!E3823</f>
        <v>　　　（4）其他转出</v>
      </c>
      <c r="C3387" s="1936">
        <f>报表附注!G3823</f>
        <v>0</v>
      </c>
    </row>
    <row r="3388" spans="2:3">
      <c r="B3388" s="1928" t="str">
        <f>报表附注!E3824</f>
        <v>　　4.期末余额</v>
      </c>
      <c r="C3388" s="1936">
        <f>报表附注!G3824</f>
        <v>0</v>
      </c>
    </row>
    <row r="3389" spans="2:3">
      <c r="B3389" s="1928" t="str">
        <f>报表附注!E3825</f>
        <v>三、减值准备</v>
      </c>
      <c r="C3389" s="1936">
        <f>报表附注!G3825</f>
        <v>0</v>
      </c>
    </row>
    <row r="3390" spans="2:3">
      <c r="B3390" s="1928" t="str">
        <f>报表附注!E3826</f>
        <v>　　1.期初余额</v>
      </c>
      <c r="C3390" s="1936">
        <f>报表附注!G3826</f>
        <v>0</v>
      </c>
    </row>
    <row r="3391" spans="2:3">
      <c r="B3391" s="1928" t="str">
        <f>报表附注!E3827</f>
        <v>　　2.本期增加金额</v>
      </c>
      <c r="C3391" s="1936">
        <f>报表附注!G3827</f>
        <v>0</v>
      </c>
    </row>
    <row r="3392" spans="2:3">
      <c r="B3392" s="1928" t="str">
        <f>报表附注!E3828</f>
        <v>　　　（1）计提</v>
      </c>
      <c r="C3392" s="1936">
        <f>报表附注!G3828</f>
        <v>0</v>
      </c>
    </row>
    <row r="3393" spans="2:3">
      <c r="B3393" s="1928">
        <f>报表附注!E3829</f>
        <v>0</v>
      </c>
      <c r="C3393" s="1936">
        <f>报表附注!G3829</f>
        <v>0</v>
      </c>
    </row>
    <row r="3394" spans="2:3">
      <c r="B3394" s="1928" t="str">
        <f>报表附注!E3830</f>
        <v>　　3.本期减少金额</v>
      </c>
      <c r="C3394" s="1936">
        <f>报表附注!G3830</f>
        <v>0</v>
      </c>
    </row>
    <row r="3395" spans="2:3">
      <c r="B3395" s="1928" t="str">
        <f>报表附注!E3831</f>
        <v>　　　（1）处置或报废</v>
      </c>
      <c r="C3395" s="1936">
        <f>报表附注!G3831</f>
        <v>0</v>
      </c>
    </row>
    <row r="3396" spans="2:3">
      <c r="B3396" s="1928">
        <f>报表附注!E3832</f>
        <v>0</v>
      </c>
      <c r="C3396" s="1936">
        <f>报表附注!G3832</f>
        <v>0</v>
      </c>
    </row>
    <row r="3397" spans="2:3">
      <c r="B3397" s="1928" t="str">
        <f>报表附注!E3833</f>
        <v>　　4.期末余额</v>
      </c>
      <c r="C3397" s="1936">
        <f>报表附注!G3833</f>
        <v>0</v>
      </c>
    </row>
    <row r="3398" spans="2:3">
      <c r="B3398" s="1928" t="str">
        <f>报表附注!E3834</f>
        <v>四、账面价值</v>
      </c>
      <c r="C3398" s="1936">
        <f>报表附注!G3834</f>
        <v>0</v>
      </c>
    </row>
    <row r="3399" spans="2:3">
      <c r="B3399" s="1939" t="str">
        <f>报表附注!E3835</f>
        <v>　　1.期末账面价值</v>
      </c>
      <c r="C3399" s="1936">
        <f>报表附注!G3835</f>
        <v>0</v>
      </c>
    </row>
    <row r="3400" spans="2:3">
      <c r="B3400" s="1939" t="str">
        <f>报表附注!E3836</f>
        <v>　　2.期初账面价值</v>
      </c>
      <c r="C3400" s="1936">
        <f>报表附注!G3836</f>
        <v>0</v>
      </c>
    </row>
    <row r="3401" spans="2:3">
      <c r="B3401" s="1933" t="str">
        <f>报表附注!$H$3796</f>
        <v>运输设备</v>
      </c>
      <c r="C3401" s="1930" t="str">
        <f>报表附注!H3796</f>
        <v>运输设备</v>
      </c>
    </row>
    <row r="3402" spans="2:3">
      <c r="B3402" s="1928" t="str">
        <f>报表附注!E3797</f>
        <v>一、账面原值：</v>
      </c>
      <c r="C3402" s="1930">
        <f>报表附注!H3797</f>
        <v>0</v>
      </c>
    </row>
    <row r="3403" spans="2:3">
      <c r="B3403" s="1928" t="str">
        <f>报表附注!E3798</f>
        <v>　　1.期初余额</v>
      </c>
      <c r="C3403" s="1936">
        <f>报表附注!H3798</f>
        <v>0</v>
      </c>
    </row>
    <row r="3404" spans="2:3">
      <c r="B3404" s="1928" t="str">
        <f>报表附注!E3799</f>
        <v>　　2.本期增加金额</v>
      </c>
      <c r="C3404" s="1936">
        <f>报表附注!H3799</f>
        <v>0</v>
      </c>
    </row>
    <row r="3405" spans="2:3">
      <c r="B3405" s="1928" t="str">
        <f>报表附注!E3800</f>
        <v>　　　（1）购置</v>
      </c>
      <c r="C3405" s="1936">
        <f>报表附注!H3800</f>
        <v>0</v>
      </c>
    </row>
    <row r="3406" spans="2:3">
      <c r="B3406" s="1928" t="str">
        <f>报表附注!E3801</f>
        <v>　　　（2）在建工程转入</v>
      </c>
      <c r="C3406" s="1936">
        <f>报表附注!H3801</f>
        <v>0</v>
      </c>
    </row>
    <row r="3407" spans="2:3">
      <c r="B3407" s="1928" t="str">
        <f>报表附注!E3802</f>
        <v>　　　（3）企业合并增加</v>
      </c>
      <c r="C3407" s="1936">
        <f>报表附注!H3802</f>
        <v>0</v>
      </c>
    </row>
    <row r="3408" spans="2:3">
      <c r="B3408" s="1928" t="str">
        <f>报表附注!E3803</f>
        <v>　　　（4）投资性房地产转回</v>
      </c>
      <c r="C3408" s="1936">
        <f>报表附注!H3803</f>
        <v>0</v>
      </c>
    </row>
    <row r="3409" spans="2:3">
      <c r="B3409" s="1928" t="str">
        <f>报表附注!E3804</f>
        <v>　　　（5）业务并购</v>
      </c>
      <c r="C3409" s="1936">
        <f>报表附注!H3804</f>
        <v>0</v>
      </c>
    </row>
    <row r="3410" spans="2:3">
      <c r="B3410" s="1928" t="str">
        <f>报表附注!E3805</f>
        <v>　　　（6）其他</v>
      </c>
      <c r="C3410" s="1936">
        <f>报表附注!H3805</f>
        <v>0</v>
      </c>
    </row>
    <row r="3411" spans="2:3">
      <c r="B3411" s="1928" t="str">
        <f>报表附注!E3806</f>
        <v>　　3.本期减少金额</v>
      </c>
      <c r="C3411" s="1936">
        <f>报表附注!H3806</f>
        <v>0</v>
      </c>
    </row>
    <row r="3412" spans="2:3">
      <c r="B3412" s="1928" t="str">
        <f>报表附注!E3807</f>
        <v>　　　（1）处置或报废</v>
      </c>
      <c r="C3412" s="1936">
        <f>报表附注!H3807</f>
        <v>0</v>
      </c>
    </row>
    <row r="3413" spans="2:3">
      <c r="B3413" s="1928" t="str">
        <f>报表附注!E3808</f>
        <v>　　　（2）转入投资性房地产</v>
      </c>
      <c r="C3413" s="1936">
        <f>报表附注!H3808</f>
        <v>0</v>
      </c>
    </row>
    <row r="3414" spans="2:3">
      <c r="B3414" s="1928" t="str">
        <f>报表附注!E3809</f>
        <v>      （3）企业合并减少</v>
      </c>
      <c r="C3414" s="1936">
        <f>报表附注!H3809</f>
        <v>0</v>
      </c>
    </row>
    <row r="3415" spans="2:3">
      <c r="B3415" s="1928" t="str">
        <f>报表附注!E3810</f>
        <v>      （4）其他减少</v>
      </c>
      <c r="C3415" s="1936">
        <f>报表附注!H3810</f>
        <v>0</v>
      </c>
    </row>
    <row r="3416" spans="2:3">
      <c r="B3416" s="1928" t="str">
        <f>报表附注!E3811</f>
        <v>　　4.期末余额</v>
      </c>
      <c r="C3416" s="1936">
        <f>报表附注!H3811</f>
        <v>0</v>
      </c>
    </row>
    <row r="3417" spans="2:3">
      <c r="B3417" s="1928" t="str">
        <f>报表附注!E3812</f>
        <v>二、累计折旧</v>
      </c>
      <c r="C3417" s="1936">
        <f>报表附注!H3812</f>
        <v>0</v>
      </c>
    </row>
    <row r="3418" spans="2:3">
      <c r="B3418" s="1928" t="str">
        <f>报表附注!E3813</f>
        <v>　　1.期初余额</v>
      </c>
      <c r="C3418" s="1936">
        <f>报表附注!H3813</f>
        <v>0</v>
      </c>
    </row>
    <row r="3419" spans="2:3">
      <c r="B3419" s="1928" t="str">
        <f>报表附注!E3814</f>
        <v>　　2.本期增加金额</v>
      </c>
      <c r="C3419" s="1936">
        <f>报表附注!H3814</f>
        <v>0</v>
      </c>
    </row>
    <row r="3420" spans="2:3">
      <c r="B3420" s="1928" t="str">
        <f>报表附注!E3815</f>
        <v>　　　（1）计提</v>
      </c>
      <c r="C3420" s="1936">
        <f>报表附注!H3815</f>
        <v>0</v>
      </c>
    </row>
    <row r="3421" spans="2:3">
      <c r="B3421" s="1928" t="str">
        <f>报表附注!E3816</f>
        <v>      （2）企业合并增加</v>
      </c>
      <c r="C3421" s="1936">
        <f>报表附注!H3816</f>
        <v>0</v>
      </c>
    </row>
    <row r="3422" spans="2:3">
      <c r="B3422" s="1928" t="str">
        <f>报表附注!E3817</f>
        <v>　　　（3）投资性房地产转回</v>
      </c>
      <c r="C3422" s="1936">
        <f>报表附注!H3817</f>
        <v>0</v>
      </c>
    </row>
    <row r="3423" spans="2:3">
      <c r="B3423" s="1928" t="str">
        <f>报表附注!E3818</f>
        <v>　　　（4）其他转入</v>
      </c>
      <c r="C3423" s="1936">
        <f>报表附注!H3818</f>
        <v>0</v>
      </c>
    </row>
    <row r="3424" spans="2:3">
      <c r="B3424" s="1928" t="str">
        <f>报表附注!E3819</f>
        <v>　　3.本期减少金额</v>
      </c>
      <c r="C3424" s="1936">
        <f>报表附注!H3819</f>
        <v>0</v>
      </c>
    </row>
    <row r="3425" spans="2:3">
      <c r="B3425" s="1928" t="str">
        <f>报表附注!E3820</f>
        <v>　　　（1）处置或报废</v>
      </c>
      <c r="C3425" s="1936">
        <f>报表附注!H3820</f>
        <v>0</v>
      </c>
    </row>
    <row r="3426" spans="2:3">
      <c r="B3426" s="1928" t="str">
        <f>报表附注!E3821</f>
        <v>　　　（2）转入投资性房地产</v>
      </c>
      <c r="C3426" s="1936">
        <f>报表附注!H3821</f>
        <v>0</v>
      </c>
    </row>
    <row r="3427" spans="2:3">
      <c r="B3427" s="1928" t="str">
        <f>报表附注!E3822</f>
        <v>      （3）企业合并减少</v>
      </c>
      <c r="C3427" s="1936">
        <f>报表附注!H3822</f>
        <v>0</v>
      </c>
    </row>
    <row r="3428" spans="2:3">
      <c r="B3428" s="1928" t="str">
        <f>报表附注!E3823</f>
        <v>　　　（4）其他转出</v>
      </c>
      <c r="C3428" s="1936">
        <f>报表附注!H3823</f>
        <v>0</v>
      </c>
    </row>
    <row r="3429" spans="2:3">
      <c r="B3429" s="1928" t="str">
        <f>报表附注!E3824</f>
        <v>　　4.期末余额</v>
      </c>
      <c r="C3429" s="1936">
        <f>报表附注!H3824</f>
        <v>0</v>
      </c>
    </row>
    <row r="3430" spans="2:3">
      <c r="B3430" s="1928" t="str">
        <f>报表附注!E3825</f>
        <v>三、减值准备</v>
      </c>
      <c r="C3430" s="1936">
        <f>报表附注!H3825</f>
        <v>0</v>
      </c>
    </row>
    <row r="3431" spans="2:3">
      <c r="B3431" s="1928" t="str">
        <f>报表附注!E3826</f>
        <v>　　1.期初余额</v>
      </c>
      <c r="C3431" s="1936">
        <f>报表附注!H3826</f>
        <v>0</v>
      </c>
    </row>
    <row r="3432" spans="2:3">
      <c r="B3432" s="1928" t="str">
        <f>报表附注!E3827</f>
        <v>　　2.本期增加金额</v>
      </c>
      <c r="C3432" s="1936">
        <f>报表附注!H3827</f>
        <v>0</v>
      </c>
    </row>
    <row r="3433" spans="2:3">
      <c r="B3433" s="1928" t="str">
        <f>报表附注!E3828</f>
        <v>　　　（1）计提</v>
      </c>
      <c r="C3433" s="1936">
        <f>报表附注!H3828</f>
        <v>0</v>
      </c>
    </row>
    <row r="3434" spans="2:3">
      <c r="B3434" s="1928">
        <f>报表附注!E3829</f>
        <v>0</v>
      </c>
      <c r="C3434" s="1936">
        <f>报表附注!H3829</f>
        <v>0</v>
      </c>
    </row>
    <row r="3435" spans="2:3">
      <c r="B3435" s="1928" t="str">
        <f>报表附注!E3830</f>
        <v>　　3.本期减少金额</v>
      </c>
      <c r="C3435" s="1936">
        <f>报表附注!H3830</f>
        <v>0</v>
      </c>
    </row>
    <row r="3436" spans="2:3">
      <c r="B3436" s="1928" t="str">
        <f>报表附注!E3831</f>
        <v>　　　（1）处置或报废</v>
      </c>
      <c r="C3436" s="1936">
        <f>报表附注!H3831</f>
        <v>0</v>
      </c>
    </row>
    <row r="3437" spans="2:3">
      <c r="B3437" s="1928">
        <f>报表附注!E3832</f>
        <v>0</v>
      </c>
      <c r="C3437" s="1936">
        <f>报表附注!H3832</f>
        <v>0</v>
      </c>
    </row>
    <row r="3438" spans="2:3">
      <c r="B3438" s="1928" t="str">
        <f>报表附注!E3833</f>
        <v>　　4.期末余额</v>
      </c>
      <c r="C3438" s="1936">
        <f>报表附注!H3833</f>
        <v>0</v>
      </c>
    </row>
    <row r="3439" spans="2:3">
      <c r="B3439" s="1928" t="str">
        <f>报表附注!E3834</f>
        <v>四、账面价值</v>
      </c>
      <c r="C3439" s="1936">
        <f>报表附注!H3834</f>
        <v>0</v>
      </c>
    </row>
    <row r="3440" spans="2:3">
      <c r="B3440" s="1939" t="str">
        <f>报表附注!E3835</f>
        <v>　　1.期末账面价值</v>
      </c>
      <c r="C3440" s="1936">
        <f>报表附注!H3835</f>
        <v>0</v>
      </c>
    </row>
    <row r="3441" spans="2:3">
      <c r="B3441" s="1939" t="str">
        <f>报表附注!E3836</f>
        <v>　　2.期初账面价值</v>
      </c>
      <c r="C3441" s="1936">
        <f>报表附注!H3836</f>
        <v>0</v>
      </c>
    </row>
    <row r="3442" spans="2:3">
      <c r="B3442" s="1933" t="str">
        <f>报表附注!$I$3796</f>
        <v>电子设备及其他</v>
      </c>
      <c r="C3442" s="1930" t="str">
        <f>报表附注!I3796</f>
        <v>电子设备及其他</v>
      </c>
    </row>
    <row r="3443" spans="2:3">
      <c r="B3443" s="1928" t="str">
        <f>报表附注!E3797</f>
        <v>一、账面原值：</v>
      </c>
      <c r="C3443" s="1930">
        <f>报表附注!I3797</f>
        <v>0</v>
      </c>
    </row>
    <row r="3444" spans="2:3">
      <c r="B3444" s="1928" t="str">
        <f>报表附注!E3798</f>
        <v>　　1.期初余额</v>
      </c>
      <c r="C3444" s="1936">
        <f>报表附注!I3798</f>
        <v>0</v>
      </c>
    </row>
    <row r="3445" spans="2:3">
      <c r="B3445" s="1928" t="str">
        <f>报表附注!E3799</f>
        <v>　　2.本期增加金额</v>
      </c>
      <c r="C3445" s="1936">
        <f>报表附注!I3799</f>
        <v>0</v>
      </c>
    </row>
    <row r="3446" spans="2:3">
      <c r="B3446" s="1928" t="str">
        <f>报表附注!E3800</f>
        <v>　　　（1）购置</v>
      </c>
      <c r="C3446" s="1936">
        <f>报表附注!I3800</f>
        <v>0</v>
      </c>
    </row>
    <row r="3447" spans="2:3">
      <c r="B3447" s="1928" t="str">
        <f>报表附注!E3801</f>
        <v>　　　（2）在建工程转入</v>
      </c>
      <c r="C3447" s="1936">
        <f>报表附注!I3801</f>
        <v>0</v>
      </c>
    </row>
    <row r="3448" spans="2:3">
      <c r="B3448" s="1928" t="str">
        <f>报表附注!E3802</f>
        <v>　　　（3）企业合并增加</v>
      </c>
      <c r="C3448" s="1936">
        <f>报表附注!I3802</f>
        <v>0</v>
      </c>
    </row>
    <row r="3449" spans="2:3">
      <c r="B3449" s="1928" t="str">
        <f>报表附注!E3803</f>
        <v>　　　（4）投资性房地产转回</v>
      </c>
      <c r="C3449" s="1936">
        <f>报表附注!I3803</f>
        <v>0</v>
      </c>
    </row>
    <row r="3450" spans="2:3">
      <c r="B3450" s="1928" t="str">
        <f>报表附注!E3804</f>
        <v>　　　（5）业务并购</v>
      </c>
      <c r="C3450" s="1936">
        <f>报表附注!I3804</f>
        <v>0</v>
      </c>
    </row>
    <row r="3451" spans="2:3">
      <c r="B3451" s="1928" t="str">
        <f>报表附注!E3805</f>
        <v>　　　（6）其他</v>
      </c>
      <c r="C3451" s="1936">
        <f>报表附注!I3805</f>
        <v>0</v>
      </c>
    </row>
    <row r="3452" spans="2:3">
      <c r="B3452" s="1928" t="str">
        <f>报表附注!E3806</f>
        <v>　　3.本期减少金额</v>
      </c>
      <c r="C3452" s="1936">
        <f>报表附注!I3806</f>
        <v>0</v>
      </c>
    </row>
    <row r="3453" spans="2:3">
      <c r="B3453" s="1928" t="str">
        <f>报表附注!E3807</f>
        <v>　　　（1）处置或报废</v>
      </c>
      <c r="C3453" s="1936">
        <f>报表附注!I3807</f>
        <v>0</v>
      </c>
    </row>
    <row r="3454" spans="2:3">
      <c r="B3454" s="1928" t="str">
        <f>报表附注!E3808</f>
        <v>　　　（2）转入投资性房地产</v>
      </c>
      <c r="C3454" s="1936">
        <f>报表附注!I3808</f>
        <v>0</v>
      </c>
    </row>
    <row r="3455" spans="2:3">
      <c r="B3455" s="1928" t="str">
        <f>报表附注!E3809</f>
        <v>      （3）企业合并减少</v>
      </c>
      <c r="C3455" s="1936">
        <f>报表附注!I3809</f>
        <v>0</v>
      </c>
    </row>
    <row r="3456" spans="2:3">
      <c r="B3456" s="1928" t="str">
        <f>报表附注!E3810</f>
        <v>      （4）其他减少</v>
      </c>
      <c r="C3456" s="1936">
        <f>报表附注!I3810</f>
        <v>0</v>
      </c>
    </row>
    <row r="3457" spans="2:3">
      <c r="B3457" s="1928" t="str">
        <f>报表附注!E3811</f>
        <v>　　4.期末余额</v>
      </c>
      <c r="C3457" s="1936">
        <f>报表附注!I3811</f>
        <v>0</v>
      </c>
    </row>
    <row r="3458" spans="2:3">
      <c r="B3458" s="1928" t="str">
        <f>报表附注!E3812</f>
        <v>二、累计折旧</v>
      </c>
      <c r="C3458" s="1936">
        <f>报表附注!I3812</f>
        <v>0</v>
      </c>
    </row>
    <row r="3459" spans="2:3">
      <c r="B3459" s="1928" t="str">
        <f>报表附注!E3813</f>
        <v>　　1.期初余额</v>
      </c>
      <c r="C3459" s="1936">
        <f>报表附注!I3813</f>
        <v>0</v>
      </c>
    </row>
    <row r="3460" spans="2:3">
      <c r="B3460" s="1928" t="str">
        <f>报表附注!E3814</f>
        <v>　　2.本期增加金额</v>
      </c>
      <c r="C3460" s="1936">
        <f>报表附注!I3814</f>
        <v>0</v>
      </c>
    </row>
    <row r="3461" spans="2:3">
      <c r="B3461" s="1928" t="str">
        <f>报表附注!E3815</f>
        <v>　　　（1）计提</v>
      </c>
      <c r="C3461" s="1936">
        <f>报表附注!I3815</f>
        <v>0</v>
      </c>
    </row>
    <row r="3462" spans="2:3">
      <c r="B3462" s="1928" t="str">
        <f>报表附注!E3816</f>
        <v>      （2）企业合并增加</v>
      </c>
      <c r="C3462" s="1936">
        <f>报表附注!I3816</f>
        <v>0</v>
      </c>
    </row>
    <row r="3463" spans="2:3">
      <c r="B3463" s="1928" t="str">
        <f>报表附注!E3817</f>
        <v>　　　（3）投资性房地产转回</v>
      </c>
      <c r="C3463" s="1936">
        <f>报表附注!I3817</f>
        <v>0</v>
      </c>
    </row>
    <row r="3464" spans="2:3">
      <c r="B3464" s="1928" t="str">
        <f>报表附注!E3818</f>
        <v>　　　（4）其他转入</v>
      </c>
      <c r="C3464" s="1936">
        <f>报表附注!I3818</f>
        <v>0</v>
      </c>
    </row>
    <row r="3465" spans="2:3">
      <c r="B3465" s="1928" t="str">
        <f>报表附注!E3819</f>
        <v>　　3.本期减少金额</v>
      </c>
      <c r="C3465" s="1936">
        <f>报表附注!I3819</f>
        <v>0</v>
      </c>
    </row>
    <row r="3466" spans="2:3">
      <c r="B3466" s="1928" t="str">
        <f>报表附注!E3820</f>
        <v>　　　（1）处置或报废</v>
      </c>
      <c r="C3466" s="1936">
        <f>报表附注!I3820</f>
        <v>0</v>
      </c>
    </row>
    <row r="3467" spans="2:3">
      <c r="B3467" s="1928" t="str">
        <f>报表附注!E3821</f>
        <v>　　　（2）转入投资性房地产</v>
      </c>
      <c r="C3467" s="1936">
        <f>报表附注!I3821</f>
        <v>0</v>
      </c>
    </row>
    <row r="3468" spans="2:3">
      <c r="B3468" s="1928" t="str">
        <f>报表附注!E3822</f>
        <v>      （3）企业合并减少</v>
      </c>
      <c r="C3468" s="1936">
        <f>报表附注!I3822</f>
        <v>0</v>
      </c>
    </row>
    <row r="3469" spans="2:3">
      <c r="B3469" s="1928" t="str">
        <f>报表附注!E3823</f>
        <v>　　　（4）其他转出</v>
      </c>
      <c r="C3469" s="1936">
        <f>报表附注!I3823</f>
        <v>0</v>
      </c>
    </row>
    <row r="3470" spans="2:3">
      <c r="B3470" s="1928" t="str">
        <f>报表附注!E3824</f>
        <v>　　4.期末余额</v>
      </c>
      <c r="C3470" s="1936">
        <f>报表附注!I3824</f>
        <v>0</v>
      </c>
    </row>
    <row r="3471" spans="2:3">
      <c r="B3471" s="1928" t="str">
        <f>报表附注!E3825</f>
        <v>三、减值准备</v>
      </c>
      <c r="C3471" s="1936">
        <f>报表附注!I3825</f>
        <v>0</v>
      </c>
    </row>
    <row r="3472" spans="2:3">
      <c r="B3472" s="1928" t="str">
        <f>报表附注!E3826</f>
        <v>　　1.期初余额</v>
      </c>
      <c r="C3472" s="1936">
        <f>报表附注!I3826</f>
        <v>0</v>
      </c>
    </row>
    <row r="3473" spans="2:3">
      <c r="B3473" s="1928" t="str">
        <f>报表附注!E3827</f>
        <v>　　2.本期增加金额</v>
      </c>
      <c r="C3473" s="1936">
        <f>报表附注!I3827</f>
        <v>0</v>
      </c>
    </row>
    <row r="3474" spans="2:3">
      <c r="B3474" s="1928" t="str">
        <f>报表附注!E3828</f>
        <v>　　　（1）计提</v>
      </c>
      <c r="C3474" s="1936">
        <f>报表附注!I3828</f>
        <v>0</v>
      </c>
    </row>
    <row r="3475" spans="2:3">
      <c r="B3475" s="1928">
        <f>报表附注!E3829</f>
        <v>0</v>
      </c>
      <c r="C3475" s="1936">
        <f>报表附注!I3829</f>
        <v>0</v>
      </c>
    </row>
    <row r="3476" spans="2:3">
      <c r="B3476" s="1928" t="str">
        <f>报表附注!E3830</f>
        <v>　　3.本期减少金额</v>
      </c>
      <c r="C3476" s="1936">
        <f>报表附注!I3830</f>
        <v>0</v>
      </c>
    </row>
    <row r="3477" spans="2:3">
      <c r="B3477" s="1928" t="str">
        <f>报表附注!E3831</f>
        <v>　　　（1）处置或报废</v>
      </c>
      <c r="C3477" s="1936">
        <f>报表附注!I3831</f>
        <v>0</v>
      </c>
    </row>
    <row r="3478" spans="2:3">
      <c r="B3478" s="1928">
        <f>报表附注!E3832</f>
        <v>0</v>
      </c>
      <c r="C3478" s="1936">
        <f>报表附注!I3832</f>
        <v>0</v>
      </c>
    </row>
    <row r="3479" spans="2:3">
      <c r="B3479" s="1928" t="str">
        <f>报表附注!E3833</f>
        <v>　　4.期末余额</v>
      </c>
      <c r="C3479" s="1936">
        <f>报表附注!I3833</f>
        <v>0</v>
      </c>
    </row>
    <row r="3480" spans="2:3">
      <c r="B3480" s="1928" t="str">
        <f>报表附注!E3834</f>
        <v>四、账面价值</v>
      </c>
      <c r="C3480" s="1936">
        <f>报表附注!I3834</f>
        <v>0</v>
      </c>
    </row>
    <row r="3481" spans="2:3">
      <c r="B3481" s="1939" t="str">
        <f>报表附注!E3835</f>
        <v>　　1.期末账面价值</v>
      </c>
      <c r="C3481" s="1936">
        <f>报表附注!I3835</f>
        <v>0</v>
      </c>
    </row>
    <row r="3482" spans="2:3">
      <c r="B3482" s="1939" t="str">
        <f>报表附注!E3836</f>
        <v>　　2.期初账面价值</v>
      </c>
      <c r="C3482" s="1936">
        <f>报表附注!I3836</f>
        <v>0</v>
      </c>
    </row>
    <row r="3483" spans="2:3">
      <c r="B3483" s="1933" t="str">
        <f>报表附注!$J$3796</f>
        <v>合计</v>
      </c>
      <c r="C3483" s="1930" t="str">
        <f>报表附注!J3796</f>
        <v>合计</v>
      </c>
    </row>
    <row r="3484" spans="2:3">
      <c r="B3484" s="1928" t="str">
        <f>报表附注!E3797</f>
        <v>一、账面原值：</v>
      </c>
      <c r="C3484" s="1930">
        <f>报表附注!J3797</f>
        <v>0</v>
      </c>
    </row>
    <row r="3485" spans="2:3">
      <c r="B3485" s="1928" t="str">
        <f>报表附注!E3798</f>
        <v>　　1.期初余额</v>
      </c>
      <c r="C3485" s="1936">
        <f>报表附注!J3798</f>
        <v>0</v>
      </c>
    </row>
    <row r="3486" spans="2:3">
      <c r="B3486" s="1928" t="str">
        <f>报表附注!E3799</f>
        <v>　　2.本期增加金额</v>
      </c>
      <c r="C3486" s="1936">
        <f>报表附注!J3799</f>
        <v>0</v>
      </c>
    </row>
    <row r="3487" spans="2:3">
      <c r="B3487" s="1928" t="str">
        <f>报表附注!E3800</f>
        <v>　　　（1）购置</v>
      </c>
      <c r="C3487" s="1936">
        <f>报表附注!J3800</f>
        <v>0</v>
      </c>
    </row>
    <row r="3488" spans="2:3">
      <c r="B3488" s="1928" t="str">
        <f>报表附注!E3801</f>
        <v>　　　（2）在建工程转入</v>
      </c>
      <c r="C3488" s="1936">
        <f>报表附注!J3801</f>
        <v>0</v>
      </c>
    </row>
    <row r="3489" spans="2:3">
      <c r="B3489" s="1928" t="str">
        <f>报表附注!E3802</f>
        <v>　　　（3）企业合并增加</v>
      </c>
      <c r="C3489" s="1936">
        <f>报表附注!J3802</f>
        <v>0</v>
      </c>
    </row>
    <row r="3490" spans="2:3">
      <c r="B3490" s="1928" t="str">
        <f>报表附注!E3803</f>
        <v>　　　（4）投资性房地产转回</v>
      </c>
      <c r="C3490" s="1936">
        <f>报表附注!J3803</f>
        <v>0</v>
      </c>
    </row>
    <row r="3491" spans="2:3">
      <c r="B3491" s="1928" t="str">
        <f>报表附注!E3804</f>
        <v>　　　（5）业务并购</v>
      </c>
      <c r="C3491" s="1936">
        <f>报表附注!J3804</f>
        <v>0</v>
      </c>
    </row>
    <row r="3492" spans="2:3">
      <c r="B3492" s="1928" t="str">
        <f>报表附注!E3805</f>
        <v>　　　（6）其他</v>
      </c>
      <c r="C3492" s="1936">
        <f>报表附注!J3805</f>
        <v>0</v>
      </c>
    </row>
    <row r="3493" spans="2:3">
      <c r="B3493" s="1928" t="str">
        <f>报表附注!E3806</f>
        <v>　　3.本期减少金额</v>
      </c>
      <c r="C3493" s="1936">
        <f>报表附注!J3806</f>
        <v>0</v>
      </c>
    </row>
    <row r="3494" spans="2:3">
      <c r="B3494" s="1928" t="str">
        <f>报表附注!E3807</f>
        <v>　　　（1）处置或报废</v>
      </c>
      <c r="C3494" s="1936">
        <f>报表附注!J3807</f>
        <v>0</v>
      </c>
    </row>
    <row r="3495" spans="2:3">
      <c r="B3495" s="1928" t="str">
        <f>报表附注!E3808</f>
        <v>　　　（2）转入投资性房地产</v>
      </c>
      <c r="C3495" s="1936">
        <f>报表附注!J3808</f>
        <v>0</v>
      </c>
    </row>
    <row r="3496" spans="2:3">
      <c r="B3496" s="1928" t="str">
        <f>报表附注!E3809</f>
        <v>      （3）企业合并减少</v>
      </c>
      <c r="C3496" s="1936">
        <f>报表附注!J3809</f>
        <v>0</v>
      </c>
    </row>
    <row r="3497" spans="2:3">
      <c r="B3497" s="1928" t="str">
        <f>报表附注!E3810</f>
        <v>      （4）其他减少</v>
      </c>
      <c r="C3497" s="1936">
        <f>报表附注!J3810</f>
        <v>0</v>
      </c>
    </row>
    <row r="3498" spans="2:3">
      <c r="B3498" s="1928" t="str">
        <f>报表附注!E3811</f>
        <v>　　4.期末余额</v>
      </c>
      <c r="C3498" s="1936">
        <f>报表附注!J3811</f>
        <v>0</v>
      </c>
    </row>
    <row r="3499" spans="2:3">
      <c r="B3499" s="1928" t="str">
        <f>报表附注!E3812</f>
        <v>二、累计折旧</v>
      </c>
      <c r="C3499" s="1936">
        <f>报表附注!J3812</f>
        <v>0</v>
      </c>
    </row>
    <row r="3500" spans="2:3">
      <c r="B3500" s="1928" t="str">
        <f>报表附注!E3813</f>
        <v>　　1.期初余额</v>
      </c>
      <c r="C3500" s="1936">
        <f>报表附注!J3813</f>
        <v>0</v>
      </c>
    </row>
    <row r="3501" spans="2:3">
      <c r="B3501" s="1928" t="str">
        <f>报表附注!E3814</f>
        <v>　　2.本期增加金额</v>
      </c>
      <c r="C3501" s="1936">
        <f>报表附注!J3814</f>
        <v>0</v>
      </c>
    </row>
    <row r="3502" spans="2:3">
      <c r="B3502" s="1928" t="str">
        <f>报表附注!E3815</f>
        <v>　　　（1）计提</v>
      </c>
      <c r="C3502" s="1936">
        <f>报表附注!J3815</f>
        <v>0</v>
      </c>
    </row>
    <row r="3503" spans="2:3">
      <c r="B3503" s="1928" t="str">
        <f>报表附注!E3816</f>
        <v>      （2）企业合并增加</v>
      </c>
      <c r="C3503" s="1936">
        <f>报表附注!J3816</f>
        <v>0</v>
      </c>
    </row>
    <row r="3504" spans="2:3">
      <c r="B3504" s="1928" t="str">
        <f>报表附注!E3817</f>
        <v>　　　（3）投资性房地产转回</v>
      </c>
      <c r="C3504" s="1936">
        <f>报表附注!J3817</f>
        <v>0</v>
      </c>
    </row>
    <row r="3505" spans="2:3">
      <c r="B3505" s="1928" t="str">
        <f>报表附注!E3818</f>
        <v>　　　（4）其他转入</v>
      </c>
      <c r="C3505" s="1936">
        <f>报表附注!J3818</f>
        <v>0</v>
      </c>
    </row>
    <row r="3506" spans="2:3">
      <c r="B3506" s="1928" t="str">
        <f>报表附注!E3819</f>
        <v>　　3.本期减少金额</v>
      </c>
      <c r="C3506" s="1936">
        <f>报表附注!J3819</f>
        <v>0</v>
      </c>
    </row>
    <row r="3507" spans="2:3">
      <c r="B3507" s="1928" t="str">
        <f>报表附注!E3820</f>
        <v>　　　（1）处置或报废</v>
      </c>
      <c r="C3507" s="1936">
        <f>报表附注!J3820</f>
        <v>0</v>
      </c>
    </row>
    <row r="3508" spans="2:3">
      <c r="B3508" s="1928" t="str">
        <f>报表附注!E3821</f>
        <v>　　　（2）转入投资性房地产</v>
      </c>
      <c r="C3508" s="1936">
        <f>报表附注!J3821</f>
        <v>0</v>
      </c>
    </row>
    <row r="3509" spans="2:3">
      <c r="B3509" s="1928" t="str">
        <f>报表附注!E3822</f>
        <v>      （3）企业合并减少</v>
      </c>
      <c r="C3509" s="1936">
        <f>报表附注!J3822</f>
        <v>0</v>
      </c>
    </row>
    <row r="3510" spans="2:3">
      <c r="B3510" s="1928" t="str">
        <f>报表附注!E3823</f>
        <v>　　　（4）其他转出</v>
      </c>
      <c r="C3510" s="1936">
        <f>报表附注!J3823</f>
        <v>0</v>
      </c>
    </row>
    <row r="3511" spans="2:3">
      <c r="B3511" s="1928" t="str">
        <f>报表附注!E3824</f>
        <v>　　4.期末余额</v>
      </c>
      <c r="C3511" s="1936">
        <f>报表附注!J3824</f>
        <v>0</v>
      </c>
    </row>
    <row r="3512" spans="2:3">
      <c r="B3512" s="1928" t="str">
        <f>报表附注!E3825</f>
        <v>三、减值准备</v>
      </c>
      <c r="C3512" s="1936">
        <f>报表附注!J3825</f>
        <v>0</v>
      </c>
    </row>
    <row r="3513" spans="2:3">
      <c r="B3513" s="1928" t="str">
        <f>报表附注!E3826</f>
        <v>　　1.期初余额</v>
      </c>
      <c r="C3513" s="1936">
        <f>报表附注!J3826</f>
        <v>0</v>
      </c>
    </row>
    <row r="3514" spans="2:3">
      <c r="B3514" s="1928" t="str">
        <f>报表附注!E3827</f>
        <v>　　2.本期增加金额</v>
      </c>
      <c r="C3514" s="1936">
        <f>报表附注!J3827</f>
        <v>0</v>
      </c>
    </row>
    <row r="3515" spans="2:3">
      <c r="B3515" s="1928" t="str">
        <f>报表附注!E3828</f>
        <v>　　　（1）计提</v>
      </c>
      <c r="C3515" s="1936">
        <f>报表附注!J3828</f>
        <v>0</v>
      </c>
    </row>
    <row r="3516" spans="2:3">
      <c r="B3516" s="1988">
        <f>报表附注!E3829</f>
        <v>0</v>
      </c>
      <c r="C3516" s="1936">
        <f>报表附注!J3829</f>
        <v>0</v>
      </c>
    </row>
    <row r="3517" spans="2:3">
      <c r="B3517" s="1988" t="str">
        <f>报表附注!E3830</f>
        <v>　　3.本期减少金额</v>
      </c>
      <c r="C3517" s="1936">
        <f>报表附注!J3830</f>
        <v>0</v>
      </c>
    </row>
    <row r="3518" spans="2:3">
      <c r="B3518" s="1988" t="str">
        <f>报表附注!E3831</f>
        <v>　　　（1）处置或报废</v>
      </c>
      <c r="C3518" s="1936">
        <f>报表附注!J3831</f>
        <v>0</v>
      </c>
    </row>
    <row r="3519" spans="2:3">
      <c r="B3519" s="1988">
        <f>报表附注!E3832</f>
        <v>0</v>
      </c>
      <c r="C3519" s="1936">
        <f>报表附注!J3832</f>
        <v>0</v>
      </c>
    </row>
    <row r="3520" spans="2:3">
      <c r="B3520" s="1988" t="str">
        <f>报表附注!E3833</f>
        <v>　　4.期末余额</v>
      </c>
      <c r="C3520" s="1936">
        <f>报表附注!J3833</f>
        <v>0</v>
      </c>
    </row>
    <row r="3521" spans="2:3">
      <c r="B3521" s="1928" t="str">
        <f>报表附注!E3834</f>
        <v>四、账面价值</v>
      </c>
      <c r="C3521" s="1936">
        <f>报表附注!J3834</f>
        <v>0</v>
      </c>
    </row>
    <row r="3522" spans="2:3">
      <c r="B3522" s="1939" t="str">
        <f>报表附注!E3835</f>
        <v>　　1.期末账面价值</v>
      </c>
      <c r="C3522" s="1936">
        <f>报表附注!J3835</f>
        <v>0</v>
      </c>
    </row>
    <row r="3523" spans="2:3">
      <c r="B3523" s="1939" t="str">
        <f>报表附注!E3836</f>
        <v>　　2.期初账面价值</v>
      </c>
      <c r="C3523" s="1936">
        <f>报表附注!J3836</f>
        <v>0</v>
      </c>
    </row>
    <row r="3525" spans="2:2">
      <c r="B3525" s="1994" t="str">
        <f>报表附注!$E$3850</f>
        <v>(二十三)无形资产-披露表（请填此表）</v>
      </c>
    </row>
    <row r="3526" spans="2:3">
      <c r="B3526" s="1933" t="str">
        <f>报表附注!F3851</f>
        <v>土地使用权</v>
      </c>
      <c r="C3526" s="1997" t="str">
        <f>报表附注!F3851</f>
        <v>土地使用权</v>
      </c>
    </row>
    <row r="3527" spans="2:3">
      <c r="B3527" s="1928" t="str">
        <f>报表附注!E3852</f>
        <v>一、账面原值</v>
      </c>
      <c r="C3527" s="1997">
        <f>报表附注!F3852</f>
        <v>0</v>
      </c>
    </row>
    <row r="3528" spans="2:3">
      <c r="B3528" s="1928" t="str">
        <f>报表附注!E3853</f>
        <v>　　1.期初余额</v>
      </c>
      <c r="C3528" s="1936">
        <f>报表附注!F3853</f>
        <v>0</v>
      </c>
    </row>
    <row r="3529" spans="2:3">
      <c r="B3529" s="1928" t="str">
        <f>报表附注!E3854</f>
        <v>　　2.本期增加金额</v>
      </c>
      <c r="C3529" s="1936">
        <f>报表附注!F3854</f>
        <v>0</v>
      </c>
    </row>
    <row r="3530" spans="2:3">
      <c r="B3530" s="1928" t="str">
        <f>报表附注!E3855</f>
        <v>　　　（1）购置</v>
      </c>
      <c r="C3530" s="1936">
        <f>报表附注!F3855</f>
        <v>0</v>
      </c>
    </row>
    <row r="3531" spans="2:3">
      <c r="B3531" s="1928" t="str">
        <f>报表附注!E3856</f>
        <v>　　　（2）内部研发</v>
      </c>
      <c r="C3531" s="1936">
        <f>报表附注!F3856</f>
        <v>0</v>
      </c>
    </row>
    <row r="3532" spans="2:3">
      <c r="B3532" s="1928" t="str">
        <f>报表附注!E3857</f>
        <v>　　　（3）企业合并增加</v>
      </c>
      <c r="C3532" s="1936">
        <f>报表附注!F3857</f>
        <v>0</v>
      </c>
    </row>
    <row r="3533" spans="2:3">
      <c r="B3533" s="1928" t="str">
        <f>报表附注!E3858</f>
        <v>　　　（4）投资性房地产转回</v>
      </c>
      <c r="C3533" s="1936">
        <f>报表附注!F3858</f>
        <v>0</v>
      </c>
    </row>
    <row r="3534" spans="2:3">
      <c r="B3534" s="1928" t="str">
        <f>报表附注!E3859</f>
        <v>　　　（5）其他</v>
      </c>
      <c r="C3534" s="1936">
        <f>报表附注!F3859</f>
        <v>0</v>
      </c>
    </row>
    <row r="3535" spans="2:3">
      <c r="B3535" s="1928" t="str">
        <f>报表附注!E3860</f>
        <v>　　3.本期减少金额</v>
      </c>
      <c r="C3535" s="1936">
        <f>报表附注!F3860</f>
        <v>0</v>
      </c>
    </row>
    <row r="3536" spans="2:3">
      <c r="B3536" s="1928" t="str">
        <f>报表附注!E3861</f>
        <v>　　　（1）处置</v>
      </c>
      <c r="C3536" s="1936">
        <f>报表附注!F3861</f>
        <v>0</v>
      </c>
    </row>
    <row r="3537" spans="2:3">
      <c r="B3537" s="1928" t="str">
        <f>报表附注!E3862</f>
        <v>　　　（2）转入投资性房地产</v>
      </c>
      <c r="C3537" s="1936">
        <f>报表附注!F3862</f>
        <v>0</v>
      </c>
    </row>
    <row r="3538" spans="2:3">
      <c r="B3538" s="1928" t="str">
        <f>报表附注!E3863</f>
        <v>      （3）企业合并减少</v>
      </c>
      <c r="C3538" s="1936">
        <f>报表附注!F3863</f>
        <v>0</v>
      </c>
    </row>
    <row r="3539" spans="2:3">
      <c r="B3539" s="1928" t="str">
        <f>报表附注!E3864</f>
        <v>      （4）其他减少</v>
      </c>
      <c r="C3539" s="1936">
        <f>报表附注!F3864</f>
        <v>0</v>
      </c>
    </row>
    <row r="3540" spans="2:3">
      <c r="B3540" s="1928" t="str">
        <f>报表附注!E3865</f>
        <v>　　4.期末余额</v>
      </c>
      <c r="C3540" s="1936">
        <f>报表附注!F3865</f>
        <v>0</v>
      </c>
    </row>
    <row r="3541" spans="2:3">
      <c r="B3541" s="1928" t="str">
        <f>报表附注!E3866</f>
        <v>二、累计摊销</v>
      </c>
      <c r="C3541" s="1936">
        <f>报表附注!F3866</f>
        <v>0</v>
      </c>
    </row>
    <row r="3542" spans="2:3">
      <c r="B3542" s="1928" t="str">
        <f>报表附注!E3867</f>
        <v>　　1.期初余额</v>
      </c>
      <c r="C3542" s="1936">
        <f>报表附注!F3867</f>
        <v>0</v>
      </c>
    </row>
    <row r="3543" spans="2:3">
      <c r="B3543" s="1928" t="str">
        <f>报表附注!E3868</f>
        <v>　　2.本期增加金额</v>
      </c>
      <c r="C3543" s="1936">
        <f>报表附注!F3868</f>
        <v>0</v>
      </c>
    </row>
    <row r="3544" spans="2:3">
      <c r="B3544" s="1928" t="str">
        <f>报表附注!E3869</f>
        <v>　　　（1）计提</v>
      </c>
      <c r="C3544" s="1936">
        <f>报表附注!F3869</f>
        <v>0</v>
      </c>
    </row>
    <row r="3545" spans="2:3">
      <c r="B3545" s="1928" t="str">
        <f>报表附注!E3870</f>
        <v>      （2）企业合并增加</v>
      </c>
      <c r="C3545" s="1936">
        <f>报表附注!F3870</f>
        <v>0</v>
      </c>
    </row>
    <row r="3546" spans="2:3">
      <c r="B3546" s="1928" t="str">
        <f>报表附注!E3871</f>
        <v>　　　（3）投资性房地产转回</v>
      </c>
      <c r="C3546" s="1936">
        <f>报表附注!F3871</f>
        <v>0</v>
      </c>
    </row>
    <row r="3547" spans="2:3">
      <c r="B3547" s="1928" t="str">
        <f>报表附注!E3872</f>
        <v>　　　（4）其他转入</v>
      </c>
      <c r="C3547" s="1936">
        <f>报表附注!F3872</f>
        <v>0</v>
      </c>
    </row>
    <row r="3548" spans="2:3">
      <c r="B3548" s="1928" t="str">
        <f>报表附注!E3873</f>
        <v>　　3.本期减少金额</v>
      </c>
      <c r="C3548" s="1936">
        <f>报表附注!F3873</f>
        <v>0</v>
      </c>
    </row>
    <row r="3549" spans="2:3">
      <c r="B3549" s="1928" t="str">
        <f>报表附注!E3874</f>
        <v>　　　（1）处置</v>
      </c>
      <c r="C3549" s="1936">
        <f>报表附注!F3874</f>
        <v>0</v>
      </c>
    </row>
    <row r="3550" spans="2:3">
      <c r="B3550" s="1928" t="str">
        <f>报表附注!E3875</f>
        <v>　　　（2）转入投资性房地产</v>
      </c>
      <c r="C3550" s="1936">
        <f>报表附注!F3875</f>
        <v>0</v>
      </c>
    </row>
    <row r="3551" spans="2:3">
      <c r="B3551" s="1928" t="str">
        <f>报表附注!E3876</f>
        <v>      （3）企业合并减少</v>
      </c>
      <c r="C3551" s="1936">
        <f>报表附注!F3876</f>
        <v>0</v>
      </c>
    </row>
    <row r="3552" spans="2:3">
      <c r="B3552" s="1928" t="str">
        <f>报表附注!E3877</f>
        <v>　　　（4）其他转出</v>
      </c>
      <c r="C3552" s="1936">
        <f>报表附注!F3877</f>
        <v>0</v>
      </c>
    </row>
    <row r="3553" spans="2:3">
      <c r="B3553" s="1928" t="str">
        <f>报表附注!E3878</f>
        <v>　　4.期末余额</v>
      </c>
      <c r="C3553" s="1936">
        <f>报表附注!F3878</f>
        <v>0</v>
      </c>
    </row>
    <row r="3554" spans="2:3">
      <c r="B3554" s="1928" t="str">
        <f>报表附注!E3879</f>
        <v>三、减值准备</v>
      </c>
      <c r="C3554" s="1936">
        <f>报表附注!F3879</f>
        <v>0</v>
      </c>
    </row>
    <row r="3555" spans="2:3">
      <c r="B3555" s="1928" t="str">
        <f>报表附注!E3880</f>
        <v>　　1.期初余额</v>
      </c>
      <c r="C3555" s="1936">
        <f>报表附注!F3880</f>
        <v>0</v>
      </c>
    </row>
    <row r="3556" spans="2:3">
      <c r="B3556" s="1928" t="str">
        <f>报表附注!E3881</f>
        <v>　　2.本期增加金额</v>
      </c>
      <c r="C3556" s="1936">
        <f>报表附注!F3881</f>
        <v>0</v>
      </c>
    </row>
    <row r="3557" spans="2:3">
      <c r="B3557" s="1928" t="str">
        <f>报表附注!E3882</f>
        <v>　　　（1）计提</v>
      </c>
      <c r="C3557" s="1936">
        <f>报表附注!F3882</f>
        <v>0</v>
      </c>
    </row>
    <row r="3558" spans="2:3">
      <c r="B3558" s="1928">
        <f>报表附注!E3883</f>
        <v>0</v>
      </c>
      <c r="C3558" s="1936">
        <f>报表附注!F3883</f>
        <v>0</v>
      </c>
    </row>
    <row r="3559" spans="2:3">
      <c r="B3559" s="1928" t="str">
        <f>报表附注!E3884</f>
        <v>　　3.本期减少金额</v>
      </c>
      <c r="C3559" s="1936">
        <f>报表附注!F3884</f>
        <v>0</v>
      </c>
    </row>
    <row r="3560" spans="2:3">
      <c r="B3560" s="1928" t="str">
        <f>报表附注!E3885</f>
        <v>　　（1）处置</v>
      </c>
      <c r="C3560" s="1936">
        <f>报表附注!F3885</f>
        <v>0</v>
      </c>
    </row>
    <row r="3561" spans="2:3">
      <c r="B3561" s="1928">
        <f>报表附注!E3886</f>
        <v>0</v>
      </c>
      <c r="C3561" s="1936">
        <f>报表附注!F3886</f>
        <v>0</v>
      </c>
    </row>
    <row r="3562" spans="2:3">
      <c r="B3562" s="1928" t="str">
        <f>报表附注!E3887</f>
        <v>　　4.期末余额</v>
      </c>
      <c r="C3562" s="1936">
        <f>报表附注!F3887</f>
        <v>0</v>
      </c>
    </row>
    <row r="3563" spans="2:3">
      <c r="B3563" s="1928" t="str">
        <f>报表附注!E3888</f>
        <v>四、账面价值</v>
      </c>
      <c r="C3563" s="1936">
        <f>报表附注!F3888</f>
        <v>0</v>
      </c>
    </row>
    <row r="3564" spans="2:3">
      <c r="B3564" s="1939" t="str">
        <f>报表附注!E3889</f>
        <v>　　1.期末账面价值</v>
      </c>
      <c r="C3564" s="1936">
        <f>报表附注!F3889</f>
        <v>0</v>
      </c>
    </row>
    <row r="3565" spans="2:3">
      <c r="B3565" s="1939" t="str">
        <f>报表附注!E3890</f>
        <v>　　2.期初账面价值</v>
      </c>
      <c r="C3565" s="1936">
        <f>报表附注!F3890</f>
        <v>0</v>
      </c>
    </row>
    <row r="3566" spans="2:3">
      <c r="B3566" s="1933" t="str">
        <f>报表附注!$G$3851</f>
        <v>专利权</v>
      </c>
      <c r="C3566" s="1997" t="str">
        <f>报表附注!G3851</f>
        <v>专利权</v>
      </c>
    </row>
    <row r="3567" spans="2:3">
      <c r="B3567" s="1928" t="str">
        <f>报表附注!E3852</f>
        <v>一、账面原值</v>
      </c>
      <c r="C3567" s="1997">
        <f>报表附注!G3852</f>
        <v>0</v>
      </c>
    </row>
    <row r="3568" spans="2:3">
      <c r="B3568" s="1928" t="str">
        <f>报表附注!E3853</f>
        <v>　　1.期初余额</v>
      </c>
      <c r="C3568" s="1936">
        <f>报表附注!G3853</f>
        <v>0</v>
      </c>
    </row>
    <row r="3569" spans="2:3">
      <c r="B3569" s="1928" t="str">
        <f>报表附注!E3854</f>
        <v>　　2.本期增加金额</v>
      </c>
      <c r="C3569" s="1936">
        <f>报表附注!G3854</f>
        <v>0</v>
      </c>
    </row>
    <row r="3570" spans="2:3">
      <c r="B3570" s="1928" t="str">
        <f>报表附注!E3855</f>
        <v>　　　（1）购置</v>
      </c>
      <c r="C3570" s="1936">
        <f>报表附注!G3855</f>
        <v>0</v>
      </c>
    </row>
    <row r="3571" spans="2:3">
      <c r="B3571" s="1928" t="str">
        <f>报表附注!E3856</f>
        <v>　　　（2）内部研发</v>
      </c>
      <c r="C3571" s="1936">
        <f>报表附注!G3856</f>
        <v>0</v>
      </c>
    </row>
    <row r="3572" spans="2:3">
      <c r="B3572" s="1928" t="str">
        <f>报表附注!E3857</f>
        <v>　　　（3）企业合并增加</v>
      </c>
      <c r="C3572" s="1936">
        <f>报表附注!G3857</f>
        <v>0</v>
      </c>
    </row>
    <row r="3573" spans="2:3">
      <c r="B3573" s="1928" t="str">
        <f>报表附注!E3858</f>
        <v>　　　（4）投资性房地产转回</v>
      </c>
      <c r="C3573" s="1936">
        <f>报表附注!G3858</f>
        <v>0</v>
      </c>
    </row>
    <row r="3574" spans="2:3">
      <c r="B3574" s="1928" t="str">
        <f>报表附注!E3859</f>
        <v>　　　（5）其他</v>
      </c>
      <c r="C3574" s="1936">
        <f>报表附注!G3859</f>
        <v>0</v>
      </c>
    </row>
    <row r="3575" spans="2:3">
      <c r="B3575" s="1928" t="str">
        <f>报表附注!E3860</f>
        <v>　　3.本期减少金额</v>
      </c>
      <c r="C3575" s="1936">
        <f>报表附注!G3860</f>
        <v>0</v>
      </c>
    </row>
    <row r="3576" spans="2:3">
      <c r="B3576" s="1928" t="str">
        <f>报表附注!E3861</f>
        <v>　　　（1）处置</v>
      </c>
      <c r="C3576" s="1936">
        <f>报表附注!G3861</f>
        <v>0</v>
      </c>
    </row>
    <row r="3577" spans="2:3">
      <c r="B3577" s="1928" t="str">
        <f>报表附注!E3862</f>
        <v>　　　（2）转入投资性房地产</v>
      </c>
      <c r="C3577" s="1936">
        <f>报表附注!G3862</f>
        <v>0</v>
      </c>
    </row>
    <row r="3578" spans="2:3">
      <c r="B3578" s="1928" t="str">
        <f>报表附注!E3863</f>
        <v>      （3）企业合并减少</v>
      </c>
      <c r="C3578" s="1936">
        <f>报表附注!G3863</f>
        <v>0</v>
      </c>
    </row>
    <row r="3579" spans="2:3">
      <c r="B3579" s="1928" t="str">
        <f>报表附注!E3864</f>
        <v>      （4）其他减少</v>
      </c>
      <c r="C3579" s="1936">
        <f>报表附注!G3864</f>
        <v>0</v>
      </c>
    </row>
    <row r="3580" spans="2:3">
      <c r="B3580" s="1928" t="str">
        <f>报表附注!E3865</f>
        <v>　　4.期末余额</v>
      </c>
      <c r="C3580" s="1936">
        <f>报表附注!G3865</f>
        <v>0</v>
      </c>
    </row>
    <row r="3581" spans="2:3">
      <c r="B3581" s="1928" t="str">
        <f>报表附注!E3866</f>
        <v>二、累计摊销</v>
      </c>
      <c r="C3581" s="1936">
        <f>报表附注!G3866</f>
        <v>0</v>
      </c>
    </row>
    <row r="3582" spans="2:3">
      <c r="B3582" s="1928" t="str">
        <f>报表附注!E3867</f>
        <v>　　1.期初余额</v>
      </c>
      <c r="C3582" s="1936">
        <f>报表附注!G3867</f>
        <v>0</v>
      </c>
    </row>
    <row r="3583" spans="2:3">
      <c r="B3583" s="1928" t="str">
        <f>报表附注!E3868</f>
        <v>　　2.本期增加金额</v>
      </c>
      <c r="C3583" s="1936">
        <f>报表附注!G3868</f>
        <v>0</v>
      </c>
    </row>
    <row r="3584" spans="2:3">
      <c r="B3584" s="1928" t="str">
        <f>报表附注!E3869</f>
        <v>　　　（1）计提</v>
      </c>
      <c r="C3584" s="1936">
        <f>报表附注!G3869</f>
        <v>0</v>
      </c>
    </row>
    <row r="3585" spans="2:3">
      <c r="B3585" s="1928" t="str">
        <f>报表附注!E3870</f>
        <v>      （2）企业合并增加</v>
      </c>
      <c r="C3585" s="1936">
        <f>报表附注!G3870</f>
        <v>0</v>
      </c>
    </row>
    <row r="3586" spans="2:3">
      <c r="B3586" s="1928" t="str">
        <f>报表附注!E3871</f>
        <v>　　　（3）投资性房地产转回</v>
      </c>
      <c r="C3586" s="1936">
        <f>报表附注!G3871</f>
        <v>0</v>
      </c>
    </row>
    <row r="3587" spans="2:3">
      <c r="B3587" s="1928" t="str">
        <f>报表附注!E3872</f>
        <v>　　　（4）其他转入</v>
      </c>
      <c r="C3587" s="1936">
        <f>报表附注!G3872</f>
        <v>0</v>
      </c>
    </row>
    <row r="3588" spans="2:3">
      <c r="B3588" s="1928" t="str">
        <f>报表附注!E3873</f>
        <v>　　3.本期减少金额</v>
      </c>
      <c r="C3588" s="1936">
        <f>报表附注!G3873</f>
        <v>0</v>
      </c>
    </row>
    <row r="3589" spans="2:3">
      <c r="B3589" s="1928" t="str">
        <f>报表附注!E3874</f>
        <v>　　　（1）处置</v>
      </c>
      <c r="C3589" s="1936">
        <f>报表附注!G3874</f>
        <v>0</v>
      </c>
    </row>
    <row r="3590" spans="2:3">
      <c r="B3590" s="1928" t="str">
        <f>报表附注!E3875</f>
        <v>　　　（2）转入投资性房地产</v>
      </c>
      <c r="C3590" s="1936">
        <f>报表附注!G3875</f>
        <v>0</v>
      </c>
    </row>
    <row r="3591" spans="2:3">
      <c r="B3591" s="1928" t="str">
        <f>报表附注!E3876</f>
        <v>      （3）企业合并减少</v>
      </c>
      <c r="C3591" s="1936">
        <f>报表附注!G3876</f>
        <v>0</v>
      </c>
    </row>
    <row r="3592" spans="2:3">
      <c r="B3592" s="1928" t="str">
        <f>报表附注!E3877</f>
        <v>　　　（4）其他转出</v>
      </c>
      <c r="C3592" s="1936">
        <f>报表附注!G3877</f>
        <v>0</v>
      </c>
    </row>
    <row r="3593" spans="2:3">
      <c r="B3593" s="1928" t="str">
        <f>报表附注!E3878</f>
        <v>　　4.期末余额</v>
      </c>
      <c r="C3593" s="1936">
        <f>报表附注!G3878</f>
        <v>0</v>
      </c>
    </row>
    <row r="3594" spans="2:3">
      <c r="B3594" s="1928" t="str">
        <f>报表附注!E3879</f>
        <v>三、减值准备</v>
      </c>
      <c r="C3594" s="1936">
        <f>报表附注!G3879</f>
        <v>0</v>
      </c>
    </row>
    <row r="3595" spans="2:3">
      <c r="B3595" s="1928" t="str">
        <f>报表附注!E3880</f>
        <v>　　1.期初余额</v>
      </c>
      <c r="C3595" s="1936">
        <f>报表附注!G3880</f>
        <v>0</v>
      </c>
    </row>
    <row r="3596" spans="2:3">
      <c r="B3596" s="1928" t="str">
        <f>报表附注!E3881</f>
        <v>　　2.本期增加金额</v>
      </c>
      <c r="C3596" s="1936">
        <f>报表附注!G3881</f>
        <v>0</v>
      </c>
    </row>
    <row r="3597" spans="2:3">
      <c r="B3597" s="1928" t="str">
        <f>报表附注!E3882</f>
        <v>　　　（1）计提</v>
      </c>
      <c r="C3597" s="1936">
        <f>报表附注!G3882</f>
        <v>0</v>
      </c>
    </row>
    <row r="3598" spans="2:3">
      <c r="B3598" s="1928">
        <f>报表附注!E3883</f>
        <v>0</v>
      </c>
      <c r="C3598" s="1936">
        <f>报表附注!G3883</f>
        <v>0</v>
      </c>
    </row>
    <row r="3599" spans="2:3">
      <c r="B3599" s="1928" t="str">
        <f>报表附注!E3884</f>
        <v>　　3.本期减少金额</v>
      </c>
      <c r="C3599" s="1936">
        <f>报表附注!G3884</f>
        <v>0</v>
      </c>
    </row>
    <row r="3600" spans="2:3">
      <c r="B3600" s="1928" t="str">
        <f>报表附注!E3885</f>
        <v>　　（1）处置</v>
      </c>
      <c r="C3600" s="1936">
        <f>报表附注!G3885</f>
        <v>0</v>
      </c>
    </row>
    <row r="3601" spans="2:3">
      <c r="B3601" s="1928">
        <f>报表附注!E3886</f>
        <v>0</v>
      </c>
      <c r="C3601" s="1936">
        <f>报表附注!G3886</f>
        <v>0</v>
      </c>
    </row>
    <row r="3602" spans="2:3">
      <c r="B3602" s="1928" t="str">
        <f>报表附注!E3887</f>
        <v>　　4.期末余额</v>
      </c>
      <c r="C3602" s="1936">
        <f>报表附注!G3887</f>
        <v>0</v>
      </c>
    </row>
    <row r="3603" spans="2:3">
      <c r="B3603" s="1928" t="str">
        <f>报表附注!E3888</f>
        <v>四、账面价值</v>
      </c>
      <c r="C3603" s="1936">
        <f>报表附注!G3888</f>
        <v>0</v>
      </c>
    </row>
    <row r="3604" spans="2:3">
      <c r="B3604" s="1939" t="str">
        <f>报表附注!E3889</f>
        <v>　　1.期末账面价值</v>
      </c>
      <c r="C3604" s="1936">
        <f>报表附注!G3889</f>
        <v>0</v>
      </c>
    </row>
    <row r="3605" spans="2:3">
      <c r="B3605" s="1939" t="str">
        <f>报表附注!E3890</f>
        <v>　　2.期初账面价值</v>
      </c>
      <c r="C3605" s="1936">
        <f>报表附注!G3890</f>
        <v>0</v>
      </c>
    </row>
    <row r="3606" spans="2:3">
      <c r="B3606" s="1933" t="str">
        <f>报表附注!$H$3851</f>
        <v>软件</v>
      </c>
      <c r="C3606" s="1997" t="str">
        <f>报表附注!H3851</f>
        <v>软件</v>
      </c>
    </row>
    <row r="3607" spans="2:3">
      <c r="B3607" s="1928" t="str">
        <f>报表附注!E3852</f>
        <v>一、账面原值</v>
      </c>
      <c r="C3607" s="1997">
        <f>报表附注!H3852</f>
        <v>0</v>
      </c>
    </row>
    <row r="3608" spans="2:3">
      <c r="B3608" s="1928" t="str">
        <f>报表附注!E3853</f>
        <v>　　1.期初余额</v>
      </c>
      <c r="C3608" s="1993">
        <f>报表附注!H3853</f>
        <v>0</v>
      </c>
    </row>
    <row r="3609" spans="2:3">
      <c r="B3609" s="1928" t="str">
        <f>报表附注!E3854</f>
        <v>　　2.本期增加金额</v>
      </c>
      <c r="C3609" s="1993">
        <f>报表附注!H3854</f>
        <v>0</v>
      </c>
    </row>
    <row r="3610" spans="2:3">
      <c r="B3610" s="1928" t="str">
        <f>报表附注!E3855</f>
        <v>　　　（1）购置</v>
      </c>
      <c r="C3610" s="1993">
        <f>报表附注!H3855</f>
        <v>0</v>
      </c>
    </row>
    <row r="3611" spans="2:3">
      <c r="B3611" s="1928" t="str">
        <f>报表附注!E3856</f>
        <v>　　　（2）内部研发</v>
      </c>
      <c r="C3611" s="1993">
        <f>报表附注!H3856</f>
        <v>0</v>
      </c>
    </row>
    <row r="3612" spans="2:3">
      <c r="B3612" s="1928" t="str">
        <f>报表附注!E3857</f>
        <v>　　　（3）企业合并增加</v>
      </c>
      <c r="C3612" s="1993">
        <f>报表附注!H3857</f>
        <v>0</v>
      </c>
    </row>
    <row r="3613" spans="2:3">
      <c r="B3613" s="1928" t="str">
        <f>报表附注!E3858</f>
        <v>　　　（4）投资性房地产转回</v>
      </c>
      <c r="C3613" s="1993">
        <f>报表附注!H3858</f>
        <v>0</v>
      </c>
    </row>
    <row r="3614" spans="2:3">
      <c r="B3614" s="1928" t="str">
        <f>报表附注!E3859</f>
        <v>　　　（5）其他</v>
      </c>
      <c r="C3614" s="1993">
        <f>报表附注!H3859</f>
        <v>0</v>
      </c>
    </row>
    <row r="3615" spans="2:3">
      <c r="B3615" s="1928" t="str">
        <f>报表附注!E3860</f>
        <v>　　3.本期减少金额</v>
      </c>
      <c r="C3615" s="1993">
        <f>报表附注!H3860</f>
        <v>0</v>
      </c>
    </row>
    <row r="3616" spans="2:3">
      <c r="B3616" s="1928" t="str">
        <f>报表附注!E3861</f>
        <v>　　　（1）处置</v>
      </c>
      <c r="C3616" s="1993">
        <f>报表附注!H3861</f>
        <v>0</v>
      </c>
    </row>
    <row r="3617" spans="2:3">
      <c r="B3617" s="1928" t="str">
        <f>报表附注!E3862</f>
        <v>　　　（2）转入投资性房地产</v>
      </c>
      <c r="C3617" s="1993">
        <f>报表附注!H3862</f>
        <v>0</v>
      </c>
    </row>
    <row r="3618" spans="2:3">
      <c r="B3618" s="1928" t="str">
        <f>报表附注!E3863</f>
        <v>      （3）企业合并减少</v>
      </c>
      <c r="C3618" s="1993">
        <f>报表附注!H3863</f>
        <v>0</v>
      </c>
    </row>
    <row r="3619" spans="2:3">
      <c r="B3619" s="1928" t="str">
        <f>报表附注!E3864</f>
        <v>      （4）其他减少</v>
      </c>
      <c r="C3619" s="1993">
        <f>报表附注!H3864</f>
        <v>0</v>
      </c>
    </row>
    <row r="3620" spans="2:3">
      <c r="B3620" s="1928" t="str">
        <f>报表附注!E3865</f>
        <v>　　4.期末余额</v>
      </c>
      <c r="C3620" s="1993">
        <f>报表附注!H3865</f>
        <v>0</v>
      </c>
    </row>
    <row r="3621" spans="2:3">
      <c r="B3621" s="1928" t="str">
        <f>报表附注!E3866</f>
        <v>二、累计摊销</v>
      </c>
      <c r="C3621" s="1993">
        <f>报表附注!H3866</f>
        <v>0</v>
      </c>
    </row>
    <row r="3622" spans="2:3">
      <c r="B3622" s="1928" t="str">
        <f>报表附注!E3867</f>
        <v>　　1.期初余额</v>
      </c>
      <c r="C3622" s="1993">
        <f>报表附注!H3867</f>
        <v>0</v>
      </c>
    </row>
    <row r="3623" spans="2:3">
      <c r="B3623" s="1928" t="str">
        <f>报表附注!E3868</f>
        <v>　　2.本期增加金额</v>
      </c>
      <c r="C3623" s="1993">
        <f>报表附注!H3868</f>
        <v>0</v>
      </c>
    </row>
    <row r="3624" spans="2:3">
      <c r="B3624" s="1928" t="str">
        <f>报表附注!E3869</f>
        <v>　　　（1）计提</v>
      </c>
      <c r="C3624" s="1993">
        <f>报表附注!H3869</f>
        <v>0</v>
      </c>
    </row>
    <row r="3625" spans="2:3">
      <c r="B3625" s="1928" t="str">
        <f>报表附注!E3870</f>
        <v>      （2）企业合并增加</v>
      </c>
      <c r="C3625" s="1993">
        <f>报表附注!H3870</f>
        <v>0</v>
      </c>
    </row>
    <row r="3626" spans="2:3">
      <c r="B3626" s="1928" t="str">
        <f>报表附注!E3871</f>
        <v>　　　（3）投资性房地产转回</v>
      </c>
      <c r="C3626" s="1993">
        <f>报表附注!H3871</f>
        <v>0</v>
      </c>
    </row>
    <row r="3627" spans="2:3">
      <c r="B3627" s="1928" t="str">
        <f>报表附注!E3872</f>
        <v>　　　（4）其他转入</v>
      </c>
      <c r="C3627" s="1993">
        <f>报表附注!H3872</f>
        <v>0</v>
      </c>
    </row>
    <row r="3628" spans="2:3">
      <c r="B3628" s="1928" t="str">
        <f>报表附注!E3873</f>
        <v>　　3.本期减少金额</v>
      </c>
      <c r="C3628" s="1993">
        <f>报表附注!H3873</f>
        <v>0</v>
      </c>
    </row>
    <row r="3629" spans="2:3">
      <c r="B3629" s="1928" t="str">
        <f>报表附注!E3874</f>
        <v>　　　（1）处置</v>
      </c>
      <c r="C3629" s="1993">
        <f>报表附注!H3874</f>
        <v>0</v>
      </c>
    </row>
    <row r="3630" spans="2:3">
      <c r="B3630" s="1928" t="str">
        <f>报表附注!E3875</f>
        <v>　　　（2）转入投资性房地产</v>
      </c>
      <c r="C3630" s="1993">
        <f>报表附注!H3875</f>
        <v>0</v>
      </c>
    </row>
    <row r="3631" spans="2:3">
      <c r="B3631" s="1928" t="str">
        <f>报表附注!E3876</f>
        <v>      （3）企业合并减少</v>
      </c>
      <c r="C3631" s="1993">
        <f>报表附注!H3876</f>
        <v>0</v>
      </c>
    </row>
    <row r="3632" spans="2:3">
      <c r="B3632" s="1928" t="str">
        <f>报表附注!E3877</f>
        <v>　　　（4）其他转出</v>
      </c>
      <c r="C3632" s="1993">
        <f>报表附注!H3877</f>
        <v>0</v>
      </c>
    </row>
    <row r="3633" spans="2:3">
      <c r="B3633" s="1928" t="str">
        <f>报表附注!E3878</f>
        <v>　　4.期末余额</v>
      </c>
      <c r="C3633" s="1993">
        <f>报表附注!H3878</f>
        <v>0</v>
      </c>
    </row>
    <row r="3634" spans="2:3">
      <c r="B3634" s="1928" t="str">
        <f>报表附注!E3879</f>
        <v>三、减值准备</v>
      </c>
      <c r="C3634" s="1993">
        <f>报表附注!H3879</f>
        <v>0</v>
      </c>
    </row>
    <row r="3635" spans="2:3">
      <c r="B3635" s="1928" t="str">
        <f>报表附注!E3880</f>
        <v>　　1.期初余额</v>
      </c>
      <c r="C3635" s="1993">
        <f>报表附注!H3880</f>
        <v>0</v>
      </c>
    </row>
    <row r="3636" spans="2:3">
      <c r="B3636" s="1928" t="str">
        <f>报表附注!E3881</f>
        <v>　　2.本期增加金额</v>
      </c>
      <c r="C3636" s="1993">
        <f>报表附注!H3881</f>
        <v>0</v>
      </c>
    </row>
    <row r="3637" spans="2:3">
      <c r="B3637" s="1928" t="str">
        <f>报表附注!E3882</f>
        <v>　　　（1）计提</v>
      </c>
      <c r="C3637" s="1993">
        <f>报表附注!H3882</f>
        <v>0</v>
      </c>
    </row>
    <row r="3638" spans="2:3">
      <c r="B3638" s="1928">
        <f>报表附注!E3883</f>
        <v>0</v>
      </c>
      <c r="C3638" s="1993">
        <f>报表附注!H3883</f>
        <v>0</v>
      </c>
    </row>
    <row r="3639" spans="2:3">
      <c r="B3639" s="1928" t="str">
        <f>报表附注!E3884</f>
        <v>　　3.本期减少金额</v>
      </c>
      <c r="C3639" s="1993">
        <f>报表附注!H3884</f>
        <v>0</v>
      </c>
    </row>
    <row r="3640" spans="2:3">
      <c r="B3640" s="1928" t="str">
        <f>报表附注!E3885</f>
        <v>　　（1）处置</v>
      </c>
      <c r="C3640" s="1993">
        <f>报表附注!H3885</f>
        <v>0</v>
      </c>
    </row>
    <row r="3641" spans="2:3">
      <c r="B3641" s="1928">
        <f>报表附注!E3886</f>
        <v>0</v>
      </c>
      <c r="C3641" s="1993">
        <f>报表附注!H3886</f>
        <v>0</v>
      </c>
    </row>
    <row r="3642" spans="2:3">
      <c r="B3642" s="1928" t="str">
        <f>报表附注!E3887</f>
        <v>　　4.期末余额</v>
      </c>
      <c r="C3642" s="1993">
        <f>报表附注!H3887</f>
        <v>0</v>
      </c>
    </row>
    <row r="3643" spans="2:3">
      <c r="B3643" s="1928" t="str">
        <f>报表附注!E3888</f>
        <v>四、账面价值</v>
      </c>
      <c r="C3643" s="1993">
        <f>报表附注!H3888</f>
        <v>0</v>
      </c>
    </row>
    <row r="3644" spans="2:3">
      <c r="B3644" s="1939" t="str">
        <f>报表附注!E3889</f>
        <v>　　1.期末账面价值</v>
      </c>
      <c r="C3644" s="1993">
        <f>报表附注!H3889</f>
        <v>0</v>
      </c>
    </row>
    <row r="3645" spans="2:3">
      <c r="B3645" s="1939" t="str">
        <f>报表附注!E3890</f>
        <v>　　2.期初账面价值</v>
      </c>
      <c r="C3645" s="1993">
        <f>报表附注!H3890</f>
        <v>0</v>
      </c>
    </row>
    <row r="3646" spans="2:3">
      <c r="B3646" s="1998" t="str">
        <f>报表附注!$I$3851</f>
        <v>其他</v>
      </c>
      <c r="C3646" s="1930" t="str">
        <f>报表附注!I3851</f>
        <v>其他</v>
      </c>
    </row>
    <row r="3647" spans="2:3">
      <c r="B3647" s="1928" t="str">
        <f>报表附注!E3852</f>
        <v>一、账面原值</v>
      </c>
      <c r="C3647" s="1930">
        <f>报表附注!I3852</f>
        <v>0</v>
      </c>
    </row>
    <row r="3648" spans="2:3">
      <c r="B3648" s="1928" t="str">
        <f>报表附注!E3853</f>
        <v>　　1.期初余额</v>
      </c>
      <c r="C3648" s="1993">
        <f>报表附注!I3853</f>
        <v>0</v>
      </c>
    </row>
    <row r="3649" spans="2:3">
      <c r="B3649" s="1928" t="str">
        <f>报表附注!E3854</f>
        <v>　　2.本期增加金额</v>
      </c>
      <c r="C3649" s="1993">
        <f>报表附注!I3854</f>
        <v>0</v>
      </c>
    </row>
    <row r="3650" spans="2:3">
      <c r="B3650" s="1928" t="str">
        <f>报表附注!E3855</f>
        <v>　　　（1）购置</v>
      </c>
      <c r="C3650" s="1993">
        <f>报表附注!I3855</f>
        <v>0</v>
      </c>
    </row>
    <row r="3651" spans="2:3">
      <c r="B3651" s="1928" t="str">
        <f>报表附注!E3856</f>
        <v>　　　（2）内部研发</v>
      </c>
      <c r="C3651" s="1993">
        <f>报表附注!I3856</f>
        <v>0</v>
      </c>
    </row>
    <row r="3652" spans="2:3">
      <c r="B3652" s="1928" t="str">
        <f>报表附注!E3857</f>
        <v>　　　（3）企业合并增加</v>
      </c>
      <c r="C3652" s="1993">
        <f>报表附注!I3857</f>
        <v>0</v>
      </c>
    </row>
    <row r="3653" spans="2:3">
      <c r="B3653" s="1928" t="str">
        <f>报表附注!E3858</f>
        <v>　　　（4）投资性房地产转回</v>
      </c>
      <c r="C3653" s="1993">
        <f>报表附注!I3858</f>
        <v>0</v>
      </c>
    </row>
    <row r="3654" spans="2:3">
      <c r="B3654" s="1928" t="str">
        <f>报表附注!E3859</f>
        <v>　　　（5）其他</v>
      </c>
      <c r="C3654" s="1993">
        <f>报表附注!I3859</f>
        <v>0</v>
      </c>
    </row>
    <row r="3655" spans="2:3">
      <c r="B3655" s="1928" t="str">
        <f>报表附注!E3860</f>
        <v>　　3.本期减少金额</v>
      </c>
      <c r="C3655" s="1993">
        <f>报表附注!I3860</f>
        <v>0</v>
      </c>
    </row>
    <row r="3656" spans="2:3">
      <c r="B3656" s="1928" t="str">
        <f>报表附注!E3861</f>
        <v>　　　（1）处置</v>
      </c>
      <c r="C3656" s="1993">
        <f>报表附注!I3861</f>
        <v>0</v>
      </c>
    </row>
    <row r="3657" spans="2:3">
      <c r="B3657" s="1928" t="str">
        <f>报表附注!E3862</f>
        <v>　　　（2）转入投资性房地产</v>
      </c>
      <c r="C3657" s="1993">
        <f>报表附注!I3862</f>
        <v>0</v>
      </c>
    </row>
    <row r="3658" spans="2:3">
      <c r="B3658" s="1928" t="str">
        <f>报表附注!E3863</f>
        <v>      （3）企业合并减少</v>
      </c>
      <c r="C3658" s="1993">
        <f>报表附注!I3863</f>
        <v>0</v>
      </c>
    </row>
    <row r="3659" spans="2:3">
      <c r="B3659" s="1928" t="str">
        <f>报表附注!E3864</f>
        <v>      （4）其他减少</v>
      </c>
      <c r="C3659" s="1993">
        <f>报表附注!I3864</f>
        <v>0</v>
      </c>
    </row>
    <row r="3660" spans="2:3">
      <c r="B3660" s="1928" t="str">
        <f>报表附注!E3865</f>
        <v>　　4.期末余额</v>
      </c>
      <c r="C3660" s="1993">
        <f>报表附注!I3865</f>
        <v>0</v>
      </c>
    </row>
    <row r="3661" spans="2:3">
      <c r="B3661" s="1928" t="str">
        <f>报表附注!E3866</f>
        <v>二、累计摊销</v>
      </c>
      <c r="C3661" s="1993">
        <f>报表附注!I3866</f>
        <v>0</v>
      </c>
    </row>
    <row r="3662" spans="2:3">
      <c r="B3662" s="1928" t="str">
        <f>报表附注!E3867</f>
        <v>　　1.期初余额</v>
      </c>
      <c r="C3662" s="1993">
        <f>报表附注!I3867</f>
        <v>0</v>
      </c>
    </row>
    <row r="3663" spans="2:3">
      <c r="B3663" s="1928" t="str">
        <f>报表附注!E3868</f>
        <v>　　2.本期增加金额</v>
      </c>
      <c r="C3663" s="1993">
        <f>报表附注!I3868</f>
        <v>0</v>
      </c>
    </row>
    <row r="3664" spans="2:3">
      <c r="B3664" s="1928" t="str">
        <f>报表附注!E3869</f>
        <v>　　　（1）计提</v>
      </c>
      <c r="C3664" s="1993">
        <f>报表附注!I3869</f>
        <v>0</v>
      </c>
    </row>
    <row r="3665" spans="2:3">
      <c r="B3665" s="1928" t="str">
        <f>报表附注!E3870</f>
        <v>      （2）企业合并增加</v>
      </c>
      <c r="C3665" s="1993">
        <f>报表附注!I3870</f>
        <v>0</v>
      </c>
    </row>
    <row r="3666" spans="2:3">
      <c r="B3666" s="1928" t="str">
        <f>报表附注!E3871</f>
        <v>　　　（3）投资性房地产转回</v>
      </c>
      <c r="C3666" s="1993">
        <f>报表附注!I3871</f>
        <v>0</v>
      </c>
    </row>
    <row r="3667" spans="2:3">
      <c r="B3667" s="1928" t="str">
        <f>报表附注!E3872</f>
        <v>　　　（4）其他转入</v>
      </c>
      <c r="C3667" s="1993">
        <f>报表附注!I3872</f>
        <v>0</v>
      </c>
    </row>
    <row r="3668" spans="2:3">
      <c r="B3668" s="1928" t="str">
        <f>报表附注!E3873</f>
        <v>　　3.本期减少金额</v>
      </c>
      <c r="C3668" s="1993">
        <f>报表附注!I3873</f>
        <v>0</v>
      </c>
    </row>
    <row r="3669" spans="2:3">
      <c r="B3669" s="1928" t="str">
        <f>报表附注!E3874</f>
        <v>　　　（1）处置</v>
      </c>
      <c r="C3669" s="1993">
        <f>报表附注!I3874</f>
        <v>0</v>
      </c>
    </row>
    <row r="3670" spans="2:3">
      <c r="B3670" s="1928" t="str">
        <f>报表附注!E3875</f>
        <v>　　　（2）转入投资性房地产</v>
      </c>
      <c r="C3670" s="1993">
        <f>报表附注!I3875</f>
        <v>0</v>
      </c>
    </row>
    <row r="3671" spans="2:3">
      <c r="B3671" s="1928" t="str">
        <f>报表附注!E3876</f>
        <v>      （3）企业合并减少</v>
      </c>
      <c r="C3671" s="1993">
        <f>报表附注!I3876</f>
        <v>0</v>
      </c>
    </row>
    <row r="3672" spans="2:3">
      <c r="B3672" s="1928" t="str">
        <f>报表附注!E3877</f>
        <v>　　　（4）其他转出</v>
      </c>
      <c r="C3672" s="1993">
        <f>报表附注!I3877</f>
        <v>0</v>
      </c>
    </row>
    <row r="3673" spans="2:3">
      <c r="B3673" s="1928" t="str">
        <f>报表附注!E3878</f>
        <v>　　4.期末余额</v>
      </c>
      <c r="C3673" s="1993">
        <f>报表附注!I3878</f>
        <v>0</v>
      </c>
    </row>
    <row r="3674" spans="2:3">
      <c r="B3674" s="1928" t="str">
        <f>报表附注!E3879</f>
        <v>三、减值准备</v>
      </c>
      <c r="C3674" s="1993">
        <f>报表附注!I3879</f>
        <v>0</v>
      </c>
    </row>
    <row r="3675" spans="2:3">
      <c r="B3675" s="1928" t="str">
        <f>报表附注!E3880</f>
        <v>　　1.期初余额</v>
      </c>
      <c r="C3675" s="1993">
        <f>报表附注!I3880</f>
        <v>0</v>
      </c>
    </row>
    <row r="3676" spans="2:3">
      <c r="B3676" s="1928" t="str">
        <f>报表附注!E3881</f>
        <v>　　2.本期增加金额</v>
      </c>
      <c r="C3676" s="1993">
        <f>报表附注!I3881</f>
        <v>0</v>
      </c>
    </row>
    <row r="3677" spans="2:3">
      <c r="B3677" s="1928" t="str">
        <f>报表附注!E3882</f>
        <v>　　　（1）计提</v>
      </c>
      <c r="C3677" s="1993">
        <f>报表附注!I3882</f>
        <v>0</v>
      </c>
    </row>
    <row r="3678" spans="2:3">
      <c r="B3678" s="1928">
        <f>报表附注!E3883</f>
        <v>0</v>
      </c>
      <c r="C3678" s="1993">
        <f>报表附注!I3883</f>
        <v>0</v>
      </c>
    </row>
    <row r="3679" spans="2:3">
      <c r="B3679" s="1928" t="str">
        <f>报表附注!E3884</f>
        <v>　　3.本期减少金额</v>
      </c>
      <c r="C3679" s="1993">
        <f>报表附注!I3884</f>
        <v>0</v>
      </c>
    </row>
    <row r="3680" spans="2:3">
      <c r="B3680" s="1928" t="str">
        <f>报表附注!E3885</f>
        <v>　　（1）处置</v>
      </c>
      <c r="C3680" s="1993">
        <f>报表附注!I3885</f>
        <v>0</v>
      </c>
    </row>
    <row r="3681" spans="2:3">
      <c r="B3681" s="1928">
        <f>报表附注!E3886</f>
        <v>0</v>
      </c>
      <c r="C3681" s="1993">
        <f>报表附注!I3886</f>
        <v>0</v>
      </c>
    </row>
    <row r="3682" spans="2:3">
      <c r="B3682" s="1928" t="str">
        <f>报表附注!E3887</f>
        <v>　　4.期末余额</v>
      </c>
      <c r="C3682" s="1993">
        <f>报表附注!I3887</f>
        <v>0</v>
      </c>
    </row>
    <row r="3683" spans="2:3">
      <c r="B3683" s="1928" t="str">
        <f>报表附注!E3888</f>
        <v>四、账面价值</v>
      </c>
      <c r="C3683" s="1993">
        <f>报表附注!I3888</f>
        <v>0</v>
      </c>
    </row>
    <row r="3684" spans="2:3">
      <c r="B3684" s="1939" t="str">
        <f>报表附注!E3889</f>
        <v>　　1.期末账面价值</v>
      </c>
      <c r="C3684" s="1993">
        <f>报表附注!I3889</f>
        <v>0</v>
      </c>
    </row>
    <row r="3685" spans="2:3">
      <c r="B3685" s="1939" t="str">
        <f>报表附注!E3890</f>
        <v>　　2.期初账面价值</v>
      </c>
      <c r="C3685" s="1993">
        <f>报表附注!I3890</f>
        <v>0</v>
      </c>
    </row>
    <row r="3686" spans="2:3">
      <c r="B3686" s="1933" t="str">
        <f>报表附注!J3851</f>
        <v>合计</v>
      </c>
      <c r="C3686" s="1999" t="str">
        <f>报表附注!J3851</f>
        <v>合计</v>
      </c>
    </row>
    <row r="3687" spans="2:3">
      <c r="B3687" s="1928" t="str">
        <f>报表附注!E3852</f>
        <v>一、账面原值</v>
      </c>
      <c r="C3687" s="1999">
        <f>报表附注!J3852</f>
        <v>0</v>
      </c>
    </row>
    <row r="3688" spans="2:3">
      <c r="B3688" s="1928" t="str">
        <f>报表附注!E3853</f>
        <v>　　1.期初余额</v>
      </c>
      <c r="C3688" s="2000">
        <f>报表附注!J3853</f>
        <v>0</v>
      </c>
    </row>
    <row r="3689" spans="2:3">
      <c r="B3689" s="1928" t="str">
        <f>报表附注!E3854</f>
        <v>　　2.本期增加金额</v>
      </c>
      <c r="C3689" s="2000">
        <f>报表附注!J3854</f>
        <v>0</v>
      </c>
    </row>
    <row r="3690" spans="2:3">
      <c r="B3690" s="1928" t="str">
        <f>报表附注!E3855</f>
        <v>　　　（1）购置</v>
      </c>
      <c r="C3690" s="2000">
        <f>报表附注!J3855</f>
        <v>0</v>
      </c>
    </row>
    <row r="3691" spans="2:3">
      <c r="B3691" s="1928" t="str">
        <f>报表附注!E3856</f>
        <v>　　　（2）内部研发</v>
      </c>
      <c r="C3691" s="2000">
        <f>报表附注!J3856</f>
        <v>0</v>
      </c>
    </row>
    <row r="3692" spans="2:3">
      <c r="B3692" s="1928" t="str">
        <f>报表附注!E3857</f>
        <v>　　　（3）企业合并增加</v>
      </c>
      <c r="C3692" s="2000">
        <f>报表附注!J3857</f>
        <v>0</v>
      </c>
    </row>
    <row r="3693" spans="2:3">
      <c r="B3693" s="1928" t="str">
        <f>报表附注!E3858</f>
        <v>　　　（4）投资性房地产转回</v>
      </c>
      <c r="C3693" s="2000">
        <f>报表附注!J3858</f>
        <v>0</v>
      </c>
    </row>
    <row r="3694" spans="2:3">
      <c r="B3694" s="1928" t="str">
        <f>报表附注!E3859</f>
        <v>　　　（5）其他</v>
      </c>
      <c r="C3694" s="2000">
        <f>报表附注!J3859</f>
        <v>0</v>
      </c>
    </row>
    <row r="3695" spans="2:3">
      <c r="B3695" s="1928" t="str">
        <f>报表附注!E3860</f>
        <v>　　3.本期减少金额</v>
      </c>
      <c r="C3695" s="2000">
        <f>报表附注!J3860</f>
        <v>0</v>
      </c>
    </row>
    <row r="3696" spans="2:3">
      <c r="B3696" s="1928" t="str">
        <f>报表附注!E3861</f>
        <v>　　　（1）处置</v>
      </c>
      <c r="C3696" s="2000">
        <f>报表附注!J3861</f>
        <v>0</v>
      </c>
    </row>
    <row r="3697" spans="2:3">
      <c r="B3697" s="1928" t="str">
        <f>报表附注!E3862</f>
        <v>　　　（2）转入投资性房地产</v>
      </c>
      <c r="C3697" s="2000">
        <f>报表附注!J3862</f>
        <v>0</v>
      </c>
    </row>
    <row r="3698" spans="2:3">
      <c r="B3698" s="1928" t="str">
        <f>报表附注!E3863</f>
        <v>      （3）企业合并减少</v>
      </c>
      <c r="C3698" s="2000">
        <f>报表附注!J3863</f>
        <v>0</v>
      </c>
    </row>
    <row r="3699" spans="2:3">
      <c r="B3699" s="1928" t="str">
        <f>报表附注!E3864</f>
        <v>      （4）其他减少</v>
      </c>
      <c r="C3699" s="2000">
        <f>报表附注!J3864</f>
        <v>0</v>
      </c>
    </row>
    <row r="3700" spans="2:3">
      <c r="B3700" s="1928" t="str">
        <f>报表附注!E3865</f>
        <v>　　4.期末余额</v>
      </c>
      <c r="C3700" s="2000">
        <f>报表附注!J3865</f>
        <v>0</v>
      </c>
    </row>
    <row r="3701" spans="2:3">
      <c r="B3701" s="1928" t="str">
        <f>报表附注!E3866</f>
        <v>二、累计摊销</v>
      </c>
      <c r="C3701" s="2000">
        <f>报表附注!J3866</f>
        <v>0</v>
      </c>
    </row>
    <row r="3702" spans="2:3">
      <c r="B3702" s="1928" t="str">
        <f>报表附注!E3867</f>
        <v>　　1.期初余额</v>
      </c>
      <c r="C3702" s="2000">
        <f>报表附注!J3867</f>
        <v>0</v>
      </c>
    </row>
    <row r="3703" spans="2:3">
      <c r="B3703" s="1928" t="str">
        <f>报表附注!E3868</f>
        <v>　　2.本期增加金额</v>
      </c>
      <c r="C3703" s="2000">
        <f>报表附注!J3868</f>
        <v>0</v>
      </c>
    </row>
    <row r="3704" spans="2:3">
      <c r="B3704" s="1928" t="str">
        <f>报表附注!E3869</f>
        <v>　　　（1）计提</v>
      </c>
      <c r="C3704" s="2000">
        <f>报表附注!J3869</f>
        <v>0</v>
      </c>
    </row>
    <row r="3705" spans="2:3">
      <c r="B3705" s="1928" t="str">
        <f>报表附注!E3870</f>
        <v>      （2）企业合并增加</v>
      </c>
      <c r="C3705" s="2000">
        <f>报表附注!J3870</f>
        <v>0</v>
      </c>
    </row>
    <row r="3706" spans="2:3">
      <c r="B3706" s="1928" t="str">
        <f>报表附注!E3871</f>
        <v>　　　（3）投资性房地产转回</v>
      </c>
      <c r="C3706" s="2000">
        <f>报表附注!J3871</f>
        <v>0</v>
      </c>
    </row>
    <row r="3707" spans="2:3">
      <c r="B3707" s="1928" t="str">
        <f>报表附注!E3872</f>
        <v>　　　（4）其他转入</v>
      </c>
      <c r="C3707" s="2000">
        <f>报表附注!J3872</f>
        <v>0</v>
      </c>
    </row>
    <row r="3708" spans="2:3">
      <c r="B3708" s="1928" t="str">
        <f>报表附注!E3873</f>
        <v>　　3.本期减少金额</v>
      </c>
      <c r="C3708" s="2000">
        <f>报表附注!J3873</f>
        <v>0</v>
      </c>
    </row>
    <row r="3709" spans="2:3">
      <c r="B3709" s="1928" t="str">
        <f>报表附注!E3874</f>
        <v>　　　（1）处置</v>
      </c>
      <c r="C3709" s="2000">
        <f>报表附注!J3874</f>
        <v>0</v>
      </c>
    </row>
    <row r="3710" spans="2:3">
      <c r="B3710" s="1928" t="str">
        <f>报表附注!E3875</f>
        <v>　　　（2）转入投资性房地产</v>
      </c>
      <c r="C3710" s="2000">
        <f>报表附注!J3875</f>
        <v>0</v>
      </c>
    </row>
    <row r="3711" spans="2:3">
      <c r="B3711" s="1928" t="str">
        <f>报表附注!E3876</f>
        <v>      （3）企业合并减少</v>
      </c>
      <c r="C3711" s="2000">
        <f>报表附注!J3876</f>
        <v>0</v>
      </c>
    </row>
    <row r="3712" spans="2:3">
      <c r="B3712" s="1928" t="str">
        <f>报表附注!E3877</f>
        <v>　　　（4）其他转出</v>
      </c>
      <c r="C3712" s="2000">
        <f>报表附注!J3877</f>
        <v>0</v>
      </c>
    </row>
    <row r="3713" spans="2:3">
      <c r="B3713" s="1928" t="str">
        <f>报表附注!E3878</f>
        <v>　　4.期末余额</v>
      </c>
      <c r="C3713" s="2000">
        <f>报表附注!J3878</f>
        <v>0</v>
      </c>
    </row>
    <row r="3714" spans="2:3">
      <c r="B3714" s="1928" t="str">
        <f>报表附注!E3879</f>
        <v>三、减值准备</v>
      </c>
      <c r="C3714" s="2000">
        <f>报表附注!J3879</f>
        <v>0</v>
      </c>
    </row>
    <row r="3715" spans="2:3">
      <c r="B3715" s="1928" t="str">
        <f>报表附注!E3880</f>
        <v>　　1.期初余额</v>
      </c>
      <c r="C3715" s="2000">
        <f>报表附注!J3880</f>
        <v>0</v>
      </c>
    </row>
    <row r="3716" spans="2:3">
      <c r="B3716" s="1928" t="str">
        <f>报表附注!E3881</f>
        <v>　　2.本期增加金额</v>
      </c>
      <c r="C3716" s="2000">
        <f>报表附注!J3881</f>
        <v>0</v>
      </c>
    </row>
    <row r="3717" spans="2:3">
      <c r="B3717" s="1928" t="str">
        <f>报表附注!E3882</f>
        <v>　　　（1）计提</v>
      </c>
      <c r="C3717" s="2000">
        <f>报表附注!J3882</f>
        <v>0</v>
      </c>
    </row>
    <row r="3718" spans="2:3">
      <c r="B3718" s="1988">
        <f>报表附注!E3883</f>
        <v>0</v>
      </c>
      <c r="C3718" s="2000">
        <f>报表附注!J3883</f>
        <v>0</v>
      </c>
    </row>
    <row r="3719" spans="2:3">
      <c r="B3719" s="1988" t="str">
        <f>报表附注!E3884</f>
        <v>　　3.本期减少金额</v>
      </c>
      <c r="C3719" s="2000">
        <f>报表附注!J3884</f>
        <v>0</v>
      </c>
    </row>
    <row r="3720" spans="2:3">
      <c r="B3720" s="1988" t="str">
        <f>报表附注!E3885</f>
        <v>　　（1）处置</v>
      </c>
      <c r="C3720" s="2000">
        <f>报表附注!J3885</f>
        <v>0</v>
      </c>
    </row>
    <row r="3721" spans="2:3">
      <c r="B3721" s="1988">
        <f>报表附注!E3886</f>
        <v>0</v>
      </c>
      <c r="C3721" s="2000">
        <f>报表附注!J3886</f>
        <v>0</v>
      </c>
    </row>
    <row r="3722" spans="2:3">
      <c r="B3722" s="1928" t="str">
        <f>报表附注!E3887</f>
        <v>　　4.期末余额</v>
      </c>
      <c r="C3722" s="2000">
        <f>报表附注!J3887</f>
        <v>0</v>
      </c>
    </row>
    <row r="3723" spans="2:3">
      <c r="B3723" s="1928" t="str">
        <f>报表附注!E3888</f>
        <v>四、账面价值</v>
      </c>
      <c r="C3723" s="2000">
        <f>报表附注!J3888</f>
        <v>0</v>
      </c>
    </row>
    <row r="3724" spans="2:3">
      <c r="B3724" s="1939" t="str">
        <f>报表附注!E3889</f>
        <v>　　1.期末账面价值</v>
      </c>
      <c r="C3724" s="2000">
        <f>报表附注!J3889</f>
        <v>0</v>
      </c>
    </row>
    <row r="3725" spans="2:3">
      <c r="B3725" s="1939" t="str">
        <f>报表附注!E3890</f>
        <v>　　2.期初账面价值</v>
      </c>
      <c r="C3725" s="2000">
        <f>报表附注!J3890</f>
        <v>0</v>
      </c>
    </row>
    <row r="3726" spans="2:3">
      <c r="B3726" s="1933" t="str">
        <f>'4、非经常性损益'!A1</f>
        <v>非经常性损益项目</v>
      </c>
      <c r="C3726" s="2001" t="str">
        <f>'4、非经常性损益'!B1</f>
        <v>金额</v>
      </c>
    </row>
    <row r="3727" spans="2:3">
      <c r="B3727" s="1928" t="str">
        <f>'4、非经常性损益'!A2</f>
        <v>1．处置非流动资产利得小计</v>
      </c>
      <c r="C3727" s="2000">
        <f>'4、非经常性损益'!B2</f>
        <v>0</v>
      </c>
    </row>
    <row r="3728" spans="2:3">
      <c r="B3728" s="1928" t="str">
        <f>'4、非经常性损益'!A3</f>
        <v>其中：处置固定资产利得</v>
      </c>
      <c r="C3728" s="2000">
        <f>'4、非经常性损益'!B3</f>
        <v>0</v>
      </c>
    </row>
    <row r="3729" spans="2:3">
      <c r="B3729" s="1928" t="str">
        <f>'4、非经常性损益'!A4</f>
        <v>      处置无形资产利得</v>
      </c>
      <c r="C3729" s="2000">
        <f>'4、非经常性损益'!B4</f>
        <v>0</v>
      </c>
    </row>
    <row r="3730" spans="2:3">
      <c r="B3730" s="1928" t="str">
        <f>'4、非经常性损益'!A5</f>
        <v>2．非货币性资产交换利得</v>
      </c>
      <c r="C3730" s="2000">
        <f>'4、非经常性损益'!B5</f>
        <v>0</v>
      </c>
    </row>
    <row r="3731" spans="2:3">
      <c r="B3731" s="1928" t="str">
        <f>'4、非经常性损益'!A6</f>
        <v>3．债务重组利得</v>
      </c>
      <c r="C3731" s="2000">
        <f>'4、非经常性损益'!B6</f>
        <v>0</v>
      </c>
    </row>
    <row r="3732" spans="2:3">
      <c r="B3732" s="1928" t="str">
        <f>'4、非经常性损益'!A7</f>
        <v>4．政府补助</v>
      </c>
      <c r="C3732" s="2000">
        <f>'4、非经常性损益'!B7</f>
        <v>0</v>
      </c>
    </row>
    <row r="3733" spans="2:3">
      <c r="B3733" s="1928" t="str">
        <f>'4、非经常性损益'!A8</f>
        <v>5．盘盈利得</v>
      </c>
      <c r="C3733" s="2000">
        <f>'4、非经常性损益'!B8</f>
        <v>0</v>
      </c>
    </row>
    <row r="3734" spans="2:3">
      <c r="B3734" s="1928" t="str">
        <f>'4、非经常性损益'!A9</f>
        <v>6．捐赠利得</v>
      </c>
      <c r="C3734" s="2000">
        <f>'4、非经常性损益'!B9</f>
        <v>0</v>
      </c>
    </row>
    <row r="3735" spans="2:3">
      <c r="B3735" s="1928" t="str">
        <f>'4、非经常性损益'!A10</f>
        <v>7．罚款收入</v>
      </c>
      <c r="C3735" s="2000">
        <f>'4、非经常性损益'!B10</f>
        <v>0</v>
      </c>
    </row>
    <row r="3736" spans="2:3">
      <c r="B3736" s="1928" t="str">
        <f>'4、非经常性损益'!A11</f>
        <v>8．其他</v>
      </c>
      <c r="C3736" s="2000">
        <f>'4、非经常性损益'!B11</f>
        <v>0</v>
      </c>
    </row>
    <row r="3737" spans="2:3">
      <c r="B3737" s="1939" t="str">
        <f>'4、非经常性损益'!A12</f>
        <v>营业外收入合计</v>
      </c>
      <c r="C3737" s="2000">
        <f>'4、非经常性损益'!B12</f>
        <v>0</v>
      </c>
    </row>
    <row r="3738" spans="2:3">
      <c r="B3738" s="1928" t="str">
        <f>'4、非经常性损益'!A13</f>
        <v>１．处置非流动资损失合计</v>
      </c>
      <c r="C3738" s="2000">
        <f>'4、非经常性损益'!B13</f>
        <v>0</v>
      </c>
    </row>
    <row r="3739" spans="2:3">
      <c r="B3739" s="1928" t="str">
        <f>'4、非经常性损益'!A14</f>
        <v>  其中：处置固定资产损失</v>
      </c>
      <c r="C3739" s="2000">
        <f>'4、非经常性损益'!B14</f>
        <v>0</v>
      </c>
    </row>
    <row r="3740" spans="2:3">
      <c r="B3740" s="1928" t="str">
        <f>'4、非经常性损益'!A15</f>
        <v>          处置无形资产损失</v>
      </c>
      <c r="C3740" s="2000">
        <f>'4、非经常性损益'!B15</f>
        <v>0</v>
      </c>
    </row>
    <row r="3741" spans="2:3">
      <c r="B3741" s="1928" t="str">
        <f>'4、非经常性损益'!A16</f>
        <v>２．非贷币性资产交换损失</v>
      </c>
      <c r="C3741" s="2000">
        <f>'4、非经常性损益'!B16</f>
        <v>0</v>
      </c>
    </row>
    <row r="3742" spans="2:3">
      <c r="B3742" s="1928" t="str">
        <f>'4、非经常性损益'!A17</f>
        <v>３．债务重组损失</v>
      </c>
      <c r="C3742" s="2000">
        <f>'4、非经常性损益'!B17</f>
        <v>0</v>
      </c>
    </row>
    <row r="3743" spans="2:3">
      <c r="B3743" s="1928" t="str">
        <f>'4、非经常性损益'!A18</f>
        <v>４．公益性捐赠支出</v>
      </c>
      <c r="C3743" s="2000">
        <f>'4、非经常性损益'!B18</f>
        <v>0</v>
      </c>
    </row>
    <row r="3744" spans="2:3">
      <c r="B3744" s="1928" t="str">
        <f>'4、非经常性损益'!A19</f>
        <v>５．非常损失</v>
      </c>
      <c r="C3744" s="2000">
        <f>'4、非经常性损益'!B19</f>
        <v>0</v>
      </c>
    </row>
    <row r="3745" spans="2:3">
      <c r="B3745" s="1928" t="str">
        <f>'4、非经常性损益'!A20</f>
        <v>６．盘亏损失</v>
      </c>
      <c r="C3745" s="2000">
        <f>'4、非经常性损益'!B20</f>
        <v>0</v>
      </c>
    </row>
    <row r="3746" spans="2:3">
      <c r="B3746" s="1928" t="str">
        <f>'4、非经常性损益'!A21</f>
        <v>７．罚款支出</v>
      </c>
      <c r="C3746" s="2000">
        <f>'4、非经常性损益'!B21</f>
        <v>0</v>
      </c>
    </row>
    <row r="3747" spans="2:3">
      <c r="B3747" s="1928" t="str">
        <f>'4、非经常性损益'!A22</f>
        <v>８．其他</v>
      </c>
      <c r="C3747" s="2000">
        <f>'4、非经常性损益'!B22</f>
        <v>0</v>
      </c>
    </row>
    <row r="3748" spans="2:3">
      <c r="B3748" s="1939" t="str">
        <f>'4、非经常性损益'!A23</f>
        <v>营业外支出合计</v>
      </c>
      <c r="C3748" s="2000">
        <f>'4、非经常性损益'!B23</f>
        <v>0</v>
      </c>
    </row>
    <row r="3749" spans="2:3">
      <c r="B3749" s="1928" t="str">
        <f>'4、非经常性损益'!A24</f>
        <v>投资收益-理财产品收入</v>
      </c>
      <c r="C3749" s="2000">
        <f>'4、非经常性损益'!B24</f>
        <v>0</v>
      </c>
    </row>
    <row r="3750" spans="2:3">
      <c r="B3750" s="1928" t="str">
        <f>'4、非经常性损益'!A25</f>
        <v>新增项目1-</v>
      </c>
      <c r="C3750" s="2000">
        <f>'4、非经常性损益'!B25</f>
        <v>0</v>
      </c>
    </row>
    <row r="3751" spans="2:3">
      <c r="B3751" s="1928" t="str">
        <f>'4、非经常性损益'!A26</f>
        <v>新增项目2-</v>
      </c>
      <c r="C3751" s="2000">
        <f>'4、非经常性损益'!B26</f>
        <v>0</v>
      </c>
    </row>
    <row r="3752" spans="2:3">
      <c r="B3752" s="1928" t="str">
        <f>'4、非经常性损益'!A27</f>
        <v>新增项目3-</v>
      </c>
      <c r="C3752" s="2000">
        <f>'4、非经常性损益'!B27</f>
        <v>0</v>
      </c>
    </row>
    <row r="3753" spans="2:3">
      <c r="B3753" s="1928" t="str">
        <f>'4、非经常性损益'!A28</f>
        <v>非经常性损益金额</v>
      </c>
      <c r="C3753" s="2000">
        <f>'4、非经常性损益'!B28</f>
        <v>0</v>
      </c>
    </row>
    <row r="3754" spans="2:3">
      <c r="B3754" s="1928" t="str">
        <f>'4、非经常性损益'!A29</f>
        <v>税率</v>
      </c>
      <c r="C3754" s="2000">
        <f>'4、非经常性损益'!B29</f>
        <v>0</v>
      </c>
    </row>
    <row r="3755" spans="2:3">
      <c r="B3755" s="1928" t="str">
        <f>'4、非经常性损益'!A30</f>
        <v>不影响所得税金额（上述事项中的纳税调增调减事项）</v>
      </c>
      <c r="C3755" s="2000">
        <f>'4、非经常性损益'!B30</f>
        <v>0</v>
      </c>
    </row>
    <row r="3756" spans="2:3">
      <c r="B3756" s="1928" t="str">
        <f>'4、非经常性损益'!A31</f>
        <v>非经常损益所得税影响额</v>
      </c>
      <c r="C3756" s="2000">
        <f>'4、非经常性损益'!B31</f>
        <v>0</v>
      </c>
    </row>
    <row r="3757" spans="2:3">
      <c r="B3757" s="2002" t="str">
        <f>'4、非经常性损益'!A32</f>
        <v>扣除所得税影响后的非经常性损益合计</v>
      </c>
      <c r="C3757" s="2000">
        <f>'4、非经常性损益'!B32</f>
        <v>0</v>
      </c>
    </row>
    <row r="3758" spans="2:3">
      <c r="B3758" s="1928" t="str">
        <f>'4、非经常性损益'!A33</f>
        <v>江粉持股比例</v>
      </c>
      <c r="C3758" s="2000">
        <f>'4、非经常性损益'!B33</f>
        <v>0</v>
      </c>
    </row>
    <row r="3759" spans="2:3">
      <c r="B3759" s="1928" t="str">
        <f>'4、非经常性损益'!A34</f>
        <v>其中：归属于母公司的非经常性损益</v>
      </c>
      <c r="C3759" s="2000">
        <f>'4、非经常性损益'!B34</f>
        <v>0</v>
      </c>
    </row>
    <row r="3760" spans="2:3">
      <c r="B3760" s="1928" t="str">
        <f>'4、非经常性损益'!A35</f>
        <v>其中：归属于少数股东的非经常性损益</v>
      </c>
      <c r="C3760" s="2000">
        <f>'4、非经常性损益'!B35</f>
        <v>0</v>
      </c>
    </row>
    <row r="3761" spans="2:3">
      <c r="B3761" s="1949"/>
      <c r="C3761" s="1992"/>
    </row>
    <row r="3762" spans="2:3">
      <c r="B3762" s="1994" t="str">
        <f>报表附注!E3163</f>
        <v>(六十七) 收到或支付的其他与投资活动有关的现金（上期可不填）</v>
      </c>
      <c r="C3762" s="1992">
        <f>报表附注!F3163</f>
        <v>0</v>
      </c>
    </row>
    <row r="3763" spans="2:3">
      <c r="B3763" s="1949" t="str">
        <f>报表附注!E3164</f>
        <v>大额项目</v>
      </c>
      <c r="C3763" s="1992" t="str">
        <f>报表附注!F3164</f>
        <v>本期数</v>
      </c>
    </row>
    <row r="3764" spans="2:3">
      <c r="B3764" s="1953" t="str">
        <f>报表附注!E3165</f>
        <v>一、收到的其他与投资活动有关的现金</v>
      </c>
      <c r="C3764" s="2003">
        <f>报表附注!F3165</f>
        <v>0</v>
      </c>
    </row>
    <row r="3765" spans="2:3">
      <c r="B3765" s="1949" t="str">
        <f>报表附注!E3166</f>
        <v>投资性利息收入</v>
      </c>
      <c r="C3765" s="2003">
        <f>报表附注!F3166</f>
        <v>0</v>
      </c>
    </row>
    <row r="3766" spans="2:3">
      <c r="B3766" s="1949">
        <f>报表附注!E3167</f>
        <v>0</v>
      </c>
      <c r="C3766" s="2003">
        <f>报表附注!F3167</f>
        <v>0</v>
      </c>
    </row>
    <row r="3767" spans="2:3">
      <c r="B3767" s="1949">
        <f>报表附注!E3168</f>
        <v>0</v>
      </c>
      <c r="C3767" s="2003">
        <f>报表附注!F3168</f>
        <v>0</v>
      </c>
    </row>
    <row r="3768" spans="2:3">
      <c r="B3768" s="1949">
        <f>报表附注!E3169</f>
        <v>0</v>
      </c>
      <c r="C3768" s="2003">
        <f>报表附注!F3169</f>
        <v>0</v>
      </c>
    </row>
    <row r="3769" spans="2:3">
      <c r="B3769" s="1949">
        <f>报表附注!E3170</f>
        <v>0</v>
      </c>
      <c r="C3769" s="2003">
        <f>报表附注!F3170</f>
        <v>0</v>
      </c>
    </row>
    <row r="3770" spans="2:3">
      <c r="B3770" s="1949">
        <f>报表附注!E3171</f>
        <v>0</v>
      </c>
      <c r="C3770" s="2003">
        <f>报表附注!F3171</f>
        <v>0</v>
      </c>
    </row>
    <row r="3771" spans="2:3">
      <c r="B3771" s="1949">
        <f>报表附注!E3172</f>
        <v>0</v>
      </c>
      <c r="C3771" s="2003">
        <f>报表附注!F3172</f>
        <v>0</v>
      </c>
    </row>
    <row r="3772" spans="2:3">
      <c r="B3772" s="1949">
        <f>报表附注!E3173</f>
        <v>0</v>
      </c>
      <c r="C3772" s="2003">
        <f>报表附注!F3173</f>
        <v>0</v>
      </c>
    </row>
    <row r="3773" spans="2:3">
      <c r="B3773" s="1949">
        <f>报表附注!E3174</f>
        <v>0</v>
      </c>
      <c r="C3773" s="2003">
        <f>报表附注!F3174</f>
        <v>0</v>
      </c>
    </row>
    <row r="3774" spans="2:3">
      <c r="B3774" s="1949">
        <f>报表附注!E3175</f>
        <v>0</v>
      </c>
      <c r="C3774" s="2003">
        <f>报表附注!F3175</f>
        <v>0</v>
      </c>
    </row>
    <row r="3775" spans="2:3">
      <c r="B3775" s="1949">
        <f>报表附注!E3176</f>
        <v>0</v>
      </c>
      <c r="C3775" s="2003">
        <f>报表附注!F3176</f>
        <v>0</v>
      </c>
    </row>
    <row r="3776" spans="2:3">
      <c r="B3776" s="1953" t="str">
        <f>报表附注!E3177</f>
        <v>二、支付的其他与投资活动有关的现金</v>
      </c>
      <c r="C3776" s="2003">
        <f>报表附注!F3177</f>
        <v>0</v>
      </c>
    </row>
    <row r="3777" spans="2:3">
      <c r="B3777" s="1949" t="str">
        <f>报表附注!E3178</f>
        <v>委托贷款</v>
      </c>
      <c r="C3777" s="2003">
        <f>报表附注!F3178</f>
        <v>0</v>
      </c>
    </row>
    <row r="3778" spans="2:3">
      <c r="B3778" s="1949" t="str">
        <f>报表附注!E3179</f>
        <v>理财产品</v>
      </c>
      <c r="C3778" s="2003">
        <f>报表附注!F3179</f>
        <v>0</v>
      </c>
    </row>
    <row r="3779" spans="2:3">
      <c r="B3779" s="1949">
        <f>报表附注!E3180</f>
        <v>0</v>
      </c>
      <c r="C3779" s="2003">
        <f>报表附注!F3180</f>
        <v>0</v>
      </c>
    </row>
    <row r="3780" spans="2:3">
      <c r="B3780" s="1949">
        <f>报表附注!E3181</f>
        <v>0</v>
      </c>
      <c r="C3780" s="2003">
        <f>报表附注!F3181</f>
        <v>0</v>
      </c>
    </row>
    <row r="3781" spans="2:3">
      <c r="B3781" s="1949">
        <f>报表附注!E3182</f>
        <v>0</v>
      </c>
      <c r="C3781" s="2003">
        <f>报表附注!F3182</f>
        <v>0</v>
      </c>
    </row>
    <row r="3782" spans="2:3">
      <c r="B3782" s="1949">
        <f>报表附注!E3183</f>
        <v>0</v>
      </c>
      <c r="C3782" s="2003">
        <f>报表附注!F3183</f>
        <v>0</v>
      </c>
    </row>
    <row r="3783" spans="2:3">
      <c r="B3783" s="1949">
        <f>报表附注!E3184</f>
        <v>0</v>
      </c>
      <c r="C3783" s="2003">
        <f>报表附注!F3184</f>
        <v>0</v>
      </c>
    </row>
    <row r="3784" spans="2:3">
      <c r="B3784" s="1949">
        <f>报表附注!E3185</f>
        <v>0</v>
      </c>
      <c r="C3784" s="2003">
        <f>报表附注!F3185</f>
        <v>0</v>
      </c>
    </row>
    <row r="3785" spans="2:3">
      <c r="B3785" s="1949">
        <f>报表附注!E3186</f>
        <v>0</v>
      </c>
      <c r="C3785" s="2003">
        <f>报表附注!F3186</f>
        <v>0</v>
      </c>
    </row>
    <row r="3786" spans="2:3">
      <c r="B3786" s="1949">
        <f>报表附注!E3187</f>
        <v>0</v>
      </c>
      <c r="C3786" s="2003">
        <f>报表附注!F3187</f>
        <v>0</v>
      </c>
    </row>
    <row r="3787" spans="2:3">
      <c r="B3787" s="1949">
        <f>报表附注!E3188</f>
        <v>0</v>
      </c>
      <c r="C3787" s="2003">
        <f>报表附注!F3188</f>
        <v>0</v>
      </c>
    </row>
    <row r="3788" spans="2:3">
      <c r="B3788" s="1949" t="str">
        <f>报表附注!E3189</f>
        <v>报表项目-收到其他投资</v>
      </c>
      <c r="C3788" s="2004">
        <f>报表附注!F3189</f>
        <v>0</v>
      </c>
    </row>
    <row r="3789" spans="2:3">
      <c r="B3789" s="1949" t="str">
        <f>报表附注!E3190</f>
        <v>核对</v>
      </c>
      <c r="C3789" s="2004">
        <f>报表附注!F3190</f>
        <v>0</v>
      </c>
    </row>
    <row r="3790" spans="2:3">
      <c r="B3790" s="1949" t="str">
        <f>报表附注!E3191</f>
        <v>报表项目-支付其他投资</v>
      </c>
      <c r="C3790" s="2004">
        <f>报表附注!F3191</f>
        <v>0</v>
      </c>
    </row>
    <row r="3791" spans="2:3">
      <c r="B3791" s="1949" t="str">
        <f>报表附注!E3192</f>
        <v>核对</v>
      </c>
      <c r="C3791" s="2004">
        <f>报表附注!F3192</f>
        <v>0</v>
      </c>
    </row>
    <row r="3792" spans="2:3">
      <c r="B3792" s="1927"/>
      <c r="C3792" s="1927"/>
    </row>
    <row r="3793" spans="2:3">
      <c r="B3793" s="1994" t="str">
        <f>报表附注!E3199</f>
        <v>(六十八) 收到或支付的其他与筹资活动有关的现金（上期可不填）</v>
      </c>
      <c r="C3793" s="1927"/>
    </row>
    <row r="3794" spans="2:3">
      <c r="B3794" s="1927" t="str">
        <f>报表附注!E3200</f>
        <v>大额项目</v>
      </c>
      <c r="C3794" s="1927" t="str">
        <f>报表附注!F3200</f>
        <v>本期数</v>
      </c>
    </row>
    <row r="3795" spans="2:3">
      <c r="B3795" s="1932" t="str">
        <f>报表附注!E3201</f>
        <v>一、收到的其他与筹资活动有关的现金</v>
      </c>
      <c r="C3795" s="1964">
        <f>报表附注!F3201</f>
        <v>0</v>
      </c>
    </row>
    <row r="3796" spans="2:3">
      <c r="B3796" s="1929" t="str">
        <f>报表附注!E3202</f>
        <v>收回的贷款质押保证金</v>
      </c>
      <c r="C3796" s="1964">
        <f>报表附注!F3202</f>
        <v>0</v>
      </c>
    </row>
    <row r="3797" spans="2:3">
      <c r="B3797" s="1988">
        <f>报表附注!E3203</f>
        <v>0</v>
      </c>
      <c r="C3797" s="2005">
        <f>报表附注!F3203</f>
        <v>0</v>
      </c>
    </row>
    <row r="3798" spans="2:3">
      <c r="B3798" s="1988">
        <f>报表附注!E3204</f>
        <v>0</v>
      </c>
      <c r="C3798" s="2005">
        <f>报表附注!F3204</f>
        <v>0</v>
      </c>
    </row>
    <row r="3799" spans="2:3">
      <c r="B3799" s="1988">
        <f>报表附注!E3205</f>
        <v>0</v>
      </c>
      <c r="C3799" s="2005">
        <f>报表附注!F3205</f>
        <v>0</v>
      </c>
    </row>
    <row r="3800" spans="2:3">
      <c r="B3800" s="1988">
        <f>报表附注!E3206</f>
        <v>0</v>
      </c>
      <c r="C3800" s="2005">
        <f>报表附注!F3206</f>
        <v>0</v>
      </c>
    </row>
    <row r="3801" spans="2:3">
      <c r="B3801" s="1988">
        <f>报表附注!E3207</f>
        <v>0</v>
      </c>
      <c r="C3801" s="2005">
        <f>报表附注!F3207</f>
        <v>0</v>
      </c>
    </row>
    <row r="3802" spans="2:3">
      <c r="B3802" s="1988">
        <f>报表附注!E3208</f>
        <v>0</v>
      </c>
      <c r="C3802" s="2005">
        <f>报表附注!F3208</f>
        <v>0</v>
      </c>
    </row>
    <row r="3803" spans="2:3">
      <c r="B3803" s="1988">
        <f>报表附注!E3209</f>
        <v>0</v>
      </c>
      <c r="C3803" s="2005">
        <f>报表附注!F3209</f>
        <v>0</v>
      </c>
    </row>
    <row r="3804" spans="2:3">
      <c r="B3804" s="1989" t="str">
        <f>报表附注!E3210</f>
        <v>二、支付的其他与筹资活动有关的现金</v>
      </c>
      <c r="C3804" s="2005">
        <f>报表附注!F3210</f>
        <v>0</v>
      </c>
    </row>
    <row r="3805" spans="2:3">
      <c r="B3805" s="1988" t="str">
        <f>报表附注!E3211</f>
        <v>支付的贷款质押保证金</v>
      </c>
      <c r="C3805" s="2005">
        <f>报表附注!F3211</f>
        <v>0</v>
      </c>
    </row>
    <row r="3806" spans="2:3">
      <c r="B3806" s="1988" t="str">
        <f>报表附注!E3212</f>
        <v>支付的西南证券融资顾问费</v>
      </c>
      <c r="C3806" s="2005">
        <f>报表附注!F3212</f>
        <v>0</v>
      </c>
    </row>
    <row r="3807" spans="2:3">
      <c r="B3807" s="1988" t="str">
        <f>报表附注!E3213</f>
        <v>财务顾问费</v>
      </c>
      <c r="C3807" s="2005">
        <f>报表附注!F3213</f>
        <v>0</v>
      </c>
    </row>
    <row r="3808" spans="2:3">
      <c r="B3808" s="1988">
        <f>报表附注!E3214</f>
        <v>0</v>
      </c>
      <c r="C3808" s="2005">
        <f>报表附注!F3214</f>
        <v>0</v>
      </c>
    </row>
    <row r="3809" spans="2:3">
      <c r="B3809" s="1988">
        <f>报表附注!E3215</f>
        <v>0</v>
      </c>
      <c r="C3809" s="2005">
        <f>报表附注!F3215</f>
        <v>0</v>
      </c>
    </row>
    <row r="3810" spans="2:3">
      <c r="B3810" s="1988">
        <f>报表附注!E3216</f>
        <v>0</v>
      </c>
      <c r="C3810" s="2005">
        <f>报表附注!F3216</f>
        <v>0</v>
      </c>
    </row>
    <row r="3811" spans="2:3">
      <c r="B3811" s="1988">
        <f>报表附注!E3217</f>
        <v>0</v>
      </c>
      <c r="C3811" s="2005">
        <f>报表附注!F3217</f>
        <v>0</v>
      </c>
    </row>
    <row r="3812" spans="2:3">
      <c r="B3812" s="1988">
        <f>报表附注!E3218</f>
        <v>0</v>
      </c>
      <c r="C3812" s="2005">
        <f>报表附注!F3218</f>
        <v>0</v>
      </c>
    </row>
    <row r="3813" spans="2:3">
      <c r="B3813" s="1988">
        <f>报表附注!E3219</f>
        <v>0</v>
      </c>
      <c r="C3813" s="2005">
        <f>报表附注!F3219</f>
        <v>0</v>
      </c>
    </row>
    <row r="3814" spans="2:3">
      <c r="B3814" s="1988" t="str">
        <f>报表附注!E3220</f>
        <v>报表项目-收到其他筹资</v>
      </c>
      <c r="C3814" s="1929">
        <f>报表附注!F3220</f>
        <v>0</v>
      </c>
    </row>
    <row r="3815" spans="2:3">
      <c r="B3815" s="1988" t="str">
        <f>报表附注!E3221</f>
        <v>核对</v>
      </c>
      <c r="C3815" s="1929">
        <f>报表附注!F3221</f>
        <v>0</v>
      </c>
    </row>
    <row r="3816" spans="2:3">
      <c r="B3816" s="1988" t="str">
        <f>报表附注!E3222</f>
        <v>报表项目-支付其他筹资</v>
      </c>
      <c r="C3816" s="1929">
        <f>报表附注!F3222</f>
        <v>0</v>
      </c>
    </row>
    <row r="3817" spans="2:3">
      <c r="B3817" s="1988" t="str">
        <f>报表附注!E3223</f>
        <v>核对</v>
      </c>
      <c r="C3817" s="1929">
        <f>报表附注!F3223</f>
        <v>0</v>
      </c>
    </row>
    <row r="3819" spans="2:3">
      <c r="B3819" s="2006" t="s">
        <v>2004</v>
      </c>
      <c r="C3819" s="2007"/>
    </row>
    <row r="3820" spans="2:2">
      <c r="B3820" s="1988" t="s">
        <v>2005</v>
      </c>
    </row>
    <row r="3821" spans="2:3">
      <c r="B3821" s="1988" t="str">
        <f>'4、非经常性损益'!A2</f>
        <v>1．处置非流动资产利得小计</v>
      </c>
      <c r="C3821" s="1929">
        <f>'4、非经常性损益'!B2</f>
        <v>0</v>
      </c>
    </row>
    <row r="3822" spans="2:3">
      <c r="B3822" s="1988" t="str">
        <f>'4、非经常性损益'!A3</f>
        <v>其中：处置固定资产利得</v>
      </c>
      <c r="C3822" s="1929">
        <f>'4、非经常性损益'!B3</f>
        <v>0</v>
      </c>
    </row>
    <row r="3823" spans="2:3">
      <c r="B3823" s="1988" t="str">
        <f>'4、非经常性损益'!A4</f>
        <v>      处置无形资产利得</v>
      </c>
      <c r="C3823" s="1929">
        <f>'4、非经常性损益'!B4</f>
        <v>0</v>
      </c>
    </row>
    <row r="3824" spans="2:3">
      <c r="B3824" s="1988" t="str">
        <f>'4、非经常性损益'!A5</f>
        <v>2．非货币性资产交换利得</v>
      </c>
      <c r="C3824" s="1929">
        <f>'4、非经常性损益'!B5</f>
        <v>0</v>
      </c>
    </row>
    <row r="3825" spans="2:3">
      <c r="B3825" s="1988" t="str">
        <f>'4、非经常性损益'!A6</f>
        <v>3．债务重组利得</v>
      </c>
      <c r="C3825" s="1929">
        <f>'4、非经常性损益'!B6</f>
        <v>0</v>
      </c>
    </row>
    <row r="3826" spans="2:3">
      <c r="B3826" s="1988" t="str">
        <f>'4、非经常性损益'!A7</f>
        <v>4．政府补助</v>
      </c>
      <c r="C3826" s="1929">
        <f>'4、非经常性损益'!B7</f>
        <v>0</v>
      </c>
    </row>
    <row r="3827" spans="2:3">
      <c r="B3827" s="1988" t="str">
        <f>'4、非经常性损益'!A8</f>
        <v>5．盘盈利得</v>
      </c>
      <c r="C3827" s="1929">
        <f>'4、非经常性损益'!B8</f>
        <v>0</v>
      </c>
    </row>
    <row r="3828" spans="2:3">
      <c r="B3828" s="1988" t="str">
        <f>'4、非经常性损益'!A9</f>
        <v>6．捐赠利得</v>
      </c>
      <c r="C3828" s="1929">
        <f>'4、非经常性损益'!B9</f>
        <v>0</v>
      </c>
    </row>
    <row r="3829" spans="2:3">
      <c r="B3829" s="1988" t="str">
        <f>'4、非经常性损益'!A10</f>
        <v>7．罚款收入</v>
      </c>
      <c r="C3829" s="1929">
        <f>'4、非经常性损益'!B10</f>
        <v>0</v>
      </c>
    </row>
    <row r="3830" spans="2:3">
      <c r="B3830" s="1988" t="str">
        <f>'4、非经常性损益'!A11</f>
        <v>8．其他</v>
      </c>
      <c r="C3830" s="1929">
        <f>'4、非经常性损益'!B11</f>
        <v>0</v>
      </c>
    </row>
    <row r="3831" spans="2:3">
      <c r="B3831" s="1988" t="str">
        <f>'4、非经常性损益'!A12</f>
        <v>营业外收入合计</v>
      </c>
      <c r="C3831" s="1929">
        <f>'4、非经常性损益'!B12</f>
        <v>0</v>
      </c>
    </row>
    <row r="3832" spans="2:3">
      <c r="B3832" s="1988" t="str">
        <f>'4、非经常性损益'!A13</f>
        <v>１．处置非流动资损失合计</v>
      </c>
      <c r="C3832" s="1929">
        <f>'4、非经常性损益'!B13</f>
        <v>0</v>
      </c>
    </row>
    <row r="3833" spans="2:3">
      <c r="B3833" s="1988" t="str">
        <f>'4、非经常性损益'!A14</f>
        <v>  其中：处置固定资产损失</v>
      </c>
      <c r="C3833" s="1929">
        <f>'4、非经常性损益'!B14</f>
        <v>0</v>
      </c>
    </row>
    <row r="3834" spans="2:3">
      <c r="B3834" s="1988" t="str">
        <f>'4、非经常性损益'!A15</f>
        <v>          处置无形资产损失</v>
      </c>
      <c r="C3834" s="1929">
        <f>'4、非经常性损益'!B15</f>
        <v>0</v>
      </c>
    </row>
    <row r="3835" spans="2:3">
      <c r="B3835" s="1988" t="str">
        <f>'4、非经常性损益'!A16</f>
        <v>２．非贷币性资产交换损失</v>
      </c>
      <c r="C3835" s="1929">
        <f>'4、非经常性损益'!B16</f>
        <v>0</v>
      </c>
    </row>
    <row r="3836" spans="2:3">
      <c r="B3836" s="1988" t="str">
        <f>'4、非经常性损益'!A17</f>
        <v>３．债务重组损失</v>
      </c>
      <c r="C3836" s="1929">
        <f>'4、非经常性损益'!B17</f>
        <v>0</v>
      </c>
    </row>
    <row r="3837" spans="2:3">
      <c r="B3837" s="1988" t="str">
        <f>'4、非经常性损益'!A18</f>
        <v>４．公益性捐赠支出</v>
      </c>
      <c r="C3837" s="1929">
        <f>'4、非经常性损益'!B18</f>
        <v>0</v>
      </c>
    </row>
    <row r="3838" spans="2:3">
      <c r="B3838" s="1988" t="str">
        <f>'4、非经常性损益'!A19</f>
        <v>５．非常损失</v>
      </c>
      <c r="C3838" s="1929">
        <f>'4、非经常性损益'!B19</f>
        <v>0</v>
      </c>
    </row>
    <row r="3839" spans="2:3">
      <c r="B3839" s="1988" t="str">
        <f>'4、非经常性损益'!A20</f>
        <v>６．盘亏损失</v>
      </c>
      <c r="C3839" s="1929">
        <f>'4、非经常性损益'!B20</f>
        <v>0</v>
      </c>
    </row>
    <row r="3840" spans="2:3">
      <c r="B3840" s="1988" t="str">
        <f>'4、非经常性损益'!A21</f>
        <v>７．罚款支出</v>
      </c>
      <c r="C3840" s="1929">
        <f>'4、非经常性损益'!B21</f>
        <v>0</v>
      </c>
    </row>
    <row r="3841" spans="2:3">
      <c r="B3841" s="1988" t="str">
        <f>'4、非经常性损益'!A22</f>
        <v>８．其他</v>
      </c>
      <c r="C3841" s="1929">
        <f>'4、非经常性损益'!B22</f>
        <v>0</v>
      </c>
    </row>
    <row r="3842" spans="2:3">
      <c r="B3842" s="1988" t="str">
        <f>'4、非经常性损益'!A23</f>
        <v>营业外支出合计</v>
      </c>
      <c r="C3842" s="1929">
        <f>'4、非经常性损益'!B23</f>
        <v>0</v>
      </c>
    </row>
    <row r="3843" spans="2:3">
      <c r="B3843" s="1988" t="str">
        <f>'4、非经常性损益'!A24</f>
        <v>投资收益-理财产品收入</v>
      </c>
      <c r="C3843" s="1929">
        <f>'4、非经常性损益'!B24</f>
        <v>0</v>
      </c>
    </row>
    <row r="3844" spans="2:3">
      <c r="B3844" s="1988" t="str">
        <f>'4、非经常性损益'!A25</f>
        <v>新增项目1-</v>
      </c>
      <c r="C3844" s="1929">
        <f>'4、非经常性损益'!B25</f>
        <v>0</v>
      </c>
    </row>
    <row r="3845" spans="2:3">
      <c r="B3845" s="1988" t="str">
        <f>'4、非经常性损益'!A26</f>
        <v>新增项目2-</v>
      </c>
      <c r="C3845" s="1929">
        <f>'4、非经常性损益'!B26</f>
        <v>0</v>
      </c>
    </row>
    <row r="3846" spans="2:3">
      <c r="B3846" s="1988" t="str">
        <f>'4、非经常性损益'!A27</f>
        <v>新增项目3-</v>
      </c>
      <c r="C3846" s="1929">
        <f>'4、非经常性损益'!B27</f>
        <v>0</v>
      </c>
    </row>
    <row r="3847" spans="2:3">
      <c r="B3847" s="1988" t="str">
        <f>'4、非经常性损益'!A28</f>
        <v>非经常性损益金额</v>
      </c>
      <c r="C3847" s="1929">
        <f>'4、非经常性损益'!B28</f>
        <v>0</v>
      </c>
    </row>
    <row r="3848" spans="2:3">
      <c r="B3848" s="1988" t="str">
        <f>'4、非经常性损益'!A29</f>
        <v>税率</v>
      </c>
      <c r="C3848" s="1929">
        <f>'4、非经常性损益'!B29</f>
        <v>0</v>
      </c>
    </row>
    <row r="3849" spans="2:3">
      <c r="B3849" s="1988" t="str">
        <f>'4、非经常性损益'!A30</f>
        <v>不影响所得税金额（上述事项中的纳税调增调减事项）</v>
      </c>
      <c r="C3849" s="1929">
        <f>'4、非经常性损益'!B30</f>
        <v>0</v>
      </c>
    </row>
    <row r="3850" spans="2:3">
      <c r="B3850" s="1988" t="str">
        <f>'4、非经常性损益'!A31</f>
        <v>非经常损益所得税影响额</v>
      </c>
      <c r="C3850" s="1929">
        <f>'4、非经常性损益'!B31</f>
        <v>0</v>
      </c>
    </row>
    <row r="3851" spans="2:3">
      <c r="B3851" s="1988" t="str">
        <f>'4、非经常性损益'!A32</f>
        <v>扣除所得税影响后的非经常性损益合计</v>
      </c>
      <c r="C3851" s="1929">
        <f>'4、非经常性损益'!B32</f>
        <v>0</v>
      </c>
    </row>
    <row r="3852" spans="2:3">
      <c r="B3852" s="1988" t="str">
        <f>'4、非经常性损益'!A33</f>
        <v>江粉持股比例</v>
      </c>
      <c r="C3852" s="1929">
        <f>'4、非经常性损益'!B33</f>
        <v>0</v>
      </c>
    </row>
    <row r="3853" spans="2:3">
      <c r="B3853" s="1988" t="str">
        <f>'4、非经常性损益'!A34</f>
        <v>其中：归属于母公司的非经常性损益</v>
      </c>
      <c r="C3853" s="1929">
        <f>'4、非经常性损益'!B34</f>
        <v>0</v>
      </c>
    </row>
    <row r="3854" spans="2:3">
      <c r="B3854" s="1988" t="str">
        <f>'4、非经常性损益'!A35</f>
        <v>其中：归属于少数股东的非经常性损益</v>
      </c>
      <c r="C3854" s="1929">
        <f>'4、非经常性损益'!B35</f>
        <v>0</v>
      </c>
    </row>
    <row r="3855" spans="2:2">
      <c r="B3855" s="1988"/>
    </row>
    <row r="3856" spans="2:3">
      <c r="B3856" s="2008" t="s">
        <v>2006</v>
      </c>
      <c r="C3856" s="2007"/>
    </row>
    <row r="3857" spans="2:3">
      <c r="B3857" s="1988" t="str">
        <f>'5、所得税调整'!A2</f>
        <v>利润总额</v>
      </c>
      <c r="C3857" s="1988">
        <f>'5、所得税调整'!B2</f>
        <v>0</v>
      </c>
    </row>
    <row r="3858" spans="2:3">
      <c r="B3858" s="1988" t="str">
        <f>'5、所得税调整'!A3</f>
        <v>纳税调增项目：</v>
      </c>
      <c r="C3858" s="1988">
        <f>'5、所得税调整'!B3</f>
        <v>0</v>
      </c>
    </row>
    <row r="3859" spans="2:3">
      <c r="B3859" s="1988" t="str">
        <f>'5、所得税调整'!A4</f>
        <v>超标业务费</v>
      </c>
      <c r="C3859" s="1988">
        <f>'5、所得税调整'!B4</f>
        <v>0</v>
      </c>
    </row>
    <row r="3860" spans="2:3">
      <c r="B3860" s="1988" t="str">
        <f>'5、所得税调整'!A5</f>
        <v>资产减值准备（期末资产减值准备-期初资产减值准备）</v>
      </c>
      <c r="C3860" s="1988">
        <f>'5、所得税调整'!B5</f>
        <v>0</v>
      </c>
    </row>
    <row r="3861" ht="22.5" spans="2:3">
      <c r="B3861" s="1988" t="str">
        <f>'5、所得税调整'!A6</f>
        <v>资产评估增值折旧（仅适用于非同一控制下的资产评估增值的公司）</v>
      </c>
      <c r="C3861" s="1988">
        <f>'5、所得税调整'!B6</f>
        <v>0</v>
      </c>
    </row>
    <row r="3862" spans="2:3">
      <c r="B3862" s="1988" t="str">
        <f>'5、所得税调整'!A7</f>
        <v>赞助费</v>
      </c>
      <c r="C3862" s="1988">
        <f>'5、所得税调整'!B7</f>
        <v>0</v>
      </c>
    </row>
    <row r="3863" spans="2:3">
      <c r="B3863" s="1988" t="str">
        <f>'5、所得税调整'!A8</f>
        <v>罚款</v>
      </c>
      <c r="C3863" s="1988">
        <f>'5、所得税调整'!B8</f>
        <v>0</v>
      </c>
    </row>
    <row r="3864" spans="2:3">
      <c r="B3864" s="1988" t="str">
        <f>'5、所得税调整'!A9</f>
        <v>财产损失（如报废存货、处置固定资产损失）</v>
      </c>
      <c r="C3864" s="1988">
        <f>'5、所得税调整'!B9</f>
        <v>0</v>
      </c>
    </row>
    <row r="3865" ht="22.5" spans="2:3">
      <c r="B3865" s="1988" t="str">
        <f>'5、所得税调整'!A10</f>
        <v>未付工资（历年税审调整了未付工资才进行调整，否则不调整该项）</v>
      </c>
      <c r="C3865" s="1988">
        <f>'5、所得税调整'!B10</f>
        <v>0</v>
      </c>
    </row>
    <row r="3866" spans="2:3">
      <c r="B3866" s="1988" t="str">
        <f>'5、所得税调整'!A11</f>
        <v>其他纳税调增事项：</v>
      </c>
      <c r="C3866" s="1988">
        <f>'5、所得税调整'!B11</f>
        <v>0</v>
      </c>
    </row>
    <row r="3867" spans="2:3">
      <c r="B3867" s="1988" t="str">
        <f>'5、所得税调整'!A12</f>
        <v>纳税调减项目：</v>
      </c>
      <c r="C3867" s="1988">
        <f>'5、所得税调整'!B12</f>
        <v>0</v>
      </c>
    </row>
    <row r="3868" spans="2:3">
      <c r="B3868" s="1988" t="str">
        <f>'5、所得税调整'!A13</f>
        <v>子公司分红</v>
      </c>
      <c r="C3868" s="1988">
        <f>'5、所得税调整'!B13</f>
        <v>0</v>
      </c>
    </row>
    <row r="3869" spans="2:3">
      <c r="B3869" s="1988" t="str">
        <f>'5、所得税调整'!A14</f>
        <v>权益法核算的长期股权投资收益</v>
      </c>
      <c r="C3869" s="1988">
        <f>'5、所得税调整'!B14</f>
        <v>0</v>
      </c>
    </row>
    <row r="3870" spans="2:3">
      <c r="B3870" s="1988" t="str">
        <f>'5、所得税调整'!A15</f>
        <v>其他投资分红</v>
      </c>
      <c r="C3870" s="1988">
        <f>'5、所得税调整'!B15</f>
        <v>0</v>
      </c>
    </row>
    <row r="3871" spans="2:3">
      <c r="B3871" s="1988" t="str">
        <f>'5、所得税调整'!A16</f>
        <v>其他纳税调减事项</v>
      </c>
      <c r="C3871" s="1988">
        <f>'5、所得税调整'!B16</f>
        <v>0</v>
      </c>
    </row>
    <row r="3872" spans="2:3">
      <c r="B3872" s="1988" t="str">
        <f>'5、所得税调整'!A17</f>
        <v>应纳税所得额</v>
      </c>
      <c r="C3872" s="1988">
        <f>'5、所得税调整'!B17</f>
        <v>0</v>
      </c>
    </row>
  </sheetData>
  <sheetProtection sheet="1" formatCells="0" formatColumns="0" formatRows="0" insertHyperlinks="0" autoFilter="0" pivotTables="0" objects="1" scenarios="1"/>
  <autoFilter ref="A1:F3760">
    <extLst/>
  </autoFilter>
  <conditionalFormatting sqref="B190 B293">
    <cfRule type="containsText" dxfId="6" priority="2" operator="between" text="文字描述">
      <formula>NOT(ISERROR(SEARCH("文字描述",B190)))</formula>
    </cfRule>
  </conditionalFormatting>
  <pageMargins left="0.7" right="0.7" top="0.75" bottom="0.75" header="0.3" footer="0.3"/>
  <pageSetup paperSize="9" orientation="portrait"/>
  <headerFooter/>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H49"/>
  <sheetViews>
    <sheetView showZeros="0" workbookViewId="0">
      <pane xSplit="2" ySplit="5" topLeftCell="C6" activePane="bottomRight" state="frozen"/>
      <selection/>
      <selection pane="topRight"/>
      <selection pane="bottomLeft"/>
      <selection pane="bottomRight" activeCell="L39" sqref="L39"/>
    </sheetView>
  </sheetViews>
  <sheetFormatPr defaultColWidth="9" defaultRowHeight="14.25" outlineLevelCol="7"/>
  <cols>
    <col min="1" max="1" width="18" style="1776" customWidth="1"/>
    <col min="2" max="2" width="5.375" style="1776" customWidth="1"/>
    <col min="3" max="4" width="11.125" style="1776" customWidth="1"/>
    <col min="5" max="5" width="18" style="1776" customWidth="1"/>
    <col min="6" max="6" width="5.375" style="1776" customWidth="1"/>
    <col min="7" max="8" width="11.125" style="1776" customWidth="1"/>
    <col min="9" max="16384" width="9" style="1776"/>
  </cols>
  <sheetData>
    <row r="1" ht="25.5" spans="1:8">
      <c r="A1" s="1777" t="s">
        <v>189</v>
      </c>
      <c r="B1" s="1878"/>
      <c r="C1" s="1878"/>
      <c r="D1" s="1878"/>
      <c r="E1" s="1878"/>
      <c r="F1" s="1878"/>
      <c r="G1" s="1878"/>
      <c r="H1" s="1878"/>
    </row>
    <row r="2" ht="16.5" customHeight="1" spans="1:8">
      <c r="A2" s="1879" t="s">
        <v>2007</v>
      </c>
      <c r="B2" s="1879"/>
      <c r="C2" s="1779"/>
      <c r="D2" s="1779"/>
      <c r="E2" s="1782"/>
      <c r="F2" s="1810"/>
      <c r="G2" s="1880"/>
      <c r="H2" s="1881" t="s">
        <v>190</v>
      </c>
    </row>
    <row r="3" ht="16.5" customHeight="1" spans="1:8">
      <c r="A3" s="1882" t="str">
        <f>审定资负表!A3</f>
        <v>编制单位：石嘴山市深阳蓝光市政工程有限公司</v>
      </c>
      <c r="B3" s="1882"/>
      <c r="C3" s="1882"/>
      <c r="D3" s="1882"/>
      <c r="E3" s="1883">
        <f>审定资负表!E3</f>
        <v>42735</v>
      </c>
      <c r="F3" s="1810"/>
      <c r="G3" s="1880"/>
      <c r="H3" s="1884" t="s">
        <v>2008</v>
      </c>
    </row>
    <row r="4" ht="16.5" customHeight="1" spans="1:8">
      <c r="A4" s="1885" t="s">
        <v>191</v>
      </c>
      <c r="B4" s="1886" t="s">
        <v>61</v>
      </c>
      <c r="C4" s="1887" t="s">
        <v>1472</v>
      </c>
      <c r="D4" s="1887" t="s">
        <v>1473</v>
      </c>
      <c r="E4" s="1886" t="s">
        <v>192</v>
      </c>
      <c r="F4" s="1886" t="s">
        <v>61</v>
      </c>
      <c r="G4" s="1887" t="s">
        <v>1472</v>
      </c>
      <c r="H4" s="1888" t="s">
        <v>1473</v>
      </c>
    </row>
    <row r="5" ht="16.5" customHeight="1" spans="1:8">
      <c r="A5" s="1889"/>
      <c r="B5" s="1890"/>
      <c r="C5" s="1891"/>
      <c r="D5" s="1891"/>
      <c r="E5" s="1890"/>
      <c r="F5" s="1890"/>
      <c r="G5" s="1891"/>
      <c r="H5" s="1892"/>
    </row>
    <row r="6" ht="16.5" customHeight="1" spans="1:8">
      <c r="A6" s="1893" t="str">
        <f>IF(审定资负表!A6="","",审定资负表!A6)</f>
        <v>流动资产：</v>
      </c>
      <c r="B6" s="1894"/>
      <c r="C6" s="1895"/>
      <c r="D6" s="1896"/>
      <c r="E6" s="1897" t="str">
        <f>IF(审定资负表!E6="","",审定资负表!E6)</f>
        <v>流动负债：</v>
      </c>
      <c r="F6" s="1897"/>
      <c r="G6" s="1898"/>
      <c r="H6" s="1899"/>
    </row>
    <row r="7" ht="16.5" customHeight="1" spans="1:8">
      <c r="A7" s="1900" t="str">
        <f>IF(审定资负表!A7="","",审定资负表!A7)</f>
        <v>货币资金</v>
      </c>
      <c r="B7" s="1901"/>
      <c r="C7" s="1896">
        <f>审定资负表!C7</f>
        <v>0</v>
      </c>
      <c r="D7" s="1896">
        <f>审定资负表!D7</f>
        <v>0</v>
      </c>
      <c r="E7" s="1902" t="str">
        <f>IF(审定资负表!E7="","",审定资负表!E7)</f>
        <v>短期借款</v>
      </c>
      <c r="F7" s="1901"/>
      <c r="G7" s="1896">
        <f>审定资负表!G7</f>
        <v>0</v>
      </c>
      <c r="H7" s="1903">
        <f>审定资负表!H7</f>
        <v>0</v>
      </c>
    </row>
    <row r="8" ht="16.5" customHeight="1" spans="1:8">
      <c r="A8" s="1900" t="str">
        <f>IF(审定资负表!A8="","",审定资负表!A8)</f>
        <v>以公允价值计量且其变动计入当期损益的金融资产</v>
      </c>
      <c r="B8" s="1901"/>
      <c r="C8" s="1896">
        <f>审定资负表!C8</f>
        <v>0</v>
      </c>
      <c r="D8" s="1896">
        <f>审定资负表!D8</f>
        <v>0</v>
      </c>
      <c r="E8" s="1902" t="str">
        <f>IF(审定资负表!E8="","",审定资负表!E8)</f>
        <v>以公允价值计量且其变动计入当期损益的金融负债</v>
      </c>
      <c r="F8" s="1901"/>
      <c r="G8" s="1896">
        <f>审定资负表!G8</f>
        <v>0</v>
      </c>
      <c r="H8" s="1903">
        <f>审定资负表!H8</f>
        <v>0</v>
      </c>
    </row>
    <row r="9" ht="16.5" customHeight="1" spans="1:8">
      <c r="A9" s="1900" t="str">
        <f>IF(审定资负表!A9="","",审定资负表!A9)</f>
        <v>应收票据</v>
      </c>
      <c r="B9" s="1901"/>
      <c r="C9" s="1904">
        <f>审定资负表!C9</f>
        <v>0</v>
      </c>
      <c r="D9" s="1904">
        <f>审定资负表!D9</f>
        <v>0</v>
      </c>
      <c r="E9" s="1902" t="str">
        <f>IF(审定资负表!E9="","",审定资负表!E9)</f>
        <v>应付票据</v>
      </c>
      <c r="F9" s="1901"/>
      <c r="G9" s="1896">
        <f>审定资负表!G9</f>
        <v>0</v>
      </c>
      <c r="H9" s="1903">
        <f>审定资负表!H9</f>
        <v>0</v>
      </c>
    </row>
    <row r="10" ht="16.5" customHeight="1" spans="1:8">
      <c r="A10" s="1900" t="str">
        <f>IF(审定资负表!A10="","",审定资负表!A10)</f>
        <v>应收账款</v>
      </c>
      <c r="B10" s="1901"/>
      <c r="C10" s="1904">
        <f>审定资负表!C10</f>
        <v>0</v>
      </c>
      <c r="D10" s="1904">
        <f>审定资负表!D10</f>
        <v>0</v>
      </c>
      <c r="E10" s="1902" t="str">
        <f>IF(审定资负表!E10="","",审定资负表!E10)</f>
        <v>应付账款</v>
      </c>
      <c r="F10" s="1901"/>
      <c r="G10" s="1896">
        <f>审定资负表!G10</f>
        <v>0</v>
      </c>
      <c r="H10" s="1903">
        <f>审定资负表!H10</f>
        <v>0</v>
      </c>
    </row>
    <row r="11" ht="16.5" customHeight="1" spans="1:8">
      <c r="A11" s="1900" t="str">
        <f>IF(审定资负表!A11="","",审定资负表!A11)</f>
        <v>预付款项</v>
      </c>
      <c r="B11" s="1901"/>
      <c r="C11" s="1904">
        <f>审定资负表!C11</f>
        <v>0</v>
      </c>
      <c r="D11" s="1904">
        <f>审定资负表!D11</f>
        <v>0</v>
      </c>
      <c r="E11" s="1902" t="str">
        <f>IF(审定资负表!E11="","",审定资负表!E11)</f>
        <v>预收款项</v>
      </c>
      <c r="F11" s="1901"/>
      <c r="G11" s="1896">
        <f>审定资负表!G11</f>
        <v>0</v>
      </c>
      <c r="H11" s="1903">
        <f>审定资负表!H11</f>
        <v>0</v>
      </c>
    </row>
    <row r="12" ht="16.5" customHeight="1" spans="1:8">
      <c r="A12" s="1900" t="str">
        <f>IF(审定资负表!A12="","",审定资负表!A12)</f>
        <v>应收利息</v>
      </c>
      <c r="B12" s="1901"/>
      <c r="C12" s="1904">
        <f>审定资负表!C12</f>
        <v>0</v>
      </c>
      <c r="D12" s="1904">
        <f>审定资负表!D12</f>
        <v>0</v>
      </c>
      <c r="E12" s="1902" t="str">
        <f>IF(审定资负表!E12="","",审定资负表!E12)</f>
        <v>应付职工薪酬</v>
      </c>
      <c r="F12" s="1901"/>
      <c r="G12" s="1896">
        <f>审定资负表!G12</f>
        <v>0</v>
      </c>
      <c r="H12" s="1903">
        <f>审定资负表!H12</f>
        <v>0</v>
      </c>
    </row>
    <row r="13" ht="16.5" customHeight="1" spans="1:8">
      <c r="A13" s="1900" t="str">
        <f>IF(审定资负表!A13="","",审定资负表!A13)</f>
        <v>应收股利</v>
      </c>
      <c r="B13" s="1901"/>
      <c r="C13" s="1904">
        <f>审定资负表!C13</f>
        <v>0</v>
      </c>
      <c r="D13" s="1904">
        <f>审定资负表!D13</f>
        <v>0</v>
      </c>
      <c r="E13" s="1902" t="str">
        <f>IF(审定资负表!E13="","",审定资负表!E13)</f>
        <v>应交税费</v>
      </c>
      <c r="F13" s="1901"/>
      <c r="G13" s="1896">
        <f>审定资负表!G13</f>
        <v>0</v>
      </c>
      <c r="H13" s="1903">
        <f>审定资负表!H13</f>
        <v>0</v>
      </c>
    </row>
    <row r="14" ht="16.5" customHeight="1" spans="1:8">
      <c r="A14" s="1900" t="str">
        <f>IF(审定资负表!A14="","",审定资负表!A14)</f>
        <v>其他应收款</v>
      </c>
      <c r="B14" s="1901"/>
      <c r="C14" s="1904">
        <f>审定资负表!C14</f>
        <v>0</v>
      </c>
      <c r="D14" s="1904">
        <f>审定资负表!D14</f>
        <v>0</v>
      </c>
      <c r="E14" s="1902" t="str">
        <f>IF(审定资负表!E14="","",审定资负表!E14)</f>
        <v>应付利息</v>
      </c>
      <c r="F14" s="1901"/>
      <c r="G14" s="1896">
        <f>审定资负表!G14</f>
        <v>0</v>
      </c>
      <c r="H14" s="1903">
        <f>审定资负表!H14</f>
        <v>0</v>
      </c>
    </row>
    <row r="15" ht="16.5" customHeight="1" spans="1:8">
      <c r="A15" s="1900" t="str">
        <f>IF(审定资负表!A15="","",审定资负表!A15)</f>
        <v>存货</v>
      </c>
      <c r="B15" s="1901"/>
      <c r="C15" s="1904">
        <f>审定资负表!C15</f>
        <v>56453052.95</v>
      </c>
      <c r="D15" s="1904">
        <f>审定资负表!D15</f>
        <v>0</v>
      </c>
      <c r="E15" s="1902" t="str">
        <f>IF(审定资负表!E15="","",审定资负表!E15)</f>
        <v>应付股利</v>
      </c>
      <c r="F15" s="1901"/>
      <c r="G15" s="1896">
        <f>审定资负表!G15</f>
        <v>0</v>
      </c>
      <c r="H15" s="1903">
        <f>审定资负表!H15</f>
        <v>0</v>
      </c>
    </row>
    <row r="16" ht="16.5" customHeight="1" spans="1:8">
      <c r="A16" s="1900" t="str">
        <f>IF(审定资负表!A16="","",审定资负表!A16)</f>
        <v>一年内到期的非流动资产</v>
      </c>
      <c r="B16" s="1901"/>
      <c r="C16" s="1904">
        <f>审定资负表!C16</f>
        <v>0</v>
      </c>
      <c r="D16" s="1904">
        <f>审定资负表!D16</f>
        <v>0</v>
      </c>
      <c r="E16" s="1902" t="str">
        <f>IF(审定资负表!E16="","",审定资负表!E16)</f>
        <v>其他应付款</v>
      </c>
      <c r="F16" s="1901"/>
      <c r="G16" s="1896">
        <f>审定资负表!G16</f>
        <v>0</v>
      </c>
      <c r="H16" s="1903">
        <f>审定资负表!H16</f>
        <v>0</v>
      </c>
    </row>
    <row r="17" ht="16.5" customHeight="1" spans="1:8">
      <c r="A17" s="1900" t="str">
        <f>IF(审定资负表!A17="","",审定资负表!A17)</f>
        <v>其他流动资产</v>
      </c>
      <c r="B17" s="1901"/>
      <c r="C17" s="1904">
        <f>审定资负表!C17</f>
        <v>0</v>
      </c>
      <c r="D17" s="1904">
        <f>审定资负表!D17</f>
        <v>0</v>
      </c>
      <c r="E17" s="1902" t="str">
        <f>IF(审定资负表!E17="","",审定资负表!E17)</f>
        <v>一年内到期的非流动负债</v>
      </c>
      <c r="F17" s="1901"/>
      <c r="G17" s="1896">
        <f>审定资负表!G17</f>
        <v>6935621.62</v>
      </c>
      <c r="H17" s="1903">
        <f>审定资负表!H17</f>
        <v>0</v>
      </c>
    </row>
    <row r="18" ht="16.5" customHeight="1" spans="1:8">
      <c r="A18" s="1900" t="str">
        <f>IF(审定资负表!A18="","",审定资负表!A18)</f>
        <v>持有待售资产</v>
      </c>
      <c r="B18" s="1901"/>
      <c r="C18" s="1904">
        <f>审定资负表!C18</f>
        <v>0</v>
      </c>
      <c r="D18" s="1904">
        <f>审定资负表!D18</f>
        <v>0</v>
      </c>
      <c r="E18" s="1902" t="str">
        <f>IF(审定资负表!E18="","",审定资负表!E18)</f>
        <v>其他流动负债</v>
      </c>
      <c r="F18" s="1901"/>
      <c r="G18" s="1896">
        <f>审定资负表!G18</f>
        <v>0</v>
      </c>
      <c r="H18" s="1903">
        <f>审定资负表!H18</f>
        <v>0</v>
      </c>
    </row>
    <row r="19" ht="16.5" customHeight="1" spans="1:8">
      <c r="A19" s="1905" t="str">
        <f>IF(审定资负表!A19="","",审定资负表!A19)</f>
        <v>流动资产合计</v>
      </c>
      <c r="B19" s="1906"/>
      <c r="C19" s="1904">
        <f>审定资负表!C19</f>
        <v>56453052.95</v>
      </c>
      <c r="D19" s="1904">
        <f>审定资负表!D19</f>
        <v>0</v>
      </c>
      <c r="E19" s="1902" t="str">
        <f>IF(审定资负表!E19="","",审定资负表!E19)</f>
        <v>持有待售负债</v>
      </c>
      <c r="F19" s="1901"/>
      <c r="G19" s="1896">
        <f>审定资负表!G19</f>
        <v>0</v>
      </c>
      <c r="H19" s="1903">
        <f>审定资负表!H19</f>
        <v>0</v>
      </c>
    </row>
    <row r="20" ht="16.5" customHeight="1" spans="1:8">
      <c r="A20" s="1907" t="str">
        <f>IF(审定资负表!A20="","",审定资负表!A20)</f>
        <v/>
      </c>
      <c r="B20" s="1908"/>
      <c r="C20" s="1904">
        <f>审定资负表!C20</f>
        <v>0</v>
      </c>
      <c r="D20" s="1904">
        <f>审定资负表!D20</f>
        <v>0</v>
      </c>
      <c r="E20" s="1909" t="str">
        <f>IF(审定资负表!E20="","",审定资负表!E20)</f>
        <v>流动负债合计</v>
      </c>
      <c r="F20" s="1906"/>
      <c r="G20" s="1910">
        <f>审定资负表!G20</f>
        <v>6935621.62</v>
      </c>
      <c r="H20" s="1911">
        <f>审定资负表!H20</f>
        <v>0</v>
      </c>
    </row>
    <row r="21" ht="16.5" customHeight="1" spans="1:8">
      <c r="A21" s="1893" t="str">
        <f>IF(审定资负表!A21="","",审定资负表!A21)</f>
        <v>非流动资产：</v>
      </c>
      <c r="B21" s="1901"/>
      <c r="C21" s="1904">
        <f>审定资负表!C21</f>
        <v>0</v>
      </c>
      <c r="D21" s="1904">
        <f>审定资负表!D21</f>
        <v>0</v>
      </c>
      <c r="E21" s="1912" t="str">
        <f>IF(审定资负表!E21="","",审定资负表!E21)</f>
        <v/>
      </c>
      <c r="F21" s="1912"/>
      <c r="G21" s="1913">
        <f>审定资负表!G21</f>
        <v>0</v>
      </c>
      <c r="H21" s="1903">
        <f>审定资负表!H21</f>
        <v>0</v>
      </c>
    </row>
    <row r="22" ht="16.5" customHeight="1" spans="1:8">
      <c r="A22" s="1900" t="str">
        <f>IF(审定资负表!A22="","",审定资负表!A22)</f>
        <v>可供出售金融资产</v>
      </c>
      <c r="B22" s="1901"/>
      <c r="C22" s="1904">
        <f>审定资负表!C22</f>
        <v>0</v>
      </c>
      <c r="D22" s="1904">
        <f>审定资负表!D22</f>
        <v>0</v>
      </c>
      <c r="E22" s="1897" t="str">
        <f>IF(审定资负表!E22="","",审定资负表!E22)</f>
        <v>非流动负债：</v>
      </c>
      <c r="F22" s="1912"/>
      <c r="G22" s="1914">
        <f>审定资负表!G22</f>
        <v>0</v>
      </c>
      <c r="H22" s="1903">
        <f>审定资负表!H22</f>
        <v>0</v>
      </c>
    </row>
    <row r="23" ht="16.5" customHeight="1" spans="1:8">
      <c r="A23" s="1900" t="str">
        <f>IF(审定资负表!A23="","",审定资负表!A23)</f>
        <v>持有至到期投资</v>
      </c>
      <c r="B23" s="1901"/>
      <c r="C23" s="1904">
        <f>审定资负表!C23</f>
        <v>0</v>
      </c>
      <c r="D23" s="1904">
        <f>审定资负表!D23</f>
        <v>0</v>
      </c>
      <c r="E23" s="1902" t="str">
        <f>IF(审定资负表!E23="","",审定资负表!E23)</f>
        <v>长期借款</v>
      </c>
      <c r="F23" s="1901"/>
      <c r="G23" s="1896">
        <f>审定资负表!G23</f>
        <v>0</v>
      </c>
      <c r="H23" s="1903">
        <f>审定资负表!H23</f>
        <v>0</v>
      </c>
    </row>
    <row r="24" ht="16.5" customHeight="1" spans="1:8">
      <c r="A24" s="1900" t="str">
        <f>IF(审定资负表!A24="","",审定资负表!A24)</f>
        <v>长期应收款</v>
      </c>
      <c r="B24" s="1901"/>
      <c r="C24" s="1904">
        <f>审定资负表!C24</f>
        <v>0</v>
      </c>
      <c r="D24" s="1904">
        <f>审定资负表!D24</f>
        <v>0</v>
      </c>
      <c r="E24" s="1902" t="str">
        <f>IF(审定资负表!E24="","",审定资负表!E24)</f>
        <v>应付债券</v>
      </c>
      <c r="F24" s="1901"/>
      <c r="G24" s="1896">
        <f>审定资负表!G24</f>
        <v>0</v>
      </c>
      <c r="H24" s="1903">
        <f>审定资负表!H24</f>
        <v>0</v>
      </c>
    </row>
    <row r="25" ht="16.5" customHeight="1" spans="1:8">
      <c r="A25" s="1900" t="str">
        <f>IF(审定资负表!A25="","",审定资负表!A25)</f>
        <v>长期股权投资</v>
      </c>
      <c r="B25" s="1901"/>
      <c r="C25" s="1904">
        <f>审定资负表!C25</f>
        <v>0</v>
      </c>
      <c r="D25" s="1904">
        <f>审定资负表!D25</f>
        <v>0</v>
      </c>
      <c r="E25" s="1902" t="str">
        <f>IF(审定资负表!E25="","",审定资负表!E25)</f>
        <v>长期应付款</v>
      </c>
      <c r="F25" s="1901"/>
      <c r="G25" s="1896">
        <f>审定资负表!G25</f>
        <v>49517431.33</v>
      </c>
      <c r="H25" s="1903">
        <f>审定资负表!H25</f>
        <v>0</v>
      </c>
    </row>
    <row r="26" ht="16.5" customHeight="1" spans="1:8">
      <c r="A26" s="1900" t="str">
        <f>IF(审定资负表!A26="","",审定资负表!A26)</f>
        <v>投资性房地产</v>
      </c>
      <c r="B26" s="1901"/>
      <c r="C26" s="1904">
        <f>审定资负表!C26</f>
        <v>0</v>
      </c>
      <c r="D26" s="1904">
        <f>审定资负表!D26</f>
        <v>0</v>
      </c>
      <c r="E26" s="1902" t="str">
        <f>IF(审定资负表!E26="","",审定资负表!E26)</f>
        <v>专项应付款</v>
      </c>
      <c r="F26" s="1901"/>
      <c r="G26" s="1896">
        <f>审定资负表!G26</f>
        <v>0</v>
      </c>
      <c r="H26" s="1903">
        <f>审定资负表!H26</f>
        <v>0</v>
      </c>
    </row>
    <row r="27" ht="16.5" customHeight="1" spans="1:8">
      <c r="A27" s="1900" t="str">
        <f>IF(审定资负表!A27="","",审定资负表!A27)</f>
        <v>固定资产</v>
      </c>
      <c r="B27" s="1901"/>
      <c r="C27" s="1904">
        <f>审定资负表!C27</f>
        <v>0</v>
      </c>
      <c r="D27" s="1904">
        <f>审定资负表!D27</f>
        <v>0</v>
      </c>
      <c r="E27" s="1902" t="str">
        <f>IF(审定资负表!E27="","",审定资负表!E27)</f>
        <v>预计负债</v>
      </c>
      <c r="F27" s="1901"/>
      <c r="G27" s="1896">
        <f>审定资负表!G27</f>
        <v>0</v>
      </c>
      <c r="H27" s="1903">
        <f>审定资负表!H27</f>
        <v>0</v>
      </c>
    </row>
    <row r="28" ht="16.5" customHeight="1" spans="1:8">
      <c r="A28" s="1900" t="str">
        <f>IF(审定资负表!A28="","",审定资负表!A28)</f>
        <v>在建工程</v>
      </c>
      <c r="B28" s="1901"/>
      <c r="C28" s="1904">
        <f>审定资负表!C28</f>
        <v>0</v>
      </c>
      <c r="D28" s="1904">
        <f>审定资负表!D28</f>
        <v>0</v>
      </c>
      <c r="E28" s="1902" t="str">
        <f>IF(审定资负表!E28="","",审定资负表!E28)</f>
        <v>递延所得税负债</v>
      </c>
      <c r="F28" s="1901"/>
      <c r="G28" s="1896">
        <f>审定资负表!G28</f>
        <v>0</v>
      </c>
      <c r="H28" s="1903">
        <f>审定资负表!H28</f>
        <v>0</v>
      </c>
    </row>
    <row r="29" ht="16.5" customHeight="1" spans="1:8">
      <c r="A29" s="1900" t="str">
        <f>IF(审定资负表!A29="","",审定资负表!A29)</f>
        <v>工程物资</v>
      </c>
      <c r="B29" s="1901"/>
      <c r="C29" s="1904">
        <f>审定资负表!C29</f>
        <v>0</v>
      </c>
      <c r="D29" s="1904">
        <f>审定资负表!D29</f>
        <v>0</v>
      </c>
      <c r="E29" s="1902" t="str">
        <f>IF(审定资负表!E29="","",审定资负表!E29)</f>
        <v>其他非流动负债</v>
      </c>
      <c r="F29" s="1901"/>
      <c r="G29" s="1896">
        <f>审定资负表!G29</f>
        <v>0</v>
      </c>
      <c r="H29" s="1903">
        <f>审定资负表!H29</f>
        <v>0</v>
      </c>
    </row>
    <row r="30" ht="16.5" customHeight="1" spans="1:8">
      <c r="A30" s="1900" t="str">
        <f>IF(审定资负表!A30="","",审定资负表!A30)</f>
        <v>固定资产清理</v>
      </c>
      <c r="B30" s="1901"/>
      <c r="C30" s="1904">
        <f>审定资负表!C30</f>
        <v>0</v>
      </c>
      <c r="D30" s="1904">
        <f>审定资负表!D30</f>
        <v>0</v>
      </c>
      <c r="E30" s="1902" t="str">
        <f>IF(审定资负表!E30="","",审定资负表!E30)</f>
        <v>递延收益</v>
      </c>
      <c r="F30" s="1901"/>
      <c r="G30" s="1896">
        <f>审定资负表!G30</f>
        <v>0</v>
      </c>
      <c r="H30" s="1903">
        <f>审定资负表!H30</f>
        <v>0</v>
      </c>
    </row>
    <row r="31" ht="16.5" customHeight="1" spans="1:8">
      <c r="A31" s="1900" t="str">
        <f>IF(审定资负表!A31="","",审定资负表!A31)</f>
        <v>生产性生物资产</v>
      </c>
      <c r="B31" s="1901"/>
      <c r="C31" s="1904">
        <f>审定资负表!C31</f>
        <v>0</v>
      </c>
      <c r="D31" s="1904">
        <f>审定资负表!D31</f>
        <v>0</v>
      </c>
      <c r="E31" s="1915" t="str">
        <f>IF(审定资负表!E31="","",审定资负表!E31)</f>
        <v>非流动负债合计</v>
      </c>
      <c r="F31" s="1912"/>
      <c r="G31" s="1910">
        <f>审定资负表!G31</f>
        <v>49517431.33</v>
      </c>
      <c r="H31" s="1911">
        <f>审定资负表!H31</f>
        <v>0</v>
      </c>
    </row>
    <row r="32" ht="16.5" customHeight="1" spans="1:8">
      <c r="A32" s="1900" t="str">
        <f>IF(审定资负表!A32="","",审定资负表!A32)</f>
        <v>油气资产</v>
      </c>
      <c r="B32" s="1901"/>
      <c r="C32" s="1904">
        <f>审定资负表!C32</f>
        <v>0</v>
      </c>
      <c r="D32" s="1904">
        <f>审定资负表!D32</f>
        <v>0</v>
      </c>
      <c r="E32" s="1912" t="str">
        <f>IF(审定资负表!E32="","",审定资负表!E32)</f>
        <v/>
      </c>
      <c r="F32" s="1912"/>
      <c r="G32" s="1913">
        <f>审定资负表!G32</f>
        <v>0</v>
      </c>
      <c r="H32" s="1903">
        <f>审定资负表!H32</f>
        <v>0</v>
      </c>
    </row>
    <row r="33" ht="16.5" customHeight="1" spans="1:8">
      <c r="A33" s="1900" t="str">
        <f>IF(审定资负表!A33="","",审定资负表!A33)</f>
        <v>无形资产</v>
      </c>
      <c r="B33" s="1901"/>
      <c r="C33" s="1904">
        <f>审定资负表!C33</f>
        <v>0</v>
      </c>
      <c r="D33" s="1904">
        <f>审定资负表!D33</f>
        <v>0</v>
      </c>
      <c r="E33" s="1915" t="str">
        <f>IF(审定资负表!E33="","",审定资负表!E33)</f>
        <v>负债合计</v>
      </c>
      <c r="F33" s="1912"/>
      <c r="G33" s="1910">
        <f>审定资负表!G33</f>
        <v>56453052.95</v>
      </c>
      <c r="H33" s="1911">
        <f>审定资负表!H33</f>
        <v>0</v>
      </c>
    </row>
    <row r="34" ht="16.5" customHeight="1" spans="1:8">
      <c r="A34" s="1900" t="str">
        <f>IF(审定资负表!A34="","",审定资负表!A34)</f>
        <v>开发支出</v>
      </c>
      <c r="B34" s="1901"/>
      <c r="C34" s="1904">
        <f>审定资负表!C34</f>
        <v>0</v>
      </c>
      <c r="D34" s="1904">
        <f>审定资负表!D34</f>
        <v>0</v>
      </c>
      <c r="E34" s="1912" t="str">
        <f>IF(审定资负表!E34="","",审定资负表!E34)</f>
        <v/>
      </c>
      <c r="F34" s="1912"/>
      <c r="G34" s="1896">
        <f>审定资负表!G34</f>
        <v>0</v>
      </c>
      <c r="H34" s="1903">
        <f>审定资负表!H34</f>
        <v>0</v>
      </c>
    </row>
    <row r="35" ht="16.5" customHeight="1" spans="1:8">
      <c r="A35" s="1900" t="str">
        <f>IF(审定资负表!A35="","",审定资负表!A35)</f>
        <v>商誉</v>
      </c>
      <c r="B35" s="1901"/>
      <c r="C35" s="1904">
        <f>审定资负表!C35</f>
        <v>0</v>
      </c>
      <c r="D35" s="1904">
        <f>审定资负表!D35</f>
        <v>0</v>
      </c>
      <c r="E35" s="1916" t="str">
        <f>IF(审定资负表!E35="","",审定资负表!E35)</f>
        <v>所有者权益：</v>
      </c>
      <c r="F35" s="1912"/>
      <c r="G35" s="1896">
        <f>审定资负表!G35</f>
        <v>0</v>
      </c>
      <c r="H35" s="1903">
        <f>审定资负表!H35</f>
        <v>0</v>
      </c>
    </row>
    <row r="36" ht="16.5" customHeight="1" spans="1:8">
      <c r="A36" s="1900" t="str">
        <f>IF(审定资负表!A36="","",审定资负表!A36)</f>
        <v>长期待摊费用</v>
      </c>
      <c r="B36" s="1901"/>
      <c r="C36" s="1904">
        <f>审定资负表!C36</f>
        <v>0</v>
      </c>
      <c r="D36" s="1904">
        <f>审定资负表!D36</f>
        <v>0</v>
      </c>
      <c r="E36" s="1902" t="str">
        <f>IF(审定资负表!E36="","",审定资负表!E36)</f>
        <v>实收资本（或股本）</v>
      </c>
      <c r="F36" s="1901"/>
      <c r="G36" s="1896">
        <f>审定资负表!G36</f>
        <v>0</v>
      </c>
      <c r="H36" s="1903">
        <f>审定资负表!H36</f>
        <v>0</v>
      </c>
    </row>
    <row r="37" ht="16.5" customHeight="1" spans="1:8">
      <c r="A37" s="1900" t="str">
        <f>IF(审定资负表!A37="","",审定资负表!A37)</f>
        <v>递延所得税资产</v>
      </c>
      <c r="B37" s="1901"/>
      <c r="C37" s="1904">
        <f>审定资负表!C37</f>
        <v>0</v>
      </c>
      <c r="D37" s="1904">
        <f>审定资负表!D37</f>
        <v>0</v>
      </c>
      <c r="E37" s="1902" t="str">
        <f>IF(审定资负表!E37="","",审定资负表!E37)</f>
        <v>资本公积</v>
      </c>
      <c r="F37" s="1901"/>
      <c r="G37" s="1896">
        <f>审定资负表!G37</f>
        <v>0</v>
      </c>
      <c r="H37" s="1903">
        <f>审定资负表!H37</f>
        <v>0</v>
      </c>
    </row>
    <row r="38" ht="16.5" customHeight="1" spans="1:8">
      <c r="A38" s="1900" t="str">
        <f>IF(审定资负表!A38="","",审定资负表!A38)</f>
        <v>其他非流动资产</v>
      </c>
      <c r="B38" s="1901"/>
      <c r="C38" s="1904">
        <f>审定资负表!C38</f>
        <v>0</v>
      </c>
      <c r="D38" s="1904">
        <f>审定资负表!D38</f>
        <v>0</v>
      </c>
      <c r="E38" s="1902" t="str">
        <f>IF(审定资负表!E38="","",审定资负表!E38)</f>
        <v>减：库存股</v>
      </c>
      <c r="F38" s="1901"/>
      <c r="G38" s="1896">
        <f>审定资负表!G38</f>
        <v>0</v>
      </c>
      <c r="H38" s="1903">
        <f>审定资负表!H38</f>
        <v>0</v>
      </c>
    </row>
    <row r="39" ht="16.5" customHeight="1" spans="1:8">
      <c r="A39" s="1900" t="str">
        <f>IF(审定资负表!A39="","",审定资负表!A39)</f>
        <v/>
      </c>
      <c r="B39" s="1901"/>
      <c r="C39" s="1904">
        <f>审定资负表!C39</f>
        <v>0</v>
      </c>
      <c r="D39" s="1904">
        <f>审定资负表!D39</f>
        <v>0</v>
      </c>
      <c r="E39" s="1902" t="str">
        <f>IF(审定资负表!E39="","",审定资负表!E39)</f>
        <v>盈余公积</v>
      </c>
      <c r="F39" s="1901"/>
      <c r="G39" s="1896">
        <f>审定资负表!G39</f>
        <v>0</v>
      </c>
      <c r="H39" s="1903">
        <f>审定资负表!H39</f>
        <v>0</v>
      </c>
    </row>
    <row r="40" ht="16.5" customHeight="1" spans="1:8">
      <c r="A40" s="1905" t="str">
        <f>IF(审定资负表!A40="","",审定资负表!A40)</f>
        <v>非流动资产合计</v>
      </c>
      <c r="B40" s="1908"/>
      <c r="C40" s="1904">
        <f>审定资负表!C40</f>
        <v>0</v>
      </c>
      <c r="D40" s="1904">
        <f>审定资负表!D40</f>
        <v>0</v>
      </c>
      <c r="E40" s="1902" t="str">
        <f>IF(审定资负表!E40="","",审定资负表!E40)</f>
        <v>未分配利润</v>
      </c>
      <c r="F40" s="1901"/>
      <c r="G40" s="1896">
        <f>审定资负表!G40</f>
        <v>0</v>
      </c>
      <c r="H40" s="1903">
        <f>审定资负表!H40</f>
        <v>0</v>
      </c>
    </row>
    <row r="41" ht="16.5" customHeight="1" spans="1:8">
      <c r="A41" s="1917" t="str">
        <f>IF(审定资负表!A41="","",审定资负表!A41)</f>
        <v/>
      </c>
      <c r="B41" s="1908"/>
      <c r="C41" s="1904">
        <f>审定资负表!C41</f>
        <v>0</v>
      </c>
      <c r="D41" s="1904">
        <f>审定资负表!D41</f>
        <v>0</v>
      </c>
      <c r="E41" s="1902" t="str">
        <f>IF(审定资负表!E41="","",审定资负表!E41)</f>
        <v>外币报表折算差额</v>
      </c>
      <c r="F41" s="1901"/>
      <c r="G41" s="1896">
        <f>审定资负表!G41</f>
        <v>0</v>
      </c>
      <c r="H41" s="1903">
        <f>审定资负表!H41</f>
        <v>0</v>
      </c>
    </row>
    <row r="42" ht="16.5" customHeight="1" spans="1:8">
      <c r="A42" s="1917" t="str">
        <f>IF(审定资负表!A42="","",审定资负表!A42)</f>
        <v/>
      </c>
      <c r="B42" s="1908"/>
      <c r="C42" s="1904">
        <f>审定资负表!C42</f>
        <v>0</v>
      </c>
      <c r="D42" s="1904">
        <f>审定资负表!D42</f>
        <v>0</v>
      </c>
      <c r="E42" s="1902" t="str">
        <f>IF(审定资负表!E42="","",审定资负表!E42)</f>
        <v>其他综合收益</v>
      </c>
      <c r="F42" s="1901"/>
      <c r="G42" s="1896">
        <f>审定资负表!G42</f>
        <v>0</v>
      </c>
      <c r="H42" s="1903">
        <f>审定资负表!H42</f>
        <v>0</v>
      </c>
    </row>
    <row r="43" ht="16.5" customHeight="1" spans="1:8">
      <c r="A43" s="1917" t="str">
        <f>IF(审定资负表!A43="","",审定资负表!A43)</f>
        <v/>
      </c>
      <c r="B43" s="1906"/>
      <c r="C43" s="1904">
        <f>审定资负表!C43</f>
        <v>0</v>
      </c>
      <c r="D43" s="1904">
        <f>审定资负表!D43</f>
        <v>0</v>
      </c>
      <c r="E43" s="1915" t="str">
        <f>IF(审定资负表!E43="","",审定资负表!E43)</f>
        <v>归属于母公司所有者权益合计</v>
      </c>
      <c r="F43" s="1915"/>
      <c r="G43" s="1910">
        <f>审定资负表!G43</f>
        <v>0</v>
      </c>
      <c r="H43" s="1911">
        <f>审定资负表!H43</f>
        <v>0</v>
      </c>
    </row>
    <row r="44" ht="16.5" customHeight="1" spans="1:8">
      <c r="A44" s="1917" t="str">
        <f>IF(审定资负表!A44="","",审定资负表!A44)</f>
        <v/>
      </c>
      <c r="B44" s="1908"/>
      <c r="C44" s="1904">
        <f>审定资负表!C44</f>
        <v>0</v>
      </c>
      <c r="D44" s="1904">
        <f>审定资负表!D44</f>
        <v>0</v>
      </c>
      <c r="E44" s="1912" t="str">
        <f>IF(审定资负表!E44="","",审定资负表!E44)</f>
        <v/>
      </c>
      <c r="F44" s="1912"/>
      <c r="G44" s="1913">
        <f>审定资负表!G44</f>
        <v>0</v>
      </c>
      <c r="H44" s="1903">
        <f>审定资负表!H44</f>
        <v>0</v>
      </c>
    </row>
    <row r="45" ht="16.5" customHeight="1" spans="1:8">
      <c r="A45" s="1917" t="str">
        <f>IF(审定资负表!A45="","",审定资负表!A45)</f>
        <v/>
      </c>
      <c r="B45" s="1908"/>
      <c r="C45" s="1904">
        <f>审定资负表!C45</f>
        <v>0</v>
      </c>
      <c r="D45" s="1904">
        <f>审定资负表!D45</f>
        <v>0</v>
      </c>
      <c r="E45" s="1902" t="str">
        <f>IF(审定资负表!E45="","",审定资负表!E45)</f>
        <v>少数股东权益</v>
      </c>
      <c r="F45" s="1918"/>
      <c r="G45" s="1919">
        <f>审定资负表!G45</f>
        <v>0</v>
      </c>
      <c r="H45" s="1920">
        <f>审定资负表!H45</f>
        <v>0</v>
      </c>
    </row>
    <row r="46" ht="16.5" customHeight="1" spans="1:8">
      <c r="A46" s="1917" t="str">
        <f>IF(审定资负表!A46="","",审定资负表!A46)</f>
        <v/>
      </c>
      <c r="B46" s="1908"/>
      <c r="C46" s="1904">
        <f>审定资负表!C46</f>
        <v>0</v>
      </c>
      <c r="D46" s="1904">
        <f>审定资负表!D46</f>
        <v>0</v>
      </c>
      <c r="E46" s="1915" t="str">
        <f>IF(审定资负表!E46="","",审定资负表!E46)</f>
        <v>所有者权益合计</v>
      </c>
      <c r="F46" s="1915"/>
      <c r="G46" s="1910">
        <f>审定资负表!G46</f>
        <v>0</v>
      </c>
      <c r="H46" s="1911">
        <f>审定资负表!H46</f>
        <v>0</v>
      </c>
    </row>
    <row r="47" ht="16.5" customHeight="1" spans="1:8">
      <c r="A47" s="1917" t="str">
        <f>IF(审定资负表!A47="","",审定资负表!A47)</f>
        <v/>
      </c>
      <c r="B47" s="1908"/>
      <c r="C47" s="1904">
        <f>审定资负表!C47</f>
        <v>0</v>
      </c>
      <c r="D47" s="1904">
        <f>审定资负表!D47</f>
        <v>0</v>
      </c>
      <c r="E47" s="1912" t="str">
        <f>IF(审定资负表!E47="","",审定资负表!E47)</f>
        <v/>
      </c>
      <c r="F47" s="1912"/>
      <c r="G47" s="1896">
        <f>审定资负表!G47</f>
        <v>0</v>
      </c>
      <c r="H47" s="1903">
        <f>审定资负表!H47</f>
        <v>0</v>
      </c>
    </row>
    <row r="48" ht="16.5" customHeight="1" spans="1:8">
      <c r="A48" s="1921" t="str">
        <f>IF(审定资负表!A48="","",审定资负表!A48)</f>
        <v>资产总计</v>
      </c>
      <c r="B48" s="1922"/>
      <c r="C48" s="1923">
        <f>审定资负表!C48</f>
        <v>56453052.95</v>
      </c>
      <c r="D48" s="1923">
        <f>审定资负表!D48</f>
        <v>0</v>
      </c>
      <c r="E48" s="1924" t="str">
        <f>IF(审定资负表!E48="","",审定资负表!E48)</f>
        <v>负债和所有者权益总计</v>
      </c>
      <c r="F48" s="1924"/>
      <c r="G48" s="1923">
        <f>审定资负表!G48</f>
        <v>56453052.95</v>
      </c>
      <c r="H48" s="1925">
        <f>审定资负表!H48</f>
        <v>0</v>
      </c>
    </row>
    <row r="49" ht="15"/>
  </sheetData>
  <mergeCells count="11">
    <mergeCell ref="A1:H1"/>
    <mergeCell ref="A2:B2"/>
    <mergeCell ref="A3:D3"/>
    <mergeCell ref="A4:A5"/>
    <mergeCell ref="B4:B5"/>
    <mergeCell ref="C4:C5"/>
    <mergeCell ref="D4:D5"/>
    <mergeCell ref="E4:E5"/>
    <mergeCell ref="F4:F5"/>
    <mergeCell ref="G4:G5"/>
    <mergeCell ref="H4:H5"/>
  </mergeCells>
  <conditionalFormatting sqref="A2:B2">
    <cfRule type="cellIs" dxfId="1" priority="1" stopIfTrue="1" operator="notEqual">
      <formula>""</formula>
    </cfRule>
  </conditionalFormatting>
  <conditionalFormatting sqref="C2:D2">
    <cfRule type="cellIs" dxfId="1" priority="2" stopIfTrue="1" operator="notEqual">
      <formula>0</formula>
    </cfRule>
  </conditionalFormatting>
  <printOptions horizontalCentered="1"/>
  <pageMargins left="0.590551181102362" right="0.590551181102362" top="0.551181102362205" bottom="0.590551181102362" header="0.31496062992126" footer="0.511811023622047"/>
  <pageSetup paperSize="9" scale="90" orientation="portrait" blackAndWhite="1"/>
  <headerFooter>
    <oddFooter>&amp;L&amp;10 企业负责人:&amp;C&amp;10会计机构负责人:&amp;R&amp;10  制表人:</oddFooter>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D33"/>
  <sheetViews>
    <sheetView showZeros="0" workbookViewId="0">
      <pane xSplit="1" ySplit="5" topLeftCell="B6" activePane="bottomRight" state="frozen"/>
      <selection/>
      <selection pane="topRight"/>
      <selection pane="bottomLeft"/>
      <selection pane="bottomRight" activeCell="L39" sqref="L39"/>
    </sheetView>
  </sheetViews>
  <sheetFormatPr defaultColWidth="9" defaultRowHeight="14.25" outlineLevelCol="3"/>
  <cols>
    <col min="1" max="1" width="38.625" style="1776" customWidth="1"/>
    <col min="2" max="2" width="9" style="1776" customWidth="1"/>
    <col min="3" max="4" width="17.125" style="1776" customWidth="1"/>
    <col min="5" max="16384" width="9" style="1776"/>
  </cols>
  <sheetData>
    <row r="1" ht="25.5" spans="1:4">
      <c r="A1" s="1808" t="s">
        <v>59</v>
      </c>
      <c r="B1" s="1808"/>
      <c r="C1" s="1808"/>
      <c r="D1" s="1808"/>
    </row>
    <row r="2" ht="21" customHeight="1" spans="1:4">
      <c r="A2" s="1844"/>
      <c r="B2" s="1845"/>
      <c r="C2" s="1845"/>
      <c r="D2" s="1846" t="s">
        <v>2009</v>
      </c>
    </row>
    <row r="3" ht="21" customHeight="1" spans="1:4">
      <c r="A3" s="1844" t="str">
        <f>审定利润表!A3</f>
        <v>编制单位：石嘴山市深阳蓝光市政工程有限公司</v>
      </c>
      <c r="B3" s="1847" t="str">
        <f>审定利润表!B3</f>
        <v>2016年度</v>
      </c>
      <c r="C3" s="1845"/>
      <c r="D3" s="1848" t="s">
        <v>2008</v>
      </c>
    </row>
    <row r="4" ht="21" customHeight="1" spans="1:4">
      <c r="A4" s="1849" t="s">
        <v>60</v>
      </c>
      <c r="B4" s="1850" t="s">
        <v>61</v>
      </c>
      <c r="C4" s="1850" t="s">
        <v>62</v>
      </c>
      <c r="D4" s="1851" t="s">
        <v>2010</v>
      </c>
    </row>
    <row r="5" ht="21" customHeight="1" spans="1:4">
      <c r="A5" s="1852"/>
      <c r="B5" s="1853"/>
      <c r="C5" s="1853"/>
      <c r="D5" s="1854"/>
    </row>
    <row r="6" ht="21" customHeight="1" spans="1:4">
      <c r="A6" s="1855" t="str">
        <f>IF(审定利润表!A6="","",审定利润表!A6)</f>
        <v>一、营业收入</v>
      </c>
      <c r="B6" s="1856"/>
      <c r="C6" s="1857">
        <f>审定利润表!C6</f>
        <v>0</v>
      </c>
      <c r="D6" s="1858">
        <f>本月审定利润表!G6</f>
        <v>0</v>
      </c>
    </row>
    <row r="7" ht="21" customHeight="1" spans="1:4">
      <c r="A7" s="1859" t="str">
        <f>IF(审定利润表!A7="","",审定利润表!A7)</f>
        <v>减：营业成本</v>
      </c>
      <c r="B7" s="1856"/>
      <c r="C7" s="1857">
        <f>审定利润表!C7</f>
        <v>0</v>
      </c>
      <c r="D7" s="1858">
        <f>本月审定利润表!G7</f>
        <v>0</v>
      </c>
    </row>
    <row r="8" ht="21" customHeight="1" spans="1:4">
      <c r="A8" s="1859" t="str">
        <f>IF(审定利润表!A8="","",审定利润表!A8)</f>
        <v>    营业税金及附加</v>
      </c>
      <c r="B8" s="1856"/>
      <c r="C8" s="1857">
        <f>审定利润表!C8</f>
        <v>0</v>
      </c>
      <c r="D8" s="1858">
        <f>本月审定利润表!G8</f>
        <v>0</v>
      </c>
    </row>
    <row r="9" ht="21" customHeight="1" spans="1:4">
      <c r="A9" s="1859" t="str">
        <f>IF(审定利润表!A9="","",审定利润表!A9)</f>
        <v>    销售费用</v>
      </c>
      <c r="B9" s="1856"/>
      <c r="C9" s="1857">
        <f>审定利润表!C9</f>
        <v>0</v>
      </c>
      <c r="D9" s="1858">
        <f>本月审定利润表!G9</f>
        <v>0</v>
      </c>
    </row>
    <row r="10" ht="21" customHeight="1" spans="1:4">
      <c r="A10" s="1859" t="str">
        <f>IF(审定利润表!A10="","",审定利润表!A10)</f>
        <v>    管理费用</v>
      </c>
      <c r="B10" s="1856"/>
      <c r="C10" s="1857">
        <f>审定利润表!C10</f>
        <v>0</v>
      </c>
      <c r="D10" s="1858">
        <f>本月审定利润表!G10</f>
        <v>0</v>
      </c>
    </row>
    <row r="11" ht="21" customHeight="1" spans="1:4">
      <c r="A11" s="1859" t="str">
        <f>IF(审定利润表!A11="","",审定利润表!A11)</f>
        <v>    财务费用</v>
      </c>
      <c r="B11" s="1856"/>
      <c r="C11" s="1857">
        <f>审定利润表!C11</f>
        <v>0</v>
      </c>
      <c r="D11" s="1858">
        <f>本月审定利润表!G11</f>
        <v>0</v>
      </c>
    </row>
    <row r="12" ht="21" customHeight="1" spans="1:4">
      <c r="A12" s="1859" t="str">
        <f>IF(审定利润表!A12="","",审定利润表!A12)</f>
        <v>    资产减值损失</v>
      </c>
      <c r="B12" s="1856"/>
      <c r="C12" s="1857">
        <f>审定利润表!C12</f>
        <v>0</v>
      </c>
      <c r="D12" s="1858">
        <f>本月审定利润表!G12</f>
        <v>0</v>
      </c>
    </row>
    <row r="13" ht="21" customHeight="1" spans="1:4">
      <c r="A13" s="1859" t="str">
        <f>IF(审定利润表!A13="","",审定利润表!A13)</f>
        <v>加：公允价值变动收益</v>
      </c>
      <c r="B13" s="1856"/>
      <c r="C13" s="1857">
        <f>审定利润表!C13</f>
        <v>0</v>
      </c>
      <c r="D13" s="1858">
        <f>本月审定利润表!G13</f>
        <v>0</v>
      </c>
    </row>
    <row r="14" ht="21" customHeight="1" spans="1:4">
      <c r="A14" s="1859" t="str">
        <f>IF(审定利润表!A14="","",审定利润表!A14)</f>
        <v>    投资收益</v>
      </c>
      <c r="B14" s="1856"/>
      <c r="C14" s="1857">
        <f>审定利润表!C14</f>
        <v>0</v>
      </c>
      <c r="D14" s="1858">
        <f>本月审定利润表!G14</f>
        <v>0</v>
      </c>
    </row>
    <row r="15" ht="21" customHeight="1" spans="1:4">
      <c r="A15" s="1859" t="str">
        <f>IF(审定利润表!A15="","",审定利润表!A15)</f>
        <v>    其中：对联营企业和合营企业的投资收益</v>
      </c>
      <c r="B15" s="1856"/>
      <c r="C15" s="1860">
        <f>审定利润表!C15</f>
        <v>0</v>
      </c>
      <c r="D15" s="1861">
        <f>本月审定利润表!G15</f>
        <v>0</v>
      </c>
    </row>
    <row r="16" ht="21" customHeight="1" spans="1:4">
      <c r="A16" s="1859" t="str">
        <f>IF(审定利润表!A17="","",审定利润表!A17)</f>
        <v>    汇兑收益</v>
      </c>
      <c r="B16" s="1856"/>
      <c r="C16" s="1857">
        <f>审定利润表!C17</f>
        <v>0</v>
      </c>
      <c r="D16" s="1858">
        <f>本月审定利润表!G16</f>
        <v>0</v>
      </c>
    </row>
    <row r="17" ht="21" customHeight="1" spans="1:4">
      <c r="A17" s="1862" t="str">
        <f>IF(审定利润表!A18="","",审定利润表!A18)</f>
        <v>    其他收益</v>
      </c>
      <c r="B17" s="1856"/>
      <c r="C17" s="1857">
        <f>审定利润表!C18</f>
        <v>0</v>
      </c>
      <c r="D17" s="1858">
        <f>本月审定利润表!G17</f>
        <v>0</v>
      </c>
    </row>
    <row r="18" ht="21" customHeight="1" spans="1:4">
      <c r="A18" s="1855" t="str">
        <f>IF(审定利润表!A19="","",审定利润表!A19)</f>
        <v>二、营业利润</v>
      </c>
      <c r="B18" s="1863"/>
      <c r="C18" s="1864">
        <f>审定利润表!C19</f>
        <v>0</v>
      </c>
      <c r="D18" s="1865">
        <f>本月审定利润表!G18</f>
        <v>0</v>
      </c>
    </row>
    <row r="19" ht="21" customHeight="1" spans="1:4">
      <c r="A19" s="1859" t="str">
        <f>IF(审定利润表!A20="","",审定利润表!A20)</f>
        <v>加：营业外收入</v>
      </c>
      <c r="B19" s="1856"/>
      <c r="C19" s="1857">
        <f>审定利润表!C20</f>
        <v>0</v>
      </c>
      <c r="D19" s="1858">
        <f>本月审定利润表!G19</f>
        <v>0</v>
      </c>
    </row>
    <row r="20" ht="21" customHeight="1" spans="1:4">
      <c r="A20" s="1859" t="str">
        <f>IF(审定利润表!A21="","",审定利润表!A21)</f>
        <v>减：营业外支出</v>
      </c>
      <c r="B20" s="1856"/>
      <c r="C20" s="1857">
        <f>审定利润表!C21</f>
        <v>0</v>
      </c>
      <c r="D20" s="1858">
        <f>本月审定利润表!G20</f>
        <v>0</v>
      </c>
    </row>
    <row r="21" ht="21" customHeight="1" spans="1:4">
      <c r="A21" s="1859" t="str">
        <f>IF(审定利润表!A27="","",审定利润表!A27)</f>
        <v>   （一）持续经营净利润（净亏损以“－”号填列）</v>
      </c>
      <c r="B21" s="1856"/>
      <c r="C21" s="1866">
        <f>审定利润表!C27</f>
        <v>0</v>
      </c>
      <c r="D21" s="1867">
        <f>本月审定利润表!G21</f>
        <v>0</v>
      </c>
    </row>
    <row r="22" ht="21" customHeight="1" spans="1:4">
      <c r="A22" s="1859" t="str">
        <f>IF(审定利润表!A28="","",审定利润表!A28)</f>
        <v>   （二）终止经营净利润（净亏损以“－”号填列）</v>
      </c>
      <c r="B22" s="1856"/>
      <c r="C22" s="1857">
        <f>审定利润表!C28</f>
        <v>0</v>
      </c>
      <c r="D22" s="1858">
        <f>本月审定利润表!G22</f>
        <v>0</v>
      </c>
    </row>
    <row r="23" ht="21" customHeight="1" spans="1:4">
      <c r="A23" s="1855" t="str">
        <f>IF(审定利润表!A22="","",审定利润表!A22)</f>
        <v>三、利润总额</v>
      </c>
      <c r="B23" s="1856"/>
      <c r="C23" s="1864">
        <f>审定利润表!C22</f>
        <v>0</v>
      </c>
      <c r="D23" s="1865">
        <f>本月审定利润表!G23</f>
        <v>0</v>
      </c>
    </row>
    <row r="24" ht="21" customHeight="1" spans="1:4">
      <c r="A24" s="1859" t="str">
        <f>IF(审定利润表!A23="","",审定利润表!A23)</f>
        <v>减：所得税费用</v>
      </c>
      <c r="B24" s="1856"/>
      <c r="C24" s="1857">
        <f>审定利润表!C23</f>
        <v>0</v>
      </c>
      <c r="D24" s="1858">
        <f>本月审定利润表!G24</f>
        <v>0</v>
      </c>
    </row>
    <row r="25" ht="21" customHeight="1" spans="1:4">
      <c r="A25" s="1859" t="str">
        <f>IF(审定利润表!A29="","",审定利润表!A29)</f>
        <v>五、其他综合收益的税后净额</v>
      </c>
      <c r="B25" s="1856"/>
      <c r="C25" s="1857">
        <f>审定利润表!C29</f>
        <v>0</v>
      </c>
      <c r="D25" s="1858">
        <f>本月审定利润表!G25</f>
        <v>0</v>
      </c>
    </row>
    <row r="26" ht="21" customHeight="1" spans="1:4">
      <c r="A26" s="1855" t="str">
        <f>IF(审定利润表!A24="","",审定利润表!A24)</f>
        <v>四、净利润</v>
      </c>
      <c r="B26" s="1856"/>
      <c r="C26" s="1864">
        <f>审定利润表!C24</f>
        <v>0</v>
      </c>
      <c r="D26" s="1865">
        <f>本月审定利润表!G26</f>
        <v>0</v>
      </c>
    </row>
    <row r="27" ht="21" customHeight="1" spans="1:4">
      <c r="A27" s="1859" t="str">
        <f>IF(审定利润表!A25="","",审定利润表!A25)</f>
        <v>    归属于母公司所有者的净利润</v>
      </c>
      <c r="B27" s="1868"/>
      <c r="C27" s="1864">
        <f>审定利润表!C25</f>
        <v>0</v>
      </c>
      <c r="D27" s="1865">
        <f>本月审定利润表!G27</f>
        <v>0</v>
      </c>
    </row>
    <row r="28" ht="21" customHeight="1" spans="1:4">
      <c r="A28" s="1859" t="str">
        <f>IF(审定利润表!A26="","",审定利润表!A26)</f>
        <v>    少数股东损益</v>
      </c>
      <c r="B28" s="1868"/>
      <c r="C28" s="1869">
        <f>审定利润表!C26</f>
        <v>0</v>
      </c>
      <c r="D28" s="1870">
        <f>本月审定利润表!G28</f>
        <v>0</v>
      </c>
    </row>
    <row r="29" ht="21" customHeight="1" spans="1:4">
      <c r="A29" s="1859" t="str">
        <f>IF(审定利润表!A30="","",审定利润表!A30)</f>
        <v>六、综合收益总额</v>
      </c>
      <c r="B29" s="1863"/>
      <c r="C29" s="1871">
        <f>审定利润表!C30</f>
        <v>0</v>
      </c>
      <c r="D29" s="1872">
        <f>本月审定利润表!G29</f>
        <v>0</v>
      </c>
    </row>
    <row r="30" ht="21" customHeight="1" spans="1:4">
      <c r="A30" s="1855" t="str">
        <f>IF(审定利润表!A31="","",审定利润表!A31)</f>
        <v>七、每股收益：</v>
      </c>
      <c r="B30" s="1863"/>
      <c r="C30" s="1871">
        <f>审定利润表!C31</f>
        <v>0</v>
      </c>
      <c r="D30" s="1872">
        <f>本月审定利润表!G30</f>
        <v>0</v>
      </c>
    </row>
    <row r="31" ht="21" customHeight="1" spans="1:4">
      <c r="A31" s="1859" t="str">
        <f>IF(审定利润表!A32="","",审定利润表!A32)</f>
        <v>（一）基本每股收益</v>
      </c>
      <c r="B31" s="1873"/>
      <c r="C31" s="1866">
        <f>审定利润表!C32</f>
        <v>0</v>
      </c>
      <c r="D31" s="1867">
        <f>本月审定利润表!G31</f>
        <v>0</v>
      </c>
    </row>
    <row r="32" ht="21" customHeight="1" spans="1:4">
      <c r="A32" s="1874" t="str">
        <f>IF(审定利润表!A33="","",审定利润表!A33)</f>
        <v>（二）稀释每股收益</v>
      </c>
      <c r="B32" s="1875"/>
      <c r="C32" s="1876">
        <f>审定利润表!C33</f>
        <v>0</v>
      </c>
      <c r="D32" s="1877">
        <f>本月审定利润表!G32</f>
        <v>0</v>
      </c>
    </row>
    <row r="33" ht="15"/>
  </sheetData>
  <mergeCells count="5">
    <mergeCell ref="A1:D1"/>
    <mergeCell ref="A4:A5"/>
    <mergeCell ref="B4:B5"/>
    <mergeCell ref="C4:C5"/>
    <mergeCell ref="D4:D5"/>
  </mergeCells>
  <printOptions horizontalCentered="1"/>
  <pageMargins left="0.47244094488189" right="0.47244094488189" top="0.984251968503937" bottom="0.905511811023622" header="0.511811023622047" footer="0.78740157480315"/>
  <pageSetup paperSize="9" orientation="portrait" blackAndWhite="1"/>
  <headerFooter>
    <oddFooter>&amp;L&amp;10   企业负责人:&amp;C&amp;10会计机构负责人:&amp;R&amp;10制表人:</oddFooter>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D51"/>
  <sheetViews>
    <sheetView showZeros="0" workbookViewId="0">
      <pane xSplit="1" ySplit="5" topLeftCell="B6" activePane="bottomRight" state="frozen"/>
      <selection/>
      <selection pane="topRight"/>
      <selection pane="bottomLeft"/>
      <selection pane="bottomRight" activeCell="L39" sqref="L39"/>
    </sheetView>
  </sheetViews>
  <sheetFormatPr defaultColWidth="9" defaultRowHeight="14.25" outlineLevelCol="3"/>
  <cols>
    <col min="1" max="1" width="47.625" style="1776" customWidth="1"/>
    <col min="2" max="2" width="6" style="1776" customWidth="1"/>
    <col min="3" max="4" width="15.625" style="1776" customWidth="1"/>
    <col min="5" max="16384" width="9" style="1776"/>
  </cols>
  <sheetData>
    <row r="1" ht="25.5" spans="1:4">
      <c r="A1" s="1808" t="s">
        <v>114</v>
      </c>
      <c r="B1" s="1809"/>
      <c r="C1" s="1809"/>
      <c r="D1" s="1809"/>
    </row>
    <row r="2" ht="15" customHeight="1" spans="1:4">
      <c r="A2" s="1778" t="s">
        <v>2007</v>
      </c>
      <c r="B2" s="1810"/>
      <c r="C2" s="1779">
        <v>0</v>
      </c>
      <c r="D2" s="1811" t="s">
        <v>2011</v>
      </c>
    </row>
    <row r="3" ht="15" customHeight="1" spans="1:4">
      <c r="A3" s="1781" t="str">
        <f>审定现流表!A3</f>
        <v>编制单位：石嘴山市深阳蓝光市政工程有限公司</v>
      </c>
      <c r="B3" s="1812" t="str">
        <f>审定现流表!B3</f>
        <v>2016年度</v>
      </c>
      <c r="C3" s="1813"/>
      <c r="D3" s="1814" t="s">
        <v>2008</v>
      </c>
    </row>
    <row r="4" ht="15" customHeight="1" spans="1:4">
      <c r="A4" s="1815" t="s">
        <v>60</v>
      </c>
      <c r="B4" s="1816" t="s">
        <v>61</v>
      </c>
      <c r="C4" s="1817" t="s">
        <v>62</v>
      </c>
      <c r="D4" s="1818" t="s">
        <v>2010</v>
      </c>
    </row>
    <row r="5" ht="15" customHeight="1" spans="1:4">
      <c r="A5" s="1819"/>
      <c r="B5" s="1820"/>
      <c r="C5" s="1821"/>
      <c r="D5" s="1822"/>
    </row>
    <row r="6" ht="15" customHeight="1" spans="1:4">
      <c r="A6" s="1823" t="str">
        <f>IF(审定现流表!A6="","",审定现流表!A6)</f>
        <v>一、经营活动产生的现金流量：</v>
      </c>
      <c r="B6" s="1824"/>
      <c r="C6" s="1825"/>
      <c r="D6" s="1826"/>
    </row>
    <row r="7" ht="15" customHeight="1" spans="1:4">
      <c r="A7" s="1827" t="str">
        <f>IF(审定现流表!A7="","",审定现流表!A7)</f>
        <v>销售商品、提供劳务收到的现金</v>
      </c>
      <c r="B7" s="1828"/>
      <c r="C7" s="1825">
        <f>审定现流表!C7</f>
        <v>0</v>
      </c>
      <c r="D7" s="1826">
        <f>本月审定现流表!G7</f>
        <v>0</v>
      </c>
    </row>
    <row r="8" ht="15" customHeight="1" spans="1:4">
      <c r="A8" s="1827" t="str">
        <f>IF(审定现流表!A8="","",审定现流表!A8)</f>
        <v>收到的税费返还</v>
      </c>
      <c r="B8" s="1828"/>
      <c r="C8" s="1825">
        <f>审定现流表!C8</f>
        <v>0</v>
      </c>
      <c r="D8" s="1826">
        <f>本月审定现流表!G8</f>
        <v>0</v>
      </c>
    </row>
    <row r="9" ht="15" customHeight="1" spans="1:4">
      <c r="A9" s="1827" t="str">
        <f>IF(审定现流表!A9="","",审定现流表!A9)</f>
        <v>收到其他与经营活动有关的现金</v>
      </c>
      <c r="B9" s="1773"/>
      <c r="C9" s="1825">
        <f>审定现流表!C9</f>
        <v>0</v>
      </c>
      <c r="D9" s="1826">
        <f>本月审定现流表!G9</f>
        <v>0</v>
      </c>
    </row>
    <row r="10" ht="15" customHeight="1" spans="1:4">
      <c r="A10" s="1829" t="str">
        <f>IF(审定现流表!A10="","",审定现流表!A10)</f>
        <v>经营活动现金流入小计</v>
      </c>
      <c r="B10" s="1824"/>
      <c r="C10" s="1830">
        <f>审定现流表!C10</f>
        <v>0</v>
      </c>
      <c r="D10" s="1831">
        <f>本月审定现流表!G10</f>
        <v>0</v>
      </c>
    </row>
    <row r="11" ht="15" customHeight="1" spans="1:4">
      <c r="A11" s="1827" t="str">
        <f>IF(审定现流表!A11="","",审定现流表!A11)</f>
        <v>购买商品、接受劳务支付的现金</v>
      </c>
      <c r="B11" s="1828"/>
      <c r="C11" s="1825">
        <f>审定现流表!C11</f>
        <v>0</v>
      </c>
      <c r="D11" s="1826">
        <f>本月审定现流表!G11</f>
        <v>0</v>
      </c>
    </row>
    <row r="12" ht="15" customHeight="1" spans="1:4">
      <c r="A12" s="1827" t="str">
        <f>IF(审定现流表!A12="","",审定现流表!A12)</f>
        <v>支付给职工以及为职工支付的现金</v>
      </c>
      <c r="B12" s="1828"/>
      <c r="C12" s="1825">
        <f>审定现流表!C12</f>
        <v>0</v>
      </c>
      <c r="D12" s="1826">
        <f>本月审定现流表!G12</f>
        <v>0</v>
      </c>
    </row>
    <row r="13" ht="15" customHeight="1" spans="1:4">
      <c r="A13" s="1827" t="str">
        <f>IF(审定现流表!A13="","",审定现流表!A13)</f>
        <v>支付的各项税费</v>
      </c>
      <c r="B13" s="1828"/>
      <c r="C13" s="1825">
        <f>审定现流表!C13</f>
        <v>0</v>
      </c>
      <c r="D13" s="1826">
        <f>本月审定现流表!G13</f>
        <v>0</v>
      </c>
    </row>
    <row r="14" ht="15" customHeight="1" spans="1:4">
      <c r="A14" s="1827" t="str">
        <f>IF(审定现流表!A14="","",审定现流表!A14)</f>
        <v>支付其他与经营活动有关的现金</v>
      </c>
      <c r="B14" s="1773"/>
      <c r="C14" s="1825">
        <f>审定现流表!C14</f>
        <v>0</v>
      </c>
      <c r="D14" s="1826">
        <f>本月审定现流表!G14</f>
        <v>0</v>
      </c>
    </row>
    <row r="15" ht="15" customHeight="1" spans="1:4">
      <c r="A15" s="1829" t="str">
        <f>IF(审定现流表!A15="","",审定现流表!A15)</f>
        <v>经营活动现金流出小计</v>
      </c>
      <c r="B15" s="1824"/>
      <c r="C15" s="1830">
        <f>审定现流表!C15</f>
        <v>0</v>
      </c>
      <c r="D15" s="1831">
        <f>本月审定现流表!G15</f>
        <v>0</v>
      </c>
    </row>
    <row r="16" ht="15" customHeight="1" spans="1:4">
      <c r="A16" s="1829" t="str">
        <f>IF(审定现流表!A16="","",审定现流表!A16)</f>
        <v>经营活动产生的现金流量净额</v>
      </c>
      <c r="B16" s="1824"/>
      <c r="C16" s="1830">
        <f>审定现流表!C16</f>
        <v>0</v>
      </c>
      <c r="D16" s="1831">
        <f>本月审定现流表!G16</f>
        <v>0</v>
      </c>
    </row>
    <row r="17" ht="15" customHeight="1" spans="1:4">
      <c r="A17" s="1832" t="str">
        <f>IF(审定现流表!A17="","",审定现流表!A17)</f>
        <v/>
      </c>
      <c r="B17" s="1824"/>
      <c r="C17" s="1825">
        <f>审定现流表!C17</f>
        <v>0</v>
      </c>
      <c r="D17" s="1826">
        <f>本月审定现流表!G17</f>
        <v>0</v>
      </c>
    </row>
    <row r="18" ht="15" customHeight="1" spans="1:4">
      <c r="A18" s="1823" t="str">
        <f>IF(审定现流表!A18="","",审定现流表!A18)</f>
        <v>二、投资活动产生的现金流量：</v>
      </c>
      <c r="B18" s="1824"/>
      <c r="C18" s="1825">
        <f>审定现流表!C18</f>
        <v>0</v>
      </c>
      <c r="D18" s="1826">
        <f>本月审定现流表!G18</f>
        <v>0</v>
      </c>
    </row>
    <row r="19" ht="15" customHeight="1" spans="1:4">
      <c r="A19" s="1827" t="str">
        <f>IF(审定现流表!A19="","",审定现流表!A19)</f>
        <v>收回投资收到的现金</v>
      </c>
      <c r="B19" s="1828"/>
      <c r="C19" s="1825">
        <f>审定现流表!C19</f>
        <v>0</v>
      </c>
      <c r="D19" s="1826">
        <f>本月审定现流表!G19</f>
        <v>0</v>
      </c>
    </row>
    <row r="20" ht="15" customHeight="1" spans="1:4">
      <c r="A20" s="1827" t="str">
        <f>IF(审定现流表!A20="","",审定现流表!A20)</f>
        <v>取得投资收益收到的现金</v>
      </c>
      <c r="B20" s="1828"/>
      <c r="C20" s="1825">
        <f>审定现流表!C20</f>
        <v>0</v>
      </c>
      <c r="D20" s="1826">
        <f>本月审定现流表!G20</f>
        <v>0</v>
      </c>
    </row>
    <row r="21" ht="15" customHeight="1" spans="1:4">
      <c r="A21" s="1827" t="str">
        <f>IF(审定现流表!A21="","",审定现流表!A21)</f>
        <v>处置固定资产、无形资产和其他长期资产收回的现金净额</v>
      </c>
      <c r="B21" s="1828"/>
      <c r="C21" s="1825">
        <f>审定现流表!C21</f>
        <v>0</v>
      </c>
      <c r="D21" s="1826">
        <f>本月审定现流表!G21</f>
        <v>0</v>
      </c>
    </row>
    <row r="22" ht="15" customHeight="1" spans="1:4">
      <c r="A22" s="1827" t="str">
        <f>IF(审定现流表!A22="","",审定现流表!A22)</f>
        <v>处置子公司及其他营业单位收到的现金净额</v>
      </c>
      <c r="B22" s="1828"/>
      <c r="C22" s="1825">
        <f>审定现流表!C22</f>
        <v>0</v>
      </c>
      <c r="D22" s="1826">
        <f>本月审定现流表!G22</f>
        <v>0</v>
      </c>
    </row>
    <row r="23" ht="15" customHeight="1" spans="1:4">
      <c r="A23" s="1827" t="str">
        <f>IF(审定现流表!A23="","",审定现流表!A23)</f>
        <v>收到其他与投资活动有关的现金</v>
      </c>
      <c r="B23" s="1833"/>
      <c r="C23" s="1825">
        <f>审定现流表!C23</f>
        <v>0</v>
      </c>
      <c r="D23" s="1826">
        <f>本月审定现流表!G23</f>
        <v>0</v>
      </c>
    </row>
    <row r="24" ht="15" customHeight="1" spans="1:4">
      <c r="A24" s="1829" t="str">
        <f>IF(审定现流表!A24="","",审定现流表!A24)</f>
        <v>投资活动现金流入小计</v>
      </c>
      <c r="B24" s="1824"/>
      <c r="C24" s="1830">
        <f>审定现流表!C24</f>
        <v>0</v>
      </c>
      <c r="D24" s="1831">
        <f>本月审定现流表!G24</f>
        <v>0</v>
      </c>
    </row>
    <row r="25" ht="15" customHeight="1" spans="1:4">
      <c r="A25" s="1827" t="str">
        <f>IF(审定现流表!A25="","",审定现流表!A25)</f>
        <v>购建固定资产、无形资产和其他长期资产支付的现金</v>
      </c>
      <c r="B25" s="1828"/>
      <c r="C25" s="1825">
        <f>审定现流表!C25</f>
        <v>0</v>
      </c>
      <c r="D25" s="1826">
        <f>本月审定现流表!G25</f>
        <v>0</v>
      </c>
    </row>
    <row r="26" ht="15" customHeight="1" spans="1:4">
      <c r="A26" s="1827" t="str">
        <f>IF(审定现流表!A26="","",审定现流表!A26)</f>
        <v>投资支付的现金</v>
      </c>
      <c r="B26" s="1828"/>
      <c r="C26" s="1825">
        <f>审定现流表!C26</f>
        <v>0</v>
      </c>
      <c r="D26" s="1826">
        <f>本月审定现流表!G26</f>
        <v>0</v>
      </c>
    </row>
    <row r="27" ht="15" customHeight="1" spans="1:4">
      <c r="A27" s="1827" t="str">
        <f>IF(审定现流表!A27="","",审定现流表!A27)</f>
        <v>取得子公司及其他营业单位支付的现金净额</v>
      </c>
      <c r="B27" s="1828"/>
      <c r="C27" s="1825">
        <f>审定现流表!C27</f>
        <v>0</v>
      </c>
      <c r="D27" s="1826">
        <f>本月审定现流表!G27</f>
        <v>0</v>
      </c>
    </row>
    <row r="28" ht="15" customHeight="1" spans="1:4">
      <c r="A28" s="1827" t="str">
        <f>IF(审定现流表!A28="","",审定现流表!A28)</f>
        <v>支付其他与投资活动有关的现金</v>
      </c>
      <c r="B28" s="1833"/>
      <c r="C28" s="1825">
        <f>审定现流表!C28</f>
        <v>0</v>
      </c>
      <c r="D28" s="1826">
        <f>本月审定现流表!G28</f>
        <v>0</v>
      </c>
    </row>
    <row r="29" ht="15" customHeight="1" spans="1:4">
      <c r="A29" s="1829" t="str">
        <f>IF(审定现流表!A29="","",审定现流表!A29)</f>
        <v>投资活动现金流出小计</v>
      </c>
      <c r="B29" s="1824"/>
      <c r="C29" s="1830">
        <f>审定现流表!C29</f>
        <v>0</v>
      </c>
      <c r="D29" s="1831">
        <f>本月审定现流表!G29</f>
        <v>0</v>
      </c>
    </row>
    <row r="30" ht="15" customHeight="1" spans="1:4">
      <c r="A30" s="1829" t="str">
        <f>IF(审定现流表!A30="","",审定现流表!A30)</f>
        <v>投资活动产生的现金流量净额</v>
      </c>
      <c r="B30" s="1824"/>
      <c r="C30" s="1830">
        <f>审定现流表!C30</f>
        <v>0</v>
      </c>
      <c r="D30" s="1831">
        <f>本月审定现流表!G30</f>
        <v>0</v>
      </c>
    </row>
    <row r="31" ht="15" customHeight="1" spans="1:4">
      <c r="A31" s="1834" t="str">
        <f>IF(审定现流表!A31="","",审定现流表!A31)</f>
        <v/>
      </c>
      <c r="B31" s="1824"/>
      <c r="C31" s="1825">
        <f>审定现流表!C31</f>
        <v>0</v>
      </c>
      <c r="D31" s="1826">
        <f>本月审定现流表!G31</f>
        <v>0</v>
      </c>
    </row>
    <row r="32" ht="15" customHeight="1" spans="1:4">
      <c r="A32" s="1823" t="str">
        <f>IF(审定现流表!A32="","",审定现流表!A32)</f>
        <v>三、筹资活动产生的现金流量：</v>
      </c>
      <c r="B32" s="1824"/>
      <c r="C32" s="1825">
        <f>审定现流表!C32</f>
        <v>0</v>
      </c>
      <c r="D32" s="1826">
        <f>本月审定现流表!G32</f>
        <v>0</v>
      </c>
    </row>
    <row r="33" ht="15" customHeight="1" spans="1:4">
      <c r="A33" s="1827" t="str">
        <f>IF(审定现流表!A33="","",审定现流表!A33)</f>
        <v>吸收投资收到的现金</v>
      </c>
      <c r="B33" s="1828"/>
      <c r="C33" s="1825">
        <f>审定现流表!C33</f>
        <v>0</v>
      </c>
      <c r="D33" s="1826">
        <f>本月审定现流表!G33</f>
        <v>0</v>
      </c>
    </row>
    <row r="34" ht="15" customHeight="1" spans="1:4">
      <c r="A34" s="1827" t="str">
        <f>IF(审定现流表!A34="","",审定现流表!A34)</f>
        <v>其中：子公司吸收少数股东投资收到的现金</v>
      </c>
      <c r="B34" s="1828"/>
      <c r="C34" s="1825">
        <f>审定现流表!C34</f>
        <v>0</v>
      </c>
      <c r="D34" s="1826">
        <f>本月审定现流表!G34</f>
        <v>0</v>
      </c>
    </row>
    <row r="35" ht="15" customHeight="1" spans="1:4">
      <c r="A35" s="1827" t="str">
        <f>IF(审定现流表!A35="","",审定现流表!A35)</f>
        <v>取得借款收到的现金</v>
      </c>
      <c r="B35" s="1828"/>
      <c r="C35" s="1825">
        <f>审定现流表!C35</f>
        <v>0</v>
      </c>
      <c r="D35" s="1826">
        <f>本月审定现流表!G35</f>
        <v>0</v>
      </c>
    </row>
    <row r="36" ht="15" customHeight="1" spans="1:4">
      <c r="A36" s="1827" t="str">
        <f>IF(审定现流表!A36="","",审定现流表!A36)</f>
        <v>发行债券收到的现金</v>
      </c>
      <c r="B36" s="1828"/>
      <c r="C36" s="1825">
        <f>审定现流表!C36</f>
        <v>0</v>
      </c>
      <c r="D36" s="1826">
        <f>本月审定现流表!G36</f>
        <v>0</v>
      </c>
    </row>
    <row r="37" ht="15" customHeight="1" spans="1:4">
      <c r="A37" s="1827" t="str">
        <f>IF(审定现流表!A37="","",审定现流表!A37)</f>
        <v>收到其他与筹资活动有关的现金</v>
      </c>
      <c r="B37" s="1833"/>
      <c r="C37" s="1825">
        <f>审定现流表!C37</f>
        <v>0</v>
      </c>
      <c r="D37" s="1826">
        <f>本月审定现流表!G37</f>
        <v>0</v>
      </c>
    </row>
    <row r="38" ht="15" customHeight="1" spans="1:4">
      <c r="A38" s="1829" t="str">
        <f>IF(审定现流表!A38="","",审定现流表!A38)</f>
        <v>筹资活动现金流入小计</v>
      </c>
      <c r="B38" s="1824"/>
      <c r="C38" s="1830">
        <f>审定现流表!C38</f>
        <v>0</v>
      </c>
      <c r="D38" s="1831">
        <f>本月审定现流表!G38</f>
        <v>0</v>
      </c>
    </row>
    <row r="39" ht="15" customHeight="1" spans="1:4">
      <c r="A39" s="1827" t="str">
        <f>IF(审定现流表!A39="","",审定现流表!A39)</f>
        <v>偿还债务支付的现金</v>
      </c>
      <c r="B39" s="1828"/>
      <c r="C39" s="1825">
        <f>审定现流表!C39</f>
        <v>0</v>
      </c>
      <c r="D39" s="1826">
        <f>本月审定现流表!G39</f>
        <v>0</v>
      </c>
    </row>
    <row r="40" ht="15" customHeight="1" spans="1:4">
      <c r="A40" s="1827" t="str">
        <f>IF(审定现流表!A40="","",审定现流表!A40)</f>
        <v>分配股利、利润或偿付利息支付的现金</v>
      </c>
      <c r="B40" s="1828"/>
      <c r="C40" s="1825">
        <f>审定现流表!C40</f>
        <v>0</v>
      </c>
      <c r="D40" s="1826">
        <f>本月审定现流表!G40</f>
        <v>0</v>
      </c>
    </row>
    <row r="41" ht="15" customHeight="1" spans="1:4">
      <c r="A41" s="1827" t="str">
        <f>IF(审定现流表!A41="","",审定现流表!A41)</f>
        <v>其中：子公司支付给少数股东的股利、利润</v>
      </c>
      <c r="B41" s="1828"/>
      <c r="C41" s="1825">
        <f>审定现流表!C41</f>
        <v>0</v>
      </c>
      <c r="D41" s="1826">
        <f>本月审定现流表!G41</f>
        <v>0</v>
      </c>
    </row>
    <row r="42" ht="15" customHeight="1" spans="1:4">
      <c r="A42" s="1827" t="str">
        <f>IF(审定现流表!A42="","",审定现流表!A42)</f>
        <v>支付其他与筹资活动有关的现金</v>
      </c>
      <c r="B42" s="1833"/>
      <c r="C42" s="1825">
        <f>审定现流表!C42</f>
        <v>0</v>
      </c>
      <c r="D42" s="1826">
        <f>本月审定现流表!G42</f>
        <v>0</v>
      </c>
    </row>
    <row r="43" ht="15" customHeight="1" spans="1:4">
      <c r="A43" s="1829" t="str">
        <f>IF(审定现流表!A43="","",审定现流表!A43)</f>
        <v>筹资活动现金流出小计</v>
      </c>
      <c r="B43" s="1824"/>
      <c r="C43" s="1830">
        <f>审定现流表!C43</f>
        <v>0</v>
      </c>
      <c r="D43" s="1831">
        <f>本月审定现流表!G43</f>
        <v>0</v>
      </c>
    </row>
    <row r="44" ht="15" customHeight="1" spans="1:4">
      <c r="A44" s="1829" t="str">
        <f>IF(审定现流表!A44="","",审定现流表!A44)</f>
        <v>筹资活动产生的现金流量净额</v>
      </c>
      <c r="B44" s="1824"/>
      <c r="C44" s="1830">
        <f>审定现流表!C44</f>
        <v>0</v>
      </c>
      <c r="D44" s="1831">
        <f>本月审定现流表!G44</f>
        <v>0</v>
      </c>
    </row>
    <row r="45" ht="15" customHeight="1" spans="1:4">
      <c r="A45" s="1834" t="str">
        <f>IF(审定现流表!A45="","",审定现流表!A45)</f>
        <v/>
      </c>
      <c r="B45" s="1824"/>
      <c r="C45" s="1825">
        <f>审定现流表!C45</f>
        <v>0</v>
      </c>
      <c r="D45" s="1826">
        <f>本月审定现流表!G45</f>
        <v>0</v>
      </c>
    </row>
    <row r="46" ht="15" customHeight="1" spans="1:4">
      <c r="A46" s="1823" t="str">
        <f>IF(审定现流表!A46="","",审定现流表!A46)</f>
        <v>四、汇率变动对现金及现金等价物的影响</v>
      </c>
      <c r="B46" s="1828"/>
      <c r="C46" s="1825">
        <f>审定现流表!C46</f>
        <v>0</v>
      </c>
      <c r="D46" s="1826">
        <f>本月审定现流表!G46</f>
        <v>0</v>
      </c>
    </row>
    <row r="47" ht="15" customHeight="1" spans="1:4">
      <c r="A47" s="1823" t="str">
        <f>IF(审定现流表!A47="","",审定现流表!A47)</f>
        <v>五、现金及现金等价物净增加额</v>
      </c>
      <c r="B47" s="1824"/>
      <c r="C47" s="1830">
        <f>审定现流表!C47</f>
        <v>0</v>
      </c>
      <c r="D47" s="1831">
        <f>本月审定现流表!G47</f>
        <v>0</v>
      </c>
    </row>
    <row r="48" ht="15" customHeight="1" spans="1:4">
      <c r="A48" s="1827" t="str">
        <f>IF(审定现流表!A48="","",审定现流表!A48)</f>
        <v>加：期初现金及现金等价物余额</v>
      </c>
      <c r="B48" s="1824"/>
      <c r="C48" s="1825">
        <f>审定现流表!C48</f>
        <v>0</v>
      </c>
      <c r="D48" s="1835">
        <f>本月审定现流表!G48</f>
        <v>0</v>
      </c>
    </row>
    <row r="49" ht="15" customHeight="1" spans="1:4">
      <c r="A49" s="1836" t="str">
        <f>IF(审定现流表!A49="","",审定现流表!A49)</f>
        <v>六、期末现金及现金等价物余额</v>
      </c>
      <c r="B49" s="1837"/>
      <c r="C49" s="1838">
        <f>审定现流表!C49</f>
        <v>0</v>
      </c>
      <c r="D49" s="1839">
        <f>本月审定现流表!G49</f>
        <v>0</v>
      </c>
    </row>
    <row r="50" ht="15" spans="1:4">
      <c r="A50" s="1840" t="str">
        <f>IF(审定现流表!A50="","",审定现流表!A50)</f>
        <v/>
      </c>
      <c r="B50" s="1840"/>
      <c r="C50" s="1841"/>
      <c r="D50" s="1841"/>
    </row>
    <row r="51" spans="1:4">
      <c r="A51" s="1842" t="str">
        <f>IF(审定现流表!A51="","",审定现流表!A51)</f>
        <v/>
      </c>
      <c r="B51" s="1840"/>
      <c r="C51" s="1843">
        <v>0</v>
      </c>
      <c r="D51" s="1843">
        <v>0</v>
      </c>
    </row>
  </sheetData>
  <mergeCells count="5">
    <mergeCell ref="A1:D1"/>
    <mergeCell ref="A4:A5"/>
    <mergeCell ref="B4:B5"/>
    <mergeCell ref="C4:C5"/>
    <mergeCell ref="D4:D5"/>
  </mergeCells>
  <conditionalFormatting sqref="D2">
    <cfRule type="cellIs" dxfId="2" priority="3" stopIfTrue="1" operator="notEqual">
      <formula>"会企03表"</formula>
    </cfRule>
  </conditionalFormatting>
  <conditionalFormatting sqref="A2 A51">
    <cfRule type="cellIs" dxfId="1" priority="1" stopIfTrue="1" operator="notEqual">
      <formula>""</formula>
    </cfRule>
  </conditionalFormatting>
  <conditionalFormatting sqref="C2 C51:D51">
    <cfRule type="cellIs" dxfId="1" priority="2" stopIfTrue="1" operator="notEqual">
      <formula>0</formula>
    </cfRule>
  </conditionalFormatting>
  <printOptions horizontalCentered="1"/>
  <pageMargins left="0.393700787401575" right="0.393700787401575" top="0.590551181102362" bottom="0.511811023622047" header="0.511811023622047" footer="0.47244094488189"/>
  <pageSetup paperSize="9" scale="98" orientation="portrait" blackAndWhite="1"/>
  <headerFooter>
    <oddFooter>&amp;L&amp;10   企业负责人:&amp;C&amp;10会计机构负责人:  &amp;R&amp;10制表人:</oddFooter>
  </headerFooter>
  <rowBreaks count="1" manualBreakCount="1">
    <brk id="49" max="16383" man="1"/>
  </rowBreaks>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H65"/>
  <sheetViews>
    <sheetView showZeros="0" workbookViewId="0">
      <pane xSplit="1" ySplit="1" topLeftCell="B42" activePane="bottomRight" state="frozen"/>
      <selection/>
      <selection pane="topRight"/>
      <selection pane="bottomLeft"/>
      <selection pane="bottomRight" activeCell="L39" sqref="L39"/>
    </sheetView>
  </sheetViews>
  <sheetFormatPr defaultColWidth="9" defaultRowHeight="14.25" outlineLevelCol="7"/>
  <cols>
    <col min="1" max="1" width="38.375" style="1776" customWidth="1"/>
    <col min="2" max="2" width="13.875" style="1776" customWidth="1"/>
    <col min="3" max="8" width="13.375" style="1776" customWidth="1"/>
    <col min="9" max="16384" width="9" style="1776"/>
  </cols>
  <sheetData>
    <row r="1" ht="25.5" spans="1:8">
      <c r="A1" s="1777" t="s">
        <v>276</v>
      </c>
      <c r="B1" s="1777"/>
      <c r="C1" s="1777"/>
      <c r="D1" s="1777"/>
      <c r="E1" s="1777"/>
      <c r="F1" s="1777"/>
      <c r="G1" s="1777"/>
      <c r="H1" s="1777"/>
    </row>
    <row r="2" ht="15" customHeight="1" spans="1:8">
      <c r="A2" s="1778" t="s">
        <v>2007</v>
      </c>
      <c r="B2" s="1779">
        <v>0</v>
      </c>
      <c r="C2" s="1779">
        <v>0</v>
      </c>
      <c r="D2" s="1779">
        <v>0</v>
      </c>
      <c r="E2" s="1779">
        <v>0</v>
      </c>
      <c r="F2" s="1779">
        <v>0</v>
      </c>
      <c r="G2" s="1779">
        <v>0</v>
      </c>
      <c r="H2" s="1780" t="s">
        <v>2012</v>
      </c>
    </row>
    <row r="3" ht="15" customHeight="1" spans="1:8">
      <c r="A3" s="1781" t="str">
        <f>审定权益表!A3</f>
        <v>编制单位：石嘴山市深阳蓝光市政工程有限公司</v>
      </c>
      <c r="B3" s="1782"/>
      <c r="C3" s="1782"/>
      <c r="D3" s="1782" t="str">
        <f>审定权益表!D3</f>
        <v>2016年度</v>
      </c>
      <c r="E3" s="1782"/>
      <c r="F3" s="1782"/>
      <c r="G3" s="1782"/>
      <c r="H3" s="1780" t="s">
        <v>2008</v>
      </c>
    </row>
    <row r="4" ht="15" customHeight="1" spans="1:8">
      <c r="A4" s="1783" t="s">
        <v>60</v>
      </c>
      <c r="B4" s="1784" t="s">
        <v>62</v>
      </c>
      <c r="C4" s="1785"/>
      <c r="D4" s="1785"/>
      <c r="E4" s="1785"/>
      <c r="F4" s="1785"/>
      <c r="G4" s="1785"/>
      <c r="H4" s="1786"/>
    </row>
    <row r="5" ht="15" customHeight="1" spans="1:8">
      <c r="A5" s="1787"/>
      <c r="B5" s="1788"/>
      <c r="C5" s="1789"/>
      <c r="D5" s="1789"/>
      <c r="E5" s="1789"/>
      <c r="F5" s="1789"/>
      <c r="G5" s="1789"/>
      <c r="H5" s="1790"/>
    </row>
    <row r="6" ht="15" customHeight="1" spans="1:8">
      <c r="A6" s="1787"/>
      <c r="B6" s="1791" t="s">
        <v>2013</v>
      </c>
      <c r="C6" s="1791" t="s">
        <v>252</v>
      </c>
      <c r="D6" s="1791" t="s">
        <v>254</v>
      </c>
      <c r="E6" s="1791" t="s">
        <v>255</v>
      </c>
      <c r="F6" s="1791" t="s">
        <v>257</v>
      </c>
      <c r="G6" s="1791" t="s">
        <v>279</v>
      </c>
      <c r="H6" s="1792" t="s">
        <v>262</v>
      </c>
    </row>
    <row r="7" ht="15" customHeight="1" spans="1:8">
      <c r="A7" s="1793" t="str">
        <f>审定权益表!A7</f>
        <v>一、上年年末余额</v>
      </c>
      <c r="B7" s="1794">
        <f>审定权益表!B7</f>
        <v>0</v>
      </c>
      <c r="C7" s="1794">
        <f>审定权益表!C7</f>
        <v>0</v>
      </c>
      <c r="D7" s="1794">
        <f>审定权益表!D7</f>
        <v>0</v>
      </c>
      <c r="E7" s="1794">
        <f>审定权益表!E7</f>
        <v>0</v>
      </c>
      <c r="F7" s="1794">
        <f>审定权益表!F7</f>
        <v>0</v>
      </c>
      <c r="G7" s="1794">
        <f>审定权益表!G7</f>
        <v>0</v>
      </c>
      <c r="H7" s="1795">
        <f>审定权益表!H7</f>
        <v>0</v>
      </c>
    </row>
    <row r="8" ht="15" customHeight="1" spans="1:8">
      <c r="A8" s="1796" t="str">
        <f>审定权益表!A8</f>
        <v>加：会计政策变更</v>
      </c>
      <c r="B8" s="1794">
        <f>审定权益表!B8</f>
        <v>0</v>
      </c>
      <c r="C8" s="1794">
        <f>审定权益表!C8</f>
        <v>0</v>
      </c>
      <c r="D8" s="1794">
        <f>审定权益表!D8</f>
        <v>0</v>
      </c>
      <c r="E8" s="1794">
        <f>审定权益表!E8</f>
        <v>0</v>
      </c>
      <c r="F8" s="1794">
        <f>审定权益表!F8</f>
        <v>0</v>
      </c>
      <c r="G8" s="1794">
        <f>审定权益表!G8</f>
        <v>0</v>
      </c>
      <c r="H8" s="1795">
        <f>审定权益表!H8</f>
        <v>0</v>
      </c>
    </row>
    <row r="9" ht="15" customHeight="1" spans="1:8">
      <c r="A9" s="1796" t="str">
        <f>审定权益表!A9</f>
        <v>    前期差错更正</v>
      </c>
      <c r="B9" s="1797">
        <f>审定权益表!B9</f>
        <v>0</v>
      </c>
      <c r="C9" s="1797">
        <f>审定权益表!C9</f>
        <v>0</v>
      </c>
      <c r="D9" s="1797">
        <f>审定权益表!D9</f>
        <v>0</v>
      </c>
      <c r="E9" s="1797">
        <f>审定权益表!E9</f>
        <v>0</v>
      </c>
      <c r="F9" s="1797">
        <f>审定权益表!F9</f>
        <v>0</v>
      </c>
      <c r="G9" s="1797">
        <f>审定权益表!G9</f>
        <v>0</v>
      </c>
      <c r="H9" s="1795">
        <f>审定权益表!H9</f>
        <v>0</v>
      </c>
    </row>
    <row r="10" ht="15" customHeight="1" spans="1:8">
      <c r="A10" s="1793" t="str">
        <f>审定权益表!A10</f>
        <v>二、本年年初余额</v>
      </c>
      <c r="B10" s="1797">
        <f>审定权益表!B10</f>
        <v>0</v>
      </c>
      <c r="C10" s="1797">
        <f>审定权益表!C10</f>
        <v>0</v>
      </c>
      <c r="D10" s="1797">
        <f>审定权益表!D10</f>
        <v>0</v>
      </c>
      <c r="E10" s="1797">
        <f>审定权益表!E10</f>
        <v>0</v>
      </c>
      <c r="F10" s="1797">
        <f>审定权益表!F10</f>
        <v>0</v>
      </c>
      <c r="G10" s="1797">
        <f>审定权益表!G10</f>
        <v>0</v>
      </c>
      <c r="H10" s="1795">
        <f>审定权益表!H10</f>
        <v>0</v>
      </c>
    </row>
    <row r="11" ht="15" customHeight="1" spans="1:8">
      <c r="A11" s="1793" t="str">
        <f>审定权益表!A11</f>
        <v>三、本年增减变动金额</v>
      </c>
      <c r="B11" s="1797">
        <f>审定权益表!B11</f>
        <v>0</v>
      </c>
      <c r="C11" s="1797">
        <f>审定权益表!C11</f>
        <v>0</v>
      </c>
      <c r="D11" s="1797">
        <f>审定权益表!D11</f>
        <v>0</v>
      </c>
      <c r="E11" s="1797">
        <f>审定权益表!E11</f>
        <v>0</v>
      </c>
      <c r="F11" s="1797">
        <f>审定权益表!F11</f>
        <v>0</v>
      </c>
      <c r="G11" s="1797">
        <f>审定权益表!G11</f>
        <v>0</v>
      </c>
      <c r="H11" s="1795">
        <f>审定权益表!H11</f>
        <v>0</v>
      </c>
    </row>
    <row r="12" ht="15" customHeight="1" spans="1:8">
      <c r="A12" s="1793" t="str">
        <f>审定权益表!A12</f>
        <v>（一）净利润</v>
      </c>
      <c r="B12" s="1797">
        <f>审定权益表!B12</f>
        <v>0</v>
      </c>
      <c r="C12" s="1797">
        <f>审定权益表!C12</f>
        <v>0</v>
      </c>
      <c r="D12" s="1797">
        <f>审定权益表!D12</f>
        <v>0</v>
      </c>
      <c r="E12" s="1797">
        <f>审定权益表!E12</f>
        <v>0</v>
      </c>
      <c r="F12" s="1797">
        <f>审定权益表!F12</f>
        <v>0</v>
      </c>
      <c r="G12" s="1797">
        <f>审定权益表!G12</f>
        <v>0</v>
      </c>
      <c r="H12" s="1795">
        <f>审定权益表!H12</f>
        <v>0</v>
      </c>
    </row>
    <row r="13" ht="15" customHeight="1" spans="1:8">
      <c r="A13" s="1793" t="str">
        <f>审定权益表!A13</f>
        <v>（二）直接计入所有者权益的利得和损失</v>
      </c>
      <c r="B13" s="1797">
        <f>审定权益表!B13</f>
        <v>0</v>
      </c>
      <c r="C13" s="1797">
        <f>审定权益表!C13</f>
        <v>0</v>
      </c>
      <c r="D13" s="1797">
        <f>审定权益表!D13</f>
        <v>0</v>
      </c>
      <c r="E13" s="1797">
        <f>审定权益表!E13</f>
        <v>0</v>
      </c>
      <c r="F13" s="1797">
        <f>审定权益表!F13</f>
        <v>0</v>
      </c>
      <c r="G13" s="1797">
        <f>审定权益表!G13</f>
        <v>0</v>
      </c>
      <c r="H13" s="1795">
        <f>审定权益表!H13</f>
        <v>0</v>
      </c>
    </row>
    <row r="14" ht="15" customHeight="1" spans="1:8">
      <c r="A14" s="1798" t="str">
        <f>审定权益表!A14</f>
        <v>1．可供出售金融资产公允价值变动净额</v>
      </c>
      <c r="B14" s="1794">
        <f>审定权益表!B14</f>
        <v>0</v>
      </c>
      <c r="C14" s="1794">
        <f>审定权益表!C14</f>
        <v>0</v>
      </c>
      <c r="D14" s="1794">
        <f>审定权益表!D14</f>
        <v>0</v>
      </c>
      <c r="E14" s="1794">
        <f>审定权益表!E14</f>
        <v>0</v>
      </c>
      <c r="F14" s="1794">
        <f>审定权益表!F14</f>
        <v>0</v>
      </c>
      <c r="G14" s="1794">
        <f>审定权益表!G14</f>
        <v>0</v>
      </c>
      <c r="H14" s="1795">
        <f>审定权益表!H14</f>
        <v>0</v>
      </c>
    </row>
    <row r="15" ht="15" customHeight="1" spans="1:8">
      <c r="A15" s="1798" t="str">
        <f>审定权益表!A15</f>
        <v>2．权益法下被投资单位其他所有者权益变动的影响</v>
      </c>
      <c r="B15" s="1794">
        <f>审定权益表!B15</f>
        <v>0</v>
      </c>
      <c r="C15" s="1794">
        <f>审定权益表!C15</f>
        <v>0</v>
      </c>
      <c r="D15" s="1794">
        <f>审定权益表!D15</f>
        <v>0</v>
      </c>
      <c r="E15" s="1794">
        <f>审定权益表!E15</f>
        <v>0</v>
      </c>
      <c r="F15" s="1794">
        <f>审定权益表!F15</f>
        <v>0</v>
      </c>
      <c r="G15" s="1794">
        <f>审定权益表!G15</f>
        <v>0</v>
      </c>
      <c r="H15" s="1795">
        <f>审定权益表!H15</f>
        <v>0</v>
      </c>
    </row>
    <row r="16" ht="15" customHeight="1" spans="1:8">
      <c r="A16" s="1798" t="str">
        <f>审定权益表!A16</f>
        <v>3．与计入所有者权益项目相关的所得税影响</v>
      </c>
      <c r="B16" s="1794">
        <f>审定权益表!B16</f>
        <v>0</v>
      </c>
      <c r="C16" s="1794">
        <f>审定权益表!C16</f>
        <v>0</v>
      </c>
      <c r="D16" s="1794">
        <f>审定权益表!D16</f>
        <v>0</v>
      </c>
      <c r="E16" s="1794">
        <f>审定权益表!E16</f>
        <v>0</v>
      </c>
      <c r="F16" s="1794">
        <f>审定权益表!F16</f>
        <v>0</v>
      </c>
      <c r="G16" s="1794">
        <f>审定权益表!G16</f>
        <v>0</v>
      </c>
      <c r="H16" s="1795">
        <f>审定权益表!H16</f>
        <v>0</v>
      </c>
    </row>
    <row r="17" ht="15" customHeight="1" spans="1:8">
      <c r="A17" s="1798" t="str">
        <f>审定权益表!A17</f>
        <v>4．其他</v>
      </c>
      <c r="B17" s="1794">
        <f>审定权益表!B17</f>
        <v>0</v>
      </c>
      <c r="C17" s="1794">
        <f>审定权益表!C17</f>
        <v>0</v>
      </c>
      <c r="D17" s="1794">
        <f>审定权益表!D17</f>
        <v>0</v>
      </c>
      <c r="E17" s="1794">
        <f>审定权益表!E17</f>
        <v>0</v>
      </c>
      <c r="F17" s="1794">
        <f>审定权益表!F17</f>
        <v>0</v>
      </c>
      <c r="G17" s="1794">
        <f>审定权益表!G17</f>
        <v>0</v>
      </c>
      <c r="H17" s="1795">
        <f>审定权益表!H17</f>
        <v>0</v>
      </c>
    </row>
    <row r="18" ht="15" customHeight="1" spans="1:8">
      <c r="A18" s="1793" t="str">
        <f>审定权益表!A18</f>
        <v>上述（一）和（二）小计</v>
      </c>
      <c r="B18" s="1797">
        <f>审定权益表!B18</f>
        <v>0</v>
      </c>
      <c r="C18" s="1797">
        <f>审定权益表!C18</f>
        <v>0</v>
      </c>
      <c r="D18" s="1797">
        <f>审定权益表!D18</f>
        <v>0</v>
      </c>
      <c r="E18" s="1797">
        <f>审定权益表!E18</f>
        <v>0</v>
      </c>
      <c r="F18" s="1797">
        <f>审定权益表!F18</f>
        <v>0</v>
      </c>
      <c r="G18" s="1797">
        <f>审定权益表!G18</f>
        <v>0</v>
      </c>
      <c r="H18" s="1795">
        <f>审定权益表!H18</f>
        <v>0</v>
      </c>
    </row>
    <row r="19" ht="15" customHeight="1" spans="1:8">
      <c r="A19" s="1793" t="str">
        <f>审定权益表!A19</f>
        <v>（三）所有者投入和减少资本</v>
      </c>
      <c r="B19" s="1797">
        <f>审定权益表!B19</f>
        <v>0</v>
      </c>
      <c r="C19" s="1797">
        <f>审定权益表!C19</f>
        <v>0</v>
      </c>
      <c r="D19" s="1797">
        <f>审定权益表!D19</f>
        <v>0</v>
      </c>
      <c r="E19" s="1797">
        <f>审定权益表!E19</f>
        <v>0</v>
      </c>
      <c r="F19" s="1797">
        <f>审定权益表!F19</f>
        <v>0</v>
      </c>
      <c r="G19" s="1797">
        <f>审定权益表!G19</f>
        <v>0</v>
      </c>
      <c r="H19" s="1795">
        <f>审定权益表!H19</f>
        <v>0</v>
      </c>
    </row>
    <row r="20" ht="15" customHeight="1" spans="1:8">
      <c r="A20" s="1798" t="str">
        <f>审定权益表!A20</f>
        <v>1．所有者投入资本</v>
      </c>
      <c r="B20" s="1794">
        <f>审定权益表!B20</f>
        <v>0</v>
      </c>
      <c r="C20" s="1794">
        <f>审定权益表!C20</f>
        <v>0</v>
      </c>
      <c r="D20" s="1794">
        <f>审定权益表!D20</f>
        <v>0</v>
      </c>
      <c r="E20" s="1794">
        <f>审定权益表!E20</f>
        <v>0</v>
      </c>
      <c r="F20" s="1794">
        <f>审定权益表!F20</f>
        <v>0</v>
      </c>
      <c r="G20" s="1794">
        <f>审定权益表!G20</f>
        <v>0</v>
      </c>
      <c r="H20" s="1795">
        <f>审定权益表!H20</f>
        <v>0</v>
      </c>
    </row>
    <row r="21" ht="15" customHeight="1" spans="1:8">
      <c r="A21" s="1798" t="str">
        <f>审定权益表!A21</f>
        <v>2．股份支付计入所有者权益的金额</v>
      </c>
      <c r="B21" s="1794">
        <f>审定权益表!B21</f>
        <v>0</v>
      </c>
      <c r="C21" s="1794">
        <f>审定权益表!C21</f>
        <v>0</v>
      </c>
      <c r="D21" s="1794">
        <f>审定权益表!D21</f>
        <v>0</v>
      </c>
      <c r="E21" s="1794">
        <f>审定权益表!E21</f>
        <v>0</v>
      </c>
      <c r="F21" s="1794">
        <f>审定权益表!F21</f>
        <v>0</v>
      </c>
      <c r="G21" s="1794">
        <f>审定权益表!G21</f>
        <v>0</v>
      </c>
      <c r="H21" s="1795">
        <f>审定权益表!H21</f>
        <v>0</v>
      </c>
    </row>
    <row r="22" ht="15" customHeight="1" spans="1:8">
      <c r="A22" s="1798" t="str">
        <f>审定权益表!A22</f>
        <v>3．其他</v>
      </c>
      <c r="B22" s="1794">
        <f>审定权益表!B22</f>
        <v>0</v>
      </c>
      <c r="C22" s="1794">
        <f>审定权益表!C22</f>
        <v>0</v>
      </c>
      <c r="D22" s="1794">
        <f>审定权益表!D22</f>
        <v>0</v>
      </c>
      <c r="E22" s="1794">
        <f>审定权益表!E22</f>
        <v>0</v>
      </c>
      <c r="F22" s="1794">
        <f>审定权益表!F22</f>
        <v>0</v>
      </c>
      <c r="G22" s="1794">
        <f>审定权益表!G22</f>
        <v>0</v>
      </c>
      <c r="H22" s="1795">
        <f>审定权益表!H22</f>
        <v>0</v>
      </c>
    </row>
    <row r="23" ht="15" customHeight="1" spans="1:8">
      <c r="A23" s="1793" t="str">
        <f>审定权益表!A23</f>
        <v>（四）利润分配</v>
      </c>
      <c r="B23" s="1797">
        <f>审定权益表!B23</f>
        <v>0</v>
      </c>
      <c r="C23" s="1797">
        <f>审定权益表!C23</f>
        <v>0</v>
      </c>
      <c r="D23" s="1797">
        <f>审定权益表!D23</f>
        <v>0</v>
      </c>
      <c r="E23" s="1797">
        <f>审定权益表!E23</f>
        <v>0</v>
      </c>
      <c r="F23" s="1797">
        <f>审定权益表!F23</f>
        <v>0</v>
      </c>
      <c r="G23" s="1797">
        <f>审定权益表!G23</f>
        <v>0</v>
      </c>
      <c r="H23" s="1795">
        <f>审定权益表!H23</f>
        <v>0</v>
      </c>
    </row>
    <row r="24" ht="15" customHeight="1" spans="1:8">
      <c r="A24" s="1798" t="str">
        <f>审定权益表!A24</f>
        <v>1．提取盈余公积</v>
      </c>
      <c r="B24" s="1794">
        <f>审定权益表!B24</f>
        <v>0</v>
      </c>
      <c r="C24" s="1794">
        <f>审定权益表!C24</f>
        <v>0</v>
      </c>
      <c r="D24" s="1794">
        <f>审定权益表!D24</f>
        <v>0</v>
      </c>
      <c r="E24" s="1794">
        <f>审定权益表!E24</f>
        <v>0</v>
      </c>
      <c r="F24" s="1794">
        <f>审定权益表!F24</f>
        <v>0</v>
      </c>
      <c r="G24" s="1794">
        <f>审定权益表!G24</f>
        <v>0</v>
      </c>
      <c r="H24" s="1795">
        <f>审定权益表!H24</f>
        <v>0</v>
      </c>
    </row>
    <row r="25" ht="15" customHeight="1" spans="1:8">
      <c r="A25" s="1798" t="str">
        <f>审定权益表!A25</f>
        <v>2．对所有者（或股东）的分配</v>
      </c>
      <c r="B25" s="1794">
        <f>审定权益表!B25</f>
        <v>0</v>
      </c>
      <c r="C25" s="1794">
        <f>审定权益表!C25</f>
        <v>0</v>
      </c>
      <c r="D25" s="1794">
        <f>审定权益表!D25</f>
        <v>0</v>
      </c>
      <c r="E25" s="1794">
        <f>审定权益表!E25</f>
        <v>0</v>
      </c>
      <c r="F25" s="1794">
        <f>审定权益表!F25</f>
        <v>0</v>
      </c>
      <c r="G25" s="1794">
        <f>审定权益表!G25</f>
        <v>0</v>
      </c>
      <c r="H25" s="1795">
        <f>审定权益表!H25</f>
        <v>0</v>
      </c>
    </row>
    <row r="26" ht="15" customHeight="1" spans="1:8">
      <c r="A26" s="1798" t="str">
        <f>审定权益表!A26</f>
        <v>3．其他</v>
      </c>
      <c r="B26" s="1794">
        <f>审定权益表!B26</f>
        <v>0</v>
      </c>
      <c r="C26" s="1794">
        <f>审定权益表!C26</f>
        <v>0</v>
      </c>
      <c r="D26" s="1794">
        <f>审定权益表!D26</f>
        <v>0</v>
      </c>
      <c r="E26" s="1794">
        <f>审定权益表!E26</f>
        <v>0</v>
      </c>
      <c r="F26" s="1794">
        <f>审定权益表!F26</f>
        <v>0</v>
      </c>
      <c r="G26" s="1794">
        <f>审定权益表!G26</f>
        <v>0</v>
      </c>
      <c r="H26" s="1795">
        <f>审定权益表!H26</f>
        <v>0</v>
      </c>
    </row>
    <row r="27" ht="15" customHeight="1" spans="1:8">
      <c r="A27" s="1793" t="str">
        <f>审定权益表!A27</f>
        <v>（五）所有者权益内部结转</v>
      </c>
      <c r="B27" s="1797">
        <f>审定权益表!B27</f>
        <v>0</v>
      </c>
      <c r="C27" s="1797">
        <f>审定权益表!C27</f>
        <v>0</v>
      </c>
      <c r="D27" s="1797">
        <f>审定权益表!D27</f>
        <v>0</v>
      </c>
      <c r="E27" s="1797">
        <f>审定权益表!E27</f>
        <v>0</v>
      </c>
      <c r="F27" s="1797">
        <f>审定权益表!F27</f>
        <v>0</v>
      </c>
      <c r="G27" s="1797">
        <f>审定权益表!G27</f>
        <v>0</v>
      </c>
      <c r="H27" s="1795">
        <f>审定权益表!H27</f>
        <v>0</v>
      </c>
    </row>
    <row r="28" ht="15" customHeight="1" spans="1:8">
      <c r="A28" s="1798" t="str">
        <f>审定权益表!A28</f>
        <v>1．资本公积转增资本（或股本）</v>
      </c>
      <c r="B28" s="1794">
        <f>审定权益表!B28</f>
        <v>0</v>
      </c>
      <c r="C28" s="1794">
        <f>审定权益表!C28</f>
        <v>0</v>
      </c>
      <c r="D28" s="1794">
        <f>审定权益表!D28</f>
        <v>0</v>
      </c>
      <c r="E28" s="1794">
        <f>审定权益表!E28</f>
        <v>0</v>
      </c>
      <c r="F28" s="1794">
        <f>审定权益表!F28</f>
        <v>0</v>
      </c>
      <c r="G28" s="1794">
        <f>审定权益表!G28</f>
        <v>0</v>
      </c>
      <c r="H28" s="1795">
        <f>审定权益表!H28</f>
        <v>0</v>
      </c>
    </row>
    <row r="29" ht="15" customHeight="1" spans="1:8">
      <c r="A29" s="1798" t="str">
        <f>审定权益表!A29</f>
        <v>2．盈余公积转增资本（或股本）</v>
      </c>
      <c r="B29" s="1794">
        <f>审定权益表!B29</f>
        <v>0</v>
      </c>
      <c r="C29" s="1794">
        <f>审定权益表!C29</f>
        <v>0</v>
      </c>
      <c r="D29" s="1794">
        <f>审定权益表!D29</f>
        <v>0</v>
      </c>
      <c r="E29" s="1794">
        <f>审定权益表!E29</f>
        <v>0</v>
      </c>
      <c r="F29" s="1794">
        <f>审定权益表!F29</f>
        <v>0</v>
      </c>
      <c r="G29" s="1794">
        <f>审定权益表!G29</f>
        <v>0</v>
      </c>
      <c r="H29" s="1795">
        <f>审定权益表!H29</f>
        <v>0</v>
      </c>
    </row>
    <row r="30" ht="15" customHeight="1" spans="1:8">
      <c r="A30" s="1798" t="str">
        <f>审定权益表!A30</f>
        <v>3．盈余公积弥补亏损</v>
      </c>
      <c r="B30" s="1794">
        <f>审定权益表!B30</f>
        <v>0</v>
      </c>
      <c r="C30" s="1794">
        <f>审定权益表!C30</f>
        <v>0</v>
      </c>
      <c r="D30" s="1794">
        <f>审定权益表!D30</f>
        <v>0</v>
      </c>
      <c r="E30" s="1794">
        <f>审定权益表!E30</f>
        <v>0</v>
      </c>
      <c r="F30" s="1794">
        <f>审定权益表!F30</f>
        <v>0</v>
      </c>
      <c r="G30" s="1794">
        <f>审定权益表!G30</f>
        <v>0</v>
      </c>
      <c r="H30" s="1795">
        <f>审定权益表!H30</f>
        <v>0</v>
      </c>
    </row>
    <row r="31" ht="15" customHeight="1" spans="1:8">
      <c r="A31" s="1798" t="str">
        <f>审定权益表!A31</f>
        <v>4．其他</v>
      </c>
      <c r="B31" s="1794">
        <f>审定权益表!B31</f>
        <v>0</v>
      </c>
      <c r="C31" s="1794">
        <f>审定权益表!C31</f>
        <v>0</v>
      </c>
      <c r="D31" s="1794">
        <f>审定权益表!D31</f>
        <v>0</v>
      </c>
      <c r="E31" s="1794">
        <f>审定权益表!E31</f>
        <v>0</v>
      </c>
      <c r="F31" s="1794">
        <f>审定权益表!F31</f>
        <v>0</v>
      </c>
      <c r="G31" s="1794">
        <f>审定权益表!G31</f>
        <v>0</v>
      </c>
      <c r="H31" s="1795">
        <f>审定权益表!H31</f>
        <v>0</v>
      </c>
    </row>
    <row r="32" ht="15" customHeight="1" spans="1:8">
      <c r="A32" s="1799" t="str">
        <f>审定权益表!A32</f>
        <v>四、本年年末余额</v>
      </c>
      <c r="B32" s="1800">
        <f>审定权益表!B32</f>
        <v>0</v>
      </c>
      <c r="C32" s="1800">
        <f>审定权益表!C32</f>
        <v>0</v>
      </c>
      <c r="D32" s="1800">
        <f>审定权益表!D32</f>
        <v>0</v>
      </c>
      <c r="E32" s="1800">
        <f>审定权益表!E32</f>
        <v>0</v>
      </c>
      <c r="F32" s="1800">
        <f>审定权益表!F32</f>
        <v>0</v>
      </c>
      <c r="G32" s="1800">
        <f>审定权益表!G32</f>
        <v>0</v>
      </c>
      <c r="H32" s="1801">
        <f>审定权益表!H32</f>
        <v>0</v>
      </c>
    </row>
    <row r="33" ht="25.5" customHeight="1" spans="1:8">
      <c r="A33" s="1777" t="s">
        <v>276</v>
      </c>
      <c r="B33" s="1777"/>
      <c r="C33" s="1777"/>
      <c r="D33" s="1777"/>
      <c r="E33" s="1777"/>
      <c r="F33" s="1777"/>
      <c r="G33" s="1777"/>
      <c r="H33" s="1777"/>
    </row>
    <row r="34" ht="15" customHeight="1" spans="1:8">
      <c r="A34" s="1778" t="s">
        <v>2007</v>
      </c>
      <c r="B34" s="1779">
        <v>0</v>
      </c>
      <c r="C34" s="1779">
        <v>0</v>
      </c>
      <c r="D34" s="1779">
        <v>0</v>
      </c>
      <c r="E34" s="1779">
        <v>0</v>
      </c>
      <c r="F34" s="1779">
        <v>0</v>
      </c>
      <c r="G34" s="1779">
        <v>0</v>
      </c>
      <c r="H34" s="1780" t="s">
        <v>2014</v>
      </c>
    </row>
    <row r="35" ht="15" customHeight="1" spans="1:8">
      <c r="A35" s="1781" t="str">
        <f>A3</f>
        <v>编制单位：石嘴山市深阳蓝光市政工程有限公司</v>
      </c>
      <c r="B35" s="1782"/>
      <c r="C35" s="1782"/>
      <c r="D35" s="1782" t="str">
        <f>D3</f>
        <v>2016年度</v>
      </c>
      <c r="E35" s="1782"/>
      <c r="F35" s="1782"/>
      <c r="G35" s="1782"/>
      <c r="H35" s="1780" t="s">
        <v>2008</v>
      </c>
    </row>
    <row r="36" ht="15" customHeight="1" spans="1:8">
      <c r="A36" s="1783" t="s">
        <v>60</v>
      </c>
      <c r="B36" s="1802" t="s">
        <v>2015</v>
      </c>
      <c r="C36" s="1803"/>
      <c r="D36" s="1803"/>
      <c r="E36" s="1803"/>
      <c r="F36" s="1803"/>
      <c r="G36" s="1803"/>
      <c r="H36" s="1804"/>
    </row>
    <row r="37" ht="15" customHeight="1" spans="1:8">
      <c r="A37" s="1787"/>
      <c r="B37" s="1805"/>
      <c r="C37" s="1806"/>
      <c r="D37" s="1806"/>
      <c r="E37" s="1806"/>
      <c r="F37" s="1806"/>
      <c r="G37" s="1806"/>
      <c r="H37" s="1807"/>
    </row>
    <row r="38" ht="15" customHeight="1" spans="1:8">
      <c r="A38" s="1787"/>
      <c r="B38" s="1791" t="s">
        <v>2013</v>
      </c>
      <c r="C38" s="1791" t="s">
        <v>252</v>
      </c>
      <c r="D38" s="1791" t="s">
        <v>254</v>
      </c>
      <c r="E38" s="1791" t="s">
        <v>255</v>
      </c>
      <c r="F38" s="1791" t="s">
        <v>257</v>
      </c>
      <c r="G38" s="1791" t="s">
        <v>279</v>
      </c>
      <c r="H38" s="1792" t="s">
        <v>262</v>
      </c>
    </row>
    <row r="39" ht="15" customHeight="1" spans="1:8">
      <c r="A39" s="1793" t="str">
        <f>审定权益表!A39</f>
        <v>一、上年年末余额</v>
      </c>
      <c r="B39" s="1794">
        <f>审定权益表!B39</f>
        <v>0</v>
      </c>
      <c r="C39" s="1794">
        <f>审定权益表!C39</f>
        <v>0</v>
      </c>
      <c r="D39" s="1794">
        <f>审定权益表!D39</f>
        <v>0</v>
      </c>
      <c r="E39" s="1794">
        <f>审定权益表!E39</f>
        <v>0</v>
      </c>
      <c r="F39" s="1794">
        <f>审定权益表!F39</f>
        <v>0</v>
      </c>
      <c r="G39" s="1794">
        <f>审定权益表!G39</f>
        <v>0</v>
      </c>
      <c r="H39" s="1795">
        <f>审定权益表!H39</f>
        <v>0</v>
      </c>
    </row>
    <row r="40" ht="15" customHeight="1" spans="1:8">
      <c r="A40" s="1796" t="str">
        <f>审定权益表!A40</f>
        <v>加：会计政策变更</v>
      </c>
      <c r="B40" s="1794">
        <f>审定权益表!B40</f>
        <v>0</v>
      </c>
      <c r="C40" s="1794">
        <f>审定权益表!C40</f>
        <v>0</v>
      </c>
      <c r="D40" s="1794">
        <f>审定权益表!D40</f>
        <v>0</v>
      </c>
      <c r="E40" s="1794">
        <f>审定权益表!E40</f>
        <v>0</v>
      </c>
      <c r="F40" s="1794">
        <f>审定权益表!F40</f>
        <v>0</v>
      </c>
      <c r="G40" s="1794">
        <f>审定权益表!G40</f>
        <v>0</v>
      </c>
      <c r="H40" s="1795">
        <f>审定权益表!H40</f>
        <v>0</v>
      </c>
    </row>
    <row r="41" ht="15" customHeight="1" spans="1:8">
      <c r="A41" s="1796" t="str">
        <f>审定权益表!A41</f>
        <v>    前期差错更正</v>
      </c>
      <c r="B41" s="1794">
        <f>审定权益表!B41</f>
        <v>0</v>
      </c>
      <c r="C41" s="1794">
        <f>审定权益表!C41</f>
        <v>0</v>
      </c>
      <c r="D41" s="1794">
        <f>审定权益表!D41</f>
        <v>0</v>
      </c>
      <c r="E41" s="1794">
        <f>审定权益表!E41</f>
        <v>0</v>
      </c>
      <c r="F41" s="1797">
        <f>审定权益表!F41</f>
        <v>0</v>
      </c>
      <c r="G41" s="1794">
        <f>审定权益表!G41</f>
        <v>0</v>
      </c>
      <c r="H41" s="1795">
        <f>审定权益表!H41</f>
        <v>0</v>
      </c>
    </row>
    <row r="42" ht="15" customHeight="1" spans="1:8">
      <c r="A42" s="1793" t="str">
        <f>审定权益表!A42</f>
        <v>二、本年年初余额</v>
      </c>
      <c r="B42" s="1797">
        <f>审定权益表!B42</f>
        <v>0</v>
      </c>
      <c r="C42" s="1797">
        <f>审定权益表!C42</f>
        <v>0</v>
      </c>
      <c r="D42" s="1797">
        <f>审定权益表!D42</f>
        <v>0</v>
      </c>
      <c r="E42" s="1797">
        <f>审定权益表!E42</f>
        <v>0</v>
      </c>
      <c r="F42" s="1797">
        <f>审定权益表!F42</f>
        <v>0</v>
      </c>
      <c r="G42" s="1797">
        <f>审定权益表!G42</f>
        <v>0</v>
      </c>
      <c r="H42" s="1795">
        <f>审定权益表!H42</f>
        <v>0</v>
      </c>
    </row>
    <row r="43" ht="15" customHeight="1" spans="1:8">
      <c r="A43" s="1793" t="str">
        <f>审定权益表!A43</f>
        <v>三、本年增减变动金额</v>
      </c>
      <c r="B43" s="1797">
        <f>审定权益表!B43</f>
        <v>0</v>
      </c>
      <c r="C43" s="1797">
        <f>审定权益表!C43</f>
        <v>0</v>
      </c>
      <c r="D43" s="1797">
        <f>审定权益表!D43</f>
        <v>0</v>
      </c>
      <c r="E43" s="1797">
        <f>审定权益表!E43</f>
        <v>0</v>
      </c>
      <c r="F43" s="1797">
        <f>审定权益表!F43</f>
        <v>0</v>
      </c>
      <c r="G43" s="1797">
        <f>审定权益表!G43</f>
        <v>0</v>
      </c>
      <c r="H43" s="1795">
        <f>审定权益表!H43</f>
        <v>0</v>
      </c>
    </row>
    <row r="44" ht="15" customHeight="1" spans="1:8">
      <c r="A44" s="1793" t="str">
        <f>审定权益表!A44</f>
        <v>（一）净利润</v>
      </c>
      <c r="B44" s="1797">
        <f>审定权益表!B44</f>
        <v>0</v>
      </c>
      <c r="C44" s="1797">
        <f>审定权益表!C44</f>
        <v>0</v>
      </c>
      <c r="D44" s="1797">
        <f>审定权益表!D44</f>
        <v>0</v>
      </c>
      <c r="E44" s="1797">
        <f>审定权益表!E44</f>
        <v>0</v>
      </c>
      <c r="F44" s="1797">
        <f>审定权益表!F44</f>
        <v>0</v>
      </c>
      <c r="G44" s="1797">
        <f>审定权益表!G44</f>
        <v>0</v>
      </c>
      <c r="H44" s="1795">
        <f>审定权益表!H44</f>
        <v>0</v>
      </c>
    </row>
    <row r="45" ht="15" customHeight="1" spans="1:8">
      <c r="A45" s="1793" t="str">
        <f>审定权益表!A45</f>
        <v>（二）直接计入所有者权益的利得和损失</v>
      </c>
      <c r="B45" s="1797">
        <f>审定权益表!B45</f>
        <v>0</v>
      </c>
      <c r="C45" s="1797">
        <f>审定权益表!C45</f>
        <v>0</v>
      </c>
      <c r="D45" s="1797">
        <f>审定权益表!D45</f>
        <v>0</v>
      </c>
      <c r="E45" s="1797">
        <f>审定权益表!E45</f>
        <v>0</v>
      </c>
      <c r="F45" s="1797">
        <f>审定权益表!F45</f>
        <v>0</v>
      </c>
      <c r="G45" s="1797">
        <f>审定权益表!G45</f>
        <v>0</v>
      </c>
      <c r="H45" s="1795">
        <f>审定权益表!H45</f>
        <v>0</v>
      </c>
    </row>
    <row r="46" ht="15" customHeight="1" spans="1:8">
      <c r="A46" s="1798" t="str">
        <f>审定权益表!A46</f>
        <v>1．可供出售金融资产公允价值变动净额</v>
      </c>
      <c r="B46" s="1794">
        <f>审定权益表!B46</f>
        <v>0</v>
      </c>
      <c r="C46" s="1794">
        <f>审定权益表!C46</f>
        <v>0</v>
      </c>
      <c r="D46" s="1794">
        <f>审定权益表!D46</f>
        <v>0</v>
      </c>
      <c r="E46" s="1794">
        <f>审定权益表!E46</f>
        <v>0</v>
      </c>
      <c r="F46" s="1794">
        <f>审定权益表!F46</f>
        <v>0</v>
      </c>
      <c r="G46" s="1794">
        <f>审定权益表!G46</f>
        <v>0</v>
      </c>
      <c r="H46" s="1795">
        <f>审定权益表!H46</f>
        <v>0</v>
      </c>
    </row>
    <row r="47" ht="15" customHeight="1" spans="1:8">
      <c r="A47" s="1798" t="str">
        <f>审定权益表!A47</f>
        <v>2．权益法下被投资单位其他所有者权益变动的影响</v>
      </c>
      <c r="B47" s="1794">
        <f>审定权益表!B47</f>
        <v>0</v>
      </c>
      <c r="C47" s="1794">
        <f>审定权益表!C47</f>
        <v>0</v>
      </c>
      <c r="D47" s="1794">
        <f>审定权益表!D47</f>
        <v>0</v>
      </c>
      <c r="E47" s="1794">
        <f>审定权益表!E47</f>
        <v>0</v>
      </c>
      <c r="F47" s="1794">
        <f>审定权益表!F47</f>
        <v>0</v>
      </c>
      <c r="G47" s="1794">
        <f>审定权益表!G47</f>
        <v>0</v>
      </c>
      <c r="H47" s="1795">
        <f>审定权益表!H47</f>
        <v>0</v>
      </c>
    </row>
    <row r="48" ht="15" customHeight="1" spans="1:8">
      <c r="A48" s="1798" t="str">
        <f>审定权益表!A48</f>
        <v>3．与计入所有者权益项目相关的所得税影响</v>
      </c>
      <c r="B48" s="1794">
        <f>审定权益表!B48</f>
        <v>0</v>
      </c>
      <c r="C48" s="1794">
        <f>审定权益表!C48</f>
        <v>0</v>
      </c>
      <c r="D48" s="1794">
        <f>审定权益表!D48</f>
        <v>0</v>
      </c>
      <c r="E48" s="1794">
        <f>审定权益表!E48</f>
        <v>0</v>
      </c>
      <c r="F48" s="1794">
        <f>审定权益表!F48</f>
        <v>0</v>
      </c>
      <c r="G48" s="1794">
        <f>审定权益表!G48</f>
        <v>0</v>
      </c>
      <c r="H48" s="1795">
        <f>审定权益表!H48</f>
        <v>0</v>
      </c>
    </row>
    <row r="49" ht="15" customHeight="1" spans="1:8">
      <c r="A49" s="1798" t="str">
        <f>审定权益表!A49</f>
        <v>4．其他</v>
      </c>
      <c r="B49" s="1794">
        <f>审定权益表!B49</f>
        <v>0</v>
      </c>
      <c r="C49" s="1794">
        <f>审定权益表!C49</f>
        <v>0</v>
      </c>
      <c r="D49" s="1794">
        <f>审定权益表!D49</f>
        <v>0</v>
      </c>
      <c r="E49" s="1794">
        <f>审定权益表!E49</f>
        <v>0</v>
      </c>
      <c r="F49" s="1794">
        <f>审定权益表!F49</f>
        <v>0</v>
      </c>
      <c r="G49" s="1794">
        <f>审定权益表!G49</f>
        <v>0</v>
      </c>
      <c r="H49" s="1795">
        <f>审定权益表!H49</f>
        <v>0</v>
      </c>
    </row>
    <row r="50" ht="15" customHeight="1" spans="1:8">
      <c r="A50" s="1793" t="str">
        <f>审定权益表!A50</f>
        <v>上述（一）和（二）小计</v>
      </c>
      <c r="B50" s="1797">
        <f>审定权益表!B50</f>
        <v>0</v>
      </c>
      <c r="C50" s="1797">
        <f>审定权益表!C50</f>
        <v>0</v>
      </c>
      <c r="D50" s="1797">
        <f>审定权益表!D50</f>
        <v>0</v>
      </c>
      <c r="E50" s="1797">
        <f>审定权益表!E50</f>
        <v>0</v>
      </c>
      <c r="F50" s="1797">
        <f>审定权益表!F50</f>
        <v>0</v>
      </c>
      <c r="G50" s="1797">
        <f>审定权益表!G50</f>
        <v>0</v>
      </c>
      <c r="H50" s="1795">
        <f>审定权益表!H50</f>
        <v>0</v>
      </c>
    </row>
    <row r="51" ht="15" customHeight="1" spans="1:8">
      <c r="A51" s="1793" t="str">
        <f>审定权益表!A51</f>
        <v>（三）所有者投入和减少资本</v>
      </c>
      <c r="B51" s="1797">
        <f>审定权益表!B51</f>
        <v>0</v>
      </c>
      <c r="C51" s="1797">
        <f>审定权益表!C51</f>
        <v>0</v>
      </c>
      <c r="D51" s="1797">
        <f>审定权益表!D51</f>
        <v>0</v>
      </c>
      <c r="E51" s="1797">
        <f>审定权益表!E51</f>
        <v>0</v>
      </c>
      <c r="F51" s="1797">
        <f>审定权益表!F51</f>
        <v>0</v>
      </c>
      <c r="G51" s="1797">
        <f>审定权益表!G51</f>
        <v>0</v>
      </c>
      <c r="H51" s="1795">
        <f>审定权益表!H51</f>
        <v>0</v>
      </c>
    </row>
    <row r="52" ht="15" customHeight="1" spans="1:8">
      <c r="A52" s="1798" t="str">
        <f>审定权益表!A52</f>
        <v>1．所有者投入资本</v>
      </c>
      <c r="B52" s="1794">
        <f>审定权益表!B52</f>
        <v>0</v>
      </c>
      <c r="C52" s="1794">
        <f>审定权益表!C52</f>
        <v>0</v>
      </c>
      <c r="D52" s="1794">
        <f>审定权益表!D52</f>
        <v>0</v>
      </c>
      <c r="E52" s="1794">
        <f>审定权益表!E52</f>
        <v>0</v>
      </c>
      <c r="F52" s="1794">
        <f>审定权益表!F52</f>
        <v>0</v>
      </c>
      <c r="G52" s="1794">
        <f>审定权益表!G52</f>
        <v>0</v>
      </c>
      <c r="H52" s="1795">
        <f>审定权益表!H52</f>
        <v>0</v>
      </c>
    </row>
    <row r="53" ht="15" customHeight="1" spans="1:8">
      <c r="A53" s="1798" t="str">
        <f>审定权益表!A53</f>
        <v>2．股份支付计入所有者权益的金额</v>
      </c>
      <c r="B53" s="1794">
        <f>审定权益表!B53</f>
        <v>0</v>
      </c>
      <c r="C53" s="1794">
        <f>审定权益表!C53</f>
        <v>0</v>
      </c>
      <c r="D53" s="1794">
        <f>审定权益表!D53</f>
        <v>0</v>
      </c>
      <c r="E53" s="1794">
        <f>审定权益表!E53</f>
        <v>0</v>
      </c>
      <c r="F53" s="1794">
        <f>审定权益表!F53</f>
        <v>0</v>
      </c>
      <c r="G53" s="1794">
        <f>审定权益表!G53</f>
        <v>0</v>
      </c>
      <c r="H53" s="1795">
        <f>审定权益表!H53</f>
        <v>0</v>
      </c>
    </row>
    <row r="54" ht="15" customHeight="1" spans="1:8">
      <c r="A54" s="1798" t="str">
        <f>审定权益表!A54</f>
        <v>3．其他</v>
      </c>
      <c r="B54" s="1794">
        <f>审定权益表!B54</f>
        <v>0</v>
      </c>
      <c r="C54" s="1794">
        <f>审定权益表!C54</f>
        <v>0</v>
      </c>
      <c r="D54" s="1794">
        <f>审定权益表!D54</f>
        <v>0</v>
      </c>
      <c r="E54" s="1794">
        <f>审定权益表!E54</f>
        <v>0</v>
      </c>
      <c r="F54" s="1794">
        <f>审定权益表!F54</f>
        <v>0</v>
      </c>
      <c r="G54" s="1794">
        <f>审定权益表!G54</f>
        <v>0</v>
      </c>
      <c r="H54" s="1795">
        <f>审定权益表!H54</f>
        <v>0</v>
      </c>
    </row>
    <row r="55" ht="15" customHeight="1" spans="1:8">
      <c r="A55" s="1793" t="str">
        <f>审定权益表!A55</f>
        <v>（四）利润分配</v>
      </c>
      <c r="B55" s="1797">
        <f>审定权益表!B55</f>
        <v>0</v>
      </c>
      <c r="C55" s="1797">
        <f>审定权益表!C55</f>
        <v>0</v>
      </c>
      <c r="D55" s="1797">
        <f>审定权益表!D55</f>
        <v>0</v>
      </c>
      <c r="E55" s="1797">
        <f>审定权益表!E55</f>
        <v>0</v>
      </c>
      <c r="F55" s="1797">
        <f>审定权益表!F55</f>
        <v>0</v>
      </c>
      <c r="G55" s="1797">
        <f>审定权益表!G55</f>
        <v>0</v>
      </c>
      <c r="H55" s="1795">
        <f>审定权益表!H55</f>
        <v>0</v>
      </c>
    </row>
    <row r="56" ht="15" customHeight="1" spans="1:8">
      <c r="A56" s="1798" t="str">
        <f>审定权益表!A56</f>
        <v>1．提取盈余公积</v>
      </c>
      <c r="B56" s="1794">
        <f>审定权益表!B56</f>
        <v>0</v>
      </c>
      <c r="C56" s="1794">
        <f>审定权益表!C56</f>
        <v>0</v>
      </c>
      <c r="D56" s="1794">
        <f>审定权益表!D56</f>
        <v>0</v>
      </c>
      <c r="E56" s="1794">
        <f>审定权益表!E56</f>
        <v>0</v>
      </c>
      <c r="F56" s="1794">
        <f>审定权益表!F56</f>
        <v>0</v>
      </c>
      <c r="G56" s="1794">
        <f>审定权益表!G56</f>
        <v>0</v>
      </c>
      <c r="H56" s="1795">
        <f>审定权益表!H56</f>
        <v>0</v>
      </c>
    </row>
    <row r="57" ht="15" customHeight="1" spans="1:8">
      <c r="A57" s="1798" t="str">
        <f>审定权益表!A57</f>
        <v>2．对所有者（或股东）的分配</v>
      </c>
      <c r="B57" s="1794">
        <f>审定权益表!B57</f>
        <v>0</v>
      </c>
      <c r="C57" s="1794">
        <f>审定权益表!C57</f>
        <v>0</v>
      </c>
      <c r="D57" s="1794">
        <f>审定权益表!D57</f>
        <v>0</v>
      </c>
      <c r="E57" s="1794">
        <f>审定权益表!E57</f>
        <v>0</v>
      </c>
      <c r="F57" s="1794">
        <f>审定权益表!F57</f>
        <v>0</v>
      </c>
      <c r="G57" s="1794">
        <f>审定权益表!G57</f>
        <v>0</v>
      </c>
      <c r="H57" s="1795">
        <f>审定权益表!H57</f>
        <v>0</v>
      </c>
    </row>
    <row r="58" ht="15" customHeight="1" spans="1:8">
      <c r="A58" s="1798" t="str">
        <f>审定权益表!A58</f>
        <v>3．其他</v>
      </c>
      <c r="B58" s="1794">
        <f>审定权益表!B58</f>
        <v>0</v>
      </c>
      <c r="C58" s="1794">
        <f>审定权益表!C58</f>
        <v>0</v>
      </c>
      <c r="D58" s="1794">
        <f>审定权益表!D58</f>
        <v>0</v>
      </c>
      <c r="E58" s="1794">
        <f>审定权益表!E58</f>
        <v>0</v>
      </c>
      <c r="F58" s="1794">
        <f>审定权益表!F58</f>
        <v>0</v>
      </c>
      <c r="G58" s="1794">
        <f>审定权益表!G58</f>
        <v>0</v>
      </c>
      <c r="H58" s="1795">
        <f>审定权益表!H58</f>
        <v>0</v>
      </c>
    </row>
    <row r="59" ht="15" customHeight="1" spans="1:8">
      <c r="A59" s="1793" t="str">
        <f>审定权益表!A59</f>
        <v>（五）所有者权益内部结转</v>
      </c>
      <c r="B59" s="1797">
        <f>审定权益表!B59</f>
        <v>0</v>
      </c>
      <c r="C59" s="1797">
        <f>审定权益表!C59</f>
        <v>0</v>
      </c>
      <c r="D59" s="1797">
        <f>审定权益表!D59</f>
        <v>0</v>
      </c>
      <c r="E59" s="1797">
        <f>审定权益表!E59</f>
        <v>0</v>
      </c>
      <c r="F59" s="1797">
        <f>审定权益表!F59</f>
        <v>0</v>
      </c>
      <c r="G59" s="1797">
        <f>审定权益表!G59</f>
        <v>0</v>
      </c>
      <c r="H59" s="1795">
        <f>审定权益表!H59</f>
        <v>0</v>
      </c>
    </row>
    <row r="60" ht="15" customHeight="1" spans="1:8">
      <c r="A60" s="1798" t="str">
        <f>审定权益表!A60</f>
        <v>1．资本公积转增资本（或股本）</v>
      </c>
      <c r="B60" s="1794">
        <f>审定权益表!B60</f>
        <v>0</v>
      </c>
      <c r="C60" s="1794">
        <f>审定权益表!C60</f>
        <v>0</v>
      </c>
      <c r="D60" s="1794">
        <f>审定权益表!D60</f>
        <v>0</v>
      </c>
      <c r="E60" s="1794">
        <f>审定权益表!E60</f>
        <v>0</v>
      </c>
      <c r="F60" s="1794">
        <f>审定权益表!F60</f>
        <v>0</v>
      </c>
      <c r="G60" s="1794">
        <f>审定权益表!G60</f>
        <v>0</v>
      </c>
      <c r="H60" s="1795">
        <f>审定权益表!H60</f>
        <v>0</v>
      </c>
    </row>
    <row r="61" ht="15" customHeight="1" spans="1:8">
      <c r="A61" s="1798" t="str">
        <f>审定权益表!A61</f>
        <v>2．盈余公积转增资本（或股本）</v>
      </c>
      <c r="B61" s="1794">
        <f>审定权益表!B61</f>
        <v>0</v>
      </c>
      <c r="C61" s="1794">
        <f>审定权益表!C61</f>
        <v>0</v>
      </c>
      <c r="D61" s="1794">
        <f>审定权益表!D61</f>
        <v>0</v>
      </c>
      <c r="E61" s="1794">
        <f>审定权益表!E61</f>
        <v>0</v>
      </c>
      <c r="F61" s="1794">
        <f>审定权益表!F61</f>
        <v>0</v>
      </c>
      <c r="G61" s="1794">
        <f>审定权益表!G61</f>
        <v>0</v>
      </c>
      <c r="H61" s="1795">
        <f>审定权益表!H61</f>
        <v>0</v>
      </c>
    </row>
    <row r="62" ht="15" customHeight="1" spans="1:8">
      <c r="A62" s="1798" t="str">
        <f>审定权益表!A62</f>
        <v>3．盈余公积弥补亏损</v>
      </c>
      <c r="B62" s="1794">
        <f>审定权益表!B62</f>
        <v>0</v>
      </c>
      <c r="C62" s="1794">
        <f>审定权益表!C62</f>
        <v>0</v>
      </c>
      <c r="D62" s="1794">
        <f>审定权益表!D62</f>
        <v>0</v>
      </c>
      <c r="E62" s="1794">
        <f>审定权益表!E62</f>
        <v>0</v>
      </c>
      <c r="F62" s="1794">
        <f>审定权益表!F62</f>
        <v>0</v>
      </c>
      <c r="G62" s="1794">
        <f>审定权益表!G62</f>
        <v>0</v>
      </c>
      <c r="H62" s="1795">
        <f>审定权益表!H62</f>
        <v>0</v>
      </c>
    </row>
    <row r="63" ht="15" customHeight="1" spans="1:8">
      <c r="A63" s="1798" t="str">
        <f>审定权益表!A63</f>
        <v>4．其他</v>
      </c>
      <c r="B63" s="1794">
        <f>审定权益表!B63</f>
        <v>0</v>
      </c>
      <c r="C63" s="1794">
        <f>审定权益表!C63</f>
        <v>0</v>
      </c>
      <c r="D63" s="1794">
        <f>审定权益表!D63</f>
        <v>0</v>
      </c>
      <c r="E63" s="1794">
        <f>审定权益表!E63</f>
        <v>0</v>
      </c>
      <c r="F63" s="1794">
        <f>审定权益表!F63</f>
        <v>0</v>
      </c>
      <c r="G63" s="1794">
        <f>审定权益表!G63</f>
        <v>0</v>
      </c>
      <c r="H63" s="1795">
        <f>审定权益表!H63</f>
        <v>0</v>
      </c>
    </row>
    <row r="64" ht="15" customHeight="1" spans="1:8">
      <c r="A64" s="1799" t="str">
        <f>审定权益表!A64</f>
        <v>四、本年年末余额</v>
      </c>
      <c r="B64" s="1800">
        <f>审定权益表!B64</f>
        <v>0</v>
      </c>
      <c r="C64" s="1800">
        <f>审定权益表!C64</f>
        <v>0</v>
      </c>
      <c r="D64" s="1800">
        <f>审定权益表!D64</f>
        <v>0</v>
      </c>
      <c r="E64" s="1800">
        <f>审定权益表!E64</f>
        <v>0</v>
      </c>
      <c r="F64" s="1800">
        <f>审定权益表!F64</f>
        <v>0</v>
      </c>
      <c r="G64" s="1800">
        <f>审定权益表!G64</f>
        <v>0</v>
      </c>
      <c r="H64" s="1801">
        <f>审定权益表!H64</f>
        <v>0</v>
      </c>
    </row>
    <row r="65" ht="15"/>
  </sheetData>
  <sheetProtection selectLockedCells="1" selectUnlockedCells="1"/>
  <mergeCells count="6">
    <mergeCell ref="A1:H1"/>
    <mergeCell ref="A33:H33"/>
    <mergeCell ref="A4:A6"/>
    <mergeCell ref="A36:A38"/>
    <mergeCell ref="B36:H37"/>
    <mergeCell ref="B4:H5"/>
  </mergeCells>
  <conditionalFormatting sqref="B9:G9">
    <cfRule type="cellIs" dxfId="3" priority="3" stopIfTrue="1" operator="notEqual">
      <formula>0</formula>
    </cfRule>
  </conditionalFormatting>
  <conditionalFormatting sqref="A2 A34">
    <cfRule type="cellIs" dxfId="1" priority="1" stopIfTrue="1" operator="notEqual">
      <formula>""</formula>
    </cfRule>
  </conditionalFormatting>
  <conditionalFormatting sqref="B2:G2 B34:G34">
    <cfRule type="cellIs" dxfId="1" priority="2" stopIfTrue="1" operator="notEqual">
      <formula>0</formula>
    </cfRule>
  </conditionalFormatting>
  <printOptions horizontalCentered="1"/>
  <pageMargins left="0.590551181102362" right="0.590551181102362" top="0.590551181102362" bottom="0.94488188976378" header="0.275590551181102" footer="0.708661417322835"/>
  <pageSetup paperSize="9" scale="95" orientation="landscape" blackAndWhite="1"/>
  <headerFooter>
    <oddFooter>&amp;L&amp;10企业负责人:&amp;C&amp;10会计机构负责人:&amp;R&amp;10制表人:</oddFooter>
  </headerFooter>
  <rowBreaks count="1" manualBreakCount="1">
    <brk id="32" max="16383" man="1"/>
  </rowBreak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IN189"/>
  <sheetViews>
    <sheetView view="pageBreakPreview" zoomScaleNormal="100" zoomScaleSheetLayoutView="100" workbookViewId="0">
      <pane xSplit="1" ySplit="4" topLeftCell="B5" activePane="bottomRight" state="frozen"/>
      <selection/>
      <selection pane="topRight"/>
      <selection pane="bottomLeft"/>
      <selection pane="bottomRight" activeCell="C20" sqref="C20"/>
    </sheetView>
  </sheetViews>
  <sheetFormatPr defaultColWidth="9" defaultRowHeight="14.25"/>
  <cols>
    <col min="1" max="1" width="29.625" style="1712" customWidth="1"/>
    <col min="2" max="3" width="11.25" style="1713" customWidth="1"/>
    <col min="4" max="4" width="8.25" style="1713" hidden="1" customWidth="1" outlineLevel="1"/>
    <col min="5" max="5" width="11.75" style="1713" hidden="1" customWidth="1" outlineLevel="1"/>
    <col min="6" max="6" width="7.625" style="1713" hidden="1" customWidth="1" outlineLevel="1"/>
    <col min="7" max="7" width="7.375" style="1713" hidden="1" customWidth="1" outlineLevel="1"/>
    <col min="8" max="8" width="18.5" style="1712" customWidth="1" collapsed="1"/>
    <col min="9" max="9" width="17" style="1712" customWidth="1"/>
    <col min="10" max="10" width="14.25" style="1714" customWidth="1"/>
    <col min="11" max="11" width="13.25" style="1712" customWidth="1"/>
    <col min="12" max="12" width="14.125" style="1712" customWidth="1"/>
    <col min="13" max="252" width="9" style="1712"/>
    <col min="253" max="253" width="33.25" style="1712" customWidth="1"/>
    <col min="254" max="255" width="11.375" style="1712" customWidth="1"/>
    <col min="256" max="256" width="10" style="1712" customWidth="1"/>
    <col min="257" max="257" width="8.25" style="1712" customWidth="1"/>
    <col min="258" max="258" width="7.5" style="1712" customWidth="1"/>
    <col min="259" max="259" width="32" style="1712" customWidth="1"/>
    <col min="260" max="260" width="10.25" style="1712" customWidth="1"/>
    <col min="261" max="261" width="10.125" style="1712" customWidth="1"/>
    <col min="262" max="262" width="12.25" style="1712" customWidth="1"/>
    <col min="263" max="263" width="21" style="1712" customWidth="1"/>
    <col min="264" max="508" width="9" style="1712"/>
    <col min="509" max="509" width="33.25" style="1712" customWidth="1"/>
    <col min="510" max="511" width="11.375" style="1712" customWidth="1"/>
    <col min="512" max="512" width="10" style="1712" customWidth="1"/>
    <col min="513" max="513" width="8.25" style="1712" customWidth="1"/>
    <col min="514" max="514" width="7.5" style="1712" customWidth="1"/>
    <col min="515" max="515" width="32" style="1712" customWidth="1"/>
    <col min="516" max="516" width="10.25" style="1712" customWidth="1"/>
    <col min="517" max="517" width="10.125" style="1712" customWidth="1"/>
    <col min="518" max="518" width="12.25" style="1712" customWidth="1"/>
    <col min="519" max="519" width="21" style="1712" customWidth="1"/>
    <col min="520" max="764" width="9" style="1712"/>
    <col min="765" max="765" width="33.25" style="1712" customWidth="1"/>
    <col min="766" max="767" width="11.375" style="1712" customWidth="1"/>
    <col min="768" max="768" width="10" style="1712" customWidth="1"/>
    <col min="769" max="769" width="8.25" style="1712" customWidth="1"/>
    <col min="770" max="770" width="7.5" style="1712" customWidth="1"/>
    <col min="771" max="771" width="32" style="1712" customWidth="1"/>
    <col min="772" max="772" width="10.25" style="1712" customWidth="1"/>
    <col min="773" max="773" width="10.125" style="1712" customWidth="1"/>
    <col min="774" max="774" width="12.25" style="1712" customWidth="1"/>
    <col min="775" max="775" width="21" style="1712" customWidth="1"/>
    <col min="776" max="1020" width="9" style="1712"/>
    <col min="1021" max="1021" width="33.25" style="1712" customWidth="1"/>
    <col min="1022" max="1023" width="11.375" style="1712" customWidth="1"/>
    <col min="1024" max="1024" width="10" style="1712" customWidth="1"/>
    <col min="1025" max="1025" width="8.25" style="1712" customWidth="1"/>
    <col min="1026" max="1026" width="7.5" style="1712" customWidth="1"/>
    <col min="1027" max="1027" width="32" style="1712" customWidth="1"/>
    <col min="1028" max="1028" width="10.25" style="1712" customWidth="1"/>
    <col min="1029" max="1029" width="10.125" style="1712" customWidth="1"/>
    <col min="1030" max="1030" width="12.25" style="1712" customWidth="1"/>
    <col min="1031" max="1031" width="21" style="1712" customWidth="1"/>
    <col min="1032" max="1276" width="9" style="1712"/>
    <col min="1277" max="1277" width="33.25" style="1712" customWidth="1"/>
    <col min="1278" max="1279" width="11.375" style="1712" customWidth="1"/>
    <col min="1280" max="1280" width="10" style="1712" customWidth="1"/>
    <col min="1281" max="1281" width="8.25" style="1712" customWidth="1"/>
    <col min="1282" max="1282" width="7.5" style="1712" customWidth="1"/>
    <col min="1283" max="1283" width="32" style="1712" customWidth="1"/>
    <col min="1284" max="1284" width="10.25" style="1712" customWidth="1"/>
    <col min="1285" max="1285" width="10.125" style="1712" customWidth="1"/>
    <col min="1286" max="1286" width="12.25" style="1712" customWidth="1"/>
    <col min="1287" max="1287" width="21" style="1712" customWidth="1"/>
    <col min="1288" max="1532" width="9" style="1712"/>
    <col min="1533" max="1533" width="33.25" style="1712" customWidth="1"/>
    <col min="1534" max="1535" width="11.375" style="1712" customWidth="1"/>
    <col min="1536" max="1536" width="10" style="1712" customWidth="1"/>
    <col min="1537" max="1537" width="8.25" style="1712" customWidth="1"/>
    <col min="1538" max="1538" width="7.5" style="1712" customWidth="1"/>
    <col min="1539" max="1539" width="32" style="1712" customWidth="1"/>
    <col min="1540" max="1540" width="10.25" style="1712" customWidth="1"/>
    <col min="1541" max="1541" width="10.125" style="1712" customWidth="1"/>
    <col min="1542" max="1542" width="12.25" style="1712" customWidth="1"/>
    <col min="1543" max="1543" width="21" style="1712" customWidth="1"/>
    <col min="1544" max="1788" width="9" style="1712"/>
    <col min="1789" max="1789" width="33.25" style="1712" customWidth="1"/>
    <col min="1790" max="1791" width="11.375" style="1712" customWidth="1"/>
    <col min="1792" max="1792" width="10" style="1712" customWidth="1"/>
    <col min="1793" max="1793" width="8.25" style="1712" customWidth="1"/>
    <col min="1794" max="1794" width="7.5" style="1712" customWidth="1"/>
    <col min="1795" max="1795" width="32" style="1712" customWidth="1"/>
    <col min="1796" max="1796" width="10.25" style="1712" customWidth="1"/>
    <col min="1797" max="1797" width="10.125" style="1712" customWidth="1"/>
    <col min="1798" max="1798" width="12.25" style="1712" customWidth="1"/>
    <col min="1799" max="1799" width="21" style="1712" customWidth="1"/>
    <col min="1800" max="2044" width="9" style="1712"/>
    <col min="2045" max="2045" width="33.25" style="1712" customWidth="1"/>
    <col min="2046" max="2047" width="11.375" style="1712" customWidth="1"/>
    <col min="2048" max="2048" width="10" style="1712" customWidth="1"/>
    <col min="2049" max="2049" width="8.25" style="1712" customWidth="1"/>
    <col min="2050" max="2050" width="7.5" style="1712" customWidth="1"/>
    <col min="2051" max="2051" width="32" style="1712" customWidth="1"/>
    <col min="2052" max="2052" width="10.25" style="1712" customWidth="1"/>
    <col min="2053" max="2053" width="10.125" style="1712" customWidth="1"/>
    <col min="2054" max="2054" width="12.25" style="1712" customWidth="1"/>
    <col min="2055" max="2055" width="21" style="1712" customWidth="1"/>
    <col min="2056" max="2300" width="9" style="1712"/>
    <col min="2301" max="2301" width="33.25" style="1712" customWidth="1"/>
    <col min="2302" max="2303" width="11.375" style="1712" customWidth="1"/>
    <col min="2304" max="2304" width="10" style="1712" customWidth="1"/>
    <col min="2305" max="2305" width="8.25" style="1712" customWidth="1"/>
    <col min="2306" max="2306" width="7.5" style="1712" customWidth="1"/>
    <col min="2307" max="2307" width="32" style="1712" customWidth="1"/>
    <col min="2308" max="2308" width="10.25" style="1712" customWidth="1"/>
    <col min="2309" max="2309" width="10.125" style="1712" customWidth="1"/>
    <col min="2310" max="2310" width="12.25" style="1712" customWidth="1"/>
    <col min="2311" max="2311" width="21" style="1712" customWidth="1"/>
    <col min="2312" max="2556" width="9" style="1712"/>
    <col min="2557" max="2557" width="33.25" style="1712" customWidth="1"/>
    <col min="2558" max="2559" width="11.375" style="1712" customWidth="1"/>
    <col min="2560" max="2560" width="10" style="1712" customWidth="1"/>
    <col min="2561" max="2561" width="8.25" style="1712" customWidth="1"/>
    <col min="2562" max="2562" width="7.5" style="1712" customWidth="1"/>
    <col min="2563" max="2563" width="32" style="1712" customWidth="1"/>
    <col min="2564" max="2564" width="10.25" style="1712" customWidth="1"/>
    <col min="2565" max="2565" width="10.125" style="1712" customWidth="1"/>
    <col min="2566" max="2566" width="12.25" style="1712" customWidth="1"/>
    <col min="2567" max="2567" width="21" style="1712" customWidth="1"/>
    <col min="2568" max="2812" width="9" style="1712"/>
    <col min="2813" max="2813" width="33.25" style="1712" customWidth="1"/>
    <col min="2814" max="2815" width="11.375" style="1712" customWidth="1"/>
    <col min="2816" max="2816" width="10" style="1712" customWidth="1"/>
    <col min="2817" max="2817" width="8.25" style="1712" customWidth="1"/>
    <col min="2818" max="2818" width="7.5" style="1712" customWidth="1"/>
    <col min="2819" max="2819" width="32" style="1712" customWidth="1"/>
    <col min="2820" max="2820" width="10.25" style="1712" customWidth="1"/>
    <col min="2821" max="2821" width="10.125" style="1712" customWidth="1"/>
    <col min="2822" max="2822" width="12.25" style="1712" customWidth="1"/>
    <col min="2823" max="2823" width="21" style="1712" customWidth="1"/>
    <col min="2824" max="3068" width="9" style="1712"/>
    <col min="3069" max="3069" width="33.25" style="1712" customWidth="1"/>
    <col min="3070" max="3071" width="11.375" style="1712" customWidth="1"/>
    <col min="3072" max="3072" width="10" style="1712" customWidth="1"/>
    <col min="3073" max="3073" width="8.25" style="1712" customWidth="1"/>
    <col min="3074" max="3074" width="7.5" style="1712" customWidth="1"/>
    <col min="3075" max="3075" width="32" style="1712" customWidth="1"/>
    <col min="3076" max="3076" width="10.25" style="1712" customWidth="1"/>
    <col min="3077" max="3077" width="10.125" style="1712" customWidth="1"/>
    <col min="3078" max="3078" width="12.25" style="1712" customWidth="1"/>
    <col min="3079" max="3079" width="21" style="1712" customWidth="1"/>
    <col min="3080" max="3324" width="9" style="1712"/>
    <col min="3325" max="3325" width="33.25" style="1712" customWidth="1"/>
    <col min="3326" max="3327" width="11.375" style="1712" customWidth="1"/>
    <col min="3328" max="3328" width="10" style="1712" customWidth="1"/>
    <col min="3329" max="3329" width="8.25" style="1712" customWidth="1"/>
    <col min="3330" max="3330" width="7.5" style="1712" customWidth="1"/>
    <col min="3331" max="3331" width="32" style="1712" customWidth="1"/>
    <col min="3332" max="3332" width="10.25" style="1712" customWidth="1"/>
    <col min="3333" max="3333" width="10.125" style="1712" customWidth="1"/>
    <col min="3334" max="3334" width="12.25" style="1712" customWidth="1"/>
    <col min="3335" max="3335" width="21" style="1712" customWidth="1"/>
    <col min="3336" max="3580" width="9" style="1712"/>
    <col min="3581" max="3581" width="33.25" style="1712" customWidth="1"/>
    <col min="3582" max="3583" width="11.375" style="1712" customWidth="1"/>
    <col min="3584" max="3584" width="10" style="1712" customWidth="1"/>
    <col min="3585" max="3585" width="8.25" style="1712" customWidth="1"/>
    <col min="3586" max="3586" width="7.5" style="1712" customWidth="1"/>
    <col min="3587" max="3587" width="32" style="1712" customWidth="1"/>
    <col min="3588" max="3588" width="10.25" style="1712" customWidth="1"/>
    <col min="3589" max="3589" width="10.125" style="1712" customWidth="1"/>
    <col min="3590" max="3590" width="12.25" style="1712" customWidth="1"/>
    <col min="3591" max="3591" width="21" style="1712" customWidth="1"/>
    <col min="3592" max="3836" width="9" style="1712"/>
    <col min="3837" max="3837" width="33.25" style="1712" customWidth="1"/>
    <col min="3838" max="3839" width="11.375" style="1712" customWidth="1"/>
    <col min="3840" max="3840" width="10" style="1712" customWidth="1"/>
    <col min="3841" max="3841" width="8.25" style="1712" customWidth="1"/>
    <col min="3842" max="3842" width="7.5" style="1712" customWidth="1"/>
    <col min="3843" max="3843" width="32" style="1712" customWidth="1"/>
    <col min="3844" max="3844" width="10.25" style="1712" customWidth="1"/>
    <col min="3845" max="3845" width="10.125" style="1712" customWidth="1"/>
    <col min="3846" max="3846" width="12.25" style="1712" customWidth="1"/>
    <col min="3847" max="3847" width="21" style="1712" customWidth="1"/>
    <col min="3848" max="4092" width="9" style="1712"/>
    <col min="4093" max="4093" width="33.25" style="1712" customWidth="1"/>
    <col min="4094" max="4095" width="11.375" style="1712" customWidth="1"/>
    <col min="4096" max="4096" width="10" style="1712" customWidth="1"/>
    <col min="4097" max="4097" width="8.25" style="1712" customWidth="1"/>
    <col min="4098" max="4098" width="7.5" style="1712" customWidth="1"/>
    <col min="4099" max="4099" width="32" style="1712" customWidth="1"/>
    <col min="4100" max="4100" width="10.25" style="1712" customWidth="1"/>
    <col min="4101" max="4101" width="10.125" style="1712" customWidth="1"/>
    <col min="4102" max="4102" width="12.25" style="1712" customWidth="1"/>
    <col min="4103" max="4103" width="21" style="1712" customWidth="1"/>
    <col min="4104" max="4348" width="9" style="1712"/>
    <col min="4349" max="4349" width="33.25" style="1712" customWidth="1"/>
    <col min="4350" max="4351" width="11.375" style="1712" customWidth="1"/>
    <col min="4352" max="4352" width="10" style="1712" customWidth="1"/>
    <col min="4353" max="4353" width="8.25" style="1712" customWidth="1"/>
    <col min="4354" max="4354" width="7.5" style="1712" customWidth="1"/>
    <col min="4355" max="4355" width="32" style="1712" customWidth="1"/>
    <col min="4356" max="4356" width="10.25" style="1712" customWidth="1"/>
    <col min="4357" max="4357" width="10.125" style="1712" customWidth="1"/>
    <col min="4358" max="4358" width="12.25" style="1712" customWidth="1"/>
    <col min="4359" max="4359" width="21" style="1712" customWidth="1"/>
    <col min="4360" max="4604" width="9" style="1712"/>
    <col min="4605" max="4605" width="33.25" style="1712" customWidth="1"/>
    <col min="4606" max="4607" width="11.375" style="1712" customWidth="1"/>
    <col min="4608" max="4608" width="10" style="1712" customWidth="1"/>
    <col min="4609" max="4609" width="8.25" style="1712" customWidth="1"/>
    <col min="4610" max="4610" width="7.5" style="1712" customWidth="1"/>
    <col min="4611" max="4611" width="32" style="1712" customWidth="1"/>
    <col min="4612" max="4612" width="10.25" style="1712" customWidth="1"/>
    <col min="4613" max="4613" width="10.125" style="1712" customWidth="1"/>
    <col min="4614" max="4614" width="12.25" style="1712" customWidth="1"/>
    <col min="4615" max="4615" width="21" style="1712" customWidth="1"/>
    <col min="4616" max="4860" width="9" style="1712"/>
    <col min="4861" max="4861" width="33.25" style="1712" customWidth="1"/>
    <col min="4862" max="4863" width="11.375" style="1712" customWidth="1"/>
    <col min="4864" max="4864" width="10" style="1712" customWidth="1"/>
    <col min="4865" max="4865" width="8.25" style="1712" customWidth="1"/>
    <col min="4866" max="4866" width="7.5" style="1712" customWidth="1"/>
    <col min="4867" max="4867" width="32" style="1712" customWidth="1"/>
    <col min="4868" max="4868" width="10.25" style="1712" customWidth="1"/>
    <col min="4869" max="4869" width="10.125" style="1712" customWidth="1"/>
    <col min="4870" max="4870" width="12.25" style="1712" customWidth="1"/>
    <col min="4871" max="4871" width="21" style="1712" customWidth="1"/>
    <col min="4872" max="5116" width="9" style="1712"/>
    <col min="5117" max="5117" width="33.25" style="1712" customWidth="1"/>
    <col min="5118" max="5119" width="11.375" style="1712" customWidth="1"/>
    <col min="5120" max="5120" width="10" style="1712" customWidth="1"/>
    <col min="5121" max="5121" width="8.25" style="1712" customWidth="1"/>
    <col min="5122" max="5122" width="7.5" style="1712" customWidth="1"/>
    <col min="5123" max="5123" width="32" style="1712" customWidth="1"/>
    <col min="5124" max="5124" width="10.25" style="1712" customWidth="1"/>
    <col min="5125" max="5125" width="10.125" style="1712" customWidth="1"/>
    <col min="5126" max="5126" width="12.25" style="1712" customWidth="1"/>
    <col min="5127" max="5127" width="21" style="1712" customWidth="1"/>
    <col min="5128" max="5372" width="9" style="1712"/>
    <col min="5373" max="5373" width="33.25" style="1712" customWidth="1"/>
    <col min="5374" max="5375" width="11.375" style="1712" customWidth="1"/>
    <col min="5376" max="5376" width="10" style="1712" customWidth="1"/>
    <col min="5377" max="5377" width="8.25" style="1712" customWidth="1"/>
    <col min="5378" max="5378" width="7.5" style="1712" customWidth="1"/>
    <col min="5379" max="5379" width="32" style="1712" customWidth="1"/>
    <col min="5380" max="5380" width="10.25" style="1712" customWidth="1"/>
    <col min="5381" max="5381" width="10.125" style="1712" customWidth="1"/>
    <col min="5382" max="5382" width="12.25" style="1712" customWidth="1"/>
    <col min="5383" max="5383" width="21" style="1712" customWidth="1"/>
    <col min="5384" max="5628" width="9" style="1712"/>
    <col min="5629" max="5629" width="33.25" style="1712" customWidth="1"/>
    <col min="5630" max="5631" width="11.375" style="1712" customWidth="1"/>
    <col min="5632" max="5632" width="10" style="1712" customWidth="1"/>
    <col min="5633" max="5633" width="8.25" style="1712" customWidth="1"/>
    <col min="5634" max="5634" width="7.5" style="1712" customWidth="1"/>
    <col min="5635" max="5635" width="32" style="1712" customWidth="1"/>
    <col min="5636" max="5636" width="10.25" style="1712" customWidth="1"/>
    <col min="5637" max="5637" width="10.125" style="1712" customWidth="1"/>
    <col min="5638" max="5638" width="12.25" style="1712" customWidth="1"/>
    <col min="5639" max="5639" width="21" style="1712" customWidth="1"/>
    <col min="5640" max="5884" width="9" style="1712"/>
    <col min="5885" max="5885" width="33.25" style="1712" customWidth="1"/>
    <col min="5886" max="5887" width="11.375" style="1712" customWidth="1"/>
    <col min="5888" max="5888" width="10" style="1712" customWidth="1"/>
    <col min="5889" max="5889" width="8.25" style="1712" customWidth="1"/>
    <col min="5890" max="5890" width="7.5" style="1712" customWidth="1"/>
    <col min="5891" max="5891" width="32" style="1712" customWidth="1"/>
    <col min="5892" max="5892" width="10.25" style="1712" customWidth="1"/>
    <col min="5893" max="5893" width="10.125" style="1712" customWidth="1"/>
    <col min="5894" max="5894" width="12.25" style="1712" customWidth="1"/>
    <col min="5895" max="5895" width="21" style="1712" customWidth="1"/>
    <col min="5896" max="6140" width="9" style="1712"/>
    <col min="6141" max="6141" width="33.25" style="1712" customWidth="1"/>
    <col min="6142" max="6143" width="11.375" style="1712" customWidth="1"/>
    <col min="6144" max="6144" width="10" style="1712" customWidth="1"/>
    <col min="6145" max="6145" width="8.25" style="1712" customWidth="1"/>
    <col min="6146" max="6146" width="7.5" style="1712" customWidth="1"/>
    <col min="6147" max="6147" width="32" style="1712" customWidth="1"/>
    <col min="6148" max="6148" width="10.25" style="1712" customWidth="1"/>
    <col min="6149" max="6149" width="10.125" style="1712" customWidth="1"/>
    <col min="6150" max="6150" width="12.25" style="1712" customWidth="1"/>
    <col min="6151" max="6151" width="21" style="1712" customWidth="1"/>
    <col min="6152" max="6396" width="9" style="1712"/>
    <col min="6397" max="6397" width="33.25" style="1712" customWidth="1"/>
    <col min="6398" max="6399" width="11.375" style="1712" customWidth="1"/>
    <col min="6400" max="6400" width="10" style="1712" customWidth="1"/>
    <col min="6401" max="6401" width="8.25" style="1712" customWidth="1"/>
    <col min="6402" max="6402" width="7.5" style="1712" customWidth="1"/>
    <col min="6403" max="6403" width="32" style="1712" customWidth="1"/>
    <col min="6404" max="6404" width="10.25" style="1712" customWidth="1"/>
    <col min="6405" max="6405" width="10.125" style="1712" customWidth="1"/>
    <col min="6406" max="6406" width="12.25" style="1712" customWidth="1"/>
    <col min="6407" max="6407" width="21" style="1712" customWidth="1"/>
    <col min="6408" max="6652" width="9" style="1712"/>
    <col min="6653" max="6653" width="33.25" style="1712" customWidth="1"/>
    <col min="6654" max="6655" width="11.375" style="1712" customWidth="1"/>
    <col min="6656" max="6656" width="10" style="1712" customWidth="1"/>
    <col min="6657" max="6657" width="8.25" style="1712" customWidth="1"/>
    <col min="6658" max="6658" width="7.5" style="1712" customWidth="1"/>
    <col min="6659" max="6659" width="32" style="1712" customWidth="1"/>
    <col min="6660" max="6660" width="10.25" style="1712" customWidth="1"/>
    <col min="6661" max="6661" width="10.125" style="1712" customWidth="1"/>
    <col min="6662" max="6662" width="12.25" style="1712" customWidth="1"/>
    <col min="6663" max="6663" width="21" style="1712" customWidth="1"/>
    <col min="6664" max="6908" width="9" style="1712"/>
    <col min="6909" max="6909" width="33.25" style="1712" customWidth="1"/>
    <col min="6910" max="6911" width="11.375" style="1712" customWidth="1"/>
    <col min="6912" max="6912" width="10" style="1712" customWidth="1"/>
    <col min="6913" max="6913" width="8.25" style="1712" customWidth="1"/>
    <col min="6914" max="6914" width="7.5" style="1712" customWidth="1"/>
    <col min="6915" max="6915" width="32" style="1712" customWidth="1"/>
    <col min="6916" max="6916" width="10.25" style="1712" customWidth="1"/>
    <col min="6917" max="6917" width="10.125" style="1712" customWidth="1"/>
    <col min="6918" max="6918" width="12.25" style="1712" customWidth="1"/>
    <col min="6919" max="6919" width="21" style="1712" customWidth="1"/>
    <col min="6920" max="7164" width="9" style="1712"/>
    <col min="7165" max="7165" width="33.25" style="1712" customWidth="1"/>
    <col min="7166" max="7167" width="11.375" style="1712" customWidth="1"/>
    <col min="7168" max="7168" width="10" style="1712" customWidth="1"/>
    <col min="7169" max="7169" width="8.25" style="1712" customWidth="1"/>
    <col min="7170" max="7170" width="7.5" style="1712" customWidth="1"/>
    <col min="7171" max="7171" width="32" style="1712" customWidth="1"/>
    <col min="7172" max="7172" width="10.25" style="1712" customWidth="1"/>
    <col min="7173" max="7173" width="10.125" style="1712" customWidth="1"/>
    <col min="7174" max="7174" width="12.25" style="1712" customWidth="1"/>
    <col min="7175" max="7175" width="21" style="1712" customWidth="1"/>
    <col min="7176" max="7420" width="9" style="1712"/>
    <col min="7421" max="7421" width="33.25" style="1712" customWidth="1"/>
    <col min="7422" max="7423" width="11.375" style="1712" customWidth="1"/>
    <col min="7424" max="7424" width="10" style="1712" customWidth="1"/>
    <col min="7425" max="7425" width="8.25" style="1712" customWidth="1"/>
    <col min="7426" max="7426" width="7.5" style="1712" customWidth="1"/>
    <col min="7427" max="7427" width="32" style="1712" customWidth="1"/>
    <col min="7428" max="7428" width="10.25" style="1712" customWidth="1"/>
    <col min="7429" max="7429" width="10.125" style="1712" customWidth="1"/>
    <col min="7430" max="7430" width="12.25" style="1712" customWidth="1"/>
    <col min="7431" max="7431" width="21" style="1712" customWidth="1"/>
    <col min="7432" max="7676" width="9" style="1712"/>
    <col min="7677" max="7677" width="33.25" style="1712" customWidth="1"/>
    <col min="7678" max="7679" width="11.375" style="1712" customWidth="1"/>
    <col min="7680" max="7680" width="10" style="1712" customWidth="1"/>
    <col min="7681" max="7681" width="8.25" style="1712" customWidth="1"/>
    <col min="7682" max="7682" width="7.5" style="1712" customWidth="1"/>
    <col min="7683" max="7683" width="32" style="1712" customWidth="1"/>
    <col min="7684" max="7684" width="10.25" style="1712" customWidth="1"/>
    <col min="7685" max="7685" width="10.125" style="1712" customWidth="1"/>
    <col min="7686" max="7686" width="12.25" style="1712" customWidth="1"/>
    <col min="7687" max="7687" width="21" style="1712" customWidth="1"/>
    <col min="7688" max="7932" width="9" style="1712"/>
    <col min="7933" max="7933" width="33.25" style="1712" customWidth="1"/>
    <col min="7934" max="7935" width="11.375" style="1712" customWidth="1"/>
    <col min="7936" max="7936" width="10" style="1712" customWidth="1"/>
    <col min="7937" max="7937" width="8.25" style="1712" customWidth="1"/>
    <col min="7938" max="7938" width="7.5" style="1712" customWidth="1"/>
    <col min="7939" max="7939" width="32" style="1712" customWidth="1"/>
    <col min="7940" max="7940" width="10.25" style="1712" customWidth="1"/>
    <col min="7941" max="7941" width="10.125" style="1712" customWidth="1"/>
    <col min="7942" max="7942" width="12.25" style="1712" customWidth="1"/>
    <col min="7943" max="7943" width="21" style="1712" customWidth="1"/>
    <col min="7944" max="8188" width="9" style="1712"/>
    <col min="8189" max="8189" width="33.25" style="1712" customWidth="1"/>
    <col min="8190" max="8191" width="11.375" style="1712" customWidth="1"/>
    <col min="8192" max="8192" width="10" style="1712" customWidth="1"/>
    <col min="8193" max="8193" width="8.25" style="1712" customWidth="1"/>
    <col min="8194" max="8194" width="7.5" style="1712" customWidth="1"/>
    <col min="8195" max="8195" width="32" style="1712" customWidth="1"/>
    <col min="8196" max="8196" width="10.25" style="1712" customWidth="1"/>
    <col min="8197" max="8197" width="10.125" style="1712" customWidth="1"/>
    <col min="8198" max="8198" width="12.25" style="1712" customWidth="1"/>
    <col min="8199" max="8199" width="21" style="1712" customWidth="1"/>
    <col min="8200" max="8444" width="9" style="1712"/>
    <col min="8445" max="8445" width="33.25" style="1712" customWidth="1"/>
    <col min="8446" max="8447" width="11.375" style="1712" customWidth="1"/>
    <col min="8448" max="8448" width="10" style="1712" customWidth="1"/>
    <col min="8449" max="8449" width="8.25" style="1712" customWidth="1"/>
    <col min="8450" max="8450" width="7.5" style="1712" customWidth="1"/>
    <col min="8451" max="8451" width="32" style="1712" customWidth="1"/>
    <col min="8452" max="8452" width="10.25" style="1712" customWidth="1"/>
    <col min="8453" max="8453" width="10.125" style="1712" customWidth="1"/>
    <col min="8454" max="8454" width="12.25" style="1712" customWidth="1"/>
    <col min="8455" max="8455" width="21" style="1712" customWidth="1"/>
    <col min="8456" max="8700" width="9" style="1712"/>
    <col min="8701" max="8701" width="33.25" style="1712" customWidth="1"/>
    <col min="8702" max="8703" width="11.375" style="1712" customWidth="1"/>
    <col min="8704" max="8704" width="10" style="1712" customWidth="1"/>
    <col min="8705" max="8705" width="8.25" style="1712" customWidth="1"/>
    <col min="8706" max="8706" width="7.5" style="1712" customWidth="1"/>
    <col min="8707" max="8707" width="32" style="1712" customWidth="1"/>
    <col min="8708" max="8708" width="10.25" style="1712" customWidth="1"/>
    <col min="8709" max="8709" width="10.125" style="1712" customWidth="1"/>
    <col min="8710" max="8710" width="12.25" style="1712" customWidth="1"/>
    <col min="8711" max="8711" width="21" style="1712" customWidth="1"/>
    <col min="8712" max="8956" width="9" style="1712"/>
    <col min="8957" max="8957" width="33.25" style="1712" customWidth="1"/>
    <col min="8958" max="8959" width="11.375" style="1712" customWidth="1"/>
    <col min="8960" max="8960" width="10" style="1712" customWidth="1"/>
    <col min="8961" max="8961" width="8.25" style="1712" customWidth="1"/>
    <col min="8962" max="8962" width="7.5" style="1712" customWidth="1"/>
    <col min="8963" max="8963" width="32" style="1712" customWidth="1"/>
    <col min="8964" max="8964" width="10.25" style="1712" customWidth="1"/>
    <col min="8965" max="8965" width="10.125" style="1712" customWidth="1"/>
    <col min="8966" max="8966" width="12.25" style="1712" customWidth="1"/>
    <col min="8967" max="8967" width="21" style="1712" customWidth="1"/>
    <col min="8968" max="9212" width="9" style="1712"/>
    <col min="9213" max="9213" width="33.25" style="1712" customWidth="1"/>
    <col min="9214" max="9215" width="11.375" style="1712" customWidth="1"/>
    <col min="9216" max="9216" width="10" style="1712" customWidth="1"/>
    <col min="9217" max="9217" width="8.25" style="1712" customWidth="1"/>
    <col min="9218" max="9218" width="7.5" style="1712" customWidth="1"/>
    <col min="9219" max="9219" width="32" style="1712" customWidth="1"/>
    <col min="9220" max="9220" width="10.25" style="1712" customWidth="1"/>
    <col min="9221" max="9221" width="10.125" style="1712" customWidth="1"/>
    <col min="9222" max="9222" width="12.25" style="1712" customWidth="1"/>
    <col min="9223" max="9223" width="21" style="1712" customWidth="1"/>
    <col min="9224" max="9468" width="9" style="1712"/>
    <col min="9469" max="9469" width="33.25" style="1712" customWidth="1"/>
    <col min="9470" max="9471" width="11.375" style="1712" customWidth="1"/>
    <col min="9472" max="9472" width="10" style="1712" customWidth="1"/>
    <col min="9473" max="9473" width="8.25" style="1712" customWidth="1"/>
    <col min="9474" max="9474" width="7.5" style="1712" customWidth="1"/>
    <col min="9475" max="9475" width="32" style="1712" customWidth="1"/>
    <col min="9476" max="9476" width="10.25" style="1712" customWidth="1"/>
    <col min="9477" max="9477" width="10.125" style="1712" customWidth="1"/>
    <col min="9478" max="9478" width="12.25" style="1712" customWidth="1"/>
    <col min="9479" max="9479" width="21" style="1712" customWidth="1"/>
    <col min="9480" max="9724" width="9" style="1712"/>
    <col min="9725" max="9725" width="33.25" style="1712" customWidth="1"/>
    <col min="9726" max="9727" width="11.375" style="1712" customWidth="1"/>
    <col min="9728" max="9728" width="10" style="1712" customWidth="1"/>
    <col min="9729" max="9729" width="8.25" style="1712" customWidth="1"/>
    <col min="9730" max="9730" width="7.5" style="1712" customWidth="1"/>
    <col min="9731" max="9731" width="32" style="1712" customWidth="1"/>
    <col min="9732" max="9732" width="10.25" style="1712" customWidth="1"/>
    <col min="9733" max="9733" width="10.125" style="1712" customWidth="1"/>
    <col min="9734" max="9734" width="12.25" style="1712" customWidth="1"/>
    <col min="9735" max="9735" width="21" style="1712" customWidth="1"/>
    <col min="9736" max="9980" width="9" style="1712"/>
    <col min="9981" max="9981" width="33.25" style="1712" customWidth="1"/>
    <col min="9982" max="9983" width="11.375" style="1712" customWidth="1"/>
    <col min="9984" max="9984" width="10" style="1712" customWidth="1"/>
    <col min="9985" max="9985" width="8.25" style="1712" customWidth="1"/>
    <col min="9986" max="9986" width="7.5" style="1712" customWidth="1"/>
    <col min="9987" max="9987" width="32" style="1712" customWidth="1"/>
    <col min="9988" max="9988" width="10.25" style="1712" customWidth="1"/>
    <col min="9989" max="9989" width="10.125" style="1712" customWidth="1"/>
    <col min="9990" max="9990" width="12.25" style="1712" customWidth="1"/>
    <col min="9991" max="9991" width="21" style="1712" customWidth="1"/>
    <col min="9992" max="10236" width="9" style="1712"/>
    <col min="10237" max="10237" width="33.25" style="1712" customWidth="1"/>
    <col min="10238" max="10239" width="11.375" style="1712" customWidth="1"/>
    <col min="10240" max="10240" width="10" style="1712" customWidth="1"/>
    <col min="10241" max="10241" width="8.25" style="1712" customWidth="1"/>
    <col min="10242" max="10242" width="7.5" style="1712" customWidth="1"/>
    <col min="10243" max="10243" width="32" style="1712" customWidth="1"/>
    <col min="10244" max="10244" width="10.25" style="1712" customWidth="1"/>
    <col min="10245" max="10245" width="10.125" style="1712" customWidth="1"/>
    <col min="10246" max="10246" width="12.25" style="1712" customWidth="1"/>
    <col min="10247" max="10247" width="21" style="1712" customWidth="1"/>
    <col min="10248" max="10492" width="9" style="1712"/>
    <col min="10493" max="10493" width="33.25" style="1712" customWidth="1"/>
    <col min="10494" max="10495" width="11.375" style="1712" customWidth="1"/>
    <col min="10496" max="10496" width="10" style="1712" customWidth="1"/>
    <col min="10497" max="10497" width="8.25" style="1712" customWidth="1"/>
    <col min="10498" max="10498" width="7.5" style="1712" customWidth="1"/>
    <col min="10499" max="10499" width="32" style="1712" customWidth="1"/>
    <col min="10500" max="10500" width="10.25" style="1712" customWidth="1"/>
    <col min="10501" max="10501" width="10.125" style="1712" customWidth="1"/>
    <col min="10502" max="10502" width="12.25" style="1712" customWidth="1"/>
    <col min="10503" max="10503" width="21" style="1712" customWidth="1"/>
    <col min="10504" max="10748" width="9" style="1712"/>
    <col min="10749" max="10749" width="33.25" style="1712" customWidth="1"/>
    <col min="10750" max="10751" width="11.375" style="1712" customWidth="1"/>
    <col min="10752" max="10752" width="10" style="1712" customWidth="1"/>
    <col min="10753" max="10753" width="8.25" style="1712" customWidth="1"/>
    <col min="10754" max="10754" width="7.5" style="1712" customWidth="1"/>
    <col min="10755" max="10755" width="32" style="1712" customWidth="1"/>
    <col min="10756" max="10756" width="10.25" style="1712" customWidth="1"/>
    <col min="10757" max="10757" width="10.125" style="1712" customWidth="1"/>
    <col min="10758" max="10758" width="12.25" style="1712" customWidth="1"/>
    <col min="10759" max="10759" width="21" style="1712" customWidth="1"/>
    <col min="10760" max="11004" width="9" style="1712"/>
    <col min="11005" max="11005" width="33.25" style="1712" customWidth="1"/>
    <col min="11006" max="11007" width="11.375" style="1712" customWidth="1"/>
    <col min="11008" max="11008" width="10" style="1712" customWidth="1"/>
    <col min="11009" max="11009" width="8.25" style="1712" customWidth="1"/>
    <col min="11010" max="11010" width="7.5" style="1712" customWidth="1"/>
    <col min="11011" max="11011" width="32" style="1712" customWidth="1"/>
    <col min="11012" max="11012" width="10.25" style="1712" customWidth="1"/>
    <col min="11013" max="11013" width="10.125" style="1712" customWidth="1"/>
    <col min="11014" max="11014" width="12.25" style="1712" customWidth="1"/>
    <col min="11015" max="11015" width="21" style="1712" customWidth="1"/>
    <col min="11016" max="11260" width="9" style="1712"/>
    <col min="11261" max="11261" width="33.25" style="1712" customWidth="1"/>
    <col min="11262" max="11263" width="11.375" style="1712" customWidth="1"/>
    <col min="11264" max="11264" width="10" style="1712" customWidth="1"/>
    <col min="11265" max="11265" width="8.25" style="1712" customWidth="1"/>
    <col min="11266" max="11266" width="7.5" style="1712" customWidth="1"/>
    <col min="11267" max="11267" width="32" style="1712" customWidth="1"/>
    <col min="11268" max="11268" width="10.25" style="1712" customWidth="1"/>
    <col min="11269" max="11269" width="10.125" style="1712" customWidth="1"/>
    <col min="11270" max="11270" width="12.25" style="1712" customWidth="1"/>
    <col min="11271" max="11271" width="21" style="1712" customWidth="1"/>
    <col min="11272" max="11516" width="9" style="1712"/>
    <col min="11517" max="11517" width="33.25" style="1712" customWidth="1"/>
    <col min="11518" max="11519" width="11.375" style="1712" customWidth="1"/>
    <col min="11520" max="11520" width="10" style="1712" customWidth="1"/>
    <col min="11521" max="11521" width="8.25" style="1712" customWidth="1"/>
    <col min="11522" max="11522" width="7.5" style="1712" customWidth="1"/>
    <col min="11523" max="11523" width="32" style="1712" customWidth="1"/>
    <col min="11524" max="11524" width="10.25" style="1712" customWidth="1"/>
    <col min="11525" max="11525" width="10.125" style="1712" customWidth="1"/>
    <col min="11526" max="11526" width="12.25" style="1712" customWidth="1"/>
    <col min="11527" max="11527" width="21" style="1712" customWidth="1"/>
    <col min="11528" max="11772" width="9" style="1712"/>
    <col min="11773" max="11773" width="33.25" style="1712" customWidth="1"/>
    <col min="11774" max="11775" width="11.375" style="1712" customWidth="1"/>
    <col min="11776" max="11776" width="10" style="1712" customWidth="1"/>
    <col min="11777" max="11777" width="8.25" style="1712" customWidth="1"/>
    <col min="11778" max="11778" width="7.5" style="1712" customWidth="1"/>
    <col min="11779" max="11779" width="32" style="1712" customWidth="1"/>
    <col min="11780" max="11780" width="10.25" style="1712" customWidth="1"/>
    <col min="11781" max="11781" width="10.125" style="1712" customWidth="1"/>
    <col min="11782" max="11782" width="12.25" style="1712" customWidth="1"/>
    <col min="11783" max="11783" width="21" style="1712" customWidth="1"/>
    <col min="11784" max="12028" width="9" style="1712"/>
    <col min="12029" max="12029" width="33.25" style="1712" customWidth="1"/>
    <col min="12030" max="12031" width="11.375" style="1712" customWidth="1"/>
    <col min="12032" max="12032" width="10" style="1712" customWidth="1"/>
    <col min="12033" max="12033" width="8.25" style="1712" customWidth="1"/>
    <col min="12034" max="12034" width="7.5" style="1712" customWidth="1"/>
    <col min="12035" max="12035" width="32" style="1712" customWidth="1"/>
    <col min="12036" max="12036" width="10.25" style="1712" customWidth="1"/>
    <col min="12037" max="12037" width="10.125" style="1712" customWidth="1"/>
    <col min="12038" max="12038" width="12.25" style="1712" customWidth="1"/>
    <col min="12039" max="12039" width="21" style="1712" customWidth="1"/>
    <col min="12040" max="12284" width="9" style="1712"/>
    <col min="12285" max="12285" width="33.25" style="1712" customWidth="1"/>
    <col min="12286" max="12287" width="11.375" style="1712" customWidth="1"/>
    <col min="12288" max="12288" width="10" style="1712" customWidth="1"/>
    <col min="12289" max="12289" width="8.25" style="1712" customWidth="1"/>
    <col min="12290" max="12290" width="7.5" style="1712" customWidth="1"/>
    <col min="12291" max="12291" width="32" style="1712" customWidth="1"/>
    <col min="12292" max="12292" width="10.25" style="1712" customWidth="1"/>
    <col min="12293" max="12293" width="10.125" style="1712" customWidth="1"/>
    <col min="12294" max="12294" width="12.25" style="1712" customWidth="1"/>
    <col min="12295" max="12295" width="21" style="1712" customWidth="1"/>
    <col min="12296" max="12540" width="9" style="1712"/>
    <col min="12541" max="12541" width="33.25" style="1712" customWidth="1"/>
    <col min="12542" max="12543" width="11.375" style="1712" customWidth="1"/>
    <col min="12544" max="12544" width="10" style="1712" customWidth="1"/>
    <col min="12545" max="12545" width="8.25" style="1712" customWidth="1"/>
    <col min="12546" max="12546" width="7.5" style="1712" customWidth="1"/>
    <col min="12547" max="12547" width="32" style="1712" customWidth="1"/>
    <col min="12548" max="12548" width="10.25" style="1712" customWidth="1"/>
    <col min="12549" max="12549" width="10.125" style="1712" customWidth="1"/>
    <col min="12550" max="12550" width="12.25" style="1712" customWidth="1"/>
    <col min="12551" max="12551" width="21" style="1712" customWidth="1"/>
    <col min="12552" max="12796" width="9" style="1712"/>
    <col min="12797" max="12797" width="33.25" style="1712" customWidth="1"/>
    <col min="12798" max="12799" width="11.375" style="1712" customWidth="1"/>
    <col min="12800" max="12800" width="10" style="1712" customWidth="1"/>
    <col min="12801" max="12801" width="8.25" style="1712" customWidth="1"/>
    <col min="12802" max="12802" width="7.5" style="1712" customWidth="1"/>
    <col min="12803" max="12803" width="32" style="1712" customWidth="1"/>
    <col min="12804" max="12804" width="10.25" style="1712" customWidth="1"/>
    <col min="12805" max="12805" width="10.125" style="1712" customWidth="1"/>
    <col min="12806" max="12806" width="12.25" style="1712" customWidth="1"/>
    <col min="12807" max="12807" width="21" style="1712" customWidth="1"/>
    <col min="12808" max="13052" width="9" style="1712"/>
    <col min="13053" max="13053" width="33.25" style="1712" customWidth="1"/>
    <col min="13054" max="13055" width="11.375" style="1712" customWidth="1"/>
    <col min="13056" max="13056" width="10" style="1712" customWidth="1"/>
    <col min="13057" max="13057" width="8.25" style="1712" customWidth="1"/>
    <col min="13058" max="13058" width="7.5" style="1712" customWidth="1"/>
    <col min="13059" max="13059" width="32" style="1712" customWidth="1"/>
    <col min="13060" max="13060" width="10.25" style="1712" customWidth="1"/>
    <col min="13061" max="13061" width="10.125" style="1712" customWidth="1"/>
    <col min="13062" max="13062" width="12.25" style="1712" customWidth="1"/>
    <col min="13063" max="13063" width="21" style="1712" customWidth="1"/>
    <col min="13064" max="13308" width="9" style="1712"/>
    <col min="13309" max="13309" width="33.25" style="1712" customWidth="1"/>
    <col min="13310" max="13311" width="11.375" style="1712" customWidth="1"/>
    <col min="13312" max="13312" width="10" style="1712" customWidth="1"/>
    <col min="13313" max="13313" width="8.25" style="1712" customWidth="1"/>
    <col min="13314" max="13314" width="7.5" style="1712" customWidth="1"/>
    <col min="13315" max="13315" width="32" style="1712" customWidth="1"/>
    <col min="13316" max="13316" width="10.25" style="1712" customWidth="1"/>
    <col min="13317" max="13317" width="10.125" style="1712" customWidth="1"/>
    <col min="13318" max="13318" width="12.25" style="1712" customWidth="1"/>
    <col min="13319" max="13319" width="21" style="1712" customWidth="1"/>
    <col min="13320" max="13564" width="9" style="1712"/>
    <col min="13565" max="13565" width="33.25" style="1712" customWidth="1"/>
    <col min="13566" max="13567" width="11.375" style="1712" customWidth="1"/>
    <col min="13568" max="13568" width="10" style="1712" customWidth="1"/>
    <col min="13569" max="13569" width="8.25" style="1712" customWidth="1"/>
    <col min="13570" max="13570" width="7.5" style="1712" customWidth="1"/>
    <col min="13571" max="13571" width="32" style="1712" customWidth="1"/>
    <col min="13572" max="13572" width="10.25" style="1712" customWidth="1"/>
    <col min="13573" max="13573" width="10.125" style="1712" customWidth="1"/>
    <col min="13574" max="13574" width="12.25" style="1712" customWidth="1"/>
    <col min="13575" max="13575" width="21" style="1712" customWidth="1"/>
    <col min="13576" max="13820" width="9" style="1712"/>
    <col min="13821" max="13821" width="33.25" style="1712" customWidth="1"/>
    <col min="13822" max="13823" width="11.375" style="1712" customWidth="1"/>
    <col min="13824" max="13824" width="10" style="1712" customWidth="1"/>
    <col min="13825" max="13825" width="8.25" style="1712" customWidth="1"/>
    <col min="13826" max="13826" width="7.5" style="1712" customWidth="1"/>
    <col min="13827" max="13827" width="32" style="1712" customWidth="1"/>
    <col min="13828" max="13828" width="10.25" style="1712" customWidth="1"/>
    <col min="13829" max="13829" width="10.125" style="1712" customWidth="1"/>
    <col min="13830" max="13830" width="12.25" style="1712" customWidth="1"/>
    <col min="13831" max="13831" width="21" style="1712" customWidth="1"/>
    <col min="13832" max="14076" width="9" style="1712"/>
    <col min="14077" max="14077" width="33.25" style="1712" customWidth="1"/>
    <col min="14078" max="14079" width="11.375" style="1712" customWidth="1"/>
    <col min="14080" max="14080" width="10" style="1712" customWidth="1"/>
    <col min="14081" max="14081" width="8.25" style="1712" customWidth="1"/>
    <col min="14082" max="14082" width="7.5" style="1712" customWidth="1"/>
    <col min="14083" max="14083" width="32" style="1712" customWidth="1"/>
    <col min="14084" max="14084" width="10.25" style="1712" customWidth="1"/>
    <col min="14085" max="14085" width="10.125" style="1712" customWidth="1"/>
    <col min="14086" max="14086" width="12.25" style="1712" customWidth="1"/>
    <col min="14087" max="14087" width="21" style="1712" customWidth="1"/>
    <col min="14088" max="14332" width="9" style="1712"/>
    <col min="14333" max="14333" width="33.25" style="1712" customWidth="1"/>
    <col min="14334" max="14335" width="11.375" style="1712" customWidth="1"/>
    <col min="14336" max="14336" width="10" style="1712" customWidth="1"/>
    <col min="14337" max="14337" width="8.25" style="1712" customWidth="1"/>
    <col min="14338" max="14338" width="7.5" style="1712" customWidth="1"/>
    <col min="14339" max="14339" width="32" style="1712" customWidth="1"/>
    <col min="14340" max="14340" width="10.25" style="1712" customWidth="1"/>
    <col min="14341" max="14341" width="10.125" style="1712" customWidth="1"/>
    <col min="14342" max="14342" width="12.25" style="1712" customWidth="1"/>
    <col min="14343" max="14343" width="21" style="1712" customWidth="1"/>
    <col min="14344" max="14588" width="9" style="1712"/>
    <col min="14589" max="14589" width="33.25" style="1712" customWidth="1"/>
    <col min="14590" max="14591" width="11.375" style="1712" customWidth="1"/>
    <col min="14592" max="14592" width="10" style="1712" customWidth="1"/>
    <col min="14593" max="14593" width="8.25" style="1712" customWidth="1"/>
    <col min="14594" max="14594" width="7.5" style="1712" customWidth="1"/>
    <col min="14595" max="14595" width="32" style="1712" customWidth="1"/>
    <col min="14596" max="14596" width="10.25" style="1712" customWidth="1"/>
    <col min="14597" max="14597" width="10.125" style="1712" customWidth="1"/>
    <col min="14598" max="14598" width="12.25" style="1712" customWidth="1"/>
    <col min="14599" max="14599" width="21" style="1712" customWidth="1"/>
    <col min="14600" max="14844" width="9" style="1712"/>
    <col min="14845" max="14845" width="33.25" style="1712" customWidth="1"/>
    <col min="14846" max="14847" width="11.375" style="1712" customWidth="1"/>
    <col min="14848" max="14848" width="10" style="1712" customWidth="1"/>
    <col min="14849" max="14849" width="8.25" style="1712" customWidth="1"/>
    <col min="14850" max="14850" width="7.5" style="1712" customWidth="1"/>
    <col min="14851" max="14851" width="32" style="1712" customWidth="1"/>
    <col min="14852" max="14852" width="10.25" style="1712" customWidth="1"/>
    <col min="14853" max="14853" width="10.125" style="1712" customWidth="1"/>
    <col min="14854" max="14854" width="12.25" style="1712" customWidth="1"/>
    <col min="14855" max="14855" width="21" style="1712" customWidth="1"/>
    <col min="14856" max="15100" width="9" style="1712"/>
    <col min="15101" max="15101" width="33.25" style="1712" customWidth="1"/>
    <col min="15102" max="15103" width="11.375" style="1712" customWidth="1"/>
    <col min="15104" max="15104" width="10" style="1712" customWidth="1"/>
    <col min="15105" max="15105" width="8.25" style="1712" customWidth="1"/>
    <col min="15106" max="15106" width="7.5" style="1712" customWidth="1"/>
    <col min="15107" max="15107" width="32" style="1712" customWidth="1"/>
    <col min="15108" max="15108" width="10.25" style="1712" customWidth="1"/>
    <col min="15109" max="15109" width="10.125" style="1712" customWidth="1"/>
    <col min="15110" max="15110" width="12.25" style="1712" customWidth="1"/>
    <col min="15111" max="15111" width="21" style="1712" customWidth="1"/>
    <col min="15112" max="15356" width="9" style="1712"/>
    <col min="15357" max="15357" width="33.25" style="1712" customWidth="1"/>
    <col min="15358" max="15359" width="11.375" style="1712" customWidth="1"/>
    <col min="15360" max="15360" width="10" style="1712" customWidth="1"/>
    <col min="15361" max="15361" width="8.25" style="1712" customWidth="1"/>
    <col min="15362" max="15362" width="7.5" style="1712" customWidth="1"/>
    <col min="15363" max="15363" width="32" style="1712" customWidth="1"/>
    <col min="15364" max="15364" width="10.25" style="1712" customWidth="1"/>
    <col min="15365" max="15365" width="10.125" style="1712" customWidth="1"/>
    <col min="15366" max="15366" width="12.25" style="1712" customWidth="1"/>
    <col min="15367" max="15367" width="21" style="1712" customWidth="1"/>
    <col min="15368" max="15612" width="9" style="1712"/>
    <col min="15613" max="15613" width="33.25" style="1712" customWidth="1"/>
    <col min="15614" max="15615" width="11.375" style="1712" customWidth="1"/>
    <col min="15616" max="15616" width="10" style="1712" customWidth="1"/>
    <col min="15617" max="15617" width="8.25" style="1712" customWidth="1"/>
    <col min="15618" max="15618" width="7.5" style="1712" customWidth="1"/>
    <col min="15619" max="15619" width="32" style="1712" customWidth="1"/>
    <col min="15620" max="15620" width="10.25" style="1712" customWidth="1"/>
    <col min="15621" max="15621" width="10.125" style="1712" customWidth="1"/>
    <col min="15622" max="15622" width="12.25" style="1712" customWidth="1"/>
    <col min="15623" max="15623" width="21" style="1712" customWidth="1"/>
    <col min="15624" max="15868" width="9" style="1712"/>
    <col min="15869" max="15869" width="33.25" style="1712" customWidth="1"/>
    <col min="15870" max="15871" width="11.375" style="1712" customWidth="1"/>
    <col min="15872" max="15872" width="10" style="1712" customWidth="1"/>
    <col min="15873" max="15873" width="8.25" style="1712" customWidth="1"/>
    <col min="15874" max="15874" width="7.5" style="1712" customWidth="1"/>
    <col min="15875" max="15875" width="32" style="1712" customWidth="1"/>
    <col min="15876" max="15876" width="10.25" style="1712" customWidth="1"/>
    <col min="15877" max="15877" width="10.125" style="1712" customWidth="1"/>
    <col min="15878" max="15878" width="12.25" style="1712" customWidth="1"/>
    <col min="15879" max="15879" width="21" style="1712" customWidth="1"/>
    <col min="15880" max="16124" width="9" style="1712"/>
    <col min="16125" max="16125" width="33.25" style="1712" customWidth="1"/>
    <col min="16126" max="16127" width="11.375" style="1712" customWidth="1"/>
    <col min="16128" max="16128" width="10" style="1712" customWidth="1"/>
    <col min="16129" max="16129" width="8.25" style="1712" customWidth="1"/>
    <col min="16130" max="16130" width="7.5" style="1712" customWidth="1"/>
    <col min="16131" max="16131" width="32" style="1712" customWidth="1"/>
    <col min="16132" max="16132" width="10.25" style="1712" customWidth="1"/>
    <col min="16133" max="16133" width="10.125" style="1712" customWidth="1"/>
    <col min="16134" max="16134" width="12.25" style="1712" customWidth="1"/>
    <col min="16135" max="16135" width="21" style="1712" customWidth="1"/>
    <col min="16136" max="16384" width="9" style="1712"/>
  </cols>
  <sheetData>
    <row r="1" s="1711" customFormat="1" ht="12.75" customHeight="1" spans="1:248">
      <c r="A1" s="1715" t="s">
        <v>60</v>
      </c>
      <c r="B1" s="1715" t="s">
        <v>2016</v>
      </c>
      <c r="C1" s="1715" t="s">
        <v>2017</v>
      </c>
      <c r="D1" s="1716" t="s">
        <v>2018</v>
      </c>
      <c r="E1" s="1717" t="s">
        <v>2019</v>
      </c>
      <c r="F1" s="1717"/>
      <c r="G1" s="1717"/>
      <c r="H1" s="1718" t="s">
        <v>2020</v>
      </c>
      <c r="I1" s="1740"/>
      <c r="J1" s="1741" t="s">
        <v>61</v>
      </c>
      <c r="K1" s="427"/>
      <c r="L1" s="1742"/>
      <c r="M1" s="1742"/>
      <c r="N1" s="1742"/>
      <c r="O1" s="1742"/>
      <c r="P1" s="1742"/>
      <c r="Q1" s="1742"/>
      <c r="R1" s="1742"/>
      <c r="S1" s="1742"/>
      <c r="T1" s="1742"/>
      <c r="U1" s="1742"/>
      <c r="V1" s="1742"/>
      <c r="W1" s="1742"/>
      <c r="X1" s="1742"/>
      <c r="Y1" s="1742"/>
      <c r="Z1" s="1742"/>
      <c r="AA1" s="1742"/>
      <c r="AB1" s="1742"/>
      <c r="AC1" s="1742"/>
      <c r="AD1" s="1742"/>
      <c r="AE1" s="1742"/>
      <c r="AF1" s="1742"/>
      <c r="AG1" s="1742"/>
      <c r="AH1" s="1742"/>
      <c r="AI1" s="1742"/>
      <c r="AJ1" s="1742"/>
      <c r="AK1" s="1742"/>
      <c r="AL1" s="1742"/>
      <c r="AM1" s="1742"/>
      <c r="AN1" s="1742"/>
      <c r="AO1" s="1742"/>
      <c r="AP1" s="1742"/>
      <c r="AQ1" s="1742"/>
      <c r="AR1" s="1742"/>
      <c r="AS1" s="1742"/>
      <c r="AT1" s="1742"/>
      <c r="AU1" s="1742"/>
      <c r="AV1" s="1742"/>
      <c r="AW1" s="1742"/>
      <c r="AX1" s="1742"/>
      <c r="AY1" s="1742"/>
      <c r="AZ1" s="1742"/>
      <c r="BA1" s="1742"/>
      <c r="BB1" s="1742"/>
      <c r="BC1" s="1742"/>
      <c r="BD1" s="1742"/>
      <c r="BE1" s="1742"/>
      <c r="BF1" s="1742"/>
      <c r="BG1" s="1742"/>
      <c r="BH1" s="1742"/>
      <c r="BI1" s="1742"/>
      <c r="BJ1" s="1742"/>
      <c r="BK1" s="1742"/>
      <c r="BL1" s="1742"/>
      <c r="BM1" s="1742"/>
      <c r="BN1" s="1742"/>
      <c r="BO1" s="1742"/>
      <c r="BP1" s="1742"/>
      <c r="BQ1" s="1742"/>
      <c r="BR1" s="1742"/>
      <c r="BS1" s="1742"/>
      <c r="BT1" s="1742"/>
      <c r="BU1" s="1742"/>
      <c r="BV1" s="1742"/>
      <c r="BW1" s="1742"/>
      <c r="BX1" s="1742"/>
      <c r="BY1" s="1742"/>
      <c r="BZ1" s="1742"/>
      <c r="CA1" s="1742"/>
      <c r="CB1" s="1742"/>
      <c r="CC1" s="1742"/>
      <c r="CD1" s="1742"/>
      <c r="CE1" s="1742"/>
      <c r="CF1" s="1742"/>
      <c r="CG1" s="1742"/>
      <c r="CH1" s="1742"/>
      <c r="CI1" s="1742"/>
      <c r="CJ1" s="1742"/>
      <c r="CK1" s="1742"/>
      <c r="CL1" s="1742"/>
      <c r="CM1" s="1742"/>
      <c r="CN1" s="1742"/>
      <c r="CO1" s="1742"/>
      <c r="CP1" s="1742"/>
      <c r="CQ1" s="1742"/>
      <c r="CR1" s="1742"/>
      <c r="CS1" s="1742"/>
      <c r="CT1" s="1742"/>
      <c r="CU1" s="1742"/>
      <c r="CV1" s="1742"/>
      <c r="CW1" s="1742"/>
      <c r="CX1" s="1742"/>
      <c r="CY1" s="1742"/>
      <c r="CZ1" s="1742"/>
      <c r="DA1" s="1742"/>
      <c r="DB1" s="1742"/>
      <c r="DC1" s="1742"/>
      <c r="DD1" s="1742"/>
      <c r="DE1" s="1742"/>
      <c r="DF1" s="1742"/>
      <c r="DG1" s="1742"/>
      <c r="DH1" s="1742"/>
      <c r="DI1" s="1742"/>
      <c r="DJ1" s="1742"/>
      <c r="DK1" s="1742"/>
      <c r="DL1" s="1742"/>
      <c r="DM1" s="1742"/>
      <c r="DN1" s="1742"/>
      <c r="DO1" s="1742"/>
      <c r="DP1" s="1742"/>
      <c r="DQ1" s="1742"/>
      <c r="DR1" s="1742"/>
      <c r="DS1" s="1742"/>
      <c r="DT1" s="1742"/>
      <c r="DU1" s="1742"/>
      <c r="DV1" s="1742"/>
      <c r="DW1" s="1742"/>
      <c r="DX1" s="1742"/>
      <c r="DY1" s="1742"/>
      <c r="DZ1" s="1742"/>
      <c r="EA1" s="1742"/>
      <c r="EB1" s="1742"/>
      <c r="EC1" s="1742"/>
      <c r="ED1" s="1742"/>
      <c r="EE1" s="1742"/>
      <c r="EF1" s="1742"/>
      <c r="EG1" s="1742"/>
      <c r="EH1" s="1742"/>
      <c r="EI1" s="1742"/>
      <c r="EJ1" s="1742"/>
      <c r="EK1" s="1742"/>
      <c r="EL1" s="1742"/>
      <c r="EM1" s="1742"/>
      <c r="EN1" s="1742"/>
      <c r="EO1" s="1742"/>
      <c r="EP1" s="1742"/>
      <c r="EQ1" s="1742"/>
      <c r="ER1" s="1742"/>
      <c r="ES1" s="1742"/>
      <c r="ET1" s="1742"/>
      <c r="EU1" s="1742"/>
      <c r="EV1" s="1742"/>
      <c r="EW1" s="1742"/>
      <c r="EX1" s="1742"/>
      <c r="EY1" s="1742"/>
      <c r="EZ1" s="1742"/>
      <c r="FA1" s="1742"/>
      <c r="FB1" s="1742"/>
      <c r="FC1" s="1742"/>
      <c r="FD1" s="1742"/>
      <c r="FE1" s="1742"/>
      <c r="FF1" s="1742"/>
      <c r="FG1" s="1742"/>
      <c r="FH1" s="1742"/>
      <c r="FI1" s="1742"/>
      <c r="FJ1" s="1742"/>
      <c r="FK1" s="1742"/>
      <c r="FL1" s="1742"/>
      <c r="FM1" s="1742"/>
      <c r="FN1" s="1742"/>
      <c r="FO1" s="1742"/>
      <c r="FP1" s="1742"/>
      <c r="FQ1" s="1742"/>
      <c r="FR1" s="1742"/>
      <c r="FS1" s="1742"/>
      <c r="FT1" s="1742"/>
      <c r="FU1" s="1742"/>
      <c r="FV1" s="1742"/>
      <c r="FW1" s="1742"/>
      <c r="FX1" s="1742"/>
      <c r="FY1" s="1742"/>
      <c r="FZ1" s="1742"/>
      <c r="GA1" s="1742"/>
      <c r="GB1" s="1742"/>
      <c r="GC1" s="1742"/>
      <c r="GD1" s="1742"/>
      <c r="GE1" s="1742"/>
      <c r="GF1" s="1742"/>
      <c r="GG1" s="1742"/>
      <c r="GH1" s="1742"/>
      <c r="GI1" s="1742"/>
      <c r="GJ1" s="1742"/>
      <c r="GK1" s="1742"/>
      <c r="GL1" s="1742"/>
      <c r="GM1" s="1742"/>
      <c r="GN1" s="1742"/>
      <c r="GO1" s="1742"/>
      <c r="GP1" s="1742"/>
      <c r="GQ1" s="1742"/>
      <c r="GR1" s="1742"/>
      <c r="GS1" s="1742"/>
      <c r="GT1" s="1742"/>
      <c r="GU1" s="1742"/>
      <c r="GV1" s="1742"/>
      <c r="GW1" s="1742"/>
      <c r="GX1" s="1742"/>
      <c r="GY1" s="1742"/>
      <c r="GZ1" s="1742"/>
      <c r="HA1" s="1742"/>
      <c r="HB1" s="1742"/>
      <c r="HC1" s="1742"/>
      <c r="HD1" s="1742"/>
      <c r="HE1" s="1742"/>
      <c r="HF1" s="1742"/>
      <c r="HG1" s="1742"/>
      <c r="HH1" s="1742"/>
      <c r="HI1" s="1742"/>
      <c r="HJ1" s="1742"/>
      <c r="HK1" s="1742"/>
      <c r="HL1" s="1742"/>
      <c r="HM1" s="1742"/>
      <c r="HN1" s="1742"/>
      <c r="HO1" s="1742"/>
      <c r="HP1" s="1742"/>
      <c r="HQ1" s="1742"/>
      <c r="HR1" s="1742"/>
      <c r="HS1" s="1742"/>
      <c r="HT1" s="1742"/>
      <c r="HU1" s="1742"/>
      <c r="HV1" s="1742"/>
      <c r="HW1" s="1742"/>
      <c r="HX1" s="1742"/>
      <c r="HY1" s="1742"/>
      <c r="HZ1" s="1742"/>
      <c r="IA1" s="1742"/>
      <c r="IB1" s="1742"/>
      <c r="IC1" s="1742"/>
      <c r="ID1" s="1742"/>
      <c r="IE1" s="1742"/>
      <c r="IF1" s="1742"/>
      <c r="IG1" s="1742"/>
      <c r="IH1" s="1742"/>
      <c r="II1" s="1742"/>
      <c r="IJ1" s="1742"/>
      <c r="IK1" s="1742"/>
      <c r="IL1" s="1742"/>
      <c r="IM1" s="1742"/>
      <c r="IN1" s="1742"/>
    </row>
    <row r="2" s="1711" customFormat="1" ht="10.5" customHeight="1" spans="1:248">
      <c r="A2" s="1719"/>
      <c r="B2" s="1719"/>
      <c r="C2" s="1719"/>
      <c r="D2" s="1720"/>
      <c r="E2" s="1717" t="s">
        <v>2021</v>
      </c>
      <c r="F2" s="1717" t="s">
        <v>2022</v>
      </c>
      <c r="G2" s="1717" t="s">
        <v>2023</v>
      </c>
      <c r="H2" s="1721"/>
      <c r="I2" s="1743"/>
      <c r="J2" s="1744"/>
      <c r="K2" s="1742"/>
      <c r="L2" s="1742"/>
      <c r="M2" s="1742"/>
      <c r="N2" s="1742"/>
      <c r="O2" s="1742"/>
      <c r="P2" s="1742"/>
      <c r="Q2" s="1742"/>
      <c r="R2" s="1742"/>
      <c r="S2" s="1742"/>
      <c r="T2" s="1742"/>
      <c r="U2" s="1742"/>
      <c r="V2" s="1742"/>
      <c r="W2" s="1742"/>
      <c r="X2" s="1742"/>
      <c r="Y2" s="1742"/>
      <c r="Z2" s="1742"/>
      <c r="AA2" s="1742"/>
      <c r="AB2" s="1742"/>
      <c r="AC2" s="1742"/>
      <c r="AD2" s="1742"/>
      <c r="AE2" s="1742"/>
      <c r="AF2" s="1742"/>
      <c r="AG2" s="1742"/>
      <c r="AH2" s="1742"/>
      <c r="AI2" s="1742"/>
      <c r="AJ2" s="1742"/>
      <c r="AK2" s="1742"/>
      <c r="AL2" s="1742"/>
      <c r="AM2" s="1742"/>
      <c r="AN2" s="1742"/>
      <c r="AO2" s="1742"/>
      <c r="AP2" s="1742"/>
      <c r="AQ2" s="1742"/>
      <c r="AR2" s="1742"/>
      <c r="AS2" s="1742"/>
      <c r="AT2" s="1742"/>
      <c r="AU2" s="1742"/>
      <c r="AV2" s="1742"/>
      <c r="AW2" s="1742"/>
      <c r="AX2" s="1742"/>
      <c r="AY2" s="1742"/>
      <c r="AZ2" s="1742"/>
      <c r="BA2" s="1742"/>
      <c r="BB2" s="1742"/>
      <c r="BC2" s="1742"/>
      <c r="BD2" s="1742"/>
      <c r="BE2" s="1742"/>
      <c r="BF2" s="1742"/>
      <c r="BG2" s="1742"/>
      <c r="BH2" s="1742"/>
      <c r="BI2" s="1742"/>
      <c r="BJ2" s="1742"/>
      <c r="BK2" s="1742"/>
      <c r="BL2" s="1742"/>
      <c r="BM2" s="1742"/>
      <c r="BN2" s="1742"/>
      <c r="BO2" s="1742"/>
      <c r="BP2" s="1742"/>
      <c r="BQ2" s="1742"/>
      <c r="BR2" s="1742"/>
      <c r="BS2" s="1742"/>
      <c r="BT2" s="1742"/>
      <c r="BU2" s="1742"/>
      <c r="BV2" s="1742"/>
      <c r="BW2" s="1742"/>
      <c r="BX2" s="1742"/>
      <c r="BY2" s="1742"/>
      <c r="BZ2" s="1742"/>
      <c r="CA2" s="1742"/>
      <c r="CB2" s="1742"/>
      <c r="CC2" s="1742"/>
      <c r="CD2" s="1742"/>
      <c r="CE2" s="1742"/>
      <c r="CF2" s="1742"/>
      <c r="CG2" s="1742"/>
      <c r="CH2" s="1742"/>
      <c r="CI2" s="1742"/>
      <c r="CJ2" s="1742"/>
      <c r="CK2" s="1742"/>
      <c r="CL2" s="1742"/>
      <c r="CM2" s="1742"/>
      <c r="CN2" s="1742"/>
      <c r="CO2" s="1742"/>
      <c r="CP2" s="1742"/>
      <c r="CQ2" s="1742"/>
      <c r="CR2" s="1742"/>
      <c r="CS2" s="1742"/>
      <c r="CT2" s="1742"/>
      <c r="CU2" s="1742"/>
      <c r="CV2" s="1742"/>
      <c r="CW2" s="1742"/>
      <c r="CX2" s="1742"/>
      <c r="CY2" s="1742"/>
      <c r="CZ2" s="1742"/>
      <c r="DA2" s="1742"/>
      <c r="DB2" s="1742"/>
      <c r="DC2" s="1742"/>
      <c r="DD2" s="1742"/>
      <c r="DE2" s="1742"/>
      <c r="DF2" s="1742"/>
      <c r="DG2" s="1742"/>
      <c r="DH2" s="1742"/>
      <c r="DI2" s="1742"/>
      <c r="DJ2" s="1742"/>
      <c r="DK2" s="1742"/>
      <c r="DL2" s="1742"/>
      <c r="DM2" s="1742"/>
      <c r="DN2" s="1742"/>
      <c r="DO2" s="1742"/>
      <c r="DP2" s="1742"/>
      <c r="DQ2" s="1742"/>
      <c r="DR2" s="1742"/>
      <c r="DS2" s="1742"/>
      <c r="DT2" s="1742"/>
      <c r="DU2" s="1742"/>
      <c r="DV2" s="1742"/>
      <c r="DW2" s="1742"/>
      <c r="DX2" s="1742"/>
      <c r="DY2" s="1742"/>
      <c r="DZ2" s="1742"/>
      <c r="EA2" s="1742"/>
      <c r="EB2" s="1742"/>
      <c r="EC2" s="1742"/>
      <c r="ED2" s="1742"/>
      <c r="EE2" s="1742"/>
      <c r="EF2" s="1742"/>
      <c r="EG2" s="1742"/>
      <c r="EH2" s="1742"/>
      <c r="EI2" s="1742"/>
      <c r="EJ2" s="1742"/>
      <c r="EK2" s="1742"/>
      <c r="EL2" s="1742"/>
      <c r="EM2" s="1742"/>
      <c r="EN2" s="1742"/>
      <c r="EO2" s="1742"/>
      <c r="EP2" s="1742"/>
      <c r="EQ2" s="1742"/>
      <c r="ER2" s="1742"/>
      <c r="ES2" s="1742"/>
      <c r="ET2" s="1742"/>
      <c r="EU2" s="1742"/>
      <c r="EV2" s="1742"/>
      <c r="EW2" s="1742"/>
      <c r="EX2" s="1742"/>
      <c r="EY2" s="1742"/>
      <c r="EZ2" s="1742"/>
      <c r="FA2" s="1742"/>
      <c r="FB2" s="1742"/>
      <c r="FC2" s="1742"/>
      <c r="FD2" s="1742"/>
      <c r="FE2" s="1742"/>
      <c r="FF2" s="1742"/>
      <c r="FG2" s="1742"/>
      <c r="FH2" s="1742"/>
      <c r="FI2" s="1742"/>
      <c r="FJ2" s="1742"/>
      <c r="FK2" s="1742"/>
      <c r="FL2" s="1742"/>
      <c r="FM2" s="1742"/>
      <c r="FN2" s="1742"/>
      <c r="FO2" s="1742"/>
      <c r="FP2" s="1742"/>
      <c r="FQ2" s="1742"/>
      <c r="FR2" s="1742"/>
      <c r="FS2" s="1742"/>
      <c r="FT2" s="1742"/>
      <c r="FU2" s="1742"/>
      <c r="FV2" s="1742"/>
      <c r="FW2" s="1742"/>
      <c r="FX2" s="1742"/>
      <c r="FY2" s="1742"/>
      <c r="FZ2" s="1742"/>
      <c r="GA2" s="1742"/>
      <c r="GB2" s="1742"/>
      <c r="GC2" s="1742"/>
      <c r="GD2" s="1742"/>
      <c r="GE2" s="1742"/>
      <c r="GF2" s="1742"/>
      <c r="GG2" s="1742"/>
      <c r="GH2" s="1742"/>
      <c r="GI2" s="1742"/>
      <c r="GJ2" s="1742"/>
      <c r="GK2" s="1742"/>
      <c r="GL2" s="1742"/>
      <c r="GM2" s="1742"/>
      <c r="GN2" s="1742"/>
      <c r="GO2" s="1742"/>
      <c r="GP2" s="1742"/>
      <c r="GQ2" s="1742"/>
      <c r="GR2" s="1742"/>
      <c r="GS2" s="1742"/>
      <c r="GT2" s="1742"/>
      <c r="GU2" s="1742"/>
      <c r="GV2" s="1742"/>
      <c r="GW2" s="1742"/>
      <c r="GX2" s="1742"/>
      <c r="GY2" s="1742"/>
      <c r="GZ2" s="1742"/>
      <c r="HA2" s="1742"/>
      <c r="HB2" s="1742"/>
      <c r="HC2" s="1742"/>
      <c r="HD2" s="1742"/>
      <c r="HE2" s="1742"/>
      <c r="HF2" s="1742"/>
      <c r="HG2" s="1742"/>
      <c r="HH2" s="1742"/>
      <c r="HI2" s="1742"/>
      <c r="HJ2" s="1742"/>
      <c r="HK2" s="1742"/>
      <c r="HL2" s="1742"/>
      <c r="HM2" s="1742"/>
      <c r="HN2" s="1742"/>
      <c r="HO2" s="1742"/>
      <c r="HP2" s="1742"/>
      <c r="HQ2" s="1742"/>
      <c r="HR2" s="1742"/>
      <c r="HS2" s="1742"/>
      <c r="HT2" s="1742"/>
      <c r="HU2" s="1742"/>
      <c r="HV2" s="1742"/>
      <c r="HW2" s="1742"/>
      <c r="HX2" s="1742"/>
      <c r="HY2" s="1742"/>
      <c r="HZ2" s="1742"/>
      <c r="IA2" s="1742"/>
      <c r="IB2" s="1742"/>
      <c r="IC2" s="1742"/>
      <c r="ID2" s="1742"/>
      <c r="IE2" s="1742"/>
      <c r="IF2" s="1742"/>
      <c r="IG2" s="1742"/>
      <c r="IH2" s="1742"/>
      <c r="II2" s="1742"/>
      <c r="IJ2" s="1742"/>
      <c r="IK2" s="1742"/>
      <c r="IL2" s="1742"/>
      <c r="IM2" s="1742"/>
      <c r="IN2" s="1742"/>
    </row>
    <row r="3" s="1711" customFormat="1" ht="15" customHeight="1" spans="1:248">
      <c r="A3" s="1722" t="s">
        <v>305</v>
      </c>
      <c r="B3" s="1723">
        <v>1</v>
      </c>
      <c r="C3" s="1723">
        <v>2</v>
      </c>
      <c r="D3" s="1723">
        <v>3</v>
      </c>
      <c r="E3" s="1723" t="s">
        <v>2024</v>
      </c>
      <c r="F3" s="1723" t="s">
        <v>2025</v>
      </c>
      <c r="G3" s="1724">
        <v>6</v>
      </c>
      <c r="H3" s="1724">
        <v>7</v>
      </c>
      <c r="I3" s="1724">
        <v>8</v>
      </c>
      <c r="J3" s="1745">
        <v>9</v>
      </c>
      <c r="K3" s="1742"/>
      <c r="L3" s="1742"/>
      <c r="M3" s="1742"/>
      <c r="N3" s="1742"/>
      <c r="O3" s="1742"/>
      <c r="P3" s="1742"/>
      <c r="Q3" s="1742"/>
      <c r="R3" s="1742"/>
      <c r="S3" s="1742"/>
      <c r="T3" s="1742"/>
      <c r="U3" s="1742"/>
      <c r="V3" s="1742"/>
      <c r="W3" s="1742"/>
      <c r="X3" s="1742"/>
      <c r="Y3" s="1742"/>
      <c r="Z3" s="1742"/>
      <c r="AA3" s="1742"/>
      <c r="AB3" s="1742"/>
      <c r="AC3" s="1742"/>
      <c r="AD3" s="1742"/>
      <c r="AE3" s="1742"/>
      <c r="AF3" s="1742"/>
      <c r="AG3" s="1742"/>
      <c r="AH3" s="1742"/>
      <c r="AI3" s="1742"/>
      <c r="AJ3" s="1742"/>
      <c r="AK3" s="1742"/>
      <c r="AL3" s="1742"/>
      <c r="AM3" s="1742"/>
      <c r="AN3" s="1742"/>
      <c r="AO3" s="1742"/>
      <c r="AP3" s="1742"/>
      <c r="AQ3" s="1742"/>
      <c r="AR3" s="1742"/>
      <c r="AS3" s="1742"/>
      <c r="AT3" s="1742"/>
      <c r="AU3" s="1742"/>
      <c r="AV3" s="1742"/>
      <c r="AW3" s="1742"/>
      <c r="AX3" s="1742"/>
      <c r="AY3" s="1742"/>
      <c r="AZ3" s="1742"/>
      <c r="BA3" s="1742"/>
      <c r="BB3" s="1742"/>
      <c r="BC3" s="1742"/>
      <c r="BD3" s="1742"/>
      <c r="BE3" s="1742"/>
      <c r="BF3" s="1742"/>
      <c r="BG3" s="1742"/>
      <c r="BH3" s="1742"/>
      <c r="BI3" s="1742"/>
      <c r="BJ3" s="1742"/>
      <c r="BK3" s="1742"/>
      <c r="BL3" s="1742"/>
      <c r="BM3" s="1742"/>
      <c r="BN3" s="1742"/>
      <c r="BO3" s="1742"/>
      <c r="BP3" s="1742"/>
      <c r="BQ3" s="1742"/>
      <c r="BR3" s="1742"/>
      <c r="BS3" s="1742"/>
      <c r="BT3" s="1742"/>
      <c r="BU3" s="1742"/>
      <c r="BV3" s="1742"/>
      <c r="BW3" s="1742"/>
      <c r="BX3" s="1742"/>
      <c r="BY3" s="1742"/>
      <c r="BZ3" s="1742"/>
      <c r="CA3" s="1742"/>
      <c r="CB3" s="1742"/>
      <c r="CC3" s="1742"/>
      <c r="CD3" s="1742"/>
      <c r="CE3" s="1742"/>
      <c r="CF3" s="1742"/>
      <c r="CG3" s="1742"/>
      <c r="CH3" s="1742"/>
      <c r="CI3" s="1742"/>
      <c r="CJ3" s="1742"/>
      <c r="CK3" s="1742"/>
      <c r="CL3" s="1742"/>
      <c r="CM3" s="1742"/>
      <c r="CN3" s="1742"/>
      <c r="CO3" s="1742"/>
      <c r="CP3" s="1742"/>
      <c r="CQ3" s="1742"/>
      <c r="CR3" s="1742"/>
      <c r="CS3" s="1742"/>
      <c r="CT3" s="1742"/>
      <c r="CU3" s="1742"/>
      <c r="CV3" s="1742"/>
      <c r="CW3" s="1742"/>
      <c r="CX3" s="1742"/>
      <c r="CY3" s="1742"/>
      <c r="CZ3" s="1742"/>
      <c r="DA3" s="1742"/>
      <c r="DB3" s="1742"/>
      <c r="DC3" s="1742"/>
      <c r="DD3" s="1742"/>
      <c r="DE3" s="1742"/>
      <c r="DF3" s="1742"/>
      <c r="DG3" s="1742"/>
      <c r="DH3" s="1742"/>
      <c r="DI3" s="1742"/>
      <c r="DJ3" s="1742"/>
      <c r="DK3" s="1742"/>
      <c r="DL3" s="1742"/>
      <c r="DM3" s="1742"/>
      <c r="DN3" s="1742"/>
      <c r="DO3" s="1742"/>
      <c r="DP3" s="1742"/>
      <c r="DQ3" s="1742"/>
      <c r="DR3" s="1742"/>
      <c r="DS3" s="1742"/>
      <c r="DT3" s="1742"/>
      <c r="DU3" s="1742"/>
      <c r="DV3" s="1742"/>
      <c r="DW3" s="1742"/>
      <c r="DX3" s="1742"/>
      <c r="DY3" s="1742"/>
      <c r="DZ3" s="1742"/>
      <c r="EA3" s="1742"/>
      <c r="EB3" s="1742"/>
      <c r="EC3" s="1742"/>
      <c r="ED3" s="1742"/>
      <c r="EE3" s="1742"/>
      <c r="EF3" s="1742"/>
      <c r="EG3" s="1742"/>
      <c r="EH3" s="1742"/>
      <c r="EI3" s="1742"/>
      <c r="EJ3" s="1742"/>
      <c r="EK3" s="1742"/>
      <c r="EL3" s="1742"/>
      <c r="EM3" s="1742"/>
      <c r="EN3" s="1742"/>
      <c r="EO3" s="1742"/>
      <c r="EP3" s="1742"/>
      <c r="EQ3" s="1742"/>
      <c r="ER3" s="1742"/>
      <c r="ES3" s="1742"/>
      <c r="ET3" s="1742"/>
      <c r="EU3" s="1742"/>
      <c r="EV3" s="1742"/>
      <c r="EW3" s="1742"/>
      <c r="EX3" s="1742"/>
      <c r="EY3" s="1742"/>
      <c r="EZ3" s="1742"/>
      <c r="FA3" s="1742"/>
      <c r="FB3" s="1742"/>
      <c r="FC3" s="1742"/>
      <c r="FD3" s="1742"/>
      <c r="FE3" s="1742"/>
      <c r="FF3" s="1742"/>
      <c r="FG3" s="1742"/>
      <c r="FH3" s="1742"/>
      <c r="FI3" s="1742"/>
      <c r="FJ3" s="1742"/>
      <c r="FK3" s="1742"/>
      <c r="FL3" s="1742"/>
      <c r="FM3" s="1742"/>
      <c r="FN3" s="1742"/>
      <c r="FO3" s="1742"/>
      <c r="FP3" s="1742"/>
      <c r="FQ3" s="1742"/>
      <c r="FR3" s="1742"/>
      <c r="FS3" s="1742"/>
      <c r="FT3" s="1742"/>
      <c r="FU3" s="1742"/>
      <c r="FV3" s="1742"/>
      <c r="FW3" s="1742"/>
      <c r="FX3" s="1742"/>
      <c r="FY3" s="1742"/>
      <c r="FZ3" s="1742"/>
      <c r="GA3" s="1742"/>
      <c r="GB3" s="1742"/>
      <c r="GC3" s="1742"/>
      <c r="GD3" s="1742"/>
      <c r="GE3" s="1742"/>
      <c r="GF3" s="1742"/>
      <c r="GG3" s="1742"/>
      <c r="GH3" s="1742"/>
      <c r="GI3" s="1742"/>
      <c r="GJ3" s="1742"/>
      <c r="GK3" s="1742"/>
      <c r="GL3" s="1742"/>
      <c r="GM3" s="1742"/>
      <c r="GN3" s="1742"/>
      <c r="GO3" s="1742"/>
      <c r="GP3" s="1742"/>
      <c r="GQ3" s="1742"/>
      <c r="GR3" s="1742"/>
      <c r="GS3" s="1742"/>
      <c r="GT3" s="1742"/>
      <c r="GU3" s="1742"/>
      <c r="GV3" s="1742"/>
      <c r="GW3" s="1742"/>
      <c r="GX3" s="1742"/>
      <c r="GY3" s="1742"/>
      <c r="GZ3" s="1742"/>
      <c r="HA3" s="1742"/>
      <c r="HB3" s="1742"/>
      <c r="HC3" s="1742"/>
      <c r="HD3" s="1742"/>
      <c r="HE3" s="1742"/>
      <c r="HF3" s="1742"/>
      <c r="HG3" s="1742"/>
      <c r="HH3" s="1742"/>
      <c r="HI3" s="1742"/>
      <c r="HJ3" s="1742"/>
      <c r="HK3" s="1742"/>
      <c r="HL3" s="1742"/>
      <c r="HM3" s="1742"/>
      <c r="HN3" s="1742"/>
      <c r="HO3" s="1742"/>
      <c r="HP3" s="1742"/>
      <c r="HQ3" s="1742"/>
      <c r="HR3" s="1742"/>
      <c r="HS3" s="1742"/>
      <c r="HT3" s="1742"/>
      <c r="HU3" s="1742"/>
      <c r="HV3" s="1742"/>
      <c r="HW3" s="1742"/>
      <c r="HX3" s="1742"/>
      <c r="HY3" s="1742"/>
      <c r="HZ3" s="1742"/>
      <c r="IA3" s="1742"/>
      <c r="IB3" s="1742"/>
      <c r="IC3" s="1742"/>
      <c r="ID3" s="1742"/>
      <c r="IE3" s="1742"/>
      <c r="IF3" s="1742"/>
      <c r="IG3" s="1742"/>
      <c r="IH3" s="1742"/>
      <c r="II3" s="1742"/>
      <c r="IJ3" s="1742"/>
      <c r="IK3" s="1742"/>
      <c r="IL3" s="1742"/>
      <c r="IM3" s="1742"/>
      <c r="IN3" s="1742"/>
    </row>
    <row r="4" spans="1:248">
      <c r="A4" s="1725" t="s">
        <v>193</v>
      </c>
      <c r="B4" s="1726"/>
      <c r="C4" s="1726"/>
      <c r="D4" s="1726"/>
      <c r="E4" s="1727"/>
      <c r="F4" s="1727"/>
      <c r="G4" s="1727"/>
      <c r="H4" s="1728" t="s">
        <v>2026</v>
      </c>
      <c r="I4" s="1746" t="s">
        <v>2027</v>
      </c>
      <c r="J4" s="1728"/>
      <c r="K4" s="1747"/>
      <c r="L4" s="1747"/>
      <c r="M4" s="1747"/>
      <c r="N4" s="1747"/>
      <c r="O4" s="1747"/>
      <c r="P4" s="1747"/>
      <c r="Q4" s="1747"/>
      <c r="R4" s="1747"/>
      <c r="S4" s="1747"/>
      <c r="T4" s="1747"/>
      <c r="U4" s="1747"/>
      <c r="V4" s="1747"/>
      <c r="W4" s="1747"/>
      <c r="X4" s="1747"/>
      <c r="Y4" s="1747"/>
      <c r="Z4" s="1747"/>
      <c r="AA4" s="1747"/>
      <c r="AB4" s="1747"/>
      <c r="AC4" s="1747"/>
      <c r="AD4" s="1747"/>
      <c r="AE4" s="1747"/>
      <c r="AF4" s="1747"/>
      <c r="AG4" s="1747"/>
      <c r="AH4" s="1747"/>
      <c r="AI4" s="1747"/>
      <c r="AJ4" s="1747"/>
      <c r="AK4" s="1747"/>
      <c r="AL4" s="1747"/>
      <c r="AM4" s="1747"/>
      <c r="AN4" s="1747"/>
      <c r="AO4" s="1747"/>
      <c r="AP4" s="1747"/>
      <c r="AQ4" s="1747"/>
      <c r="AR4" s="1747"/>
      <c r="AS4" s="1747"/>
      <c r="AT4" s="1747"/>
      <c r="AU4" s="1747"/>
      <c r="AV4" s="1747"/>
      <c r="AW4" s="1747"/>
      <c r="AX4" s="1747"/>
      <c r="AY4" s="1747"/>
      <c r="AZ4" s="1747"/>
      <c r="BA4" s="1747"/>
      <c r="BB4" s="1747"/>
      <c r="BC4" s="1747"/>
      <c r="BD4" s="1747"/>
      <c r="BE4" s="1747"/>
      <c r="BF4" s="1747"/>
      <c r="BG4" s="1747"/>
      <c r="BH4" s="1747"/>
      <c r="BI4" s="1747"/>
      <c r="BJ4" s="1747"/>
      <c r="BK4" s="1747"/>
      <c r="BL4" s="1747"/>
      <c r="BM4" s="1747"/>
      <c r="BN4" s="1747"/>
      <c r="BO4" s="1747"/>
      <c r="BP4" s="1747"/>
      <c r="BQ4" s="1747"/>
      <c r="BR4" s="1747"/>
      <c r="BS4" s="1747"/>
      <c r="BT4" s="1747"/>
      <c r="BU4" s="1747"/>
      <c r="BV4" s="1747"/>
      <c r="BW4" s="1747"/>
      <c r="BX4" s="1747"/>
      <c r="BY4" s="1747"/>
      <c r="BZ4" s="1747"/>
      <c r="CA4" s="1747"/>
      <c r="CB4" s="1747"/>
      <c r="CC4" s="1747"/>
      <c r="CD4" s="1747"/>
      <c r="CE4" s="1747"/>
      <c r="CF4" s="1747"/>
      <c r="CG4" s="1747"/>
      <c r="CH4" s="1747"/>
      <c r="CI4" s="1747"/>
      <c r="CJ4" s="1747"/>
      <c r="CK4" s="1747"/>
      <c r="CL4" s="1747"/>
      <c r="CM4" s="1747"/>
      <c r="CN4" s="1747"/>
      <c r="CO4" s="1747"/>
      <c r="CP4" s="1747"/>
      <c r="CQ4" s="1747"/>
      <c r="CR4" s="1747"/>
      <c r="CS4" s="1747"/>
      <c r="CT4" s="1747"/>
      <c r="CU4" s="1747"/>
      <c r="CV4" s="1747"/>
      <c r="CW4" s="1747"/>
      <c r="CX4" s="1747"/>
      <c r="CY4" s="1747"/>
      <c r="CZ4" s="1747"/>
      <c r="DA4" s="1747"/>
      <c r="DB4" s="1747"/>
      <c r="DC4" s="1747"/>
      <c r="DD4" s="1747"/>
      <c r="DE4" s="1747"/>
      <c r="DF4" s="1747"/>
      <c r="DG4" s="1747"/>
      <c r="DH4" s="1747"/>
      <c r="DI4" s="1747"/>
      <c r="DJ4" s="1747"/>
      <c r="DK4" s="1747"/>
      <c r="DL4" s="1747"/>
      <c r="DM4" s="1747"/>
      <c r="DN4" s="1747"/>
      <c r="DO4" s="1747"/>
      <c r="DP4" s="1747"/>
      <c r="DQ4" s="1747"/>
      <c r="DR4" s="1747"/>
      <c r="DS4" s="1747"/>
      <c r="DT4" s="1747"/>
      <c r="DU4" s="1747"/>
      <c r="DV4" s="1747"/>
      <c r="DW4" s="1747"/>
      <c r="DX4" s="1747"/>
      <c r="DY4" s="1747"/>
      <c r="DZ4" s="1747"/>
      <c r="EA4" s="1747"/>
      <c r="EB4" s="1747"/>
      <c r="EC4" s="1747"/>
      <c r="ED4" s="1747"/>
      <c r="EE4" s="1747"/>
      <c r="EF4" s="1747"/>
      <c r="EG4" s="1747"/>
      <c r="EH4" s="1747"/>
      <c r="EI4" s="1747"/>
      <c r="EJ4" s="1747"/>
      <c r="EK4" s="1747"/>
      <c r="EL4" s="1747"/>
      <c r="EM4" s="1747"/>
      <c r="EN4" s="1747"/>
      <c r="EO4" s="1747"/>
      <c r="EP4" s="1747"/>
      <c r="EQ4" s="1747"/>
      <c r="ER4" s="1747"/>
      <c r="ES4" s="1747"/>
      <c r="ET4" s="1747"/>
      <c r="EU4" s="1747"/>
      <c r="EV4" s="1747"/>
      <c r="EW4" s="1747"/>
      <c r="EX4" s="1747"/>
      <c r="EY4" s="1747"/>
      <c r="EZ4" s="1747"/>
      <c r="FA4" s="1747"/>
      <c r="FB4" s="1747"/>
      <c r="FC4" s="1747"/>
      <c r="FD4" s="1747"/>
      <c r="FE4" s="1747"/>
      <c r="FF4" s="1747"/>
      <c r="FG4" s="1747"/>
      <c r="FH4" s="1747"/>
      <c r="FI4" s="1747"/>
      <c r="FJ4" s="1747"/>
      <c r="FK4" s="1747"/>
      <c r="FL4" s="1747"/>
      <c r="FM4" s="1747"/>
      <c r="FN4" s="1747"/>
      <c r="FO4" s="1747"/>
      <c r="FP4" s="1747"/>
      <c r="FQ4" s="1747"/>
      <c r="FR4" s="1747"/>
      <c r="FS4" s="1747"/>
      <c r="FT4" s="1747"/>
      <c r="FU4" s="1747"/>
      <c r="FV4" s="1747"/>
      <c r="FW4" s="1747"/>
      <c r="FX4" s="1747"/>
      <c r="FY4" s="1747"/>
      <c r="FZ4" s="1747"/>
      <c r="GA4" s="1747"/>
      <c r="GB4" s="1747"/>
      <c r="GC4" s="1747"/>
      <c r="GD4" s="1747"/>
      <c r="GE4" s="1747"/>
      <c r="GF4" s="1747"/>
      <c r="GG4" s="1747"/>
      <c r="GH4" s="1747"/>
      <c r="GI4" s="1747"/>
      <c r="GJ4" s="1747"/>
      <c r="GK4" s="1747"/>
      <c r="GL4" s="1747"/>
      <c r="GM4" s="1747"/>
      <c r="GN4" s="1747"/>
      <c r="GO4" s="1747"/>
      <c r="GP4" s="1747"/>
      <c r="GQ4" s="1747"/>
      <c r="GR4" s="1747"/>
      <c r="GS4" s="1747"/>
      <c r="GT4" s="1747"/>
      <c r="GU4" s="1747"/>
      <c r="GV4" s="1747"/>
      <c r="GW4" s="1747"/>
      <c r="GX4" s="1747"/>
      <c r="GY4" s="1747"/>
      <c r="GZ4" s="1747"/>
      <c r="HA4" s="1747"/>
      <c r="HB4" s="1747"/>
      <c r="HC4" s="1747"/>
      <c r="HD4" s="1747"/>
      <c r="HE4" s="1747"/>
      <c r="HF4" s="1747"/>
      <c r="HG4" s="1747"/>
      <c r="HH4" s="1747"/>
      <c r="HI4" s="1747"/>
      <c r="HJ4" s="1747"/>
      <c r="HK4" s="1747"/>
      <c r="HL4" s="1747"/>
      <c r="HM4" s="1747"/>
      <c r="HN4" s="1747"/>
      <c r="HO4" s="1747"/>
      <c r="HP4" s="1747"/>
      <c r="HQ4" s="1747"/>
      <c r="HR4" s="1747"/>
      <c r="HS4" s="1747"/>
      <c r="HT4" s="1747"/>
      <c r="HU4" s="1747"/>
      <c r="HV4" s="1747"/>
      <c r="HW4" s="1747"/>
      <c r="HX4" s="1747"/>
      <c r="HY4" s="1747"/>
      <c r="HZ4" s="1747"/>
      <c r="IA4" s="1747"/>
      <c r="IB4" s="1747"/>
      <c r="IC4" s="1747"/>
      <c r="ID4" s="1747"/>
      <c r="IE4" s="1747"/>
      <c r="IF4" s="1747"/>
      <c r="IG4" s="1747"/>
      <c r="IH4" s="1747"/>
      <c r="II4" s="1747"/>
      <c r="IJ4" s="1747"/>
      <c r="IK4" s="1747"/>
      <c r="IL4" s="1747"/>
      <c r="IM4" s="1747"/>
      <c r="IN4" s="1747"/>
    </row>
    <row r="5" spans="1:248">
      <c r="A5" s="1729" t="s">
        <v>195</v>
      </c>
      <c r="B5" s="1730">
        <f>审定资负表!C7</f>
        <v>0</v>
      </c>
      <c r="C5" s="1730">
        <f>审定资负表!D7</f>
        <v>0</v>
      </c>
      <c r="D5" s="1731" t="str">
        <f>IF(B5=0," ",B5/$B$46)</f>
        <v> </v>
      </c>
      <c r="E5" s="1732">
        <f>B5-C5</f>
        <v>0</v>
      </c>
      <c r="F5" s="1733" t="str">
        <f>IFERROR(IF(C5=0,B5/B5,ROUND(E5/ABS(C5),4)),"")</f>
        <v/>
      </c>
      <c r="G5" s="1734"/>
      <c r="H5" s="1735" t="str">
        <f>IF(报表附注!H27=0,"相符","不相符")</f>
        <v>相符</v>
      </c>
      <c r="I5" s="1735" t="str">
        <f>IF(报表附注!K27=0,"相符","不相符")</f>
        <v>相符</v>
      </c>
      <c r="J5" s="1748" t="s">
        <v>1474</v>
      </c>
      <c r="K5" s="1749"/>
      <c r="L5" s="1749"/>
      <c r="M5" s="1749"/>
      <c r="N5" s="1749"/>
      <c r="O5" s="1749"/>
      <c r="P5" s="1749"/>
      <c r="Q5" s="1749"/>
      <c r="R5" s="1749"/>
      <c r="S5" s="1749"/>
      <c r="T5" s="1749"/>
      <c r="U5" s="1749"/>
      <c r="V5" s="1749"/>
      <c r="W5" s="1749"/>
      <c r="X5" s="1749"/>
      <c r="Y5" s="1749"/>
      <c r="Z5" s="1749"/>
      <c r="AA5" s="1749"/>
      <c r="AB5" s="1749"/>
      <c r="AC5" s="1749"/>
      <c r="AD5" s="1749"/>
      <c r="AE5" s="1749"/>
      <c r="AF5" s="1749"/>
      <c r="AG5" s="1749"/>
      <c r="AH5" s="1749"/>
      <c r="AI5" s="1749"/>
      <c r="AJ5" s="1749"/>
      <c r="AK5" s="1749"/>
      <c r="AL5" s="1749"/>
      <c r="AM5" s="1749"/>
      <c r="AN5" s="1749"/>
      <c r="AO5" s="1749"/>
      <c r="AP5" s="1749"/>
      <c r="AQ5" s="1749"/>
      <c r="AR5" s="1749"/>
      <c r="AS5" s="1749"/>
      <c r="AT5" s="1749"/>
      <c r="AU5" s="1749"/>
      <c r="AV5" s="1749"/>
      <c r="AW5" s="1749"/>
      <c r="AX5" s="1749"/>
      <c r="AY5" s="1749"/>
      <c r="AZ5" s="1749"/>
      <c r="BA5" s="1749"/>
      <c r="BB5" s="1749"/>
      <c r="BC5" s="1749"/>
      <c r="BD5" s="1749"/>
      <c r="BE5" s="1749"/>
      <c r="BF5" s="1749"/>
      <c r="BG5" s="1749"/>
      <c r="BH5" s="1749"/>
      <c r="BI5" s="1749"/>
      <c r="BJ5" s="1749"/>
      <c r="BK5" s="1749"/>
      <c r="BL5" s="1749"/>
      <c r="BM5" s="1749"/>
      <c r="BN5" s="1749"/>
      <c r="BO5" s="1749"/>
      <c r="BP5" s="1749"/>
      <c r="BQ5" s="1749"/>
      <c r="BR5" s="1749"/>
      <c r="BS5" s="1749"/>
      <c r="BT5" s="1749"/>
      <c r="BU5" s="1749"/>
      <c r="BV5" s="1749"/>
      <c r="BW5" s="1749"/>
      <c r="BX5" s="1749"/>
      <c r="BY5" s="1749"/>
      <c r="BZ5" s="1749"/>
      <c r="CA5" s="1749"/>
      <c r="CB5" s="1749"/>
      <c r="CC5" s="1749"/>
      <c r="CD5" s="1749"/>
      <c r="CE5" s="1749"/>
      <c r="CF5" s="1749"/>
      <c r="CG5" s="1749"/>
      <c r="CH5" s="1749"/>
      <c r="CI5" s="1749"/>
      <c r="CJ5" s="1749"/>
      <c r="CK5" s="1749"/>
      <c r="CL5" s="1749"/>
      <c r="CM5" s="1749"/>
      <c r="CN5" s="1749"/>
      <c r="CO5" s="1749"/>
      <c r="CP5" s="1749"/>
      <c r="CQ5" s="1749"/>
      <c r="CR5" s="1749"/>
      <c r="CS5" s="1749"/>
      <c r="CT5" s="1749"/>
      <c r="CU5" s="1749"/>
      <c r="CV5" s="1749"/>
      <c r="CW5" s="1749"/>
      <c r="CX5" s="1749"/>
      <c r="CY5" s="1749"/>
      <c r="CZ5" s="1749"/>
      <c r="DA5" s="1749"/>
      <c r="DB5" s="1749"/>
      <c r="DC5" s="1749"/>
      <c r="DD5" s="1749"/>
      <c r="DE5" s="1749"/>
      <c r="DF5" s="1749"/>
      <c r="DG5" s="1749"/>
      <c r="DH5" s="1749"/>
      <c r="DI5" s="1749"/>
      <c r="DJ5" s="1749"/>
      <c r="DK5" s="1749"/>
      <c r="DL5" s="1749"/>
      <c r="DM5" s="1749"/>
      <c r="DN5" s="1749"/>
      <c r="DO5" s="1749"/>
      <c r="DP5" s="1749"/>
      <c r="DQ5" s="1749"/>
      <c r="DR5" s="1749"/>
      <c r="DS5" s="1749"/>
      <c r="DT5" s="1749"/>
      <c r="DU5" s="1749"/>
      <c r="DV5" s="1749"/>
      <c r="DW5" s="1749"/>
      <c r="DX5" s="1749"/>
      <c r="DY5" s="1749"/>
      <c r="DZ5" s="1749"/>
      <c r="EA5" s="1749"/>
      <c r="EB5" s="1749"/>
      <c r="EC5" s="1749"/>
      <c r="ED5" s="1749"/>
      <c r="EE5" s="1749"/>
      <c r="EF5" s="1749"/>
      <c r="EG5" s="1749"/>
      <c r="EH5" s="1749"/>
      <c r="EI5" s="1749"/>
      <c r="EJ5" s="1749"/>
      <c r="EK5" s="1749"/>
      <c r="EL5" s="1749"/>
      <c r="EM5" s="1749"/>
      <c r="EN5" s="1749"/>
      <c r="EO5" s="1749"/>
      <c r="EP5" s="1749"/>
      <c r="EQ5" s="1749"/>
      <c r="ER5" s="1749"/>
      <c r="ES5" s="1749"/>
      <c r="ET5" s="1749"/>
      <c r="EU5" s="1749"/>
      <c r="EV5" s="1749"/>
      <c r="EW5" s="1749"/>
      <c r="EX5" s="1749"/>
      <c r="EY5" s="1749"/>
      <c r="EZ5" s="1749"/>
      <c r="FA5" s="1749"/>
      <c r="FB5" s="1749"/>
      <c r="FC5" s="1749"/>
      <c r="FD5" s="1749"/>
      <c r="FE5" s="1749"/>
      <c r="FF5" s="1749"/>
      <c r="FG5" s="1749"/>
      <c r="FH5" s="1749"/>
      <c r="FI5" s="1749"/>
      <c r="FJ5" s="1749"/>
      <c r="FK5" s="1749"/>
      <c r="FL5" s="1749"/>
      <c r="FM5" s="1749"/>
      <c r="FN5" s="1749"/>
      <c r="FO5" s="1749"/>
      <c r="FP5" s="1749"/>
      <c r="FQ5" s="1749"/>
      <c r="FR5" s="1749"/>
      <c r="FS5" s="1749"/>
      <c r="FT5" s="1749"/>
      <c r="FU5" s="1749"/>
      <c r="FV5" s="1749"/>
      <c r="FW5" s="1749"/>
      <c r="FX5" s="1749"/>
      <c r="FY5" s="1749"/>
      <c r="FZ5" s="1749"/>
      <c r="GA5" s="1749"/>
      <c r="GB5" s="1749"/>
      <c r="GC5" s="1749"/>
      <c r="GD5" s="1749"/>
      <c r="GE5" s="1749"/>
      <c r="GF5" s="1749"/>
      <c r="GG5" s="1749"/>
      <c r="GH5" s="1749"/>
      <c r="GI5" s="1749"/>
      <c r="GJ5" s="1749"/>
      <c r="GK5" s="1749"/>
      <c r="GL5" s="1749"/>
      <c r="GM5" s="1749"/>
      <c r="GN5" s="1749"/>
      <c r="GO5" s="1749"/>
      <c r="GP5" s="1749"/>
      <c r="GQ5" s="1749"/>
      <c r="GR5" s="1749"/>
      <c r="GS5" s="1749"/>
      <c r="GT5" s="1749"/>
      <c r="GU5" s="1749"/>
      <c r="GV5" s="1749"/>
      <c r="GW5" s="1749"/>
      <c r="GX5" s="1749"/>
      <c r="GY5" s="1749"/>
      <c r="GZ5" s="1749"/>
      <c r="HA5" s="1749"/>
      <c r="HB5" s="1749"/>
      <c r="HC5" s="1749"/>
      <c r="HD5" s="1749"/>
      <c r="HE5" s="1749"/>
      <c r="HF5" s="1749"/>
      <c r="HG5" s="1749"/>
      <c r="HH5" s="1749"/>
      <c r="HI5" s="1749"/>
      <c r="HJ5" s="1749"/>
      <c r="HK5" s="1749"/>
      <c r="HL5" s="1749"/>
      <c r="HM5" s="1749"/>
      <c r="HN5" s="1749"/>
      <c r="HO5" s="1749"/>
      <c r="HP5" s="1749"/>
      <c r="HQ5" s="1749"/>
      <c r="HR5" s="1749"/>
      <c r="HS5" s="1749"/>
      <c r="HT5" s="1749"/>
      <c r="HU5" s="1749"/>
      <c r="HV5" s="1749"/>
      <c r="HW5" s="1749"/>
      <c r="HX5" s="1749"/>
      <c r="HY5" s="1749"/>
      <c r="HZ5" s="1749"/>
      <c r="IA5" s="1749"/>
      <c r="IB5" s="1749"/>
      <c r="IC5" s="1749"/>
      <c r="ID5" s="1749"/>
      <c r="IE5" s="1749"/>
      <c r="IF5" s="1749"/>
      <c r="IG5" s="1749"/>
      <c r="IH5" s="1749"/>
      <c r="II5" s="1749"/>
      <c r="IJ5" s="1749"/>
      <c r="IK5" s="1749"/>
      <c r="IL5" s="1749"/>
      <c r="IM5" s="1749"/>
      <c r="IN5" s="1749"/>
    </row>
    <row r="6" spans="1:248">
      <c r="A6" s="1729" t="s">
        <v>197</v>
      </c>
      <c r="B6" s="1730">
        <f>审定资负表!C8</f>
        <v>0</v>
      </c>
      <c r="C6" s="1730">
        <f>审定资负表!D8</f>
        <v>0</v>
      </c>
      <c r="D6" s="1731" t="str">
        <f t="shared" ref="D6:D69" si="0">IF(B6=0," ",B6/$B$46)</f>
        <v> </v>
      </c>
      <c r="E6" s="1732">
        <f t="shared" ref="E6:E69" si="1">B6-C6</f>
        <v>0</v>
      </c>
      <c r="F6" s="1733" t="str">
        <f t="shared" ref="F6:F69" si="2">IFERROR(IF(C6=0,B6/B6,ROUND(E6/ABS(C6),4)),"")</f>
        <v/>
      </c>
      <c r="G6" s="1734"/>
      <c r="H6" s="1735" t="str">
        <f>IF(报表附注!F56=0,"相符","不相符")</f>
        <v>相符</v>
      </c>
      <c r="I6" s="1735" t="str">
        <f>IF(报表附注!G56=0,"相符","不相符")</f>
        <v>相符</v>
      </c>
      <c r="J6" s="1748" t="s">
        <v>1476</v>
      </c>
      <c r="K6" s="1749"/>
      <c r="L6" s="1749"/>
      <c r="M6" s="1749"/>
      <c r="N6" s="1749"/>
      <c r="O6" s="1749"/>
      <c r="P6" s="1749"/>
      <c r="Q6" s="1749"/>
      <c r="R6" s="1749"/>
      <c r="S6" s="1749"/>
      <c r="T6" s="1749"/>
      <c r="U6" s="1749"/>
      <c r="V6" s="1749"/>
      <c r="W6" s="1749"/>
      <c r="X6" s="1749"/>
      <c r="Y6" s="1749"/>
      <c r="Z6" s="1749"/>
      <c r="AA6" s="1749"/>
      <c r="AB6" s="1749"/>
      <c r="AC6" s="1749"/>
      <c r="AD6" s="1749"/>
      <c r="AE6" s="1749"/>
      <c r="AF6" s="1749"/>
      <c r="AG6" s="1749"/>
      <c r="AH6" s="1749"/>
      <c r="AI6" s="1749"/>
      <c r="AJ6" s="1749"/>
      <c r="AK6" s="1749"/>
      <c r="AL6" s="1749"/>
      <c r="AM6" s="1749"/>
      <c r="AN6" s="1749"/>
      <c r="AO6" s="1749"/>
      <c r="AP6" s="1749"/>
      <c r="AQ6" s="1749"/>
      <c r="AR6" s="1749"/>
      <c r="AS6" s="1749"/>
      <c r="AT6" s="1749"/>
      <c r="AU6" s="1749"/>
      <c r="AV6" s="1749"/>
      <c r="AW6" s="1749"/>
      <c r="AX6" s="1749"/>
      <c r="AY6" s="1749"/>
      <c r="AZ6" s="1749"/>
      <c r="BA6" s="1749"/>
      <c r="BB6" s="1749"/>
      <c r="BC6" s="1749"/>
      <c r="BD6" s="1749"/>
      <c r="BE6" s="1749"/>
      <c r="BF6" s="1749"/>
      <c r="BG6" s="1749"/>
      <c r="BH6" s="1749"/>
      <c r="BI6" s="1749"/>
      <c r="BJ6" s="1749"/>
      <c r="BK6" s="1749"/>
      <c r="BL6" s="1749"/>
      <c r="BM6" s="1749"/>
      <c r="BN6" s="1749"/>
      <c r="BO6" s="1749"/>
      <c r="BP6" s="1749"/>
      <c r="BQ6" s="1749"/>
      <c r="BR6" s="1749"/>
      <c r="BS6" s="1749"/>
      <c r="BT6" s="1749"/>
      <c r="BU6" s="1749"/>
      <c r="BV6" s="1749"/>
      <c r="BW6" s="1749"/>
      <c r="BX6" s="1749"/>
      <c r="BY6" s="1749"/>
      <c r="BZ6" s="1749"/>
      <c r="CA6" s="1749"/>
      <c r="CB6" s="1749"/>
      <c r="CC6" s="1749"/>
      <c r="CD6" s="1749"/>
      <c r="CE6" s="1749"/>
      <c r="CF6" s="1749"/>
      <c r="CG6" s="1749"/>
      <c r="CH6" s="1749"/>
      <c r="CI6" s="1749"/>
      <c r="CJ6" s="1749"/>
      <c r="CK6" s="1749"/>
      <c r="CL6" s="1749"/>
      <c r="CM6" s="1749"/>
      <c r="CN6" s="1749"/>
      <c r="CO6" s="1749"/>
      <c r="CP6" s="1749"/>
      <c r="CQ6" s="1749"/>
      <c r="CR6" s="1749"/>
      <c r="CS6" s="1749"/>
      <c r="CT6" s="1749"/>
      <c r="CU6" s="1749"/>
      <c r="CV6" s="1749"/>
      <c r="CW6" s="1749"/>
      <c r="CX6" s="1749"/>
      <c r="CY6" s="1749"/>
      <c r="CZ6" s="1749"/>
      <c r="DA6" s="1749"/>
      <c r="DB6" s="1749"/>
      <c r="DC6" s="1749"/>
      <c r="DD6" s="1749"/>
      <c r="DE6" s="1749"/>
      <c r="DF6" s="1749"/>
      <c r="DG6" s="1749"/>
      <c r="DH6" s="1749"/>
      <c r="DI6" s="1749"/>
      <c r="DJ6" s="1749"/>
      <c r="DK6" s="1749"/>
      <c r="DL6" s="1749"/>
      <c r="DM6" s="1749"/>
      <c r="DN6" s="1749"/>
      <c r="DO6" s="1749"/>
      <c r="DP6" s="1749"/>
      <c r="DQ6" s="1749"/>
      <c r="DR6" s="1749"/>
      <c r="DS6" s="1749"/>
      <c r="DT6" s="1749"/>
      <c r="DU6" s="1749"/>
      <c r="DV6" s="1749"/>
      <c r="DW6" s="1749"/>
      <c r="DX6" s="1749"/>
      <c r="DY6" s="1749"/>
      <c r="DZ6" s="1749"/>
      <c r="EA6" s="1749"/>
      <c r="EB6" s="1749"/>
      <c r="EC6" s="1749"/>
      <c r="ED6" s="1749"/>
      <c r="EE6" s="1749"/>
      <c r="EF6" s="1749"/>
      <c r="EG6" s="1749"/>
      <c r="EH6" s="1749"/>
      <c r="EI6" s="1749"/>
      <c r="EJ6" s="1749"/>
      <c r="EK6" s="1749"/>
      <c r="EL6" s="1749"/>
      <c r="EM6" s="1749"/>
      <c r="EN6" s="1749"/>
      <c r="EO6" s="1749"/>
      <c r="EP6" s="1749"/>
      <c r="EQ6" s="1749"/>
      <c r="ER6" s="1749"/>
      <c r="ES6" s="1749"/>
      <c r="ET6" s="1749"/>
      <c r="EU6" s="1749"/>
      <c r="EV6" s="1749"/>
      <c r="EW6" s="1749"/>
      <c r="EX6" s="1749"/>
      <c r="EY6" s="1749"/>
      <c r="EZ6" s="1749"/>
      <c r="FA6" s="1749"/>
      <c r="FB6" s="1749"/>
      <c r="FC6" s="1749"/>
      <c r="FD6" s="1749"/>
      <c r="FE6" s="1749"/>
      <c r="FF6" s="1749"/>
      <c r="FG6" s="1749"/>
      <c r="FH6" s="1749"/>
      <c r="FI6" s="1749"/>
      <c r="FJ6" s="1749"/>
      <c r="FK6" s="1749"/>
      <c r="FL6" s="1749"/>
      <c r="FM6" s="1749"/>
      <c r="FN6" s="1749"/>
      <c r="FO6" s="1749"/>
      <c r="FP6" s="1749"/>
      <c r="FQ6" s="1749"/>
      <c r="FR6" s="1749"/>
      <c r="FS6" s="1749"/>
      <c r="FT6" s="1749"/>
      <c r="FU6" s="1749"/>
      <c r="FV6" s="1749"/>
      <c r="FW6" s="1749"/>
      <c r="FX6" s="1749"/>
      <c r="FY6" s="1749"/>
      <c r="FZ6" s="1749"/>
      <c r="GA6" s="1749"/>
      <c r="GB6" s="1749"/>
      <c r="GC6" s="1749"/>
      <c r="GD6" s="1749"/>
      <c r="GE6" s="1749"/>
      <c r="GF6" s="1749"/>
      <c r="GG6" s="1749"/>
      <c r="GH6" s="1749"/>
      <c r="GI6" s="1749"/>
      <c r="GJ6" s="1749"/>
      <c r="GK6" s="1749"/>
      <c r="GL6" s="1749"/>
      <c r="GM6" s="1749"/>
      <c r="GN6" s="1749"/>
      <c r="GO6" s="1749"/>
      <c r="GP6" s="1749"/>
      <c r="GQ6" s="1749"/>
      <c r="GR6" s="1749"/>
      <c r="GS6" s="1749"/>
      <c r="GT6" s="1749"/>
      <c r="GU6" s="1749"/>
      <c r="GV6" s="1749"/>
      <c r="GW6" s="1749"/>
      <c r="GX6" s="1749"/>
      <c r="GY6" s="1749"/>
      <c r="GZ6" s="1749"/>
      <c r="HA6" s="1749"/>
      <c r="HB6" s="1749"/>
      <c r="HC6" s="1749"/>
      <c r="HD6" s="1749"/>
      <c r="HE6" s="1749"/>
      <c r="HF6" s="1749"/>
      <c r="HG6" s="1749"/>
      <c r="HH6" s="1749"/>
      <c r="HI6" s="1749"/>
      <c r="HJ6" s="1749"/>
      <c r="HK6" s="1749"/>
      <c r="HL6" s="1749"/>
      <c r="HM6" s="1749"/>
      <c r="HN6" s="1749"/>
      <c r="HO6" s="1749"/>
      <c r="HP6" s="1749"/>
      <c r="HQ6" s="1749"/>
      <c r="HR6" s="1749"/>
      <c r="HS6" s="1749"/>
      <c r="HT6" s="1749"/>
      <c r="HU6" s="1749"/>
      <c r="HV6" s="1749"/>
      <c r="HW6" s="1749"/>
      <c r="HX6" s="1749"/>
      <c r="HY6" s="1749"/>
      <c r="HZ6" s="1749"/>
      <c r="IA6" s="1749"/>
      <c r="IB6" s="1749"/>
      <c r="IC6" s="1749"/>
      <c r="ID6" s="1749"/>
      <c r="IE6" s="1749"/>
      <c r="IF6" s="1749"/>
      <c r="IG6" s="1749"/>
      <c r="IH6" s="1749"/>
      <c r="II6" s="1749"/>
      <c r="IJ6" s="1749"/>
      <c r="IK6" s="1749"/>
      <c r="IL6" s="1749"/>
      <c r="IM6" s="1749"/>
      <c r="IN6" s="1749"/>
    </row>
    <row r="7" spans="1:248">
      <c r="A7" s="1729" t="s">
        <v>199</v>
      </c>
      <c r="B7" s="1730">
        <f>审定资负表!C9</f>
        <v>0</v>
      </c>
      <c r="C7" s="1730">
        <f>审定资负表!D9</f>
        <v>0</v>
      </c>
      <c r="D7" s="1731" t="str">
        <f t="shared" si="0"/>
        <v> </v>
      </c>
      <c r="E7" s="1732">
        <f t="shared" si="1"/>
        <v>0</v>
      </c>
      <c r="F7" s="1733" t="str">
        <f t="shared" si="2"/>
        <v/>
      </c>
      <c r="G7" s="1734"/>
      <c r="H7" s="1735" t="str">
        <f>IF(报表附注!F78=0,"相符","不相符")</f>
        <v>相符</v>
      </c>
      <c r="I7" s="1735" t="str">
        <f>IF(报表附注!G78=0,"相符","不相符")</f>
        <v>相符</v>
      </c>
      <c r="J7" s="1748" t="s">
        <v>1478</v>
      </c>
      <c r="K7" s="1749"/>
      <c r="L7" s="1749"/>
      <c r="M7" s="1749"/>
      <c r="N7" s="1749"/>
      <c r="O7" s="1749"/>
      <c r="P7" s="1749"/>
      <c r="Q7" s="1749"/>
      <c r="R7" s="1749"/>
      <c r="S7" s="1749"/>
      <c r="T7" s="1749"/>
      <c r="U7" s="1749"/>
      <c r="V7" s="1749"/>
      <c r="W7" s="1749"/>
      <c r="X7" s="1749"/>
      <c r="Y7" s="1749"/>
      <c r="Z7" s="1749"/>
      <c r="AA7" s="1749"/>
      <c r="AB7" s="1749"/>
      <c r="AC7" s="1749"/>
      <c r="AD7" s="1749"/>
      <c r="AE7" s="1749"/>
      <c r="AF7" s="1749"/>
      <c r="AG7" s="1749"/>
      <c r="AH7" s="1749"/>
      <c r="AI7" s="1749"/>
      <c r="AJ7" s="1749"/>
      <c r="AK7" s="1749"/>
      <c r="AL7" s="1749"/>
      <c r="AM7" s="1749"/>
      <c r="AN7" s="1749"/>
      <c r="AO7" s="1749"/>
      <c r="AP7" s="1749"/>
      <c r="AQ7" s="1749"/>
      <c r="AR7" s="1749"/>
      <c r="AS7" s="1749"/>
      <c r="AT7" s="1749"/>
      <c r="AU7" s="1749"/>
      <c r="AV7" s="1749"/>
      <c r="AW7" s="1749"/>
      <c r="AX7" s="1749"/>
      <c r="AY7" s="1749"/>
      <c r="AZ7" s="1749"/>
      <c r="BA7" s="1749"/>
      <c r="BB7" s="1749"/>
      <c r="BC7" s="1749"/>
      <c r="BD7" s="1749"/>
      <c r="BE7" s="1749"/>
      <c r="BF7" s="1749"/>
      <c r="BG7" s="1749"/>
      <c r="BH7" s="1749"/>
      <c r="BI7" s="1749"/>
      <c r="BJ7" s="1749"/>
      <c r="BK7" s="1749"/>
      <c r="BL7" s="1749"/>
      <c r="BM7" s="1749"/>
      <c r="BN7" s="1749"/>
      <c r="BO7" s="1749"/>
      <c r="BP7" s="1749"/>
      <c r="BQ7" s="1749"/>
      <c r="BR7" s="1749"/>
      <c r="BS7" s="1749"/>
      <c r="BT7" s="1749"/>
      <c r="BU7" s="1749"/>
      <c r="BV7" s="1749"/>
      <c r="BW7" s="1749"/>
      <c r="BX7" s="1749"/>
      <c r="BY7" s="1749"/>
      <c r="BZ7" s="1749"/>
      <c r="CA7" s="1749"/>
      <c r="CB7" s="1749"/>
      <c r="CC7" s="1749"/>
      <c r="CD7" s="1749"/>
      <c r="CE7" s="1749"/>
      <c r="CF7" s="1749"/>
      <c r="CG7" s="1749"/>
      <c r="CH7" s="1749"/>
      <c r="CI7" s="1749"/>
      <c r="CJ7" s="1749"/>
      <c r="CK7" s="1749"/>
      <c r="CL7" s="1749"/>
      <c r="CM7" s="1749"/>
      <c r="CN7" s="1749"/>
      <c r="CO7" s="1749"/>
      <c r="CP7" s="1749"/>
      <c r="CQ7" s="1749"/>
      <c r="CR7" s="1749"/>
      <c r="CS7" s="1749"/>
      <c r="CT7" s="1749"/>
      <c r="CU7" s="1749"/>
      <c r="CV7" s="1749"/>
      <c r="CW7" s="1749"/>
      <c r="CX7" s="1749"/>
      <c r="CY7" s="1749"/>
      <c r="CZ7" s="1749"/>
      <c r="DA7" s="1749"/>
      <c r="DB7" s="1749"/>
      <c r="DC7" s="1749"/>
      <c r="DD7" s="1749"/>
      <c r="DE7" s="1749"/>
      <c r="DF7" s="1749"/>
      <c r="DG7" s="1749"/>
      <c r="DH7" s="1749"/>
      <c r="DI7" s="1749"/>
      <c r="DJ7" s="1749"/>
      <c r="DK7" s="1749"/>
      <c r="DL7" s="1749"/>
      <c r="DM7" s="1749"/>
      <c r="DN7" s="1749"/>
      <c r="DO7" s="1749"/>
      <c r="DP7" s="1749"/>
      <c r="DQ7" s="1749"/>
      <c r="DR7" s="1749"/>
      <c r="DS7" s="1749"/>
      <c r="DT7" s="1749"/>
      <c r="DU7" s="1749"/>
      <c r="DV7" s="1749"/>
      <c r="DW7" s="1749"/>
      <c r="DX7" s="1749"/>
      <c r="DY7" s="1749"/>
      <c r="DZ7" s="1749"/>
      <c r="EA7" s="1749"/>
      <c r="EB7" s="1749"/>
      <c r="EC7" s="1749"/>
      <c r="ED7" s="1749"/>
      <c r="EE7" s="1749"/>
      <c r="EF7" s="1749"/>
      <c r="EG7" s="1749"/>
      <c r="EH7" s="1749"/>
      <c r="EI7" s="1749"/>
      <c r="EJ7" s="1749"/>
      <c r="EK7" s="1749"/>
      <c r="EL7" s="1749"/>
      <c r="EM7" s="1749"/>
      <c r="EN7" s="1749"/>
      <c r="EO7" s="1749"/>
      <c r="EP7" s="1749"/>
      <c r="EQ7" s="1749"/>
      <c r="ER7" s="1749"/>
      <c r="ES7" s="1749"/>
      <c r="ET7" s="1749"/>
      <c r="EU7" s="1749"/>
      <c r="EV7" s="1749"/>
      <c r="EW7" s="1749"/>
      <c r="EX7" s="1749"/>
      <c r="EY7" s="1749"/>
      <c r="EZ7" s="1749"/>
      <c r="FA7" s="1749"/>
      <c r="FB7" s="1749"/>
      <c r="FC7" s="1749"/>
      <c r="FD7" s="1749"/>
      <c r="FE7" s="1749"/>
      <c r="FF7" s="1749"/>
      <c r="FG7" s="1749"/>
      <c r="FH7" s="1749"/>
      <c r="FI7" s="1749"/>
      <c r="FJ7" s="1749"/>
      <c r="FK7" s="1749"/>
      <c r="FL7" s="1749"/>
      <c r="FM7" s="1749"/>
      <c r="FN7" s="1749"/>
      <c r="FO7" s="1749"/>
      <c r="FP7" s="1749"/>
      <c r="FQ7" s="1749"/>
      <c r="FR7" s="1749"/>
      <c r="FS7" s="1749"/>
      <c r="FT7" s="1749"/>
      <c r="FU7" s="1749"/>
      <c r="FV7" s="1749"/>
      <c r="FW7" s="1749"/>
      <c r="FX7" s="1749"/>
      <c r="FY7" s="1749"/>
      <c r="FZ7" s="1749"/>
      <c r="GA7" s="1749"/>
      <c r="GB7" s="1749"/>
      <c r="GC7" s="1749"/>
      <c r="GD7" s="1749"/>
      <c r="GE7" s="1749"/>
      <c r="GF7" s="1749"/>
      <c r="GG7" s="1749"/>
      <c r="GH7" s="1749"/>
      <c r="GI7" s="1749"/>
      <c r="GJ7" s="1749"/>
      <c r="GK7" s="1749"/>
      <c r="GL7" s="1749"/>
      <c r="GM7" s="1749"/>
      <c r="GN7" s="1749"/>
      <c r="GO7" s="1749"/>
      <c r="GP7" s="1749"/>
      <c r="GQ7" s="1749"/>
      <c r="GR7" s="1749"/>
      <c r="GS7" s="1749"/>
      <c r="GT7" s="1749"/>
      <c r="GU7" s="1749"/>
      <c r="GV7" s="1749"/>
      <c r="GW7" s="1749"/>
      <c r="GX7" s="1749"/>
      <c r="GY7" s="1749"/>
      <c r="GZ7" s="1749"/>
      <c r="HA7" s="1749"/>
      <c r="HB7" s="1749"/>
      <c r="HC7" s="1749"/>
      <c r="HD7" s="1749"/>
      <c r="HE7" s="1749"/>
      <c r="HF7" s="1749"/>
      <c r="HG7" s="1749"/>
      <c r="HH7" s="1749"/>
      <c r="HI7" s="1749"/>
      <c r="HJ7" s="1749"/>
      <c r="HK7" s="1749"/>
      <c r="HL7" s="1749"/>
      <c r="HM7" s="1749"/>
      <c r="HN7" s="1749"/>
      <c r="HO7" s="1749"/>
      <c r="HP7" s="1749"/>
      <c r="HQ7" s="1749"/>
      <c r="HR7" s="1749"/>
      <c r="HS7" s="1749"/>
      <c r="HT7" s="1749"/>
      <c r="HU7" s="1749"/>
      <c r="HV7" s="1749"/>
      <c r="HW7" s="1749"/>
      <c r="HX7" s="1749"/>
      <c r="HY7" s="1749"/>
      <c r="HZ7" s="1749"/>
      <c r="IA7" s="1749"/>
      <c r="IB7" s="1749"/>
      <c r="IC7" s="1749"/>
      <c r="ID7" s="1749"/>
      <c r="IE7" s="1749"/>
      <c r="IF7" s="1749"/>
      <c r="IG7" s="1749"/>
      <c r="IH7" s="1749"/>
      <c r="II7" s="1749"/>
      <c r="IJ7" s="1749"/>
      <c r="IK7" s="1749"/>
      <c r="IL7" s="1749"/>
      <c r="IM7" s="1749"/>
      <c r="IN7" s="1749"/>
    </row>
    <row r="8" spans="1:248">
      <c r="A8" s="1729" t="s">
        <v>201</v>
      </c>
      <c r="B8" s="1730">
        <f>审定资负表!C10</f>
        <v>0</v>
      </c>
      <c r="C8" s="1730">
        <f>审定资负表!D10</f>
        <v>0</v>
      </c>
      <c r="D8" s="1731" t="str">
        <f t="shared" si="0"/>
        <v> </v>
      </c>
      <c r="E8" s="1732">
        <f t="shared" si="1"/>
        <v>0</v>
      </c>
      <c r="F8" s="1733" t="str">
        <f t="shared" si="2"/>
        <v/>
      </c>
      <c r="G8" s="1734"/>
      <c r="H8" s="1735" t="str">
        <f>IF(报表附注!F207=0,"相符","不相符")</f>
        <v>相符</v>
      </c>
      <c r="I8" s="1735" t="str">
        <f>IF(报表附注!J207=0,"相符","不相符")</f>
        <v>相符</v>
      </c>
      <c r="J8" s="1748" t="s">
        <v>1480</v>
      </c>
      <c r="K8" s="1732"/>
      <c r="L8" s="1749"/>
      <c r="M8" s="1749"/>
      <c r="N8" s="1749"/>
      <c r="O8" s="1749"/>
      <c r="P8" s="1749"/>
      <c r="Q8" s="1749"/>
      <c r="R8" s="1749"/>
      <c r="S8" s="1749"/>
      <c r="T8" s="1749"/>
      <c r="U8" s="1749"/>
      <c r="V8" s="1749"/>
      <c r="W8" s="1749"/>
      <c r="X8" s="1749"/>
      <c r="Y8" s="1749"/>
      <c r="Z8" s="1749"/>
      <c r="AA8" s="1749"/>
      <c r="AB8" s="1749"/>
      <c r="AC8" s="1749"/>
      <c r="AD8" s="1749"/>
      <c r="AE8" s="1749"/>
      <c r="AF8" s="1749"/>
      <c r="AG8" s="1749"/>
      <c r="AH8" s="1749"/>
      <c r="AI8" s="1749"/>
      <c r="AJ8" s="1749"/>
      <c r="AK8" s="1749"/>
      <c r="AL8" s="1749"/>
      <c r="AM8" s="1749"/>
      <c r="AN8" s="1749"/>
      <c r="AO8" s="1749"/>
      <c r="AP8" s="1749"/>
      <c r="AQ8" s="1749"/>
      <c r="AR8" s="1749"/>
      <c r="AS8" s="1749"/>
      <c r="AT8" s="1749"/>
      <c r="AU8" s="1749"/>
      <c r="AV8" s="1749"/>
      <c r="AW8" s="1749"/>
      <c r="AX8" s="1749"/>
      <c r="AY8" s="1749"/>
      <c r="AZ8" s="1749"/>
      <c r="BA8" s="1749"/>
      <c r="BB8" s="1749"/>
      <c r="BC8" s="1749"/>
      <c r="BD8" s="1749"/>
      <c r="BE8" s="1749"/>
      <c r="BF8" s="1749"/>
      <c r="BG8" s="1749"/>
      <c r="BH8" s="1749"/>
      <c r="BI8" s="1749"/>
      <c r="BJ8" s="1749"/>
      <c r="BK8" s="1749"/>
      <c r="BL8" s="1749"/>
      <c r="BM8" s="1749"/>
      <c r="BN8" s="1749"/>
      <c r="BO8" s="1749"/>
      <c r="BP8" s="1749"/>
      <c r="BQ8" s="1749"/>
      <c r="BR8" s="1749"/>
      <c r="BS8" s="1749"/>
      <c r="BT8" s="1749"/>
      <c r="BU8" s="1749"/>
      <c r="BV8" s="1749"/>
      <c r="BW8" s="1749"/>
      <c r="BX8" s="1749"/>
      <c r="BY8" s="1749"/>
      <c r="BZ8" s="1749"/>
      <c r="CA8" s="1749"/>
      <c r="CB8" s="1749"/>
      <c r="CC8" s="1749"/>
      <c r="CD8" s="1749"/>
      <c r="CE8" s="1749"/>
      <c r="CF8" s="1749"/>
      <c r="CG8" s="1749"/>
      <c r="CH8" s="1749"/>
      <c r="CI8" s="1749"/>
      <c r="CJ8" s="1749"/>
      <c r="CK8" s="1749"/>
      <c r="CL8" s="1749"/>
      <c r="CM8" s="1749"/>
      <c r="CN8" s="1749"/>
      <c r="CO8" s="1749"/>
      <c r="CP8" s="1749"/>
      <c r="CQ8" s="1749"/>
      <c r="CR8" s="1749"/>
      <c r="CS8" s="1749"/>
      <c r="CT8" s="1749"/>
      <c r="CU8" s="1749"/>
      <c r="CV8" s="1749"/>
      <c r="CW8" s="1749"/>
      <c r="CX8" s="1749"/>
      <c r="CY8" s="1749"/>
      <c r="CZ8" s="1749"/>
      <c r="DA8" s="1749"/>
      <c r="DB8" s="1749"/>
      <c r="DC8" s="1749"/>
      <c r="DD8" s="1749"/>
      <c r="DE8" s="1749"/>
      <c r="DF8" s="1749"/>
      <c r="DG8" s="1749"/>
      <c r="DH8" s="1749"/>
      <c r="DI8" s="1749"/>
      <c r="DJ8" s="1749"/>
      <c r="DK8" s="1749"/>
      <c r="DL8" s="1749"/>
      <c r="DM8" s="1749"/>
      <c r="DN8" s="1749"/>
      <c r="DO8" s="1749"/>
      <c r="DP8" s="1749"/>
      <c r="DQ8" s="1749"/>
      <c r="DR8" s="1749"/>
      <c r="DS8" s="1749"/>
      <c r="DT8" s="1749"/>
      <c r="DU8" s="1749"/>
      <c r="DV8" s="1749"/>
      <c r="DW8" s="1749"/>
      <c r="DX8" s="1749"/>
      <c r="DY8" s="1749"/>
      <c r="DZ8" s="1749"/>
      <c r="EA8" s="1749"/>
      <c r="EB8" s="1749"/>
      <c r="EC8" s="1749"/>
      <c r="ED8" s="1749"/>
      <c r="EE8" s="1749"/>
      <c r="EF8" s="1749"/>
      <c r="EG8" s="1749"/>
      <c r="EH8" s="1749"/>
      <c r="EI8" s="1749"/>
      <c r="EJ8" s="1749"/>
      <c r="EK8" s="1749"/>
      <c r="EL8" s="1749"/>
      <c r="EM8" s="1749"/>
      <c r="EN8" s="1749"/>
      <c r="EO8" s="1749"/>
      <c r="EP8" s="1749"/>
      <c r="EQ8" s="1749"/>
      <c r="ER8" s="1749"/>
      <c r="ES8" s="1749"/>
      <c r="ET8" s="1749"/>
      <c r="EU8" s="1749"/>
      <c r="EV8" s="1749"/>
      <c r="EW8" s="1749"/>
      <c r="EX8" s="1749"/>
      <c r="EY8" s="1749"/>
      <c r="EZ8" s="1749"/>
      <c r="FA8" s="1749"/>
      <c r="FB8" s="1749"/>
      <c r="FC8" s="1749"/>
      <c r="FD8" s="1749"/>
      <c r="FE8" s="1749"/>
      <c r="FF8" s="1749"/>
      <c r="FG8" s="1749"/>
      <c r="FH8" s="1749"/>
      <c r="FI8" s="1749"/>
      <c r="FJ8" s="1749"/>
      <c r="FK8" s="1749"/>
      <c r="FL8" s="1749"/>
      <c r="FM8" s="1749"/>
      <c r="FN8" s="1749"/>
      <c r="FO8" s="1749"/>
      <c r="FP8" s="1749"/>
      <c r="FQ8" s="1749"/>
      <c r="FR8" s="1749"/>
      <c r="FS8" s="1749"/>
      <c r="FT8" s="1749"/>
      <c r="FU8" s="1749"/>
      <c r="FV8" s="1749"/>
      <c r="FW8" s="1749"/>
      <c r="FX8" s="1749"/>
      <c r="FY8" s="1749"/>
      <c r="FZ8" s="1749"/>
      <c r="GA8" s="1749"/>
      <c r="GB8" s="1749"/>
      <c r="GC8" s="1749"/>
      <c r="GD8" s="1749"/>
      <c r="GE8" s="1749"/>
      <c r="GF8" s="1749"/>
      <c r="GG8" s="1749"/>
      <c r="GH8" s="1749"/>
      <c r="GI8" s="1749"/>
      <c r="GJ8" s="1749"/>
      <c r="GK8" s="1749"/>
      <c r="GL8" s="1749"/>
      <c r="GM8" s="1749"/>
      <c r="GN8" s="1749"/>
      <c r="GO8" s="1749"/>
      <c r="GP8" s="1749"/>
      <c r="GQ8" s="1749"/>
      <c r="GR8" s="1749"/>
      <c r="GS8" s="1749"/>
      <c r="GT8" s="1749"/>
      <c r="GU8" s="1749"/>
      <c r="GV8" s="1749"/>
      <c r="GW8" s="1749"/>
      <c r="GX8" s="1749"/>
      <c r="GY8" s="1749"/>
      <c r="GZ8" s="1749"/>
      <c r="HA8" s="1749"/>
      <c r="HB8" s="1749"/>
      <c r="HC8" s="1749"/>
      <c r="HD8" s="1749"/>
      <c r="HE8" s="1749"/>
      <c r="HF8" s="1749"/>
      <c r="HG8" s="1749"/>
      <c r="HH8" s="1749"/>
      <c r="HI8" s="1749"/>
      <c r="HJ8" s="1749"/>
      <c r="HK8" s="1749"/>
      <c r="HL8" s="1749"/>
      <c r="HM8" s="1749"/>
      <c r="HN8" s="1749"/>
      <c r="HO8" s="1749"/>
      <c r="HP8" s="1749"/>
      <c r="HQ8" s="1749"/>
      <c r="HR8" s="1749"/>
      <c r="HS8" s="1749"/>
      <c r="HT8" s="1749"/>
      <c r="HU8" s="1749"/>
      <c r="HV8" s="1749"/>
      <c r="HW8" s="1749"/>
      <c r="HX8" s="1749"/>
      <c r="HY8" s="1749"/>
      <c r="HZ8" s="1749"/>
      <c r="IA8" s="1749"/>
      <c r="IB8" s="1749"/>
      <c r="IC8" s="1749"/>
      <c r="ID8" s="1749"/>
      <c r="IE8" s="1749"/>
      <c r="IF8" s="1749"/>
      <c r="IG8" s="1749"/>
      <c r="IH8" s="1749"/>
      <c r="II8" s="1749"/>
      <c r="IJ8" s="1749"/>
      <c r="IK8" s="1749"/>
      <c r="IL8" s="1749"/>
      <c r="IM8" s="1749"/>
      <c r="IN8" s="1749"/>
    </row>
    <row r="9" spans="1:248">
      <c r="A9" s="1729" t="s">
        <v>203</v>
      </c>
      <c r="B9" s="1730">
        <f>审定资负表!C11</f>
        <v>0</v>
      </c>
      <c r="C9" s="1730">
        <f>审定资负表!D11</f>
        <v>0</v>
      </c>
      <c r="D9" s="1731" t="str">
        <f t="shared" si="0"/>
        <v> </v>
      </c>
      <c r="E9" s="1732">
        <f t="shared" si="1"/>
        <v>0</v>
      </c>
      <c r="F9" s="1733" t="str">
        <f t="shared" si="2"/>
        <v/>
      </c>
      <c r="G9" s="1734"/>
      <c r="H9" s="1735" t="str">
        <f>IF(报表附注!F508=0,"相符","不相符")</f>
        <v>相符</v>
      </c>
      <c r="I9" s="1735" t="str">
        <f>IF(报表附注!H508=0,"相符","不相符")</f>
        <v>相符</v>
      </c>
      <c r="J9" s="1748" t="s">
        <v>1482</v>
      </c>
      <c r="K9" s="1749"/>
      <c r="L9" s="1749"/>
      <c r="M9" s="1749"/>
      <c r="N9" s="1749"/>
      <c r="O9" s="1749"/>
      <c r="P9" s="1749"/>
      <c r="Q9" s="1749"/>
      <c r="R9" s="1749"/>
      <c r="S9" s="1749"/>
      <c r="T9" s="1749"/>
      <c r="U9" s="1749"/>
      <c r="V9" s="1749"/>
      <c r="W9" s="1749"/>
      <c r="X9" s="1749"/>
      <c r="Y9" s="1749"/>
      <c r="Z9" s="1749"/>
      <c r="AA9" s="1749"/>
      <c r="AB9" s="1749"/>
      <c r="AC9" s="1749"/>
      <c r="AD9" s="1749"/>
      <c r="AE9" s="1749"/>
      <c r="AF9" s="1749"/>
      <c r="AG9" s="1749"/>
      <c r="AH9" s="1749"/>
      <c r="AI9" s="1749"/>
      <c r="AJ9" s="1749"/>
      <c r="AK9" s="1749"/>
      <c r="AL9" s="1749"/>
      <c r="AM9" s="1749"/>
      <c r="AN9" s="1749"/>
      <c r="AO9" s="1749"/>
      <c r="AP9" s="1749"/>
      <c r="AQ9" s="1749"/>
      <c r="AR9" s="1749"/>
      <c r="AS9" s="1749"/>
      <c r="AT9" s="1749"/>
      <c r="AU9" s="1749"/>
      <c r="AV9" s="1749"/>
      <c r="AW9" s="1749"/>
      <c r="AX9" s="1749"/>
      <c r="AY9" s="1749"/>
      <c r="AZ9" s="1749"/>
      <c r="BA9" s="1749"/>
      <c r="BB9" s="1749"/>
      <c r="BC9" s="1749"/>
      <c r="BD9" s="1749"/>
      <c r="BE9" s="1749"/>
      <c r="BF9" s="1749"/>
      <c r="BG9" s="1749"/>
      <c r="BH9" s="1749"/>
      <c r="BI9" s="1749"/>
      <c r="BJ9" s="1749"/>
      <c r="BK9" s="1749"/>
      <c r="BL9" s="1749"/>
      <c r="BM9" s="1749"/>
      <c r="BN9" s="1749"/>
      <c r="BO9" s="1749"/>
      <c r="BP9" s="1749"/>
      <c r="BQ9" s="1749"/>
      <c r="BR9" s="1749"/>
      <c r="BS9" s="1749"/>
      <c r="BT9" s="1749"/>
      <c r="BU9" s="1749"/>
      <c r="BV9" s="1749"/>
      <c r="BW9" s="1749"/>
      <c r="BX9" s="1749"/>
      <c r="BY9" s="1749"/>
      <c r="BZ9" s="1749"/>
      <c r="CA9" s="1749"/>
      <c r="CB9" s="1749"/>
      <c r="CC9" s="1749"/>
      <c r="CD9" s="1749"/>
      <c r="CE9" s="1749"/>
      <c r="CF9" s="1749"/>
      <c r="CG9" s="1749"/>
      <c r="CH9" s="1749"/>
      <c r="CI9" s="1749"/>
      <c r="CJ9" s="1749"/>
      <c r="CK9" s="1749"/>
      <c r="CL9" s="1749"/>
      <c r="CM9" s="1749"/>
      <c r="CN9" s="1749"/>
      <c r="CO9" s="1749"/>
      <c r="CP9" s="1749"/>
      <c r="CQ9" s="1749"/>
      <c r="CR9" s="1749"/>
      <c r="CS9" s="1749"/>
      <c r="CT9" s="1749"/>
      <c r="CU9" s="1749"/>
      <c r="CV9" s="1749"/>
      <c r="CW9" s="1749"/>
      <c r="CX9" s="1749"/>
      <c r="CY9" s="1749"/>
      <c r="CZ9" s="1749"/>
      <c r="DA9" s="1749"/>
      <c r="DB9" s="1749"/>
      <c r="DC9" s="1749"/>
      <c r="DD9" s="1749"/>
      <c r="DE9" s="1749"/>
      <c r="DF9" s="1749"/>
      <c r="DG9" s="1749"/>
      <c r="DH9" s="1749"/>
      <c r="DI9" s="1749"/>
      <c r="DJ9" s="1749"/>
      <c r="DK9" s="1749"/>
      <c r="DL9" s="1749"/>
      <c r="DM9" s="1749"/>
      <c r="DN9" s="1749"/>
      <c r="DO9" s="1749"/>
      <c r="DP9" s="1749"/>
      <c r="DQ9" s="1749"/>
      <c r="DR9" s="1749"/>
      <c r="DS9" s="1749"/>
      <c r="DT9" s="1749"/>
      <c r="DU9" s="1749"/>
      <c r="DV9" s="1749"/>
      <c r="DW9" s="1749"/>
      <c r="DX9" s="1749"/>
      <c r="DY9" s="1749"/>
      <c r="DZ9" s="1749"/>
      <c r="EA9" s="1749"/>
      <c r="EB9" s="1749"/>
      <c r="EC9" s="1749"/>
      <c r="ED9" s="1749"/>
      <c r="EE9" s="1749"/>
      <c r="EF9" s="1749"/>
      <c r="EG9" s="1749"/>
      <c r="EH9" s="1749"/>
      <c r="EI9" s="1749"/>
      <c r="EJ9" s="1749"/>
      <c r="EK9" s="1749"/>
      <c r="EL9" s="1749"/>
      <c r="EM9" s="1749"/>
      <c r="EN9" s="1749"/>
      <c r="EO9" s="1749"/>
      <c r="EP9" s="1749"/>
      <c r="EQ9" s="1749"/>
      <c r="ER9" s="1749"/>
      <c r="ES9" s="1749"/>
      <c r="ET9" s="1749"/>
      <c r="EU9" s="1749"/>
      <c r="EV9" s="1749"/>
      <c r="EW9" s="1749"/>
      <c r="EX9" s="1749"/>
      <c r="EY9" s="1749"/>
      <c r="EZ9" s="1749"/>
      <c r="FA9" s="1749"/>
      <c r="FB9" s="1749"/>
      <c r="FC9" s="1749"/>
      <c r="FD9" s="1749"/>
      <c r="FE9" s="1749"/>
      <c r="FF9" s="1749"/>
      <c r="FG9" s="1749"/>
      <c r="FH9" s="1749"/>
      <c r="FI9" s="1749"/>
      <c r="FJ9" s="1749"/>
      <c r="FK9" s="1749"/>
      <c r="FL9" s="1749"/>
      <c r="FM9" s="1749"/>
      <c r="FN9" s="1749"/>
      <c r="FO9" s="1749"/>
      <c r="FP9" s="1749"/>
      <c r="FQ9" s="1749"/>
      <c r="FR9" s="1749"/>
      <c r="FS9" s="1749"/>
      <c r="FT9" s="1749"/>
      <c r="FU9" s="1749"/>
      <c r="FV9" s="1749"/>
      <c r="FW9" s="1749"/>
      <c r="FX9" s="1749"/>
      <c r="FY9" s="1749"/>
      <c r="FZ9" s="1749"/>
      <c r="GA9" s="1749"/>
      <c r="GB9" s="1749"/>
      <c r="GC9" s="1749"/>
      <c r="GD9" s="1749"/>
      <c r="GE9" s="1749"/>
      <c r="GF9" s="1749"/>
      <c r="GG9" s="1749"/>
      <c r="GH9" s="1749"/>
      <c r="GI9" s="1749"/>
      <c r="GJ9" s="1749"/>
      <c r="GK9" s="1749"/>
      <c r="GL9" s="1749"/>
      <c r="GM9" s="1749"/>
      <c r="GN9" s="1749"/>
      <c r="GO9" s="1749"/>
      <c r="GP9" s="1749"/>
      <c r="GQ9" s="1749"/>
      <c r="GR9" s="1749"/>
      <c r="GS9" s="1749"/>
      <c r="GT9" s="1749"/>
      <c r="GU9" s="1749"/>
      <c r="GV9" s="1749"/>
      <c r="GW9" s="1749"/>
      <c r="GX9" s="1749"/>
      <c r="GY9" s="1749"/>
      <c r="GZ9" s="1749"/>
      <c r="HA9" s="1749"/>
      <c r="HB9" s="1749"/>
      <c r="HC9" s="1749"/>
      <c r="HD9" s="1749"/>
      <c r="HE9" s="1749"/>
      <c r="HF9" s="1749"/>
      <c r="HG9" s="1749"/>
      <c r="HH9" s="1749"/>
      <c r="HI9" s="1749"/>
      <c r="HJ9" s="1749"/>
      <c r="HK9" s="1749"/>
      <c r="HL9" s="1749"/>
      <c r="HM9" s="1749"/>
      <c r="HN9" s="1749"/>
      <c r="HO9" s="1749"/>
      <c r="HP9" s="1749"/>
      <c r="HQ9" s="1749"/>
      <c r="HR9" s="1749"/>
      <c r="HS9" s="1749"/>
      <c r="HT9" s="1749"/>
      <c r="HU9" s="1749"/>
      <c r="HV9" s="1749"/>
      <c r="HW9" s="1749"/>
      <c r="HX9" s="1749"/>
      <c r="HY9" s="1749"/>
      <c r="HZ9" s="1749"/>
      <c r="IA9" s="1749"/>
      <c r="IB9" s="1749"/>
      <c r="IC9" s="1749"/>
      <c r="ID9" s="1749"/>
      <c r="IE9" s="1749"/>
      <c r="IF9" s="1749"/>
      <c r="IG9" s="1749"/>
      <c r="IH9" s="1749"/>
      <c r="II9" s="1749"/>
      <c r="IJ9" s="1749"/>
      <c r="IK9" s="1749"/>
      <c r="IL9" s="1749"/>
      <c r="IM9" s="1749"/>
      <c r="IN9" s="1749"/>
    </row>
    <row r="10" spans="1:248">
      <c r="A10" s="1729" t="s">
        <v>205</v>
      </c>
      <c r="B10" s="1730">
        <f>审定资负表!C12</f>
        <v>0</v>
      </c>
      <c r="C10" s="1730">
        <f>审定资负表!D12</f>
        <v>0</v>
      </c>
      <c r="D10" s="1731" t="str">
        <f t="shared" si="0"/>
        <v> </v>
      </c>
      <c r="E10" s="1732">
        <f t="shared" si="1"/>
        <v>0</v>
      </c>
      <c r="F10" s="1733" t="str">
        <f t="shared" si="2"/>
        <v/>
      </c>
      <c r="G10" s="1734"/>
      <c r="H10" s="1735" t="str">
        <f>IF(报表附注!I182=0,"相符","不相符")</f>
        <v>相符</v>
      </c>
      <c r="I10" s="1735" t="str">
        <f>IF(报表附注!F182=0,"相符","不相符")</f>
        <v>相符</v>
      </c>
      <c r="J10" s="1748" t="s">
        <v>1484</v>
      </c>
      <c r="K10" s="1749"/>
      <c r="L10" s="1749"/>
      <c r="M10" s="1749"/>
      <c r="N10" s="1749"/>
      <c r="O10" s="1749"/>
      <c r="P10" s="1749"/>
      <c r="Q10" s="1749"/>
      <c r="R10" s="1749"/>
      <c r="S10" s="1749"/>
      <c r="T10" s="1749"/>
      <c r="U10" s="1749"/>
      <c r="V10" s="1749"/>
      <c r="W10" s="1749"/>
      <c r="X10" s="1749"/>
      <c r="Y10" s="1749"/>
      <c r="Z10" s="1749"/>
      <c r="AA10" s="1749"/>
      <c r="AB10" s="1749"/>
      <c r="AC10" s="1749"/>
      <c r="AD10" s="1749"/>
      <c r="AE10" s="1749"/>
      <c r="AF10" s="1749"/>
      <c r="AG10" s="1749"/>
      <c r="AH10" s="1749"/>
      <c r="AI10" s="1749"/>
      <c r="AJ10" s="1749"/>
      <c r="AK10" s="1749"/>
      <c r="AL10" s="1749"/>
      <c r="AM10" s="1749"/>
      <c r="AN10" s="1749"/>
      <c r="AO10" s="1749"/>
      <c r="AP10" s="1749"/>
      <c r="AQ10" s="1749"/>
      <c r="AR10" s="1749"/>
      <c r="AS10" s="1749"/>
      <c r="AT10" s="1749"/>
      <c r="AU10" s="1749"/>
      <c r="AV10" s="1749"/>
      <c r="AW10" s="1749"/>
      <c r="AX10" s="1749"/>
      <c r="AY10" s="1749"/>
      <c r="AZ10" s="1749"/>
      <c r="BA10" s="1749"/>
      <c r="BB10" s="1749"/>
      <c r="BC10" s="1749"/>
      <c r="BD10" s="1749"/>
      <c r="BE10" s="1749"/>
      <c r="BF10" s="1749"/>
      <c r="BG10" s="1749"/>
      <c r="BH10" s="1749"/>
      <c r="BI10" s="1749"/>
      <c r="BJ10" s="1749"/>
      <c r="BK10" s="1749"/>
      <c r="BL10" s="1749"/>
      <c r="BM10" s="1749"/>
      <c r="BN10" s="1749"/>
      <c r="BO10" s="1749"/>
      <c r="BP10" s="1749"/>
      <c r="BQ10" s="1749"/>
      <c r="BR10" s="1749"/>
      <c r="BS10" s="1749"/>
      <c r="BT10" s="1749"/>
      <c r="BU10" s="1749"/>
      <c r="BV10" s="1749"/>
      <c r="BW10" s="1749"/>
      <c r="BX10" s="1749"/>
      <c r="BY10" s="1749"/>
      <c r="BZ10" s="1749"/>
      <c r="CA10" s="1749"/>
      <c r="CB10" s="1749"/>
      <c r="CC10" s="1749"/>
      <c r="CD10" s="1749"/>
      <c r="CE10" s="1749"/>
      <c r="CF10" s="1749"/>
      <c r="CG10" s="1749"/>
      <c r="CH10" s="1749"/>
      <c r="CI10" s="1749"/>
      <c r="CJ10" s="1749"/>
      <c r="CK10" s="1749"/>
      <c r="CL10" s="1749"/>
      <c r="CM10" s="1749"/>
      <c r="CN10" s="1749"/>
      <c r="CO10" s="1749"/>
      <c r="CP10" s="1749"/>
      <c r="CQ10" s="1749"/>
      <c r="CR10" s="1749"/>
      <c r="CS10" s="1749"/>
      <c r="CT10" s="1749"/>
      <c r="CU10" s="1749"/>
      <c r="CV10" s="1749"/>
      <c r="CW10" s="1749"/>
      <c r="CX10" s="1749"/>
      <c r="CY10" s="1749"/>
      <c r="CZ10" s="1749"/>
      <c r="DA10" s="1749"/>
      <c r="DB10" s="1749"/>
      <c r="DC10" s="1749"/>
      <c r="DD10" s="1749"/>
      <c r="DE10" s="1749"/>
      <c r="DF10" s="1749"/>
      <c r="DG10" s="1749"/>
      <c r="DH10" s="1749"/>
      <c r="DI10" s="1749"/>
      <c r="DJ10" s="1749"/>
      <c r="DK10" s="1749"/>
      <c r="DL10" s="1749"/>
      <c r="DM10" s="1749"/>
      <c r="DN10" s="1749"/>
      <c r="DO10" s="1749"/>
      <c r="DP10" s="1749"/>
      <c r="DQ10" s="1749"/>
      <c r="DR10" s="1749"/>
      <c r="DS10" s="1749"/>
      <c r="DT10" s="1749"/>
      <c r="DU10" s="1749"/>
      <c r="DV10" s="1749"/>
      <c r="DW10" s="1749"/>
      <c r="DX10" s="1749"/>
      <c r="DY10" s="1749"/>
      <c r="DZ10" s="1749"/>
      <c r="EA10" s="1749"/>
      <c r="EB10" s="1749"/>
      <c r="EC10" s="1749"/>
      <c r="ED10" s="1749"/>
      <c r="EE10" s="1749"/>
      <c r="EF10" s="1749"/>
      <c r="EG10" s="1749"/>
      <c r="EH10" s="1749"/>
      <c r="EI10" s="1749"/>
      <c r="EJ10" s="1749"/>
      <c r="EK10" s="1749"/>
      <c r="EL10" s="1749"/>
      <c r="EM10" s="1749"/>
      <c r="EN10" s="1749"/>
      <c r="EO10" s="1749"/>
      <c r="EP10" s="1749"/>
      <c r="EQ10" s="1749"/>
      <c r="ER10" s="1749"/>
      <c r="ES10" s="1749"/>
      <c r="ET10" s="1749"/>
      <c r="EU10" s="1749"/>
      <c r="EV10" s="1749"/>
      <c r="EW10" s="1749"/>
      <c r="EX10" s="1749"/>
      <c r="EY10" s="1749"/>
      <c r="EZ10" s="1749"/>
      <c r="FA10" s="1749"/>
      <c r="FB10" s="1749"/>
      <c r="FC10" s="1749"/>
      <c r="FD10" s="1749"/>
      <c r="FE10" s="1749"/>
      <c r="FF10" s="1749"/>
      <c r="FG10" s="1749"/>
      <c r="FH10" s="1749"/>
      <c r="FI10" s="1749"/>
      <c r="FJ10" s="1749"/>
      <c r="FK10" s="1749"/>
      <c r="FL10" s="1749"/>
      <c r="FM10" s="1749"/>
      <c r="FN10" s="1749"/>
      <c r="FO10" s="1749"/>
      <c r="FP10" s="1749"/>
      <c r="FQ10" s="1749"/>
      <c r="FR10" s="1749"/>
      <c r="FS10" s="1749"/>
      <c r="FT10" s="1749"/>
      <c r="FU10" s="1749"/>
      <c r="FV10" s="1749"/>
      <c r="FW10" s="1749"/>
      <c r="FX10" s="1749"/>
      <c r="FY10" s="1749"/>
      <c r="FZ10" s="1749"/>
      <c r="GA10" s="1749"/>
      <c r="GB10" s="1749"/>
      <c r="GC10" s="1749"/>
      <c r="GD10" s="1749"/>
      <c r="GE10" s="1749"/>
      <c r="GF10" s="1749"/>
      <c r="GG10" s="1749"/>
      <c r="GH10" s="1749"/>
      <c r="GI10" s="1749"/>
      <c r="GJ10" s="1749"/>
      <c r="GK10" s="1749"/>
      <c r="GL10" s="1749"/>
      <c r="GM10" s="1749"/>
      <c r="GN10" s="1749"/>
      <c r="GO10" s="1749"/>
      <c r="GP10" s="1749"/>
      <c r="GQ10" s="1749"/>
      <c r="GR10" s="1749"/>
      <c r="GS10" s="1749"/>
      <c r="GT10" s="1749"/>
      <c r="GU10" s="1749"/>
      <c r="GV10" s="1749"/>
      <c r="GW10" s="1749"/>
      <c r="GX10" s="1749"/>
      <c r="GY10" s="1749"/>
      <c r="GZ10" s="1749"/>
      <c r="HA10" s="1749"/>
      <c r="HB10" s="1749"/>
      <c r="HC10" s="1749"/>
      <c r="HD10" s="1749"/>
      <c r="HE10" s="1749"/>
      <c r="HF10" s="1749"/>
      <c r="HG10" s="1749"/>
      <c r="HH10" s="1749"/>
      <c r="HI10" s="1749"/>
      <c r="HJ10" s="1749"/>
      <c r="HK10" s="1749"/>
      <c r="HL10" s="1749"/>
      <c r="HM10" s="1749"/>
      <c r="HN10" s="1749"/>
      <c r="HO10" s="1749"/>
      <c r="HP10" s="1749"/>
      <c r="HQ10" s="1749"/>
      <c r="HR10" s="1749"/>
      <c r="HS10" s="1749"/>
      <c r="HT10" s="1749"/>
      <c r="HU10" s="1749"/>
      <c r="HV10" s="1749"/>
      <c r="HW10" s="1749"/>
      <c r="HX10" s="1749"/>
      <c r="HY10" s="1749"/>
      <c r="HZ10" s="1749"/>
      <c r="IA10" s="1749"/>
      <c r="IB10" s="1749"/>
      <c r="IC10" s="1749"/>
      <c r="ID10" s="1749"/>
      <c r="IE10" s="1749"/>
      <c r="IF10" s="1749"/>
      <c r="IG10" s="1749"/>
      <c r="IH10" s="1749"/>
      <c r="II10" s="1749"/>
      <c r="IJ10" s="1749"/>
      <c r="IK10" s="1749"/>
      <c r="IL10" s="1749"/>
      <c r="IM10" s="1749"/>
      <c r="IN10" s="1749"/>
    </row>
    <row r="11" spans="1:248">
      <c r="A11" s="1729" t="s">
        <v>207</v>
      </c>
      <c r="B11" s="1730">
        <f>审定资负表!C13</f>
        <v>0</v>
      </c>
      <c r="C11" s="1730">
        <f>审定资负表!D13</f>
        <v>0</v>
      </c>
      <c r="D11" s="1731" t="str">
        <f t="shared" si="0"/>
        <v> </v>
      </c>
      <c r="E11" s="1732">
        <f t="shared" si="1"/>
        <v>0</v>
      </c>
      <c r="F11" s="1733" t="str">
        <f t="shared" si="2"/>
        <v/>
      </c>
      <c r="G11" s="1734"/>
      <c r="H11" s="1735" t="str">
        <f>IF(报表附注!I151=0,"相符","不相符")</f>
        <v>相符</v>
      </c>
      <c r="I11" s="1735" t="str">
        <f>IF(报表附注!F151=0,"相符","不相符")</f>
        <v>相符</v>
      </c>
      <c r="J11" s="1748" t="s">
        <v>1486</v>
      </c>
      <c r="K11" s="1749"/>
      <c r="L11" s="1749"/>
      <c r="M11" s="1749"/>
      <c r="N11" s="1749"/>
      <c r="O11" s="1749"/>
      <c r="P11" s="1749"/>
      <c r="Q11" s="1749"/>
      <c r="R11" s="1749"/>
      <c r="S11" s="1749"/>
      <c r="T11" s="1749"/>
      <c r="U11" s="1749"/>
      <c r="V11" s="1749"/>
      <c r="W11" s="1749"/>
      <c r="X11" s="1749"/>
      <c r="Y11" s="1749"/>
      <c r="Z11" s="1749"/>
      <c r="AA11" s="1749"/>
      <c r="AB11" s="1749"/>
      <c r="AC11" s="1749"/>
      <c r="AD11" s="1749"/>
      <c r="AE11" s="1749"/>
      <c r="AF11" s="1749"/>
      <c r="AG11" s="1749"/>
      <c r="AH11" s="1749"/>
      <c r="AI11" s="1749"/>
      <c r="AJ11" s="1749"/>
      <c r="AK11" s="1749"/>
      <c r="AL11" s="1749"/>
      <c r="AM11" s="1749"/>
      <c r="AN11" s="1749"/>
      <c r="AO11" s="1749"/>
      <c r="AP11" s="1749"/>
      <c r="AQ11" s="1749"/>
      <c r="AR11" s="1749"/>
      <c r="AS11" s="1749"/>
      <c r="AT11" s="1749"/>
      <c r="AU11" s="1749"/>
      <c r="AV11" s="1749"/>
      <c r="AW11" s="1749"/>
      <c r="AX11" s="1749"/>
      <c r="AY11" s="1749"/>
      <c r="AZ11" s="1749"/>
      <c r="BA11" s="1749"/>
      <c r="BB11" s="1749"/>
      <c r="BC11" s="1749"/>
      <c r="BD11" s="1749"/>
      <c r="BE11" s="1749"/>
      <c r="BF11" s="1749"/>
      <c r="BG11" s="1749"/>
      <c r="BH11" s="1749"/>
      <c r="BI11" s="1749"/>
      <c r="BJ11" s="1749"/>
      <c r="BK11" s="1749"/>
      <c r="BL11" s="1749"/>
      <c r="BM11" s="1749"/>
      <c r="BN11" s="1749"/>
      <c r="BO11" s="1749"/>
      <c r="BP11" s="1749"/>
      <c r="BQ11" s="1749"/>
      <c r="BR11" s="1749"/>
      <c r="BS11" s="1749"/>
      <c r="BT11" s="1749"/>
      <c r="BU11" s="1749"/>
      <c r="BV11" s="1749"/>
      <c r="BW11" s="1749"/>
      <c r="BX11" s="1749"/>
      <c r="BY11" s="1749"/>
      <c r="BZ11" s="1749"/>
      <c r="CA11" s="1749"/>
      <c r="CB11" s="1749"/>
      <c r="CC11" s="1749"/>
      <c r="CD11" s="1749"/>
      <c r="CE11" s="1749"/>
      <c r="CF11" s="1749"/>
      <c r="CG11" s="1749"/>
      <c r="CH11" s="1749"/>
      <c r="CI11" s="1749"/>
      <c r="CJ11" s="1749"/>
      <c r="CK11" s="1749"/>
      <c r="CL11" s="1749"/>
      <c r="CM11" s="1749"/>
      <c r="CN11" s="1749"/>
      <c r="CO11" s="1749"/>
      <c r="CP11" s="1749"/>
      <c r="CQ11" s="1749"/>
      <c r="CR11" s="1749"/>
      <c r="CS11" s="1749"/>
      <c r="CT11" s="1749"/>
      <c r="CU11" s="1749"/>
      <c r="CV11" s="1749"/>
      <c r="CW11" s="1749"/>
      <c r="CX11" s="1749"/>
      <c r="CY11" s="1749"/>
      <c r="CZ11" s="1749"/>
      <c r="DA11" s="1749"/>
      <c r="DB11" s="1749"/>
      <c r="DC11" s="1749"/>
      <c r="DD11" s="1749"/>
      <c r="DE11" s="1749"/>
      <c r="DF11" s="1749"/>
      <c r="DG11" s="1749"/>
      <c r="DH11" s="1749"/>
      <c r="DI11" s="1749"/>
      <c r="DJ11" s="1749"/>
      <c r="DK11" s="1749"/>
      <c r="DL11" s="1749"/>
      <c r="DM11" s="1749"/>
      <c r="DN11" s="1749"/>
      <c r="DO11" s="1749"/>
      <c r="DP11" s="1749"/>
      <c r="DQ11" s="1749"/>
      <c r="DR11" s="1749"/>
      <c r="DS11" s="1749"/>
      <c r="DT11" s="1749"/>
      <c r="DU11" s="1749"/>
      <c r="DV11" s="1749"/>
      <c r="DW11" s="1749"/>
      <c r="DX11" s="1749"/>
      <c r="DY11" s="1749"/>
      <c r="DZ11" s="1749"/>
      <c r="EA11" s="1749"/>
      <c r="EB11" s="1749"/>
      <c r="EC11" s="1749"/>
      <c r="ED11" s="1749"/>
      <c r="EE11" s="1749"/>
      <c r="EF11" s="1749"/>
      <c r="EG11" s="1749"/>
      <c r="EH11" s="1749"/>
      <c r="EI11" s="1749"/>
      <c r="EJ11" s="1749"/>
      <c r="EK11" s="1749"/>
      <c r="EL11" s="1749"/>
      <c r="EM11" s="1749"/>
      <c r="EN11" s="1749"/>
      <c r="EO11" s="1749"/>
      <c r="EP11" s="1749"/>
      <c r="EQ11" s="1749"/>
      <c r="ER11" s="1749"/>
      <c r="ES11" s="1749"/>
      <c r="ET11" s="1749"/>
      <c r="EU11" s="1749"/>
      <c r="EV11" s="1749"/>
      <c r="EW11" s="1749"/>
      <c r="EX11" s="1749"/>
      <c r="EY11" s="1749"/>
      <c r="EZ11" s="1749"/>
      <c r="FA11" s="1749"/>
      <c r="FB11" s="1749"/>
      <c r="FC11" s="1749"/>
      <c r="FD11" s="1749"/>
      <c r="FE11" s="1749"/>
      <c r="FF11" s="1749"/>
      <c r="FG11" s="1749"/>
      <c r="FH11" s="1749"/>
      <c r="FI11" s="1749"/>
      <c r="FJ11" s="1749"/>
      <c r="FK11" s="1749"/>
      <c r="FL11" s="1749"/>
      <c r="FM11" s="1749"/>
      <c r="FN11" s="1749"/>
      <c r="FO11" s="1749"/>
      <c r="FP11" s="1749"/>
      <c r="FQ11" s="1749"/>
      <c r="FR11" s="1749"/>
      <c r="FS11" s="1749"/>
      <c r="FT11" s="1749"/>
      <c r="FU11" s="1749"/>
      <c r="FV11" s="1749"/>
      <c r="FW11" s="1749"/>
      <c r="FX11" s="1749"/>
      <c r="FY11" s="1749"/>
      <c r="FZ11" s="1749"/>
      <c r="GA11" s="1749"/>
      <c r="GB11" s="1749"/>
      <c r="GC11" s="1749"/>
      <c r="GD11" s="1749"/>
      <c r="GE11" s="1749"/>
      <c r="GF11" s="1749"/>
      <c r="GG11" s="1749"/>
      <c r="GH11" s="1749"/>
      <c r="GI11" s="1749"/>
      <c r="GJ11" s="1749"/>
      <c r="GK11" s="1749"/>
      <c r="GL11" s="1749"/>
      <c r="GM11" s="1749"/>
      <c r="GN11" s="1749"/>
      <c r="GO11" s="1749"/>
      <c r="GP11" s="1749"/>
      <c r="GQ11" s="1749"/>
      <c r="GR11" s="1749"/>
      <c r="GS11" s="1749"/>
      <c r="GT11" s="1749"/>
      <c r="GU11" s="1749"/>
      <c r="GV11" s="1749"/>
      <c r="GW11" s="1749"/>
      <c r="GX11" s="1749"/>
      <c r="GY11" s="1749"/>
      <c r="GZ11" s="1749"/>
      <c r="HA11" s="1749"/>
      <c r="HB11" s="1749"/>
      <c r="HC11" s="1749"/>
      <c r="HD11" s="1749"/>
      <c r="HE11" s="1749"/>
      <c r="HF11" s="1749"/>
      <c r="HG11" s="1749"/>
      <c r="HH11" s="1749"/>
      <c r="HI11" s="1749"/>
      <c r="HJ11" s="1749"/>
      <c r="HK11" s="1749"/>
      <c r="HL11" s="1749"/>
      <c r="HM11" s="1749"/>
      <c r="HN11" s="1749"/>
      <c r="HO11" s="1749"/>
      <c r="HP11" s="1749"/>
      <c r="HQ11" s="1749"/>
      <c r="HR11" s="1749"/>
      <c r="HS11" s="1749"/>
      <c r="HT11" s="1749"/>
      <c r="HU11" s="1749"/>
      <c r="HV11" s="1749"/>
      <c r="HW11" s="1749"/>
      <c r="HX11" s="1749"/>
      <c r="HY11" s="1749"/>
      <c r="HZ11" s="1749"/>
      <c r="IA11" s="1749"/>
      <c r="IB11" s="1749"/>
      <c r="IC11" s="1749"/>
      <c r="ID11" s="1749"/>
      <c r="IE11" s="1749"/>
      <c r="IF11" s="1749"/>
      <c r="IG11" s="1749"/>
      <c r="IH11" s="1749"/>
      <c r="II11" s="1749"/>
      <c r="IJ11" s="1749"/>
      <c r="IK11" s="1749"/>
      <c r="IL11" s="1749"/>
      <c r="IM11" s="1749"/>
      <c r="IN11" s="1749"/>
    </row>
    <row r="12" spans="1:248">
      <c r="A12" s="1729" t="s">
        <v>209</v>
      </c>
      <c r="B12" s="1730">
        <f>审定资负表!C14</f>
        <v>0</v>
      </c>
      <c r="C12" s="1730">
        <f>审定资负表!D14</f>
        <v>0</v>
      </c>
      <c r="D12" s="1731" t="str">
        <f t="shared" si="0"/>
        <v> </v>
      </c>
      <c r="E12" s="1732">
        <f t="shared" si="1"/>
        <v>0</v>
      </c>
      <c r="F12" s="1733" t="str">
        <f t="shared" si="2"/>
        <v/>
      </c>
      <c r="G12" s="1734"/>
      <c r="H12" s="1735" t="str">
        <f>IF(报表附注!F573=0,"相符","不相符")</f>
        <v>相符</v>
      </c>
      <c r="I12" s="1735" t="str">
        <f>IF(报表附注!J573=0,"相符","不相符")</f>
        <v>相符</v>
      </c>
      <c r="J12" s="1748" t="s">
        <v>1488</v>
      </c>
      <c r="K12" s="1749"/>
      <c r="L12" s="1749"/>
      <c r="M12" s="1749"/>
      <c r="N12" s="1749"/>
      <c r="O12" s="1749"/>
      <c r="P12" s="1749"/>
      <c r="Q12" s="1749"/>
      <c r="R12" s="1749"/>
      <c r="S12" s="1749"/>
      <c r="T12" s="1749"/>
      <c r="U12" s="1749"/>
      <c r="V12" s="1749"/>
      <c r="W12" s="1749"/>
      <c r="X12" s="1749"/>
      <c r="Y12" s="1749"/>
      <c r="Z12" s="1749"/>
      <c r="AA12" s="1749"/>
      <c r="AB12" s="1749"/>
      <c r="AC12" s="1749"/>
      <c r="AD12" s="1749"/>
      <c r="AE12" s="1749"/>
      <c r="AF12" s="1749"/>
      <c r="AG12" s="1749"/>
      <c r="AH12" s="1749"/>
      <c r="AI12" s="1749"/>
      <c r="AJ12" s="1749"/>
      <c r="AK12" s="1749"/>
      <c r="AL12" s="1749"/>
      <c r="AM12" s="1749"/>
      <c r="AN12" s="1749"/>
      <c r="AO12" s="1749"/>
      <c r="AP12" s="1749"/>
      <c r="AQ12" s="1749"/>
      <c r="AR12" s="1749"/>
      <c r="AS12" s="1749"/>
      <c r="AT12" s="1749"/>
      <c r="AU12" s="1749"/>
      <c r="AV12" s="1749"/>
      <c r="AW12" s="1749"/>
      <c r="AX12" s="1749"/>
      <c r="AY12" s="1749"/>
      <c r="AZ12" s="1749"/>
      <c r="BA12" s="1749"/>
      <c r="BB12" s="1749"/>
      <c r="BC12" s="1749"/>
      <c r="BD12" s="1749"/>
      <c r="BE12" s="1749"/>
      <c r="BF12" s="1749"/>
      <c r="BG12" s="1749"/>
      <c r="BH12" s="1749"/>
      <c r="BI12" s="1749"/>
      <c r="BJ12" s="1749"/>
      <c r="BK12" s="1749"/>
      <c r="BL12" s="1749"/>
      <c r="BM12" s="1749"/>
      <c r="BN12" s="1749"/>
      <c r="BO12" s="1749"/>
      <c r="BP12" s="1749"/>
      <c r="BQ12" s="1749"/>
      <c r="BR12" s="1749"/>
      <c r="BS12" s="1749"/>
      <c r="BT12" s="1749"/>
      <c r="BU12" s="1749"/>
      <c r="BV12" s="1749"/>
      <c r="BW12" s="1749"/>
      <c r="BX12" s="1749"/>
      <c r="BY12" s="1749"/>
      <c r="BZ12" s="1749"/>
      <c r="CA12" s="1749"/>
      <c r="CB12" s="1749"/>
      <c r="CC12" s="1749"/>
      <c r="CD12" s="1749"/>
      <c r="CE12" s="1749"/>
      <c r="CF12" s="1749"/>
      <c r="CG12" s="1749"/>
      <c r="CH12" s="1749"/>
      <c r="CI12" s="1749"/>
      <c r="CJ12" s="1749"/>
      <c r="CK12" s="1749"/>
      <c r="CL12" s="1749"/>
      <c r="CM12" s="1749"/>
      <c r="CN12" s="1749"/>
      <c r="CO12" s="1749"/>
      <c r="CP12" s="1749"/>
      <c r="CQ12" s="1749"/>
      <c r="CR12" s="1749"/>
      <c r="CS12" s="1749"/>
      <c r="CT12" s="1749"/>
      <c r="CU12" s="1749"/>
      <c r="CV12" s="1749"/>
      <c r="CW12" s="1749"/>
      <c r="CX12" s="1749"/>
      <c r="CY12" s="1749"/>
      <c r="CZ12" s="1749"/>
      <c r="DA12" s="1749"/>
      <c r="DB12" s="1749"/>
      <c r="DC12" s="1749"/>
      <c r="DD12" s="1749"/>
      <c r="DE12" s="1749"/>
      <c r="DF12" s="1749"/>
      <c r="DG12" s="1749"/>
      <c r="DH12" s="1749"/>
      <c r="DI12" s="1749"/>
      <c r="DJ12" s="1749"/>
      <c r="DK12" s="1749"/>
      <c r="DL12" s="1749"/>
      <c r="DM12" s="1749"/>
      <c r="DN12" s="1749"/>
      <c r="DO12" s="1749"/>
      <c r="DP12" s="1749"/>
      <c r="DQ12" s="1749"/>
      <c r="DR12" s="1749"/>
      <c r="DS12" s="1749"/>
      <c r="DT12" s="1749"/>
      <c r="DU12" s="1749"/>
      <c r="DV12" s="1749"/>
      <c r="DW12" s="1749"/>
      <c r="DX12" s="1749"/>
      <c r="DY12" s="1749"/>
      <c r="DZ12" s="1749"/>
      <c r="EA12" s="1749"/>
      <c r="EB12" s="1749"/>
      <c r="EC12" s="1749"/>
      <c r="ED12" s="1749"/>
      <c r="EE12" s="1749"/>
      <c r="EF12" s="1749"/>
      <c r="EG12" s="1749"/>
      <c r="EH12" s="1749"/>
      <c r="EI12" s="1749"/>
      <c r="EJ12" s="1749"/>
      <c r="EK12" s="1749"/>
      <c r="EL12" s="1749"/>
      <c r="EM12" s="1749"/>
      <c r="EN12" s="1749"/>
      <c r="EO12" s="1749"/>
      <c r="EP12" s="1749"/>
      <c r="EQ12" s="1749"/>
      <c r="ER12" s="1749"/>
      <c r="ES12" s="1749"/>
      <c r="ET12" s="1749"/>
      <c r="EU12" s="1749"/>
      <c r="EV12" s="1749"/>
      <c r="EW12" s="1749"/>
      <c r="EX12" s="1749"/>
      <c r="EY12" s="1749"/>
      <c r="EZ12" s="1749"/>
      <c r="FA12" s="1749"/>
      <c r="FB12" s="1749"/>
      <c r="FC12" s="1749"/>
      <c r="FD12" s="1749"/>
      <c r="FE12" s="1749"/>
      <c r="FF12" s="1749"/>
      <c r="FG12" s="1749"/>
      <c r="FH12" s="1749"/>
      <c r="FI12" s="1749"/>
      <c r="FJ12" s="1749"/>
      <c r="FK12" s="1749"/>
      <c r="FL12" s="1749"/>
      <c r="FM12" s="1749"/>
      <c r="FN12" s="1749"/>
      <c r="FO12" s="1749"/>
      <c r="FP12" s="1749"/>
      <c r="FQ12" s="1749"/>
      <c r="FR12" s="1749"/>
      <c r="FS12" s="1749"/>
      <c r="FT12" s="1749"/>
      <c r="FU12" s="1749"/>
      <c r="FV12" s="1749"/>
      <c r="FW12" s="1749"/>
      <c r="FX12" s="1749"/>
      <c r="FY12" s="1749"/>
      <c r="FZ12" s="1749"/>
      <c r="GA12" s="1749"/>
      <c r="GB12" s="1749"/>
      <c r="GC12" s="1749"/>
      <c r="GD12" s="1749"/>
      <c r="GE12" s="1749"/>
      <c r="GF12" s="1749"/>
      <c r="GG12" s="1749"/>
      <c r="GH12" s="1749"/>
      <c r="GI12" s="1749"/>
      <c r="GJ12" s="1749"/>
      <c r="GK12" s="1749"/>
      <c r="GL12" s="1749"/>
      <c r="GM12" s="1749"/>
      <c r="GN12" s="1749"/>
      <c r="GO12" s="1749"/>
      <c r="GP12" s="1749"/>
      <c r="GQ12" s="1749"/>
      <c r="GR12" s="1749"/>
      <c r="GS12" s="1749"/>
      <c r="GT12" s="1749"/>
      <c r="GU12" s="1749"/>
      <c r="GV12" s="1749"/>
      <c r="GW12" s="1749"/>
      <c r="GX12" s="1749"/>
      <c r="GY12" s="1749"/>
      <c r="GZ12" s="1749"/>
      <c r="HA12" s="1749"/>
      <c r="HB12" s="1749"/>
      <c r="HC12" s="1749"/>
      <c r="HD12" s="1749"/>
      <c r="HE12" s="1749"/>
      <c r="HF12" s="1749"/>
      <c r="HG12" s="1749"/>
      <c r="HH12" s="1749"/>
      <c r="HI12" s="1749"/>
      <c r="HJ12" s="1749"/>
      <c r="HK12" s="1749"/>
      <c r="HL12" s="1749"/>
      <c r="HM12" s="1749"/>
      <c r="HN12" s="1749"/>
      <c r="HO12" s="1749"/>
      <c r="HP12" s="1749"/>
      <c r="HQ12" s="1749"/>
      <c r="HR12" s="1749"/>
      <c r="HS12" s="1749"/>
      <c r="HT12" s="1749"/>
      <c r="HU12" s="1749"/>
      <c r="HV12" s="1749"/>
      <c r="HW12" s="1749"/>
      <c r="HX12" s="1749"/>
      <c r="HY12" s="1749"/>
      <c r="HZ12" s="1749"/>
      <c r="IA12" s="1749"/>
      <c r="IB12" s="1749"/>
      <c r="IC12" s="1749"/>
      <c r="ID12" s="1749"/>
      <c r="IE12" s="1749"/>
      <c r="IF12" s="1749"/>
      <c r="IG12" s="1749"/>
      <c r="IH12" s="1749"/>
      <c r="II12" s="1749"/>
      <c r="IJ12" s="1749"/>
      <c r="IK12" s="1749"/>
      <c r="IL12" s="1749"/>
      <c r="IM12" s="1749"/>
      <c r="IN12" s="1749"/>
    </row>
    <row r="13" spans="1:248">
      <c r="A13" s="1729" t="s">
        <v>211</v>
      </c>
      <c r="B13" s="1730">
        <f>审定资负表!C15</f>
        <v>56453052.95</v>
      </c>
      <c r="C13" s="1730">
        <f>审定资负表!D15</f>
        <v>0</v>
      </c>
      <c r="D13" s="1731">
        <f t="shared" si="0"/>
        <v>1</v>
      </c>
      <c r="E13" s="1732">
        <f t="shared" si="1"/>
        <v>56453052.95</v>
      </c>
      <c r="F13" s="1733">
        <f t="shared" si="2"/>
        <v>1</v>
      </c>
      <c r="G13" s="1734"/>
      <c r="H13" s="1735" t="str">
        <f>IF(报表附注!H866=0,"相符","不相符")</f>
        <v>相符</v>
      </c>
      <c r="I13" s="1735" t="str">
        <f>IF(报表附注!K866=0,"相符","不相符")</f>
        <v>相符</v>
      </c>
      <c r="J13" s="1748" t="s">
        <v>1490</v>
      </c>
      <c r="K13" s="1749"/>
      <c r="L13" s="1749"/>
      <c r="M13" s="1749"/>
      <c r="N13" s="1749"/>
      <c r="O13" s="1749"/>
      <c r="P13" s="1749"/>
      <c r="Q13" s="1749"/>
      <c r="R13" s="1749"/>
      <c r="S13" s="1749"/>
      <c r="T13" s="1749"/>
      <c r="U13" s="1749"/>
      <c r="V13" s="1749"/>
      <c r="W13" s="1749"/>
      <c r="X13" s="1749"/>
      <c r="Y13" s="1749"/>
      <c r="Z13" s="1749"/>
      <c r="AA13" s="1749"/>
      <c r="AB13" s="1749"/>
      <c r="AC13" s="1749"/>
      <c r="AD13" s="1749"/>
      <c r="AE13" s="1749"/>
      <c r="AF13" s="1749"/>
      <c r="AG13" s="1749"/>
      <c r="AH13" s="1749"/>
      <c r="AI13" s="1749"/>
      <c r="AJ13" s="1749"/>
      <c r="AK13" s="1749"/>
      <c r="AL13" s="1749"/>
      <c r="AM13" s="1749"/>
      <c r="AN13" s="1749"/>
      <c r="AO13" s="1749"/>
      <c r="AP13" s="1749"/>
      <c r="AQ13" s="1749"/>
      <c r="AR13" s="1749"/>
      <c r="AS13" s="1749"/>
      <c r="AT13" s="1749"/>
      <c r="AU13" s="1749"/>
      <c r="AV13" s="1749"/>
      <c r="AW13" s="1749"/>
      <c r="AX13" s="1749"/>
      <c r="AY13" s="1749"/>
      <c r="AZ13" s="1749"/>
      <c r="BA13" s="1749"/>
      <c r="BB13" s="1749"/>
      <c r="BC13" s="1749"/>
      <c r="BD13" s="1749"/>
      <c r="BE13" s="1749"/>
      <c r="BF13" s="1749"/>
      <c r="BG13" s="1749"/>
      <c r="BH13" s="1749"/>
      <c r="BI13" s="1749"/>
      <c r="BJ13" s="1749"/>
      <c r="BK13" s="1749"/>
      <c r="BL13" s="1749"/>
      <c r="BM13" s="1749"/>
      <c r="BN13" s="1749"/>
      <c r="BO13" s="1749"/>
      <c r="BP13" s="1749"/>
      <c r="BQ13" s="1749"/>
      <c r="BR13" s="1749"/>
      <c r="BS13" s="1749"/>
      <c r="BT13" s="1749"/>
      <c r="BU13" s="1749"/>
      <c r="BV13" s="1749"/>
      <c r="BW13" s="1749"/>
      <c r="BX13" s="1749"/>
      <c r="BY13" s="1749"/>
      <c r="BZ13" s="1749"/>
      <c r="CA13" s="1749"/>
      <c r="CB13" s="1749"/>
      <c r="CC13" s="1749"/>
      <c r="CD13" s="1749"/>
      <c r="CE13" s="1749"/>
      <c r="CF13" s="1749"/>
      <c r="CG13" s="1749"/>
      <c r="CH13" s="1749"/>
      <c r="CI13" s="1749"/>
      <c r="CJ13" s="1749"/>
      <c r="CK13" s="1749"/>
      <c r="CL13" s="1749"/>
      <c r="CM13" s="1749"/>
      <c r="CN13" s="1749"/>
      <c r="CO13" s="1749"/>
      <c r="CP13" s="1749"/>
      <c r="CQ13" s="1749"/>
      <c r="CR13" s="1749"/>
      <c r="CS13" s="1749"/>
      <c r="CT13" s="1749"/>
      <c r="CU13" s="1749"/>
      <c r="CV13" s="1749"/>
      <c r="CW13" s="1749"/>
      <c r="CX13" s="1749"/>
      <c r="CY13" s="1749"/>
      <c r="CZ13" s="1749"/>
      <c r="DA13" s="1749"/>
      <c r="DB13" s="1749"/>
      <c r="DC13" s="1749"/>
      <c r="DD13" s="1749"/>
      <c r="DE13" s="1749"/>
      <c r="DF13" s="1749"/>
      <c r="DG13" s="1749"/>
      <c r="DH13" s="1749"/>
      <c r="DI13" s="1749"/>
      <c r="DJ13" s="1749"/>
      <c r="DK13" s="1749"/>
      <c r="DL13" s="1749"/>
      <c r="DM13" s="1749"/>
      <c r="DN13" s="1749"/>
      <c r="DO13" s="1749"/>
      <c r="DP13" s="1749"/>
      <c r="DQ13" s="1749"/>
      <c r="DR13" s="1749"/>
      <c r="DS13" s="1749"/>
      <c r="DT13" s="1749"/>
      <c r="DU13" s="1749"/>
      <c r="DV13" s="1749"/>
      <c r="DW13" s="1749"/>
      <c r="DX13" s="1749"/>
      <c r="DY13" s="1749"/>
      <c r="DZ13" s="1749"/>
      <c r="EA13" s="1749"/>
      <c r="EB13" s="1749"/>
      <c r="EC13" s="1749"/>
      <c r="ED13" s="1749"/>
      <c r="EE13" s="1749"/>
      <c r="EF13" s="1749"/>
      <c r="EG13" s="1749"/>
      <c r="EH13" s="1749"/>
      <c r="EI13" s="1749"/>
      <c r="EJ13" s="1749"/>
      <c r="EK13" s="1749"/>
      <c r="EL13" s="1749"/>
      <c r="EM13" s="1749"/>
      <c r="EN13" s="1749"/>
      <c r="EO13" s="1749"/>
      <c r="EP13" s="1749"/>
      <c r="EQ13" s="1749"/>
      <c r="ER13" s="1749"/>
      <c r="ES13" s="1749"/>
      <c r="ET13" s="1749"/>
      <c r="EU13" s="1749"/>
      <c r="EV13" s="1749"/>
      <c r="EW13" s="1749"/>
      <c r="EX13" s="1749"/>
      <c r="EY13" s="1749"/>
      <c r="EZ13" s="1749"/>
      <c r="FA13" s="1749"/>
      <c r="FB13" s="1749"/>
      <c r="FC13" s="1749"/>
      <c r="FD13" s="1749"/>
      <c r="FE13" s="1749"/>
      <c r="FF13" s="1749"/>
      <c r="FG13" s="1749"/>
      <c r="FH13" s="1749"/>
      <c r="FI13" s="1749"/>
      <c r="FJ13" s="1749"/>
      <c r="FK13" s="1749"/>
      <c r="FL13" s="1749"/>
      <c r="FM13" s="1749"/>
      <c r="FN13" s="1749"/>
      <c r="FO13" s="1749"/>
      <c r="FP13" s="1749"/>
      <c r="FQ13" s="1749"/>
      <c r="FR13" s="1749"/>
      <c r="FS13" s="1749"/>
      <c r="FT13" s="1749"/>
      <c r="FU13" s="1749"/>
      <c r="FV13" s="1749"/>
      <c r="FW13" s="1749"/>
      <c r="FX13" s="1749"/>
      <c r="FY13" s="1749"/>
      <c r="FZ13" s="1749"/>
      <c r="GA13" s="1749"/>
      <c r="GB13" s="1749"/>
      <c r="GC13" s="1749"/>
      <c r="GD13" s="1749"/>
      <c r="GE13" s="1749"/>
      <c r="GF13" s="1749"/>
      <c r="GG13" s="1749"/>
      <c r="GH13" s="1749"/>
      <c r="GI13" s="1749"/>
      <c r="GJ13" s="1749"/>
      <c r="GK13" s="1749"/>
      <c r="GL13" s="1749"/>
      <c r="GM13" s="1749"/>
      <c r="GN13" s="1749"/>
      <c r="GO13" s="1749"/>
      <c r="GP13" s="1749"/>
      <c r="GQ13" s="1749"/>
      <c r="GR13" s="1749"/>
      <c r="GS13" s="1749"/>
      <c r="GT13" s="1749"/>
      <c r="GU13" s="1749"/>
      <c r="GV13" s="1749"/>
      <c r="GW13" s="1749"/>
      <c r="GX13" s="1749"/>
      <c r="GY13" s="1749"/>
      <c r="GZ13" s="1749"/>
      <c r="HA13" s="1749"/>
      <c r="HB13" s="1749"/>
      <c r="HC13" s="1749"/>
      <c r="HD13" s="1749"/>
      <c r="HE13" s="1749"/>
      <c r="HF13" s="1749"/>
      <c r="HG13" s="1749"/>
      <c r="HH13" s="1749"/>
      <c r="HI13" s="1749"/>
      <c r="HJ13" s="1749"/>
      <c r="HK13" s="1749"/>
      <c r="HL13" s="1749"/>
      <c r="HM13" s="1749"/>
      <c r="HN13" s="1749"/>
      <c r="HO13" s="1749"/>
      <c r="HP13" s="1749"/>
      <c r="HQ13" s="1749"/>
      <c r="HR13" s="1749"/>
      <c r="HS13" s="1749"/>
      <c r="HT13" s="1749"/>
      <c r="HU13" s="1749"/>
      <c r="HV13" s="1749"/>
      <c r="HW13" s="1749"/>
      <c r="HX13" s="1749"/>
      <c r="HY13" s="1749"/>
      <c r="HZ13" s="1749"/>
      <c r="IA13" s="1749"/>
      <c r="IB13" s="1749"/>
      <c r="IC13" s="1749"/>
      <c r="ID13" s="1749"/>
      <c r="IE13" s="1749"/>
      <c r="IF13" s="1749"/>
      <c r="IG13" s="1749"/>
      <c r="IH13" s="1749"/>
      <c r="II13" s="1749"/>
      <c r="IJ13" s="1749"/>
      <c r="IK13" s="1749"/>
      <c r="IL13" s="1749"/>
      <c r="IM13" s="1749"/>
      <c r="IN13" s="1749"/>
    </row>
    <row r="14" spans="1:248">
      <c r="A14" s="1729" t="s">
        <v>213</v>
      </c>
      <c r="B14" s="1730">
        <f>审定资负表!C16</f>
        <v>0</v>
      </c>
      <c r="C14" s="1730">
        <f>审定资负表!D16</f>
        <v>0</v>
      </c>
      <c r="D14" s="1731" t="str">
        <f t="shared" si="0"/>
        <v> </v>
      </c>
      <c r="E14" s="1732">
        <f t="shared" si="1"/>
        <v>0</v>
      </c>
      <c r="F14" s="1733" t="str">
        <f t="shared" si="2"/>
        <v/>
      </c>
      <c r="G14" s="1734"/>
      <c r="H14" s="1735" t="str">
        <f>IF(报表附注!F4102=0,"相符","不相符")</f>
        <v>相符</v>
      </c>
      <c r="I14" s="1735" t="str">
        <f>IF(报表附注!G4102=0,"相符","不相符")</f>
        <v>相符</v>
      </c>
      <c r="J14" s="1750" t="s">
        <v>1492</v>
      </c>
      <c r="K14" s="1749"/>
      <c r="L14" s="1749"/>
      <c r="M14" s="1749"/>
      <c r="N14" s="1749"/>
      <c r="O14" s="1749"/>
      <c r="P14" s="1749"/>
      <c r="Q14" s="1749"/>
      <c r="R14" s="1749"/>
      <c r="S14" s="1749"/>
      <c r="T14" s="1749"/>
      <c r="U14" s="1749"/>
      <c r="V14" s="1749"/>
      <c r="W14" s="1749"/>
      <c r="X14" s="1749"/>
      <c r="Y14" s="1749"/>
      <c r="Z14" s="1749"/>
      <c r="AA14" s="1749"/>
      <c r="AB14" s="1749"/>
      <c r="AC14" s="1749"/>
      <c r="AD14" s="1749"/>
      <c r="AE14" s="1749"/>
      <c r="AF14" s="1749"/>
      <c r="AG14" s="1749"/>
      <c r="AH14" s="1749"/>
      <c r="AI14" s="1749"/>
      <c r="AJ14" s="1749"/>
      <c r="AK14" s="1749"/>
      <c r="AL14" s="1749"/>
      <c r="AM14" s="1749"/>
      <c r="AN14" s="1749"/>
      <c r="AO14" s="1749"/>
      <c r="AP14" s="1749"/>
      <c r="AQ14" s="1749"/>
      <c r="AR14" s="1749"/>
      <c r="AS14" s="1749"/>
      <c r="AT14" s="1749"/>
      <c r="AU14" s="1749"/>
      <c r="AV14" s="1749"/>
      <c r="AW14" s="1749"/>
      <c r="AX14" s="1749"/>
      <c r="AY14" s="1749"/>
      <c r="AZ14" s="1749"/>
      <c r="BA14" s="1749"/>
      <c r="BB14" s="1749"/>
      <c r="BC14" s="1749"/>
      <c r="BD14" s="1749"/>
      <c r="BE14" s="1749"/>
      <c r="BF14" s="1749"/>
      <c r="BG14" s="1749"/>
      <c r="BH14" s="1749"/>
      <c r="BI14" s="1749"/>
      <c r="BJ14" s="1749"/>
      <c r="BK14" s="1749"/>
      <c r="BL14" s="1749"/>
      <c r="BM14" s="1749"/>
      <c r="BN14" s="1749"/>
      <c r="BO14" s="1749"/>
      <c r="BP14" s="1749"/>
      <c r="BQ14" s="1749"/>
      <c r="BR14" s="1749"/>
      <c r="BS14" s="1749"/>
      <c r="BT14" s="1749"/>
      <c r="BU14" s="1749"/>
      <c r="BV14" s="1749"/>
      <c r="BW14" s="1749"/>
      <c r="BX14" s="1749"/>
      <c r="BY14" s="1749"/>
      <c r="BZ14" s="1749"/>
      <c r="CA14" s="1749"/>
      <c r="CB14" s="1749"/>
      <c r="CC14" s="1749"/>
      <c r="CD14" s="1749"/>
      <c r="CE14" s="1749"/>
      <c r="CF14" s="1749"/>
      <c r="CG14" s="1749"/>
      <c r="CH14" s="1749"/>
      <c r="CI14" s="1749"/>
      <c r="CJ14" s="1749"/>
      <c r="CK14" s="1749"/>
      <c r="CL14" s="1749"/>
      <c r="CM14" s="1749"/>
      <c r="CN14" s="1749"/>
      <c r="CO14" s="1749"/>
      <c r="CP14" s="1749"/>
      <c r="CQ14" s="1749"/>
      <c r="CR14" s="1749"/>
      <c r="CS14" s="1749"/>
      <c r="CT14" s="1749"/>
      <c r="CU14" s="1749"/>
      <c r="CV14" s="1749"/>
      <c r="CW14" s="1749"/>
      <c r="CX14" s="1749"/>
      <c r="CY14" s="1749"/>
      <c r="CZ14" s="1749"/>
      <c r="DA14" s="1749"/>
      <c r="DB14" s="1749"/>
      <c r="DC14" s="1749"/>
      <c r="DD14" s="1749"/>
      <c r="DE14" s="1749"/>
      <c r="DF14" s="1749"/>
      <c r="DG14" s="1749"/>
      <c r="DH14" s="1749"/>
      <c r="DI14" s="1749"/>
      <c r="DJ14" s="1749"/>
      <c r="DK14" s="1749"/>
      <c r="DL14" s="1749"/>
      <c r="DM14" s="1749"/>
      <c r="DN14" s="1749"/>
      <c r="DO14" s="1749"/>
      <c r="DP14" s="1749"/>
      <c r="DQ14" s="1749"/>
      <c r="DR14" s="1749"/>
      <c r="DS14" s="1749"/>
      <c r="DT14" s="1749"/>
      <c r="DU14" s="1749"/>
      <c r="DV14" s="1749"/>
      <c r="DW14" s="1749"/>
      <c r="DX14" s="1749"/>
      <c r="DY14" s="1749"/>
      <c r="DZ14" s="1749"/>
      <c r="EA14" s="1749"/>
      <c r="EB14" s="1749"/>
      <c r="EC14" s="1749"/>
      <c r="ED14" s="1749"/>
      <c r="EE14" s="1749"/>
      <c r="EF14" s="1749"/>
      <c r="EG14" s="1749"/>
      <c r="EH14" s="1749"/>
      <c r="EI14" s="1749"/>
      <c r="EJ14" s="1749"/>
      <c r="EK14" s="1749"/>
      <c r="EL14" s="1749"/>
      <c r="EM14" s="1749"/>
      <c r="EN14" s="1749"/>
      <c r="EO14" s="1749"/>
      <c r="EP14" s="1749"/>
      <c r="EQ14" s="1749"/>
      <c r="ER14" s="1749"/>
      <c r="ES14" s="1749"/>
      <c r="ET14" s="1749"/>
      <c r="EU14" s="1749"/>
      <c r="EV14" s="1749"/>
      <c r="EW14" s="1749"/>
      <c r="EX14" s="1749"/>
      <c r="EY14" s="1749"/>
      <c r="EZ14" s="1749"/>
      <c r="FA14" s="1749"/>
      <c r="FB14" s="1749"/>
      <c r="FC14" s="1749"/>
      <c r="FD14" s="1749"/>
      <c r="FE14" s="1749"/>
      <c r="FF14" s="1749"/>
      <c r="FG14" s="1749"/>
      <c r="FH14" s="1749"/>
      <c r="FI14" s="1749"/>
      <c r="FJ14" s="1749"/>
      <c r="FK14" s="1749"/>
      <c r="FL14" s="1749"/>
      <c r="FM14" s="1749"/>
      <c r="FN14" s="1749"/>
      <c r="FO14" s="1749"/>
      <c r="FP14" s="1749"/>
      <c r="FQ14" s="1749"/>
      <c r="FR14" s="1749"/>
      <c r="FS14" s="1749"/>
      <c r="FT14" s="1749"/>
      <c r="FU14" s="1749"/>
      <c r="FV14" s="1749"/>
      <c r="FW14" s="1749"/>
      <c r="FX14" s="1749"/>
      <c r="FY14" s="1749"/>
      <c r="FZ14" s="1749"/>
      <c r="GA14" s="1749"/>
      <c r="GB14" s="1749"/>
      <c r="GC14" s="1749"/>
      <c r="GD14" s="1749"/>
      <c r="GE14" s="1749"/>
      <c r="GF14" s="1749"/>
      <c r="GG14" s="1749"/>
      <c r="GH14" s="1749"/>
      <c r="GI14" s="1749"/>
      <c r="GJ14" s="1749"/>
      <c r="GK14" s="1749"/>
      <c r="GL14" s="1749"/>
      <c r="GM14" s="1749"/>
      <c r="GN14" s="1749"/>
      <c r="GO14" s="1749"/>
      <c r="GP14" s="1749"/>
      <c r="GQ14" s="1749"/>
      <c r="GR14" s="1749"/>
      <c r="GS14" s="1749"/>
      <c r="GT14" s="1749"/>
      <c r="GU14" s="1749"/>
      <c r="GV14" s="1749"/>
      <c r="GW14" s="1749"/>
      <c r="GX14" s="1749"/>
      <c r="GY14" s="1749"/>
      <c r="GZ14" s="1749"/>
      <c r="HA14" s="1749"/>
      <c r="HB14" s="1749"/>
      <c r="HC14" s="1749"/>
      <c r="HD14" s="1749"/>
      <c r="HE14" s="1749"/>
      <c r="HF14" s="1749"/>
      <c r="HG14" s="1749"/>
      <c r="HH14" s="1749"/>
      <c r="HI14" s="1749"/>
      <c r="HJ14" s="1749"/>
      <c r="HK14" s="1749"/>
      <c r="HL14" s="1749"/>
      <c r="HM14" s="1749"/>
      <c r="HN14" s="1749"/>
      <c r="HO14" s="1749"/>
      <c r="HP14" s="1749"/>
      <c r="HQ14" s="1749"/>
      <c r="HR14" s="1749"/>
      <c r="HS14" s="1749"/>
      <c r="HT14" s="1749"/>
      <c r="HU14" s="1749"/>
      <c r="HV14" s="1749"/>
      <c r="HW14" s="1749"/>
      <c r="HX14" s="1749"/>
      <c r="HY14" s="1749"/>
      <c r="HZ14" s="1749"/>
      <c r="IA14" s="1749"/>
      <c r="IB14" s="1749"/>
      <c r="IC14" s="1749"/>
      <c r="ID14" s="1749"/>
      <c r="IE14" s="1749"/>
      <c r="IF14" s="1749"/>
      <c r="IG14" s="1749"/>
      <c r="IH14" s="1749"/>
      <c r="II14" s="1749"/>
      <c r="IJ14" s="1749"/>
      <c r="IK14" s="1749"/>
      <c r="IL14" s="1749"/>
      <c r="IM14" s="1749"/>
      <c r="IN14" s="1749"/>
    </row>
    <row r="15" spans="1:248">
      <c r="A15" s="1729" t="s">
        <v>215</v>
      </c>
      <c r="B15" s="1730">
        <f>审定资负表!C17</f>
        <v>0</v>
      </c>
      <c r="C15" s="1730">
        <f>审定资负表!D17</f>
        <v>0</v>
      </c>
      <c r="D15" s="1731" t="str">
        <f t="shared" si="0"/>
        <v> </v>
      </c>
      <c r="E15" s="1732">
        <f t="shared" si="1"/>
        <v>0</v>
      </c>
      <c r="F15" s="1733" t="str">
        <f t="shared" si="2"/>
        <v/>
      </c>
      <c r="G15" s="1734"/>
      <c r="H15" s="1735" t="str">
        <f>IF(报表附注!F956=0,"相符","不相符")</f>
        <v>相符</v>
      </c>
      <c r="I15" s="1735" t="str">
        <f>IF(报表附注!G956=0,"相符","不相符")</f>
        <v>相符</v>
      </c>
      <c r="J15" s="1748" t="s">
        <v>1494</v>
      </c>
      <c r="K15" s="1749"/>
      <c r="L15" s="1749"/>
      <c r="M15" s="1749"/>
      <c r="N15" s="1749"/>
      <c r="O15" s="1749"/>
      <c r="P15" s="1749"/>
      <c r="Q15" s="1749"/>
      <c r="R15" s="1749"/>
      <c r="S15" s="1749"/>
      <c r="T15" s="1749"/>
      <c r="U15" s="1749"/>
      <c r="V15" s="1749"/>
      <c r="W15" s="1749"/>
      <c r="X15" s="1749"/>
      <c r="Y15" s="1749"/>
      <c r="Z15" s="1749"/>
      <c r="AA15" s="1749"/>
      <c r="AB15" s="1749"/>
      <c r="AC15" s="1749"/>
      <c r="AD15" s="1749"/>
      <c r="AE15" s="1749"/>
      <c r="AF15" s="1749"/>
      <c r="AG15" s="1749"/>
      <c r="AH15" s="1749"/>
      <c r="AI15" s="1749"/>
      <c r="AJ15" s="1749"/>
      <c r="AK15" s="1749"/>
      <c r="AL15" s="1749"/>
      <c r="AM15" s="1749"/>
      <c r="AN15" s="1749"/>
      <c r="AO15" s="1749"/>
      <c r="AP15" s="1749"/>
      <c r="AQ15" s="1749"/>
      <c r="AR15" s="1749"/>
      <c r="AS15" s="1749"/>
      <c r="AT15" s="1749"/>
      <c r="AU15" s="1749"/>
      <c r="AV15" s="1749"/>
      <c r="AW15" s="1749"/>
      <c r="AX15" s="1749"/>
      <c r="AY15" s="1749"/>
      <c r="AZ15" s="1749"/>
      <c r="BA15" s="1749"/>
      <c r="BB15" s="1749"/>
      <c r="BC15" s="1749"/>
      <c r="BD15" s="1749"/>
      <c r="BE15" s="1749"/>
      <c r="BF15" s="1749"/>
      <c r="BG15" s="1749"/>
      <c r="BH15" s="1749"/>
      <c r="BI15" s="1749"/>
      <c r="BJ15" s="1749"/>
      <c r="BK15" s="1749"/>
      <c r="BL15" s="1749"/>
      <c r="BM15" s="1749"/>
      <c r="BN15" s="1749"/>
      <c r="BO15" s="1749"/>
      <c r="BP15" s="1749"/>
      <c r="BQ15" s="1749"/>
      <c r="BR15" s="1749"/>
      <c r="BS15" s="1749"/>
      <c r="BT15" s="1749"/>
      <c r="BU15" s="1749"/>
      <c r="BV15" s="1749"/>
      <c r="BW15" s="1749"/>
      <c r="BX15" s="1749"/>
      <c r="BY15" s="1749"/>
      <c r="BZ15" s="1749"/>
      <c r="CA15" s="1749"/>
      <c r="CB15" s="1749"/>
      <c r="CC15" s="1749"/>
      <c r="CD15" s="1749"/>
      <c r="CE15" s="1749"/>
      <c r="CF15" s="1749"/>
      <c r="CG15" s="1749"/>
      <c r="CH15" s="1749"/>
      <c r="CI15" s="1749"/>
      <c r="CJ15" s="1749"/>
      <c r="CK15" s="1749"/>
      <c r="CL15" s="1749"/>
      <c r="CM15" s="1749"/>
      <c r="CN15" s="1749"/>
      <c r="CO15" s="1749"/>
      <c r="CP15" s="1749"/>
      <c r="CQ15" s="1749"/>
      <c r="CR15" s="1749"/>
      <c r="CS15" s="1749"/>
      <c r="CT15" s="1749"/>
      <c r="CU15" s="1749"/>
      <c r="CV15" s="1749"/>
      <c r="CW15" s="1749"/>
      <c r="CX15" s="1749"/>
      <c r="CY15" s="1749"/>
      <c r="CZ15" s="1749"/>
      <c r="DA15" s="1749"/>
      <c r="DB15" s="1749"/>
      <c r="DC15" s="1749"/>
      <c r="DD15" s="1749"/>
      <c r="DE15" s="1749"/>
      <c r="DF15" s="1749"/>
      <c r="DG15" s="1749"/>
      <c r="DH15" s="1749"/>
      <c r="DI15" s="1749"/>
      <c r="DJ15" s="1749"/>
      <c r="DK15" s="1749"/>
      <c r="DL15" s="1749"/>
      <c r="DM15" s="1749"/>
      <c r="DN15" s="1749"/>
      <c r="DO15" s="1749"/>
      <c r="DP15" s="1749"/>
      <c r="DQ15" s="1749"/>
      <c r="DR15" s="1749"/>
      <c r="DS15" s="1749"/>
      <c r="DT15" s="1749"/>
      <c r="DU15" s="1749"/>
      <c r="DV15" s="1749"/>
      <c r="DW15" s="1749"/>
      <c r="DX15" s="1749"/>
      <c r="DY15" s="1749"/>
      <c r="DZ15" s="1749"/>
      <c r="EA15" s="1749"/>
      <c r="EB15" s="1749"/>
      <c r="EC15" s="1749"/>
      <c r="ED15" s="1749"/>
      <c r="EE15" s="1749"/>
      <c r="EF15" s="1749"/>
      <c r="EG15" s="1749"/>
      <c r="EH15" s="1749"/>
      <c r="EI15" s="1749"/>
      <c r="EJ15" s="1749"/>
      <c r="EK15" s="1749"/>
      <c r="EL15" s="1749"/>
      <c r="EM15" s="1749"/>
      <c r="EN15" s="1749"/>
      <c r="EO15" s="1749"/>
      <c r="EP15" s="1749"/>
      <c r="EQ15" s="1749"/>
      <c r="ER15" s="1749"/>
      <c r="ES15" s="1749"/>
      <c r="ET15" s="1749"/>
      <c r="EU15" s="1749"/>
      <c r="EV15" s="1749"/>
      <c r="EW15" s="1749"/>
      <c r="EX15" s="1749"/>
      <c r="EY15" s="1749"/>
      <c r="EZ15" s="1749"/>
      <c r="FA15" s="1749"/>
      <c r="FB15" s="1749"/>
      <c r="FC15" s="1749"/>
      <c r="FD15" s="1749"/>
      <c r="FE15" s="1749"/>
      <c r="FF15" s="1749"/>
      <c r="FG15" s="1749"/>
      <c r="FH15" s="1749"/>
      <c r="FI15" s="1749"/>
      <c r="FJ15" s="1749"/>
      <c r="FK15" s="1749"/>
      <c r="FL15" s="1749"/>
      <c r="FM15" s="1749"/>
      <c r="FN15" s="1749"/>
      <c r="FO15" s="1749"/>
      <c r="FP15" s="1749"/>
      <c r="FQ15" s="1749"/>
      <c r="FR15" s="1749"/>
      <c r="FS15" s="1749"/>
      <c r="FT15" s="1749"/>
      <c r="FU15" s="1749"/>
      <c r="FV15" s="1749"/>
      <c r="FW15" s="1749"/>
      <c r="FX15" s="1749"/>
      <c r="FY15" s="1749"/>
      <c r="FZ15" s="1749"/>
      <c r="GA15" s="1749"/>
      <c r="GB15" s="1749"/>
      <c r="GC15" s="1749"/>
      <c r="GD15" s="1749"/>
      <c r="GE15" s="1749"/>
      <c r="GF15" s="1749"/>
      <c r="GG15" s="1749"/>
      <c r="GH15" s="1749"/>
      <c r="GI15" s="1749"/>
      <c r="GJ15" s="1749"/>
      <c r="GK15" s="1749"/>
      <c r="GL15" s="1749"/>
      <c r="GM15" s="1749"/>
      <c r="GN15" s="1749"/>
      <c r="GO15" s="1749"/>
      <c r="GP15" s="1749"/>
      <c r="GQ15" s="1749"/>
      <c r="GR15" s="1749"/>
      <c r="GS15" s="1749"/>
      <c r="GT15" s="1749"/>
      <c r="GU15" s="1749"/>
      <c r="GV15" s="1749"/>
      <c r="GW15" s="1749"/>
      <c r="GX15" s="1749"/>
      <c r="GY15" s="1749"/>
      <c r="GZ15" s="1749"/>
      <c r="HA15" s="1749"/>
      <c r="HB15" s="1749"/>
      <c r="HC15" s="1749"/>
      <c r="HD15" s="1749"/>
      <c r="HE15" s="1749"/>
      <c r="HF15" s="1749"/>
      <c r="HG15" s="1749"/>
      <c r="HH15" s="1749"/>
      <c r="HI15" s="1749"/>
      <c r="HJ15" s="1749"/>
      <c r="HK15" s="1749"/>
      <c r="HL15" s="1749"/>
      <c r="HM15" s="1749"/>
      <c r="HN15" s="1749"/>
      <c r="HO15" s="1749"/>
      <c r="HP15" s="1749"/>
      <c r="HQ15" s="1749"/>
      <c r="HR15" s="1749"/>
      <c r="HS15" s="1749"/>
      <c r="HT15" s="1749"/>
      <c r="HU15" s="1749"/>
      <c r="HV15" s="1749"/>
      <c r="HW15" s="1749"/>
      <c r="HX15" s="1749"/>
      <c r="HY15" s="1749"/>
      <c r="HZ15" s="1749"/>
      <c r="IA15" s="1749"/>
      <c r="IB15" s="1749"/>
      <c r="IC15" s="1749"/>
      <c r="ID15" s="1749"/>
      <c r="IE15" s="1749"/>
      <c r="IF15" s="1749"/>
      <c r="IG15" s="1749"/>
      <c r="IH15" s="1749"/>
      <c r="II15" s="1749"/>
      <c r="IJ15" s="1749"/>
      <c r="IK15" s="1749"/>
      <c r="IL15" s="1749"/>
      <c r="IM15" s="1749"/>
      <c r="IN15" s="1749"/>
    </row>
    <row r="16" spans="1:248">
      <c r="A16" s="1729" t="str">
        <f>审定资负表!A18</f>
        <v>持有待售资产</v>
      </c>
      <c r="B16" s="1730">
        <f>审定资负表!C18</f>
        <v>0</v>
      </c>
      <c r="C16" s="1730">
        <f>审定资负表!D18</f>
        <v>0</v>
      </c>
      <c r="D16" s="1731" t="str">
        <f t="shared" si="0"/>
        <v> </v>
      </c>
      <c r="E16" s="1732">
        <f t="shared" si="1"/>
        <v>0</v>
      </c>
      <c r="F16" s="1733" t="str">
        <f t="shared" si="2"/>
        <v/>
      </c>
      <c r="G16" s="1734"/>
      <c r="H16" s="1735" t="str">
        <f>IF(报表附注!F4072=0,"相符","不相符")</f>
        <v>相符</v>
      </c>
      <c r="I16" s="1735" t="str">
        <f>IF(报表附注!G4072=0,"相符","不相符")</f>
        <v>相符</v>
      </c>
      <c r="J16" s="1751" t="s">
        <v>1496</v>
      </c>
      <c r="K16" s="1749"/>
      <c r="L16" s="1749"/>
      <c r="M16" s="1749"/>
      <c r="N16" s="1749"/>
      <c r="O16" s="1749"/>
      <c r="P16" s="1749"/>
      <c r="Q16" s="1749"/>
      <c r="R16" s="1749"/>
      <c r="S16" s="1749"/>
      <c r="T16" s="1749"/>
      <c r="U16" s="1749"/>
      <c r="V16" s="1749"/>
      <c r="W16" s="1749"/>
      <c r="X16" s="1749"/>
      <c r="Y16" s="1749"/>
      <c r="Z16" s="1749"/>
      <c r="AA16" s="1749"/>
      <c r="AB16" s="1749"/>
      <c r="AC16" s="1749"/>
      <c r="AD16" s="1749"/>
      <c r="AE16" s="1749"/>
      <c r="AF16" s="1749"/>
      <c r="AG16" s="1749"/>
      <c r="AH16" s="1749"/>
      <c r="AI16" s="1749"/>
      <c r="AJ16" s="1749"/>
      <c r="AK16" s="1749"/>
      <c r="AL16" s="1749"/>
      <c r="AM16" s="1749"/>
      <c r="AN16" s="1749"/>
      <c r="AO16" s="1749"/>
      <c r="AP16" s="1749"/>
      <c r="AQ16" s="1749"/>
      <c r="AR16" s="1749"/>
      <c r="AS16" s="1749"/>
      <c r="AT16" s="1749"/>
      <c r="AU16" s="1749"/>
      <c r="AV16" s="1749"/>
      <c r="AW16" s="1749"/>
      <c r="AX16" s="1749"/>
      <c r="AY16" s="1749"/>
      <c r="AZ16" s="1749"/>
      <c r="BA16" s="1749"/>
      <c r="BB16" s="1749"/>
      <c r="BC16" s="1749"/>
      <c r="BD16" s="1749"/>
      <c r="BE16" s="1749"/>
      <c r="BF16" s="1749"/>
      <c r="BG16" s="1749"/>
      <c r="BH16" s="1749"/>
      <c r="BI16" s="1749"/>
      <c r="BJ16" s="1749"/>
      <c r="BK16" s="1749"/>
      <c r="BL16" s="1749"/>
      <c r="BM16" s="1749"/>
      <c r="BN16" s="1749"/>
      <c r="BO16" s="1749"/>
      <c r="BP16" s="1749"/>
      <c r="BQ16" s="1749"/>
      <c r="BR16" s="1749"/>
      <c r="BS16" s="1749"/>
      <c r="BT16" s="1749"/>
      <c r="BU16" s="1749"/>
      <c r="BV16" s="1749"/>
      <c r="BW16" s="1749"/>
      <c r="BX16" s="1749"/>
      <c r="BY16" s="1749"/>
      <c r="BZ16" s="1749"/>
      <c r="CA16" s="1749"/>
      <c r="CB16" s="1749"/>
      <c r="CC16" s="1749"/>
      <c r="CD16" s="1749"/>
      <c r="CE16" s="1749"/>
      <c r="CF16" s="1749"/>
      <c r="CG16" s="1749"/>
      <c r="CH16" s="1749"/>
      <c r="CI16" s="1749"/>
      <c r="CJ16" s="1749"/>
      <c r="CK16" s="1749"/>
      <c r="CL16" s="1749"/>
      <c r="CM16" s="1749"/>
      <c r="CN16" s="1749"/>
      <c r="CO16" s="1749"/>
      <c r="CP16" s="1749"/>
      <c r="CQ16" s="1749"/>
      <c r="CR16" s="1749"/>
      <c r="CS16" s="1749"/>
      <c r="CT16" s="1749"/>
      <c r="CU16" s="1749"/>
      <c r="CV16" s="1749"/>
      <c r="CW16" s="1749"/>
      <c r="CX16" s="1749"/>
      <c r="CY16" s="1749"/>
      <c r="CZ16" s="1749"/>
      <c r="DA16" s="1749"/>
      <c r="DB16" s="1749"/>
      <c r="DC16" s="1749"/>
      <c r="DD16" s="1749"/>
      <c r="DE16" s="1749"/>
      <c r="DF16" s="1749"/>
      <c r="DG16" s="1749"/>
      <c r="DH16" s="1749"/>
      <c r="DI16" s="1749"/>
      <c r="DJ16" s="1749"/>
      <c r="DK16" s="1749"/>
      <c r="DL16" s="1749"/>
      <c r="DM16" s="1749"/>
      <c r="DN16" s="1749"/>
      <c r="DO16" s="1749"/>
      <c r="DP16" s="1749"/>
      <c r="DQ16" s="1749"/>
      <c r="DR16" s="1749"/>
      <c r="DS16" s="1749"/>
      <c r="DT16" s="1749"/>
      <c r="DU16" s="1749"/>
      <c r="DV16" s="1749"/>
      <c r="DW16" s="1749"/>
      <c r="DX16" s="1749"/>
      <c r="DY16" s="1749"/>
      <c r="DZ16" s="1749"/>
      <c r="EA16" s="1749"/>
      <c r="EB16" s="1749"/>
      <c r="EC16" s="1749"/>
      <c r="ED16" s="1749"/>
      <c r="EE16" s="1749"/>
      <c r="EF16" s="1749"/>
      <c r="EG16" s="1749"/>
      <c r="EH16" s="1749"/>
      <c r="EI16" s="1749"/>
      <c r="EJ16" s="1749"/>
      <c r="EK16" s="1749"/>
      <c r="EL16" s="1749"/>
      <c r="EM16" s="1749"/>
      <c r="EN16" s="1749"/>
      <c r="EO16" s="1749"/>
      <c r="EP16" s="1749"/>
      <c r="EQ16" s="1749"/>
      <c r="ER16" s="1749"/>
      <c r="ES16" s="1749"/>
      <c r="ET16" s="1749"/>
      <c r="EU16" s="1749"/>
      <c r="EV16" s="1749"/>
      <c r="EW16" s="1749"/>
      <c r="EX16" s="1749"/>
      <c r="EY16" s="1749"/>
      <c r="EZ16" s="1749"/>
      <c r="FA16" s="1749"/>
      <c r="FB16" s="1749"/>
      <c r="FC16" s="1749"/>
      <c r="FD16" s="1749"/>
      <c r="FE16" s="1749"/>
      <c r="FF16" s="1749"/>
      <c r="FG16" s="1749"/>
      <c r="FH16" s="1749"/>
      <c r="FI16" s="1749"/>
      <c r="FJ16" s="1749"/>
      <c r="FK16" s="1749"/>
      <c r="FL16" s="1749"/>
      <c r="FM16" s="1749"/>
      <c r="FN16" s="1749"/>
      <c r="FO16" s="1749"/>
      <c r="FP16" s="1749"/>
      <c r="FQ16" s="1749"/>
      <c r="FR16" s="1749"/>
      <c r="FS16" s="1749"/>
      <c r="FT16" s="1749"/>
      <c r="FU16" s="1749"/>
      <c r="FV16" s="1749"/>
      <c r="FW16" s="1749"/>
      <c r="FX16" s="1749"/>
      <c r="FY16" s="1749"/>
      <c r="FZ16" s="1749"/>
      <c r="GA16" s="1749"/>
      <c r="GB16" s="1749"/>
      <c r="GC16" s="1749"/>
      <c r="GD16" s="1749"/>
      <c r="GE16" s="1749"/>
      <c r="GF16" s="1749"/>
      <c r="GG16" s="1749"/>
      <c r="GH16" s="1749"/>
      <c r="GI16" s="1749"/>
      <c r="GJ16" s="1749"/>
      <c r="GK16" s="1749"/>
      <c r="GL16" s="1749"/>
      <c r="GM16" s="1749"/>
      <c r="GN16" s="1749"/>
      <c r="GO16" s="1749"/>
      <c r="GP16" s="1749"/>
      <c r="GQ16" s="1749"/>
      <c r="GR16" s="1749"/>
      <c r="GS16" s="1749"/>
      <c r="GT16" s="1749"/>
      <c r="GU16" s="1749"/>
      <c r="GV16" s="1749"/>
      <c r="GW16" s="1749"/>
      <c r="GX16" s="1749"/>
      <c r="GY16" s="1749"/>
      <c r="GZ16" s="1749"/>
      <c r="HA16" s="1749"/>
      <c r="HB16" s="1749"/>
      <c r="HC16" s="1749"/>
      <c r="HD16" s="1749"/>
      <c r="HE16" s="1749"/>
      <c r="HF16" s="1749"/>
      <c r="HG16" s="1749"/>
      <c r="HH16" s="1749"/>
      <c r="HI16" s="1749"/>
      <c r="HJ16" s="1749"/>
      <c r="HK16" s="1749"/>
      <c r="HL16" s="1749"/>
      <c r="HM16" s="1749"/>
      <c r="HN16" s="1749"/>
      <c r="HO16" s="1749"/>
      <c r="HP16" s="1749"/>
      <c r="HQ16" s="1749"/>
      <c r="HR16" s="1749"/>
      <c r="HS16" s="1749"/>
      <c r="HT16" s="1749"/>
      <c r="HU16" s="1749"/>
      <c r="HV16" s="1749"/>
      <c r="HW16" s="1749"/>
      <c r="HX16" s="1749"/>
      <c r="HY16" s="1749"/>
      <c r="HZ16" s="1749"/>
      <c r="IA16" s="1749"/>
      <c r="IB16" s="1749"/>
      <c r="IC16" s="1749"/>
      <c r="ID16" s="1749"/>
      <c r="IE16" s="1749"/>
      <c r="IF16" s="1749"/>
      <c r="IG16" s="1749"/>
      <c r="IH16" s="1749"/>
      <c r="II16" s="1749"/>
      <c r="IJ16" s="1749"/>
      <c r="IK16" s="1749"/>
      <c r="IL16" s="1749"/>
      <c r="IM16" s="1749"/>
      <c r="IN16" s="1749"/>
    </row>
    <row r="17" spans="1:248">
      <c r="A17" s="1736" t="s">
        <v>219</v>
      </c>
      <c r="B17" s="1730">
        <f>审定资负表!C19</f>
        <v>56453052.95</v>
      </c>
      <c r="C17" s="1730">
        <f>审定资负表!D19</f>
        <v>0</v>
      </c>
      <c r="D17" s="1731">
        <f t="shared" si="0"/>
        <v>1</v>
      </c>
      <c r="E17" s="1732">
        <f t="shared" si="1"/>
        <v>56453052.95</v>
      </c>
      <c r="F17" s="1733">
        <f t="shared" si="2"/>
        <v>1</v>
      </c>
      <c r="G17" s="1734"/>
      <c r="H17" s="1737"/>
      <c r="I17" s="1737"/>
      <c r="J17" s="1748"/>
      <c r="K17" s="1749"/>
      <c r="L17" s="1749"/>
      <c r="M17" s="1749"/>
      <c r="N17" s="1749"/>
      <c r="O17" s="1749"/>
      <c r="P17" s="1749"/>
      <c r="Q17" s="1749"/>
      <c r="R17" s="1749"/>
      <c r="S17" s="1749"/>
      <c r="T17" s="1749"/>
      <c r="U17" s="1749"/>
      <c r="V17" s="1749"/>
      <c r="W17" s="1749"/>
      <c r="X17" s="1749"/>
      <c r="Y17" s="1749"/>
      <c r="Z17" s="1749"/>
      <c r="AA17" s="1749"/>
      <c r="AB17" s="1749"/>
      <c r="AC17" s="1749"/>
      <c r="AD17" s="1749"/>
      <c r="AE17" s="1749"/>
      <c r="AF17" s="1749"/>
      <c r="AG17" s="1749"/>
      <c r="AH17" s="1749"/>
      <c r="AI17" s="1749"/>
      <c r="AJ17" s="1749"/>
      <c r="AK17" s="1749"/>
      <c r="AL17" s="1749"/>
      <c r="AM17" s="1749"/>
      <c r="AN17" s="1749"/>
      <c r="AO17" s="1749"/>
      <c r="AP17" s="1749"/>
      <c r="AQ17" s="1749"/>
      <c r="AR17" s="1749"/>
      <c r="AS17" s="1749"/>
      <c r="AT17" s="1749"/>
      <c r="AU17" s="1749"/>
      <c r="AV17" s="1749"/>
      <c r="AW17" s="1749"/>
      <c r="AX17" s="1749"/>
      <c r="AY17" s="1749"/>
      <c r="AZ17" s="1749"/>
      <c r="BA17" s="1749"/>
      <c r="BB17" s="1749"/>
      <c r="BC17" s="1749"/>
      <c r="BD17" s="1749"/>
      <c r="BE17" s="1749"/>
      <c r="BF17" s="1749"/>
      <c r="BG17" s="1749"/>
      <c r="BH17" s="1749"/>
      <c r="BI17" s="1749"/>
      <c r="BJ17" s="1749"/>
      <c r="BK17" s="1749"/>
      <c r="BL17" s="1749"/>
      <c r="BM17" s="1749"/>
      <c r="BN17" s="1749"/>
      <c r="BO17" s="1749"/>
      <c r="BP17" s="1749"/>
      <c r="BQ17" s="1749"/>
      <c r="BR17" s="1749"/>
      <c r="BS17" s="1749"/>
      <c r="BT17" s="1749"/>
      <c r="BU17" s="1749"/>
      <c r="BV17" s="1749"/>
      <c r="BW17" s="1749"/>
      <c r="BX17" s="1749"/>
      <c r="BY17" s="1749"/>
      <c r="BZ17" s="1749"/>
      <c r="CA17" s="1749"/>
      <c r="CB17" s="1749"/>
      <c r="CC17" s="1749"/>
      <c r="CD17" s="1749"/>
      <c r="CE17" s="1749"/>
      <c r="CF17" s="1749"/>
      <c r="CG17" s="1749"/>
      <c r="CH17" s="1749"/>
      <c r="CI17" s="1749"/>
      <c r="CJ17" s="1749"/>
      <c r="CK17" s="1749"/>
      <c r="CL17" s="1749"/>
      <c r="CM17" s="1749"/>
      <c r="CN17" s="1749"/>
      <c r="CO17" s="1749"/>
      <c r="CP17" s="1749"/>
      <c r="CQ17" s="1749"/>
      <c r="CR17" s="1749"/>
      <c r="CS17" s="1749"/>
      <c r="CT17" s="1749"/>
      <c r="CU17" s="1749"/>
      <c r="CV17" s="1749"/>
      <c r="CW17" s="1749"/>
      <c r="CX17" s="1749"/>
      <c r="CY17" s="1749"/>
      <c r="CZ17" s="1749"/>
      <c r="DA17" s="1749"/>
      <c r="DB17" s="1749"/>
      <c r="DC17" s="1749"/>
      <c r="DD17" s="1749"/>
      <c r="DE17" s="1749"/>
      <c r="DF17" s="1749"/>
      <c r="DG17" s="1749"/>
      <c r="DH17" s="1749"/>
      <c r="DI17" s="1749"/>
      <c r="DJ17" s="1749"/>
      <c r="DK17" s="1749"/>
      <c r="DL17" s="1749"/>
      <c r="DM17" s="1749"/>
      <c r="DN17" s="1749"/>
      <c r="DO17" s="1749"/>
      <c r="DP17" s="1749"/>
      <c r="DQ17" s="1749"/>
      <c r="DR17" s="1749"/>
      <c r="DS17" s="1749"/>
      <c r="DT17" s="1749"/>
      <c r="DU17" s="1749"/>
      <c r="DV17" s="1749"/>
      <c r="DW17" s="1749"/>
      <c r="DX17" s="1749"/>
      <c r="DY17" s="1749"/>
      <c r="DZ17" s="1749"/>
      <c r="EA17" s="1749"/>
      <c r="EB17" s="1749"/>
      <c r="EC17" s="1749"/>
      <c r="ED17" s="1749"/>
      <c r="EE17" s="1749"/>
      <c r="EF17" s="1749"/>
      <c r="EG17" s="1749"/>
      <c r="EH17" s="1749"/>
      <c r="EI17" s="1749"/>
      <c r="EJ17" s="1749"/>
      <c r="EK17" s="1749"/>
      <c r="EL17" s="1749"/>
      <c r="EM17" s="1749"/>
      <c r="EN17" s="1749"/>
      <c r="EO17" s="1749"/>
      <c r="EP17" s="1749"/>
      <c r="EQ17" s="1749"/>
      <c r="ER17" s="1749"/>
      <c r="ES17" s="1749"/>
      <c r="ET17" s="1749"/>
      <c r="EU17" s="1749"/>
      <c r="EV17" s="1749"/>
      <c r="EW17" s="1749"/>
      <c r="EX17" s="1749"/>
      <c r="EY17" s="1749"/>
      <c r="EZ17" s="1749"/>
      <c r="FA17" s="1749"/>
      <c r="FB17" s="1749"/>
      <c r="FC17" s="1749"/>
      <c r="FD17" s="1749"/>
      <c r="FE17" s="1749"/>
      <c r="FF17" s="1749"/>
      <c r="FG17" s="1749"/>
      <c r="FH17" s="1749"/>
      <c r="FI17" s="1749"/>
      <c r="FJ17" s="1749"/>
      <c r="FK17" s="1749"/>
      <c r="FL17" s="1749"/>
      <c r="FM17" s="1749"/>
      <c r="FN17" s="1749"/>
      <c r="FO17" s="1749"/>
      <c r="FP17" s="1749"/>
      <c r="FQ17" s="1749"/>
      <c r="FR17" s="1749"/>
      <c r="FS17" s="1749"/>
      <c r="FT17" s="1749"/>
      <c r="FU17" s="1749"/>
      <c r="FV17" s="1749"/>
      <c r="FW17" s="1749"/>
      <c r="FX17" s="1749"/>
      <c r="FY17" s="1749"/>
      <c r="FZ17" s="1749"/>
      <c r="GA17" s="1749"/>
      <c r="GB17" s="1749"/>
      <c r="GC17" s="1749"/>
      <c r="GD17" s="1749"/>
      <c r="GE17" s="1749"/>
      <c r="GF17" s="1749"/>
      <c r="GG17" s="1749"/>
      <c r="GH17" s="1749"/>
      <c r="GI17" s="1749"/>
      <c r="GJ17" s="1749"/>
      <c r="GK17" s="1749"/>
      <c r="GL17" s="1749"/>
      <c r="GM17" s="1749"/>
      <c r="GN17" s="1749"/>
      <c r="GO17" s="1749"/>
      <c r="GP17" s="1749"/>
      <c r="GQ17" s="1749"/>
      <c r="GR17" s="1749"/>
      <c r="GS17" s="1749"/>
      <c r="GT17" s="1749"/>
      <c r="GU17" s="1749"/>
      <c r="GV17" s="1749"/>
      <c r="GW17" s="1749"/>
      <c r="GX17" s="1749"/>
      <c r="GY17" s="1749"/>
      <c r="GZ17" s="1749"/>
      <c r="HA17" s="1749"/>
      <c r="HB17" s="1749"/>
      <c r="HC17" s="1749"/>
      <c r="HD17" s="1749"/>
      <c r="HE17" s="1749"/>
      <c r="HF17" s="1749"/>
      <c r="HG17" s="1749"/>
      <c r="HH17" s="1749"/>
      <c r="HI17" s="1749"/>
      <c r="HJ17" s="1749"/>
      <c r="HK17" s="1749"/>
      <c r="HL17" s="1749"/>
      <c r="HM17" s="1749"/>
      <c r="HN17" s="1749"/>
      <c r="HO17" s="1749"/>
      <c r="HP17" s="1749"/>
      <c r="HQ17" s="1749"/>
      <c r="HR17" s="1749"/>
      <c r="HS17" s="1749"/>
      <c r="HT17" s="1749"/>
      <c r="HU17" s="1749"/>
      <c r="HV17" s="1749"/>
      <c r="HW17" s="1749"/>
      <c r="HX17" s="1749"/>
      <c r="HY17" s="1749"/>
      <c r="HZ17" s="1749"/>
      <c r="IA17" s="1749"/>
      <c r="IB17" s="1749"/>
      <c r="IC17" s="1749"/>
      <c r="ID17" s="1749"/>
      <c r="IE17" s="1749"/>
      <c r="IF17" s="1749"/>
      <c r="IG17" s="1749"/>
      <c r="IH17" s="1749"/>
      <c r="II17" s="1749"/>
      <c r="IJ17" s="1749"/>
      <c r="IK17" s="1749"/>
      <c r="IL17" s="1749"/>
      <c r="IM17" s="1749"/>
      <c r="IN17" s="1749"/>
    </row>
    <row r="18" spans="1:248">
      <c r="A18" s="1729"/>
      <c r="B18" s="1730">
        <f>审定资负表!C20</f>
        <v>0</v>
      </c>
      <c r="C18" s="1730">
        <f>审定资负表!D20</f>
        <v>0</v>
      </c>
      <c r="D18" s="1731" t="str">
        <f t="shared" si="0"/>
        <v> </v>
      </c>
      <c r="E18" s="1732">
        <f t="shared" si="1"/>
        <v>0</v>
      </c>
      <c r="F18" s="1733" t="str">
        <f t="shared" si="2"/>
        <v/>
      </c>
      <c r="G18" s="1734"/>
      <c r="H18" s="1737"/>
      <c r="I18" s="1737"/>
      <c r="J18" s="1752"/>
      <c r="K18" s="1749"/>
      <c r="L18" s="1749"/>
      <c r="M18" s="1749"/>
      <c r="N18" s="1749"/>
      <c r="O18" s="1749"/>
      <c r="P18" s="1749"/>
      <c r="Q18" s="1749"/>
      <c r="R18" s="1749"/>
      <c r="S18" s="1749"/>
      <c r="T18" s="1749"/>
      <c r="U18" s="1749"/>
      <c r="V18" s="1749"/>
      <c r="W18" s="1749"/>
      <c r="X18" s="1749"/>
      <c r="Y18" s="1749"/>
      <c r="Z18" s="1749"/>
      <c r="AA18" s="1749"/>
      <c r="AB18" s="1749"/>
      <c r="AC18" s="1749"/>
      <c r="AD18" s="1749"/>
      <c r="AE18" s="1749"/>
      <c r="AF18" s="1749"/>
      <c r="AG18" s="1749"/>
      <c r="AH18" s="1749"/>
      <c r="AI18" s="1749"/>
      <c r="AJ18" s="1749"/>
      <c r="AK18" s="1749"/>
      <c r="AL18" s="1749"/>
      <c r="AM18" s="1749"/>
      <c r="AN18" s="1749"/>
      <c r="AO18" s="1749"/>
      <c r="AP18" s="1749"/>
      <c r="AQ18" s="1749"/>
      <c r="AR18" s="1749"/>
      <c r="AS18" s="1749"/>
      <c r="AT18" s="1749"/>
      <c r="AU18" s="1749"/>
      <c r="AV18" s="1749"/>
      <c r="AW18" s="1749"/>
      <c r="AX18" s="1749"/>
      <c r="AY18" s="1749"/>
      <c r="AZ18" s="1749"/>
      <c r="BA18" s="1749"/>
      <c r="BB18" s="1749"/>
      <c r="BC18" s="1749"/>
      <c r="BD18" s="1749"/>
      <c r="BE18" s="1749"/>
      <c r="BF18" s="1749"/>
      <c r="BG18" s="1749"/>
      <c r="BH18" s="1749"/>
      <c r="BI18" s="1749"/>
      <c r="BJ18" s="1749"/>
      <c r="BK18" s="1749"/>
      <c r="BL18" s="1749"/>
      <c r="BM18" s="1749"/>
      <c r="BN18" s="1749"/>
      <c r="BO18" s="1749"/>
      <c r="BP18" s="1749"/>
      <c r="BQ18" s="1749"/>
      <c r="BR18" s="1749"/>
      <c r="BS18" s="1749"/>
      <c r="BT18" s="1749"/>
      <c r="BU18" s="1749"/>
      <c r="BV18" s="1749"/>
      <c r="BW18" s="1749"/>
      <c r="BX18" s="1749"/>
      <c r="BY18" s="1749"/>
      <c r="BZ18" s="1749"/>
      <c r="CA18" s="1749"/>
      <c r="CB18" s="1749"/>
      <c r="CC18" s="1749"/>
      <c r="CD18" s="1749"/>
      <c r="CE18" s="1749"/>
      <c r="CF18" s="1749"/>
      <c r="CG18" s="1749"/>
      <c r="CH18" s="1749"/>
      <c r="CI18" s="1749"/>
      <c r="CJ18" s="1749"/>
      <c r="CK18" s="1749"/>
      <c r="CL18" s="1749"/>
      <c r="CM18" s="1749"/>
      <c r="CN18" s="1749"/>
      <c r="CO18" s="1749"/>
      <c r="CP18" s="1749"/>
      <c r="CQ18" s="1749"/>
      <c r="CR18" s="1749"/>
      <c r="CS18" s="1749"/>
      <c r="CT18" s="1749"/>
      <c r="CU18" s="1749"/>
      <c r="CV18" s="1749"/>
      <c r="CW18" s="1749"/>
      <c r="CX18" s="1749"/>
      <c r="CY18" s="1749"/>
      <c r="CZ18" s="1749"/>
      <c r="DA18" s="1749"/>
      <c r="DB18" s="1749"/>
      <c r="DC18" s="1749"/>
      <c r="DD18" s="1749"/>
      <c r="DE18" s="1749"/>
      <c r="DF18" s="1749"/>
      <c r="DG18" s="1749"/>
      <c r="DH18" s="1749"/>
      <c r="DI18" s="1749"/>
      <c r="DJ18" s="1749"/>
      <c r="DK18" s="1749"/>
      <c r="DL18" s="1749"/>
      <c r="DM18" s="1749"/>
      <c r="DN18" s="1749"/>
      <c r="DO18" s="1749"/>
      <c r="DP18" s="1749"/>
      <c r="DQ18" s="1749"/>
      <c r="DR18" s="1749"/>
      <c r="DS18" s="1749"/>
      <c r="DT18" s="1749"/>
      <c r="DU18" s="1749"/>
      <c r="DV18" s="1749"/>
      <c r="DW18" s="1749"/>
      <c r="DX18" s="1749"/>
      <c r="DY18" s="1749"/>
      <c r="DZ18" s="1749"/>
      <c r="EA18" s="1749"/>
      <c r="EB18" s="1749"/>
      <c r="EC18" s="1749"/>
      <c r="ED18" s="1749"/>
      <c r="EE18" s="1749"/>
      <c r="EF18" s="1749"/>
      <c r="EG18" s="1749"/>
      <c r="EH18" s="1749"/>
      <c r="EI18" s="1749"/>
      <c r="EJ18" s="1749"/>
      <c r="EK18" s="1749"/>
      <c r="EL18" s="1749"/>
      <c r="EM18" s="1749"/>
      <c r="EN18" s="1749"/>
      <c r="EO18" s="1749"/>
      <c r="EP18" s="1749"/>
      <c r="EQ18" s="1749"/>
      <c r="ER18" s="1749"/>
      <c r="ES18" s="1749"/>
      <c r="ET18" s="1749"/>
      <c r="EU18" s="1749"/>
      <c r="EV18" s="1749"/>
      <c r="EW18" s="1749"/>
      <c r="EX18" s="1749"/>
      <c r="EY18" s="1749"/>
      <c r="EZ18" s="1749"/>
      <c r="FA18" s="1749"/>
      <c r="FB18" s="1749"/>
      <c r="FC18" s="1749"/>
      <c r="FD18" s="1749"/>
      <c r="FE18" s="1749"/>
      <c r="FF18" s="1749"/>
      <c r="FG18" s="1749"/>
      <c r="FH18" s="1749"/>
      <c r="FI18" s="1749"/>
      <c r="FJ18" s="1749"/>
      <c r="FK18" s="1749"/>
      <c r="FL18" s="1749"/>
      <c r="FM18" s="1749"/>
      <c r="FN18" s="1749"/>
      <c r="FO18" s="1749"/>
      <c r="FP18" s="1749"/>
      <c r="FQ18" s="1749"/>
      <c r="FR18" s="1749"/>
      <c r="FS18" s="1749"/>
      <c r="FT18" s="1749"/>
      <c r="FU18" s="1749"/>
      <c r="FV18" s="1749"/>
      <c r="FW18" s="1749"/>
      <c r="FX18" s="1749"/>
      <c r="FY18" s="1749"/>
      <c r="FZ18" s="1749"/>
      <c r="GA18" s="1749"/>
      <c r="GB18" s="1749"/>
      <c r="GC18" s="1749"/>
      <c r="GD18" s="1749"/>
      <c r="GE18" s="1749"/>
      <c r="GF18" s="1749"/>
      <c r="GG18" s="1749"/>
      <c r="GH18" s="1749"/>
      <c r="GI18" s="1749"/>
      <c r="GJ18" s="1749"/>
      <c r="GK18" s="1749"/>
      <c r="GL18" s="1749"/>
      <c r="GM18" s="1749"/>
      <c r="GN18" s="1749"/>
      <c r="GO18" s="1749"/>
      <c r="GP18" s="1749"/>
      <c r="GQ18" s="1749"/>
      <c r="GR18" s="1749"/>
      <c r="GS18" s="1749"/>
      <c r="GT18" s="1749"/>
      <c r="GU18" s="1749"/>
      <c r="GV18" s="1749"/>
      <c r="GW18" s="1749"/>
      <c r="GX18" s="1749"/>
      <c r="GY18" s="1749"/>
      <c r="GZ18" s="1749"/>
      <c r="HA18" s="1749"/>
      <c r="HB18" s="1749"/>
      <c r="HC18" s="1749"/>
      <c r="HD18" s="1749"/>
      <c r="HE18" s="1749"/>
      <c r="HF18" s="1749"/>
      <c r="HG18" s="1749"/>
      <c r="HH18" s="1749"/>
      <c r="HI18" s="1749"/>
      <c r="HJ18" s="1749"/>
      <c r="HK18" s="1749"/>
      <c r="HL18" s="1749"/>
      <c r="HM18" s="1749"/>
      <c r="HN18" s="1749"/>
      <c r="HO18" s="1749"/>
      <c r="HP18" s="1749"/>
      <c r="HQ18" s="1749"/>
      <c r="HR18" s="1749"/>
      <c r="HS18" s="1749"/>
      <c r="HT18" s="1749"/>
      <c r="HU18" s="1749"/>
      <c r="HV18" s="1749"/>
      <c r="HW18" s="1749"/>
      <c r="HX18" s="1749"/>
      <c r="HY18" s="1749"/>
      <c r="HZ18" s="1749"/>
      <c r="IA18" s="1749"/>
      <c r="IB18" s="1749"/>
      <c r="IC18" s="1749"/>
      <c r="ID18" s="1749"/>
      <c r="IE18" s="1749"/>
      <c r="IF18" s="1749"/>
      <c r="IG18" s="1749"/>
      <c r="IH18" s="1749"/>
      <c r="II18" s="1749"/>
      <c r="IJ18" s="1749"/>
      <c r="IK18" s="1749"/>
      <c r="IL18" s="1749"/>
      <c r="IM18" s="1749"/>
      <c r="IN18" s="1749"/>
    </row>
    <row r="19" spans="1:248">
      <c r="A19" s="1725" t="s">
        <v>222</v>
      </c>
      <c r="B19" s="1730">
        <f>审定资负表!C21</f>
        <v>0</v>
      </c>
      <c r="C19" s="1730">
        <f>审定资负表!D21</f>
        <v>0</v>
      </c>
      <c r="D19" s="1731" t="str">
        <f t="shared" si="0"/>
        <v> </v>
      </c>
      <c r="E19" s="1732">
        <f t="shared" si="1"/>
        <v>0</v>
      </c>
      <c r="F19" s="1733" t="str">
        <f t="shared" si="2"/>
        <v/>
      </c>
      <c r="G19" s="1734"/>
      <c r="H19" s="1737"/>
      <c r="I19" s="1737"/>
      <c r="J19" s="1751"/>
      <c r="K19" s="1749"/>
      <c r="L19" s="1749"/>
      <c r="M19" s="1749"/>
      <c r="N19" s="1749"/>
      <c r="O19" s="1749"/>
      <c r="P19" s="1749"/>
      <c r="Q19" s="1749"/>
      <c r="R19" s="1749"/>
      <c r="S19" s="1749"/>
      <c r="T19" s="1749"/>
      <c r="U19" s="1749"/>
      <c r="V19" s="1749"/>
      <c r="W19" s="1749"/>
      <c r="X19" s="1749"/>
      <c r="Y19" s="1749"/>
      <c r="Z19" s="1749"/>
      <c r="AA19" s="1749"/>
      <c r="AB19" s="1749"/>
      <c r="AC19" s="1749"/>
      <c r="AD19" s="1749"/>
      <c r="AE19" s="1749"/>
      <c r="AF19" s="1749"/>
      <c r="AG19" s="1749"/>
      <c r="AH19" s="1749"/>
      <c r="AI19" s="1749"/>
      <c r="AJ19" s="1749"/>
      <c r="AK19" s="1749"/>
      <c r="AL19" s="1749"/>
      <c r="AM19" s="1749"/>
      <c r="AN19" s="1749"/>
      <c r="AO19" s="1749"/>
      <c r="AP19" s="1749"/>
      <c r="AQ19" s="1749"/>
      <c r="AR19" s="1749"/>
      <c r="AS19" s="1749"/>
      <c r="AT19" s="1749"/>
      <c r="AU19" s="1749"/>
      <c r="AV19" s="1749"/>
      <c r="AW19" s="1749"/>
      <c r="AX19" s="1749"/>
      <c r="AY19" s="1749"/>
      <c r="AZ19" s="1749"/>
      <c r="BA19" s="1749"/>
      <c r="BB19" s="1749"/>
      <c r="BC19" s="1749"/>
      <c r="BD19" s="1749"/>
      <c r="BE19" s="1749"/>
      <c r="BF19" s="1749"/>
      <c r="BG19" s="1749"/>
      <c r="BH19" s="1749"/>
      <c r="BI19" s="1749"/>
      <c r="BJ19" s="1749"/>
      <c r="BK19" s="1749"/>
      <c r="BL19" s="1749"/>
      <c r="BM19" s="1749"/>
      <c r="BN19" s="1749"/>
      <c r="BO19" s="1749"/>
      <c r="BP19" s="1749"/>
      <c r="BQ19" s="1749"/>
      <c r="BR19" s="1749"/>
      <c r="BS19" s="1749"/>
      <c r="BT19" s="1749"/>
      <c r="BU19" s="1749"/>
      <c r="BV19" s="1749"/>
      <c r="BW19" s="1749"/>
      <c r="BX19" s="1749"/>
      <c r="BY19" s="1749"/>
      <c r="BZ19" s="1749"/>
      <c r="CA19" s="1749"/>
      <c r="CB19" s="1749"/>
      <c r="CC19" s="1749"/>
      <c r="CD19" s="1749"/>
      <c r="CE19" s="1749"/>
      <c r="CF19" s="1749"/>
      <c r="CG19" s="1749"/>
      <c r="CH19" s="1749"/>
      <c r="CI19" s="1749"/>
      <c r="CJ19" s="1749"/>
      <c r="CK19" s="1749"/>
      <c r="CL19" s="1749"/>
      <c r="CM19" s="1749"/>
      <c r="CN19" s="1749"/>
      <c r="CO19" s="1749"/>
      <c r="CP19" s="1749"/>
      <c r="CQ19" s="1749"/>
      <c r="CR19" s="1749"/>
      <c r="CS19" s="1749"/>
      <c r="CT19" s="1749"/>
      <c r="CU19" s="1749"/>
      <c r="CV19" s="1749"/>
      <c r="CW19" s="1749"/>
      <c r="CX19" s="1749"/>
      <c r="CY19" s="1749"/>
      <c r="CZ19" s="1749"/>
      <c r="DA19" s="1749"/>
      <c r="DB19" s="1749"/>
      <c r="DC19" s="1749"/>
      <c r="DD19" s="1749"/>
      <c r="DE19" s="1749"/>
      <c r="DF19" s="1749"/>
      <c r="DG19" s="1749"/>
      <c r="DH19" s="1749"/>
      <c r="DI19" s="1749"/>
      <c r="DJ19" s="1749"/>
      <c r="DK19" s="1749"/>
      <c r="DL19" s="1749"/>
      <c r="DM19" s="1749"/>
      <c r="DN19" s="1749"/>
      <c r="DO19" s="1749"/>
      <c r="DP19" s="1749"/>
      <c r="DQ19" s="1749"/>
      <c r="DR19" s="1749"/>
      <c r="DS19" s="1749"/>
      <c r="DT19" s="1749"/>
      <c r="DU19" s="1749"/>
      <c r="DV19" s="1749"/>
      <c r="DW19" s="1749"/>
      <c r="DX19" s="1749"/>
      <c r="DY19" s="1749"/>
      <c r="DZ19" s="1749"/>
      <c r="EA19" s="1749"/>
      <c r="EB19" s="1749"/>
      <c r="EC19" s="1749"/>
      <c r="ED19" s="1749"/>
      <c r="EE19" s="1749"/>
      <c r="EF19" s="1749"/>
      <c r="EG19" s="1749"/>
      <c r="EH19" s="1749"/>
      <c r="EI19" s="1749"/>
      <c r="EJ19" s="1749"/>
      <c r="EK19" s="1749"/>
      <c r="EL19" s="1749"/>
      <c r="EM19" s="1749"/>
      <c r="EN19" s="1749"/>
      <c r="EO19" s="1749"/>
      <c r="EP19" s="1749"/>
      <c r="EQ19" s="1749"/>
      <c r="ER19" s="1749"/>
      <c r="ES19" s="1749"/>
      <c r="ET19" s="1749"/>
      <c r="EU19" s="1749"/>
      <c r="EV19" s="1749"/>
      <c r="EW19" s="1749"/>
      <c r="EX19" s="1749"/>
      <c r="EY19" s="1749"/>
      <c r="EZ19" s="1749"/>
      <c r="FA19" s="1749"/>
      <c r="FB19" s="1749"/>
      <c r="FC19" s="1749"/>
      <c r="FD19" s="1749"/>
      <c r="FE19" s="1749"/>
      <c r="FF19" s="1749"/>
      <c r="FG19" s="1749"/>
      <c r="FH19" s="1749"/>
      <c r="FI19" s="1749"/>
      <c r="FJ19" s="1749"/>
      <c r="FK19" s="1749"/>
      <c r="FL19" s="1749"/>
      <c r="FM19" s="1749"/>
      <c r="FN19" s="1749"/>
      <c r="FO19" s="1749"/>
      <c r="FP19" s="1749"/>
      <c r="FQ19" s="1749"/>
      <c r="FR19" s="1749"/>
      <c r="FS19" s="1749"/>
      <c r="FT19" s="1749"/>
      <c r="FU19" s="1749"/>
      <c r="FV19" s="1749"/>
      <c r="FW19" s="1749"/>
      <c r="FX19" s="1749"/>
      <c r="FY19" s="1749"/>
      <c r="FZ19" s="1749"/>
      <c r="GA19" s="1749"/>
      <c r="GB19" s="1749"/>
      <c r="GC19" s="1749"/>
      <c r="GD19" s="1749"/>
      <c r="GE19" s="1749"/>
      <c r="GF19" s="1749"/>
      <c r="GG19" s="1749"/>
      <c r="GH19" s="1749"/>
      <c r="GI19" s="1749"/>
      <c r="GJ19" s="1749"/>
      <c r="GK19" s="1749"/>
      <c r="GL19" s="1749"/>
      <c r="GM19" s="1749"/>
      <c r="GN19" s="1749"/>
      <c r="GO19" s="1749"/>
      <c r="GP19" s="1749"/>
      <c r="GQ19" s="1749"/>
      <c r="GR19" s="1749"/>
      <c r="GS19" s="1749"/>
      <c r="GT19" s="1749"/>
      <c r="GU19" s="1749"/>
      <c r="GV19" s="1749"/>
      <c r="GW19" s="1749"/>
      <c r="GX19" s="1749"/>
      <c r="GY19" s="1749"/>
      <c r="GZ19" s="1749"/>
      <c r="HA19" s="1749"/>
      <c r="HB19" s="1749"/>
      <c r="HC19" s="1749"/>
      <c r="HD19" s="1749"/>
      <c r="HE19" s="1749"/>
      <c r="HF19" s="1749"/>
      <c r="HG19" s="1749"/>
      <c r="HH19" s="1749"/>
      <c r="HI19" s="1749"/>
      <c r="HJ19" s="1749"/>
      <c r="HK19" s="1749"/>
      <c r="HL19" s="1749"/>
      <c r="HM19" s="1749"/>
      <c r="HN19" s="1749"/>
      <c r="HO19" s="1749"/>
      <c r="HP19" s="1749"/>
      <c r="HQ19" s="1749"/>
      <c r="HR19" s="1749"/>
      <c r="HS19" s="1749"/>
      <c r="HT19" s="1749"/>
      <c r="HU19" s="1749"/>
      <c r="HV19" s="1749"/>
      <c r="HW19" s="1749"/>
      <c r="HX19" s="1749"/>
      <c r="HY19" s="1749"/>
      <c r="HZ19" s="1749"/>
      <c r="IA19" s="1749"/>
      <c r="IB19" s="1749"/>
      <c r="IC19" s="1749"/>
      <c r="ID19" s="1749"/>
      <c r="IE19" s="1749"/>
      <c r="IF19" s="1749"/>
      <c r="IG19" s="1749"/>
      <c r="IH19" s="1749"/>
      <c r="II19" s="1749"/>
      <c r="IJ19" s="1749"/>
      <c r="IK19" s="1749"/>
      <c r="IL19" s="1749"/>
      <c r="IM19" s="1749"/>
      <c r="IN19" s="1749"/>
    </row>
    <row r="20" spans="1:248">
      <c r="A20" s="1729" t="s">
        <v>223</v>
      </c>
      <c r="B20" s="1730">
        <f>审定资负表!C22</f>
        <v>0</v>
      </c>
      <c r="C20" s="1730">
        <f>审定资负表!D22</f>
        <v>0</v>
      </c>
      <c r="D20" s="1731" t="str">
        <f t="shared" si="0"/>
        <v> </v>
      </c>
      <c r="E20" s="1732">
        <f t="shared" si="1"/>
        <v>0</v>
      </c>
      <c r="F20" s="1733" t="str">
        <f t="shared" si="2"/>
        <v/>
      </c>
      <c r="G20" s="1734"/>
      <c r="H20" s="1735" t="str">
        <f>IF(报表附注!F968=0,"相符","不相符")</f>
        <v>相符</v>
      </c>
      <c r="I20" s="1735" t="str">
        <f>IF(报表附注!G968=0,"相符","不相符")</f>
        <v>相符</v>
      </c>
      <c r="J20" s="1748" t="s">
        <v>1499</v>
      </c>
      <c r="K20" s="1749"/>
      <c r="L20" s="1749"/>
      <c r="M20" s="1749"/>
      <c r="N20" s="1749"/>
      <c r="O20" s="1749"/>
      <c r="P20" s="1749"/>
      <c r="Q20" s="1749"/>
      <c r="R20" s="1749"/>
      <c r="S20" s="1749"/>
      <c r="T20" s="1749"/>
      <c r="U20" s="1749"/>
      <c r="V20" s="1749"/>
      <c r="W20" s="1749"/>
      <c r="X20" s="1749"/>
      <c r="Y20" s="1749"/>
      <c r="Z20" s="1749"/>
      <c r="AA20" s="1749"/>
      <c r="AB20" s="1749"/>
      <c r="AC20" s="1749"/>
      <c r="AD20" s="1749"/>
      <c r="AE20" s="1749"/>
      <c r="AF20" s="1749"/>
      <c r="AG20" s="1749"/>
      <c r="AH20" s="1749"/>
      <c r="AI20" s="1749"/>
      <c r="AJ20" s="1749"/>
      <c r="AK20" s="1749"/>
      <c r="AL20" s="1749"/>
      <c r="AM20" s="1749"/>
      <c r="AN20" s="1749"/>
      <c r="AO20" s="1749"/>
      <c r="AP20" s="1749"/>
      <c r="AQ20" s="1749"/>
      <c r="AR20" s="1749"/>
      <c r="AS20" s="1749"/>
      <c r="AT20" s="1749"/>
      <c r="AU20" s="1749"/>
      <c r="AV20" s="1749"/>
      <c r="AW20" s="1749"/>
      <c r="AX20" s="1749"/>
      <c r="AY20" s="1749"/>
      <c r="AZ20" s="1749"/>
      <c r="BA20" s="1749"/>
      <c r="BB20" s="1749"/>
      <c r="BC20" s="1749"/>
      <c r="BD20" s="1749"/>
      <c r="BE20" s="1749"/>
      <c r="BF20" s="1749"/>
      <c r="BG20" s="1749"/>
      <c r="BH20" s="1749"/>
      <c r="BI20" s="1749"/>
      <c r="BJ20" s="1749"/>
      <c r="BK20" s="1749"/>
      <c r="BL20" s="1749"/>
      <c r="BM20" s="1749"/>
      <c r="BN20" s="1749"/>
      <c r="BO20" s="1749"/>
      <c r="BP20" s="1749"/>
      <c r="BQ20" s="1749"/>
      <c r="BR20" s="1749"/>
      <c r="BS20" s="1749"/>
      <c r="BT20" s="1749"/>
      <c r="BU20" s="1749"/>
      <c r="BV20" s="1749"/>
      <c r="BW20" s="1749"/>
      <c r="BX20" s="1749"/>
      <c r="BY20" s="1749"/>
      <c r="BZ20" s="1749"/>
      <c r="CA20" s="1749"/>
      <c r="CB20" s="1749"/>
      <c r="CC20" s="1749"/>
      <c r="CD20" s="1749"/>
      <c r="CE20" s="1749"/>
      <c r="CF20" s="1749"/>
      <c r="CG20" s="1749"/>
      <c r="CH20" s="1749"/>
      <c r="CI20" s="1749"/>
      <c r="CJ20" s="1749"/>
      <c r="CK20" s="1749"/>
      <c r="CL20" s="1749"/>
      <c r="CM20" s="1749"/>
      <c r="CN20" s="1749"/>
      <c r="CO20" s="1749"/>
      <c r="CP20" s="1749"/>
      <c r="CQ20" s="1749"/>
      <c r="CR20" s="1749"/>
      <c r="CS20" s="1749"/>
      <c r="CT20" s="1749"/>
      <c r="CU20" s="1749"/>
      <c r="CV20" s="1749"/>
      <c r="CW20" s="1749"/>
      <c r="CX20" s="1749"/>
      <c r="CY20" s="1749"/>
      <c r="CZ20" s="1749"/>
      <c r="DA20" s="1749"/>
      <c r="DB20" s="1749"/>
      <c r="DC20" s="1749"/>
      <c r="DD20" s="1749"/>
      <c r="DE20" s="1749"/>
      <c r="DF20" s="1749"/>
      <c r="DG20" s="1749"/>
      <c r="DH20" s="1749"/>
      <c r="DI20" s="1749"/>
      <c r="DJ20" s="1749"/>
      <c r="DK20" s="1749"/>
      <c r="DL20" s="1749"/>
      <c r="DM20" s="1749"/>
      <c r="DN20" s="1749"/>
      <c r="DO20" s="1749"/>
      <c r="DP20" s="1749"/>
      <c r="DQ20" s="1749"/>
      <c r="DR20" s="1749"/>
      <c r="DS20" s="1749"/>
      <c r="DT20" s="1749"/>
      <c r="DU20" s="1749"/>
      <c r="DV20" s="1749"/>
      <c r="DW20" s="1749"/>
      <c r="DX20" s="1749"/>
      <c r="DY20" s="1749"/>
      <c r="DZ20" s="1749"/>
      <c r="EA20" s="1749"/>
      <c r="EB20" s="1749"/>
      <c r="EC20" s="1749"/>
      <c r="ED20" s="1749"/>
      <c r="EE20" s="1749"/>
      <c r="EF20" s="1749"/>
      <c r="EG20" s="1749"/>
      <c r="EH20" s="1749"/>
      <c r="EI20" s="1749"/>
      <c r="EJ20" s="1749"/>
      <c r="EK20" s="1749"/>
      <c r="EL20" s="1749"/>
      <c r="EM20" s="1749"/>
      <c r="EN20" s="1749"/>
      <c r="EO20" s="1749"/>
      <c r="EP20" s="1749"/>
      <c r="EQ20" s="1749"/>
      <c r="ER20" s="1749"/>
      <c r="ES20" s="1749"/>
      <c r="ET20" s="1749"/>
      <c r="EU20" s="1749"/>
      <c r="EV20" s="1749"/>
      <c r="EW20" s="1749"/>
      <c r="EX20" s="1749"/>
      <c r="EY20" s="1749"/>
      <c r="EZ20" s="1749"/>
      <c r="FA20" s="1749"/>
      <c r="FB20" s="1749"/>
      <c r="FC20" s="1749"/>
      <c r="FD20" s="1749"/>
      <c r="FE20" s="1749"/>
      <c r="FF20" s="1749"/>
      <c r="FG20" s="1749"/>
      <c r="FH20" s="1749"/>
      <c r="FI20" s="1749"/>
      <c r="FJ20" s="1749"/>
      <c r="FK20" s="1749"/>
      <c r="FL20" s="1749"/>
      <c r="FM20" s="1749"/>
      <c r="FN20" s="1749"/>
      <c r="FO20" s="1749"/>
      <c r="FP20" s="1749"/>
      <c r="FQ20" s="1749"/>
      <c r="FR20" s="1749"/>
      <c r="FS20" s="1749"/>
      <c r="FT20" s="1749"/>
      <c r="FU20" s="1749"/>
      <c r="FV20" s="1749"/>
      <c r="FW20" s="1749"/>
      <c r="FX20" s="1749"/>
      <c r="FY20" s="1749"/>
      <c r="FZ20" s="1749"/>
      <c r="GA20" s="1749"/>
      <c r="GB20" s="1749"/>
      <c r="GC20" s="1749"/>
      <c r="GD20" s="1749"/>
      <c r="GE20" s="1749"/>
      <c r="GF20" s="1749"/>
      <c r="GG20" s="1749"/>
      <c r="GH20" s="1749"/>
      <c r="GI20" s="1749"/>
      <c r="GJ20" s="1749"/>
      <c r="GK20" s="1749"/>
      <c r="GL20" s="1749"/>
      <c r="GM20" s="1749"/>
      <c r="GN20" s="1749"/>
      <c r="GO20" s="1749"/>
      <c r="GP20" s="1749"/>
      <c r="GQ20" s="1749"/>
      <c r="GR20" s="1749"/>
      <c r="GS20" s="1749"/>
      <c r="GT20" s="1749"/>
      <c r="GU20" s="1749"/>
      <c r="GV20" s="1749"/>
      <c r="GW20" s="1749"/>
      <c r="GX20" s="1749"/>
      <c r="GY20" s="1749"/>
      <c r="GZ20" s="1749"/>
      <c r="HA20" s="1749"/>
      <c r="HB20" s="1749"/>
      <c r="HC20" s="1749"/>
      <c r="HD20" s="1749"/>
      <c r="HE20" s="1749"/>
      <c r="HF20" s="1749"/>
      <c r="HG20" s="1749"/>
      <c r="HH20" s="1749"/>
      <c r="HI20" s="1749"/>
      <c r="HJ20" s="1749"/>
      <c r="HK20" s="1749"/>
      <c r="HL20" s="1749"/>
      <c r="HM20" s="1749"/>
      <c r="HN20" s="1749"/>
      <c r="HO20" s="1749"/>
      <c r="HP20" s="1749"/>
      <c r="HQ20" s="1749"/>
      <c r="HR20" s="1749"/>
      <c r="HS20" s="1749"/>
      <c r="HT20" s="1749"/>
      <c r="HU20" s="1749"/>
      <c r="HV20" s="1749"/>
      <c r="HW20" s="1749"/>
      <c r="HX20" s="1749"/>
      <c r="HY20" s="1749"/>
      <c r="HZ20" s="1749"/>
      <c r="IA20" s="1749"/>
      <c r="IB20" s="1749"/>
      <c r="IC20" s="1749"/>
      <c r="ID20" s="1749"/>
      <c r="IE20" s="1749"/>
      <c r="IF20" s="1749"/>
      <c r="IG20" s="1749"/>
      <c r="IH20" s="1749"/>
      <c r="II20" s="1749"/>
      <c r="IJ20" s="1749"/>
      <c r="IK20" s="1749"/>
      <c r="IL20" s="1749"/>
      <c r="IM20" s="1749"/>
      <c r="IN20" s="1749"/>
    </row>
    <row r="21" spans="1:248">
      <c r="A21" s="1729" t="s">
        <v>225</v>
      </c>
      <c r="B21" s="1730">
        <f>审定资负表!C23</f>
        <v>0</v>
      </c>
      <c r="C21" s="1730">
        <f>审定资负表!D23</f>
        <v>0</v>
      </c>
      <c r="D21" s="1731" t="str">
        <f t="shared" si="0"/>
        <v> </v>
      </c>
      <c r="E21" s="1732">
        <f t="shared" si="1"/>
        <v>0</v>
      </c>
      <c r="F21" s="1733" t="str">
        <f t="shared" si="2"/>
        <v/>
      </c>
      <c r="G21" s="1734"/>
      <c r="H21" s="1735" t="str">
        <f>IF(报表附注!F996=0,"相符","不相符")</f>
        <v>相符</v>
      </c>
      <c r="I21" s="1735" t="str">
        <f>IF(报表附注!G996=0,"相符","不相符")</f>
        <v>相符</v>
      </c>
      <c r="J21" s="1748" t="s">
        <v>1500</v>
      </c>
      <c r="K21" s="1749"/>
      <c r="L21" s="1749"/>
      <c r="M21" s="1749"/>
      <c r="N21" s="1749"/>
      <c r="O21" s="1749"/>
      <c r="P21" s="1749"/>
      <c r="Q21" s="1749"/>
      <c r="R21" s="1749"/>
      <c r="S21" s="1749"/>
      <c r="T21" s="1749"/>
      <c r="U21" s="1749"/>
      <c r="V21" s="1749"/>
      <c r="W21" s="1749"/>
      <c r="X21" s="1749"/>
      <c r="Y21" s="1749"/>
      <c r="Z21" s="1749"/>
      <c r="AA21" s="1749"/>
      <c r="AB21" s="1749"/>
      <c r="AC21" s="1749"/>
      <c r="AD21" s="1749"/>
      <c r="AE21" s="1749"/>
      <c r="AF21" s="1749"/>
      <c r="AG21" s="1749"/>
      <c r="AH21" s="1749"/>
      <c r="AI21" s="1749"/>
      <c r="AJ21" s="1749"/>
      <c r="AK21" s="1749"/>
      <c r="AL21" s="1749"/>
      <c r="AM21" s="1749"/>
      <c r="AN21" s="1749"/>
      <c r="AO21" s="1749"/>
      <c r="AP21" s="1749"/>
      <c r="AQ21" s="1749"/>
      <c r="AR21" s="1749"/>
      <c r="AS21" s="1749"/>
      <c r="AT21" s="1749"/>
      <c r="AU21" s="1749"/>
      <c r="AV21" s="1749"/>
      <c r="AW21" s="1749"/>
      <c r="AX21" s="1749"/>
      <c r="AY21" s="1749"/>
      <c r="AZ21" s="1749"/>
      <c r="BA21" s="1749"/>
      <c r="BB21" s="1749"/>
      <c r="BC21" s="1749"/>
      <c r="BD21" s="1749"/>
      <c r="BE21" s="1749"/>
      <c r="BF21" s="1749"/>
      <c r="BG21" s="1749"/>
      <c r="BH21" s="1749"/>
      <c r="BI21" s="1749"/>
      <c r="BJ21" s="1749"/>
      <c r="BK21" s="1749"/>
      <c r="BL21" s="1749"/>
      <c r="BM21" s="1749"/>
      <c r="BN21" s="1749"/>
      <c r="BO21" s="1749"/>
      <c r="BP21" s="1749"/>
      <c r="BQ21" s="1749"/>
      <c r="BR21" s="1749"/>
      <c r="BS21" s="1749"/>
      <c r="BT21" s="1749"/>
      <c r="BU21" s="1749"/>
      <c r="BV21" s="1749"/>
      <c r="BW21" s="1749"/>
      <c r="BX21" s="1749"/>
      <c r="BY21" s="1749"/>
      <c r="BZ21" s="1749"/>
      <c r="CA21" s="1749"/>
      <c r="CB21" s="1749"/>
      <c r="CC21" s="1749"/>
      <c r="CD21" s="1749"/>
      <c r="CE21" s="1749"/>
      <c r="CF21" s="1749"/>
      <c r="CG21" s="1749"/>
      <c r="CH21" s="1749"/>
      <c r="CI21" s="1749"/>
      <c r="CJ21" s="1749"/>
      <c r="CK21" s="1749"/>
      <c r="CL21" s="1749"/>
      <c r="CM21" s="1749"/>
      <c r="CN21" s="1749"/>
      <c r="CO21" s="1749"/>
      <c r="CP21" s="1749"/>
      <c r="CQ21" s="1749"/>
      <c r="CR21" s="1749"/>
      <c r="CS21" s="1749"/>
      <c r="CT21" s="1749"/>
      <c r="CU21" s="1749"/>
      <c r="CV21" s="1749"/>
      <c r="CW21" s="1749"/>
      <c r="CX21" s="1749"/>
      <c r="CY21" s="1749"/>
      <c r="CZ21" s="1749"/>
      <c r="DA21" s="1749"/>
      <c r="DB21" s="1749"/>
      <c r="DC21" s="1749"/>
      <c r="DD21" s="1749"/>
      <c r="DE21" s="1749"/>
      <c r="DF21" s="1749"/>
      <c r="DG21" s="1749"/>
      <c r="DH21" s="1749"/>
      <c r="DI21" s="1749"/>
      <c r="DJ21" s="1749"/>
      <c r="DK21" s="1749"/>
      <c r="DL21" s="1749"/>
      <c r="DM21" s="1749"/>
      <c r="DN21" s="1749"/>
      <c r="DO21" s="1749"/>
      <c r="DP21" s="1749"/>
      <c r="DQ21" s="1749"/>
      <c r="DR21" s="1749"/>
      <c r="DS21" s="1749"/>
      <c r="DT21" s="1749"/>
      <c r="DU21" s="1749"/>
      <c r="DV21" s="1749"/>
      <c r="DW21" s="1749"/>
      <c r="DX21" s="1749"/>
      <c r="DY21" s="1749"/>
      <c r="DZ21" s="1749"/>
      <c r="EA21" s="1749"/>
      <c r="EB21" s="1749"/>
      <c r="EC21" s="1749"/>
      <c r="ED21" s="1749"/>
      <c r="EE21" s="1749"/>
      <c r="EF21" s="1749"/>
      <c r="EG21" s="1749"/>
      <c r="EH21" s="1749"/>
      <c r="EI21" s="1749"/>
      <c r="EJ21" s="1749"/>
      <c r="EK21" s="1749"/>
      <c r="EL21" s="1749"/>
      <c r="EM21" s="1749"/>
      <c r="EN21" s="1749"/>
      <c r="EO21" s="1749"/>
      <c r="EP21" s="1749"/>
      <c r="EQ21" s="1749"/>
      <c r="ER21" s="1749"/>
      <c r="ES21" s="1749"/>
      <c r="ET21" s="1749"/>
      <c r="EU21" s="1749"/>
      <c r="EV21" s="1749"/>
      <c r="EW21" s="1749"/>
      <c r="EX21" s="1749"/>
      <c r="EY21" s="1749"/>
      <c r="EZ21" s="1749"/>
      <c r="FA21" s="1749"/>
      <c r="FB21" s="1749"/>
      <c r="FC21" s="1749"/>
      <c r="FD21" s="1749"/>
      <c r="FE21" s="1749"/>
      <c r="FF21" s="1749"/>
      <c r="FG21" s="1749"/>
      <c r="FH21" s="1749"/>
      <c r="FI21" s="1749"/>
      <c r="FJ21" s="1749"/>
      <c r="FK21" s="1749"/>
      <c r="FL21" s="1749"/>
      <c r="FM21" s="1749"/>
      <c r="FN21" s="1749"/>
      <c r="FO21" s="1749"/>
      <c r="FP21" s="1749"/>
      <c r="FQ21" s="1749"/>
      <c r="FR21" s="1749"/>
      <c r="FS21" s="1749"/>
      <c r="FT21" s="1749"/>
      <c r="FU21" s="1749"/>
      <c r="FV21" s="1749"/>
      <c r="FW21" s="1749"/>
      <c r="FX21" s="1749"/>
      <c r="FY21" s="1749"/>
      <c r="FZ21" s="1749"/>
      <c r="GA21" s="1749"/>
      <c r="GB21" s="1749"/>
      <c r="GC21" s="1749"/>
      <c r="GD21" s="1749"/>
      <c r="GE21" s="1749"/>
      <c r="GF21" s="1749"/>
      <c r="GG21" s="1749"/>
      <c r="GH21" s="1749"/>
      <c r="GI21" s="1749"/>
      <c r="GJ21" s="1749"/>
      <c r="GK21" s="1749"/>
      <c r="GL21" s="1749"/>
      <c r="GM21" s="1749"/>
      <c r="GN21" s="1749"/>
      <c r="GO21" s="1749"/>
      <c r="GP21" s="1749"/>
      <c r="GQ21" s="1749"/>
      <c r="GR21" s="1749"/>
      <c r="GS21" s="1749"/>
      <c r="GT21" s="1749"/>
      <c r="GU21" s="1749"/>
      <c r="GV21" s="1749"/>
      <c r="GW21" s="1749"/>
      <c r="GX21" s="1749"/>
      <c r="GY21" s="1749"/>
      <c r="GZ21" s="1749"/>
      <c r="HA21" s="1749"/>
      <c r="HB21" s="1749"/>
      <c r="HC21" s="1749"/>
      <c r="HD21" s="1749"/>
      <c r="HE21" s="1749"/>
      <c r="HF21" s="1749"/>
      <c r="HG21" s="1749"/>
      <c r="HH21" s="1749"/>
      <c r="HI21" s="1749"/>
      <c r="HJ21" s="1749"/>
      <c r="HK21" s="1749"/>
      <c r="HL21" s="1749"/>
      <c r="HM21" s="1749"/>
      <c r="HN21" s="1749"/>
      <c r="HO21" s="1749"/>
      <c r="HP21" s="1749"/>
      <c r="HQ21" s="1749"/>
      <c r="HR21" s="1749"/>
      <c r="HS21" s="1749"/>
      <c r="HT21" s="1749"/>
      <c r="HU21" s="1749"/>
      <c r="HV21" s="1749"/>
      <c r="HW21" s="1749"/>
      <c r="HX21" s="1749"/>
      <c r="HY21" s="1749"/>
      <c r="HZ21" s="1749"/>
      <c r="IA21" s="1749"/>
      <c r="IB21" s="1749"/>
      <c r="IC21" s="1749"/>
      <c r="ID21" s="1749"/>
      <c r="IE21" s="1749"/>
      <c r="IF21" s="1749"/>
      <c r="IG21" s="1749"/>
      <c r="IH21" s="1749"/>
      <c r="II21" s="1749"/>
      <c r="IJ21" s="1749"/>
      <c r="IK21" s="1749"/>
      <c r="IL21" s="1749"/>
      <c r="IM21" s="1749"/>
      <c r="IN21" s="1749"/>
    </row>
    <row r="22" spans="1:248">
      <c r="A22" s="1729" t="s">
        <v>227</v>
      </c>
      <c r="B22" s="1730">
        <f>审定资负表!C24</f>
        <v>0</v>
      </c>
      <c r="C22" s="1730">
        <f>审定资负表!D24</f>
        <v>0</v>
      </c>
      <c r="D22" s="1731" t="str">
        <f t="shared" si="0"/>
        <v> </v>
      </c>
      <c r="E22" s="1732">
        <f t="shared" si="1"/>
        <v>0</v>
      </c>
      <c r="F22" s="1733" t="str">
        <f t="shared" si="2"/>
        <v/>
      </c>
      <c r="G22" s="1734"/>
      <c r="H22" s="1735" t="str">
        <f>IF(报表附注!F1022=0,"相符","不相符")</f>
        <v>相符</v>
      </c>
      <c r="I22" s="1735" t="str">
        <f>IF(报表附注!G1022=0,"相符","不相符")</f>
        <v>相符</v>
      </c>
      <c r="J22" s="1748" t="s">
        <v>1502</v>
      </c>
      <c r="K22" s="1749"/>
      <c r="L22" s="1749"/>
      <c r="M22" s="1749"/>
      <c r="N22" s="1749"/>
      <c r="O22" s="1749"/>
      <c r="P22" s="1749"/>
      <c r="Q22" s="1749"/>
      <c r="R22" s="1749"/>
      <c r="S22" s="1749"/>
      <c r="T22" s="1749"/>
      <c r="U22" s="1749"/>
      <c r="V22" s="1749"/>
      <c r="W22" s="1749"/>
      <c r="X22" s="1749"/>
      <c r="Y22" s="1749"/>
      <c r="Z22" s="1749"/>
      <c r="AA22" s="1749"/>
      <c r="AB22" s="1749"/>
      <c r="AC22" s="1749"/>
      <c r="AD22" s="1749"/>
      <c r="AE22" s="1749"/>
      <c r="AF22" s="1749"/>
      <c r="AG22" s="1749"/>
      <c r="AH22" s="1749"/>
      <c r="AI22" s="1749"/>
      <c r="AJ22" s="1749"/>
      <c r="AK22" s="1749"/>
      <c r="AL22" s="1749"/>
      <c r="AM22" s="1749"/>
      <c r="AN22" s="1749"/>
      <c r="AO22" s="1749"/>
      <c r="AP22" s="1749"/>
      <c r="AQ22" s="1749"/>
      <c r="AR22" s="1749"/>
      <c r="AS22" s="1749"/>
      <c r="AT22" s="1749"/>
      <c r="AU22" s="1749"/>
      <c r="AV22" s="1749"/>
      <c r="AW22" s="1749"/>
      <c r="AX22" s="1749"/>
      <c r="AY22" s="1749"/>
      <c r="AZ22" s="1749"/>
      <c r="BA22" s="1749"/>
      <c r="BB22" s="1749"/>
      <c r="BC22" s="1749"/>
      <c r="BD22" s="1749"/>
      <c r="BE22" s="1749"/>
      <c r="BF22" s="1749"/>
      <c r="BG22" s="1749"/>
      <c r="BH22" s="1749"/>
      <c r="BI22" s="1749"/>
      <c r="BJ22" s="1749"/>
      <c r="BK22" s="1749"/>
      <c r="BL22" s="1749"/>
      <c r="BM22" s="1749"/>
      <c r="BN22" s="1749"/>
      <c r="BO22" s="1749"/>
      <c r="BP22" s="1749"/>
      <c r="BQ22" s="1749"/>
      <c r="BR22" s="1749"/>
      <c r="BS22" s="1749"/>
      <c r="BT22" s="1749"/>
      <c r="BU22" s="1749"/>
      <c r="BV22" s="1749"/>
      <c r="BW22" s="1749"/>
      <c r="BX22" s="1749"/>
      <c r="BY22" s="1749"/>
      <c r="BZ22" s="1749"/>
      <c r="CA22" s="1749"/>
      <c r="CB22" s="1749"/>
      <c r="CC22" s="1749"/>
      <c r="CD22" s="1749"/>
      <c r="CE22" s="1749"/>
      <c r="CF22" s="1749"/>
      <c r="CG22" s="1749"/>
      <c r="CH22" s="1749"/>
      <c r="CI22" s="1749"/>
      <c r="CJ22" s="1749"/>
      <c r="CK22" s="1749"/>
      <c r="CL22" s="1749"/>
      <c r="CM22" s="1749"/>
      <c r="CN22" s="1749"/>
      <c r="CO22" s="1749"/>
      <c r="CP22" s="1749"/>
      <c r="CQ22" s="1749"/>
      <c r="CR22" s="1749"/>
      <c r="CS22" s="1749"/>
      <c r="CT22" s="1749"/>
      <c r="CU22" s="1749"/>
      <c r="CV22" s="1749"/>
      <c r="CW22" s="1749"/>
      <c r="CX22" s="1749"/>
      <c r="CY22" s="1749"/>
      <c r="CZ22" s="1749"/>
      <c r="DA22" s="1749"/>
      <c r="DB22" s="1749"/>
      <c r="DC22" s="1749"/>
      <c r="DD22" s="1749"/>
      <c r="DE22" s="1749"/>
      <c r="DF22" s="1749"/>
      <c r="DG22" s="1749"/>
      <c r="DH22" s="1749"/>
      <c r="DI22" s="1749"/>
      <c r="DJ22" s="1749"/>
      <c r="DK22" s="1749"/>
      <c r="DL22" s="1749"/>
      <c r="DM22" s="1749"/>
      <c r="DN22" s="1749"/>
      <c r="DO22" s="1749"/>
      <c r="DP22" s="1749"/>
      <c r="DQ22" s="1749"/>
      <c r="DR22" s="1749"/>
      <c r="DS22" s="1749"/>
      <c r="DT22" s="1749"/>
      <c r="DU22" s="1749"/>
      <c r="DV22" s="1749"/>
      <c r="DW22" s="1749"/>
      <c r="DX22" s="1749"/>
      <c r="DY22" s="1749"/>
      <c r="DZ22" s="1749"/>
      <c r="EA22" s="1749"/>
      <c r="EB22" s="1749"/>
      <c r="EC22" s="1749"/>
      <c r="ED22" s="1749"/>
      <c r="EE22" s="1749"/>
      <c r="EF22" s="1749"/>
      <c r="EG22" s="1749"/>
      <c r="EH22" s="1749"/>
      <c r="EI22" s="1749"/>
      <c r="EJ22" s="1749"/>
      <c r="EK22" s="1749"/>
      <c r="EL22" s="1749"/>
      <c r="EM22" s="1749"/>
      <c r="EN22" s="1749"/>
      <c r="EO22" s="1749"/>
      <c r="EP22" s="1749"/>
      <c r="EQ22" s="1749"/>
      <c r="ER22" s="1749"/>
      <c r="ES22" s="1749"/>
      <c r="ET22" s="1749"/>
      <c r="EU22" s="1749"/>
      <c r="EV22" s="1749"/>
      <c r="EW22" s="1749"/>
      <c r="EX22" s="1749"/>
      <c r="EY22" s="1749"/>
      <c r="EZ22" s="1749"/>
      <c r="FA22" s="1749"/>
      <c r="FB22" s="1749"/>
      <c r="FC22" s="1749"/>
      <c r="FD22" s="1749"/>
      <c r="FE22" s="1749"/>
      <c r="FF22" s="1749"/>
      <c r="FG22" s="1749"/>
      <c r="FH22" s="1749"/>
      <c r="FI22" s="1749"/>
      <c r="FJ22" s="1749"/>
      <c r="FK22" s="1749"/>
      <c r="FL22" s="1749"/>
      <c r="FM22" s="1749"/>
      <c r="FN22" s="1749"/>
      <c r="FO22" s="1749"/>
      <c r="FP22" s="1749"/>
      <c r="FQ22" s="1749"/>
      <c r="FR22" s="1749"/>
      <c r="FS22" s="1749"/>
      <c r="FT22" s="1749"/>
      <c r="FU22" s="1749"/>
      <c r="FV22" s="1749"/>
      <c r="FW22" s="1749"/>
      <c r="FX22" s="1749"/>
      <c r="FY22" s="1749"/>
      <c r="FZ22" s="1749"/>
      <c r="GA22" s="1749"/>
      <c r="GB22" s="1749"/>
      <c r="GC22" s="1749"/>
      <c r="GD22" s="1749"/>
      <c r="GE22" s="1749"/>
      <c r="GF22" s="1749"/>
      <c r="GG22" s="1749"/>
      <c r="GH22" s="1749"/>
      <c r="GI22" s="1749"/>
      <c r="GJ22" s="1749"/>
      <c r="GK22" s="1749"/>
      <c r="GL22" s="1749"/>
      <c r="GM22" s="1749"/>
      <c r="GN22" s="1749"/>
      <c r="GO22" s="1749"/>
      <c r="GP22" s="1749"/>
      <c r="GQ22" s="1749"/>
      <c r="GR22" s="1749"/>
      <c r="GS22" s="1749"/>
      <c r="GT22" s="1749"/>
      <c r="GU22" s="1749"/>
      <c r="GV22" s="1749"/>
      <c r="GW22" s="1749"/>
      <c r="GX22" s="1749"/>
      <c r="GY22" s="1749"/>
      <c r="GZ22" s="1749"/>
      <c r="HA22" s="1749"/>
      <c r="HB22" s="1749"/>
      <c r="HC22" s="1749"/>
      <c r="HD22" s="1749"/>
      <c r="HE22" s="1749"/>
      <c r="HF22" s="1749"/>
      <c r="HG22" s="1749"/>
      <c r="HH22" s="1749"/>
      <c r="HI22" s="1749"/>
      <c r="HJ22" s="1749"/>
      <c r="HK22" s="1749"/>
      <c r="HL22" s="1749"/>
      <c r="HM22" s="1749"/>
      <c r="HN22" s="1749"/>
      <c r="HO22" s="1749"/>
      <c r="HP22" s="1749"/>
      <c r="HQ22" s="1749"/>
      <c r="HR22" s="1749"/>
      <c r="HS22" s="1749"/>
      <c r="HT22" s="1749"/>
      <c r="HU22" s="1749"/>
      <c r="HV22" s="1749"/>
      <c r="HW22" s="1749"/>
      <c r="HX22" s="1749"/>
      <c r="HY22" s="1749"/>
      <c r="HZ22" s="1749"/>
      <c r="IA22" s="1749"/>
      <c r="IB22" s="1749"/>
      <c r="IC22" s="1749"/>
      <c r="ID22" s="1749"/>
      <c r="IE22" s="1749"/>
      <c r="IF22" s="1749"/>
      <c r="IG22" s="1749"/>
      <c r="IH22" s="1749"/>
      <c r="II22" s="1749"/>
      <c r="IJ22" s="1749"/>
      <c r="IK22" s="1749"/>
      <c r="IL22" s="1749"/>
      <c r="IM22" s="1749"/>
      <c r="IN22" s="1749"/>
    </row>
    <row r="23" spans="1:248">
      <c r="A23" s="1729" t="s">
        <v>229</v>
      </c>
      <c r="B23" s="1730">
        <f>审定资负表!C25</f>
        <v>0</v>
      </c>
      <c r="C23" s="1730">
        <f>审定资负表!D25</f>
        <v>0</v>
      </c>
      <c r="D23" s="1731" t="str">
        <f t="shared" si="0"/>
        <v> </v>
      </c>
      <c r="E23" s="1732">
        <f t="shared" si="1"/>
        <v>0</v>
      </c>
      <c r="F23" s="1733" t="str">
        <f t="shared" si="2"/>
        <v/>
      </c>
      <c r="G23" s="1734"/>
      <c r="H23" s="1735" t="str">
        <f>IF(报表附注!K1083=0,"相符","不相符")</f>
        <v>相符</v>
      </c>
      <c r="I23" s="1735" t="str">
        <f>IF(报表附注!H1083=0,"相符","不相符")</f>
        <v>相符</v>
      </c>
      <c r="J23" s="1748" t="s">
        <v>1504</v>
      </c>
      <c r="K23" s="1749"/>
      <c r="L23" s="1749"/>
      <c r="M23" s="1749"/>
      <c r="N23" s="1749"/>
      <c r="O23" s="1749"/>
      <c r="P23" s="1749"/>
      <c r="Q23" s="1749"/>
      <c r="R23" s="1749"/>
      <c r="S23" s="1749"/>
      <c r="T23" s="1749"/>
      <c r="U23" s="1749"/>
      <c r="V23" s="1749"/>
      <c r="W23" s="1749"/>
      <c r="X23" s="1749"/>
      <c r="Y23" s="1749"/>
      <c r="Z23" s="1749"/>
      <c r="AA23" s="1749"/>
      <c r="AB23" s="1749"/>
      <c r="AC23" s="1749"/>
      <c r="AD23" s="1749"/>
      <c r="AE23" s="1749"/>
      <c r="AF23" s="1749"/>
      <c r="AG23" s="1749"/>
      <c r="AH23" s="1749"/>
      <c r="AI23" s="1749"/>
      <c r="AJ23" s="1749"/>
      <c r="AK23" s="1749"/>
      <c r="AL23" s="1749"/>
      <c r="AM23" s="1749"/>
      <c r="AN23" s="1749"/>
      <c r="AO23" s="1749"/>
      <c r="AP23" s="1749"/>
      <c r="AQ23" s="1749"/>
      <c r="AR23" s="1749"/>
      <c r="AS23" s="1749"/>
      <c r="AT23" s="1749"/>
      <c r="AU23" s="1749"/>
      <c r="AV23" s="1749"/>
      <c r="AW23" s="1749"/>
      <c r="AX23" s="1749"/>
      <c r="AY23" s="1749"/>
      <c r="AZ23" s="1749"/>
      <c r="BA23" s="1749"/>
      <c r="BB23" s="1749"/>
      <c r="BC23" s="1749"/>
      <c r="BD23" s="1749"/>
      <c r="BE23" s="1749"/>
      <c r="BF23" s="1749"/>
      <c r="BG23" s="1749"/>
      <c r="BH23" s="1749"/>
      <c r="BI23" s="1749"/>
      <c r="BJ23" s="1749"/>
      <c r="BK23" s="1749"/>
      <c r="BL23" s="1749"/>
      <c r="BM23" s="1749"/>
      <c r="BN23" s="1749"/>
      <c r="BO23" s="1749"/>
      <c r="BP23" s="1749"/>
      <c r="BQ23" s="1749"/>
      <c r="BR23" s="1749"/>
      <c r="BS23" s="1749"/>
      <c r="BT23" s="1749"/>
      <c r="BU23" s="1749"/>
      <c r="BV23" s="1749"/>
      <c r="BW23" s="1749"/>
      <c r="BX23" s="1749"/>
      <c r="BY23" s="1749"/>
      <c r="BZ23" s="1749"/>
      <c r="CA23" s="1749"/>
      <c r="CB23" s="1749"/>
      <c r="CC23" s="1749"/>
      <c r="CD23" s="1749"/>
      <c r="CE23" s="1749"/>
      <c r="CF23" s="1749"/>
      <c r="CG23" s="1749"/>
      <c r="CH23" s="1749"/>
      <c r="CI23" s="1749"/>
      <c r="CJ23" s="1749"/>
      <c r="CK23" s="1749"/>
      <c r="CL23" s="1749"/>
      <c r="CM23" s="1749"/>
      <c r="CN23" s="1749"/>
      <c r="CO23" s="1749"/>
      <c r="CP23" s="1749"/>
      <c r="CQ23" s="1749"/>
      <c r="CR23" s="1749"/>
      <c r="CS23" s="1749"/>
      <c r="CT23" s="1749"/>
      <c r="CU23" s="1749"/>
      <c r="CV23" s="1749"/>
      <c r="CW23" s="1749"/>
      <c r="CX23" s="1749"/>
      <c r="CY23" s="1749"/>
      <c r="CZ23" s="1749"/>
      <c r="DA23" s="1749"/>
      <c r="DB23" s="1749"/>
      <c r="DC23" s="1749"/>
      <c r="DD23" s="1749"/>
      <c r="DE23" s="1749"/>
      <c r="DF23" s="1749"/>
      <c r="DG23" s="1749"/>
      <c r="DH23" s="1749"/>
      <c r="DI23" s="1749"/>
      <c r="DJ23" s="1749"/>
      <c r="DK23" s="1749"/>
      <c r="DL23" s="1749"/>
      <c r="DM23" s="1749"/>
      <c r="DN23" s="1749"/>
      <c r="DO23" s="1749"/>
      <c r="DP23" s="1749"/>
      <c r="DQ23" s="1749"/>
      <c r="DR23" s="1749"/>
      <c r="DS23" s="1749"/>
      <c r="DT23" s="1749"/>
      <c r="DU23" s="1749"/>
      <c r="DV23" s="1749"/>
      <c r="DW23" s="1749"/>
      <c r="DX23" s="1749"/>
      <c r="DY23" s="1749"/>
      <c r="DZ23" s="1749"/>
      <c r="EA23" s="1749"/>
      <c r="EB23" s="1749"/>
      <c r="EC23" s="1749"/>
      <c r="ED23" s="1749"/>
      <c r="EE23" s="1749"/>
      <c r="EF23" s="1749"/>
      <c r="EG23" s="1749"/>
      <c r="EH23" s="1749"/>
      <c r="EI23" s="1749"/>
      <c r="EJ23" s="1749"/>
      <c r="EK23" s="1749"/>
      <c r="EL23" s="1749"/>
      <c r="EM23" s="1749"/>
      <c r="EN23" s="1749"/>
      <c r="EO23" s="1749"/>
      <c r="EP23" s="1749"/>
      <c r="EQ23" s="1749"/>
      <c r="ER23" s="1749"/>
      <c r="ES23" s="1749"/>
      <c r="ET23" s="1749"/>
      <c r="EU23" s="1749"/>
      <c r="EV23" s="1749"/>
      <c r="EW23" s="1749"/>
      <c r="EX23" s="1749"/>
      <c r="EY23" s="1749"/>
      <c r="EZ23" s="1749"/>
      <c r="FA23" s="1749"/>
      <c r="FB23" s="1749"/>
      <c r="FC23" s="1749"/>
      <c r="FD23" s="1749"/>
      <c r="FE23" s="1749"/>
      <c r="FF23" s="1749"/>
      <c r="FG23" s="1749"/>
      <c r="FH23" s="1749"/>
      <c r="FI23" s="1749"/>
      <c r="FJ23" s="1749"/>
      <c r="FK23" s="1749"/>
      <c r="FL23" s="1749"/>
      <c r="FM23" s="1749"/>
      <c r="FN23" s="1749"/>
      <c r="FO23" s="1749"/>
      <c r="FP23" s="1749"/>
      <c r="FQ23" s="1749"/>
      <c r="FR23" s="1749"/>
      <c r="FS23" s="1749"/>
      <c r="FT23" s="1749"/>
      <c r="FU23" s="1749"/>
      <c r="FV23" s="1749"/>
      <c r="FW23" s="1749"/>
      <c r="FX23" s="1749"/>
      <c r="FY23" s="1749"/>
      <c r="FZ23" s="1749"/>
      <c r="GA23" s="1749"/>
      <c r="GB23" s="1749"/>
      <c r="GC23" s="1749"/>
      <c r="GD23" s="1749"/>
      <c r="GE23" s="1749"/>
      <c r="GF23" s="1749"/>
      <c r="GG23" s="1749"/>
      <c r="GH23" s="1749"/>
      <c r="GI23" s="1749"/>
      <c r="GJ23" s="1749"/>
      <c r="GK23" s="1749"/>
      <c r="GL23" s="1749"/>
      <c r="GM23" s="1749"/>
      <c r="GN23" s="1749"/>
      <c r="GO23" s="1749"/>
      <c r="GP23" s="1749"/>
      <c r="GQ23" s="1749"/>
      <c r="GR23" s="1749"/>
      <c r="GS23" s="1749"/>
      <c r="GT23" s="1749"/>
      <c r="GU23" s="1749"/>
      <c r="GV23" s="1749"/>
      <c r="GW23" s="1749"/>
      <c r="GX23" s="1749"/>
      <c r="GY23" s="1749"/>
      <c r="GZ23" s="1749"/>
      <c r="HA23" s="1749"/>
      <c r="HB23" s="1749"/>
      <c r="HC23" s="1749"/>
      <c r="HD23" s="1749"/>
      <c r="HE23" s="1749"/>
      <c r="HF23" s="1749"/>
      <c r="HG23" s="1749"/>
      <c r="HH23" s="1749"/>
      <c r="HI23" s="1749"/>
      <c r="HJ23" s="1749"/>
      <c r="HK23" s="1749"/>
      <c r="HL23" s="1749"/>
      <c r="HM23" s="1749"/>
      <c r="HN23" s="1749"/>
      <c r="HO23" s="1749"/>
      <c r="HP23" s="1749"/>
      <c r="HQ23" s="1749"/>
      <c r="HR23" s="1749"/>
      <c r="HS23" s="1749"/>
      <c r="HT23" s="1749"/>
      <c r="HU23" s="1749"/>
      <c r="HV23" s="1749"/>
      <c r="HW23" s="1749"/>
      <c r="HX23" s="1749"/>
      <c r="HY23" s="1749"/>
      <c r="HZ23" s="1749"/>
      <c r="IA23" s="1749"/>
      <c r="IB23" s="1749"/>
      <c r="IC23" s="1749"/>
      <c r="ID23" s="1749"/>
      <c r="IE23" s="1749"/>
      <c r="IF23" s="1749"/>
      <c r="IG23" s="1749"/>
      <c r="IH23" s="1749"/>
      <c r="II23" s="1749"/>
      <c r="IJ23" s="1749"/>
      <c r="IK23" s="1749"/>
      <c r="IL23" s="1749"/>
      <c r="IM23" s="1749"/>
      <c r="IN23" s="1749"/>
    </row>
    <row r="24" spans="1:248">
      <c r="A24" s="1729" t="s">
        <v>231</v>
      </c>
      <c r="B24" s="1730">
        <f>审定资负表!C26</f>
        <v>0</v>
      </c>
      <c r="C24" s="1730">
        <f>审定资负表!D26</f>
        <v>0</v>
      </c>
      <c r="D24" s="1731" t="str">
        <f t="shared" si="0"/>
        <v> </v>
      </c>
      <c r="E24" s="1732">
        <f t="shared" si="1"/>
        <v>0</v>
      </c>
      <c r="F24" s="1733" t="str">
        <f t="shared" si="2"/>
        <v/>
      </c>
      <c r="G24" s="1734"/>
      <c r="H24" s="1735" t="str">
        <f>IF(报表附注!I1117=0,"相符","不相符")</f>
        <v>相符</v>
      </c>
      <c r="I24" s="1735" t="str">
        <f>IF(报表附注!F1117=0,"相符","不相符")</f>
        <v>相符</v>
      </c>
      <c r="J24" s="1753" t="s">
        <v>1506</v>
      </c>
      <c r="K24" s="1754"/>
      <c r="L24" s="1749"/>
      <c r="M24" s="1749"/>
      <c r="N24" s="1749"/>
      <c r="O24" s="1749"/>
      <c r="P24" s="1749"/>
      <c r="Q24" s="1749"/>
      <c r="R24" s="1749"/>
      <c r="S24" s="1749"/>
      <c r="T24" s="1749"/>
      <c r="U24" s="1749"/>
      <c r="V24" s="1749"/>
      <c r="W24" s="1749"/>
      <c r="X24" s="1749"/>
      <c r="Y24" s="1749"/>
      <c r="Z24" s="1749"/>
      <c r="AA24" s="1749"/>
      <c r="AB24" s="1749"/>
      <c r="AC24" s="1749"/>
      <c r="AD24" s="1749"/>
      <c r="AE24" s="1749"/>
      <c r="AF24" s="1749"/>
      <c r="AG24" s="1749"/>
      <c r="AH24" s="1749"/>
      <c r="AI24" s="1749"/>
      <c r="AJ24" s="1749"/>
      <c r="AK24" s="1749"/>
      <c r="AL24" s="1749"/>
      <c r="AM24" s="1749"/>
      <c r="AN24" s="1749"/>
      <c r="AO24" s="1749"/>
      <c r="AP24" s="1749"/>
      <c r="AQ24" s="1749"/>
      <c r="AR24" s="1749"/>
      <c r="AS24" s="1749"/>
      <c r="AT24" s="1749"/>
      <c r="AU24" s="1749"/>
      <c r="AV24" s="1749"/>
      <c r="AW24" s="1749"/>
      <c r="AX24" s="1749"/>
      <c r="AY24" s="1749"/>
      <c r="AZ24" s="1749"/>
      <c r="BA24" s="1749"/>
      <c r="BB24" s="1749"/>
      <c r="BC24" s="1749"/>
      <c r="BD24" s="1749"/>
      <c r="BE24" s="1749"/>
      <c r="BF24" s="1749"/>
      <c r="BG24" s="1749"/>
      <c r="BH24" s="1749"/>
      <c r="BI24" s="1749"/>
      <c r="BJ24" s="1749"/>
      <c r="BK24" s="1749"/>
      <c r="BL24" s="1749"/>
      <c r="BM24" s="1749"/>
      <c r="BN24" s="1749"/>
      <c r="BO24" s="1749"/>
      <c r="BP24" s="1749"/>
      <c r="BQ24" s="1749"/>
      <c r="BR24" s="1749"/>
      <c r="BS24" s="1749"/>
      <c r="BT24" s="1749"/>
      <c r="BU24" s="1749"/>
      <c r="BV24" s="1749"/>
      <c r="BW24" s="1749"/>
      <c r="BX24" s="1749"/>
      <c r="BY24" s="1749"/>
      <c r="BZ24" s="1749"/>
      <c r="CA24" s="1749"/>
      <c r="CB24" s="1749"/>
      <c r="CC24" s="1749"/>
      <c r="CD24" s="1749"/>
      <c r="CE24" s="1749"/>
      <c r="CF24" s="1749"/>
      <c r="CG24" s="1749"/>
      <c r="CH24" s="1749"/>
      <c r="CI24" s="1749"/>
      <c r="CJ24" s="1749"/>
      <c r="CK24" s="1749"/>
      <c r="CL24" s="1749"/>
      <c r="CM24" s="1749"/>
      <c r="CN24" s="1749"/>
      <c r="CO24" s="1749"/>
      <c r="CP24" s="1749"/>
      <c r="CQ24" s="1749"/>
      <c r="CR24" s="1749"/>
      <c r="CS24" s="1749"/>
      <c r="CT24" s="1749"/>
      <c r="CU24" s="1749"/>
      <c r="CV24" s="1749"/>
      <c r="CW24" s="1749"/>
      <c r="CX24" s="1749"/>
      <c r="CY24" s="1749"/>
      <c r="CZ24" s="1749"/>
      <c r="DA24" s="1749"/>
      <c r="DB24" s="1749"/>
      <c r="DC24" s="1749"/>
      <c r="DD24" s="1749"/>
      <c r="DE24" s="1749"/>
      <c r="DF24" s="1749"/>
      <c r="DG24" s="1749"/>
      <c r="DH24" s="1749"/>
      <c r="DI24" s="1749"/>
      <c r="DJ24" s="1749"/>
      <c r="DK24" s="1749"/>
      <c r="DL24" s="1749"/>
      <c r="DM24" s="1749"/>
      <c r="DN24" s="1749"/>
      <c r="DO24" s="1749"/>
      <c r="DP24" s="1749"/>
      <c r="DQ24" s="1749"/>
      <c r="DR24" s="1749"/>
      <c r="DS24" s="1749"/>
      <c r="DT24" s="1749"/>
      <c r="DU24" s="1749"/>
      <c r="DV24" s="1749"/>
      <c r="DW24" s="1749"/>
      <c r="DX24" s="1749"/>
      <c r="DY24" s="1749"/>
      <c r="DZ24" s="1749"/>
      <c r="EA24" s="1749"/>
      <c r="EB24" s="1749"/>
      <c r="EC24" s="1749"/>
      <c r="ED24" s="1749"/>
      <c r="EE24" s="1749"/>
      <c r="EF24" s="1749"/>
      <c r="EG24" s="1749"/>
      <c r="EH24" s="1749"/>
      <c r="EI24" s="1749"/>
      <c r="EJ24" s="1749"/>
      <c r="EK24" s="1749"/>
      <c r="EL24" s="1749"/>
      <c r="EM24" s="1749"/>
      <c r="EN24" s="1749"/>
      <c r="EO24" s="1749"/>
      <c r="EP24" s="1749"/>
      <c r="EQ24" s="1749"/>
      <c r="ER24" s="1749"/>
      <c r="ES24" s="1749"/>
      <c r="ET24" s="1749"/>
      <c r="EU24" s="1749"/>
      <c r="EV24" s="1749"/>
      <c r="EW24" s="1749"/>
      <c r="EX24" s="1749"/>
      <c r="EY24" s="1749"/>
      <c r="EZ24" s="1749"/>
      <c r="FA24" s="1749"/>
      <c r="FB24" s="1749"/>
      <c r="FC24" s="1749"/>
      <c r="FD24" s="1749"/>
      <c r="FE24" s="1749"/>
      <c r="FF24" s="1749"/>
      <c r="FG24" s="1749"/>
      <c r="FH24" s="1749"/>
      <c r="FI24" s="1749"/>
      <c r="FJ24" s="1749"/>
      <c r="FK24" s="1749"/>
      <c r="FL24" s="1749"/>
      <c r="FM24" s="1749"/>
      <c r="FN24" s="1749"/>
      <c r="FO24" s="1749"/>
      <c r="FP24" s="1749"/>
      <c r="FQ24" s="1749"/>
      <c r="FR24" s="1749"/>
      <c r="FS24" s="1749"/>
      <c r="FT24" s="1749"/>
      <c r="FU24" s="1749"/>
      <c r="FV24" s="1749"/>
      <c r="FW24" s="1749"/>
      <c r="FX24" s="1749"/>
      <c r="FY24" s="1749"/>
      <c r="FZ24" s="1749"/>
      <c r="GA24" s="1749"/>
      <c r="GB24" s="1749"/>
      <c r="GC24" s="1749"/>
      <c r="GD24" s="1749"/>
      <c r="GE24" s="1749"/>
      <c r="GF24" s="1749"/>
      <c r="GG24" s="1749"/>
      <c r="GH24" s="1749"/>
      <c r="GI24" s="1749"/>
      <c r="GJ24" s="1749"/>
      <c r="GK24" s="1749"/>
      <c r="GL24" s="1749"/>
      <c r="GM24" s="1749"/>
      <c r="GN24" s="1749"/>
      <c r="GO24" s="1749"/>
      <c r="GP24" s="1749"/>
      <c r="GQ24" s="1749"/>
      <c r="GR24" s="1749"/>
      <c r="GS24" s="1749"/>
      <c r="GT24" s="1749"/>
      <c r="GU24" s="1749"/>
      <c r="GV24" s="1749"/>
      <c r="GW24" s="1749"/>
      <c r="GX24" s="1749"/>
      <c r="GY24" s="1749"/>
      <c r="GZ24" s="1749"/>
      <c r="HA24" s="1749"/>
      <c r="HB24" s="1749"/>
      <c r="HC24" s="1749"/>
      <c r="HD24" s="1749"/>
      <c r="HE24" s="1749"/>
      <c r="HF24" s="1749"/>
      <c r="HG24" s="1749"/>
      <c r="HH24" s="1749"/>
      <c r="HI24" s="1749"/>
      <c r="HJ24" s="1749"/>
      <c r="HK24" s="1749"/>
      <c r="HL24" s="1749"/>
      <c r="HM24" s="1749"/>
      <c r="HN24" s="1749"/>
      <c r="HO24" s="1749"/>
      <c r="HP24" s="1749"/>
      <c r="HQ24" s="1749"/>
      <c r="HR24" s="1749"/>
      <c r="HS24" s="1749"/>
      <c r="HT24" s="1749"/>
      <c r="HU24" s="1749"/>
      <c r="HV24" s="1749"/>
      <c r="HW24" s="1749"/>
      <c r="HX24" s="1749"/>
      <c r="HY24" s="1749"/>
      <c r="HZ24" s="1749"/>
      <c r="IA24" s="1749"/>
      <c r="IB24" s="1749"/>
      <c r="IC24" s="1749"/>
      <c r="ID24" s="1749"/>
      <c r="IE24" s="1749"/>
      <c r="IF24" s="1749"/>
      <c r="IG24" s="1749"/>
      <c r="IH24" s="1749"/>
      <c r="II24" s="1749"/>
      <c r="IJ24" s="1749"/>
      <c r="IK24" s="1749"/>
      <c r="IL24" s="1749"/>
      <c r="IM24" s="1749"/>
      <c r="IN24" s="1749"/>
    </row>
    <row r="25" spans="1:248">
      <c r="A25" s="1729" t="s">
        <v>233</v>
      </c>
      <c r="B25" s="1730">
        <f>审定资负表!C27</f>
        <v>0</v>
      </c>
      <c r="C25" s="1730">
        <f>审定资负表!D27</f>
        <v>0</v>
      </c>
      <c r="D25" s="1731" t="str">
        <f t="shared" si="0"/>
        <v> </v>
      </c>
      <c r="E25" s="1732">
        <f t="shared" si="1"/>
        <v>0</v>
      </c>
      <c r="F25" s="1733" t="str">
        <f t="shared" si="2"/>
        <v/>
      </c>
      <c r="G25" s="1734"/>
      <c r="H25" s="1738" t="str">
        <f>IF(OR(报表附注!J1170&lt;&gt;0,报表附注!J3838&lt;&gt;0),"不相符",IF(报表附注!J3842&lt;&gt;0,"与在建工程结转数不相符","相符"))</f>
        <v>相符</v>
      </c>
      <c r="I25" s="1735" t="str">
        <f>IF(AND(报表附注!F1170=0,报表附注!J3840=0),"相符","不相符")</f>
        <v>相符</v>
      </c>
      <c r="J25" s="1755" t="s">
        <v>2028</v>
      </c>
      <c r="K25" s="1753" t="s">
        <v>1508</v>
      </c>
      <c r="L25" s="1749"/>
      <c r="M25" s="1749"/>
      <c r="N25" s="1749"/>
      <c r="O25" s="1749"/>
      <c r="P25" s="1749"/>
      <c r="Q25" s="1749"/>
      <c r="R25" s="1749"/>
      <c r="S25" s="1749"/>
      <c r="T25" s="1749"/>
      <c r="U25" s="1749"/>
      <c r="V25" s="1749"/>
      <c r="W25" s="1749"/>
      <c r="X25" s="1749"/>
      <c r="Y25" s="1749"/>
      <c r="Z25" s="1749"/>
      <c r="AA25" s="1749"/>
      <c r="AB25" s="1749"/>
      <c r="AC25" s="1749"/>
      <c r="AD25" s="1749"/>
      <c r="AE25" s="1749"/>
      <c r="AF25" s="1749"/>
      <c r="AG25" s="1749"/>
      <c r="AH25" s="1749"/>
      <c r="AI25" s="1749"/>
      <c r="AJ25" s="1749"/>
      <c r="AK25" s="1749"/>
      <c r="AL25" s="1749"/>
      <c r="AM25" s="1749"/>
      <c r="AN25" s="1749"/>
      <c r="AO25" s="1749"/>
      <c r="AP25" s="1749"/>
      <c r="AQ25" s="1749"/>
      <c r="AR25" s="1749"/>
      <c r="AS25" s="1749"/>
      <c r="AT25" s="1749"/>
      <c r="AU25" s="1749"/>
      <c r="AV25" s="1749"/>
      <c r="AW25" s="1749"/>
      <c r="AX25" s="1749"/>
      <c r="AY25" s="1749"/>
      <c r="AZ25" s="1749"/>
      <c r="BA25" s="1749"/>
      <c r="BB25" s="1749"/>
      <c r="BC25" s="1749"/>
      <c r="BD25" s="1749"/>
      <c r="BE25" s="1749"/>
      <c r="BF25" s="1749"/>
      <c r="BG25" s="1749"/>
      <c r="BH25" s="1749"/>
      <c r="BI25" s="1749"/>
      <c r="BJ25" s="1749"/>
      <c r="BK25" s="1749"/>
      <c r="BL25" s="1749"/>
      <c r="BM25" s="1749"/>
      <c r="BN25" s="1749"/>
      <c r="BO25" s="1749"/>
      <c r="BP25" s="1749"/>
      <c r="BQ25" s="1749"/>
      <c r="BR25" s="1749"/>
      <c r="BS25" s="1749"/>
      <c r="BT25" s="1749"/>
      <c r="BU25" s="1749"/>
      <c r="BV25" s="1749"/>
      <c r="BW25" s="1749"/>
      <c r="BX25" s="1749"/>
      <c r="BY25" s="1749"/>
      <c r="BZ25" s="1749"/>
      <c r="CA25" s="1749"/>
      <c r="CB25" s="1749"/>
      <c r="CC25" s="1749"/>
      <c r="CD25" s="1749"/>
      <c r="CE25" s="1749"/>
      <c r="CF25" s="1749"/>
      <c r="CG25" s="1749"/>
      <c r="CH25" s="1749"/>
      <c r="CI25" s="1749"/>
      <c r="CJ25" s="1749"/>
      <c r="CK25" s="1749"/>
      <c r="CL25" s="1749"/>
      <c r="CM25" s="1749"/>
      <c r="CN25" s="1749"/>
      <c r="CO25" s="1749"/>
      <c r="CP25" s="1749"/>
      <c r="CQ25" s="1749"/>
      <c r="CR25" s="1749"/>
      <c r="CS25" s="1749"/>
      <c r="CT25" s="1749"/>
      <c r="CU25" s="1749"/>
      <c r="CV25" s="1749"/>
      <c r="CW25" s="1749"/>
      <c r="CX25" s="1749"/>
      <c r="CY25" s="1749"/>
      <c r="CZ25" s="1749"/>
      <c r="DA25" s="1749"/>
      <c r="DB25" s="1749"/>
      <c r="DC25" s="1749"/>
      <c r="DD25" s="1749"/>
      <c r="DE25" s="1749"/>
      <c r="DF25" s="1749"/>
      <c r="DG25" s="1749"/>
      <c r="DH25" s="1749"/>
      <c r="DI25" s="1749"/>
      <c r="DJ25" s="1749"/>
      <c r="DK25" s="1749"/>
      <c r="DL25" s="1749"/>
      <c r="DM25" s="1749"/>
      <c r="DN25" s="1749"/>
      <c r="DO25" s="1749"/>
      <c r="DP25" s="1749"/>
      <c r="DQ25" s="1749"/>
      <c r="DR25" s="1749"/>
      <c r="DS25" s="1749"/>
      <c r="DT25" s="1749"/>
      <c r="DU25" s="1749"/>
      <c r="DV25" s="1749"/>
      <c r="DW25" s="1749"/>
      <c r="DX25" s="1749"/>
      <c r="DY25" s="1749"/>
      <c r="DZ25" s="1749"/>
      <c r="EA25" s="1749"/>
      <c r="EB25" s="1749"/>
      <c r="EC25" s="1749"/>
      <c r="ED25" s="1749"/>
      <c r="EE25" s="1749"/>
      <c r="EF25" s="1749"/>
      <c r="EG25" s="1749"/>
      <c r="EH25" s="1749"/>
      <c r="EI25" s="1749"/>
      <c r="EJ25" s="1749"/>
      <c r="EK25" s="1749"/>
      <c r="EL25" s="1749"/>
      <c r="EM25" s="1749"/>
      <c r="EN25" s="1749"/>
      <c r="EO25" s="1749"/>
      <c r="EP25" s="1749"/>
      <c r="EQ25" s="1749"/>
      <c r="ER25" s="1749"/>
      <c r="ES25" s="1749"/>
      <c r="ET25" s="1749"/>
      <c r="EU25" s="1749"/>
      <c r="EV25" s="1749"/>
      <c r="EW25" s="1749"/>
      <c r="EX25" s="1749"/>
      <c r="EY25" s="1749"/>
      <c r="EZ25" s="1749"/>
      <c r="FA25" s="1749"/>
      <c r="FB25" s="1749"/>
      <c r="FC25" s="1749"/>
      <c r="FD25" s="1749"/>
      <c r="FE25" s="1749"/>
      <c r="FF25" s="1749"/>
      <c r="FG25" s="1749"/>
      <c r="FH25" s="1749"/>
      <c r="FI25" s="1749"/>
      <c r="FJ25" s="1749"/>
      <c r="FK25" s="1749"/>
      <c r="FL25" s="1749"/>
      <c r="FM25" s="1749"/>
      <c r="FN25" s="1749"/>
      <c r="FO25" s="1749"/>
      <c r="FP25" s="1749"/>
      <c r="FQ25" s="1749"/>
      <c r="FR25" s="1749"/>
      <c r="FS25" s="1749"/>
      <c r="FT25" s="1749"/>
      <c r="FU25" s="1749"/>
      <c r="FV25" s="1749"/>
      <c r="FW25" s="1749"/>
      <c r="FX25" s="1749"/>
      <c r="FY25" s="1749"/>
      <c r="FZ25" s="1749"/>
      <c r="GA25" s="1749"/>
      <c r="GB25" s="1749"/>
      <c r="GC25" s="1749"/>
      <c r="GD25" s="1749"/>
      <c r="GE25" s="1749"/>
      <c r="GF25" s="1749"/>
      <c r="GG25" s="1749"/>
      <c r="GH25" s="1749"/>
      <c r="GI25" s="1749"/>
      <c r="GJ25" s="1749"/>
      <c r="GK25" s="1749"/>
      <c r="GL25" s="1749"/>
      <c r="GM25" s="1749"/>
      <c r="GN25" s="1749"/>
      <c r="GO25" s="1749"/>
      <c r="GP25" s="1749"/>
      <c r="GQ25" s="1749"/>
      <c r="GR25" s="1749"/>
      <c r="GS25" s="1749"/>
      <c r="GT25" s="1749"/>
      <c r="GU25" s="1749"/>
      <c r="GV25" s="1749"/>
      <c r="GW25" s="1749"/>
      <c r="GX25" s="1749"/>
      <c r="GY25" s="1749"/>
      <c r="GZ25" s="1749"/>
      <c r="HA25" s="1749"/>
      <c r="HB25" s="1749"/>
      <c r="HC25" s="1749"/>
      <c r="HD25" s="1749"/>
      <c r="HE25" s="1749"/>
      <c r="HF25" s="1749"/>
      <c r="HG25" s="1749"/>
      <c r="HH25" s="1749"/>
      <c r="HI25" s="1749"/>
      <c r="HJ25" s="1749"/>
      <c r="HK25" s="1749"/>
      <c r="HL25" s="1749"/>
      <c r="HM25" s="1749"/>
      <c r="HN25" s="1749"/>
      <c r="HO25" s="1749"/>
      <c r="HP25" s="1749"/>
      <c r="HQ25" s="1749"/>
      <c r="HR25" s="1749"/>
      <c r="HS25" s="1749"/>
      <c r="HT25" s="1749"/>
      <c r="HU25" s="1749"/>
      <c r="HV25" s="1749"/>
      <c r="HW25" s="1749"/>
      <c r="HX25" s="1749"/>
      <c r="HY25" s="1749"/>
      <c r="HZ25" s="1749"/>
      <c r="IA25" s="1749"/>
      <c r="IB25" s="1749"/>
      <c r="IC25" s="1749"/>
      <c r="ID25" s="1749"/>
      <c r="IE25" s="1749"/>
      <c r="IF25" s="1749"/>
      <c r="IG25" s="1749"/>
      <c r="IH25" s="1749"/>
      <c r="II25" s="1749"/>
      <c r="IJ25" s="1749"/>
      <c r="IK25" s="1749"/>
      <c r="IL25" s="1749"/>
      <c r="IM25" s="1749"/>
      <c r="IN25" s="1749"/>
    </row>
    <row r="26" spans="1:248">
      <c r="A26" s="1729" t="s">
        <v>235</v>
      </c>
      <c r="B26" s="1730">
        <f>审定资负表!C28</f>
        <v>0</v>
      </c>
      <c r="C26" s="1730">
        <f>审定资负表!D28</f>
        <v>0</v>
      </c>
      <c r="D26" s="1731" t="str">
        <f t="shared" si="0"/>
        <v> </v>
      </c>
      <c r="E26" s="1732">
        <f t="shared" si="1"/>
        <v>0</v>
      </c>
      <c r="F26" s="1733" t="str">
        <f t="shared" si="2"/>
        <v/>
      </c>
      <c r="G26" s="1734"/>
      <c r="H26" s="1735" t="str">
        <f>IF(报表附注!H1276&lt;&gt;0,"不相符",IF(报表附注!$I$1310&lt;&gt;0,"与转入固定资产数不相符","相符"))</f>
        <v>相符</v>
      </c>
      <c r="I26" s="1735" t="str">
        <f>IF(报表附注!K1276=0,"相符","不相符")</f>
        <v>相符</v>
      </c>
      <c r="J26" s="1753" t="s">
        <v>1510</v>
      </c>
      <c r="K26" s="1756"/>
      <c r="L26" s="1749"/>
      <c r="M26" s="1749"/>
      <c r="N26" s="1749"/>
      <c r="O26" s="1749"/>
      <c r="P26" s="1749"/>
      <c r="Q26" s="1749"/>
      <c r="R26" s="1749"/>
      <c r="S26" s="1749"/>
      <c r="T26" s="1749"/>
      <c r="U26" s="1749"/>
      <c r="V26" s="1749"/>
      <c r="W26" s="1749"/>
      <c r="X26" s="1749"/>
      <c r="Y26" s="1749"/>
      <c r="Z26" s="1749"/>
      <c r="AA26" s="1749"/>
      <c r="AB26" s="1749"/>
      <c r="AC26" s="1749"/>
      <c r="AD26" s="1749"/>
      <c r="AE26" s="1749"/>
      <c r="AF26" s="1749"/>
      <c r="AG26" s="1749"/>
      <c r="AH26" s="1749"/>
      <c r="AI26" s="1749"/>
      <c r="AJ26" s="1749"/>
      <c r="AK26" s="1749"/>
      <c r="AL26" s="1749"/>
      <c r="AM26" s="1749"/>
      <c r="AN26" s="1749"/>
      <c r="AO26" s="1749"/>
      <c r="AP26" s="1749"/>
      <c r="AQ26" s="1749"/>
      <c r="AR26" s="1749"/>
      <c r="AS26" s="1749"/>
      <c r="AT26" s="1749"/>
      <c r="AU26" s="1749"/>
      <c r="AV26" s="1749"/>
      <c r="AW26" s="1749"/>
      <c r="AX26" s="1749"/>
      <c r="AY26" s="1749"/>
      <c r="AZ26" s="1749"/>
      <c r="BA26" s="1749"/>
      <c r="BB26" s="1749"/>
      <c r="BC26" s="1749"/>
      <c r="BD26" s="1749"/>
      <c r="BE26" s="1749"/>
      <c r="BF26" s="1749"/>
      <c r="BG26" s="1749"/>
      <c r="BH26" s="1749"/>
      <c r="BI26" s="1749"/>
      <c r="BJ26" s="1749"/>
      <c r="BK26" s="1749"/>
      <c r="BL26" s="1749"/>
      <c r="BM26" s="1749"/>
      <c r="BN26" s="1749"/>
      <c r="BO26" s="1749"/>
      <c r="BP26" s="1749"/>
      <c r="BQ26" s="1749"/>
      <c r="BR26" s="1749"/>
      <c r="BS26" s="1749"/>
      <c r="BT26" s="1749"/>
      <c r="BU26" s="1749"/>
      <c r="BV26" s="1749"/>
      <c r="BW26" s="1749"/>
      <c r="BX26" s="1749"/>
      <c r="BY26" s="1749"/>
      <c r="BZ26" s="1749"/>
      <c r="CA26" s="1749"/>
      <c r="CB26" s="1749"/>
      <c r="CC26" s="1749"/>
      <c r="CD26" s="1749"/>
      <c r="CE26" s="1749"/>
      <c r="CF26" s="1749"/>
      <c r="CG26" s="1749"/>
      <c r="CH26" s="1749"/>
      <c r="CI26" s="1749"/>
      <c r="CJ26" s="1749"/>
      <c r="CK26" s="1749"/>
      <c r="CL26" s="1749"/>
      <c r="CM26" s="1749"/>
      <c r="CN26" s="1749"/>
      <c r="CO26" s="1749"/>
      <c r="CP26" s="1749"/>
      <c r="CQ26" s="1749"/>
      <c r="CR26" s="1749"/>
      <c r="CS26" s="1749"/>
      <c r="CT26" s="1749"/>
      <c r="CU26" s="1749"/>
      <c r="CV26" s="1749"/>
      <c r="CW26" s="1749"/>
      <c r="CX26" s="1749"/>
      <c r="CY26" s="1749"/>
      <c r="CZ26" s="1749"/>
      <c r="DA26" s="1749"/>
      <c r="DB26" s="1749"/>
      <c r="DC26" s="1749"/>
      <c r="DD26" s="1749"/>
      <c r="DE26" s="1749"/>
      <c r="DF26" s="1749"/>
      <c r="DG26" s="1749"/>
      <c r="DH26" s="1749"/>
      <c r="DI26" s="1749"/>
      <c r="DJ26" s="1749"/>
      <c r="DK26" s="1749"/>
      <c r="DL26" s="1749"/>
      <c r="DM26" s="1749"/>
      <c r="DN26" s="1749"/>
      <c r="DO26" s="1749"/>
      <c r="DP26" s="1749"/>
      <c r="DQ26" s="1749"/>
      <c r="DR26" s="1749"/>
      <c r="DS26" s="1749"/>
      <c r="DT26" s="1749"/>
      <c r="DU26" s="1749"/>
      <c r="DV26" s="1749"/>
      <c r="DW26" s="1749"/>
      <c r="DX26" s="1749"/>
      <c r="DY26" s="1749"/>
      <c r="DZ26" s="1749"/>
      <c r="EA26" s="1749"/>
      <c r="EB26" s="1749"/>
      <c r="EC26" s="1749"/>
      <c r="ED26" s="1749"/>
      <c r="EE26" s="1749"/>
      <c r="EF26" s="1749"/>
      <c r="EG26" s="1749"/>
      <c r="EH26" s="1749"/>
      <c r="EI26" s="1749"/>
      <c r="EJ26" s="1749"/>
      <c r="EK26" s="1749"/>
      <c r="EL26" s="1749"/>
      <c r="EM26" s="1749"/>
      <c r="EN26" s="1749"/>
      <c r="EO26" s="1749"/>
      <c r="EP26" s="1749"/>
      <c r="EQ26" s="1749"/>
      <c r="ER26" s="1749"/>
      <c r="ES26" s="1749"/>
      <c r="ET26" s="1749"/>
      <c r="EU26" s="1749"/>
      <c r="EV26" s="1749"/>
      <c r="EW26" s="1749"/>
      <c r="EX26" s="1749"/>
      <c r="EY26" s="1749"/>
      <c r="EZ26" s="1749"/>
      <c r="FA26" s="1749"/>
      <c r="FB26" s="1749"/>
      <c r="FC26" s="1749"/>
      <c r="FD26" s="1749"/>
      <c r="FE26" s="1749"/>
      <c r="FF26" s="1749"/>
      <c r="FG26" s="1749"/>
      <c r="FH26" s="1749"/>
      <c r="FI26" s="1749"/>
      <c r="FJ26" s="1749"/>
      <c r="FK26" s="1749"/>
      <c r="FL26" s="1749"/>
      <c r="FM26" s="1749"/>
      <c r="FN26" s="1749"/>
      <c r="FO26" s="1749"/>
      <c r="FP26" s="1749"/>
      <c r="FQ26" s="1749"/>
      <c r="FR26" s="1749"/>
      <c r="FS26" s="1749"/>
      <c r="FT26" s="1749"/>
      <c r="FU26" s="1749"/>
      <c r="FV26" s="1749"/>
      <c r="FW26" s="1749"/>
      <c r="FX26" s="1749"/>
      <c r="FY26" s="1749"/>
      <c r="FZ26" s="1749"/>
      <c r="GA26" s="1749"/>
      <c r="GB26" s="1749"/>
      <c r="GC26" s="1749"/>
      <c r="GD26" s="1749"/>
      <c r="GE26" s="1749"/>
      <c r="GF26" s="1749"/>
      <c r="GG26" s="1749"/>
      <c r="GH26" s="1749"/>
      <c r="GI26" s="1749"/>
      <c r="GJ26" s="1749"/>
      <c r="GK26" s="1749"/>
      <c r="GL26" s="1749"/>
      <c r="GM26" s="1749"/>
      <c r="GN26" s="1749"/>
      <c r="GO26" s="1749"/>
      <c r="GP26" s="1749"/>
      <c r="GQ26" s="1749"/>
      <c r="GR26" s="1749"/>
      <c r="GS26" s="1749"/>
      <c r="GT26" s="1749"/>
      <c r="GU26" s="1749"/>
      <c r="GV26" s="1749"/>
      <c r="GW26" s="1749"/>
      <c r="GX26" s="1749"/>
      <c r="GY26" s="1749"/>
      <c r="GZ26" s="1749"/>
      <c r="HA26" s="1749"/>
      <c r="HB26" s="1749"/>
      <c r="HC26" s="1749"/>
      <c r="HD26" s="1749"/>
      <c r="HE26" s="1749"/>
      <c r="HF26" s="1749"/>
      <c r="HG26" s="1749"/>
      <c r="HH26" s="1749"/>
      <c r="HI26" s="1749"/>
      <c r="HJ26" s="1749"/>
      <c r="HK26" s="1749"/>
      <c r="HL26" s="1749"/>
      <c r="HM26" s="1749"/>
      <c r="HN26" s="1749"/>
      <c r="HO26" s="1749"/>
      <c r="HP26" s="1749"/>
      <c r="HQ26" s="1749"/>
      <c r="HR26" s="1749"/>
      <c r="HS26" s="1749"/>
      <c r="HT26" s="1749"/>
      <c r="HU26" s="1749"/>
      <c r="HV26" s="1749"/>
      <c r="HW26" s="1749"/>
      <c r="HX26" s="1749"/>
      <c r="HY26" s="1749"/>
      <c r="HZ26" s="1749"/>
      <c r="IA26" s="1749"/>
      <c r="IB26" s="1749"/>
      <c r="IC26" s="1749"/>
      <c r="ID26" s="1749"/>
      <c r="IE26" s="1749"/>
      <c r="IF26" s="1749"/>
      <c r="IG26" s="1749"/>
      <c r="IH26" s="1749"/>
      <c r="II26" s="1749"/>
      <c r="IJ26" s="1749"/>
      <c r="IK26" s="1749"/>
      <c r="IL26" s="1749"/>
      <c r="IM26" s="1749"/>
      <c r="IN26" s="1749"/>
    </row>
    <row r="27" spans="1:248">
      <c r="A27" s="1729" t="s">
        <v>237</v>
      </c>
      <c r="B27" s="1730">
        <f>审定资负表!C29</f>
        <v>0</v>
      </c>
      <c r="C27" s="1730">
        <f>审定资负表!D29</f>
        <v>0</v>
      </c>
      <c r="D27" s="1731" t="str">
        <f t="shared" si="0"/>
        <v> </v>
      </c>
      <c r="E27" s="1732">
        <f t="shared" si="1"/>
        <v>0</v>
      </c>
      <c r="F27" s="1733" t="str">
        <f t="shared" si="2"/>
        <v/>
      </c>
      <c r="G27" s="1734"/>
      <c r="H27" s="1735" t="str">
        <f>IF(报表附注!I1346=0,"相符","不相符")</f>
        <v>相符</v>
      </c>
      <c r="I27" s="1735" t="str">
        <f>IF(报表附注!F1346=0,"相符","不相符")</f>
        <v>相符</v>
      </c>
      <c r="J27" s="1753" t="s">
        <v>1512</v>
      </c>
      <c r="K27" s="1757"/>
      <c r="L27" s="1749"/>
      <c r="M27" s="1749"/>
      <c r="N27" s="1749"/>
      <c r="O27" s="1749"/>
      <c r="P27" s="1749"/>
      <c r="Q27" s="1749"/>
      <c r="R27" s="1749"/>
      <c r="S27" s="1749"/>
      <c r="T27" s="1749"/>
      <c r="U27" s="1749"/>
      <c r="V27" s="1749"/>
      <c r="W27" s="1749"/>
      <c r="X27" s="1749"/>
      <c r="Y27" s="1749"/>
      <c r="Z27" s="1749"/>
      <c r="AA27" s="1749"/>
      <c r="AB27" s="1749"/>
      <c r="AC27" s="1749"/>
      <c r="AD27" s="1749"/>
      <c r="AE27" s="1749"/>
      <c r="AF27" s="1749"/>
      <c r="AG27" s="1749"/>
      <c r="AH27" s="1749"/>
      <c r="AI27" s="1749"/>
      <c r="AJ27" s="1749"/>
      <c r="AK27" s="1749"/>
      <c r="AL27" s="1749"/>
      <c r="AM27" s="1749"/>
      <c r="AN27" s="1749"/>
      <c r="AO27" s="1749"/>
      <c r="AP27" s="1749"/>
      <c r="AQ27" s="1749"/>
      <c r="AR27" s="1749"/>
      <c r="AS27" s="1749"/>
      <c r="AT27" s="1749"/>
      <c r="AU27" s="1749"/>
      <c r="AV27" s="1749"/>
      <c r="AW27" s="1749"/>
      <c r="AX27" s="1749"/>
      <c r="AY27" s="1749"/>
      <c r="AZ27" s="1749"/>
      <c r="BA27" s="1749"/>
      <c r="BB27" s="1749"/>
      <c r="BC27" s="1749"/>
      <c r="BD27" s="1749"/>
      <c r="BE27" s="1749"/>
      <c r="BF27" s="1749"/>
      <c r="BG27" s="1749"/>
      <c r="BH27" s="1749"/>
      <c r="BI27" s="1749"/>
      <c r="BJ27" s="1749"/>
      <c r="BK27" s="1749"/>
      <c r="BL27" s="1749"/>
      <c r="BM27" s="1749"/>
      <c r="BN27" s="1749"/>
      <c r="BO27" s="1749"/>
      <c r="BP27" s="1749"/>
      <c r="BQ27" s="1749"/>
      <c r="BR27" s="1749"/>
      <c r="BS27" s="1749"/>
      <c r="BT27" s="1749"/>
      <c r="BU27" s="1749"/>
      <c r="BV27" s="1749"/>
      <c r="BW27" s="1749"/>
      <c r="BX27" s="1749"/>
      <c r="BY27" s="1749"/>
      <c r="BZ27" s="1749"/>
      <c r="CA27" s="1749"/>
      <c r="CB27" s="1749"/>
      <c r="CC27" s="1749"/>
      <c r="CD27" s="1749"/>
      <c r="CE27" s="1749"/>
      <c r="CF27" s="1749"/>
      <c r="CG27" s="1749"/>
      <c r="CH27" s="1749"/>
      <c r="CI27" s="1749"/>
      <c r="CJ27" s="1749"/>
      <c r="CK27" s="1749"/>
      <c r="CL27" s="1749"/>
      <c r="CM27" s="1749"/>
      <c r="CN27" s="1749"/>
      <c r="CO27" s="1749"/>
      <c r="CP27" s="1749"/>
      <c r="CQ27" s="1749"/>
      <c r="CR27" s="1749"/>
      <c r="CS27" s="1749"/>
      <c r="CT27" s="1749"/>
      <c r="CU27" s="1749"/>
      <c r="CV27" s="1749"/>
      <c r="CW27" s="1749"/>
      <c r="CX27" s="1749"/>
      <c r="CY27" s="1749"/>
      <c r="CZ27" s="1749"/>
      <c r="DA27" s="1749"/>
      <c r="DB27" s="1749"/>
      <c r="DC27" s="1749"/>
      <c r="DD27" s="1749"/>
      <c r="DE27" s="1749"/>
      <c r="DF27" s="1749"/>
      <c r="DG27" s="1749"/>
      <c r="DH27" s="1749"/>
      <c r="DI27" s="1749"/>
      <c r="DJ27" s="1749"/>
      <c r="DK27" s="1749"/>
      <c r="DL27" s="1749"/>
      <c r="DM27" s="1749"/>
      <c r="DN27" s="1749"/>
      <c r="DO27" s="1749"/>
      <c r="DP27" s="1749"/>
      <c r="DQ27" s="1749"/>
      <c r="DR27" s="1749"/>
      <c r="DS27" s="1749"/>
      <c r="DT27" s="1749"/>
      <c r="DU27" s="1749"/>
      <c r="DV27" s="1749"/>
      <c r="DW27" s="1749"/>
      <c r="DX27" s="1749"/>
      <c r="DY27" s="1749"/>
      <c r="DZ27" s="1749"/>
      <c r="EA27" s="1749"/>
      <c r="EB27" s="1749"/>
      <c r="EC27" s="1749"/>
      <c r="ED27" s="1749"/>
      <c r="EE27" s="1749"/>
      <c r="EF27" s="1749"/>
      <c r="EG27" s="1749"/>
      <c r="EH27" s="1749"/>
      <c r="EI27" s="1749"/>
      <c r="EJ27" s="1749"/>
      <c r="EK27" s="1749"/>
      <c r="EL27" s="1749"/>
      <c r="EM27" s="1749"/>
      <c r="EN27" s="1749"/>
      <c r="EO27" s="1749"/>
      <c r="EP27" s="1749"/>
      <c r="EQ27" s="1749"/>
      <c r="ER27" s="1749"/>
      <c r="ES27" s="1749"/>
      <c r="ET27" s="1749"/>
      <c r="EU27" s="1749"/>
      <c r="EV27" s="1749"/>
      <c r="EW27" s="1749"/>
      <c r="EX27" s="1749"/>
      <c r="EY27" s="1749"/>
      <c r="EZ27" s="1749"/>
      <c r="FA27" s="1749"/>
      <c r="FB27" s="1749"/>
      <c r="FC27" s="1749"/>
      <c r="FD27" s="1749"/>
      <c r="FE27" s="1749"/>
      <c r="FF27" s="1749"/>
      <c r="FG27" s="1749"/>
      <c r="FH27" s="1749"/>
      <c r="FI27" s="1749"/>
      <c r="FJ27" s="1749"/>
      <c r="FK27" s="1749"/>
      <c r="FL27" s="1749"/>
      <c r="FM27" s="1749"/>
      <c r="FN27" s="1749"/>
      <c r="FO27" s="1749"/>
      <c r="FP27" s="1749"/>
      <c r="FQ27" s="1749"/>
      <c r="FR27" s="1749"/>
      <c r="FS27" s="1749"/>
      <c r="FT27" s="1749"/>
      <c r="FU27" s="1749"/>
      <c r="FV27" s="1749"/>
      <c r="FW27" s="1749"/>
      <c r="FX27" s="1749"/>
      <c r="FY27" s="1749"/>
      <c r="FZ27" s="1749"/>
      <c r="GA27" s="1749"/>
      <c r="GB27" s="1749"/>
      <c r="GC27" s="1749"/>
      <c r="GD27" s="1749"/>
      <c r="GE27" s="1749"/>
      <c r="GF27" s="1749"/>
      <c r="GG27" s="1749"/>
      <c r="GH27" s="1749"/>
      <c r="GI27" s="1749"/>
      <c r="GJ27" s="1749"/>
      <c r="GK27" s="1749"/>
      <c r="GL27" s="1749"/>
      <c r="GM27" s="1749"/>
      <c r="GN27" s="1749"/>
      <c r="GO27" s="1749"/>
      <c r="GP27" s="1749"/>
      <c r="GQ27" s="1749"/>
      <c r="GR27" s="1749"/>
      <c r="GS27" s="1749"/>
      <c r="GT27" s="1749"/>
      <c r="GU27" s="1749"/>
      <c r="GV27" s="1749"/>
      <c r="GW27" s="1749"/>
      <c r="GX27" s="1749"/>
      <c r="GY27" s="1749"/>
      <c r="GZ27" s="1749"/>
      <c r="HA27" s="1749"/>
      <c r="HB27" s="1749"/>
      <c r="HC27" s="1749"/>
      <c r="HD27" s="1749"/>
      <c r="HE27" s="1749"/>
      <c r="HF27" s="1749"/>
      <c r="HG27" s="1749"/>
      <c r="HH27" s="1749"/>
      <c r="HI27" s="1749"/>
      <c r="HJ27" s="1749"/>
      <c r="HK27" s="1749"/>
      <c r="HL27" s="1749"/>
      <c r="HM27" s="1749"/>
      <c r="HN27" s="1749"/>
      <c r="HO27" s="1749"/>
      <c r="HP27" s="1749"/>
      <c r="HQ27" s="1749"/>
      <c r="HR27" s="1749"/>
      <c r="HS27" s="1749"/>
      <c r="HT27" s="1749"/>
      <c r="HU27" s="1749"/>
      <c r="HV27" s="1749"/>
      <c r="HW27" s="1749"/>
      <c r="HX27" s="1749"/>
      <c r="HY27" s="1749"/>
      <c r="HZ27" s="1749"/>
      <c r="IA27" s="1749"/>
      <c r="IB27" s="1749"/>
      <c r="IC27" s="1749"/>
      <c r="ID27" s="1749"/>
      <c r="IE27" s="1749"/>
      <c r="IF27" s="1749"/>
      <c r="IG27" s="1749"/>
      <c r="IH27" s="1749"/>
      <c r="II27" s="1749"/>
      <c r="IJ27" s="1749"/>
      <c r="IK27" s="1749"/>
      <c r="IL27" s="1749"/>
      <c r="IM27" s="1749"/>
      <c r="IN27" s="1749"/>
    </row>
    <row r="28" spans="1:248">
      <c r="A28" s="1729" t="s">
        <v>239</v>
      </c>
      <c r="B28" s="1730">
        <f>审定资负表!C30</f>
        <v>0</v>
      </c>
      <c r="C28" s="1730">
        <f>审定资负表!D30</f>
        <v>0</v>
      </c>
      <c r="D28" s="1731" t="str">
        <f t="shared" si="0"/>
        <v> </v>
      </c>
      <c r="E28" s="1732">
        <f t="shared" si="1"/>
        <v>0</v>
      </c>
      <c r="F28" s="1733" t="str">
        <f t="shared" si="2"/>
        <v/>
      </c>
      <c r="G28" s="1734"/>
      <c r="H28" s="1735" t="str">
        <f>IF(报表附注!G1362=0,"相符","不相符")</f>
        <v>相符</v>
      </c>
      <c r="I28" s="1735" t="str">
        <f>IF(报表附注!F1362=0,"相符","不相符")</f>
        <v>相符</v>
      </c>
      <c r="J28" s="1753" t="s">
        <v>1514</v>
      </c>
      <c r="K28" s="1756"/>
      <c r="L28" s="1758"/>
      <c r="M28" s="1749"/>
      <c r="N28" s="1749"/>
      <c r="O28" s="1749"/>
      <c r="P28" s="1749"/>
      <c r="Q28" s="1749"/>
      <c r="R28" s="1749"/>
      <c r="S28" s="1749"/>
      <c r="T28" s="1749"/>
      <c r="U28" s="1749"/>
      <c r="V28" s="1749"/>
      <c r="W28" s="1749"/>
      <c r="X28" s="1749"/>
      <c r="Y28" s="1749"/>
      <c r="Z28" s="1749"/>
      <c r="AA28" s="1749"/>
      <c r="AB28" s="1749"/>
      <c r="AC28" s="1749"/>
      <c r="AD28" s="1749"/>
      <c r="AE28" s="1749"/>
      <c r="AF28" s="1749"/>
      <c r="AG28" s="1749"/>
      <c r="AH28" s="1749"/>
      <c r="AI28" s="1749"/>
      <c r="AJ28" s="1749"/>
      <c r="AK28" s="1749"/>
      <c r="AL28" s="1749"/>
      <c r="AM28" s="1749"/>
      <c r="AN28" s="1749"/>
      <c r="AO28" s="1749"/>
      <c r="AP28" s="1749"/>
      <c r="AQ28" s="1749"/>
      <c r="AR28" s="1749"/>
      <c r="AS28" s="1749"/>
      <c r="AT28" s="1749"/>
      <c r="AU28" s="1749"/>
      <c r="AV28" s="1749"/>
      <c r="AW28" s="1749"/>
      <c r="AX28" s="1749"/>
      <c r="AY28" s="1749"/>
      <c r="AZ28" s="1749"/>
      <c r="BA28" s="1749"/>
      <c r="BB28" s="1749"/>
      <c r="BC28" s="1749"/>
      <c r="BD28" s="1749"/>
      <c r="BE28" s="1749"/>
      <c r="BF28" s="1749"/>
      <c r="BG28" s="1749"/>
      <c r="BH28" s="1749"/>
      <c r="BI28" s="1749"/>
      <c r="BJ28" s="1749"/>
      <c r="BK28" s="1749"/>
      <c r="BL28" s="1749"/>
      <c r="BM28" s="1749"/>
      <c r="BN28" s="1749"/>
      <c r="BO28" s="1749"/>
      <c r="BP28" s="1749"/>
      <c r="BQ28" s="1749"/>
      <c r="BR28" s="1749"/>
      <c r="BS28" s="1749"/>
      <c r="BT28" s="1749"/>
      <c r="BU28" s="1749"/>
      <c r="BV28" s="1749"/>
      <c r="BW28" s="1749"/>
      <c r="BX28" s="1749"/>
      <c r="BY28" s="1749"/>
      <c r="BZ28" s="1749"/>
      <c r="CA28" s="1749"/>
      <c r="CB28" s="1749"/>
      <c r="CC28" s="1749"/>
      <c r="CD28" s="1749"/>
      <c r="CE28" s="1749"/>
      <c r="CF28" s="1749"/>
      <c r="CG28" s="1749"/>
      <c r="CH28" s="1749"/>
      <c r="CI28" s="1749"/>
      <c r="CJ28" s="1749"/>
      <c r="CK28" s="1749"/>
      <c r="CL28" s="1749"/>
      <c r="CM28" s="1749"/>
      <c r="CN28" s="1749"/>
      <c r="CO28" s="1749"/>
      <c r="CP28" s="1749"/>
      <c r="CQ28" s="1749"/>
      <c r="CR28" s="1749"/>
      <c r="CS28" s="1749"/>
      <c r="CT28" s="1749"/>
      <c r="CU28" s="1749"/>
      <c r="CV28" s="1749"/>
      <c r="CW28" s="1749"/>
      <c r="CX28" s="1749"/>
      <c r="CY28" s="1749"/>
      <c r="CZ28" s="1749"/>
      <c r="DA28" s="1749"/>
      <c r="DB28" s="1749"/>
      <c r="DC28" s="1749"/>
      <c r="DD28" s="1749"/>
      <c r="DE28" s="1749"/>
      <c r="DF28" s="1749"/>
      <c r="DG28" s="1749"/>
      <c r="DH28" s="1749"/>
      <c r="DI28" s="1749"/>
      <c r="DJ28" s="1749"/>
      <c r="DK28" s="1749"/>
      <c r="DL28" s="1749"/>
      <c r="DM28" s="1749"/>
      <c r="DN28" s="1749"/>
      <c r="DO28" s="1749"/>
      <c r="DP28" s="1749"/>
      <c r="DQ28" s="1749"/>
      <c r="DR28" s="1749"/>
      <c r="DS28" s="1749"/>
      <c r="DT28" s="1749"/>
      <c r="DU28" s="1749"/>
      <c r="DV28" s="1749"/>
      <c r="DW28" s="1749"/>
      <c r="DX28" s="1749"/>
      <c r="DY28" s="1749"/>
      <c r="DZ28" s="1749"/>
      <c r="EA28" s="1749"/>
      <c r="EB28" s="1749"/>
      <c r="EC28" s="1749"/>
      <c r="ED28" s="1749"/>
      <c r="EE28" s="1749"/>
      <c r="EF28" s="1749"/>
      <c r="EG28" s="1749"/>
      <c r="EH28" s="1749"/>
      <c r="EI28" s="1749"/>
      <c r="EJ28" s="1749"/>
      <c r="EK28" s="1749"/>
      <c r="EL28" s="1749"/>
      <c r="EM28" s="1749"/>
      <c r="EN28" s="1749"/>
      <c r="EO28" s="1749"/>
      <c r="EP28" s="1749"/>
      <c r="EQ28" s="1749"/>
      <c r="ER28" s="1749"/>
      <c r="ES28" s="1749"/>
      <c r="ET28" s="1749"/>
      <c r="EU28" s="1749"/>
      <c r="EV28" s="1749"/>
      <c r="EW28" s="1749"/>
      <c r="EX28" s="1749"/>
      <c r="EY28" s="1749"/>
      <c r="EZ28" s="1749"/>
      <c r="FA28" s="1749"/>
      <c r="FB28" s="1749"/>
      <c r="FC28" s="1749"/>
      <c r="FD28" s="1749"/>
      <c r="FE28" s="1749"/>
      <c r="FF28" s="1749"/>
      <c r="FG28" s="1749"/>
      <c r="FH28" s="1749"/>
      <c r="FI28" s="1749"/>
      <c r="FJ28" s="1749"/>
      <c r="FK28" s="1749"/>
      <c r="FL28" s="1749"/>
      <c r="FM28" s="1749"/>
      <c r="FN28" s="1749"/>
      <c r="FO28" s="1749"/>
      <c r="FP28" s="1749"/>
      <c r="FQ28" s="1749"/>
      <c r="FR28" s="1749"/>
      <c r="FS28" s="1749"/>
      <c r="FT28" s="1749"/>
      <c r="FU28" s="1749"/>
      <c r="FV28" s="1749"/>
      <c r="FW28" s="1749"/>
      <c r="FX28" s="1749"/>
      <c r="FY28" s="1749"/>
      <c r="FZ28" s="1749"/>
      <c r="GA28" s="1749"/>
      <c r="GB28" s="1749"/>
      <c r="GC28" s="1749"/>
      <c r="GD28" s="1749"/>
      <c r="GE28" s="1749"/>
      <c r="GF28" s="1749"/>
      <c r="GG28" s="1749"/>
      <c r="GH28" s="1749"/>
      <c r="GI28" s="1749"/>
      <c r="GJ28" s="1749"/>
      <c r="GK28" s="1749"/>
      <c r="GL28" s="1749"/>
      <c r="GM28" s="1749"/>
      <c r="GN28" s="1749"/>
      <c r="GO28" s="1749"/>
      <c r="GP28" s="1749"/>
      <c r="GQ28" s="1749"/>
      <c r="GR28" s="1749"/>
      <c r="GS28" s="1749"/>
      <c r="GT28" s="1749"/>
      <c r="GU28" s="1749"/>
      <c r="GV28" s="1749"/>
      <c r="GW28" s="1749"/>
      <c r="GX28" s="1749"/>
      <c r="GY28" s="1749"/>
      <c r="GZ28" s="1749"/>
      <c r="HA28" s="1749"/>
      <c r="HB28" s="1749"/>
      <c r="HC28" s="1749"/>
      <c r="HD28" s="1749"/>
      <c r="HE28" s="1749"/>
      <c r="HF28" s="1749"/>
      <c r="HG28" s="1749"/>
      <c r="HH28" s="1749"/>
      <c r="HI28" s="1749"/>
      <c r="HJ28" s="1749"/>
      <c r="HK28" s="1749"/>
      <c r="HL28" s="1749"/>
      <c r="HM28" s="1749"/>
      <c r="HN28" s="1749"/>
      <c r="HO28" s="1749"/>
      <c r="HP28" s="1749"/>
      <c r="HQ28" s="1749"/>
      <c r="HR28" s="1749"/>
      <c r="HS28" s="1749"/>
      <c r="HT28" s="1749"/>
      <c r="HU28" s="1749"/>
      <c r="HV28" s="1749"/>
      <c r="HW28" s="1749"/>
      <c r="HX28" s="1749"/>
      <c r="HY28" s="1749"/>
      <c r="HZ28" s="1749"/>
      <c r="IA28" s="1749"/>
      <c r="IB28" s="1749"/>
      <c r="IC28" s="1749"/>
      <c r="ID28" s="1749"/>
      <c r="IE28" s="1749"/>
      <c r="IF28" s="1749"/>
      <c r="IG28" s="1749"/>
      <c r="IH28" s="1749"/>
      <c r="II28" s="1749"/>
      <c r="IJ28" s="1749"/>
      <c r="IK28" s="1749"/>
      <c r="IL28" s="1749"/>
      <c r="IM28" s="1749"/>
      <c r="IN28" s="1749"/>
    </row>
    <row r="29" spans="1:248">
      <c r="A29" s="1729" t="s">
        <v>241</v>
      </c>
      <c r="B29" s="1730">
        <f>审定资负表!C31</f>
        <v>0</v>
      </c>
      <c r="C29" s="1730">
        <f>审定资负表!D31</f>
        <v>0</v>
      </c>
      <c r="D29" s="1731" t="str">
        <f t="shared" si="0"/>
        <v> </v>
      </c>
      <c r="E29" s="1732">
        <f t="shared" si="1"/>
        <v>0</v>
      </c>
      <c r="F29" s="1733" t="str">
        <f t="shared" si="2"/>
        <v/>
      </c>
      <c r="G29" s="1734"/>
      <c r="H29" s="1735" t="str">
        <f>IF(报表附注!I1389=0,"相符","不相符")</f>
        <v>相符</v>
      </c>
      <c r="I29" s="1735" t="str">
        <f>IF(报表附注!F1389=0,"相符","不相符")</f>
        <v>相符</v>
      </c>
      <c r="J29" s="1753" t="s">
        <v>1515</v>
      </c>
      <c r="K29" s="1757"/>
      <c r="L29" s="1758"/>
      <c r="M29" s="1749"/>
      <c r="N29" s="1749"/>
      <c r="O29" s="1749"/>
      <c r="P29" s="1749"/>
      <c r="Q29" s="1749"/>
      <c r="R29" s="1749"/>
      <c r="S29" s="1749"/>
      <c r="T29" s="1749"/>
      <c r="U29" s="1749"/>
      <c r="V29" s="1749"/>
      <c r="W29" s="1749"/>
      <c r="X29" s="1749"/>
      <c r="Y29" s="1749"/>
      <c r="Z29" s="1749"/>
      <c r="AA29" s="1749"/>
      <c r="AB29" s="1749"/>
      <c r="AC29" s="1749"/>
      <c r="AD29" s="1749"/>
      <c r="AE29" s="1749"/>
      <c r="AF29" s="1749"/>
      <c r="AG29" s="1749"/>
      <c r="AH29" s="1749"/>
      <c r="AI29" s="1749"/>
      <c r="AJ29" s="1749"/>
      <c r="AK29" s="1749"/>
      <c r="AL29" s="1749"/>
      <c r="AM29" s="1749"/>
      <c r="AN29" s="1749"/>
      <c r="AO29" s="1749"/>
      <c r="AP29" s="1749"/>
      <c r="AQ29" s="1749"/>
      <c r="AR29" s="1749"/>
      <c r="AS29" s="1749"/>
      <c r="AT29" s="1749"/>
      <c r="AU29" s="1749"/>
      <c r="AV29" s="1749"/>
      <c r="AW29" s="1749"/>
      <c r="AX29" s="1749"/>
      <c r="AY29" s="1749"/>
      <c r="AZ29" s="1749"/>
      <c r="BA29" s="1749"/>
      <c r="BB29" s="1749"/>
      <c r="BC29" s="1749"/>
      <c r="BD29" s="1749"/>
      <c r="BE29" s="1749"/>
      <c r="BF29" s="1749"/>
      <c r="BG29" s="1749"/>
      <c r="BH29" s="1749"/>
      <c r="BI29" s="1749"/>
      <c r="BJ29" s="1749"/>
      <c r="BK29" s="1749"/>
      <c r="BL29" s="1749"/>
      <c r="BM29" s="1749"/>
      <c r="BN29" s="1749"/>
      <c r="BO29" s="1749"/>
      <c r="BP29" s="1749"/>
      <c r="BQ29" s="1749"/>
      <c r="BR29" s="1749"/>
      <c r="BS29" s="1749"/>
      <c r="BT29" s="1749"/>
      <c r="BU29" s="1749"/>
      <c r="BV29" s="1749"/>
      <c r="BW29" s="1749"/>
      <c r="BX29" s="1749"/>
      <c r="BY29" s="1749"/>
      <c r="BZ29" s="1749"/>
      <c r="CA29" s="1749"/>
      <c r="CB29" s="1749"/>
      <c r="CC29" s="1749"/>
      <c r="CD29" s="1749"/>
      <c r="CE29" s="1749"/>
      <c r="CF29" s="1749"/>
      <c r="CG29" s="1749"/>
      <c r="CH29" s="1749"/>
      <c r="CI29" s="1749"/>
      <c r="CJ29" s="1749"/>
      <c r="CK29" s="1749"/>
      <c r="CL29" s="1749"/>
      <c r="CM29" s="1749"/>
      <c r="CN29" s="1749"/>
      <c r="CO29" s="1749"/>
      <c r="CP29" s="1749"/>
      <c r="CQ29" s="1749"/>
      <c r="CR29" s="1749"/>
      <c r="CS29" s="1749"/>
      <c r="CT29" s="1749"/>
      <c r="CU29" s="1749"/>
      <c r="CV29" s="1749"/>
      <c r="CW29" s="1749"/>
      <c r="CX29" s="1749"/>
      <c r="CY29" s="1749"/>
      <c r="CZ29" s="1749"/>
      <c r="DA29" s="1749"/>
      <c r="DB29" s="1749"/>
      <c r="DC29" s="1749"/>
      <c r="DD29" s="1749"/>
      <c r="DE29" s="1749"/>
      <c r="DF29" s="1749"/>
      <c r="DG29" s="1749"/>
      <c r="DH29" s="1749"/>
      <c r="DI29" s="1749"/>
      <c r="DJ29" s="1749"/>
      <c r="DK29" s="1749"/>
      <c r="DL29" s="1749"/>
      <c r="DM29" s="1749"/>
      <c r="DN29" s="1749"/>
      <c r="DO29" s="1749"/>
      <c r="DP29" s="1749"/>
      <c r="DQ29" s="1749"/>
      <c r="DR29" s="1749"/>
      <c r="DS29" s="1749"/>
      <c r="DT29" s="1749"/>
      <c r="DU29" s="1749"/>
      <c r="DV29" s="1749"/>
      <c r="DW29" s="1749"/>
      <c r="DX29" s="1749"/>
      <c r="DY29" s="1749"/>
      <c r="DZ29" s="1749"/>
      <c r="EA29" s="1749"/>
      <c r="EB29" s="1749"/>
      <c r="EC29" s="1749"/>
      <c r="ED29" s="1749"/>
      <c r="EE29" s="1749"/>
      <c r="EF29" s="1749"/>
      <c r="EG29" s="1749"/>
      <c r="EH29" s="1749"/>
      <c r="EI29" s="1749"/>
      <c r="EJ29" s="1749"/>
      <c r="EK29" s="1749"/>
      <c r="EL29" s="1749"/>
      <c r="EM29" s="1749"/>
      <c r="EN29" s="1749"/>
      <c r="EO29" s="1749"/>
      <c r="EP29" s="1749"/>
      <c r="EQ29" s="1749"/>
      <c r="ER29" s="1749"/>
      <c r="ES29" s="1749"/>
      <c r="ET29" s="1749"/>
      <c r="EU29" s="1749"/>
      <c r="EV29" s="1749"/>
      <c r="EW29" s="1749"/>
      <c r="EX29" s="1749"/>
      <c r="EY29" s="1749"/>
      <c r="EZ29" s="1749"/>
      <c r="FA29" s="1749"/>
      <c r="FB29" s="1749"/>
      <c r="FC29" s="1749"/>
      <c r="FD29" s="1749"/>
      <c r="FE29" s="1749"/>
      <c r="FF29" s="1749"/>
      <c r="FG29" s="1749"/>
      <c r="FH29" s="1749"/>
      <c r="FI29" s="1749"/>
      <c r="FJ29" s="1749"/>
      <c r="FK29" s="1749"/>
      <c r="FL29" s="1749"/>
      <c r="FM29" s="1749"/>
      <c r="FN29" s="1749"/>
      <c r="FO29" s="1749"/>
      <c r="FP29" s="1749"/>
      <c r="FQ29" s="1749"/>
      <c r="FR29" s="1749"/>
      <c r="FS29" s="1749"/>
      <c r="FT29" s="1749"/>
      <c r="FU29" s="1749"/>
      <c r="FV29" s="1749"/>
      <c r="FW29" s="1749"/>
      <c r="FX29" s="1749"/>
      <c r="FY29" s="1749"/>
      <c r="FZ29" s="1749"/>
      <c r="GA29" s="1749"/>
      <c r="GB29" s="1749"/>
      <c r="GC29" s="1749"/>
      <c r="GD29" s="1749"/>
      <c r="GE29" s="1749"/>
      <c r="GF29" s="1749"/>
      <c r="GG29" s="1749"/>
      <c r="GH29" s="1749"/>
      <c r="GI29" s="1749"/>
      <c r="GJ29" s="1749"/>
      <c r="GK29" s="1749"/>
      <c r="GL29" s="1749"/>
      <c r="GM29" s="1749"/>
      <c r="GN29" s="1749"/>
      <c r="GO29" s="1749"/>
      <c r="GP29" s="1749"/>
      <c r="GQ29" s="1749"/>
      <c r="GR29" s="1749"/>
      <c r="GS29" s="1749"/>
      <c r="GT29" s="1749"/>
      <c r="GU29" s="1749"/>
      <c r="GV29" s="1749"/>
      <c r="GW29" s="1749"/>
      <c r="GX29" s="1749"/>
      <c r="GY29" s="1749"/>
      <c r="GZ29" s="1749"/>
      <c r="HA29" s="1749"/>
      <c r="HB29" s="1749"/>
      <c r="HC29" s="1749"/>
      <c r="HD29" s="1749"/>
      <c r="HE29" s="1749"/>
      <c r="HF29" s="1749"/>
      <c r="HG29" s="1749"/>
      <c r="HH29" s="1749"/>
      <c r="HI29" s="1749"/>
      <c r="HJ29" s="1749"/>
      <c r="HK29" s="1749"/>
      <c r="HL29" s="1749"/>
      <c r="HM29" s="1749"/>
      <c r="HN29" s="1749"/>
      <c r="HO29" s="1749"/>
      <c r="HP29" s="1749"/>
      <c r="HQ29" s="1749"/>
      <c r="HR29" s="1749"/>
      <c r="HS29" s="1749"/>
      <c r="HT29" s="1749"/>
      <c r="HU29" s="1749"/>
      <c r="HV29" s="1749"/>
      <c r="HW29" s="1749"/>
      <c r="HX29" s="1749"/>
      <c r="HY29" s="1749"/>
      <c r="HZ29" s="1749"/>
      <c r="IA29" s="1749"/>
      <c r="IB29" s="1749"/>
      <c r="IC29" s="1749"/>
      <c r="ID29" s="1749"/>
      <c r="IE29" s="1749"/>
      <c r="IF29" s="1749"/>
      <c r="IG29" s="1749"/>
      <c r="IH29" s="1749"/>
      <c r="II29" s="1749"/>
      <c r="IJ29" s="1749"/>
      <c r="IK29" s="1749"/>
      <c r="IL29" s="1749"/>
      <c r="IM29" s="1749"/>
      <c r="IN29" s="1749"/>
    </row>
    <row r="30" spans="1:248">
      <c r="A30" s="1729" t="s">
        <v>243</v>
      </c>
      <c r="B30" s="1730">
        <f>审定资负表!C32</f>
        <v>0</v>
      </c>
      <c r="C30" s="1730">
        <f>审定资负表!D32</f>
        <v>0</v>
      </c>
      <c r="D30" s="1731" t="str">
        <f t="shared" si="0"/>
        <v> </v>
      </c>
      <c r="E30" s="1732">
        <f t="shared" si="1"/>
        <v>0</v>
      </c>
      <c r="F30" s="1733" t="str">
        <f t="shared" si="2"/>
        <v/>
      </c>
      <c r="G30" s="1734"/>
      <c r="H30" s="1735" t="str">
        <f>IF(报表附注!I1412=0,"相符","不相符")</f>
        <v>相符</v>
      </c>
      <c r="I30" s="1735" t="str">
        <f>IF(报表附注!F1412=0,"相符","不相符")</f>
        <v>相符</v>
      </c>
      <c r="J30" s="1753" t="s">
        <v>1516</v>
      </c>
      <c r="K30" s="1757"/>
      <c r="L30" s="1758"/>
      <c r="M30" s="1749"/>
      <c r="N30" s="1749"/>
      <c r="O30" s="1749"/>
      <c r="P30" s="1749"/>
      <c r="Q30" s="1749"/>
      <c r="R30" s="1749"/>
      <c r="S30" s="1749"/>
      <c r="T30" s="1749"/>
      <c r="U30" s="1749"/>
      <c r="V30" s="1749"/>
      <c r="W30" s="1749"/>
      <c r="X30" s="1749"/>
      <c r="Y30" s="1749"/>
      <c r="Z30" s="1749"/>
      <c r="AA30" s="1749"/>
      <c r="AB30" s="1749"/>
      <c r="AC30" s="1749"/>
      <c r="AD30" s="1749"/>
      <c r="AE30" s="1749"/>
      <c r="AF30" s="1749"/>
      <c r="AG30" s="1749"/>
      <c r="AH30" s="1749"/>
      <c r="AI30" s="1749"/>
      <c r="AJ30" s="1749"/>
      <c r="AK30" s="1749"/>
      <c r="AL30" s="1749"/>
      <c r="AM30" s="1749"/>
      <c r="AN30" s="1749"/>
      <c r="AO30" s="1749"/>
      <c r="AP30" s="1749"/>
      <c r="AQ30" s="1749"/>
      <c r="AR30" s="1749"/>
      <c r="AS30" s="1749"/>
      <c r="AT30" s="1749"/>
      <c r="AU30" s="1749"/>
      <c r="AV30" s="1749"/>
      <c r="AW30" s="1749"/>
      <c r="AX30" s="1749"/>
      <c r="AY30" s="1749"/>
      <c r="AZ30" s="1749"/>
      <c r="BA30" s="1749"/>
      <c r="BB30" s="1749"/>
      <c r="BC30" s="1749"/>
      <c r="BD30" s="1749"/>
      <c r="BE30" s="1749"/>
      <c r="BF30" s="1749"/>
      <c r="BG30" s="1749"/>
      <c r="BH30" s="1749"/>
      <c r="BI30" s="1749"/>
      <c r="BJ30" s="1749"/>
      <c r="BK30" s="1749"/>
      <c r="BL30" s="1749"/>
      <c r="BM30" s="1749"/>
      <c r="BN30" s="1749"/>
      <c r="BO30" s="1749"/>
      <c r="BP30" s="1749"/>
      <c r="BQ30" s="1749"/>
      <c r="BR30" s="1749"/>
      <c r="BS30" s="1749"/>
      <c r="BT30" s="1749"/>
      <c r="BU30" s="1749"/>
      <c r="BV30" s="1749"/>
      <c r="BW30" s="1749"/>
      <c r="BX30" s="1749"/>
      <c r="BY30" s="1749"/>
      <c r="BZ30" s="1749"/>
      <c r="CA30" s="1749"/>
      <c r="CB30" s="1749"/>
      <c r="CC30" s="1749"/>
      <c r="CD30" s="1749"/>
      <c r="CE30" s="1749"/>
      <c r="CF30" s="1749"/>
      <c r="CG30" s="1749"/>
      <c r="CH30" s="1749"/>
      <c r="CI30" s="1749"/>
      <c r="CJ30" s="1749"/>
      <c r="CK30" s="1749"/>
      <c r="CL30" s="1749"/>
      <c r="CM30" s="1749"/>
      <c r="CN30" s="1749"/>
      <c r="CO30" s="1749"/>
      <c r="CP30" s="1749"/>
      <c r="CQ30" s="1749"/>
      <c r="CR30" s="1749"/>
      <c r="CS30" s="1749"/>
      <c r="CT30" s="1749"/>
      <c r="CU30" s="1749"/>
      <c r="CV30" s="1749"/>
      <c r="CW30" s="1749"/>
      <c r="CX30" s="1749"/>
      <c r="CY30" s="1749"/>
      <c r="CZ30" s="1749"/>
      <c r="DA30" s="1749"/>
      <c r="DB30" s="1749"/>
      <c r="DC30" s="1749"/>
      <c r="DD30" s="1749"/>
      <c r="DE30" s="1749"/>
      <c r="DF30" s="1749"/>
      <c r="DG30" s="1749"/>
      <c r="DH30" s="1749"/>
      <c r="DI30" s="1749"/>
      <c r="DJ30" s="1749"/>
      <c r="DK30" s="1749"/>
      <c r="DL30" s="1749"/>
      <c r="DM30" s="1749"/>
      <c r="DN30" s="1749"/>
      <c r="DO30" s="1749"/>
      <c r="DP30" s="1749"/>
      <c r="DQ30" s="1749"/>
      <c r="DR30" s="1749"/>
      <c r="DS30" s="1749"/>
      <c r="DT30" s="1749"/>
      <c r="DU30" s="1749"/>
      <c r="DV30" s="1749"/>
      <c r="DW30" s="1749"/>
      <c r="DX30" s="1749"/>
      <c r="DY30" s="1749"/>
      <c r="DZ30" s="1749"/>
      <c r="EA30" s="1749"/>
      <c r="EB30" s="1749"/>
      <c r="EC30" s="1749"/>
      <c r="ED30" s="1749"/>
      <c r="EE30" s="1749"/>
      <c r="EF30" s="1749"/>
      <c r="EG30" s="1749"/>
      <c r="EH30" s="1749"/>
      <c r="EI30" s="1749"/>
      <c r="EJ30" s="1749"/>
      <c r="EK30" s="1749"/>
      <c r="EL30" s="1749"/>
      <c r="EM30" s="1749"/>
      <c r="EN30" s="1749"/>
      <c r="EO30" s="1749"/>
      <c r="EP30" s="1749"/>
      <c r="EQ30" s="1749"/>
      <c r="ER30" s="1749"/>
      <c r="ES30" s="1749"/>
      <c r="ET30" s="1749"/>
      <c r="EU30" s="1749"/>
      <c r="EV30" s="1749"/>
      <c r="EW30" s="1749"/>
      <c r="EX30" s="1749"/>
      <c r="EY30" s="1749"/>
      <c r="EZ30" s="1749"/>
      <c r="FA30" s="1749"/>
      <c r="FB30" s="1749"/>
      <c r="FC30" s="1749"/>
      <c r="FD30" s="1749"/>
      <c r="FE30" s="1749"/>
      <c r="FF30" s="1749"/>
      <c r="FG30" s="1749"/>
      <c r="FH30" s="1749"/>
      <c r="FI30" s="1749"/>
      <c r="FJ30" s="1749"/>
      <c r="FK30" s="1749"/>
      <c r="FL30" s="1749"/>
      <c r="FM30" s="1749"/>
      <c r="FN30" s="1749"/>
      <c r="FO30" s="1749"/>
      <c r="FP30" s="1749"/>
      <c r="FQ30" s="1749"/>
      <c r="FR30" s="1749"/>
      <c r="FS30" s="1749"/>
      <c r="FT30" s="1749"/>
      <c r="FU30" s="1749"/>
      <c r="FV30" s="1749"/>
      <c r="FW30" s="1749"/>
      <c r="FX30" s="1749"/>
      <c r="FY30" s="1749"/>
      <c r="FZ30" s="1749"/>
      <c r="GA30" s="1749"/>
      <c r="GB30" s="1749"/>
      <c r="GC30" s="1749"/>
      <c r="GD30" s="1749"/>
      <c r="GE30" s="1749"/>
      <c r="GF30" s="1749"/>
      <c r="GG30" s="1749"/>
      <c r="GH30" s="1749"/>
      <c r="GI30" s="1749"/>
      <c r="GJ30" s="1749"/>
      <c r="GK30" s="1749"/>
      <c r="GL30" s="1749"/>
      <c r="GM30" s="1749"/>
      <c r="GN30" s="1749"/>
      <c r="GO30" s="1749"/>
      <c r="GP30" s="1749"/>
      <c r="GQ30" s="1749"/>
      <c r="GR30" s="1749"/>
      <c r="GS30" s="1749"/>
      <c r="GT30" s="1749"/>
      <c r="GU30" s="1749"/>
      <c r="GV30" s="1749"/>
      <c r="GW30" s="1749"/>
      <c r="GX30" s="1749"/>
      <c r="GY30" s="1749"/>
      <c r="GZ30" s="1749"/>
      <c r="HA30" s="1749"/>
      <c r="HB30" s="1749"/>
      <c r="HC30" s="1749"/>
      <c r="HD30" s="1749"/>
      <c r="HE30" s="1749"/>
      <c r="HF30" s="1749"/>
      <c r="HG30" s="1749"/>
      <c r="HH30" s="1749"/>
      <c r="HI30" s="1749"/>
      <c r="HJ30" s="1749"/>
      <c r="HK30" s="1749"/>
      <c r="HL30" s="1749"/>
      <c r="HM30" s="1749"/>
      <c r="HN30" s="1749"/>
      <c r="HO30" s="1749"/>
      <c r="HP30" s="1749"/>
      <c r="HQ30" s="1749"/>
      <c r="HR30" s="1749"/>
      <c r="HS30" s="1749"/>
      <c r="HT30" s="1749"/>
      <c r="HU30" s="1749"/>
      <c r="HV30" s="1749"/>
      <c r="HW30" s="1749"/>
      <c r="HX30" s="1749"/>
      <c r="HY30" s="1749"/>
      <c r="HZ30" s="1749"/>
      <c r="IA30" s="1749"/>
      <c r="IB30" s="1749"/>
      <c r="IC30" s="1749"/>
      <c r="ID30" s="1749"/>
      <c r="IE30" s="1749"/>
      <c r="IF30" s="1749"/>
      <c r="IG30" s="1749"/>
      <c r="IH30" s="1749"/>
      <c r="II30" s="1749"/>
      <c r="IJ30" s="1749"/>
      <c r="IK30" s="1749"/>
      <c r="IL30" s="1749"/>
      <c r="IM30" s="1749"/>
      <c r="IN30" s="1749"/>
    </row>
    <row r="31" spans="1:248">
      <c r="A31" s="1729" t="s">
        <v>244</v>
      </c>
      <c r="B31" s="1730">
        <f>审定资负表!C33</f>
        <v>0</v>
      </c>
      <c r="C31" s="1730">
        <f>审定资负表!D33</f>
        <v>0</v>
      </c>
      <c r="D31" s="1731" t="str">
        <f t="shared" si="0"/>
        <v> </v>
      </c>
      <c r="E31" s="1732">
        <f t="shared" si="1"/>
        <v>0</v>
      </c>
      <c r="F31" s="1733" t="str">
        <f t="shared" si="2"/>
        <v/>
      </c>
      <c r="G31" s="1734"/>
      <c r="H31" s="1735" t="str">
        <f>IF(报表附注!I1482=0,"相符","不相符")</f>
        <v>相符</v>
      </c>
      <c r="I31" s="1735" t="str">
        <f>IF(报表附注!F1482=0,"相符","不相符")</f>
        <v>相符</v>
      </c>
      <c r="J31" s="1755" t="s">
        <v>2029</v>
      </c>
      <c r="K31" s="1753" t="s">
        <v>1517</v>
      </c>
      <c r="L31" s="1758"/>
      <c r="M31" s="1749"/>
      <c r="N31" s="1749"/>
      <c r="O31" s="1749"/>
      <c r="P31" s="1749"/>
      <c r="Q31" s="1749"/>
      <c r="R31" s="1749"/>
      <c r="S31" s="1749"/>
      <c r="T31" s="1749"/>
      <c r="U31" s="1749"/>
      <c r="V31" s="1749"/>
      <c r="W31" s="1749"/>
      <c r="X31" s="1749"/>
      <c r="Y31" s="1749"/>
      <c r="Z31" s="1749"/>
      <c r="AA31" s="1749"/>
      <c r="AB31" s="1749"/>
      <c r="AC31" s="1749"/>
      <c r="AD31" s="1749"/>
      <c r="AE31" s="1749"/>
      <c r="AF31" s="1749"/>
      <c r="AG31" s="1749"/>
      <c r="AH31" s="1749"/>
      <c r="AI31" s="1749"/>
      <c r="AJ31" s="1749"/>
      <c r="AK31" s="1749"/>
      <c r="AL31" s="1749"/>
      <c r="AM31" s="1749"/>
      <c r="AN31" s="1749"/>
      <c r="AO31" s="1749"/>
      <c r="AP31" s="1749"/>
      <c r="AQ31" s="1749"/>
      <c r="AR31" s="1749"/>
      <c r="AS31" s="1749"/>
      <c r="AT31" s="1749"/>
      <c r="AU31" s="1749"/>
      <c r="AV31" s="1749"/>
      <c r="AW31" s="1749"/>
      <c r="AX31" s="1749"/>
      <c r="AY31" s="1749"/>
      <c r="AZ31" s="1749"/>
      <c r="BA31" s="1749"/>
      <c r="BB31" s="1749"/>
      <c r="BC31" s="1749"/>
      <c r="BD31" s="1749"/>
      <c r="BE31" s="1749"/>
      <c r="BF31" s="1749"/>
      <c r="BG31" s="1749"/>
      <c r="BH31" s="1749"/>
      <c r="BI31" s="1749"/>
      <c r="BJ31" s="1749"/>
      <c r="BK31" s="1749"/>
      <c r="BL31" s="1749"/>
      <c r="BM31" s="1749"/>
      <c r="BN31" s="1749"/>
      <c r="BO31" s="1749"/>
      <c r="BP31" s="1749"/>
      <c r="BQ31" s="1749"/>
      <c r="BR31" s="1749"/>
      <c r="BS31" s="1749"/>
      <c r="BT31" s="1749"/>
      <c r="BU31" s="1749"/>
      <c r="BV31" s="1749"/>
      <c r="BW31" s="1749"/>
      <c r="BX31" s="1749"/>
      <c r="BY31" s="1749"/>
      <c r="BZ31" s="1749"/>
      <c r="CA31" s="1749"/>
      <c r="CB31" s="1749"/>
      <c r="CC31" s="1749"/>
      <c r="CD31" s="1749"/>
      <c r="CE31" s="1749"/>
      <c r="CF31" s="1749"/>
      <c r="CG31" s="1749"/>
      <c r="CH31" s="1749"/>
      <c r="CI31" s="1749"/>
      <c r="CJ31" s="1749"/>
      <c r="CK31" s="1749"/>
      <c r="CL31" s="1749"/>
      <c r="CM31" s="1749"/>
      <c r="CN31" s="1749"/>
      <c r="CO31" s="1749"/>
      <c r="CP31" s="1749"/>
      <c r="CQ31" s="1749"/>
      <c r="CR31" s="1749"/>
      <c r="CS31" s="1749"/>
      <c r="CT31" s="1749"/>
      <c r="CU31" s="1749"/>
      <c r="CV31" s="1749"/>
      <c r="CW31" s="1749"/>
      <c r="CX31" s="1749"/>
      <c r="CY31" s="1749"/>
      <c r="CZ31" s="1749"/>
      <c r="DA31" s="1749"/>
      <c r="DB31" s="1749"/>
      <c r="DC31" s="1749"/>
      <c r="DD31" s="1749"/>
      <c r="DE31" s="1749"/>
      <c r="DF31" s="1749"/>
      <c r="DG31" s="1749"/>
      <c r="DH31" s="1749"/>
      <c r="DI31" s="1749"/>
      <c r="DJ31" s="1749"/>
      <c r="DK31" s="1749"/>
      <c r="DL31" s="1749"/>
      <c r="DM31" s="1749"/>
      <c r="DN31" s="1749"/>
      <c r="DO31" s="1749"/>
      <c r="DP31" s="1749"/>
      <c r="DQ31" s="1749"/>
      <c r="DR31" s="1749"/>
      <c r="DS31" s="1749"/>
      <c r="DT31" s="1749"/>
      <c r="DU31" s="1749"/>
      <c r="DV31" s="1749"/>
      <c r="DW31" s="1749"/>
      <c r="DX31" s="1749"/>
      <c r="DY31" s="1749"/>
      <c r="DZ31" s="1749"/>
      <c r="EA31" s="1749"/>
      <c r="EB31" s="1749"/>
      <c r="EC31" s="1749"/>
      <c r="ED31" s="1749"/>
      <c r="EE31" s="1749"/>
      <c r="EF31" s="1749"/>
      <c r="EG31" s="1749"/>
      <c r="EH31" s="1749"/>
      <c r="EI31" s="1749"/>
      <c r="EJ31" s="1749"/>
      <c r="EK31" s="1749"/>
      <c r="EL31" s="1749"/>
      <c r="EM31" s="1749"/>
      <c r="EN31" s="1749"/>
      <c r="EO31" s="1749"/>
      <c r="EP31" s="1749"/>
      <c r="EQ31" s="1749"/>
      <c r="ER31" s="1749"/>
      <c r="ES31" s="1749"/>
      <c r="ET31" s="1749"/>
      <c r="EU31" s="1749"/>
      <c r="EV31" s="1749"/>
      <c r="EW31" s="1749"/>
      <c r="EX31" s="1749"/>
      <c r="EY31" s="1749"/>
      <c r="EZ31" s="1749"/>
      <c r="FA31" s="1749"/>
      <c r="FB31" s="1749"/>
      <c r="FC31" s="1749"/>
      <c r="FD31" s="1749"/>
      <c r="FE31" s="1749"/>
      <c r="FF31" s="1749"/>
      <c r="FG31" s="1749"/>
      <c r="FH31" s="1749"/>
      <c r="FI31" s="1749"/>
      <c r="FJ31" s="1749"/>
      <c r="FK31" s="1749"/>
      <c r="FL31" s="1749"/>
      <c r="FM31" s="1749"/>
      <c r="FN31" s="1749"/>
      <c r="FO31" s="1749"/>
      <c r="FP31" s="1749"/>
      <c r="FQ31" s="1749"/>
      <c r="FR31" s="1749"/>
      <c r="FS31" s="1749"/>
      <c r="FT31" s="1749"/>
      <c r="FU31" s="1749"/>
      <c r="FV31" s="1749"/>
      <c r="FW31" s="1749"/>
      <c r="FX31" s="1749"/>
      <c r="FY31" s="1749"/>
      <c r="FZ31" s="1749"/>
      <c r="GA31" s="1749"/>
      <c r="GB31" s="1749"/>
      <c r="GC31" s="1749"/>
      <c r="GD31" s="1749"/>
      <c r="GE31" s="1749"/>
      <c r="GF31" s="1749"/>
      <c r="GG31" s="1749"/>
      <c r="GH31" s="1749"/>
      <c r="GI31" s="1749"/>
      <c r="GJ31" s="1749"/>
      <c r="GK31" s="1749"/>
      <c r="GL31" s="1749"/>
      <c r="GM31" s="1749"/>
      <c r="GN31" s="1749"/>
      <c r="GO31" s="1749"/>
      <c r="GP31" s="1749"/>
      <c r="GQ31" s="1749"/>
      <c r="GR31" s="1749"/>
      <c r="GS31" s="1749"/>
      <c r="GT31" s="1749"/>
      <c r="GU31" s="1749"/>
      <c r="GV31" s="1749"/>
      <c r="GW31" s="1749"/>
      <c r="GX31" s="1749"/>
      <c r="GY31" s="1749"/>
      <c r="GZ31" s="1749"/>
      <c r="HA31" s="1749"/>
      <c r="HB31" s="1749"/>
      <c r="HC31" s="1749"/>
      <c r="HD31" s="1749"/>
      <c r="HE31" s="1749"/>
      <c r="HF31" s="1749"/>
      <c r="HG31" s="1749"/>
      <c r="HH31" s="1749"/>
      <c r="HI31" s="1749"/>
      <c r="HJ31" s="1749"/>
      <c r="HK31" s="1749"/>
      <c r="HL31" s="1749"/>
      <c r="HM31" s="1749"/>
      <c r="HN31" s="1749"/>
      <c r="HO31" s="1749"/>
      <c r="HP31" s="1749"/>
      <c r="HQ31" s="1749"/>
      <c r="HR31" s="1749"/>
      <c r="HS31" s="1749"/>
      <c r="HT31" s="1749"/>
      <c r="HU31" s="1749"/>
      <c r="HV31" s="1749"/>
      <c r="HW31" s="1749"/>
      <c r="HX31" s="1749"/>
      <c r="HY31" s="1749"/>
      <c r="HZ31" s="1749"/>
      <c r="IA31" s="1749"/>
      <c r="IB31" s="1749"/>
      <c r="IC31" s="1749"/>
      <c r="ID31" s="1749"/>
      <c r="IE31" s="1749"/>
      <c r="IF31" s="1749"/>
      <c r="IG31" s="1749"/>
      <c r="IH31" s="1749"/>
      <c r="II31" s="1749"/>
      <c r="IJ31" s="1749"/>
      <c r="IK31" s="1749"/>
      <c r="IL31" s="1749"/>
      <c r="IM31" s="1749"/>
      <c r="IN31" s="1749"/>
    </row>
    <row r="32" spans="1:248">
      <c r="A32" s="1729" t="s">
        <v>246</v>
      </c>
      <c r="B32" s="1730">
        <f>审定资负表!C34</f>
        <v>0</v>
      </c>
      <c r="C32" s="1730">
        <f>审定资负表!D34</f>
        <v>0</v>
      </c>
      <c r="D32" s="1731" t="str">
        <f t="shared" si="0"/>
        <v> </v>
      </c>
      <c r="E32" s="1732">
        <f t="shared" si="1"/>
        <v>0</v>
      </c>
      <c r="F32" s="1733" t="str">
        <f t="shared" si="2"/>
        <v/>
      </c>
      <c r="G32" s="1734"/>
      <c r="H32" s="1735" t="str">
        <f>IF(报表附注!I1504=0,"相符","不相符")</f>
        <v>相符</v>
      </c>
      <c r="I32" s="1735" t="str">
        <f>IF(报表附注!F1504=0,"相符","不相符")</f>
        <v>相符</v>
      </c>
      <c r="J32" s="1753" t="s">
        <v>1517</v>
      </c>
      <c r="K32" s="1754"/>
      <c r="L32" s="1758"/>
      <c r="M32" s="1749"/>
      <c r="N32" s="1749"/>
      <c r="O32" s="1749"/>
      <c r="P32" s="1749"/>
      <c r="Q32" s="1749"/>
      <c r="R32" s="1749"/>
      <c r="S32" s="1749"/>
      <c r="T32" s="1749"/>
      <c r="U32" s="1749"/>
      <c r="V32" s="1749"/>
      <c r="W32" s="1749"/>
      <c r="X32" s="1749"/>
      <c r="Y32" s="1749"/>
      <c r="Z32" s="1749"/>
      <c r="AA32" s="1749"/>
      <c r="AB32" s="1749"/>
      <c r="AC32" s="1749"/>
      <c r="AD32" s="1749"/>
      <c r="AE32" s="1749"/>
      <c r="AF32" s="1749"/>
      <c r="AG32" s="1749"/>
      <c r="AH32" s="1749"/>
      <c r="AI32" s="1749"/>
      <c r="AJ32" s="1749"/>
      <c r="AK32" s="1749"/>
      <c r="AL32" s="1749"/>
      <c r="AM32" s="1749"/>
      <c r="AN32" s="1749"/>
      <c r="AO32" s="1749"/>
      <c r="AP32" s="1749"/>
      <c r="AQ32" s="1749"/>
      <c r="AR32" s="1749"/>
      <c r="AS32" s="1749"/>
      <c r="AT32" s="1749"/>
      <c r="AU32" s="1749"/>
      <c r="AV32" s="1749"/>
      <c r="AW32" s="1749"/>
      <c r="AX32" s="1749"/>
      <c r="AY32" s="1749"/>
      <c r="AZ32" s="1749"/>
      <c r="BA32" s="1749"/>
      <c r="BB32" s="1749"/>
      <c r="BC32" s="1749"/>
      <c r="BD32" s="1749"/>
      <c r="BE32" s="1749"/>
      <c r="BF32" s="1749"/>
      <c r="BG32" s="1749"/>
      <c r="BH32" s="1749"/>
      <c r="BI32" s="1749"/>
      <c r="BJ32" s="1749"/>
      <c r="BK32" s="1749"/>
      <c r="BL32" s="1749"/>
      <c r="BM32" s="1749"/>
      <c r="BN32" s="1749"/>
      <c r="BO32" s="1749"/>
      <c r="BP32" s="1749"/>
      <c r="BQ32" s="1749"/>
      <c r="BR32" s="1749"/>
      <c r="BS32" s="1749"/>
      <c r="BT32" s="1749"/>
      <c r="BU32" s="1749"/>
      <c r="BV32" s="1749"/>
      <c r="BW32" s="1749"/>
      <c r="BX32" s="1749"/>
      <c r="BY32" s="1749"/>
      <c r="BZ32" s="1749"/>
      <c r="CA32" s="1749"/>
      <c r="CB32" s="1749"/>
      <c r="CC32" s="1749"/>
      <c r="CD32" s="1749"/>
      <c r="CE32" s="1749"/>
      <c r="CF32" s="1749"/>
      <c r="CG32" s="1749"/>
      <c r="CH32" s="1749"/>
      <c r="CI32" s="1749"/>
      <c r="CJ32" s="1749"/>
      <c r="CK32" s="1749"/>
      <c r="CL32" s="1749"/>
      <c r="CM32" s="1749"/>
      <c r="CN32" s="1749"/>
      <c r="CO32" s="1749"/>
      <c r="CP32" s="1749"/>
      <c r="CQ32" s="1749"/>
      <c r="CR32" s="1749"/>
      <c r="CS32" s="1749"/>
      <c r="CT32" s="1749"/>
      <c r="CU32" s="1749"/>
      <c r="CV32" s="1749"/>
      <c r="CW32" s="1749"/>
      <c r="CX32" s="1749"/>
      <c r="CY32" s="1749"/>
      <c r="CZ32" s="1749"/>
      <c r="DA32" s="1749"/>
      <c r="DB32" s="1749"/>
      <c r="DC32" s="1749"/>
      <c r="DD32" s="1749"/>
      <c r="DE32" s="1749"/>
      <c r="DF32" s="1749"/>
      <c r="DG32" s="1749"/>
      <c r="DH32" s="1749"/>
      <c r="DI32" s="1749"/>
      <c r="DJ32" s="1749"/>
      <c r="DK32" s="1749"/>
      <c r="DL32" s="1749"/>
      <c r="DM32" s="1749"/>
      <c r="DN32" s="1749"/>
      <c r="DO32" s="1749"/>
      <c r="DP32" s="1749"/>
      <c r="DQ32" s="1749"/>
      <c r="DR32" s="1749"/>
      <c r="DS32" s="1749"/>
      <c r="DT32" s="1749"/>
      <c r="DU32" s="1749"/>
      <c r="DV32" s="1749"/>
      <c r="DW32" s="1749"/>
      <c r="DX32" s="1749"/>
      <c r="DY32" s="1749"/>
      <c r="DZ32" s="1749"/>
      <c r="EA32" s="1749"/>
      <c r="EB32" s="1749"/>
      <c r="EC32" s="1749"/>
      <c r="ED32" s="1749"/>
      <c r="EE32" s="1749"/>
      <c r="EF32" s="1749"/>
      <c r="EG32" s="1749"/>
      <c r="EH32" s="1749"/>
      <c r="EI32" s="1749"/>
      <c r="EJ32" s="1749"/>
      <c r="EK32" s="1749"/>
      <c r="EL32" s="1749"/>
      <c r="EM32" s="1749"/>
      <c r="EN32" s="1749"/>
      <c r="EO32" s="1749"/>
      <c r="EP32" s="1749"/>
      <c r="EQ32" s="1749"/>
      <c r="ER32" s="1749"/>
      <c r="ES32" s="1749"/>
      <c r="ET32" s="1749"/>
      <c r="EU32" s="1749"/>
      <c r="EV32" s="1749"/>
      <c r="EW32" s="1749"/>
      <c r="EX32" s="1749"/>
      <c r="EY32" s="1749"/>
      <c r="EZ32" s="1749"/>
      <c r="FA32" s="1749"/>
      <c r="FB32" s="1749"/>
      <c r="FC32" s="1749"/>
      <c r="FD32" s="1749"/>
      <c r="FE32" s="1749"/>
      <c r="FF32" s="1749"/>
      <c r="FG32" s="1749"/>
      <c r="FH32" s="1749"/>
      <c r="FI32" s="1749"/>
      <c r="FJ32" s="1749"/>
      <c r="FK32" s="1749"/>
      <c r="FL32" s="1749"/>
      <c r="FM32" s="1749"/>
      <c r="FN32" s="1749"/>
      <c r="FO32" s="1749"/>
      <c r="FP32" s="1749"/>
      <c r="FQ32" s="1749"/>
      <c r="FR32" s="1749"/>
      <c r="FS32" s="1749"/>
      <c r="FT32" s="1749"/>
      <c r="FU32" s="1749"/>
      <c r="FV32" s="1749"/>
      <c r="FW32" s="1749"/>
      <c r="FX32" s="1749"/>
      <c r="FY32" s="1749"/>
      <c r="FZ32" s="1749"/>
      <c r="GA32" s="1749"/>
      <c r="GB32" s="1749"/>
      <c r="GC32" s="1749"/>
      <c r="GD32" s="1749"/>
      <c r="GE32" s="1749"/>
      <c r="GF32" s="1749"/>
      <c r="GG32" s="1749"/>
      <c r="GH32" s="1749"/>
      <c r="GI32" s="1749"/>
      <c r="GJ32" s="1749"/>
      <c r="GK32" s="1749"/>
      <c r="GL32" s="1749"/>
      <c r="GM32" s="1749"/>
      <c r="GN32" s="1749"/>
      <c r="GO32" s="1749"/>
      <c r="GP32" s="1749"/>
      <c r="GQ32" s="1749"/>
      <c r="GR32" s="1749"/>
      <c r="GS32" s="1749"/>
      <c r="GT32" s="1749"/>
      <c r="GU32" s="1749"/>
      <c r="GV32" s="1749"/>
      <c r="GW32" s="1749"/>
      <c r="GX32" s="1749"/>
      <c r="GY32" s="1749"/>
      <c r="GZ32" s="1749"/>
      <c r="HA32" s="1749"/>
      <c r="HB32" s="1749"/>
      <c r="HC32" s="1749"/>
      <c r="HD32" s="1749"/>
      <c r="HE32" s="1749"/>
      <c r="HF32" s="1749"/>
      <c r="HG32" s="1749"/>
      <c r="HH32" s="1749"/>
      <c r="HI32" s="1749"/>
      <c r="HJ32" s="1749"/>
      <c r="HK32" s="1749"/>
      <c r="HL32" s="1749"/>
      <c r="HM32" s="1749"/>
      <c r="HN32" s="1749"/>
      <c r="HO32" s="1749"/>
      <c r="HP32" s="1749"/>
      <c r="HQ32" s="1749"/>
      <c r="HR32" s="1749"/>
      <c r="HS32" s="1749"/>
      <c r="HT32" s="1749"/>
      <c r="HU32" s="1749"/>
      <c r="HV32" s="1749"/>
      <c r="HW32" s="1749"/>
      <c r="HX32" s="1749"/>
      <c r="HY32" s="1749"/>
      <c r="HZ32" s="1749"/>
      <c r="IA32" s="1749"/>
      <c r="IB32" s="1749"/>
      <c r="IC32" s="1749"/>
      <c r="ID32" s="1749"/>
      <c r="IE32" s="1749"/>
      <c r="IF32" s="1749"/>
      <c r="IG32" s="1749"/>
      <c r="IH32" s="1749"/>
      <c r="II32" s="1749"/>
      <c r="IJ32" s="1749"/>
      <c r="IK32" s="1749"/>
      <c r="IL32" s="1749"/>
      <c r="IM32" s="1749"/>
      <c r="IN32" s="1749"/>
    </row>
    <row r="33" spans="1:248">
      <c r="A33" s="1729" t="s">
        <v>247</v>
      </c>
      <c r="B33" s="1730">
        <f>审定资负表!C35</f>
        <v>0</v>
      </c>
      <c r="C33" s="1730">
        <f>审定资负表!D35</f>
        <v>0</v>
      </c>
      <c r="D33" s="1731" t="str">
        <f t="shared" si="0"/>
        <v> </v>
      </c>
      <c r="E33" s="1732">
        <f t="shared" si="1"/>
        <v>0</v>
      </c>
      <c r="F33" s="1733" t="str">
        <f t="shared" si="2"/>
        <v/>
      </c>
      <c r="G33" s="1734"/>
      <c r="H33" s="1735" t="str">
        <f>IF(报表附注!I1575=0,"相符","不相符")</f>
        <v>相符</v>
      </c>
      <c r="I33" s="1735" t="str">
        <f>IF(报表附注!F1575=0,"相符","不相符")</f>
        <v>相符</v>
      </c>
      <c r="J33" s="1753" t="s">
        <v>1518</v>
      </c>
      <c r="K33" s="1754"/>
      <c r="L33" s="1758"/>
      <c r="M33" s="1749"/>
      <c r="N33" s="1749"/>
      <c r="O33" s="1749"/>
      <c r="P33" s="1749"/>
      <c r="Q33" s="1749"/>
      <c r="R33" s="1749"/>
      <c r="S33" s="1749"/>
      <c r="T33" s="1749"/>
      <c r="U33" s="1749"/>
      <c r="V33" s="1749"/>
      <c r="W33" s="1749"/>
      <c r="X33" s="1749"/>
      <c r="Y33" s="1749"/>
      <c r="Z33" s="1749"/>
      <c r="AA33" s="1749"/>
      <c r="AB33" s="1749"/>
      <c r="AC33" s="1749"/>
      <c r="AD33" s="1749"/>
      <c r="AE33" s="1749"/>
      <c r="AF33" s="1749"/>
      <c r="AG33" s="1749"/>
      <c r="AH33" s="1749"/>
      <c r="AI33" s="1749"/>
      <c r="AJ33" s="1749"/>
      <c r="AK33" s="1749"/>
      <c r="AL33" s="1749"/>
      <c r="AM33" s="1749"/>
      <c r="AN33" s="1749"/>
      <c r="AO33" s="1749"/>
      <c r="AP33" s="1749"/>
      <c r="AQ33" s="1749"/>
      <c r="AR33" s="1749"/>
      <c r="AS33" s="1749"/>
      <c r="AT33" s="1749"/>
      <c r="AU33" s="1749"/>
      <c r="AV33" s="1749"/>
      <c r="AW33" s="1749"/>
      <c r="AX33" s="1749"/>
      <c r="AY33" s="1749"/>
      <c r="AZ33" s="1749"/>
      <c r="BA33" s="1749"/>
      <c r="BB33" s="1749"/>
      <c r="BC33" s="1749"/>
      <c r="BD33" s="1749"/>
      <c r="BE33" s="1749"/>
      <c r="BF33" s="1749"/>
      <c r="BG33" s="1749"/>
      <c r="BH33" s="1749"/>
      <c r="BI33" s="1749"/>
      <c r="BJ33" s="1749"/>
      <c r="BK33" s="1749"/>
      <c r="BL33" s="1749"/>
      <c r="BM33" s="1749"/>
      <c r="BN33" s="1749"/>
      <c r="BO33" s="1749"/>
      <c r="BP33" s="1749"/>
      <c r="BQ33" s="1749"/>
      <c r="BR33" s="1749"/>
      <c r="BS33" s="1749"/>
      <c r="BT33" s="1749"/>
      <c r="BU33" s="1749"/>
      <c r="BV33" s="1749"/>
      <c r="BW33" s="1749"/>
      <c r="BX33" s="1749"/>
      <c r="BY33" s="1749"/>
      <c r="BZ33" s="1749"/>
      <c r="CA33" s="1749"/>
      <c r="CB33" s="1749"/>
      <c r="CC33" s="1749"/>
      <c r="CD33" s="1749"/>
      <c r="CE33" s="1749"/>
      <c r="CF33" s="1749"/>
      <c r="CG33" s="1749"/>
      <c r="CH33" s="1749"/>
      <c r="CI33" s="1749"/>
      <c r="CJ33" s="1749"/>
      <c r="CK33" s="1749"/>
      <c r="CL33" s="1749"/>
      <c r="CM33" s="1749"/>
      <c r="CN33" s="1749"/>
      <c r="CO33" s="1749"/>
      <c r="CP33" s="1749"/>
      <c r="CQ33" s="1749"/>
      <c r="CR33" s="1749"/>
      <c r="CS33" s="1749"/>
      <c r="CT33" s="1749"/>
      <c r="CU33" s="1749"/>
      <c r="CV33" s="1749"/>
      <c r="CW33" s="1749"/>
      <c r="CX33" s="1749"/>
      <c r="CY33" s="1749"/>
      <c r="CZ33" s="1749"/>
      <c r="DA33" s="1749"/>
      <c r="DB33" s="1749"/>
      <c r="DC33" s="1749"/>
      <c r="DD33" s="1749"/>
      <c r="DE33" s="1749"/>
      <c r="DF33" s="1749"/>
      <c r="DG33" s="1749"/>
      <c r="DH33" s="1749"/>
      <c r="DI33" s="1749"/>
      <c r="DJ33" s="1749"/>
      <c r="DK33" s="1749"/>
      <c r="DL33" s="1749"/>
      <c r="DM33" s="1749"/>
      <c r="DN33" s="1749"/>
      <c r="DO33" s="1749"/>
      <c r="DP33" s="1749"/>
      <c r="DQ33" s="1749"/>
      <c r="DR33" s="1749"/>
      <c r="DS33" s="1749"/>
      <c r="DT33" s="1749"/>
      <c r="DU33" s="1749"/>
      <c r="DV33" s="1749"/>
      <c r="DW33" s="1749"/>
      <c r="DX33" s="1749"/>
      <c r="DY33" s="1749"/>
      <c r="DZ33" s="1749"/>
      <c r="EA33" s="1749"/>
      <c r="EB33" s="1749"/>
      <c r="EC33" s="1749"/>
      <c r="ED33" s="1749"/>
      <c r="EE33" s="1749"/>
      <c r="EF33" s="1749"/>
      <c r="EG33" s="1749"/>
      <c r="EH33" s="1749"/>
      <c r="EI33" s="1749"/>
      <c r="EJ33" s="1749"/>
      <c r="EK33" s="1749"/>
      <c r="EL33" s="1749"/>
      <c r="EM33" s="1749"/>
      <c r="EN33" s="1749"/>
      <c r="EO33" s="1749"/>
      <c r="EP33" s="1749"/>
      <c r="EQ33" s="1749"/>
      <c r="ER33" s="1749"/>
      <c r="ES33" s="1749"/>
      <c r="ET33" s="1749"/>
      <c r="EU33" s="1749"/>
      <c r="EV33" s="1749"/>
      <c r="EW33" s="1749"/>
      <c r="EX33" s="1749"/>
      <c r="EY33" s="1749"/>
      <c r="EZ33" s="1749"/>
      <c r="FA33" s="1749"/>
      <c r="FB33" s="1749"/>
      <c r="FC33" s="1749"/>
      <c r="FD33" s="1749"/>
      <c r="FE33" s="1749"/>
      <c r="FF33" s="1749"/>
      <c r="FG33" s="1749"/>
      <c r="FH33" s="1749"/>
      <c r="FI33" s="1749"/>
      <c r="FJ33" s="1749"/>
      <c r="FK33" s="1749"/>
      <c r="FL33" s="1749"/>
      <c r="FM33" s="1749"/>
      <c r="FN33" s="1749"/>
      <c r="FO33" s="1749"/>
      <c r="FP33" s="1749"/>
      <c r="FQ33" s="1749"/>
      <c r="FR33" s="1749"/>
      <c r="FS33" s="1749"/>
      <c r="FT33" s="1749"/>
      <c r="FU33" s="1749"/>
      <c r="FV33" s="1749"/>
      <c r="FW33" s="1749"/>
      <c r="FX33" s="1749"/>
      <c r="FY33" s="1749"/>
      <c r="FZ33" s="1749"/>
      <c r="GA33" s="1749"/>
      <c r="GB33" s="1749"/>
      <c r="GC33" s="1749"/>
      <c r="GD33" s="1749"/>
      <c r="GE33" s="1749"/>
      <c r="GF33" s="1749"/>
      <c r="GG33" s="1749"/>
      <c r="GH33" s="1749"/>
      <c r="GI33" s="1749"/>
      <c r="GJ33" s="1749"/>
      <c r="GK33" s="1749"/>
      <c r="GL33" s="1749"/>
      <c r="GM33" s="1749"/>
      <c r="GN33" s="1749"/>
      <c r="GO33" s="1749"/>
      <c r="GP33" s="1749"/>
      <c r="GQ33" s="1749"/>
      <c r="GR33" s="1749"/>
      <c r="GS33" s="1749"/>
      <c r="GT33" s="1749"/>
      <c r="GU33" s="1749"/>
      <c r="GV33" s="1749"/>
      <c r="GW33" s="1749"/>
      <c r="GX33" s="1749"/>
      <c r="GY33" s="1749"/>
      <c r="GZ33" s="1749"/>
      <c r="HA33" s="1749"/>
      <c r="HB33" s="1749"/>
      <c r="HC33" s="1749"/>
      <c r="HD33" s="1749"/>
      <c r="HE33" s="1749"/>
      <c r="HF33" s="1749"/>
      <c r="HG33" s="1749"/>
      <c r="HH33" s="1749"/>
      <c r="HI33" s="1749"/>
      <c r="HJ33" s="1749"/>
      <c r="HK33" s="1749"/>
      <c r="HL33" s="1749"/>
      <c r="HM33" s="1749"/>
      <c r="HN33" s="1749"/>
      <c r="HO33" s="1749"/>
      <c r="HP33" s="1749"/>
      <c r="HQ33" s="1749"/>
      <c r="HR33" s="1749"/>
      <c r="HS33" s="1749"/>
      <c r="HT33" s="1749"/>
      <c r="HU33" s="1749"/>
      <c r="HV33" s="1749"/>
      <c r="HW33" s="1749"/>
      <c r="HX33" s="1749"/>
      <c r="HY33" s="1749"/>
      <c r="HZ33" s="1749"/>
      <c r="IA33" s="1749"/>
      <c r="IB33" s="1749"/>
      <c r="IC33" s="1749"/>
      <c r="ID33" s="1749"/>
      <c r="IE33" s="1749"/>
      <c r="IF33" s="1749"/>
      <c r="IG33" s="1749"/>
      <c r="IH33" s="1749"/>
      <c r="II33" s="1749"/>
      <c r="IJ33" s="1749"/>
      <c r="IK33" s="1749"/>
      <c r="IL33" s="1749"/>
      <c r="IM33" s="1749"/>
      <c r="IN33" s="1749"/>
    </row>
    <row r="34" spans="1:248">
      <c r="A34" s="1729" t="s">
        <v>249</v>
      </c>
      <c r="B34" s="1730">
        <f>审定资负表!C36</f>
        <v>0</v>
      </c>
      <c r="C34" s="1730">
        <f>审定资负表!D36</f>
        <v>0</v>
      </c>
      <c r="D34" s="1731" t="str">
        <f t="shared" si="0"/>
        <v> </v>
      </c>
      <c r="E34" s="1732">
        <f t="shared" si="1"/>
        <v>0</v>
      </c>
      <c r="F34" s="1733" t="str">
        <f t="shared" si="2"/>
        <v/>
      </c>
      <c r="G34" s="1734"/>
      <c r="H34" s="1735" t="str">
        <f>IF(报表附注!K1554=0,"相符","不相符")</f>
        <v>相符</v>
      </c>
      <c r="I34" s="1735" t="str">
        <f>IF(报表附注!G1554=0,"相符","不相符")</f>
        <v>相符</v>
      </c>
      <c r="J34" s="1753" t="s">
        <v>1519</v>
      </c>
      <c r="K34" s="1754"/>
      <c r="L34" s="1749"/>
      <c r="M34" s="1749"/>
      <c r="N34" s="1749"/>
      <c r="O34" s="1749"/>
      <c r="P34" s="1749"/>
      <c r="Q34" s="1749"/>
      <c r="R34" s="1749"/>
      <c r="S34" s="1749"/>
      <c r="T34" s="1749"/>
      <c r="U34" s="1749"/>
      <c r="V34" s="1749"/>
      <c r="W34" s="1749"/>
      <c r="X34" s="1749"/>
      <c r="Y34" s="1749"/>
      <c r="Z34" s="1749"/>
      <c r="AA34" s="1749"/>
      <c r="AB34" s="1749"/>
      <c r="AC34" s="1749"/>
      <c r="AD34" s="1749"/>
      <c r="AE34" s="1749"/>
      <c r="AF34" s="1749"/>
      <c r="AG34" s="1749"/>
      <c r="AH34" s="1749"/>
      <c r="AI34" s="1749"/>
      <c r="AJ34" s="1749"/>
      <c r="AK34" s="1749"/>
      <c r="AL34" s="1749"/>
      <c r="AM34" s="1749"/>
      <c r="AN34" s="1749"/>
      <c r="AO34" s="1749"/>
      <c r="AP34" s="1749"/>
      <c r="AQ34" s="1749"/>
      <c r="AR34" s="1749"/>
      <c r="AS34" s="1749"/>
      <c r="AT34" s="1749"/>
      <c r="AU34" s="1749"/>
      <c r="AV34" s="1749"/>
      <c r="AW34" s="1749"/>
      <c r="AX34" s="1749"/>
      <c r="AY34" s="1749"/>
      <c r="AZ34" s="1749"/>
      <c r="BA34" s="1749"/>
      <c r="BB34" s="1749"/>
      <c r="BC34" s="1749"/>
      <c r="BD34" s="1749"/>
      <c r="BE34" s="1749"/>
      <c r="BF34" s="1749"/>
      <c r="BG34" s="1749"/>
      <c r="BH34" s="1749"/>
      <c r="BI34" s="1749"/>
      <c r="BJ34" s="1749"/>
      <c r="BK34" s="1749"/>
      <c r="BL34" s="1749"/>
      <c r="BM34" s="1749"/>
      <c r="BN34" s="1749"/>
      <c r="BO34" s="1749"/>
      <c r="BP34" s="1749"/>
      <c r="BQ34" s="1749"/>
      <c r="BR34" s="1749"/>
      <c r="BS34" s="1749"/>
      <c r="BT34" s="1749"/>
      <c r="BU34" s="1749"/>
      <c r="BV34" s="1749"/>
      <c r="BW34" s="1749"/>
      <c r="BX34" s="1749"/>
      <c r="BY34" s="1749"/>
      <c r="BZ34" s="1749"/>
      <c r="CA34" s="1749"/>
      <c r="CB34" s="1749"/>
      <c r="CC34" s="1749"/>
      <c r="CD34" s="1749"/>
      <c r="CE34" s="1749"/>
      <c r="CF34" s="1749"/>
      <c r="CG34" s="1749"/>
      <c r="CH34" s="1749"/>
      <c r="CI34" s="1749"/>
      <c r="CJ34" s="1749"/>
      <c r="CK34" s="1749"/>
      <c r="CL34" s="1749"/>
      <c r="CM34" s="1749"/>
      <c r="CN34" s="1749"/>
      <c r="CO34" s="1749"/>
      <c r="CP34" s="1749"/>
      <c r="CQ34" s="1749"/>
      <c r="CR34" s="1749"/>
      <c r="CS34" s="1749"/>
      <c r="CT34" s="1749"/>
      <c r="CU34" s="1749"/>
      <c r="CV34" s="1749"/>
      <c r="CW34" s="1749"/>
      <c r="CX34" s="1749"/>
      <c r="CY34" s="1749"/>
      <c r="CZ34" s="1749"/>
      <c r="DA34" s="1749"/>
      <c r="DB34" s="1749"/>
      <c r="DC34" s="1749"/>
      <c r="DD34" s="1749"/>
      <c r="DE34" s="1749"/>
      <c r="DF34" s="1749"/>
      <c r="DG34" s="1749"/>
      <c r="DH34" s="1749"/>
      <c r="DI34" s="1749"/>
      <c r="DJ34" s="1749"/>
      <c r="DK34" s="1749"/>
      <c r="DL34" s="1749"/>
      <c r="DM34" s="1749"/>
      <c r="DN34" s="1749"/>
      <c r="DO34" s="1749"/>
      <c r="DP34" s="1749"/>
      <c r="DQ34" s="1749"/>
      <c r="DR34" s="1749"/>
      <c r="DS34" s="1749"/>
      <c r="DT34" s="1749"/>
      <c r="DU34" s="1749"/>
      <c r="DV34" s="1749"/>
      <c r="DW34" s="1749"/>
      <c r="DX34" s="1749"/>
      <c r="DY34" s="1749"/>
      <c r="DZ34" s="1749"/>
      <c r="EA34" s="1749"/>
      <c r="EB34" s="1749"/>
      <c r="EC34" s="1749"/>
      <c r="ED34" s="1749"/>
      <c r="EE34" s="1749"/>
      <c r="EF34" s="1749"/>
      <c r="EG34" s="1749"/>
      <c r="EH34" s="1749"/>
      <c r="EI34" s="1749"/>
      <c r="EJ34" s="1749"/>
      <c r="EK34" s="1749"/>
      <c r="EL34" s="1749"/>
      <c r="EM34" s="1749"/>
      <c r="EN34" s="1749"/>
      <c r="EO34" s="1749"/>
      <c r="EP34" s="1749"/>
      <c r="EQ34" s="1749"/>
      <c r="ER34" s="1749"/>
      <c r="ES34" s="1749"/>
      <c r="ET34" s="1749"/>
      <c r="EU34" s="1749"/>
      <c r="EV34" s="1749"/>
      <c r="EW34" s="1749"/>
      <c r="EX34" s="1749"/>
      <c r="EY34" s="1749"/>
      <c r="EZ34" s="1749"/>
      <c r="FA34" s="1749"/>
      <c r="FB34" s="1749"/>
      <c r="FC34" s="1749"/>
      <c r="FD34" s="1749"/>
      <c r="FE34" s="1749"/>
      <c r="FF34" s="1749"/>
      <c r="FG34" s="1749"/>
      <c r="FH34" s="1749"/>
      <c r="FI34" s="1749"/>
      <c r="FJ34" s="1749"/>
      <c r="FK34" s="1749"/>
      <c r="FL34" s="1749"/>
      <c r="FM34" s="1749"/>
      <c r="FN34" s="1749"/>
      <c r="FO34" s="1749"/>
      <c r="FP34" s="1749"/>
      <c r="FQ34" s="1749"/>
      <c r="FR34" s="1749"/>
      <c r="FS34" s="1749"/>
      <c r="FT34" s="1749"/>
      <c r="FU34" s="1749"/>
      <c r="FV34" s="1749"/>
      <c r="FW34" s="1749"/>
      <c r="FX34" s="1749"/>
      <c r="FY34" s="1749"/>
      <c r="FZ34" s="1749"/>
      <c r="GA34" s="1749"/>
      <c r="GB34" s="1749"/>
      <c r="GC34" s="1749"/>
      <c r="GD34" s="1749"/>
      <c r="GE34" s="1749"/>
      <c r="GF34" s="1749"/>
      <c r="GG34" s="1749"/>
      <c r="GH34" s="1749"/>
      <c r="GI34" s="1749"/>
      <c r="GJ34" s="1749"/>
      <c r="GK34" s="1749"/>
      <c r="GL34" s="1749"/>
      <c r="GM34" s="1749"/>
      <c r="GN34" s="1749"/>
      <c r="GO34" s="1749"/>
      <c r="GP34" s="1749"/>
      <c r="GQ34" s="1749"/>
      <c r="GR34" s="1749"/>
      <c r="GS34" s="1749"/>
      <c r="GT34" s="1749"/>
      <c r="GU34" s="1749"/>
      <c r="GV34" s="1749"/>
      <c r="GW34" s="1749"/>
      <c r="GX34" s="1749"/>
      <c r="GY34" s="1749"/>
      <c r="GZ34" s="1749"/>
      <c r="HA34" s="1749"/>
      <c r="HB34" s="1749"/>
      <c r="HC34" s="1749"/>
      <c r="HD34" s="1749"/>
      <c r="HE34" s="1749"/>
      <c r="HF34" s="1749"/>
      <c r="HG34" s="1749"/>
      <c r="HH34" s="1749"/>
      <c r="HI34" s="1749"/>
      <c r="HJ34" s="1749"/>
      <c r="HK34" s="1749"/>
      <c r="HL34" s="1749"/>
      <c r="HM34" s="1749"/>
      <c r="HN34" s="1749"/>
      <c r="HO34" s="1749"/>
      <c r="HP34" s="1749"/>
      <c r="HQ34" s="1749"/>
      <c r="HR34" s="1749"/>
      <c r="HS34" s="1749"/>
      <c r="HT34" s="1749"/>
      <c r="HU34" s="1749"/>
      <c r="HV34" s="1749"/>
      <c r="HW34" s="1749"/>
      <c r="HX34" s="1749"/>
      <c r="HY34" s="1749"/>
      <c r="HZ34" s="1749"/>
      <c r="IA34" s="1749"/>
      <c r="IB34" s="1749"/>
      <c r="IC34" s="1749"/>
      <c r="ID34" s="1749"/>
      <c r="IE34" s="1749"/>
      <c r="IF34" s="1749"/>
      <c r="IG34" s="1749"/>
      <c r="IH34" s="1749"/>
      <c r="II34" s="1749"/>
      <c r="IJ34" s="1749"/>
      <c r="IK34" s="1749"/>
      <c r="IL34" s="1749"/>
      <c r="IM34" s="1749"/>
      <c r="IN34" s="1749"/>
    </row>
    <row r="35" spans="1:248">
      <c r="A35" s="1729" t="s">
        <v>251</v>
      </c>
      <c r="B35" s="1730">
        <f>审定资负表!C37</f>
        <v>0</v>
      </c>
      <c r="C35" s="1730">
        <f>审定资负表!D37</f>
        <v>0</v>
      </c>
      <c r="D35" s="1731" t="str">
        <f t="shared" si="0"/>
        <v> </v>
      </c>
      <c r="E35" s="1732">
        <f t="shared" si="1"/>
        <v>0</v>
      </c>
      <c r="F35" s="1733" t="str">
        <f t="shared" si="2"/>
        <v/>
      </c>
      <c r="G35" s="1734"/>
      <c r="H35" s="1735" t="str">
        <f>IF(报表附注!F1631=0,"相符","不相符")</f>
        <v>相符</v>
      </c>
      <c r="I35" s="1735" t="str">
        <f>IF(报表附注!H1631=0,"相符","不相符")</f>
        <v>相符</v>
      </c>
      <c r="J35" s="1748" t="s">
        <v>1511</v>
      </c>
      <c r="K35" s="1749"/>
      <c r="L35" s="1749"/>
      <c r="M35" s="1749"/>
      <c r="N35" s="1749"/>
      <c r="O35" s="1749"/>
      <c r="P35" s="1749"/>
      <c r="Q35" s="1749"/>
      <c r="R35" s="1749"/>
      <c r="S35" s="1749"/>
      <c r="T35" s="1749"/>
      <c r="U35" s="1749"/>
      <c r="V35" s="1749"/>
      <c r="W35" s="1749"/>
      <c r="X35" s="1749"/>
      <c r="Y35" s="1749"/>
      <c r="Z35" s="1749"/>
      <c r="AA35" s="1749"/>
      <c r="AB35" s="1749"/>
      <c r="AC35" s="1749"/>
      <c r="AD35" s="1749"/>
      <c r="AE35" s="1749"/>
      <c r="AF35" s="1749"/>
      <c r="AG35" s="1749"/>
      <c r="AH35" s="1749"/>
      <c r="AI35" s="1749"/>
      <c r="AJ35" s="1749"/>
      <c r="AK35" s="1749"/>
      <c r="AL35" s="1749"/>
      <c r="AM35" s="1749"/>
      <c r="AN35" s="1749"/>
      <c r="AO35" s="1749"/>
      <c r="AP35" s="1749"/>
      <c r="AQ35" s="1749"/>
      <c r="AR35" s="1749"/>
      <c r="AS35" s="1749"/>
      <c r="AT35" s="1749"/>
      <c r="AU35" s="1749"/>
      <c r="AV35" s="1749"/>
      <c r="AW35" s="1749"/>
      <c r="AX35" s="1749"/>
      <c r="AY35" s="1749"/>
      <c r="AZ35" s="1749"/>
      <c r="BA35" s="1749"/>
      <c r="BB35" s="1749"/>
      <c r="BC35" s="1749"/>
      <c r="BD35" s="1749"/>
      <c r="BE35" s="1749"/>
      <c r="BF35" s="1749"/>
      <c r="BG35" s="1749"/>
      <c r="BH35" s="1749"/>
      <c r="BI35" s="1749"/>
      <c r="BJ35" s="1749"/>
      <c r="BK35" s="1749"/>
      <c r="BL35" s="1749"/>
      <c r="BM35" s="1749"/>
      <c r="BN35" s="1749"/>
      <c r="BO35" s="1749"/>
      <c r="BP35" s="1749"/>
      <c r="BQ35" s="1749"/>
      <c r="BR35" s="1749"/>
      <c r="BS35" s="1749"/>
      <c r="BT35" s="1749"/>
      <c r="BU35" s="1749"/>
      <c r="BV35" s="1749"/>
      <c r="BW35" s="1749"/>
      <c r="BX35" s="1749"/>
      <c r="BY35" s="1749"/>
      <c r="BZ35" s="1749"/>
      <c r="CA35" s="1749"/>
      <c r="CB35" s="1749"/>
      <c r="CC35" s="1749"/>
      <c r="CD35" s="1749"/>
      <c r="CE35" s="1749"/>
      <c r="CF35" s="1749"/>
      <c r="CG35" s="1749"/>
      <c r="CH35" s="1749"/>
      <c r="CI35" s="1749"/>
      <c r="CJ35" s="1749"/>
      <c r="CK35" s="1749"/>
      <c r="CL35" s="1749"/>
      <c r="CM35" s="1749"/>
      <c r="CN35" s="1749"/>
      <c r="CO35" s="1749"/>
      <c r="CP35" s="1749"/>
      <c r="CQ35" s="1749"/>
      <c r="CR35" s="1749"/>
      <c r="CS35" s="1749"/>
      <c r="CT35" s="1749"/>
      <c r="CU35" s="1749"/>
      <c r="CV35" s="1749"/>
      <c r="CW35" s="1749"/>
      <c r="CX35" s="1749"/>
      <c r="CY35" s="1749"/>
      <c r="CZ35" s="1749"/>
      <c r="DA35" s="1749"/>
      <c r="DB35" s="1749"/>
      <c r="DC35" s="1749"/>
      <c r="DD35" s="1749"/>
      <c r="DE35" s="1749"/>
      <c r="DF35" s="1749"/>
      <c r="DG35" s="1749"/>
      <c r="DH35" s="1749"/>
      <c r="DI35" s="1749"/>
      <c r="DJ35" s="1749"/>
      <c r="DK35" s="1749"/>
      <c r="DL35" s="1749"/>
      <c r="DM35" s="1749"/>
      <c r="DN35" s="1749"/>
      <c r="DO35" s="1749"/>
      <c r="DP35" s="1749"/>
      <c r="DQ35" s="1749"/>
      <c r="DR35" s="1749"/>
      <c r="DS35" s="1749"/>
      <c r="DT35" s="1749"/>
      <c r="DU35" s="1749"/>
      <c r="DV35" s="1749"/>
      <c r="DW35" s="1749"/>
      <c r="DX35" s="1749"/>
      <c r="DY35" s="1749"/>
      <c r="DZ35" s="1749"/>
      <c r="EA35" s="1749"/>
      <c r="EB35" s="1749"/>
      <c r="EC35" s="1749"/>
      <c r="ED35" s="1749"/>
      <c r="EE35" s="1749"/>
      <c r="EF35" s="1749"/>
      <c r="EG35" s="1749"/>
      <c r="EH35" s="1749"/>
      <c r="EI35" s="1749"/>
      <c r="EJ35" s="1749"/>
      <c r="EK35" s="1749"/>
      <c r="EL35" s="1749"/>
      <c r="EM35" s="1749"/>
      <c r="EN35" s="1749"/>
      <c r="EO35" s="1749"/>
      <c r="EP35" s="1749"/>
      <c r="EQ35" s="1749"/>
      <c r="ER35" s="1749"/>
      <c r="ES35" s="1749"/>
      <c r="ET35" s="1749"/>
      <c r="EU35" s="1749"/>
      <c r="EV35" s="1749"/>
      <c r="EW35" s="1749"/>
      <c r="EX35" s="1749"/>
      <c r="EY35" s="1749"/>
      <c r="EZ35" s="1749"/>
      <c r="FA35" s="1749"/>
      <c r="FB35" s="1749"/>
      <c r="FC35" s="1749"/>
      <c r="FD35" s="1749"/>
      <c r="FE35" s="1749"/>
      <c r="FF35" s="1749"/>
      <c r="FG35" s="1749"/>
      <c r="FH35" s="1749"/>
      <c r="FI35" s="1749"/>
      <c r="FJ35" s="1749"/>
      <c r="FK35" s="1749"/>
      <c r="FL35" s="1749"/>
      <c r="FM35" s="1749"/>
      <c r="FN35" s="1749"/>
      <c r="FO35" s="1749"/>
      <c r="FP35" s="1749"/>
      <c r="FQ35" s="1749"/>
      <c r="FR35" s="1749"/>
      <c r="FS35" s="1749"/>
      <c r="FT35" s="1749"/>
      <c r="FU35" s="1749"/>
      <c r="FV35" s="1749"/>
      <c r="FW35" s="1749"/>
      <c r="FX35" s="1749"/>
      <c r="FY35" s="1749"/>
      <c r="FZ35" s="1749"/>
      <c r="GA35" s="1749"/>
      <c r="GB35" s="1749"/>
      <c r="GC35" s="1749"/>
      <c r="GD35" s="1749"/>
      <c r="GE35" s="1749"/>
      <c r="GF35" s="1749"/>
      <c r="GG35" s="1749"/>
      <c r="GH35" s="1749"/>
      <c r="GI35" s="1749"/>
      <c r="GJ35" s="1749"/>
      <c r="GK35" s="1749"/>
      <c r="GL35" s="1749"/>
      <c r="GM35" s="1749"/>
      <c r="GN35" s="1749"/>
      <c r="GO35" s="1749"/>
      <c r="GP35" s="1749"/>
      <c r="GQ35" s="1749"/>
      <c r="GR35" s="1749"/>
      <c r="GS35" s="1749"/>
      <c r="GT35" s="1749"/>
      <c r="GU35" s="1749"/>
      <c r="GV35" s="1749"/>
      <c r="GW35" s="1749"/>
      <c r="GX35" s="1749"/>
      <c r="GY35" s="1749"/>
      <c r="GZ35" s="1749"/>
      <c r="HA35" s="1749"/>
      <c r="HB35" s="1749"/>
      <c r="HC35" s="1749"/>
      <c r="HD35" s="1749"/>
      <c r="HE35" s="1749"/>
      <c r="HF35" s="1749"/>
      <c r="HG35" s="1749"/>
      <c r="HH35" s="1749"/>
      <c r="HI35" s="1749"/>
      <c r="HJ35" s="1749"/>
      <c r="HK35" s="1749"/>
      <c r="HL35" s="1749"/>
      <c r="HM35" s="1749"/>
      <c r="HN35" s="1749"/>
      <c r="HO35" s="1749"/>
      <c r="HP35" s="1749"/>
      <c r="HQ35" s="1749"/>
      <c r="HR35" s="1749"/>
      <c r="HS35" s="1749"/>
      <c r="HT35" s="1749"/>
      <c r="HU35" s="1749"/>
      <c r="HV35" s="1749"/>
      <c r="HW35" s="1749"/>
      <c r="HX35" s="1749"/>
      <c r="HY35" s="1749"/>
      <c r="HZ35" s="1749"/>
      <c r="IA35" s="1749"/>
      <c r="IB35" s="1749"/>
      <c r="IC35" s="1749"/>
      <c r="ID35" s="1749"/>
      <c r="IE35" s="1749"/>
      <c r="IF35" s="1749"/>
      <c r="IG35" s="1749"/>
      <c r="IH35" s="1749"/>
      <c r="II35" s="1749"/>
      <c r="IJ35" s="1749"/>
      <c r="IK35" s="1749"/>
      <c r="IL35" s="1749"/>
      <c r="IM35" s="1749"/>
      <c r="IN35" s="1749"/>
    </row>
    <row r="36" spans="1:248">
      <c r="A36" s="1729" t="s">
        <v>253</v>
      </c>
      <c r="B36" s="1730">
        <f>审定资负表!C38</f>
        <v>0</v>
      </c>
      <c r="C36" s="1730">
        <f>审定资负表!D38</f>
        <v>0</v>
      </c>
      <c r="D36" s="1731" t="str">
        <f t="shared" si="0"/>
        <v> </v>
      </c>
      <c r="E36" s="1732">
        <f t="shared" si="1"/>
        <v>0</v>
      </c>
      <c r="F36" s="1733" t="str">
        <f t="shared" si="2"/>
        <v/>
      </c>
      <c r="G36" s="1734"/>
      <c r="H36" s="1735" t="str">
        <f>IF(报表附注!G1593=0,"相符","不相符")</f>
        <v>相符</v>
      </c>
      <c r="I36" s="1735" t="str">
        <f>IF(报表附注!H1593=0,"相符","不相符")</f>
        <v>相符</v>
      </c>
      <c r="J36" s="1748" t="s">
        <v>1522</v>
      </c>
      <c r="K36" s="1749"/>
      <c r="L36" s="1749"/>
      <c r="M36" s="1749"/>
      <c r="N36" s="1749"/>
      <c r="O36" s="1749"/>
      <c r="P36" s="1749"/>
      <c r="Q36" s="1749"/>
      <c r="R36" s="1749"/>
      <c r="S36" s="1749"/>
      <c r="T36" s="1749"/>
      <c r="U36" s="1749"/>
      <c r="V36" s="1749"/>
      <c r="W36" s="1749"/>
      <c r="X36" s="1749"/>
      <c r="Y36" s="1749"/>
      <c r="Z36" s="1749"/>
      <c r="AA36" s="1749"/>
      <c r="AB36" s="1749"/>
      <c r="AC36" s="1749"/>
      <c r="AD36" s="1749"/>
      <c r="AE36" s="1749"/>
      <c r="AF36" s="1749"/>
      <c r="AG36" s="1749"/>
      <c r="AH36" s="1749"/>
      <c r="AI36" s="1749"/>
      <c r="AJ36" s="1749"/>
      <c r="AK36" s="1749"/>
      <c r="AL36" s="1749"/>
      <c r="AM36" s="1749"/>
      <c r="AN36" s="1749"/>
      <c r="AO36" s="1749"/>
      <c r="AP36" s="1749"/>
      <c r="AQ36" s="1749"/>
      <c r="AR36" s="1749"/>
      <c r="AS36" s="1749"/>
      <c r="AT36" s="1749"/>
      <c r="AU36" s="1749"/>
      <c r="AV36" s="1749"/>
      <c r="AW36" s="1749"/>
      <c r="AX36" s="1749"/>
      <c r="AY36" s="1749"/>
      <c r="AZ36" s="1749"/>
      <c r="BA36" s="1749"/>
      <c r="BB36" s="1749"/>
      <c r="BC36" s="1749"/>
      <c r="BD36" s="1749"/>
      <c r="BE36" s="1749"/>
      <c r="BF36" s="1749"/>
      <c r="BG36" s="1749"/>
      <c r="BH36" s="1749"/>
      <c r="BI36" s="1749"/>
      <c r="BJ36" s="1749"/>
      <c r="BK36" s="1749"/>
      <c r="BL36" s="1749"/>
      <c r="BM36" s="1749"/>
      <c r="BN36" s="1749"/>
      <c r="BO36" s="1749"/>
      <c r="BP36" s="1749"/>
      <c r="BQ36" s="1749"/>
      <c r="BR36" s="1749"/>
      <c r="BS36" s="1749"/>
      <c r="BT36" s="1749"/>
      <c r="BU36" s="1749"/>
      <c r="BV36" s="1749"/>
      <c r="BW36" s="1749"/>
      <c r="BX36" s="1749"/>
      <c r="BY36" s="1749"/>
      <c r="BZ36" s="1749"/>
      <c r="CA36" s="1749"/>
      <c r="CB36" s="1749"/>
      <c r="CC36" s="1749"/>
      <c r="CD36" s="1749"/>
      <c r="CE36" s="1749"/>
      <c r="CF36" s="1749"/>
      <c r="CG36" s="1749"/>
      <c r="CH36" s="1749"/>
      <c r="CI36" s="1749"/>
      <c r="CJ36" s="1749"/>
      <c r="CK36" s="1749"/>
      <c r="CL36" s="1749"/>
      <c r="CM36" s="1749"/>
      <c r="CN36" s="1749"/>
      <c r="CO36" s="1749"/>
      <c r="CP36" s="1749"/>
      <c r="CQ36" s="1749"/>
      <c r="CR36" s="1749"/>
      <c r="CS36" s="1749"/>
      <c r="CT36" s="1749"/>
      <c r="CU36" s="1749"/>
      <c r="CV36" s="1749"/>
      <c r="CW36" s="1749"/>
      <c r="CX36" s="1749"/>
      <c r="CY36" s="1749"/>
      <c r="CZ36" s="1749"/>
      <c r="DA36" s="1749"/>
      <c r="DB36" s="1749"/>
      <c r="DC36" s="1749"/>
      <c r="DD36" s="1749"/>
      <c r="DE36" s="1749"/>
      <c r="DF36" s="1749"/>
      <c r="DG36" s="1749"/>
      <c r="DH36" s="1749"/>
      <c r="DI36" s="1749"/>
      <c r="DJ36" s="1749"/>
      <c r="DK36" s="1749"/>
      <c r="DL36" s="1749"/>
      <c r="DM36" s="1749"/>
      <c r="DN36" s="1749"/>
      <c r="DO36" s="1749"/>
      <c r="DP36" s="1749"/>
      <c r="DQ36" s="1749"/>
      <c r="DR36" s="1749"/>
      <c r="DS36" s="1749"/>
      <c r="DT36" s="1749"/>
      <c r="DU36" s="1749"/>
      <c r="DV36" s="1749"/>
      <c r="DW36" s="1749"/>
      <c r="DX36" s="1749"/>
      <c r="DY36" s="1749"/>
      <c r="DZ36" s="1749"/>
      <c r="EA36" s="1749"/>
      <c r="EB36" s="1749"/>
      <c r="EC36" s="1749"/>
      <c r="ED36" s="1749"/>
      <c r="EE36" s="1749"/>
      <c r="EF36" s="1749"/>
      <c r="EG36" s="1749"/>
      <c r="EH36" s="1749"/>
      <c r="EI36" s="1749"/>
      <c r="EJ36" s="1749"/>
      <c r="EK36" s="1749"/>
      <c r="EL36" s="1749"/>
      <c r="EM36" s="1749"/>
      <c r="EN36" s="1749"/>
      <c r="EO36" s="1749"/>
      <c r="EP36" s="1749"/>
      <c r="EQ36" s="1749"/>
      <c r="ER36" s="1749"/>
      <c r="ES36" s="1749"/>
      <c r="ET36" s="1749"/>
      <c r="EU36" s="1749"/>
      <c r="EV36" s="1749"/>
      <c r="EW36" s="1749"/>
      <c r="EX36" s="1749"/>
      <c r="EY36" s="1749"/>
      <c r="EZ36" s="1749"/>
      <c r="FA36" s="1749"/>
      <c r="FB36" s="1749"/>
      <c r="FC36" s="1749"/>
      <c r="FD36" s="1749"/>
      <c r="FE36" s="1749"/>
      <c r="FF36" s="1749"/>
      <c r="FG36" s="1749"/>
      <c r="FH36" s="1749"/>
      <c r="FI36" s="1749"/>
      <c r="FJ36" s="1749"/>
      <c r="FK36" s="1749"/>
      <c r="FL36" s="1749"/>
      <c r="FM36" s="1749"/>
      <c r="FN36" s="1749"/>
      <c r="FO36" s="1749"/>
      <c r="FP36" s="1749"/>
      <c r="FQ36" s="1749"/>
      <c r="FR36" s="1749"/>
      <c r="FS36" s="1749"/>
      <c r="FT36" s="1749"/>
      <c r="FU36" s="1749"/>
      <c r="FV36" s="1749"/>
      <c r="FW36" s="1749"/>
      <c r="FX36" s="1749"/>
      <c r="FY36" s="1749"/>
      <c r="FZ36" s="1749"/>
      <c r="GA36" s="1749"/>
      <c r="GB36" s="1749"/>
      <c r="GC36" s="1749"/>
      <c r="GD36" s="1749"/>
      <c r="GE36" s="1749"/>
      <c r="GF36" s="1749"/>
      <c r="GG36" s="1749"/>
      <c r="GH36" s="1749"/>
      <c r="GI36" s="1749"/>
      <c r="GJ36" s="1749"/>
      <c r="GK36" s="1749"/>
      <c r="GL36" s="1749"/>
      <c r="GM36" s="1749"/>
      <c r="GN36" s="1749"/>
      <c r="GO36" s="1749"/>
      <c r="GP36" s="1749"/>
      <c r="GQ36" s="1749"/>
      <c r="GR36" s="1749"/>
      <c r="GS36" s="1749"/>
      <c r="GT36" s="1749"/>
      <c r="GU36" s="1749"/>
      <c r="GV36" s="1749"/>
      <c r="GW36" s="1749"/>
      <c r="GX36" s="1749"/>
      <c r="GY36" s="1749"/>
      <c r="GZ36" s="1749"/>
      <c r="HA36" s="1749"/>
      <c r="HB36" s="1749"/>
      <c r="HC36" s="1749"/>
      <c r="HD36" s="1749"/>
      <c r="HE36" s="1749"/>
      <c r="HF36" s="1749"/>
      <c r="HG36" s="1749"/>
      <c r="HH36" s="1749"/>
      <c r="HI36" s="1749"/>
      <c r="HJ36" s="1749"/>
      <c r="HK36" s="1749"/>
      <c r="HL36" s="1749"/>
      <c r="HM36" s="1749"/>
      <c r="HN36" s="1749"/>
      <c r="HO36" s="1749"/>
      <c r="HP36" s="1749"/>
      <c r="HQ36" s="1749"/>
      <c r="HR36" s="1749"/>
      <c r="HS36" s="1749"/>
      <c r="HT36" s="1749"/>
      <c r="HU36" s="1749"/>
      <c r="HV36" s="1749"/>
      <c r="HW36" s="1749"/>
      <c r="HX36" s="1749"/>
      <c r="HY36" s="1749"/>
      <c r="HZ36" s="1749"/>
      <c r="IA36" s="1749"/>
      <c r="IB36" s="1749"/>
      <c r="IC36" s="1749"/>
      <c r="ID36" s="1749"/>
      <c r="IE36" s="1749"/>
      <c r="IF36" s="1749"/>
      <c r="IG36" s="1749"/>
      <c r="IH36" s="1749"/>
      <c r="II36" s="1749"/>
      <c r="IJ36" s="1749"/>
      <c r="IK36" s="1749"/>
      <c r="IL36" s="1749"/>
      <c r="IM36" s="1749"/>
      <c r="IN36" s="1749"/>
    </row>
    <row r="37" spans="1:248">
      <c r="A37" s="1729" t="s">
        <v>2007</v>
      </c>
      <c r="B37" s="1730">
        <f>审定资负表!C39</f>
        <v>0</v>
      </c>
      <c r="C37" s="1730">
        <f>审定资负表!D39</f>
        <v>0</v>
      </c>
      <c r="D37" s="1731" t="str">
        <f t="shared" si="0"/>
        <v> </v>
      </c>
      <c r="E37" s="1732">
        <f t="shared" si="1"/>
        <v>0</v>
      </c>
      <c r="F37" s="1733" t="str">
        <f t="shared" si="2"/>
        <v/>
      </c>
      <c r="G37" s="1734"/>
      <c r="H37" s="1737"/>
      <c r="I37" s="1737"/>
      <c r="J37" s="1759"/>
      <c r="K37" s="1749"/>
      <c r="L37" s="1749"/>
      <c r="M37" s="1749"/>
      <c r="N37" s="1749"/>
      <c r="O37" s="1749"/>
      <c r="P37" s="1749"/>
      <c r="Q37" s="1749"/>
      <c r="R37" s="1749"/>
      <c r="S37" s="1749"/>
      <c r="T37" s="1749"/>
      <c r="U37" s="1749"/>
      <c r="V37" s="1749"/>
      <c r="W37" s="1749"/>
      <c r="X37" s="1749"/>
      <c r="Y37" s="1749"/>
      <c r="Z37" s="1749"/>
      <c r="AA37" s="1749"/>
      <c r="AB37" s="1749"/>
      <c r="AC37" s="1749"/>
      <c r="AD37" s="1749"/>
      <c r="AE37" s="1749"/>
      <c r="AF37" s="1749"/>
      <c r="AG37" s="1749"/>
      <c r="AH37" s="1749"/>
      <c r="AI37" s="1749"/>
      <c r="AJ37" s="1749"/>
      <c r="AK37" s="1749"/>
      <c r="AL37" s="1749"/>
      <c r="AM37" s="1749"/>
      <c r="AN37" s="1749"/>
      <c r="AO37" s="1749"/>
      <c r="AP37" s="1749"/>
      <c r="AQ37" s="1749"/>
      <c r="AR37" s="1749"/>
      <c r="AS37" s="1749"/>
      <c r="AT37" s="1749"/>
      <c r="AU37" s="1749"/>
      <c r="AV37" s="1749"/>
      <c r="AW37" s="1749"/>
      <c r="AX37" s="1749"/>
      <c r="AY37" s="1749"/>
      <c r="AZ37" s="1749"/>
      <c r="BA37" s="1749"/>
      <c r="BB37" s="1749"/>
      <c r="BC37" s="1749"/>
      <c r="BD37" s="1749"/>
      <c r="BE37" s="1749"/>
      <c r="BF37" s="1749"/>
      <c r="BG37" s="1749"/>
      <c r="BH37" s="1749"/>
      <c r="BI37" s="1749"/>
      <c r="BJ37" s="1749"/>
      <c r="BK37" s="1749"/>
      <c r="BL37" s="1749"/>
      <c r="BM37" s="1749"/>
      <c r="BN37" s="1749"/>
      <c r="BO37" s="1749"/>
      <c r="BP37" s="1749"/>
      <c r="BQ37" s="1749"/>
      <c r="BR37" s="1749"/>
      <c r="BS37" s="1749"/>
      <c r="BT37" s="1749"/>
      <c r="BU37" s="1749"/>
      <c r="BV37" s="1749"/>
      <c r="BW37" s="1749"/>
      <c r="BX37" s="1749"/>
      <c r="BY37" s="1749"/>
      <c r="BZ37" s="1749"/>
      <c r="CA37" s="1749"/>
      <c r="CB37" s="1749"/>
      <c r="CC37" s="1749"/>
      <c r="CD37" s="1749"/>
      <c r="CE37" s="1749"/>
      <c r="CF37" s="1749"/>
      <c r="CG37" s="1749"/>
      <c r="CH37" s="1749"/>
      <c r="CI37" s="1749"/>
      <c r="CJ37" s="1749"/>
      <c r="CK37" s="1749"/>
      <c r="CL37" s="1749"/>
      <c r="CM37" s="1749"/>
      <c r="CN37" s="1749"/>
      <c r="CO37" s="1749"/>
      <c r="CP37" s="1749"/>
      <c r="CQ37" s="1749"/>
      <c r="CR37" s="1749"/>
      <c r="CS37" s="1749"/>
      <c r="CT37" s="1749"/>
      <c r="CU37" s="1749"/>
      <c r="CV37" s="1749"/>
      <c r="CW37" s="1749"/>
      <c r="CX37" s="1749"/>
      <c r="CY37" s="1749"/>
      <c r="CZ37" s="1749"/>
      <c r="DA37" s="1749"/>
      <c r="DB37" s="1749"/>
      <c r="DC37" s="1749"/>
      <c r="DD37" s="1749"/>
      <c r="DE37" s="1749"/>
      <c r="DF37" s="1749"/>
      <c r="DG37" s="1749"/>
      <c r="DH37" s="1749"/>
      <c r="DI37" s="1749"/>
      <c r="DJ37" s="1749"/>
      <c r="DK37" s="1749"/>
      <c r="DL37" s="1749"/>
      <c r="DM37" s="1749"/>
      <c r="DN37" s="1749"/>
      <c r="DO37" s="1749"/>
      <c r="DP37" s="1749"/>
      <c r="DQ37" s="1749"/>
      <c r="DR37" s="1749"/>
      <c r="DS37" s="1749"/>
      <c r="DT37" s="1749"/>
      <c r="DU37" s="1749"/>
      <c r="DV37" s="1749"/>
      <c r="DW37" s="1749"/>
      <c r="DX37" s="1749"/>
      <c r="DY37" s="1749"/>
      <c r="DZ37" s="1749"/>
      <c r="EA37" s="1749"/>
      <c r="EB37" s="1749"/>
      <c r="EC37" s="1749"/>
      <c r="ED37" s="1749"/>
      <c r="EE37" s="1749"/>
      <c r="EF37" s="1749"/>
      <c r="EG37" s="1749"/>
      <c r="EH37" s="1749"/>
      <c r="EI37" s="1749"/>
      <c r="EJ37" s="1749"/>
      <c r="EK37" s="1749"/>
      <c r="EL37" s="1749"/>
      <c r="EM37" s="1749"/>
      <c r="EN37" s="1749"/>
      <c r="EO37" s="1749"/>
      <c r="EP37" s="1749"/>
      <c r="EQ37" s="1749"/>
      <c r="ER37" s="1749"/>
      <c r="ES37" s="1749"/>
      <c r="ET37" s="1749"/>
      <c r="EU37" s="1749"/>
      <c r="EV37" s="1749"/>
      <c r="EW37" s="1749"/>
      <c r="EX37" s="1749"/>
      <c r="EY37" s="1749"/>
      <c r="EZ37" s="1749"/>
      <c r="FA37" s="1749"/>
      <c r="FB37" s="1749"/>
      <c r="FC37" s="1749"/>
      <c r="FD37" s="1749"/>
      <c r="FE37" s="1749"/>
      <c r="FF37" s="1749"/>
      <c r="FG37" s="1749"/>
      <c r="FH37" s="1749"/>
      <c r="FI37" s="1749"/>
      <c r="FJ37" s="1749"/>
      <c r="FK37" s="1749"/>
      <c r="FL37" s="1749"/>
      <c r="FM37" s="1749"/>
      <c r="FN37" s="1749"/>
      <c r="FO37" s="1749"/>
      <c r="FP37" s="1749"/>
      <c r="FQ37" s="1749"/>
      <c r="FR37" s="1749"/>
      <c r="FS37" s="1749"/>
      <c r="FT37" s="1749"/>
      <c r="FU37" s="1749"/>
      <c r="FV37" s="1749"/>
      <c r="FW37" s="1749"/>
      <c r="FX37" s="1749"/>
      <c r="FY37" s="1749"/>
      <c r="FZ37" s="1749"/>
      <c r="GA37" s="1749"/>
      <c r="GB37" s="1749"/>
      <c r="GC37" s="1749"/>
      <c r="GD37" s="1749"/>
      <c r="GE37" s="1749"/>
      <c r="GF37" s="1749"/>
      <c r="GG37" s="1749"/>
      <c r="GH37" s="1749"/>
      <c r="GI37" s="1749"/>
      <c r="GJ37" s="1749"/>
      <c r="GK37" s="1749"/>
      <c r="GL37" s="1749"/>
      <c r="GM37" s="1749"/>
      <c r="GN37" s="1749"/>
      <c r="GO37" s="1749"/>
      <c r="GP37" s="1749"/>
      <c r="GQ37" s="1749"/>
      <c r="GR37" s="1749"/>
      <c r="GS37" s="1749"/>
      <c r="GT37" s="1749"/>
      <c r="GU37" s="1749"/>
      <c r="GV37" s="1749"/>
      <c r="GW37" s="1749"/>
      <c r="GX37" s="1749"/>
      <c r="GY37" s="1749"/>
      <c r="GZ37" s="1749"/>
      <c r="HA37" s="1749"/>
      <c r="HB37" s="1749"/>
      <c r="HC37" s="1749"/>
      <c r="HD37" s="1749"/>
      <c r="HE37" s="1749"/>
      <c r="HF37" s="1749"/>
      <c r="HG37" s="1749"/>
      <c r="HH37" s="1749"/>
      <c r="HI37" s="1749"/>
      <c r="HJ37" s="1749"/>
      <c r="HK37" s="1749"/>
      <c r="HL37" s="1749"/>
      <c r="HM37" s="1749"/>
      <c r="HN37" s="1749"/>
      <c r="HO37" s="1749"/>
      <c r="HP37" s="1749"/>
      <c r="HQ37" s="1749"/>
      <c r="HR37" s="1749"/>
      <c r="HS37" s="1749"/>
      <c r="HT37" s="1749"/>
      <c r="HU37" s="1749"/>
      <c r="HV37" s="1749"/>
      <c r="HW37" s="1749"/>
      <c r="HX37" s="1749"/>
      <c r="HY37" s="1749"/>
      <c r="HZ37" s="1749"/>
      <c r="IA37" s="1749"/>
      <c r="IB37" s="1749"/>
      <c r="IC37" s="1749"/>
      <c r="ID37" s="1749"/>
      <c r="IE37" s="1749"/>
      <c r="IF37" s="1749"/>
      <c r="IG37" s="1749"/>
      <c r="IH37" s="1749"/>
      <c r="II37" s="1749"/>
      <c r="IJ37" s="1749"/>
      <c r="IK37" s="1749"/>
      <c r="IL37" s="1749"/>
      <c r="IM37" s="1749"/>
      <c r="IN37" s="1749"/>
    </row>
    <row r="38" spans="1:248">
      <c r="A38" s="1736" t="s">
        <v>256</v>
      </c>
      <c r="B38" s="1730">
        <f>审定资负表!C40</f>
        <v>0</v>
      </c>
      <c r="C38" s="1730">
        <f>审定资负表!D40</f>
        <v>0</v>
      </c>
      <c r="D38" s="1731" t="str">
        <f t="shared" si="0"/>
        <v> </v>
      </c>
      <c r="E38" s="1732">
        <f t="shared" si="1"/>
        <v>0</v>
      </c>
      <c r="F38" s="1733" t="str">
        <f t="shared" si="2"/>
        <v/>
      </c>
      <c r="G38" s="1734"/>
      <c r="H38" s="1737"/>
      <c r="I38" s="1737"/>
      <c r="J38" s="1759"/>
      <c r="K38" s="1749"/>
      <c r="L38" s="1749"/>
      <c r="M38" s="1749"/>
      <c r="N38" s="1749"/>
      <c r="O38" s="1749"/>
      <c r="P38" s="1749"/>
      <c r="Q38" s="1749"/>
      <c r="R38" s="1749"/>
      <c r="S38" s="1749"/>
      <c r="T38" s="1749"/>
      <c r="U38" s="1749"/>
      <c r="V38" s="1749"/>
      <c r="W38" s="1749"/>
      <c r="X38" s="1749"/>
      <c r="Y38" s="1749"/>
      <c r="Z38" s="1749"/>
      <c r="AA38" s="1749"/>
      <c r="AB38" s="1749"/>
      <c r="AC38" s="1749"/>
      <c r="AD38" s="1749"/>
      <c r="AE38" s="1749"/>
      <c r="AF38" s="1749"/>
      <c r="AG38" s="1749"/>
      <c r="AH38" s="1749"/>
      <c r="AI38" s="1749"/>
      <c r="AJ38" s="1749"/>
      <c r="AK38" s="1749"/>
      <c r="AL38" s="1749"/>
      <c r="AM38" s="1749"/>
      <c r="AN38" s="1749"/>
      <c r="AO38" s="1749"/>
      <c r="AP38" s="1749"/>
      <c r="AQ38" s="1749"/>
      <c r="AR38" s="1749"/>
      <c r="AS38" s="1749"/>
      <c r="AT38" s="1749"/>
      <c r="AU38" s="1749"/>
      <c r="AV38" s="1749"/>
      <c r="AW38" s="1749"/>
      <c r="AX38" s="1749"/>
      <c r="AY38" s="1749"/>
      <c r="AZ38" s="1749"/>
      <c r="BA38" s="1749"/>
      <c r="BB38" s="1749"/>
      <c r="BC38" s="1749"/>
      <c r="BD38" s="1749"/>
      <c r="BE38" s="1749"/>
      <c r="BF38" s="1749"/>
      <c r="BG38" s="1749"/>
      <c r="BH38" s="1749"/>
      <c r="BI38" s="1749"/>
      <c r="BJ38" s="1749"/>
      <c r="BK38" s="1749"/>
      <c r="BL38" s="1749"/>
      <c r="BM38" s="1749"/>
      <c r="BN38" s="1749"/>
      <c r="BO38" s="1749"/>
      <c r="BP38" s="1749"/>
      <c r="BQ38" s="1749"/>
      <c r="BR38" s="1749"/>
      <c r="BS38" s="1749"/>
      <c r="BT38" s="1749"/>
      <c r="BU38" s="1749"/>
      <c r="BV38" s="1749"/>
      <c r="BW38" s="1749"/>
      <c r="BX38" s="1749"/>
      <c r="BY38" s="1749"/>
      <c r="BZ38" s="1749"/>
      <c r="CA38" s="1749"/>
      <c r="CB38" s="1749"/>
      <c r="CC38" s="1749"/>
      <c r="CD38" s="1749"/>
      <c r="CE38" s="1749"/>
      <c r="CF38" s="1749"/>
      <c r="CG38" s="1749"/>
      <c r="CH38" s="1749"/>
      <c r="CI38" s="1749"/>
      <c r="CJ38" s="1749"/>
      <c r="CK38" s="1749"/>
      <c r="CL38" s="1749"/>
      <c r="CM38" s="1749"/>
      <c r="CN38" s="1749"/>
      <c r="CO38" s="1749"/>
      <c r="CP38" s="1749"/>
      <c r="CQ38" s="1749"/>
      <c r="CR38" s="1749"/>
      <c r="CS38" s="1749"/>
      <c r="CT38" s="1749"/>
      <c r="CU38" s="1749"/>
      <c r="CV38" s="1749"/>
      <c r="CW38" s="1749"/>
      <c r="CX38" s="1749"/>
      <c r="CY38" s="1749"/>
      <c r="CZ38" s="1749"/>
      <c r="DA38" s="1749"/>
      <c r="DB38" s="1749"/>
      <c r="DC38" s="1749"/>
      <c r="DD38" s="1749"/>
      <c r="DE38" s="1749"/>
      <c r="DF38" s="1749"/>
      <c r="DG38" s="1749"/>
      <c r="DH38" s="1749"/>
      <c r="DI38" s="1749"/>
      <c r="DJ38" s="1749"/>
      <c r="DK38" s="1749"/>
      <c r="DL38" s="1749"/>
      <c r="DM38" s="1749"/>
      <c r="DN38" s="1749"/>
      <c r="DO38" s="1749"/>
      <c r="DP38" s="1749"/>
      <c r="DQ38" s="1749"/>
      <c r="DR38" s="1749"/>
      <c r="DS38" s="1749"/>
      <c r="DT38" s="1749"/>
      <c r="DU38" s="1749"/>
      <c r="DV38" s="1749"/>
      <c r="DW38" s="1749"/>
      <c r="DX38" s="1749"/>
      <c r="DY38" s="1749"/>
      <c r="DZ38" s="1749"/>
      <c r="EA38" s="1749"/>
      <c r="EB38" s="1749"/>
      <c r="EC38" s="1749"/>
      <c r="ED38" s="1749"/>
      <c r="EE38" s="1749"/>
      <c r="EF38" s="1749"/>
      <c r="EG38" s="1749"/>
      <c r="EH38" s="1749"/>
      <c r="EI38" s="1749"/>
      <c r="EJ38" s="1749"/>
      <c r="EK38" s="1749"/>
      <c r="EL38" s="1749"/>
      <c r="EM38" s="1749"/>
      <c r="EN38" s="1749"/>
      <c r="EO38" s="1749"/>
      <c r="EP38" s="1749"/>
      <c r="EQ38" s="1749"/>
      <c r="ER38" s="1749"/>
      <c r="ES38" s="1749"/>
      <c r="ET38" s="1749"/>
      <c r="EU38" s="1749"/>
      <c r="EV38" s="1749"/>
      <c r="EW38" s="1749"/>
      <c r="EX38" s="1749"/>
      <c r="EY38" s="1749"/>
      <c r="EZ38" s="1749"/>
      <c r="FA38" s="1749"/>
      <c r="FB38" s="1749"/>
      <c r="FC38" s="1749"/>
      <c r="FD38" s="1749"/>
      <c r="FE38" s="1749"/>
      <c r="FF38" s="1749"/>
      <c r="FG38" s="1749"/>
      <c r="FH38" s="1749"/>
      <c r="FI38" s="1749"/>
      <c r="FJ38" s="1749"/>
      <c r="FK38" s="1749"/>
      <c r="FL38" s="1749"/>
      <c r="FM38" s="1749"/>
      <c r="FN38" s="1749"/>
      <c r="FO38" s="1749"/>
      <c r="FP38" s="1749"/>
      <c r="FQ38" s="1749"/>
      <c r="FR38" s="1749"/>
      <c r="FS38" s="1749"/>
      <c r="FT38" s="1749"/>
      <c r="FU38" s="1749"/>
      <c r="FV38" s="1749"/>
      <c r="FW38" s="1749"/>
      <c r="FX38" s="1749"/>
      <c r="FY38" s="1749"/>
      <c r="FZ38" s="1749"/>
      <c r="GA38" s="1749"/>
      <c r="GB38" s="1749"/>
      <c r="GC38" s="1749"/>
      <c r="GD38" s="1749"/>
      <c r="GE38" s="1749"/>
      <c r="GF38" s="1749"/>
      <c r="GG38" s="1749"/>
      <c r="GH38" s="1749"/>
      <c r="GI38" s="1749"/>
      <c r="GJ38" s="1749"/>
      <c r="GK38" s="1749"/>
      <c r="GL38" s="1749"/>
      <c r="GM38" s="1749"/>
      <c r="GN38" s="1749"/>
      <c r="GO38" s="1749"/>
      <c r="GP38" s="1749"/>
      <c r="GQ38" s="1749"/>
      <c r="GR38" s="1749"/>
      <c r="GS38" s="1749"/>
      <c r="GT38" s="1749"/>
      <c r="GU38" s="1749"/>
      <c r="GV38" s="1749"/>
      <c r="GW38" s="1749"/>
      <c r="GX38" s="1749"/>
      <c r="GY38" s="1749"/>
      <c r="GZ38" s="1749"/>
      <c r="HA38" s="1749"/>
      <c r="HB38" s="1749"/>
      <c r="HC38" s="1749"/>
      <c r="HD38" s="1749"/>
      <c r="HE38" s="1749"/>
      <c r="HF38" s="1749"/>
      <c r="HG38" s="1749"/>
      <c r="HH38" s="1749"/>
      <c r="HI38" s="1749"/>
      <c r="HJ38" s="1749"/>
      <c r="HK38" s="1749"/>
      <c r="HL38" s="1749"/>
      <c r="HM38" s="1749"/>
      <c r="HN38" s="1749"/>
      <c r="HO38" s="1749"/>
      <c r="HP38" s="1749"/>
      <c r="HQ38" s="1749"/>
      <c r="HR38" s="1749"/>
      <c r="HS38" s="1749"/>
      <c r="HT38" s="1749"/>
      <c r="HU38" s="1749"/>
      <c r="HV38" s="1749"/>
      <c r="HW38" s="1749"/>
      <c r="HX38" s="1749"/>
      <c r="HY38" s="1749"/>
      <c r="HZ38" s="1749"/>
      <c r="IA38" s="1749"/>
      <c r="IB38" s="1749"/>
      <c r="IC38" s="1749"/>
      <c r="ID38" s="1749"/>
      <c r="IE38" s="1749"/>
      <c r="IF38" s="1749"/>
      <c r="IG38" s="1749"/>
      <c r="IH38" s="1749"/>
      <c r="II38" s="1749"/>
      <c r="IJ38" s="1749"/>
      <c r="IK38" s="1749"/>
      <c r="IL38" s="1749"/>
      <c r="IM38" s="1749"/>
      <c r="IN38" s="1749"/>
    </row>
    <row r="39" spans="1:248">
      <c r="A39" s="1729"/>
      <c r="B39" s="1730">
        <f>审定资负表!C41</f>
        <v>0</v>
      </c>
      <c r="C39" s="1730">
        <f>审定资负表!D41</f>
        <v>0</v>
      </c>
      <c r="D39" s="1731" t="str">
        <f t="shared" si="0"/>
        <v> </v>
      </c>
      <c r="E39" s="1732">
        <f t="shared" si="1"/>
        <v>0</v>
      </c>
      <c r="F39" s="1733" t="str">
        <f t="shared" si="2"/>
        <v/>
      </c>
      <c r="G39" s="1734"/>
      <c r="H39" s="1737"/>
      <c r="I39" s="1737"/>
      <c r="J39" s="1759"/>
      <c r="K39" s="1749"/>
      <c r="L39" s="1749"/>
      <c r="M39" s="1749"/>
      <c r="N39" s="1749"/>
      <c r="O39" s="1749"/>
      <c r="P39" s="1749"/>
      <c r="Q39" s="1749"/>
      <c r="R39" s="1749"/>
      <c r="S39" s="1749"/>
      <c r="T39" s="1749"/>
      <c r="U39" s="1749"/>
      <c r="V39" s="1749"/>
      <c r="W39" s="1749"/>
      <c r="X39" s="1749"/>
      <c r="Y39" s="1749"/>
      <c r="Z39" s="1749"/>
      <c r="AA39" s="1749"/>
      <c r="AB39" s="1749"/>
      <c r="AC39" s="1749"/>
      <c r="AD39" s="1749"/>
      <c r="AE39" s="1749"/>
      <c r="AF39" s="1749"/>
      <c r="AG39" s="1749"/>
      <c r="AH39" s="1749"/>
      <c r="AI39" s="1749"/>
      <c r="AJ39" s="1749"/>
      <c r="AK39" s="1749"/>
      <c r="AL39" s="1749"/>
      <c r="AM39" s="1749"/>
      <c r="AN39" s="1749"/>
      <c r="AO39" s="1749"/>
      <c r="AP39" s="1749"/>
      <c r="AQ39" s="1749"/>
      <c r="AR39" s="1749"/>
      <c r="AS39" s="1749"/>
      <c r="AT39" s="1749"/>
      <c r="AU39" s="1749"/>
      <c r="AV39" s="1749"/>
      <c r="AW39" s="1749"/>
      <c r="AX39" s="1749"/>
      <c r="AY39" s="1749"/>
      <c r="AZ39" s="1749"/>
      <c r="BA39" s="1749"/>
      <c r="BB39" s="1749"/>
      <c r="BC39" s="1749"/>
      <c r="BD39" s="1749"/>
      <c r="BE39" s="1749"/>
      <c r="BF39" s="1749"/>
      <c r="BG39" s="1749"/>
      <c r="BH39" s="1749"/>
      <c r="BI39" s="1749"/>
      <c r="BJ39" s="1749"/>
      <c r="BK39" s="1749"/>
      <c r="BL39" s="1749"/>
      <c r="BM39" s="1749"/>
      <c r="BN39" s="1749"/>
      <c r="BO39" s="1749"/>
      <c r="BP39" s="1749"/>
      <c r="BQ39" s="1749"/>
      <c r="BR39" s="1749"/>
      <c r="BS39" s="1749"/>
      <c r="BT39" s="1749"/>
      <c r="BU39" s="1749"/>
      <c r="BV39" s="1749"/>
      <c r="BW39" s="1749"/>
      <c r="BX39" s="1749"/>
      <c r="BY39" s="1749"/>
      <c r="BZ39" s="1749"/>
      <c r="CA39" s="1749"/>
      <c r="CB39" s="1749"/>
      <c r="CC39" s="1749"/>
      <c r="CD39" s="1749"/>
      <c r="CE39" s="1749"/>
      <c r="CF39" s="1749"/>
      <c r="CG39" s="1749"/>
      <c r="CH39" s="1749"/>
      <c r="CI39" s="1749"/>
      <c r="CJ39" s="1749"/>
      <c r="CK39" s="1749"/>
      <c r="CL39" s="1749"/>
      <c r="CM39" s="1749"/>
      <c r="CN39" s="1749"/>
      <c r="CO39" s="1749"/>
      <c r="CP39" s="1749"/>
      <c r="CQ39" s="1749"/>
      <c r="CR39" s="1749"/>
      <c r="CS39" s="1749"/>
      <c r="CT39" s="1749"/>
      <c r="CU39" s="1749"/>
      <c r="CV39" s="1749"/>
      <c r="CW39" s="1749"/>
      <c r="CX39" s="1749"/>
      <c r="CY39" s="1749"/>
      <c r="CZ39" s="1749"/>
      <c r="DA39" s="1749"/>
      <c r="DB39" s="1749"/>
      <c r="DC39" s="1749"/>
      <c r="DD39" s="1749"/>
      <c r="DE39" s="1749"/>
      <c r="DF39" s="1749"/>
      <c r="DG39" s="1749"/>
      <c r="DH39" s="1749"/>
      <c r="DI39" s="1749"/>
      <c r="DJ39" s="1749"/>
      <c r="DK39" s="1749"/>
      <c r="DL39" s="1749"/>
      <c r="DM39" s="1749"/>
      <c r="DN39" s="1749"/>
      <c r="DO39" s="1749"/>
      <c r="DP39" s="1749"/>
      <c r="DQ39" s="1749"/>
      <c r="DR39" s="1749"/>
      <c r="DS39" s="1749"/>
      <c r="DT39" s="1749"/>
      <c r="DU39" s="1749"/>
      <c r="DV39" s="1749"/>
      <c r="DW39" s="1749"/>
      <c r="DX39" s="1749"/>
      <c r="DY39" s="1749"/>
      <c r="DZ39" s="1749"/>
      <c r="EA39" s="1749"/>
      <c r="EB39" s="1749"/>
      <c r="EC39" s="1749"/>
      <c r="ED39" s="1749"/>
      <c r="EE39" s="1749"/>
      <c r="EF39" s="1749"/>
      <c r="EG39" s="1749"/>
      <c r="EH39" s="1749"/>
      <c r="EI39" s="1749"/>
      <c r="EJ39" s="1749"/>
      <c r="EK39" s="1749"/>
      <c r="EL39" s="1749"/>
      <c r="EM39" s="1749"/>
      <c r="EN39" s="1749"/>
      <c r="EO39" s="1749"/>
      <c r="EP39" s="1749"/>
      <c r="EQ39" s="1749"/>
      <c r="ER39" s="1749"/>
      <c r="ES39" s="1749"/>
      <c r="ET39" s="1749"/>
      <c r="EU39" s="1749"/>
      <c r="EV39" s="1749"/>
      <c r="EW39" s="1749"/>
      <c r="EX39" s="1749"/>
      <c r="EY39" s="1749"/>
      <c r="EZ39" s="1749"/>
      <c r="FA39" s="1749"/>
      <c r="FB39" s="1749"/>
      <c r="FC39" s="1749"/>
      <c r="FD39" s="1749"/>
      <c r="FE39" s="1749"/>
      <c r="FF39" s="1749"/>
      <c r="FG39" s="1749"/>
      <c r="FH39" s="1749"/>
      <c r="FI39" s="1749"/>
      <c r="FJ39" s="1749"/>
      <c r="FK39" s="1749"/>
      <c r="FL39" s="1749"/>
      <c r="FM39" s="1749"/>
      <c r="FN39" s="1749"/>
      <c r="FO39" s="1749"/>
      <c r="FP39" s="1749"/>
      <c r="FQ39" s="1749"/>
      <c r="FR39" s="1749"/>
      <c r="FS39" s="1749"/>
      <c r="FT39" s="1749"/>
      <c r="FU39" s="1749"/>
      <c r="FV39" s="1749"/>
      <c r="FW39" s="1749"/>
      <c r="FX39" s="1749"/>
      <c r="FY39" s="1749"/>
      <c r="FZ39" s="1749"/>
      <c r="GA39" s="1749"/>
      <c r="GB39" s="1749"/>
      <c r="GC39" s="1749"/>
      <c r="GD39" s="1749"/>
      <c r="GE39" s="1749"/>
      <c r="GF39" s="1749"/>
      <c r="GG39" s="1749"/>
      <c r="GH39" s="1749"/>
      <c r="GI39" s="1749"/>
      <c r="GJ39" s="1749"/>
      <c r="GK39" s="1749"/>
      <c r="GL39" s="1749"/>
      <c r="GM39" s="1749"/>
      <c r="GN39" s="1749"/>
      <c r="GO39" s="1749"/>
      <c r="GP39" s="1749"/>
      <c r="GQ39" s="1749"/>
      <c r="GR39" s="1749"/>
      <c r="GS39" s="1749"/>
      <c r="GT39" s="1749"/>
      <c r="GU39" s="1749"/>
      <c r="GV39" s="1749"/>
      <c r="GW39" s="1749"/>
      <c r="GX39" s="1749"/>
      <c r="GY39" s="1749"/>
      <c r="GZ39" s="1749"/>
      <c r="HA39" s="1749"/>
      <c r="HB39" s="1749"/>
      <c r="HC39" s="1749"/>
      <c r="HD39" s="1749"/>
      <c r="HE39" s="1749"/>
      <c r="HF39" s="1749"/>
      <c r="HG39" s="1749"/>
      <c r="HH39" s="1749"/>
      <c r="HI39" s="1749"/>
      <c r="HJ39" s="1749"/>
      <c r="HK39" s="1749"/>
      <c r="HL39" s="1749"/>
      <c r="HM39" s="1749"/>
      <c r="HN39" s="1749"/>
      <c r="HO39" s="1749"/>
      <c r="HP39" s="1749"/>
      <c r="HQ39" s="1749"/>
      <c r="HR39" s="1749"/>
      <c r="HS39" s="1749"/>
      <c r="HT39" s="1749"/>
      <c r="HU39" s="1749"/>
      <c r="HV39" s="1749"/>
      <c r="HW39" s="1749"/>
      <c r="HX39" s="1749"/>
      <c r="HY39" s="1749"/>
      <c r="HZ39" s="1749"/>
      <c r="IA39" s="1749"/>
      <c r="IB39" s="1749"/>
      <c r="IC39" s="1749"/>
      <c r="ID39" s="1749"/>
      <c r="IE39" s="1749"/>
      <c r="IF39" s="1749"/>
      <c r="IG39" s="1749"/>
      <c r="IH39" s="1749"/>
      <c r="II39" s="1749"/>
      <c r="IJ39" s="1749"/>
      <c r="IK39" s="1749"/>
      <c r="IL39" s="1749"/>
      <c r="IM39" s="1749"/>
      <c r="IN39" s="1749"/>
    </row>
    <row r="40" spans="1:248">
      <c r="A40" s="1729"/>
      <c r="B40" s="1730">
        <f>审定资负表!C42</f>
        <v>0</v>
      </c>
      <c r="C40" s="1730">
        <f>审定资负表!D42</f>
        <v>0</v>
      </c>
      <c r="D40" s="1731" t="str">
        <f t="shared" si="0"/>
        <v> </v>
      </c>
      <c r="E40" s="1732">
        <f t="shared" si="1"/>
        <v>0</v>
      </c>
      <c r="F40" s="1733" t="str">
        <f t="shared" si="2"/>
        <v/>
      </c>
      <c r="G40" s="1734"/>
      <c r="H40" s="1737"/>
      <c r="I40" s="1737"/>
      <c r="J40" s="1759"/>
      <c r="K40" s="1749"/>
      <c r="L40" s="1749"/>
      <c r="M40" s="1749"/>
      <c r="N40" s="1749"/>
      <c r="O40" s="1749"/>
      <c r="P40" s="1749"/>
      <c r="Q40" s="1749"/>
      <c r="R40" s="1749"/>
      <c r="S40" s="1749"/>
      <c r="T40" s="1749"/>
      <c r="U40" s="1749"/>
      <c r="V40" s="1749"/>
      <c r="W40" s="1749"/>
      <c r="X40" s="1749"/>
      <c r="Y40" s="1749"/>
      <c r="Z40" s="1749"/>
      <c r="AA40" s="1749"/>
      <c r="AB40" s="1749"/>
      <c r="AC40" s="1749"/>
      <c r="AD40" s="1749"/>
      <c r="AE40" s="1749"/>
      <c r="AF40" s="1749"/>
      <c r="AG40" s="1749"/>
      <c r="AH40" s="1749"/>
      <c r="AI40" s="1749"/>
      <c r="AJ40" s="1749"/>
      <c r="AK40" s="1749"/>
      <c r="AL40" s="1749"/>
      <c r="AM40" s="1749"/>
      <c r="AN40" s="1749"/>
      <c r="AO40" s="1749"/>
      <c r="AP40" s="1749"/>
      <c r="AQ40" s="1749"/>
      <c r="AR40" s="1749"/>
      <c r="AS40" s="1749"/>
      <c r="AT40" s="1749"/>
      <c r="AU40" s="1749"/>
      <c r="AV40" s="1749"/>
      <c r="AW40" s="1749"/>
      <c r="AX40" s="1749"/>
      <c r="AY40" s="1749"/>
      <c r="AZ40" s="1749"/>
      <c r="BA40" s="1749"/>
      <c r="BB40" s="1749"/>
      <c r="BC40" s="1749"/>
      <c r="BD40" s="1749"/>
      <c r="BE40" s="1749"/>
      <c r="BF40" s="1749"/>
      <c r="BG40" s="1749"/>
      <c r="BH40" s="1749"/>
      <c r="BI40" s="1749"/>
      <c r="BJ40" s="1749"/>
      <c r="BK40" s="1749"/>
      <c r="BL40" s="1749"/>
      <c r="BM40" s="1749"/>
      <c r="BN40" s="1749"/>
      <c r="BO40" s="1749"/>
      <c r="BP40" s="1749"/>
      <c r="BQ40" s="1749"/>
      <c r="BR40" s="1749"/>
      <c r="BS40" s="1749"/>
      <c r="BT40" s="1749"/>
      <c r="BU40" s="1749"/>
      <c r="BV40" s="1749"/>
      <c r="BW40" s="1749"/>
      <c r="BX40" s="1749"/>
      <c r="BY40" s="1749"/>
      <c r="BZ40" s="1749"/>
      <c r="CA40" s="1749"/>
      <c r="CB40" s="1749"/>
      <c r="CC40" s="1749"/>
      <c r="CD40" s="1749"/>
      <c r="CE40" s="1749"/>
      <c r="CF40" s="1749"/>
      <c r="CG40" s="1749"/>
      <c r="CH40" s="1749"/>
      <c r="CI40" s="1749"/>
      <c r="CJ40" s="1749"/>
      <c r="CK40" s="1749"/>
      <c r="CL40" s="1749"/>
      <c r="CM40" s="1749"/>
      <c r="CN40" s="1749"/>
      <c r="CO40" s="1749"/>
      <c r="CP40" s="1749"/>
      <c r="CQ40" s="1749"/>
      <c r="CR40" s="1749"/>
      <c r="CS40" s="1749"/>
      <c r="CT40" s="1749"/>
      <c r="CU40" s="1749"/>
      <c r="CV40" s="1749"/>
      <c r="CW40" s="1749"/>
      <c r="CX40" s="1749"/>
      <c r="CY40" s="1749"/>
      <c r="CZ40" s="1749"/>
      <c r="DA40" s="1749"/>
      <c r="DB40" s="1749"/>
      <c r="DC40" s="1749"/>
      <c r="DD40" s="1749"/>
      <c r="DE40" s="1749"/>
      <c r="DF40" s="1749"/>
      <c r="DG40" s="1749"/>
      <c r="DH40" s="1749"/>
      <c r="DI40" s="1749"/>
      <c r="DJ40" s="1749"/>
      <c r="DK40" s="1749"/>
      <c r="DL40" s="1749"/>
      <c r="DM40" s="1749"/>
      <c r="DN40" s="1749"/>
      <c r="DO40" s="1749"/>
      <c r="DP40" s="1749"/>
      <c r="DQ40" s="1749"/>
      <c r="DR40" s="1749"/>
      <c r="DS40" s="1749"/>
      <c r="DT40" s="1749"/>
      <c r="DU40" s="1749"/>
      <c r="DV40" s="1749"/>
      <c r="DW40" s="1749"/>
      <c r="DX40" s="1749"/>
      <c r="DY40" s="1749"/>
      <c r="DZ40" s="1749"/>
      <c r="EA40" s="1749"/>
      <c r="EB40" s="1749"/>
      <c r="EC40" s="1749"/>
      <c r="ED40" s="1749"/>
      <c r="EE40" s="1749"/>
      <c r="EF40" s="1749"/>
      <c r="EG40" s="1749"/>
      <c r="EH40" s="1749"/>
      <c r="EI40" s="1749"/>
      <c r="EJ40" s="1749"/>
      <c r="EK40" s="1749"/>
      <c r="EL40" s="1749"/>
      <c r="EM40" s="1749"/>
      <c r="EN40" s="1749"/>
      <c r="EO40" s="1749"/>
      <c r="EP40" s="1749"/>
      <c r="EQ40" s="1749"/>
      <c r="ER40" s="1749"/>
      <c r="ES40" s="1749"/>
      <c r="ET40" s="1749"/>
      <c r="EU40" s="1749"/>
      <c r="EV40" s="1749"/>
      <c r="EW40" s="1749"/>
      <c r="EX40" s="1749"/>
      <c r="EY40" s="1749"/>
      <c r="EZ40" s="1749"/>
      <c r="FA40" s="1749"/>
      <c r="FB40" s="1749"/>
      <c r="FC40" s="1749"/>
      <c r="FD40" s="1749"/>
      <c r="FE40" s="1749"/>
      <c r="FF40" s="1749"/>
      <c r="FG40" s="1749"/>
      <c r="FH40" s="1749"/>
      <c r="FI40" s="1749"/>
      <c r="FJ40" s="1749"/>
      <c r="FK40" s="1749"/>
      <c r="FL40" s="1749"/>
      <c r="FM40" s="1749"/>
      <c r="FN40" s="1749"/>
      <c r="FO40" s="1749"/>
      <c r="FP40" s="1749"/>
      <c r="FQ40" s="1749"/>
      <c r="FR40" s="1749"/>
      <c r="FS40" s="1749"/>
      <c r="FT40" s="1749"/>
      <c r="FU40" s="1749"/>
      <c r="FV40" s="1749"/>
      <c r="FW40" s="1749"/>
      <c r="FX40" s="1749"/>
      <c r="FY40" s="1749"/>
      <c r="FZ40" s="1749"/>
      <c r="GA40" s="1749"/>
      <c r="GB40" s="1749"/>
      <c r="GC40" s="1749"/>
      <c r="GD40" s="1749"/>
      <c r="GE40" s="1749"/>
      <c r="GF40" s="1749"/>
      <c r="GG40" s="1749"/>
      <c r="GH40" s="1749"/>
      <c r="GI40" s="1749"/>
      <c r="GJ40" s="1749"/>
      <c r="GK40" s="1749"/>
      <c r="GL40" s="1749"/>
      <c r="GM40" s="1749"/>
      <c r="GN40" s="1749"/>
      <c r="GO40" s="1749"/>
      <c r="GP40" s="1749"/>
      <c r="GQ40" s="1749"/>
      <c r="GR40" s="1749"/>
      <c r="GS40" s="1749"/>
      <c r="GT40" s="1749"/>
      <c r="GU40" s="1749"/>
      <c r="GV40" s="1749"/>
      <c r="GW40" s="1749"/>
      <c r="GX40" s="1749"/>
      <c r="GY40" s="1749"/>
      <c r="GZ40" s="1749"/>
      <c r="HA40" s="1749"/>
      <c r="HB40" s="1749"/>
      <c r="HC40" s="1749"/>
      <c r="HD40" s="1749"/>
      <c r="HE40" s="1749"/>
      <c r="HF40" s="1749"/>
      <c r="HG40" s="1749"/>
      <c r="HH40" s="1749"/>
      <c r="HI40" s="1749"/>
      <c r="HJ40" s="1749"/>
      <c r="HK40" s="1749"/>
      <c r="HL40" s="1749"/>
      <c r="HM40" s="1749"/>
      <c r="HN40" s="1749"/>
      <c r="HO40" s="1749"/>
      <c r="HP40" s="1749"/>
      <c r="HQ40" s="1749"/>
      <c r="HR40" s="1749"/>
      <c r="HS40" s="1749"/>
      <c r="HT40" s="1749"/>
      <c r="HU40" s="1749"/>
      <c r="HV40" s="1749"/>
      <c r="HW40" s="1749"/>
      <c r="HX40" s="1749"/>
      <c r="HY40" s="1749"/>
      <c r="HZ40" s="1749"/>
      <c r="IA40" s="1749"/>
      <c r="IB40" s="1749"/>
      <c r="IC40" s="1749"/>
      <c r="ID40" s="1749"/>
      <c r="IE40" s="1749"/>
      <c r="IF40" s="1749"/>
      <c r="IG40" s="1749"/>
      <c r="IH40" s="1749"/>
      <c r="II40" s="1749"/>
      <c r="IJ40" s="1749"/>
      <c r="IK40" s="1749"/>
      <c r="IL40" s="1749"/>
      <c r="IM40" s="1749"/>
      <c r="IN40" s="1749"/>
    </row>
    <row r="41" spans="1:248">
      <c r="A41" s="1729"/>
      <c r="B41" s="1730">
        <f>审定资负表!C43</f>
        <v>0</v>
      </c>
      <c r="C41" s="1730">
        <f>审定资负表!D43</f>
        <v>0</v>
      </c>
      <c r="D41" s="1731" t="str">
        <f t="shared" si="0"/>
        <v> </v>
      </c>
      <c r="E41" s="1732">
        <f t="shared" si="1"/>
        <v>0</v>
      </c>
      <c r="F41" s="1733" t="str">
        <f t="shared" si="2"/>
        <v/>
      </c>
      <c r="G41" s="1734"/>
      <c r="H41" s="1737"/>
      <c r="I41" s="1737"/>
      <c r="J41" s="1759"/>
      <c r="K41" s="1749"/>
      <c r="L41" s="1749"/>
      <c r="M41" s="1749"/>
      <c r="N41" s="1749"/>
      <c r="O41" s="1749"/>
      <c r="P41" s="1749"/>
      <c r="Q41" s="1749"/>
      <c r="R41" s="1749"/>
      <c r="S41" s="1749"/>
      <c r="T41" s="1749"/>
      <c r="U41" s="1749"/>
      <c r="V41" s="1749"/>
      <c r="W41" s="1749"/>
      <c r="X41" s="1749"/>
      <c r="Y41" s="1749"/>
      <c r="Z41" s="1749"/>
      <c r="AA41" s="1749"/>
      <c r="AB41" s="1749"/>
      <c r="AC41" s="1749"/>
      <c r="AD41" s="1749"/>
      <c r="AE41" s="1749"/>
      <c r="AF41" s="1749"/>
      <c r="AG41" s="1749"/>
      <c r="AH41" s="1749"/>
      <c r="AI41" s="1749"/>
      <c r="AJ41" s="1749"/>
      <c r="AK41" s="1749"/>
      <c r="AL41" s="1749"/>
      <c r="AM41" s="1749"/>
      <c r="AN41" s="1749"/>
      <c r="AO41" s="1749"/>
      <c r="AP41" s="1749"/>
      <c r="AQ41" s="1749"/>
      <c r="AR41" s="1749"/>
      <c r="AS41" s="1749"/>
      <c r="AT41" s="1749"/>
      <c r="AU41" s="1749"/>
      <c r="AV41" s="1749"/>
      <c r="AW41" s="1749"/>
      <c r="AX41" s="1749"/>
      <c r="AY41" s="1749"/>
      <c r="AZ41" s="1749"/>
      <c r="BA41" s="1749"/>
      <c r="BB41" s="1749"/>
      <c r="BC41" s="1749"/>
      <c r="BD41" s="1749"/>
      <c r="BE41" s="1749"/>
      <c r="BF41" s="1749"/>
      <c r="BG41" s="1749"/>
      <c r="BH41" s="1749"/>
      <c r="BI41" s="1749"/>
      <c r="BJ41" s="1749"/>
      <c r="BK41" s="1749"/>
      <c r="BL41" s="1749"/>
      <c r="BM41" s="1749"/>
      <c r="BN41" s="1749"/>
      <c r="BO41" s="1749"/>
      <c r="BP41" s="1749"/>
      <c r="BQ41" s="1749"/>
      <c r="BR41" s="1749"/>
      <c r="BS41" s="1749"/>
      <c r="BT41" s="1749"/>
      <c r="BU41" s="1749"/>
      <c r="BV41" s="1749"/>
      <c r="BW41" s="1749"/>
      <c r="BX41" s="1749"/>
      <c r="BY41" s="1749"/>
      <c r="BZ41" s="1749"/>
      <c r="CA41" s="1749"/>
      <c r="CB41" s="1749"/>
      <c r="CC41" s="1749"/>
      <c r="CD41" s="1749"/>
      <c r="CE41" s="1749"/>
      <c r="CF41" s="1749"/>
      <c r="CG41" s="1749"/>
      <c r="CH41" s="1749"/>
      <c r="CI41" s="1749"/>
      <c r="CJ41" s="1749"/>
      <c r="CK41" s="1749"/>
      <c r="CL41" s="1749"/>
      <c r="CM41" s="1749"/>
      <c r="CN41" s="1749"/>
      <c r="CO41" s="1749"/>
      <c r="CP41" s="1749"/>
      <c r="CQ41" s="1749"/>
      <c r="CR41" s="1749"/>
      <c r="CS41" s="1749"/>
      <c r="CT41" s="1749"/>
      <c r="CU41" s="1749"/>
      <c r="CV41" s="1749"/>
      <c r="CW41" s="1749"/>
      <c r="CX41" s="1749"/>
      <c r="CY41" s="1749"/>
      <c r="CZ41" s="1749"/>
      <c r="DA41" s="1749"/>
      <c r="DB41" s="1749"/>
      <c r="DC41" s="1749"/>
      <c r="DD41" s="1749"/>
      <c r="DE41" s="1749"/>
      <c r="DF41" s="1749"/>
      <c r="DG41" s="1749"/>
      <c r="DH41" s="1749"/>
      <c r="DI41" s="1749"/>
      <c r="DJ41" s="1749"/>
      <c r="DK41" s="1749"/>
      <c r="DL41" s="1749"/>
      <c r="DM41" s="1749"/>
      <c r="DN41" s="1749"/>
      <c r="DO41" s="1749"/>
      <c r="DP41" s="1749"/>
      <c r="DQ41" s="1749"/>
      <c r="DR41" s="1749"/>
      <c r="DS41" s="1749"/>
      <c r="DT41" s="1749"/>
      <c r="DU41" s="1749"/>
      <c r="DV41" s="1749"/>
      <c r="DW41" s="1749"/>
      <c r="DX41" s="1749"/>
      <c r="DY41" s="1749"/>
      <c r="DZ41" s="1749"/>
      <c r="EA41" s="1749"/>
      <c r="EB41" s="1749"/>
      <c r="EC41" s="1749"/>
      <c r="ED41" s="1749"/>
      <c r="EE41" s="1749"/>
      <c r="EF41" s="1749"/>
      <c r="EG41" s="1749"/>
      <c r="EH41" s="1749"/>
      <c r="EI41" s="1749"/>
      <c r="EJ41" s="1749"/>
      <c r="EK41" s="1749"/>
      <c r="EL41" s="1749"/>
      <c r="EM41" s="1749"/>
      <c r="EN41" s="1749"/>
      <c r="EO41" s="1749"/>
      <c r="EP41" s="1749"/>
      <c r="EQ41" s="1749"/>
      <c r="ER41" s="1749"/>
      <c r="ES41" s="1749"/>
      <c r="ET41" s="1749"/>
      <c r="EU41" s="1749"/>
      <c r="EV41" s="1749"/>
      <c r="EW41" s="1749"/>
      <c r="EX41" s="1749"/>
      <c r="EY41" s="1749"/>
      <c r="EZ41" s="1749"/>
      <c r="FA41" s="1749"/>
      <c r="FB41" s="1749"/>
      <c r="FC41" s="1749"/>
      <c r="FD41" s="1749"/>
      <c r="FE41" s="1749"/>
      <c r="FF41" s="1749"/>
      <c r="FG41" s="1749"/>
      <c r="FH41" s="1749"/>
      <c r="FI41" s="1749"/>
      <c r="FJ41" s="1749"/>
      <c r="FK41" s="1749"/>
      <c r="FL41" s="1749"/>
      <c r="FM41" s="1749"/>
      <c r="FN41" s="1749"/>
      <c r="FO41" s="1749"/>
      <c r="FP41" s="1749"/>
      <c r="FQ41" s="1749"/>
      <c r="FR41" s="1749"/>
      <c r="FS41" s="1749"/>
      <c r="FT41" s="1749"/>
      <c r="FU41" s="1749"/>
      <c r="FV41" s="1749"/>
      <c r="FW41" s="1749"/>
      <c r="FX41" s="1749"/>
      <c r="FY41" s="1749"/>
      <c r="FZ41" s="1749"/>
      <c r="GA41" s="1749"/>
      <c r="GB41" s="1749"/>
      <c r="GC41" s="1749"/>
      <c r="GD41" s="1749"/>
      <c r="GE41" s="1749"/>
      <c r="GF41" s="1749"/>
      <c r="GG41" s="1749"/>
      <c r="GH41" s="1749"/>
      <c r="GI41" s="1749"/>
      <c r="GJ41" s="1749"/>
      <c r="GK41" s="1749"/>
      <c r="GL41" s="1749"/>
      <c r="GM41" s="1749"/>
      <c r="GN41" s="1749"/>
      <c r="GO41" s="1749"/>
      <c r="GP41" s="1749"/>
      <c r="GQ41" s="1749"/>
      <c r="GR41" s="1749"/>
      <c r="GS41" s="1749"/>
      <c r="GT41" s="1749"/>
      <c r="GU41" s="1749"/>
      <c r="GV41" s="1749"/>
      <c r="GW41" s="1749"/>
      <c r="GX41" s="1749"/>
      <c r="GY41" s="1749"/>
      <c r="GZ41" s="1749"/>
      <c r="HA41" s="1749"/>
      <c r="HB41" s="1749"/>
      <c r="HC41" s="1749"/>
      <c r="HD41" s="1749"/>
      <c r="HE41" s="1749"/>
      <c r="HF41" s="1749"/>
      <c r="HG41" s="1749"/>
      <c r="HH41" s="1749"/>
      <c r="HI41" s="1749"/>
      <c r="HJ41" s="1749"/>
      <c r="HK41" s="1749"/>
      <c r="HL41" s="1749"/>
      <c r="HM41" s="1749"/>
      <c r="HN41" s="1749"/>
      <c r="HO41" s="1749"/>
      <c r="HP41" s="1749"/>
      <c r="HQ41" s="1749"/>
      <c r="HR41" s="1749"/>
      <c r="HS41" s="1749"/>
      <c r="HT41" s="1749"/>
      <c r="HU41" s="1749"/>
      <c r="HV41" s="1749"/>
      <c r="HW41" s="1749"/>
      <c r="HX41" s="1749"/>
      <c r="HY41" s="1749"/>
      <c r="HZ41" s="1749"/>
      <c r="IA41" s="1749"/>
      <c r="IB41" s="1749"/>
      <c r="IC41" s="1749"/>
      <c r="ID41" s="1749"/>
      <c r="IE41" s="1749"/>
      <c r="IF41" s="1749"/>
      <c r="IG41" s="1749"/>
      <c r="IH41" s="1749"/>
      <c r="II41" s="1749"/>
      <c r="IJ41" s="1749"/>
      <c r="IK41" s="1749"/>
      <c r="IL41" s="1749"/>
      <c r="IM41" s="1749"/>
      <c r="IN41" s="1749"/>
    </row>
    <row r="42" spans="1:248">
      <c r="A42" s="1729"/>
      <c r="B42" s="1730">
        <f>审定资负表!C44</f>
        <v>0</v>
      </c>
      <c r="C42" s="1730">
        <f>审定资负表!D44</f>
        <v>0</v>
      </c>
      <c r="D42" s="1731" t="str">
        <f t="shared" si="0"/>
        <v> </v>
      </c>
      <c r="E42" s="1732">
        <f t="shared" si="1"/>
        <v>0</v>
      </c>
      <c r="F42" s="1733" t="str">
        <f t="shared" si="2"/>
        <v/>
      </c>
      <c r="G42" s="1734"/>
      <c r="H42" s="1737"/>
      <c r="I42" s="1737"/>
      <c r="J42" s="1759"/>
      <c r="K42" s="1749"/>
      <c r="L42" s="1749"/>
      <c r="M42" s="1749"/>
      <c r="N42" s="1749"/>
      <c r="O42" s="1749"/>
      <c r="P42" s="1749"/>
      <c r="Q42" s="1749"/>
      <c r="R42" s="1749"/>
      <c r="S42" s="1749"/>
      <c r="T42" s="1749"/>
      <c r="U42" s="1749"/>
      <c r="V42" s="1749"/>
      <c r="W42" s="1749"/>
      <c r="X42" s="1749"/>
      <c r="Y42" s="1749"/>
      <c r="Z42" s="1749"/>
      <c r="AA42" s="1749"/>
      <c r="AB42" s="1749"/>
      <c r="AC42" s="1749"/>
      <c r="AD42" s="1749"/>
      <c r="AE42" s="1749"/>
      <c r="AF42" s="1749"/>
      <c r="AG42" s="1749"/>
      <c r="AH42" s="1749"/>
      <c r="AI42" s="1749"/>
      <c r="AJ42" s="1749"/>
      <c r="AK42" s="1749"/>
      <c r="AL42" s="1749"/>
      <c r="AM42" s="1749"/>
      <c r="AN42" s="1749"/>
      <c r="AO42" s="1749"/>
      <c r="AP42" s="1749"/>
      <c r="AQ42" s="1749"/>
      <c r="AR42" s="1749"/>
      <c r="AS42" s="1749"/>
      <c r="AT42" s="1749"/>
      <c r="AU42" s="1749"/>
      <c r="AV42" s="1749"/>
      <c r="AW42" s="1749"/>
      <c r="AX42" s="1749"/>
      <c r="AY42" s="1749"/>
      <c r="AZ42" s="1749"/>
      <c r="BA42" s="1749"/>
      <c r="BB42" s="1749"/>
      <c r="BC42" s="1749"/>
      <c r="BD42" s="1749"/>
      <c r="BE42" s="1749"/>
      <c r="BF42" s="1749"/>
      <c r="BG42" s="1749"/>
      <c r="BH42" s="1749"/>
      <c r="BI42" s="1749"/>
      <c r="BJ42" s="1749"/>
      <c r="BK42" s="1749"/>
      <c r="BL42" s="1749"/>
      <c r="BM42" s="1749"/>
      <c r="BN42" s="1749"/>
      <c r="BO42" s="1749"/>
      <c r="BP42" s="1749"/>
      <c r="BQ42" s="1749"/>
      <c r="BR42" s="1749"/>
      <c r="BS42" s="1749"/>
      <c r="BT42" s="1749"/>
      <c r="BU42" s="1749"/>
      <c r="BV42" s="1749"/>
      <c r="BW42" s="1749"/>
      <c r="BX42" s="1749"/>
      <c r="BY42" s="1749"/>
      <c r="BZ42" s="1749"/>
      <c r="CA42" s="1749"/>
      <c r="CB42" s="1749"/>
      <c r="CC42" s="1749"/>
      <c r="CD42" s="1749"/>
      <c r="CE42" s="1749"/>
      <c r="CF42" s="1749"/>
      <c r="CG42" s="1749"/>
      <c r="CH42" s="1749"/>
      <c r="CI42" s="1749"/>
      <c r="CJ42" s="1749"/>
      <c r="CK42" s="1749"/>
      <c r="CL42" s="1749"/>
      <c r="CM42" s="1749"/>
      <c r="CN42" s="1749"/>
      <c r="CO42" s="1749"/>
      <c r="CP42" s="1749"/>
      <c r="CQ42" s="1749"/>
      <c r="CR42" s="1749"/>
      <c r="CS42" s="1749"/>
      <c r="CT42" s="1749"/>
      <c r="CU42" s="1749"/>
      <c r="CV42" s="1749"/>
      <c r="CW42" s="1749"/>
      <c r="CX42" s="1749"/>
      <c r="CY42" s="1749"/>
      <c r="CZ42" s="1749"/>
      <c r="DA42" s="1749"/>
      <c r="DB42" s="1749"/>
      <c r="DC42" s="1749"/>
      <c r="DD42" s="1749"/>
      <c r="DE42" s="1749"/>
      <c r="DF42" s="1749"/>
      <c r="DG42" s="1749"/>
      <c r="DH42" s="1749"/>
      <c r="DI42" s="1749"/>
      <c r="DJ42" s="1749"/>
      <c r="DK42" s="1749"/>
      <c r="DL42" s="1749"/>
      <c r="DM42" s="1749"/>
      <c r="DN42" s="1749"/>
      <c r="DO42" s="1749"/>
      <c r="DP42" s="1749"/>
      <c r="DQ42" s="1749"/>
      <c r="DR42" s="1749"/>
      <c r="DS42" s="1749"/>
      <c r="DT42" s="1749"/>
      <c r="DU42" s="1749"/>
      <c r="DV42" s="1749"/>
      <c r="DW42" s="1749"/>
      <c r="DX42" s="1749"/>
      <c r="DY42" s="1749"/>
      <c r="DZ42" s="1749"/>
      <c r="EA42" s="1749"/>
      <c r="EB42" s="1749"/>
      <c r="EC42" s="1749"/>
      <c r="ED42" s="1749"/>
      <c r="EE42" s="1749"/>
      <c r="EF42" s="1749"/>
      <c r="EG42" s="1749"/>
      <c r="EH42" s="1749"/>
      <c r="EI42" s="1749"/>
      <c r="EJ42" s="1749"/>
      <c r="EK42" s="1749"/>
      <c r="EL42" s="1749"/>
      <c r="EM42" s="1749"/>
      <c r="EN42" s="1749"/>
      <c r="EO42" s="1749"/>
      <c r="EP42" s="1749"/>
      <c r="EQ42" s="1749"/>
      <c r="ER42" s="1749"/>
      <c r="ES42" s="1749"/>
      <c r="ET42" s="1749"/>
      <c r="EU42" s="1749"/>
      <c r="EV42" s="1749"/>
      <c r="EW42" s="1749"/>
      <c r="EX42" s="1749"/>
      <c r="EY42" s="1749"/>
      <c r="EZ42" s="1749"/>
      <c r="FA42" s="1749"/>
      <c r="FB42" s="1749"/>
      <c r="FC42" s="1749"/>
      <c r="FD42" s="1749"/>
      <c r="FE42" s="1749"/>
      <c r="FF42" s="1749"/>
      <c r="FG42" s="1749"/>
      <c r="FH42" s="1749"/>
      <c r="FI42" s="1749"/>
      <c r="FJ42" s="1749"/>
      <c r="FK42" s="1749"/>
      <c r="FL42" s="1749"/>
      <c r="FM42" s="1749"/>
      <c r="FN42" s="1749"/>
      <c r="FO42" s="1749"/>
      <c r="FP42" s="1749"/>
      <c r="FQ42" s="1749"/>
      <c r="FR42" s="1749"/>
      <c r="FS42" s="1749"/>
      <c r="FT42" s="1749"/>
      <c r="FU42" s="1749"/>
      <c r="FV42" s="1749"/>
      <c r="FW42" s="1749"/>
      <c r="FX42" s="1749"/>
      <c r="FY42" s="1749"/>
      <c r="FZ42" s="1749"/>
      <c r="GA42" s="1749"/>
      <c r="GB42" s="1749"/>
      <c r="GC42" s="1749"/>
      <c r="GD42" s="1749"/>
      <c r="GE42" s="1749"/>
      <c r="GF42" s="1749"/>
      <c r="GG42" s="1749"/>
      <c r="GH42" s="1749"/>
      <c r="GI42" s="1749"/>
      <c r="GJ42" s="1749"/>
      <c r="GK42" s="1749"/>
      <c r="GL42" s="1749"/>
      <c r="GM42" s="1749"/>
      <c r="GN42" s="1749"/>
      <c r="GO42" s="1749"/>
      <c r="GP42" s="1749"/>
      <c r="GQ42" s="1749"/>
      <c r="GR42" s="1749"/>
      <c r="GS42" s="1749"/>
      <c r="GT42" s="1749"/>
      <c r="GU42" s="1749"/>
      <c r="GV42" s="1749"/>
      <c r="GW42" s="1749"/>
      <c r="GX42" s="1749"/>
      <c r="GY42" s="1749"/>
      <c r="GZ42" s="1749"/>
      <c r="HA42" s="1749"/>
      <c r="HB42" s="1749"/>
      <c r="HC42" s="1749"/>
      <c r="HD42" s="1749"/>
      <c r="HE42" s="1749"/>
      <c r="HF42" s="1749"/>
      <c r="HG42" s="1749"/>
      <c r="HH42" s="1749"/>
      <c r="HI42" s="1749"/>
      <c r="HJ42" s="1749"/>
      <c r="HK42" s="1749"/>
      <c r="HL42" s="1749"/>
      <c r="HM42" s="1749"/>
      <c r="HN42" s="1749"/>
      <c r="HO42" s="1749"/>
      <c r="HP42" s="1749"/>
      <c r="HQ42" s="1749"/>
      <c r="HR42" s="1749"/>
      <c r="HS42" s="1749"/>
      <c r="HT42" s="1749"/>
      <c r="HU42" s="1749"/>
      <c r="HV42" s="1749"/>
      <c r="HW42" s="1749"/>
      <c r="HX42" s="1749"/>
      <c r="HY42" s="1749"/>
      <c r="HZ42" s="1749"/>
      <c r="IA42" s="1749"/>
      <c r="IB42" s="1749"/>
      <c r="IC42" s="1749"/>
      <c r="ID42" s="1749"/>
      <c r="IE42" s="1749"/>
      <c r="IF42" s="1749"/>
      <c r="IG42" s="1749"/>
      <c r="IH42" s="1749"/>
      <c r="II42" s="1749"/>
      <c r="IJ42" s="1749"/>
      <c r="IK42" s="1749"/>
      <c r="IL42" s="1749"/>
      <c r="IM42" s="1749"/>
      <c r="IN42" s="1749"/>
    </row>
    <row r="43" spans="1:248">
      <c r="A43" s="1729"/>
      <c r="B43" s="1730">
        <f>审定资负表!C45</f>
        <v>0</v>
      </c>
      <c r="C43" s="1730">
        <f>审定资负表!D45</f>
        <v>0</v>
      </c>
      <c r="D43" s="1731" t="str">
        <f t="shared" si="0"/>
        <v> </v>
      </c>
      <c r="E43" s="1732">
        <f t="shared" si="1"/>
        <v>0</v>
      </c>
      <c r="F43" s="1733" t="str">
        <f t="shared" si="2"/>
        <v/>
      </c>
      <c r="G43" s="1734"/>
      <c r="H43" s="1737"/>
      <c r="I43" s="1737"/>
      <c r="J43" s="1759"/>
      <c r="K43" s="1749"/>
      <c r="L43" s="1749"/>
      <c r="M43" s="1749"/>
      <c r="N43" s="1749"/>
      <c r="O43" s="1749"/>
      <c r="P43" s="1749"/>
      <c r="Q43" s="1749"/>
      <c r="R43" s="1749"/>
      <c r="S43" s="1749"/>
      <c r="T43" s="1749"/>
      <c r="U43" s="1749"/>
      <c r="V43" s="1749"/>
      <c r="W43" s="1749"/>
      <c r="X43" s="1749"/>
      <c r="Y43" s="1749"/>
      <c r="Z43" s="1749"/>
      <c r="AA43" s="1749"/>
      <c r="AB43" s="1749"/>
      <c r="AC43" s="1749"/>
      <c r="AD43" s="1749"/>
      <c r="AE43" s="1749"/>
      <c r="AF43" s="1749"/>
      <c r="AG43" s="1749"/>
      <c r="AH43" s="1749"/>
      <c r="AI43" s="1749"/>
      <c r="AJ43" s="1749"/>
      <c r="AK43" s="1749"/>
      <c r="AL43" s="1749"/>
      <c r="AM43" s="1749"/>
      <c r="AN43" s="1749"/>
      <c r="AO43" s="1749"/>
      <c r="AP43" s="1749"/>
      <c r="AQ43" s="1749"/>
      <c r="AR43" s="1749"/>
      <c r="AS43" s="1749"/>
      <c r="AT43" s="1749"/>
      <c r="AU43" s="1749"/>
      <c r="AV43" s="1749"/>
      <c r="AW43" s="1749"/>
      <c r="AX43" s="1749"/>
      <c r="AY43" s="1749"/>
      <c r="AZ43" s="1749"/>
      <c r="BA43" s="1749"/>
      <c r="BB43" s="1749"/>
      <c r="BC43" s="1749"/>
      <c r="BD43" s="1749"/>
      <c r="BE43" s="1749"/>
      <c r="BF43" s="1749"/>
      <c r="BG43" s="1749"/>
      <c r="BH43" s="1749"/>
      <c r="BI43" s="1749"/>
      <c r="BJ43" s="1749"/>
      <c r="BK43" s="1749"/>
      <c r="BL43" s="1749"/>
      <c r="BM43" s="1749"/>
      <c r="BN43" s="1749"/>
      <c r="BO43" s="1749"/>
      <c r="BP43" s="1749"/>
      <c r="BQ43" s="1749"/>
      <c r="BR43" s="1749"/>
      <c r="BS43" s="1749"/>
      <c r="BT43" s="1749"/>
      <c r="BU43" s="1749"/>
      <c r="BV43" s="1749"/>
      <c r="BW43" s="1749"/>
      <c r="BX43" s="1749"/>
      <c r="BY43" s="1749"/>
      <c r="BZ43" s="1749"/>
      <c r="CA43" s="1749"/>
      <c r="CB43" s="1749"/>
      <c r="CC43" s="1749"/>
      <c r="CD43" s="1749"/>
      <c r="CE43" s="1749"/>
      <c r="CF43" s="1749"/>
      <c r="CG43" s="1749"/>
      <c r="CH43" s="1749"/>
      <c r="CI43" s="1749"/>
      <c r="CJ43" s="1749"/>
      <c r="CK43" s="1749"/>
      <c r="CL43" s="1749"/>
      <c r="CM43" s="1749"/>
      <c r="CN43" s="1749"/>
      <c r="CO43" s="1749"/>
      <c r="CP43" s="1749"/>
      <c r="CQ43" s="1749"/>
      <c r="CR43" s="1749"/>
      <c r="CS43" s="1749"/>
      <c r="CT43" s="1749"/>
      <c r="CU43" s="1749"/>
      <c r="CV43" s="1749"/>
      <c r="CW43" s="1749"/>
      <c r="CX43" s="1749"/>
      <c r="CY43" s="1749"/>
      <c r="CZ43" s="1749"/>
      <c r="DA43" s="1749"/>
      <c r="DB43" s="1749"/>
      <c r="DC43" s="1749"/>
      <c r="DD43" s="1749"/>
      <c r="DE43" s="1749"/>
      <c r="DF43" s="1749"/>
      <c r="DG43" s="1749"/>
      <c r="DH43" s="1749"/>
      <c r="DI43" s="1749"/>
      <c r="DJ43" s="1749"/>
      <c r="DK43" s="1749"/>
      <c r="DL43" s="1749"/>
      <c r="DM43" s="1749"/>
      <c r="DN43" s="1749"/>
      <c r="DO43" s="1749"/>
      <c r="DP43" s="1749"/>
      <c r="DQ43" s="1749"/>
      <c r="DR43" s="1749"/>
      <c r="DS43" s="1749"/>
      <c r="DT43" s="1749"/>
      <c r="DU43" s="1749"/>
      <c r="DV43" s="1749"/>
      <c r="DW43" s="1749"/>
      <c r="DX43" s="1749"/>
      <c r="DY43" s="1749"/>
      <c r="DZ43" s="1749"/>
      <c r="EA43" s="1749"/>
      <c r="EB43" s="1749"/>
      <c r="EC43" s="1749"/>
      <c r="ED43" s="1749"/>
      <c r="EE43" s="1749"/>
      <c r="EF43" s="1749"/>
      <c r="EG43" s="1749"/>
      <c r="EH43" s="1749"/>
      <c r="EI43" s="1749"/>
      <c r="EJ43" s="1749"/>
      <c r="EK43" s="1749"/>
      <c r="EL43" s="1749"/>
      <c r="EM43" s="1749"/>
      <c r="EN43" s="1749"/>
      <c r="EO43" s="1749"/>
      <c r="EP43" s="1749"/>
      <c r="EQ43" s="1749"/>
      <c r="ER43" s="1749"/>
      <c r="ES43" s="1749"/>
      <c r="ET43" s="1749"/>
      <c r="EU43" s="1749"/>
      <c r="EV43" s="1749"/>
      <c r="EW43" s="1749"/>
      <c r="EX43" s="1749"/>
      <c r="EY43" s="1749"/>
      <c r="EZ43" s="1749"/>
      <c r="FA43" s="1749"/>
      <c r="FB43" s="1749"/>
      <c r="FC43" s="1749"/>
      <c r="FD43" s="1749"/>
      <c r="FE43" s="1749"/>
      <c r="FF43" s="1749"/>
      <c r="FG43" s="1749"/>
      <c r="FH43" s="1749"/>
      <c r="FI43" s="1749"/>
      <c r="FJ43" s="1749"/>
      <c r="FK43" s="1749"/>
      <c r="FL43" s="1749"/>
      <c r="FM43" s="1749"/>
      <c r="FN43" s="1749"/>
      <c r="FO43" s="1749"/>
      <c r="FP43" s="1749"/>
      <c r="FQ43" s="1749"/>
      <c r="FR43" s="1749"/>
      <c r="FS43" s="1749"/>
      <c r="FT43" s="1749"/>
      <c r="FU43" s="1749"/>
      <c r="FV43" s="1749"/>
      <c r="FW43" s="1749"/>
      <c r="FX43" s="1749"/>
      <c r="FY43" s="1749"/>
      <c r="FZ43" s="1749"/>
      <c r="GA43" s="1749"/>
      <c r="GB43" s="1749"/>
      <c r="GC43" s="1749"/>
      <c r="GD43" s="1749"/>
      <c r="GE43" s="1749"/>
      <c r="GF43" s="1749"/>
      <c r="GG43" s="1749"/>
      <c r="GH43" s="1749"/>
      <c r="GI43" s="1749"/>
      <c r="GJ43" s="1749"/>
      <c r="GK43" s="1749"/>
      <c r="GL43" s="1749"/>
      <c r="GM43" s="1749"/>
      <c r="GN43" s="1749"/>
      <c r="GO43" s="1749"/>
      <c r="GP43" s="1749"/>
      <c r="GQ43" s="1749"/>
      <c r="GR43" s="1749"/>
      <c r="GS43" s="1749"/>
      <c r="GT43" s="1749"/>
      <c r="GU43" s="1749"/>
      <c r="GV43" s="1749"/>
      <c r="GW43" s="1749"/>
      <c r="GX43" s="1749"/>
      <c r="GY43" s="1749"/>
      <c r="GZ43" s="1749"/>
      <c r="HA43" s="1749"/>
      <c r="HB43" s="1749"/>
      <c r="HC43" s="1749"/>
      <c r="HD43" s="1749"/>
      <c r="HE43" s="1749"/>
      <c r="HF43" s="1749"/>
      <c r="HG43" s="1749"/>
      <c r="HH43" s="1749"/>
      <c r="HI43" s="1749"/>
      <c r="HJ43" s="1749"/>
      <c r="HK43" s="1749"/>
      <c r="HL43" s="1749"/>
      <c r="HM43" s="1749"/>
      <c r="HN43" s="1749"/>
      <c r="HO43" s="1749"/>
      <c r="HP43" s="1749"/>
      <c r="HQ43" s="1749"/>
      <c r="HR43" s="1749"/>
      <c r="HS43" s="1749"/>
      <c r="HT43" s="1749"/>
      <c r="HU43" s="1749"/>
      <c r="HV43" s="1749"/>
      <c r="HW43" s="1749"/>
      <c r="HX43" s="1749"/>
      <c r="HY43" s="1749"/>
      <c r="HZ43" s="1749"/>
      <c r="IA43" s="1749"/>
      <c r="IB43" s="1749"/>
      <c r="IC43" s="1749"/>
      <c r="ID43" s="1749"/>
      <c r="IE43" s="1749"/>
      <c r="IF43" s="1749"/>
      <c r="IG43" s="1749"/>
      <c r="IH43" s="1749"/>
      <c r="II43" s="1749"/>
      <c r="IJ43" s="1749"/>
      <c r="IK43" s="1749"/>
      <c r="IL43" s="1749"/>
      <c r="IM43" s="1749"/>
      <c r="IN43" s="1749"/>
    </row>
    <row r="44" spans="1:10">
      <c r="A44" s="1729"/>
      <c r="B44" s="1730">
        <f>审定资负表!C46</f>
        <v>0</v>
      </c>
      <c r="C44" s="1730">
        <f>审定资负表!D46</f>
        <v>0</v>
      </c>
      <c r="D44" s="1731" t="str">
        <f t="shared" si="0"/>
        <v> </v>
      </c>
      <c r="E44" s="1732">
        <f t="shared" si="1"/>
        <v>0</v>
      </c>
      <c r="F44" s="1733" t="str">
        <f t="shared" si="2"/>
        <v/>
      </c>
      <c r="G44" s="1734"/>
      <c r="H44" s="1737"/>
      <c r="I44" s="1737"/>
      <c r="J44" s="1759"/>
    </row>
    <row r="45" spans="1:248">
      <c r="A45" s="1729"/>
      <c r="B45" s="1730">
        <f>审定资负表!C47</f>
        <v>0</v>
      </c>
      <c r="C45" s="1730">
        <f>审定资负表!D47</f>
        <v>0</v>
      </c>
      <c r="D45" s="1731" t="str">
        <f t="shared" si="0"/>
        <v> </v>
      </c>
      <c r="E45" s="1732">
        <f t="shared" si="1"/>
        <v>0</v>
      </c>
      <c r="F45" s="1733" t="str">
        <f t="shared" si="2"/>
        <v/>
      </c>
      <c r="G45" s="1734"/>
      <c r="H45" s="1737"/>
      <c r="I45" s="1737"/>
      <c r="J45" s="1759"/>
      <c r="K45" s="1749"/>
      <c r="L45" s="1749"/>
      <c r="M45" s="1749"/>
      <c r="N45" s="1749"/>
      <c r="O45" s="1749"/>
      <c r="P45" s="1749"/>
      <c r="Q45" s="1749"/>
      <c r="R45" s="1749"/>
      <c r="S45" s="1749"/>
      <c r="T45" s="1749"/>
      <c r="U45" s="1749"/>
      <c r="V45" s="1749"/>
      <c r="W45" s="1749"/>
      <c r="X45" s="1749"/>
      <c r="Y45" s="1749"/>
      <c r="Z45" s="1749"/>
      <c r="AA45" s="1749"/>
      <c r="AB45" s="1749"/>
      <c r="AC45" s="1749"/>
      <c r="AD45" s="1749"/>
      <c r="AE45" s="1749"/>
      <c r="AF45" s="1749"/>
      <c r="AG45" s="1749"/>
      <c r="AH45" s="1749"/>
      <c r="AI45" s="1749"/>
      <c r="AJ45" s="1749"/>
      <c r="AK45" s="1749"/>
      <c r="AL45" s="1749"/>
      <c r="AM45" s="1749"/>
      <c r="AN45" s="1749"/>
      <c r="AO45" s="1749"/>
      <c r="AP45" s="1749"/>
      <c r="AQ45" s="1749"/>
      <c r="AR45" s="1749"/>
      <c r="AS45" s="1749"/>
      <c r="AT45" s="1749"/>
      <c r="AU45" s="1749"/>
      <c r="AV45" s="1749"/>
      <c r="AW45" s="1749"/>
      <c r="AX45" s="1749"/>
      <c r="AY45" s="1749"/>
      <c r="AZ45" s="1749"/>
      <c r="BA45" s="1749"/>
      <c r="BB45" s="1749"/>
      <c r="BC45" s="1749"/>
      <c r="BD45" s="1749"/>
      <c r="BE45" s="1749"/>
      <c r="BF45" s="1749"/>
      <c r="BG45" s="1749"/>
      <c r="BH45" s="1749"/>
      <c r="BI45" s="1749"/>
      <c r="BJ45" s="1749"/>
      <c r="BK45" s="1749"/>
      <c r="BL45" s="1749"/>
      <c r="BM45" s="1749"/>
      <c r="BN45" s="1749"/>
      <c r="BO45" s="1749"/>
      <c r="BP45" s="1749"/>
      <c r="BQ45" s="1749"/>
      <c r="BR45" s="1749"/>
      <c r="BS45" s="1749"/>
      <c r="BT45" s="1749"/>
      <c r="BU45" s="1749"/>
      <c r="BV45" s="1749"/>
      <c r="BW45" s="1749"/>
      <c r="BX45" s="1749"/>
      <c r="BY45" s="1749"/>
      <c r="BZ45" s="1749"/>
      <c r="CA45" s="1749"/>
      <c r="CB45" s="1749"/>
      <c r="CC45" s="1749"/>
      <c r="CD45" s="1749"/>
      <c r="CE45" s="1749"/>
      <c r="CF45" s="1749"/>
      <c r="CG45" s="1749"/>
      <c r="CH45" s="1749"/>
      <c r="CI45" s="1749"/>
      <c r="CJ45" s="1749"/>
      <c r="CK45" s="1749"/>
      <c r="CL45" s="1749"/>
      <c r="CM45" s="1749"/>
      <c r="CN45" s="1749"/>
      <c r="CO45" s="1749"/>
      <c r="CP45" s="1749"/>
      <c r="CQ45" s="1749"/>
      <c r="CR45" s="1749"/>
      <c r="CS45" s="1749"/>
      <c r="CT45" s="1749"/>
      <c r="CU45" s="1749"/>
      <c r="CV45" s="1749"/>
      <c r="CW45" s="1749"/>
      <c r="CX45" s="1749"/>
      <c r="CY45" s="1749"/>
      <c r="CZ45" s="1749"/>
      <c r="DA45" s="1749"/>
      <c r="DB45" s="1749"/>
      <c r="DC45" s="1749"/>
      <c r="DD45" s="1749"/>
      <c r="DE45" s="1749"/>
      <c r="DF45" s="1749"/>
      <c r="DG45" s="1749"/>
      <c r="DH45" s="1749"/>
      <c r="DI45" s="1749"/>
      <c r="DJ45" s="1749"/>
      <c r="DK45" s="1749"/>
      <c r="DL45" s="1749"/>
      <c r="DM45" s="1749"/>
      <c r="DN45" s="1749"/>
      <c r="DO45" s="1749"/>
      <c r="DP45" s="1749"/>
      <c r="DQ45" s="1749"/>
      <c r="DR45" s="1749"/>
      <c r="DS45" s="1749"/>
      <c r="DT45" s="1749"/>
      <c r="DU45" s="1749"/>
      <c r="DV45" s="1749"/>
      <c r="DW45" s="1749"/>
      <c r="DX45" s="1749"/>
      <c r="DY45" s="1749"/>
      <c r="DZ45" s="1749"/>
      <c r="EA45" s="1749"/>
      <c r="EB45" s="1749"/>
      <c r="EC45" s="1749"/>
      <c r="ED45" s="1749"/>
      <c r="EE45" s="1749"/>
      <c r="EF45" s="1749"/>
      <c r="EG45" s="1749"/>
      <c r="EH45" s="1749"/>
      <c r="EI45" s="1749"/>
      <c r="EJ45" s="1749"/>
      <c r="EK45" s="1749"/>
      <c r="EL45" s="1749"/>
      <c r="EM45" s="1749"/>
      <c r="EN45" s="1749"/>
      <c r="EO45" s="1749"/>
      <c r="EP45" s="1749"/>
      <c r="EQ45" s="1749"/>
      <c r="ER45" s="1749"/>
      <c r="ES45" s="1749"/>
      <c r="ET45" s="1749"/>
      <c r="EU45" s="1749"/>
      <c r="EV45" s="1749"/>
      <c r="EW45" s="1749"/>
      <c r="EX45" s="1749"/>
      <c r="EY45" s="1749"/>
      <c r="EZ45" s="1749"/>
      <c r="FA45" s="1749"/>
      <c r="FB45" s="1749"/>
      <c r="FC45" s="1749"/>
      <c r="FD45" s="1749"/>
      <c r="FE45" s="1749"/>
      <c r="FF45" s="1749"/>
      <c r="FG45" s="1749"/>
      <c r="FH45" s="1749"/>
      <c r="FI45" s="1749"/>
      <c r="FJ45" s="1749"/>
      <c r="FK45" s="1749"/>
      <c r="FL45" s="1749"/>
      <c r="FM45" s="1749"/>
      <c r="FN45" s="1749"/>
      <c r="FO45" s="1749"/>
      <c r="FP45" s="1749"/>
      <c r="FQ45" s="1749"/>
      <c r="FR45" s="1749"/>
      <c r="FS45" s="1749"/>
      <c r="FT45" s="1749"/>
      <c r="FU45" s="1749"/>
      <c r="FV45" s="1749"/>
      <c r="FW45" s="1749"/>
      <c r="FX45" s="1749"/>
      <c r="FY45" s="1749"/>
      <c r="FZ45" s="1749"/>
      <c r="GA45" s="1749"/>
      <c r="GB45" s="1749"/>
      <c r="GC45" s="1749"/>
      <c r="GD45" s="1749"/>
      <c r="GE45" s="1749"/>
      <c r="GF45" s="1749"/>
      <c r="GG45" s="1749"/>
      <c r="GH45" s="1749"/>
      <c r="GI45" s="1749"/>
      <c r="GJ45" s="1749"/>
      <c r="GK45" s="1749"/>
      <c r="GL45" s="1749"/>
      <c r="GM45" s="1749"/>
      <c r="GN45" s="1749"/>
      <c r="GO45" s="1749"/>
      <c r="GP45" s="1749"/>
      <c r="GQ45" s="1749"/>
      <c r="GR45" s="1749"/>
      <c r="GS45" s="1749"/>
      <c r="GT45" s="1749"/>
      <c r="GU45" s="1749"/>
      <c r="GV45" s="1749"/>
      <c r="GW45" s="1749"/>
      <c r="GX45" s="1749"/>
      <c r="GY45" s="1749"/>
      <c r="GZ45" s="1749"/>
      <c r="HA45" s="1749"/>
      <c r="HB45" s="1749"/>
      <c r="HC45" s="1749"/>
      <c r="HD45" s="1749"/>
      <c r="HE45" s="1749"/>
      <c r="HF45" s="1749"/>
      <c r="HG45" s="1749"/>
      <c r="HH45" s="1749"/>
      <c r="HI45" s="1749"/>
      <c r="HJ45" s="1749"/>
      <c r="HK45" s="1749"/>
      <c r="HL45" s="1749"/>
      <c r="HM45" s="1749"/>
      <c r="HN45" s="1749"/>
      <c r="HO45" s="1749"/>
      <c r="HP45" s="1749"/>
      <c r="HQ45" s="1749"/>
      <c r="HR45" s="1749"/>
      <c r="HS45" s="1749"/>
      <c r="HT45" s="1749"/>
      <c r="HU45" s="1749"/>
      <c r="HV45" s="1749"/>
      <c r="HW45" s="1749"/>
      <c r="HX45" s="1749"/>
      <c r="HY45" s="1749"/>
      <c r="HZ45" s="1749"/>
      <c r="IA45" s="1749"/>
      <c r="IB45" s="1749"/>
      <c r="IC45" s="1749"/>
      <c r="ID45" s="1749"/>
      <c r="IE45" s="1749"/>
      <c r="IF45" s="1749"/>
      <c r="IG45" s="1749"/>
      <c r="IH45" s="1749"/>
      <c r="II45" s="1749"/>
      <c r="IJ45" s="1749"/>
      <c r="IK45" s="1749"/>
      <c r="IL45" s="1749"/>
      <c r="IM45" s="1749"/>
      <c r="IN45" s="1749"/>
    </row>
    <row r="46" spans="1:248">
      <c r="A46" s="1739" t="s">
        <v>263</v>
      </c>
      <c r="B46" s="1730">
        <f>审定资负表!C48</f>
        <v>56453052.95</v>
      </c>
      <c r="C46" s="1730">
        <f>审定资负表!D48</f>
        <v>0</v>
      </c>
      <c r="D46" s="1731">
        <f t="shared" si="0"/>
        <v>1</v>
      </c>
      <c r="E46" s="1732">
        <f t="shared" si="1"/>
        <v>56453052.95</v>
      </c>
      <c r="F46" s="1733">
        <f t="shared" si="2"/>
        <v>1</v>
      </c>
      <c r="G46" s="1734"/>
      <c r="H46" s="1737"/>
      <c r="I46" s="1737"/>
      <c r="J46" s="1759"/>
      <c r="K46" s="1749"/>
      <c r="L46" s="1749"/>
      <c r="M46" s="1749"/>
      <c r="N46" s="1749"/>
      <c r="O46" s="1749"/>
      <c r="P46" s="1749"/>
      <c r="Q46" s="1749"/>
      <c r="R46" s="1749"/>
      <c r="S46" s="1749"/>
      <c r="T46" s="1749"/>
      <c r="U46" s="1749"/>
      <c r="V46" s="1749"/>
      <c r="W46" s="1749"/>
      <c r="X46" s="1749"/>
      <c r="Y46" s="1749"/>
      <c r="Z46" s="1749"/>
      <c r="AA46" s="1749"/>
      <c r="AB46" s="1749"/>
      <c r="AC46" s="1749"/>
      <c r="AD46" s="1749"/>
      <c r="AE46" s="1749"/>
      <c r="AF46" s="1749"/>
      <c r="AG46" s="1749"/>
      <c r="AH46" s="1749"/>
      <c r="AI46" s="1749"/>
      <c r="AJ46" s="1749"/>
      <c r="AK46" s="1749"/>
      <c r="AL46" s="1749"/>
      <c r="AM46" s="1749"/>
      <c r="AN46" s="1749"/>
      <c r="AO46" s="1749"/>
      <c r="AP46" s="1749"/>
      <c r="AQ46" s="1749"/>
      <c r="AR46" s="1749"/>
      <c r="AS46" s="1749"/>
      <c r="AT46" s="1749"/>
      <c r="AU46" s="1749"/>
      <c r="AV46" s="1749"/>
      <c r="AW46" s="1749"/>
      <c r="AX46" s="1749"/>
      <c r="AY46" s="1749"/>
      <c r="AZ46" s="1749"/>
      <c r="BA46" s="1749"/>
      <c r="BB46" s="1749"/>
      <c r="BC46" s="1749"/>
      <c r="BD46" s="1749"/>
      <c r="BE46" s="1749"/>
      <c r="BF46" s="1749"/>
      <c r="BG46" s="1749"/>
      <c r="BH46" s="1749"/>
      <c r="BI46" s="1749"/>
      <c r="BJ46" s="1749"/>
      <c r="BK46" s="1749"/>
      <c r="BL46" s="1749"/>
      <c r="BM46" s="1749"/>
      <c r="BN46" s="1749"/>
      <c r="BO46" s="1749"/>
      <c r="BP46" s="1749"/>
      <c r="BQ46" s="1749"/>
      <c r="BR46" s="1749"/>
      <c r="BS46" s="1749"/>
      <c r="BT46" s="1749"/>
      <c r="BU46" s="1749"/>
      <c r="BV46" s="1749"/>
      <c r="BW46" s="1749"/>
      <c r="BX46" s="1749"/>
      <c r="BY46" s="1749"/>
      <c r="BZ46" s="1749"/>
      <c r="CA46" s="1749"/>
      <c r="CB46" s="1749"/>
      <c r="CC46" s="1749"/>
      <c r="CD46" s="1749"/>
      <c r="CE46" s="1749"/>
      <c r="CF46" s="1749"/>
      <c r="CG46" s="1749"/>
      <c r="CH46" s="1749"/>
      <c r="CI46" s="1749"/>
      <c r="CJ46" s="1749"/>
      <c r="CK46" s="1749"/>
      <c r="CL46" s="1749"/>
      <c r="CM46" s="1749"/>
      <c r="CN46" s="1749"/>
      <c r="CO46" s="1749"/>
      <c r="CP46" s="1749"/>
      <c r="CQ46" s="1749"/>
      <c r="CR46" s="1749"/>
      <c r="CS46" s="1749"/>
      <c r="CT46" s="1749"/>
      <c r="CU46" s="1749"/>
      <c r="CV46" s="1749"/>
      <c r="CW46" s="1749"/>
      <c r="CX46" s="1749"/>
      <c r="CY46" s="1749"/>
      <c r="CZ46" s="1749"/>
      <c r="DA46" s="1749"/>
      <c r="DB46" s="1749"/>
      <c r="DC46" s="1749"/>
      <c r="DD46" s="1749"/>
      <c r="DE46" s="1749"/>
      <c r="DF46" s="1749"/>
      <c r="DG46" s="1749"/>
      <c r="DH46" s="1749"/>
      <c r="DI46" s="1749"/>
      <c r="DJ46" s="1749"/>
      <c r="DK46" s="1749"/>
      <c r="DL46" s="1749"/>
      <c r="DM46" s="1749"/>
      <c r="DN46" s="1749"/>
      <c r="DO46" s="1749"/>
      <c r="DP46" s="1749"/>
      <c r="DQ46" s="1749"/>
      <c r="DR46" s="1749"/>
      <c r="DS46" s="1749"/>
      <c r="DT46" s="1749"/>
      <c r="DU46" s="1749"/>
      <c r="DV46" s="1749"/>
      <c r="DW46" s="1749"/>
      <c r="DX46" s="1749"/>
      <c r="DY46" s="1749"/>
      <c r="DZ46" s="1749"/>
      <c r="EA46" s="1749"/>
      <c r="EB46" s="1749"/>
      <c r="EC46" s="1749"/>
      <c r="ED46" s="1749"/>
      <c r="EE46" s="1749"/>
      <c r="EF46" s="1749"/>
      <c r="EG46" s="1749"/>
      <c r="EH46" s="1749"/>
      <c r="EI46" s="1749"/>
      <c r="EJ46" s="1749"/>
      <c r="EK46" s="1749"/>
      <c r="EL46" s="1749"/>
      <c r="EM46" s="1749"/>
      <c r="EN46" s="1749"/>
      <c r="EO46" s="1749"/>
      <c r="EP46" s="1749"/>
      <c r="EQ46" s="1749"/>
      <c r="ER46" s="1749"/>
      <c r="ES46" s="1749"/>
      <c r="ET46" s="1749"/>
      <c r="EU46" s="1749"/>
      <c r="EV46" s="1749"/>
      <c r="EW46" s="1749"/>
      <c r="EX46" s="1749"/>
      <c r="EY46" s="1749"/>
      <c r="EZ46" s="1749"/>
      <c r="FA46" s="1749"/>
      <c r="FB46" s="1749"/>
      <c r="FC46" s="1749"/>
      <c r="FD46" s="1749"/>
      <c r="FE46" s="1749"/>
      <c r="FF46" s="1749"/>
      <c r="FG46" s="1749"/>
      <c r="FH46" s="1749"/>
      <c r="FI46" s="1749"/>
      <c r="FJ46" s="1749"/>
      <c r="FK46" s="1749"/>
      <c r="FL46" s="1749"/>
      <c r="FM46" s="1749"/>
      <c r="FN46" s="1749"/>
      <c r="FO46" s="1749"/>
      <c r="FP46" s="1749"/>
      <c r="FQ46" s="1749"/>
      <c r="FR46" s="1749"/>
      <c r="FS46" s="1749"/>
      <c r="FT46" s="1749"/>
      <c r="FU46" s="1749"/>
      <c r="FV46" s="1749"/>
      <c r="FW46" s="1749"/>
      <c r="FX46" s="1749"/>
      <c r="FY46" s="1749"/>
      <c r="FZ46" s="1749"/>
      <c r="GA46" s="1749"/>
      <c r="GB46" s="1749"/>
      <c r="GC46" s="1749"/>
      <c r="GD46" s="1749"/>
      <c r="GE46" s="1749"/>
      <c r="GF46" s="1749"/>
      <c r="GG46" s="1749"/>
      <c r="GH46" s="1749"/>
      <c r="GI46" s="1749"/>
      <c r="GJ46" s="1749"/>
      <c r="GK46" s="1749"/>
      <c r="GL46" s="1749"/>
      <c r="GM46" s="1749"/>
      <c r="GN46" s="1749"/>
      <c r="GO46" s="1749"/>
      <c r="GP46" s="1749"/>
      <c r="GQ46" s="1749"/>
      <c r="GR46" s="1749"/>
      <c r="GS46" s="1749"/>
      <c r="GT46" s="1749"/>
      <c r="GU46" s="1749"/>
      <c r="GV46" s="1749"/>
      <c r="GW46" s="1749"/>
      <c r="GX46" s="1749"/>
      <c r="GY46" s="1749"/>
      <c r="GZ46" s="1749"/>
      <c r="HA46" s="1749"/>
      <c r="HB46" s="1749"/>
      <c r="HC46" s="1749"/>
      <c r="HD46" s="1749"/>
      <c r="HE46" s="1749"/>
      <c r="HF46" s="1749"/>
      <c r="HG46" s="1749"/>
      <c r="HH46" s="1749"/>
      <c r="HI46" s="1749"/>
      <c r="HJ46" s="1749"/>
      <c r="HK46" s="1749"/>
      <c r="HL46" s="1749"/>
      <c r="HM46" s="1749"/>
      <c r="HN46" s="1749"/>
      <c r="HO46" s="1749"/>
      <c r="HP46" s="1749"/>
      <c r="HQ46" s="1749"/>
      <c r="HR46" s="1749"/>
      <c r="HS46" s="1749"/>
      <c r="HT46" s="1749"/>
      <c r="HU46" s="1749"/>
      <c r="HV46" s="1749"/>
      <c r="HW46" s="1749"/>
      <c r="HX46" s="1749"/>
      <c r="HY46" s="1749"/>
      <c r="HZ46" s="1749"/>
      <c r="IA46" s="1749"/>
      <c r="IB46" s="1749"/>
      <c r="IC46" s="1749"/>
      <c r="ID46" s="1749"/>
      <c r="IE46" s="1749"/>
      <c r="IF46" s="1749"/>
      <c r="IG46" s="1749"/>
      <c r="IH46" s="1749"/>
      <c r="II46" s="1749"/>
      <c r="IJ46" s="1749"/>
      <c r="IK46" s="1749"/>
      <c r="IL46" s="1749"/>
      <c r="IM46" s="1749"/>
      <c r="IN46" s="1749"/>
    </row>
    <row r="47" spans="1:248">
      <c r="A47" s="1725" t="s">
        <v>194</v>
      </c>
      <c r="B47" s="1730"/>
      <c r="C47" s="1730"/>
      <c r="D47" s="1731" t="str">
        <f t="shared" si="0"/>
        <v> </v>
      </c>
      <c r="E47" s="1732">
        <f t="shared" si="1"/>
        <v>0</v>
      </c>
      <c r="F47" s="1733" t="str">
        <f t="shared" si="2"/>
        <v/>
      </c>
      <c r="G47" s="1734"/>
      <c r="H47" s="1737"/>
      <c r="I47" s="1737"/>
      <c r="J47" s="1759"/>
      <c r="K47" s="1749"/>
      <c r="L47" s="1749"/>
      <c r="M47" s="1749"/>
      <c r="N47" s="1749"/>
      <c r="O47" s="1749"/>
      <c r="P47" s="1749"/>
      <c r="Q47" s="1749"/>
      <c r="R47" s="1749"/>
      <c r="S47" s="1749"/>
      <c r="T47" s="1749"/>
      <c r="U47" s="1749"/>
      <c r="V47" s="1749"/>
      <c r="W47" s="1749"/>
      <c r="X47" s="1749"/>
      <c r="Y47" s="1749"/>
      <c r="Z47" s="1749"/>
      <c r="AA47" s="1749"/>
      <c r="AB47" s="1749"/>
      <c r="AC47" s="1749"/>
      <c r="AD47" s="1749"/>
      <c r="AE47" s="1749"/>
      <c r="AF47" s="1749"/>
      <c r="AG47" s="1749"/>
      <c r="AH47" s="1749"/>
      <c r="AI47" s="1749"/>
      <c r="AJ47" s="1749"/>
      <c r="AK47" s="1749"/>
      <c r="AL47" s="1749"/>
      <c r="AM47" s="1749"/>
      <c r="AN47" s="1749"/>
      <c r="AO47" s="1749"/>
      <c r="AP47" s="1749"/>
      <c r="AQ47" s="1749"/>
      <c r="AR47" s="1749"/>
      <c r="AS47" s="1749"/>
      <c r="AT47" s="1749"/>
      <c r="AU47" s="1749"/>
      <c r="AV47" s="1749"/>
      <c r="AW47" s="1749"/>
      <c r="AX47" s="1749"/>
      <c r="AY47" s="1749"/>
      <c r="AZ47" s="1749"/>
      <c r="BA47" s="1749"/>
      <c r="BB47" s="1749"/>
      <c r="BC47" s="1749"/>
      <c r="BD47" s="1749"/>
      <c r="BE47" s="1749"/>
      <c r="BF47" s="1749"/>
      <c r="BG47" s="1749"/>
      <c r="BH47" s="1749"/>
      <c r="BI47" s="1749"/>
      <c r="BJ47" s="1749"/>
      <c r="BK47" s="1749"/>
      <c r="BL47" s="1749"/>
      <c r="BM47" s="1749"/>
      <c r="BN47" s="1749"/>
      <c r="BO47" s="1749"/>
      <c r="BP47" s="1749"/>
      <c r="BQ47" s="1749"/>
      <c r="BR47" s="1749"/>
      <c r="BS47" s="1749"/>
      <c r="BT47" s="1749"/>
      <c r="BU47" s="1749"/>
      <c r="BV47" s="1749"/>
      <c r="BW47" s="1749"/>
      <c r="BX47" s="1749"/>
      <c r="BY47" s="1749"/>
      <c r="BZ47" s="1749"/>
      <c r="CA47" s="1749"/>
      <c r="CB47" s="1749"/>
      <c r="CC47" s="1749"/>
      <c r="CD47" s="1749"/>
      <c r="CE47" s="1749"/>
      <c r="CF47" s="1749"/>
      <c r="CG47" s="1749"/>
      <c r="CH47" s="1749"/>
      <c r="CI47" s="1749"/>
      <c r="CJ47" s="1749"/>
      <c r="CK47" s="1749"/>
      <c r="CL47" s="1749"/>
      <c r="CM47" s="1749"/>
      <c r="CN47" s="1749"/>
      <c r="CO47" s="1749"/>
      <c r="CP47" s="1749"/>
      <c r="CQ47" s="1749"/>
      <c r="CR47" s="1749"/>
      <c r="CS47" s="1749"/>
      <c r="CT47" s="1749"/>
      <c r="CU47" s="1749"/>
      <c r="CV47" s="1749"/>
      <c r="CW47" s="1749"/>
      <c r="CX47" s="1749"/>
      <c r="CY47" s="1749"/>
      <c r="CZ47" s="1749"/>
      <c r="DA47" s="1749"/>
      <c r="DB47" s="1749"/>
      <c r="DC47" s="1749"/>
      <c r="DD47" s="1749"/>
      <c r="DE47" s="1749"/>
      <c r="DF47" s="1749"/>
      <c r="DG47" s="1749"/>
      <c r="DH47" s="1749"/>
      <c r="DI47" s="1749"/>
      <c r="DJ47" s="1749"/>
      <c r="DK47" s="1749"/>
      <c r="DL47" s="1749"/>
      <c r="DM47" s="1749"/>
      <c r="DN47" s="1749"/>
      <c r="DO47" s="1749"/>
      <c r="DP47" s="1749"/>
      <c r="DQ47" s="1749"/>
      <c r="DR47" s="1749"/>
      <c r="DS47" s="1749"/>
      <c r="DT47" s="1749"/>
      <c r="DU47" s="1749"/>
      <c r="DV47" s="1749"/>
      <c r="DW47" s="1749"/>
      <c r="DX47" s="1749"/>
      <c r="DY47" s="1749"/>
      <c r="DZ47" s="1749"/>
      <c r="EA47" s="1749"/>
      <c r="EB47" s="1749"/>
      <c r="EC47" s="1749"/>
      <c r="ED47" s="1749"/>
      <c r="EE47" s="1749"/>
      <c r="EF47" s="1749"/>
      <c r="EG47" s="1749"/>
      <c r="EH47" s="1749"/>
      <c r="EI47" s="1749"/>
      <c r="EJ47" s="1749"/>
      <c r="EK47" s="1749"/>
      <c r="EL47" s="1749"/>
      <c r="EM47" s="1749"/>
      <c r="EN47" s="1749"/>
      <c r="EO47" s="1749"/>
      <c r="EP47" s="1749"/>
      <c r="EQ47" s="1749"/>
      <c r="ER47" s="1749"/>
      <c r="ES47" s="1749"/>
      <c r="ET47" s="1749"/>
      <c r="EU47" s="1749"/>
      <c r="EV47" s="1749"/>
      <c r="EW47" s="1749"/>
      <c r="EX47" s="1749"/>
      <c r="EY47" s="1749"/>
      <c r="EZ47" s="1749"/>
      <c r="FA47" s="1749"/>
      <c r="FB47" s="1749"/>
      <c r="FC47" s="1749"/>
      <c r="FD47" s="1749"/>
      <c r="FE47" s="1749"/>
      <c r="FF47" s="1749"/>
      <c r="FG47" s="1749"/>
      <c r="FH47" s="1749"/>
      <c r="FI47" s="1749"/>
      <c r="FJ47" s="1749"/>
      <c r="FK47" s="1749"/>
      <c r="FL47" s="1749"/>
      <c r="FM47" s="1749"/>
      <c r="FN47" s="1749"/>
      <c r="FO47" s="1749"/>
      <c r="FP47" s="1749"/>
      <c r="FQ47" s="1749"/>
      <c r="FR47" s="1749"/>
      <c r="FS47" s="1749"/>
      <c r="FT47" s="1749"/>
      <c r="FU47" s="1749"/>
      <c r="FV47" s="1749"/>
      <c r="FW47" s="1749"/>
      <c r="FX47" s="1749"/>
      <c r="FY47" s="1749"/>
      <c r="FZ47" s="1749"/>
      <c r="GA47" s="1749"/>
      <c r="GB47" s="1749"/>
      <c r="GC47" s="1749"/>
      <c r="GD47" s="1749"/>
      <c r="GE47" s="1749"/>
      <c r="GF47" s="1749"/>
      <c r="GG47" s="1749"/>
      <c r="GH47" s="1749"/>
      <c r="GI47" s="1749"/>
      <c r="GJ47" s="1749"/>
      <c r="GK47" s="1749"/>
      <c r="GL47" s="1749"/>
      <c r="GM47" s="1749"/>
      <c r="GN47" s="1749"/>
      <c r="GO47" s="1749"/>
      <c r="GP47" s="1749"/>
      <c r="GQ47" s="1749"/>
      <c r="GR47" s="1749"/>
      <c r="GS47" s="1749"/>
      <c r="GT47" s="1749"/>
      <c r="GU47" s="1749"/>
      <c r="GV47" s="1749"/>
      <c r="GW47" s="1749"/>
      <c r="GX47" s="1749"/>
      <c r="GY47" s="1749"/>
      <c r="GZ47" s="1749"/>
      <c r="HA47" s="1749"/>
      <c r="HB47" s="1749"/>
      <c r="HC47" s="1749"/>
      <c r="HD47" s="1749"/>
      <c r="HE47" s="1749"/>
      <c r="HF47" s="1749"/>
      <c r="HG47" s="1749"/>
      <c r="HH47" s="1749"/>
      <c r="HI47" s="1749"/>
      <c r="HJ47" s="1749"/>
      <c r="HK47" s="1749"/>
      <c r="HL47" s="1749"/>
      <c r="HM47" s="1749"/>
      <c r="HN47" s="1749"/>
      <c r="HO47" s="1749"/>
      <c r="HP47" s="1749"/>
      <c r="HQ47" s="1749"/>
      <c r="HR47" s="1749"/>
      <c r="HS47" s="1749"/>
      <c r="HT47" s="1749"/>
      <c r="HU47" s="1749"/>
      <c r="HV47" s="1749"/>
      <c r="HW47" s="1749"/>
      <c r="HX47" s="1749"/>
      <c r="HY47" s="1749"/>
      <c r="HZ47" s="1749"/>
      <c r="IA47" s="1749"/>
      <c r="IB47" s="1749"/>
      <c r="IC47" s="1749"/>
      <c r="ID47" s="1749"/>
      <c r="IE47" s="1749"/>
      <c r="IF47" s="1749"/>
      <c r="IG47" s="1749"/>
      <c r="IH47" s="1749"/>
      <c r="II47" s="1749"/>
      <c r="IJ47" s="1749"/>
      <c r="IK47" s="1749"/>
      <c r="IL47" s="1749"/>
      <c r="IM47" s="1749"/>
      <c r="IN47" s="1749"/>
    </row>
    <row r="48" spans="1:248">
      <c r="A48" s="1729" t="s">
        <v>196</v>
      </c>
      <c r="B48" s="1730">
        <f>审定资负表!G7</f>
        <v>0</v>
      </c>
      <c r="C48" s="1730">
        <f>审定资负表!H7</f>
        <v>0</v>
      </c>
      <c r="D48" s="1731" t="str">
        <f t="shared" si="0"/>
        <v> </v>
      </c>
      <c r="E48" s="1732">
        <f t="shared" si="1"/>
        <v>0</v>
      </c>
      <c r="F48" s="1733" t="str">
        <f t="shared" si="2"/>
        <v/>
      </c>
      <c r="G48" s="1734"/>
      <c r="H48" s="1735" t="str">
        <f>IF(报表附注!F1780=0,"相符","不相符")</f>
        <v>相符</v>
      </c>
      <c r="I48" s="1735" t="str">
        <f>IF(报表附注!G1780=0,"相符","不相符")</f>
        <v>相符</v>
      </c>
      <c r="J48" s="1748" t="s">
        <v>1475</v>
      </c>
      <c r="K48" s="1749"/>
      <c r="L48" s="1749"/>
      <c r="M48" s="1749"/>
      <c r="N48" s="1749"/>
      <c r="O48" s="1749"/>
      <c r="P48" s="1749"/>
      <c r="Q48" s="1749"/>
      <c r="R48" s="1749"/>
      <c r="S48" s="1749"/>
      <c r="T48" s="1749"/>
      <c r="U48" s="1749"/>
      <c r="V48" s="1749"/>
      <c r="W48" s="1749"/>
      <c r="X48" s="1749"/>
      <c r="Y48" s="1749"/>
      <c r="Z48" s="1749"/>
      <c r="AA48" s="1749"/>
      <c r="AB48" s="1749"/>
      <c r="AC48" s="1749"/>
      <c r="AD48" s="1749"/>
      <c r="AE48" s="1749"/>
      <c r="AF48" s="1749"/>
      <c r="AG48" s="1749"/>
      <c r="AH48" s="1749"/>
      <c r="AI48" s="1749"/>
      <c r="AJ48" s="1749"/>
      <c r="AK48" s="1749"/>
      <c r="AL48" s="1749"/>
      <c r="AM48" s="1749"/>
      <c r="AN48" s="1749"/>
      <c r="AO48" s="1749"/>
      <c r="AP48" s="1749"/>
      <c r="AQ48" s="1749"/>
      <c r="AR48" s="1749"/>
      <c r="AS48" s="1749"/>
      <c r="AT48" s="1749"/>
      <c r="AU48" s="1749"/>
      <c r="AV48" s="1749"/>
      <c r="AW48" s="1749"/>
      <c r="AX48" s="1749"/>
      <c r="AY48" s="1749"/>
      <c r="AZ48" s="1749"/>
      <c r="BA48" s="1749"/>
      <c r="BB48" s="1749"/>
      <c r="BC48" s="1749"/>
      <c r="BD48" s="1749"/>
      <c r="BE48" s="1749"/>
      <c r="BF48" s="1749"/>
      <c r="BG48" s="1749"/>
      <c r="BH48" s="1749"/>
      <c r="BI48" s="1749"/>
      <c r="BJ48" s="1749"/>
      <c r="BK48" s="1749"/>
      <c r="BL48" s="1749"/>
      <c r="BM48" s="1749"/>
      <c r="BN48" s="1749"/>
      <c r="BO48" s="1749"/>
      <c r="BP48" s="1749"/>
      <c r="BQ48" s="1749"/>
      <c r="BR48" s="1749"/>
      <c r="BS48" s="1749"/>
      <c r="BT48" s="1749"/>
      <c r="BU48" s="1749"/>
      <c r="BV48" s="1749"/>
      <c r="BW48" s="1749"/>
      <c r="BX48" s="1749"/>
      <c r="BY48" s="1749"/>
      <c r="BZ48" s="1749"/>
      <c r="CA48" s="1749"/>
      <c r="CB48" s="1749"/>
      <c r="CC48" s="1749"/>
      <c r="CD48" s="1749"/>
      <c r="CE48" s="1749"/>
      <c r="CF48" s="1749"/>
      <c r="CG48" s="1749"/>
      <c r="CH48" s="1749"/>
      <c r="CI48" s="1749"/>
      <c r="CJ48" s="1749"/>
      <c r="CK48" s="1749"/>
      <c r="CL48" s="1749"/>
      <c r="CM48" s="1749"/>
      <c r="CN48" s="1749"/>
      <c r="CO48" s="1749"/>
      <c r="CP48" s="1749"/>
      <c r="CQ48" s="1749"/>
      <c r="CR48" s="1749"/>
      <c r="CS48" s="1749"/>
      <c r="CT48" s="1749"/>
      <c r="CU48" s="1749"/>
      <c r="CV48" s="1749"/>
      <c r="CW48" s="1749"/>
      <c r="CX48" s="1749"/>
      <c r="CY48" s="1749"/>
      <c r="CZ48" s="1749"/>
      <c r="DA48" s="1749"/>
      <c r="DB48" s="1749"/>
      <c r="DC48" s="1749"/>
      <c r="DD48" s="1749"/>
      <c r="DE48" s="1749"/>
      <c r="DF48" s="1749"/>
      <c r="DG48" s="1749"/>
      <c r="DH48" s="1749"/>
      <c r="DI48" s="1749"/>
      <c r="DJ48" s="1749"/>
      <c r="DK48" s="1749"/>
      <c r="DL48" s="1749"/>
      <c r="DM48" s="1749"/>
      <c r="DN48" s="1749"/>
      <c r="DO48" s="1749"/>
      <c r="DP48" s="1749"/>
      <c r="DQ48" s="1749"/>
      <c r="DR48" s="1749"/>
      <c r="DS48" s="1749"/>
      <c r="DT48" s="1749"/>
      <c r="DU48" s="1749"/>
      <c r="DV48" s="1749"/>
      <c r="DW48" s="1749"/>
      <c r="DX48" s="1749"/>
      <c r="DY48" s="1749"/>
      <c r="DZ48" s="1749"/>
      <c r="EA48" s="1749"/>
      <c r="EB48" s="1749"/>
      <c r="EC48" s="1749"/>
      <c r="ED48" s="1749"/>
      <c r="EE48" s="1749"/>
      <c r="EF48" s="1749"/>
      <c r="EG48" s="1749"/>
      <c r="EH48" s="1749"/>
      <c r="EI48" s="1749"/>
      <c r="EJ48" s="1749"/>
      <c r="EK48" s="1749"/>
      <c r="EL48" s="1749"/>
      <c r="EM48" s="1749"/>
      <c r="EN48" s="1749"/>
      <c r="EO48" s="1749"/>
      <c r="EP48" s="1749"/>
      <c r="EQ48" s="1749"/>
      <c r="ER48" s="1749"/>
      <c r="ES48" s="1749"/>
      <c r="ET48" s="1749"/>
      <c r="EU48" s="1749"/>
      <c r="EV48" s="1749"/>
      <c r="EW48" s="1749"/>
      <c r="EX48" s="1749"/>
      <c r="EY48" s="1749"/>
      <c r="EZ48" s="1749"/>
      <c r="FA48" s="1749"/>
      <c r="FB48" s="1749"/>
      <c r="FC48" s="1749"/>
      <c r="FD48" s="1749"/>
      <c r="FE48" s="1749"/>
      <c r="FF48" s="1749"/>
      <c r="FG48" s="1749"/>
      <c r="FH48" s="1749"/>
      <c r="FI48" s="1749"/>
      <c r="FJ48" s="1749"/>
      <c r="FK48" s="1749"/>
      <c r="FL48" s="1749"/>
      <c r="FM48" s="1749"/>
      <c r="FN48" s="1749"/>
      <c r="FO48" s="1749"/>
      <c r="FP48" s="1749"/>
      <c r="FQ48" s="1749"/>
      <c r="FR48" s="1749"/>
      <c r="FS48" s="1749"/>
      <c r="FT48" s="1749"/>
      <c r="FU48" s="1749"/>
      <c r="FV48" s="1749"/>
      <c r="FW48" s="1749"/>
      <c r="FX48" s="1749"/>
      <c r="FY48" s="1749"/>
      <c r="FZ48" s="1749"/>
      <c r="GA48" s="1749"/>
      <c r="GB48" s="1749"/>
      <c r="GC48" s="1749"/>
      <c r="GD48" s="1749"/>
      <c r="GE48" s="1749"/>
      <c r="GF48" s="1749"/>
      <c r="GG48" s="1749"/>
      <c r="GH48" s="1749"/>
      <c r="GI48" s="1749"/>
      <c r="GJ48" s="1749"/>
      <c r="GK48" s="1749"/>
      <c r="GL48" s="1749"/>
      <c r="GM48" s="1749"/>
      <c r="GN48" s="1749"/>
      <c r="GO48" s="1749"/>
      <c r="GP48" s="1749"/>
      <c r="GQ48" s="1749"/>
      <c r="GR48" s="1749"/>
      <c r="GS48" s="1749"/>
      <c r="GT48" s="1749"/>
      <c r="GU48" s="1749"/>
      <c r="GV48" s="1749"/>
      <c r="GW48" s="1749"/>
      <c r="GX48" s="1749"/>
      <c r="GY48" s="1749"/>
      <c r="GZ48" s="1749"/>
      <c r="HA48" s="1749"/>
      <c r="HB48" s="1749"/>
      <c r="HC48" s="1749"/>
      <c r="HD48" s="1749"/>
      <c r="HE48" s="1749"/>
      <c r="HF48" s="1749"/>
      <c r="HG48" s="1749"/>
      <c r="HH48" s="1749"/>
      <c r="HI48" s="1749"/>
      <c r="HJ48" s="1749"/>
      <c r="HK48" s="1749"/>
      <c r="HL48" s="1749"/>
      <c r="HM48" s="1749"/>
      <c r="HN48" s="1749"/>
      <c r="HO48" s="1749"/>
      <c r="HP48" s="1749"/>
      <c r="HQ48" s="1749"/>
      <c r="HR48" s="1749"/>
      <c r="HS48" s="1749"/>
      <c r="HT48" s="1749"/>
      <c r="HU48" s="1749"/>
      <c r="HV48" s="1749"/>
      <c r="HW48" s="1749"/>
      <c r="HX48" s="1749"/>
      <c r="HY48" s="1749"/>
      <c r="HZ48" s="1749"/>
      <c r="IA48" s="1749"/>
      <c r="IB48" s="1749"/>
      <c r="IC48" s="1749"/>
      <c r="ID48" s="1749"/>
      <c r="IE48" s="1749"/>
      <c r="IF48" s="1749"/>
      <c r="IG48" s="1749"/>
      <c r="IH48" s="1749"/>
      <c r="II48" s="1749"/>
      <c r="IJ48" s="1749"/>
      <c r="IK48" s="1749"/>
      <c r="IL48" s="1749"/>
      <c r="IM48" s="1749"/>
      <c r="IN48" s="1749"/>
    </row>
    <row r="49" spans="1:248">
      <c r="A49" s="1729" t="s">
        <v>1397</v>
      </c>
      <c r="B49" s="1730">
        <f>审定资负表!G8</f>
        <v>0</v>
      </c>
      <c r="C49" s="1730">
        <f>审定资负表!H8</f>
        <v>0</v>
      </c>
      <c r="D49" s="1731" t="str">
        <f t="shared" si="0"/>
        <v> </v>
      </c>
      <c r="E49" s="1732">
        <f t="shared" si="1"/>
        <v>0</v>
      </c>
      <c r="F49" s="1733" t="str">
        <f t="shared" si="2"/>
        <v/>
      </c>
      <c r="G49" s="1734"/>
      <c r="H49" s="1735" t="str">
        <f>IF(报表附注!F1804=0,"相符","不相符")</f>
        <v>相符</v>
      </c>
      <c r="I49" s="1735" t="str">
        <f>IF(报表附注!G1804=0,"相符","不相符")</f>
        <v>相符</v>
      </c>
      <c r="J49" s="1748" t="s">
        <v>1477</v>
      </c>
      <c r="K49" s="1749"/>
      <c r="L49" s="1749"/>
      <c r="M49" s="1749"/>
      <c r="N49" s="1749"/>
      <c r="O49" s="1749"/>
      <c r="P49" s="1749"/>
      <c r="Q49" s="1749"/>
      <c r="R49" s="1749"/>
      <c r="S49" s="1749"/>
      <c r="T49" s="1749"/>
      <c r="U49" s="1749"/>
      <c r="V49" s="1749"/>
      <c r="W49" s="1749"/>
      <c r="X49" s="1749"/>
      <c r="Y49" s="1749"/>
      <c r="Z49" s="1749"/>
      <c r="AA49" s="1749"/>
      <c r="AB49" s="1749"/>
      <c r="AC49" s="1749"/>
      <c r="AD49" s="1749"/>
      <c r="AE49" s="1749"/>
      <c r="AF49" s="1749"/>
      <c r="AG49" s="1749"/>
      <c r="AH49" s="1749"/>
      <c r="AI49" s="1749"/>
      <c r="AJ49" s="1749"/>
      <c r="AK49" s="1749"/>
      <c r="AL49" s="1749"/>
      <c r="AM49" s="1749"/>
      <c r="AN49" s="1749"/>
      <c r="AO49" s="1749"/>
      <c r="AP49" s="1749"/>
      <c r="AQ49" s="1749"/>
      <c r="AR49" s="1749"/>
      <c r="AS49" s="1749"/>
      <c r="AT49" s="1749"/>
      <c r="AU49" s="1749"/>
      <c r="AV49" s="1749"/>
      <c r="AW49" s="1749"/>
      <c r="AX49" s="1749"/>
      <c r="AY49" s="1749"/>
      <c r="AZ49" s="1749"/>
      <c r="BA49" s="1749"/>
      <c r="BB49" s="1749"/>
      <c r="BC49" s="1749"/>
      <c r="BD49" s="1749"/>
      <c r="BE49" s="1749"/>
      <c r="BF49" s="1749"/>
      <c r="BG49" s="1749"/>
      <c r="BH49" s="1749"/>
      <c r="BI49" s="1749"/>
      <c r="BJ49" s="1749"/>
      <c r="BK49" s="1749"/>
      <c r="BL49" s="1749"/>
      <c r="BM49" s="1749"/>
      <c r="BN49" s="1749"/>
      <c r="BO49" s="1749"/>
      <c r="BP49" s="1749"/>
      <c r="BQ49" s="1749"/>
      <c r="BR49" s="1749"/>
      <c r="BS49" s="1749"/>
      <c r="BT49" s="1749"/>
      <c r="BU49" s="1749"/>
      <c r="BV49" s="1749"/>
      <c r="BW49" s="1749"/>
      <c r="BX49" s="1749"/>
      <c r="BY49" s="1749"/>
      <c r="BZ49" s="1749"/>
      <c r="CA49" s="1749"/>
      <c r="CB49" s="1749"/>
      <c r="CC49" s="1749"/>
      <c r="CD49" s="1749"/>
      <c r="CE49" s="1749"/>
      <c r="CF49" s="1749"/>
      <c r="CG49" s="1749"/>
      <c r="CH49" s="1749"/>
      <c r="CI49" s="1749"/>
      <c r="CJ49" s="1749"/>
      <c r="CK49" s="1749"/>
      <c r="CL49" s="1749"/>
      <c r="CM49" s="1749"/>
      <c r="CN49" s="1749"/>
      <c r="CO49" s="1749"/>
      <c r="CP49" s="1749"/>
      <c r="CQ49" s="1749"/>
      <c r="CR49" s="1749"/>
      <c r="CS49" s="1749"/>
      <c r="CT49" s="1749"/>
      <c r="CU49" s="1749"/>
      <c r="CV49" s="1749"/>
      <c r="CW49" s="1749"/>
      <c r="CX49" s="1749"/>
      <c r="CY49" s="1749"/>
      <c r="CZ49" s="1749"/>
      <c r="DA49" s="1749"/>
      <c r="DB49" s="1749"/>
      <c r="DC49" s="1749"/>
      <c r="DD49" s="1749"/>
      <c r="DE49" s="1749"/>
      <c r="DF49" s="1749"/>
      <c r="DG49" s="1749"/>
      <c r="DH49" s="1749"/>
      <c r="DI49" s="1749"/>
      <c r="DJ49" s="1749"/>
      <c r="DK49" s="1749"/>
      <c r="DL49" s="1749"/>
      <c r="DM49" s="1749"/>
      <c r="DN49" s="1749"/>
      <c r="DO49" s="1749"/>
      <c r="DP49" s="1749"/>
      <c r="DQ49" s="1749"/>
      <c r="DR49" s="1749"/>
      <c r="DS49" s="1749"/>
      <c r="DT49" s="1749"/>
      <c r="DU49" s="1749"/>
      <c r="DV49" s="1749"/>
      <c r="DW49" s="1749"/>
      <c r="DX49" s="1749"/>
      <c r="DY49" s="1749"/>
      <c r="DZ49" s="1749"/>
      <c r="EA49" s="1749"/>
      <c r="EB49" s="1749"/>
      <c r="EC49" s="1749"/>
      <c r="ED49" s="1749"/>
      <c r="EE49" s="1749"/>
      <c r="EF49" s="1749"/>
      <c r="EG49" s="1749"/>
      <c r="EH49" s="1749"/>
      <c r="EI49" s="1749"/>
      <c r="EJ49" s="1749"/>
      <c r="EK49" s="1749"/>
      <c r="EL49" s="1749"/>
      <c r="EM49" s="1749"/>
      <c r="EN49" s="1749"/>
      <c r="EO49" s="1749"/>
      <c r="EP49" s="1749"/>
      <c r="EQ49" s="1749"/>
      <c r="ER49" s="1749"/>
      <c r="ES49" s="1749"/>
      <c r="ET49" s="1749"/>
      <c r="EU49" s="1749"/>
      <c r="EV49" s="1749"/>
      <c r="EW49" s="1749"/>
      <c r="EX49" s="1749"/>
      <c r="EY49" s="1749"/>
      <c r="EZ49" s="1749"/>
      <c r="FA49" s="1749"/>
      <c r="FB49" s="1749"/>
      <c r="FC49" s="1749"/>
      <c r="FD49" s="1749"/>
      <c r="FE49" s="1749"/>
      <c r="FF49" s="1749"/>
      <c r="FG49" s="1749"/>
      <c r="FH49" s="1749"/>
      <c r="FI49" s="1749"/>
      <c r="FJ49" s="1749"/>
      <c r="FK49" s="1749"/>
      <c r="FL49" s="1749"/>
      <c r="FM49" s="1749"/>
      <c r="FN49" s="1749"/>
      <c r="FO49" s="1749"/>
      <c r="FP49" s="1749"/>
      <c r="FQ49" s="1749"/>
      <c r="FR49" s="1749"/>
      <c r="FS49" s="1749"/>
      <c r="FT49" s="1749"/>
      <c r="FU49" s="1749"/>
      <c r="FV49" s="1749"/>
      <c r="FW49" s="1749"/>
      <c r="FX49" s="1749"/>
      <c r="FY49" s="1749"/>
      <c r="FZ49" s="1749"/>
      <c r="GA49" s="1749"/>
      <c r="GB49" s="1749"/>
      <c r="GC49" s="1749"/>
      <c r="GD49" s="1749"/>
      <c r="GE49" s="1749"/>
      <c r="GF49" s="1749"/>
      <c r="GG49" s="1749"/>
      <c r="GH49" s="1749"/>
      <c r="GI49" s="1749"/>
      <c r="GJ49" s="1749"/>
      <c r="GK49" s="1749"/>
      <c r="GL49" s="1749"/>
      <c r="GM49" s="1749"/>
      <c r="GN49" s="1749"/>
      <c r="GO49" s="1749"/>
      <c r="GP49" s="1749"/>
      <c r="GQ49" s="1749"/>
      <c r="GR49" s="1749"/>
      <c r="GS49" s="1749"/>
      <c r="GT49" s="1749"/>
      <c r="GU49" s="1749"/>
      <c r="GV49" s="1749"/>
      <c r="GW49" s="1749"/>
      <c r="GX49" s="1749"/>
      <c r="GY49" s="1749"/>
      <c r="GZ49" s="1749"/>
      <c r="HA49" s="1749"/>
      <c r="HB49" s="1749"/>
      <c r="HC49" s="1749"/>
      <c r="HD49" s="1749"/>
      <c r="HE49" s="1749"/>
      <c r="HF49" s="1749"/>
      <c r="HG49" s="1749"/>
      <c r="HH49" s="1749"/>
      <c r="HI49" s="1749"/>
      <c r="HJ49" s="1749"/>
      <c r="HK49" s="1749"/>
      <c r="HL49" s="1749"/>
      <c r="HM49" s="1749"/>
      <c r="HN49" s="1749"/>
      <c r="HO49" s="1749"/>
      <c r="HP49" s="1749"/>
      <c r="HQ49" s="1749"/>
      <c r="HR49" s="1749"/>
      <c r="HS49" s="1749"/>
      <c r="HT49" s="1749"/>
      <c r="HU49" s="1749"/>
      <c r="HV49" s="1749"/>
      <c r="HW49" s="1749"/>
      <c r="HX49" s="1749"/>
      <c r="HY49" s="1749"/>
      <c r="HZ49" s="1749"/>
      <c r="IA49" s="1749"/>
      <c r="IB49" s="1749"/>
      <c r="IC49" s="1749"/>
      <c r="ID49" s="1749"/>
      <c r="IE49" s="1749"/>
      <c r="IF49" s="1749"/>
      <c r="IG49" s="1749"/>
      <c r="IH49" s="1749"/>
      <c r="II49" s="1749"/>
      <c r="IJ49" s="1749"/>
      <c r="IK49" s="1749"/>
      <c r="IL49" s="1749"/>
      <c r="IM49" s="1749"/>
      <c r="IN49" s="1749"/>
    </row>
    <row r="50" spans="1:248">
      <c r="A50" s="1729" t="s">
        <v>200</v>
      </c>
      <c r="B50" s="1730">
        <f>审定资负表!G9</f>
        <v>0</v>
      </c>
      <c r="C50" s="1730">
        <f>审定资负表!H9</f>
        <v>0</v>
      </c>
      <c r="D50" s="1731" t="str">
        <f t="shared" si="0"/>
        <v> </v>
      </c>
      <c r="E50" s="1732">
        <f t="shared" si="1"/>
        <v>0</v>
      </c>
      <c r="F50" s="1733" t="str">
        <f t="shared" si="2"/>
        <v/>
      </c>
      <c r="G50" s="1734"/>
      <c r="H50" s="1735" t="str">
        <f>IF(报表附注!F1818=0,"相符","不相符")</f>
        <v>相符</v>
      </c>
      <c r="I50" s="1735" t="str">
        <f>IF(报表附注!G1818=0,"相符","不相符")</f>
        <v>相符</v>
      </c>
      <c r="J50" s="1748" t="s">
        <v>1479</v>
      </c>
      <c r="K50" s="1749"/>
      <c r="L50" s="1749"/>
      <c r="M50" s="1749"/>
      <c r="N50" s="1749"/>
      <c r="O50" s="1749"/>
      <c r="P50" s="1749"/>
      <c r="Q50" s="1749"/>
      <c r="R50" s="1749"/>
      <c r="S50" s="1749"/>
      <c r="T50" s="1749"/>
      <c r="U50" s="1749"/>
      <c r="V50" s="1749"/>
      <c r="W50" s="1749"/>
      <c r="X50" s="1749"/>
      <c r="Y50" s="1749"/>
      <c r="Z50" s="1749"/>
      <c r="AA50" s="1749"/>
      <c r="AB50" s="1749"/>
      <c r="AC50" s="1749"/>
      <c r="AD50" s="1749"/>
      <c r="AE50" s="1749"/>
      <c r="AF50" s="1749"/>
      <c r="AG50" s="1749"/>
      <c r="AH50" s="1749"/>
      <c r="AI50" s="1749"/>
      <c r="AJ50" s="1749"/>
      <c r="AK50" s="1749"/>
      <c r="AL50" s="1749"/>
      <c r="AM50" s="1749"/>
      <c r="AN50" s="1749"/>
      <c r="AO50" s="1749"/>
      <c r="AP50" s="1749"/>
      <c r="AQ50" s="1749"/>
      <c r="AR50" s="1749"/>
      <c r="AS50" s="1749"/>
      <c r="AT50" s="1749"/>
      <c r="AU50" s="1749"/>
      <c r="AV50" s="1749"/>
      <c r="AW50" s="1749"/>
      <c r="AX50" s="1749"/>
      <c r="AY50" s="1749"/>
      <c r="AZ50" s="1749"/>
      <c r="BA50" s="1749"/>
      <c r="BB50" s="1749"/>
      <c r="BC50" s="1749"/>
      <c r="BD50" s="1749"/>
      <c r="BE50" s="1749"/>
      <c r="BF50" s="1749"/>
      <c r="BG50" s="1749"/>
      <c r="BH50" s="1749"/>
      <c r="BI50" s="1749"/>
      <c r="BJ50" s="1749"/>
      <c r="BK50" s="1749"/>
      <c r="BL50" s="1749"/>
      <c r="BM50" s="1749"/>
      <c r="BN50" s="1749"/>
      <c r="BO50" s="1749"/>
      <c r="BP50" s="1749"/>
      <c r="BQ50" s="1749"/>
      <c r="BR50" s="1749"/>
      <c r="BS50" s="1749"/>
      <c r="BT50" s="1749"/>
      <c r="BU50" s="1749"/>
      <c r="BV50" s="1749"/>
      <c r="BW50" s="1749"/>
      <c r="BX50" s="1749"/>
      <c r="BY50" s="1749"/>
      <c r="BZ50" s="1749"/>
      <c r="CA50" s="1749"/>
      <c r="CB50" s="1749"/>
      <c r="CC50" s="1749"/>
      <c r="CD50" s="1749"/>
      <c r="CE50" s="1749"/>
      <c r="CF50" s="1749"/>
      <c r="CG50" s="1749"/>
      <c r="CH50" s="1749"/>
      <c r="CI50" s="1749"/>
      <c r="CJ50" s="1749"/>
      <c r="CK50" s="1749"/>
      <c r="CL50" s="1749"/>
      <c r="CM50" s="1749"/>
      <c r="CN50" s="1749"/>
      <c r="CO50" s="1749"/>
      <c r="CP50" s="1749"/>
      <c r="CQ50" s="1749"/>
      <c r="CR50" s="1749"/>
      <c r="CS50" s="1749"/>
      <c r="CT50" s="1749"/>
      <c r="CU50" s="1749"/>
      <c r="CV50" s="1749"/>
      <c r="CW50" s="1749"/>
      <c r="CX50" s="1749"/>
      <c r="CY50" s="1749"/>
      <c r="CZ50" s="1749"/>
      <c r="DA50" s="1749"/>
      <c r="DB50" s="1749"/>
      <c r="DC50" s="1749"/>
      <c r="DD50" s="1749"/>
      <c r="DE50" s="1749"/>
      <c r="DF50" s="1749"/>
      <c r="DG50" s="1749"/>
      <c r="DH50" s="1749"/>
      <c r="DI50" s="1749"/>
      <c r="DJ50" s="1749"/>
      <c r="DK50" s="1749"/>
      <c r="DL50" s="1749"/>
      <c r="DM50" s="1749"/>
      <c r="DN50" s="1749"/>
      <c r="DO50" s="1749"/>
      <c r="DP50" s="1749"/>
      <c r="DQ50" s="1749"/>
      <c r="DR50" s="1749"/>
      <c r="DS50" s="1749"/>
      <c r="DT50" s="1749"/>
      <c r="DU50" s="1749"/>
      <c r="DV50" s="1749"/>
      <c r="DW50" s="1749"/>
      <c r="DX50" s="1749"/>
      <c r="DY50" s="1749"/>
      <c r="DZ50" s="1749"/>
      <c r="EA50" s="1749"/>
      <c r="EB50" s="1749"/>
      <c r="EC50" s="1749"/>
      <c r="ED50" s="1749"/>
      <c r="EE50" s="1749"/>
      <c r="EF50" s="1749"/>
      <c r="EG50" s="1749"/>
      <c r="EH50" s="1749"/>
      <c r="EI50" s="1749"/>
      <c r="EJ50" s="1749"/>
      <c r="EK50" s="1749"/>
      <c r="EL50" s="1749"/>
      <c r="EM50" s="1749"/>
      <c r="EN50" s="1749"/>
      <c r="EO50" s="1749"/>
      <c r="EP50" s="1749"/>
      <c r="EQ50" s="1749"/>
      <c r="ER50" s="1749"/>
      <c r="ES50" s="1749"/>
      <c r="ET50" s="1749"/>
      <c r="EU50" s="1749"/>
      <c r="EV50" s="1749"/>
      <c r="EW50" s="1749"/>
      <c r="EX50" s="1749"/>
      <c r="EY50" s="1749"/>
      <c r="EZ50" s="1749"/>
      <c r="FA50" s="1749"/>
      <c r="FB50" s="1749"/>
      <c r="FC50" s="1749"/>
      <c r="FD50" s="1749"/>
      <c r="FE50" s="1749"/>
      <c r="FF50" s="1749"/>
      <c r="FG50" s="1749"/>
      <c r="FH50" s="1749"/>
      <c r="FI50" s="1749"/>
      <c r="FJ50" s="1749"/>
      <c r="FK50" s="1749"/>
      <c r="FL50" s="1749"/>
      <c r="FM50" s="1749"/>
      <c r="FN50" s="1749"/>
      <c r="FO50" s="1749"/>
      <c r="FP50" s="1749"/>
      <c r="FQ50" s="1749"/>
      <c r="FR50" s="1749"/>
      <c r="FS50" s="1749"/>
      <c r="FT50" s="1749"/>
      <c r="FU50" s="1749"/>
      <c r="FV50" s="1749"/>
      <c r="FW50" s="1749"/>
      <c r="FX50" s="1749"/>
      <c r="FY50" s="1749"/>
      <c r="FZ50" s="1749"/>
      <c r="GA50" s="1749"/>
      <c r="GB50" s="1749"/>
      <c r="GC50" s="1749"/>
      <c r="GD50" s="1749"/>
      <c r="GE50" s="1749"/>
      <c r="GF50" s="1749"/>
      <c r="GG50" s="1749"/>
      <c r="GH50" s="1749"/>
      <c r="GI50" s="1749"/>
      <c r="GJ50" s="1749"/>
      <c r="GK50" s="1749"/>
      <c r="GL50" s="1749"/>
      <c r="GM50" s="1749"/>
      <c r="GN50" s="1749"/>
      <c r="GO50" s="1749"/>
      <c r="GP50" s="1749"/>
      <c r="GQ50" s="1749"/>
      <c r="GR50" s="1749"/>
      <c r="GS50" s="1749"/>
      <c r="GT50" s="1749"/>
      <c r="GU50" s="1749"/>
      <c r="GV50" s="1749"/>
      <c r="GW50" s="1749"/>
      <c r="GX50" s="1749"/>
      <c r="GY50" s="1749"/>
      <c r="GZ50" s="1749"/>
      <c r="HA50" s="1749"/>
      <c r="HB50" s="1749"/>
      <c r="HC50" s="1749"/>
      <c r="HD50" s="1749"/>
      <c r="HE50" s="1749"/>
      <c r="HF50" s="1749"/>
      <c r="HG50" s="1749"/>
      <c r="HH50" s="1749"/>
      <c r="HI50" s="1749"/>
      <c r="HJ50" s="1749"/>
      <c r="HK50" s="1749"/>
      <c r="HL50" s="1749"/>
      <c r="HM50" s="1749"/>
      <c r="HN50" s="1749"/>
      <c r="HO50" s="1749"/>
      <c r="HP50" s="1749"/>
      <c r="HQ50" s="1749"/>
      <c r="HR50" s="1749"/>
      <c r="HS50" s="1749"/>
      <c r="HT50" s="1749"/>
      <c r="HU50" s="1749"/>
      <c r="HV50" s="1749"/>
      <c r="HW50" s="1749"/>
      <c r="HX50" s="1749"/>
      <c r="HY50" s="1749"/>
      <c r="HZ50" s="1749"/>
      <c r="IA50" s="1749"/>
      <c r="IB50" s="1749"/>
      <c r="IC50" s="1749"/>
      <c r="ID50" s="1749"/>
      <c r="IE50" s="1749"/>
      <c r="IF50" s="1749"/>
      <c r="IG50" s="1749"/>
      <c r="IH50" s="1749"/>
      <c r="II50" s="1749"/>
      <c r="IJ50" s="1749"/>
      <c r="IK50" s="1749"/>
      <c r="IL50" s="1749"/>
      <c r="IM50" s="1749"/>
      <c r="IN50" s="1749"/>
    </row>
    <row r="51" spans="1:248">
      <c r="A51" s="1729" t="s">
        <v>202</v>
      </c>
      <c r="B51" s="1730">
        <f>审定资负表!G10</f>
        <v>0</v>
      </c>
      <c r="C51" s="1730">
        <f>审定资负表!H10</f>
        <v>0</v>
      </c>
      <c r="D51" s="1731" t="str">
        <f t="shared" si="0"/>
        <v> </v>
      </c>
      <c r="E51" s="1732">
        <f t="shared" si="1"/>
        <v>0</v>
      </c>
      <c r="F51" s="1733" t="str">
        <f t="shared" si="2"/>
        <v/>
      </c>
      <c r="G51" s="1734"/>
      <c r="H51" s="1735" t="str">
        <f>IF(报表附注!F1835=0,"相符","不相符")</f>
        <v>相符</v>
      </c>
      <c r="I51" s="1735" t="str">
        <f>IF(报表附注!G1835=0,"相符","不相符")</f>
        <v>相符</v>
      </c>
      <c r="J51" s="1748" t="s">
        <v>1481</v>
      </c>
      <c r="K51" s="1749"/>
      <c r="L51" s="1749"/>
      <c r="M51" s="1749"/>
      <c r="N51" s="1749"/>
      <c r="O51" s="1749"/>
      <c r="P51" s="1749"/>
      <c r="Q51" s="1749"/>
      <c r="R51" s="1749"/>
      <c r="S51" s="1749"/>
      <c r="T51" s="1749"/>
      <c r="U51" s="1749"/>
      <c r="V51" s="1749"/>
      <c r="W51" s="1749"/>
      <c r="X51" s="1749"/>
      <c r="Y51" s="1749"/>
      <c r="Z51" s="1749"/>
      <c r="AA51" s="1749"/>
      <c r="AB51" s="1749"/>
      <c r="AC51" s="1749"/>
      <c r="AD51" s="1749"/>
      <c r="AE51" s="1749"/>
      <c r="AF51" s="1749"/>
      <c r="AG51" s="1749"/>
      <c r="AH51" s="1749"/>
      <c r="AI51" s="1749"/>
      <c r="AJ51" s="1749"/>
      <c r="AK51" s="1749"/>
      <c r="AL51" s="1749"/>
      <c r="AM51" s="1749"/>
      <c r="AN51" s="1749"/>
      <c r="AO51" s="1749"/>
      <c r="AP51" s="1749"/>
      <c r="AQ51" s="1749"/>
      <c r="AR51" s="1749"/>
      <c r="AS51" s="1749"/>
      <c r="AT51" s="1749"/>
      <c r="AU51" s="1749"/>
      <c r="AV51" s="1749"/>
      <c r="AW51" s="1749"/>
      <c r="AX51" s="1749"/>
      <c r="AY51" s="1749"/>
      <c r="AZ51" s="1749"/>
      <c r="BA51" s="1749"/>
      <c r="BB51" s="1749"/>
      <c r="BC51" s="1749"/>
      <c r="BD51" s="1749"/>
      <c r="BE51" s="1749"/>
      <c r="BF51" s="1749"/>
      <c r="BG51" s="1749"/>
      <c r="BH51" s="1749"/>
      <c r="BI51" s="1749"/>
      <c r="BJ51" s="1749"/>
      <c r="BK51" s="1749"/>
      <c r="BL51" s="1749"/>
      <c r="BM51" s="1749"/>
      <c r="BN51" s="1749"/>
      <c r="BO51" s="1749"/>
      <c r="BP51" s="1749"/>
      <c r="BQ51" s="1749"/>
      <c r="BR51" s="1749"/>
      <c r="BS51" s="1749"/>
      <c r="BT51" s="1749"/>
      <c r="BU51" s="1749"/>
      <c r="BV51" s="1749"/>
      <c r="BW51" s="1749"/>
      <c r="BX51" s="1749"/>
      <c r="BY51" s="1749"/>
      <c r="BZ51" s="1749"/>
      <c r="CA51" s="1749"/>
      <c r="CB51" s="1749"/>
      <c r="CC51" s="1749"/>
      <c r="CD51" s="1749"/>
      <c r="CE51" s="1749"/>
      <c r="CF51" s="1749"/>
      <c r="CG51" s="1749"/>
      <c r="CH51" s="1749"/>
      <c r="CI51" s="1749"/>
      <c r="CJ51" s="1749"/>
      <c r="CK51" s="1749"/>
      <c r="CL51" s="1749"/>
      <c r="CM51" s="1749"/>
      <c r="CN51" s="1749"/>
      <c r="CO51" s="1749"/>
      <c r="CP51" s="1749"/>
      <c r="CQ51" s="1749"/>
      <c r="CR51" s="1749"/>
      <c r="CS51" s="1749"/>
      <c r="CT51" s="1749"/>
      <c r="CU51" s="1749"/>
      <c r="CV51" s="1749"/>
      <c r="CW51" s="1749"/>
      <c r="CX51" s="1749"/>
      <c r="CY51" s="1749"/>
      <c r="CZ51" s="1749"/>
      <c r="DA51" s="1749"/>
      <c r="DB51" s="1749"/>
      <c r="DC51" s="1749"/>
      <c r="DD51" s="1749"/>
      <c r="DE51" s="1749"/>
      <c r="DF51" s="1749"/>
      <c r="DG51" s="1749"/>
      <c r="DH51" s="1749"/>
      <c r="DI51" s="1749"/>
      <c r="DJ51" s="1749"/>
      <c r="DK51" s="1749"/>
      <c r="DL51" s="1749"/>
      <c r="DM51" s="1749"/>
      <c r="DN51" s="1749"/>
      <c r="DO51" s="1749"/>
      <c r="DP51" s="1749"/>
      <c r="DQ51" s="1749"/>
      <c r="DR51" s="1749"/>
      <c r="DS51" s="1749"/>
      <c r="DT51" s="1749"/>
      <c r="DU51" s="1749"/>
      <c r="DV51" s="1749"/>
      <c r="DW51" s="1749"/>
      <c r="DX51" s="1749"/>
      <c r="DY51" s="1749"/>
      <c r="DZ51" s="1749"/>
      <c r="EA51" s="1749"/>
      <c r="EB51" s="1749"/>
      <c r="EC51" s="1749"/>
      <c r="ED51" s="1749"/>
      <c r="EE51" s="1749"/>
      <c r="EF51" s="1749"/>
      <c r="EG51" s="1749"/>
      <c r="EH51" s="1749"/>
      <c r="EI51" s="1749"/>
      <c r="EJ51" s="1749"/>
      <c r="EK51" s="1749"/>
      <c r="EL51" s="1749"/>
      <c r="EM51" s="1749"/>
      <c r="EN51" s="1749"/>
      <c r="EO51" s="1749"/>
      <c r="EP51" s="1749"/>
      <c r="EQ51" s="1749"/>
      <c r="ER51" s="1749"/>
      <c r="ES51" s="1749"/>
      <c r="ET51" s="1749"/>
      <c r="EU51" s="1749"/>
      <c r="EV51" s="1749"/>
      <c r="EW51" s="1749"/>
      <c r="EX51" s="1749"/>
      <c r="EY51" s="1749"/>
      <c r="EZ51" s="1749"/>
      <c r="FA51" s="1749"/>
      <c r="FB51" s="1749"/>
      <c r="FC51" s="1749"/>
      <c r="FD51" s="1749"/>
      <c r="FE51" s="1749"/>
      <c r="FF51" s="1749"/>
      <c r="FG51" s="1749"/>
      <c r="FH51" s="1749"/>
      <c r="FI51" s="1749"/>
      <c r="FJ51" s="1749"/>
      <c r="FK51" s="1749"/>
      <c r="FL51" s="1749"/>
      <c r="FM51" s="1749"/>
      <c r="FN51" s="1749"/>
      <c r="FO51" s="1749"/>
      <c r="FP51" s="1749"/>
      <c r="FQ51" s="1749"/>
      <c r="FR51" s="1749"/>
      <c r="FS51" s="1749"/>
      <c r="FT51" s="1749"/>
      <c r="FU51" s="1749"/>
      <c r="FV51" s="1749"/>
      <c r="FW51" s="1749"/>
      <c r="FX51" s="1749"/>
      <c r="FY51" s="1749"/>
      <c r="FZ51" s="1749"/>
      <c r="GA51" s="1749"/>
      <c r="GB51" s="1749"/>
      <c r="GC51" s="1749"/>
      <c r="GD51" s="1749"/>
      <c r="GE51" s="1749"/>
      <c r="GF51" s="1749"/>
      <c r="GG51" s="1749"/>
      <c r="GH51" s="1749"/>
      <c r="GI51" s="1749"/>
      <c r="GJ51" s="1749"/>
      <c r="GK51" s="1749"/>
      <c r="GL51" s="1749"/>
      <c r="GM51" s="1749"/>
      <c r="GN51" s="1749"/>
      <c r="GO51" s="1749"/>
      <c r="GP51" s="1749"/>
      <c r="GQ51" s="1749"/>
      <c r="GR51" s="1749"/>
      <c r="GS51" s="1749"/>
      <c r="GT51" s="1749"/>
      <c r="GU51" s="1749"/>
      <c r="GV51" s="1749"/>
      <c r="GW51" s="1749"/>
      <c r="GX51" s="1749"/>
      <c r="GY51" s="1749"/>
      <c r="GZ51" s="1749"/>
      <c r="HA51" s="1749"/>
      <c r="HB51" s="1749"/>
      <c r="HC51" s="1749"/>
      <c r="HD51" s="1749"/>
      <c r="HE51" s="1749"/>
      <c r="HF51" s="1749"/>
      <c r="HG51" s="1749"/>
      <c r="HH51" s="1749"/>
      <c r="HI51" s="1749"/>
      <c r="HJ51" s="1749"/>
      <c r="HK51" s="1749"/>
      <c r="HL51" s="1749"/>
      <c r="HM51" s="1749"/>
      <c r="HN51" s="1749"/>
      <c r="HO51" s="1749"/>
      <c r="HP51" s="1749"/>
      <c r="HQ51" s="1749"/>
      <c r="HR51" s="1749"/>
      <c r="HS51" s="1749"/>
      <c r="HT51" s="1749"/>
      <c r="HU51" s="1749"/>
      <c r="HV51" s="1749"/>
      <c r="HW51" s="1749"/>
      <c r="HX51" s="1749"/>
      <c r="HY51" s="1749"/>
      <c r="HZ51" s="1749"/>
      <c r="IA51" s="1749"/>
      <c r="IB51" s="1749"/>
      <c r="IC51" s="1749"/>
      <c r="ID51" s="1749"/>
      <c r="IE51" s="1749"/>
      <c r="IF51" s="1749"/>
      <c r="IG51" s="1749"/>
      <c r="IH51" s="1749"/>
      <c r="II51" s="1749"/>
      <c r="IJ51" s="1749"/>
      <c r="IK51" s="1749"/>
      <c r="IL51" s="1749"/>
      <c r="IM51" s="1749"/>
      <c r="IN51" s="1749"/>
    </row>
    <row r="52" spans="1:248">
      <c r="A52" s="1729" t="s">
        <v>204</v>
      </c>
      <c r="B52" s="1730">
        <f>审定资负表!G11</f>
        <v>0</v>
      </c>
      <c r="C52" s="1730">
        <f>审定资负表!H11</f>
        <v>0</v>
      </c>
      <c r="D52" s="1731" t="str">
        <f t="shared" si="0"/>
        <v> </v>
      </c>
      <c r="E52" s="1732">
        <f t="shared" si="1"/>
        <v>0</v>
      </c>
      <c r="F52" s="1733" t="str">
        <f t="shared" si="2"/>
        <v/>
      </c>
      <c r="G52" s="1734"/>
      <c r="H52" s="1735" t="str">
        <f>IF(报表附注!F1899=0,"相符","不相符")</f>
        <v>相符</v>
      </c>
      <c r="I52" s="1735" t="str">
        <f>IF(报表附注!G1899=0,"相符","不相符")</f>
        <v>相符</v>
      </c>
      <c r="J52" s="1748" t="s">
        <v>1483</v>
      </c>
      <c r="K52" s="1749"/>
      <c r="L52" s="1749"/>
      <c r="M52" s="1749"/>
      <c r="N52" s="1749"/>
      <c r="O52" s="1749"/>
      <c r="P52" s="1749"/>
      <c r="Q52" s="1749"/>
      <c r="R52" s="1749"/>
      <c r="S52" s="1749"/>
      <c r="T52" s="1749"/>
      <c r="U52" s="1749"/>
      <c r="V52" s="1749"/>
      <c r="W52" s="1749"/>
      <c r="X52" s="1749"/>
      <c r="Y52" s="1749"/>
      <c r="Z52" s="1749"/>
      <c r="AA52" s="1749"/>
      <c r="AB52" s="1749"/>
      <c r="AC52" s="1749"/>
      <c r="AD52" s="1749"/>
      <c r="AE52" s="1749"/>
      <c r="AF52" s="1749"/>
      <c r="AG52" s="1749"/>
      <c r="AH52" s="1749"/>
      <c r="AI52" s="1749"/>
      <c r="AJ52" s="1749"/>
      <c r="AK52" s="1749"/>
      <c r="AL52" s="1749"/>
      <c r="AM52" s="1749"/>
      <c r="AN52" s="1749"/>
      <c r="AO52" s="1749"/>
      <c r="AP52" s="1749"/>
      <c r="AQ52" s="1749"/>
      <c r="AR52" s="1749"/>
      <c r="AS52" s="1749"/>
      <c r="AT52" s="1749"/>
      <c r="AU52" s="1749"/>
      <c r="AV52" s="1749"/>
      <c r="AW52" s="1749"/>
      <c r="AX52" s="1749"/>
      <c r="AY52" s="1749"/>
      <c r="AZ52" s="1749"/>
      <c r="BA52" s="1749"/>
      <c r="BB52" s="1749"/>
      <c r="BC52" s="1749"/>
      <c r="BD52" s="1749"/>
      <c r="BE52" s="1749"/>
      <c r="BF52" s="1749"/>
      <c r="BG52" s="1749"/>
      <c r="BH52" s="1749"/>
      <c r="BI52" s="1749"/>
      <c r="BJ52" s="1749"/>
      <c r="BK52" s="1749"/>
      <c r="BL52" s="1749"/>
      <c r="BM52" s="1749"/>
      <c r="BN52" s="1749"/>
      <c r="BO52" s="1749"/>
      <c r="BP52" s="1749"/>
      <c r="BQ52" s="1749"/>
      <c r="BR52" s="1749"/>
      <c r="BS52" s="1749"/>
      <c r="BT52" s="1749"/>
      <c r="BU52" s="1749"/>
      <c r="BV52" s="1749"/>
      <c r="BW52" s="1749"/>
      <c r="BX52" s="1749"/>
      <c r="BY52" s="1749"/>
      <c r="BZ52" s="1749"/>
      <c r="CA52" s="1749"/>
      <c r="CB52" s="1749"/>
      <c r="CC52" s="1749"/>
      <c r="CD52" s="1749"/>
      <c r="CE52" s="1749"/>
      <c r="CF52" s="1749"/>
      <c r="CG52" s="1749"/>
      <c r="CH52" s="1749"/>
      <c r="CI52" s="1749"/>
      <c r="CJ52" s="1749"/>
      <c r="CK52" s="1749"/>
      <c r="CL52" s="1749"/>
      <c r="CM52" s="1749"/>
      <c r="CN52" s="1749"/>
      <c r="CO52" s="1749"/>
      <c r="CP52" s="1749"/>
      <c r="CQ52" s="1749"/>
      <c r="CR52" s="1749"/>
      <c r="CS52" s="1749"/>
      <c r="CT52" s="1749"/>
      <c r="CU52" s="1749"/>
      <c r="CV52" s="1749"/>
      <c r="CW52" s="1749"/>
      <c r="CX52" s="1749"/>
      <c r="CY52" s="1749"/>
      <c r="CZ52" s="1749"/>
      <c r="DA52" s="1749"/>
      <c r="DB52" s="1749"/>
      <c r="DC52" s="1749"/>
      <c r="DD52" s="1749"/>
      <c r="DE52" s="1749"/>
      <c r="DF52" s="1749"/>
      <c r="DG52" s="1749"/>
      <c r="DH52" s="1749"/>
      <c r="DI52" s="1749"/>
      <c r="DJ52" s="1749"/>
      <c r="DK52" s="1749"/>
      <c r="DL52" s="1749"/>
      <c r="DM52" s="1749"/>
      <c r="DN52" s="1749"/>
      <c r="DO52" s="1749"/>
      <c r="DP52" s="1749"/>
      <c r="DQ52" s="1749"/>
      <c r="DR52" s="1749"/>
      <c r="DS52" s="1749"/>
      <c r="DT52" s="1749"/>
      <c r="DU52" s="1749"/>
      <c r="DV52" s="1749"/>
      <c r="DW52" s="1749"/>
      <c r="DX52" s="1749"/>
      <c r="DY52" s="1749"/>
      <c r="DZ52" s="1749"/>
      <c r="EA52" s="1749"/>
      <c r="EB52" s="1749"/>
      <c r="EC52" s="1749"/>
      <c r="ED52" s="1749"/>
      <c r="EE52" s="1749"/>
      <c r="EF52" s="1749"/>
      <c r="EG52" s="1749"/>
      <c r="EH52" s="1749"/>
      <c r="EI52" s="1749"/>
      <c r="EJ52" s="1749"/>
      <c r="EK52" s="1749"/>
      <c r="EL52" s="1749"/>
      <c r="EM52" s="1749"/>
      <c r="EN52" s="1749"/>
      <c r="EO52" s="1749"/>
      <c r="EP52" s="1749"/>
      <c r="EQ52" s="1749"/>
      <c r="ER52" s="1749"/>
      <c r="ES52" s="1749"/>
      <c r="ET52" s="1749"/>
      <c r="EU52" s="1749"/>
      <c r="EV52" s="1749"/>
      <c r="EW52" s="1749"/>
      <c r="EX52" s="1749"/>
      <c r="EY52" s="1749"/>
      <c r="EZ52" s="1749"/>
      <c r="FA52" s="1749"/>
      <c r="FB52" s="1749"/>
      <c r="FC52" s="1749"/>
      <c r="FD52" s="1749"/>
      <c r="FE52" s="1749"/>
      <c r="FF52" s="1749"/>
      <c r="FG52" s="1749"/>
      <c r="FH52" s="1749"/>
      <c r="FI52" s="1749"/>
      <c r="FJ52" s="1749"/>
      <c r="FK52" s="1749"/>
      <c r="FL52" s="1749"/>
      <c r="FM52" s="1749"/>
      <c r="FN52" s="1749"/>
      <c r="FO52" s="1749"/>
      <c r="FP52" s="1749"/>
      <c r="FQ52" s="1749"/>
      <c r="FR52" s="1749"/>
      <c r="FS52" s="1749"/>
      <c r="FT52" s="1749"/>
      <c r="FU52" s="1749"/>
      <c r="FV52" s="1749"/>
      <c r="FW52" s="1749"/>
      <c r="FX52" s="1749"/>
      <c r="FY52" s="1749"/>
      <c r="FZ52" s="1749"/>
      <c r="GA52" s="1749"/>
      <c r="GB52" s="1749"/>
      <c r="GC52" s="1749"/>
      <c r="GD52" s="1749"/>
      <c r="GE52" s="1749"/>
      <c r="GF52" s="1749"/>
      <c r="GG52" s="1749"/>
      <c r="GH52" s="1749"/>
      <c r="GI52" s="1749"/>
      <c r="GJ52" s="1749"/>
      <c r="GK52" s="1749"/>
      <c r="GL52" s="1749"/>
      <c r="GM52" s="1749"/>
      <c r="GN52" s="1749"/>
      <c r="GO52" s="1749"/>
      <c r="GP52" s="1749"/>
      <c r="GQ52" s="1749"/>
      <c r="GR52" s="1749"/>
      <c r="GS52" s="1749"/>
      <c r="GT52" s="1749"/>
      <c r="GU52" s="1749"/>
      <c r="GV52" s="1749"/>
      <c r="GW52" s="1749"/>
      <c r="GX52" s="1749"/>
      <c r="GY52" s="1749"/>
      <c r="GZ52" s="1749"/>
      <c r="HA52" s="1749"/>
      <c r="HB52" s="1749"/>
      <c r="HC52" s="1749"/>
      <c r="HD52" s="1749"/>
      <c r="HE52" s="1749"/>
      <c r="HF52" s="1749"/>
      <c r="HG52" s="1749"/>
      <c r="HH52" s="1749"/>
      <c r="HI52" s="1749"/>
      <c r="HJ52" s="1749"/>
      <c r="HK52" s="1749"/>
      <c r="HL52" s="1749"/>
      <c r="HM52" s="1749"/>
      <c r="HN52" s="1749"/>
      <c r="HO52" s="1749"/>
      <c r="HP52" s="1749"/>
      <c r="HQ52" s="1749"/>
      <c r="HR52" s="1749"/>
      <c r="HS52" s="1749"/>
      <c r="HT52" s="1749"/>
      <c r="HU52" s="1749"/>
      <c r="HV52" s="1749"/>
      <c r="HW52" s="1749"/>
      <c r="HX52" s="1749"/>
      <c r="HY52" s="1749"/>
      <c r="HZ52" s="1749"/>
      <c r="IA52" s="1749"/>
      <c r="IB52" s="1749"/>
      <c r="IC52" s="1749"/>
      <c r="ID52" s="1749"/>
      <c r="IE52" s="1749"/>
      <c r="IF52" s="1749"/>
      <c r="IG52" s="1749"/>
      <c r="IH52" s="1749"/>
      <c r="II52" s="1749"/>
      <c r="IJ52" s="1749"/>
      <c r="IK52" s="1749"/>
      <c r="IL52" s="1749"/>
      <c r="IM52" s="1749"/>
      <c r="IN52" s="1749"/>
    </row>
    <row r="53" spans="1:248">
      <c r="A53" s="1729" t="s">
        <v>206</v>
      </c>
      <c r="B53" s="1730">
        <f>审定资负表!G12</f>
        <v>0</v>
      </c>
      <c r="C53" s="1730">
        <f>审定资负表!H12</f>
        <v>0</v>
      </c>
      <c r="D53" s="1731" t="str">
        <f t="shared" si="0"/>
        <v> </v>
      </c>
      <c r="E53" s="1732">
        <f t="shared" si="1"/>
        <v>0</v>
      </c>
      <c r="F53" s="1733" t="str">
        <f t="shared" si="2"/>
        <v/>
      </c>
      <c r="G53" s="1734"/>
      <c r="H53" s="1735" t="str">
        <f>IF(报表附注!I1982=0,"相符","不相符")</f>
        <v>相符</v>
      </c>
      <c r="I53" s="1760" t="str">
        <f>IF(报表附注!F1982=0,"相符","不相符")</f>
        <v>相符</v>
      </c>
      <c r="J53" s="1748" t="s">
        <v>1485</v>
      </c>
      <c r="K53" s="1749"/>
      <c r="L53" s="1749"/>
      <c r="M53" s="1749"/>
      <c r="N53" s="1749"/>
      <c r="O53" s="1749"/>
      <c r="P53" s="1749"/>
      <c r="Q53" s="1749"/>
      <c r="R53" s="1749"/>
      <c r="S53" s="1749"/>
      <c r="T53" s="1749"/>
      <c r="U53" s="1749"/>
      <c r="V53" s="1749"/>
      <c r="W53" s="1749"/>
      <c r="X53" s="1749"/>
      <c r="Y53" s="1749"/>
      <c r="Z53" s="1749"/>
      <c r="AA53" s="1749"/>
      <c r="AB53" s="1749"/>
      <c r="AC53" s="1749"/>
      <c r="AD53" s="1749"/>
      <c r="AE53" s="1749"/>
      <c r="AF53" s="1749"/>
      <c r="AG53" s="1749"/>
      <c r="AH53" s="1749"/>
      <c r="AI53" s="1749"/>
      <c r="AJ53" s="1749"/>
      <c r="AK53" s="1749"/>
      <c r="AL53" s="1749"/>
      <c r="AM53" s="1749"/>
      <c r="AN53" s="1749"/>
      <c r="AO53" s="1749"/>
      <c r="AP53" s="1749"/>
      <c r="AQ53" s="1749"/>
      <c r="AR53" s="1749"/>
      <c r="AS53" s="1749"/>
      <c r="AT53" s="1749"/>
      <c r="AU53" s="1749"/>
      <c r="AV53" s="1749"/>
      <c r="AW53" s="1749"/>
      <c r="AX53" s="1749"/>
      <c r="AY53" s="1749"/>
      <c r="AZ53" s="1749"/>
      <c r="BA53" s="1749"/>
      <c r="BB53" s="1749"/>
      <c r="BC53" s="1749"/>
      <c r="BD53" s="1749"/>
      <c r="BE53" s="1749"/>
      <c r="BF53" s="1749"/>
      <c r="BG53" s="1749"/>
      <c r="BH53" s="1749"/>
      <c r="BI53" s="1749"/>
      <c r="BJ53" s="1749"/>
      <c r="BK53" s="1749"/>
      <c r="BL53" s="1749"/>
      <c r="BM53" s="1749"/>
      <c r="BN53" s="1749"/>
      <c r="BO53" s="1749"/>
      <c r="BP53" s="1749"/>
      <c r="BQ53" s="1749"/>
      <c r="BR53" s="1749"/>
      <c r="BS53" s="1749"/>
      <c r="BT53" s="1749"/>
      <c r="BU53" s="1749"/>
      <c r="BV53" s="1749"/>
      <c r="BW53" s="1749"/>
      <c r="BX53" s="1749"/>
      <c r="BY53" s="1749"/>
      <c r="BZ53" s="1749"/>
      <c r="CA53" s="1749"/>
      <c r="CB53" s="1749"/>
      <c r="CC53" s="1749"/>
      <c r="CD53" s="1749"/>
      <c r="CE53" s="1749"/>
      <c r="CF53" s="1749"/>
      <c r="CG53" s="1749"/>
      <c r="CH53" s="1749"/>
      <c r="CI53" s="1749"/>
      <c r="CJ53" s="1749"/>
      <c r="CK53" s="1749"/>
      <c r="CL53" s="1749"/>
      <c r="CM53" s="1749"/>
      <c r="CN53" s="1749"/>
      <c r="CO53" s="1749"/>
      <c r="CP53" s="1749"/>
      <c r="CQ53" s="1749"/>
      <c r="CR53" s="1749"/>
      <c r="CS53" s="1749"/>
      <c r="CT53" s="1749"/>
      <c r="CU53" s="1749"/>
      <c r="CV53" s="1749"/>
      <c r="CW53" s="1749"/>
      <c r="CX53" s="1749"/>
      <c r="CY53" s="1749"/>
      <c r="CZ53" s="1749"/>
      <c r="DA53" s="1749"/>
      <c r="DB53" s="1749"/>
      <c r="DC53" s="1749"/>
      <c r="DD53" s="1749"/>
      <c r="DE53" s="1749"/>
      <c r="DF53" s="1749"/>
      <c r="DG53" s="1749"/>
      <c r="DH53" s="1749"/>
      <c r="DI53" s="1749"/>
      <c r="DJ53" s="1749"/>
      <c r="DK53" s="1749"/>
      <c r="DL53" s="1749"/>
      <c r="DM53" s="1749"/>
      <c r="DN53" s="1749"/>
      <c r="DO53" s="1749"/>
      <c r="DP53" s="1749"/>
      <c r="DQ53" s="1749"/>
      <c r="DR53" s="1749"/>
      <c r="DS53" s="1749"/>
      <c r="DT53" s="1749"/>
      <c r="DU53" s="1749"/>
      <c r="DV53" s="1749"/>
      <c r="DW53" s="1749"/>
      <c r="DX53" s="1749"/>
      <c r="DY53" s="1749"/>
      <c r="DZ53" s="1749"/>
      <c r="EA53" s="1749"/>
      <c r="EB53" s="1749"/>
      <c r="EC53" s="1749"/>
      <c r="ED53" s="1749"/>
      <c r="EE53" s="1749"/>
      <c r="EF53" s="1749"/>
      <c r="EG53" s="1749"/>
      <c r="EH53" s="1749"/>
      <c r="EI53" s="1749"/>
      <c r="EJ53" s="1749"/>
      <c r="EK53" s="1749"/>
      <c r="EL53" s="1749"/>
      <c r="EM53" s="1749"/>
      <c r="EN53" s="1749"/>
      <c r="EO53" s="1749"/>
      <c r="EP53" s="1749"/>
      <c r="EQ53" s="1749"/>
      <c r="ER53" s="1749"/>
      <c r="ES53" s="1749"/>
      <c r="ET53" s="1749"/>
      <c r="EU53" s="1749"/>
      <c r="EV53" s="1749"/>
      <c r="EW53" s="1749"/>
      <c r="EX53" s="1749"/>
      <c r="EY53" s="1749"/>
      <c r="EZ53" s="1749"/>
      <c r="FA53" s="1749"/>
      <c r="FB53" s="1749"/>
      <c r="FC53" s="1749"/>
      <c r="FD53" s="1749"/>
      <c r="FE53" s="1749"/>
      <c r="FF53" s="1749"/>
      <c r="FG53" s="1749"/>
      <c r="FH53" s="1749"/>
      <c r="FI53" s="1749"/>
      <c r="FJ53" s="1749"/>
      <c r="FK53" s="1749"/>
      <c r="FL53" s="1749"/>
      <c r="FM53" s="1749"/>
      <c r="FN53" s="1749"/>
      <c r="FO53" s="1749"/>
      <c r="FP53" s="1749"/>
      <c r="FQ53" s="1749"/>
      <c r="FR53" s="1749"/>
      <c r="FS53" s="1749"/>
      <c r="FT53" s="1749"/>
      <c r="FU53" s="1749"/>
      <c r="FV53" s="1749"/>
      <c r="FW53" s="1749"/>
      <c r="FX53" s="1749"/>
      <c r="FY53" s="1749"/>
      <c r="FZ53" s="1749"/>
      <c r="GA53" s="1749"/>
      <c r="GB53" s="1749"/>
      <c r="GC53" s="1749"/>
      <c r="GD53" s="1749"/>
      <c r="GE53" s="1749"/>
      <c r="GF53" s="1749"/>
      <c r="GG53" s="1749"/>
      <c r="GH53" s="1749"/>
      <c r="GI53" s="1749"/>
      <c r="GJ53" s="1749"/>
      <c r="GK53" s="1749"/>
      <c r="GL53" s="1749"/>
      <c r="GM53" s="1749"/>
      <c r="GN53" s="1749"/>
      <c r="GO53" s="1749"/>
      <c r="GP53" s="1749"/>
      <c r="GQ53" s="1749"/>
      <c r="GR53" s="1749"/>
      <c r="GS53" s="1749"/>
      <c r="GT53" s="1749"/>
      <c r="GU53" s="1749"/>
      <c r="GV53" s="1749"/>
      <c r="GW53" s="1749"/>
      <c r="GX53" s="1749"/>
      <c r="GY53" s="1749"/>
      <c r="GZ53" s="1749"/>
      <c r="HA53" s="1749"/>
      <c r="HB53" s="1749"/>
      <c r="HC53" s="1749"/>
      <c r="HD53" s="1749"/>
      <c r="HE53" s="1749"/>
      <c r="HF53" s="1749"/>
      <c r="HG53" s="1749"/>
      <c r="HH53" s="1749"/>
      <c r="HI53" s="1749"/>
      <c r="HJ53" s="1749"/>
      <c r="HK53" s="1749"/>
      <c r="HL53" s="1749"/>
      <c r="HM53" s="1749"/>
      <c r="HN53" s="1749"/>
      <c r="HO53" s="1749"/>
      <c r="HP53" s="1749"/>
      <c r="HQ53" s="1749"/>
      <c r="HR53" s="1749"/>
      <c r="HS53" s="1749"/>
      <c r="HT53" s="1749"/>
      <c r="HU53" s="1749"/>
      <c r="HV53" s="1749"/>
      <c r="HW53" s="1749"/>
      <c r="HX53" s="1749"/>
      <c r="HY53" s="1749"/>
      <c r="HZ53" s="1749"/>
      <c r="IA53" s="1749"/>
      <c r="IB53" s="1749"/>
      <c r="IC53" s="1749"/>
      <c r="ID53" s="1749"/>
      <c r="IE53" s="1749"/>
      <c r="IF53" s="1749"/>
      <c r="IG53" s="1749"/>
      <c r="IH53" s="1749"/>
      <c r="II53" s="1749"/>
      <c r="IJ53" s="1749"/>
      <c r="IK53" s="1749"/>
      <c r="IL53" s="1749"/>
      <c r="IM53" s="1749"/>
      <c r="IN53" s="1749"/>
    </row>
    <row r="54" spans="1:248">
      <c r="A54" s="1729" t="s">
        <v>208</v>
      </c>
      <c r="B54" s="1730">
        <f>审定资负表!G13</f>
        <v>0</v>
      </c>
      <c r="C54" s="1730">
        <f>审定资负表!H13</f>
        <v>0</v>
      </c>
      <c r="D54" s="1731" t="str">
        <f t="shared" si="0"/>
        <v> </v>
      </c>
      <c r="E54" s="1732">
        <f t="shared" si="1"/>
        <v>0</v>
      </c>
      <c r="F54" s="1733" t="str">
        <f t="shared" si="2"/>
        <v/>
      </c>
      <c r="G54" s="1734"/>
      <c r="H54" s="1735" t="str">
        <f>IF(报表附注!I2019=0,"相符","不相符")</f>
        <v>相符</v>
      </c>
      <c r="I54" s="1760" t="str">
        <f>IF(报表附注!F2019=0,"相符","不相符")</f>
        <v>相符</v>
      </c>
      <c r="J54" s="1748" t="s">
        <v>1487</v>
      </c>
      <c r="K54" s="1749"/>
      <c r="L54" s="1749"/>
      <c r="M54" s="1749"/>
      <c r="N54" s="1749"/>
      <c r="O54" s="1749"/>
      <c r="P54" s="1749"/>
      <c r="Q54" s="1749"/>
      <c r="R54" s="1749"/>
      <c r="S54" s="1749"/>
      <c r="T54" s="1749"/>
      <c r="U54" s="1749"/>
      <c r="V54" s="1749"/>
      <c r="W54" s="1749"/>
      <c r="X54" s="1749"/>
      <c r="Y54" s="1749"/>
      <c r="Z54" s="1749"/>
      <c r="AA54" s="1749"/>
      <c r="AB54" s="1749"/>
      <c r="AC54" s="1749"/>
      <c r="AD54" s="1749"/>
      <c r="AE54" s="1749"/>
      <c r="AF54" s="1749"/>
      <c r="AG54" s="1749"/>
      <c r="AH54" s="1749"/>
      <c r="AI54" s="1749"/>
      <c r="AJ54" s="1749"/>
      <c r="AK54" s="1749"/>
      <c r="AL54" s="1749"/>
      <c r="AM54" s="1749"/>
      <c r="AN54" s="1749"/>
      <c r="AO54" s="1749"/>
      <c r="AP54" s="1749"/>
      <c r="AQ54" s="1749"/>
      <c r="AR54" s="1749"/>
      <c r="AS54" s="1749"/>
      <c r="AT54" s="1749"/>
      <c r="AU54" s="1749"/>
      <c r="AV54" s="1749"/>
      <c r="AW54" s="1749"/>
      <c r="AX54" s="1749"/>
      <c r="AY54" s="1749"/>
      <c r="AZ54" s="1749"/>
      <c r="BA54" s="1749"/>
      <c r="BB54" s="1749"/>
      <c r="BC54" s="1749"/>
      <c r="BD54" s="1749"/>
      <c r="BE54" s="1749"/>
      <c r="BF54" s="1749"/>
      <c r="BG54" s="1749"/>
      <c r="BH54" s="1749"/>
      <c r="BI54" s="1749"/>
      <c r="BJ54" s="1749"/>
      <c r="BK54" s="1749"/>
      <c r="BL54" s="1749"/>
      <c r="BM54" s="1749"/>
      <c r="BN54" s="1749"/>
      <c r="BO54" s="1749"/>
      <c r="BP54" s="1749"/>
      <c r="BQ54" s="1749"/>
      <c r="BR54" s="1749"/>
      <c r="BS54" s="1749"/>
      <c r="BT54" s="1749"/>
      <c r="BU54" s="1749"/>
      <c r="BV54" s="1749"/>
      <c r="BW54" s="1749"/>
      <c r="BX54" s="1749"/>
      <c r="BY54" s="1749"/>
      <c r="BZ54" s="1749"/>
      <c r="CA54" s="1749"/>
      <c r="CB54" s="1749"/>
      <c r="CC54" s="1749"/>
      <c r="CD54" s="1749"/>
      <c r="CE54" s="1749"/>
      <c r="CF54" s="1749"/>
      <c r="CG54" s="1749"/>
      <c r="CH54" s="1749"/>
      <c r="CI54" s="1749"/>
      <c r="CJ54" s="1749"/>
      <c r="CK54" s="1749"/>
      <c r="CL54" s="1749"/>
      <c r="CM54" s="1749"/>
      <c r="CN54" s="1749"/>
      <c r="CO54" s="1749"/>
      <c r="CP54" s="1749"/>
      <c r="CQ54" s="1749"/>
      <c r="CR54" s="1749"/>
      <c r="CS54" s="1749"/>
      <c r="CT54" s="1749"/>
      <c r="CU54" s="1749"/>
      <c r="CV54" s="1749"/>
      <c r="CW54" s="1749"/>
      <c r="CX54" s="1749"/>
      <c r="CY54" s="1749"/>
      <c r="CZ54" s="1749"/>
      <c r="DA54" s="1749"/>
      <c r="DB54" s="1749"/>
      <c r="DC54" s="1749"/>
      <c r="DD54" s="1749"/>
      <c r="DE54" s="1749"/>
      <c r="DF54" s="1749"/>
      <c r="DG54" s="1749"/>
      <c r="DH54" s="1749"/>
      <c r="DI54" s="1749"/>
      <c r="DJ54" s="1749"/>
      <c r="DK54" s="1749"/>
      <c r="DL54" s="1749"/>
      <c r="DM54" s="1749"/>
      <c r="DN54" s="1749"/>
      <c r="DO54" s="1749"/>
      <c r="DP54" s="1749"/>
      <c r="DQ54" s="1749"/>
      <c r="DR54" s="1749"/>
      <c r="DS54" s="1749"/>
      <c r="DT54" s="1749"/>
      <c r="DU54" s="1749"/>
      <c r="DV54" s="1749"/>
      <c r="DW54" s="1749"/>
      <c r="DX54" s="1749"/>
      <c r="DY54" s="1749"/>
      <c r="DZ54" s="1749"/>
      <c r="EA54" s="1749"/>
      <c r="EB54" s="1749"/>
      <c r="EC54" s="1749"/>
      <c r="ED54" s="1749"/>
      <c r="EE54" s="1749"/>
      <c r="EF54" s="1749"/>
      <c r="EG54" s="1749"/>
      <c r="EH54" s="1749"/>
      <c r="EI54" s="1749"/>
      <c r="EJ54" s="1749"/>
      <c r="EK54" s="1749"/>
      <c r="EL54" s="1749"/>
      <c r="EM54" s="1749"/>
      <c r="EN54" s="1749"/>
      <c r="EO54" s="1749"/>
      <c r="EP54" s="1749"/>
      <c r="EQ54" s="1749"/>
      <c r="ER54" s="1749"/>
      <c r="ES54" s="1749"/>
      <c r="ET54" s="1749"/>
      <c r="EU54" s="1749"/>
      <c r="EV54" s="1749"/>
      <c r="EW54" s="1749"/>
      <c r="EX54" s="1749"/>
      <c r="EY54" s="1749"/>
      <c r="EZ54" s="1749"/>
      <c r="FA54" s="1749"/>
      <c r="FB54" s="1749"/>
      <c r="FC54" s="1749"/>
      <c r="FD54" s="1749"/>
      <c r="FE54" s="1749"/>
      <c r="FF54" s="1749"/>
      <c r="FG54" s="1749"/>
      <c r="FH54" s="1749"/>
      <c r="FI54" s="1749"/>
      <c r="FJ54" s="1749"/>
      <c r="FK54" s="1749"/>
      <c r="FL54" s="1749"/>
      <c r="FM54" s="1749"/>
      <c r="FN54" s="1749"/>
      <c r="FO54" s="1749"/>
      <c r="FP54" s="1749"/>
      <c r="FQ54" s="1749"/>
      <c r="FR54" s="1749"/>
      <c r="FS54" s="1749"/>
      <c r="FT54" s="1749"/>
      <c r="FU54" s="1749"/>
      <c r="FV54" s="1749"/>
      <c r="FW54" s="1749"/>
      <c r="FX54" s="1749"/>
      <c r="FY54" s="1749"/>
      <c r="FZ54" s="1749"/>
      <c r="GA54" s="1749"/>
      <c r="GB54" s="1749"/>
      <c r="GC54" s="1749"/>
      <c r="GD54" s="1749"/>
      <c r="GE54" s="1749"/>
      <c r="GF54" s="1749"/>
      <c r="GG54" s="1749"/>
      <c r="GH54" s="1749"/>
      <c r="GI54" s="1749"/>
      <c r="GJ54" s="1749"/>
      <c r="GK54" s="1749"/>
      <c r="GL54" s="1749"/>
      <c r="GM54" s="1749"/>
      <c r="GN54" s="1749"/>
      <c r="GO54" s="1749"/>
      <c r="GP54" s="1749"/>
      <c r="GQ54" s="1749"/>
      <c r="GR54" s="1749"/>
      <c r="GS54" s="1749"/>
      <c r="GT54" s="1749"/>
      <c r="GU54" s="1749"/>
      <c r="GV54" s="1749"/>
      <c r="GW54" s="1749"/>
      <c r="GX54" s="1749"/>
      <c r="GY54" s="1749"/>
      <c r="GZ54" s="1749"/>
      <c r="HA54" s="1749"/>
      <c r="HB54" s="1749"/>
      <c r="HC54" s="1749"/>
      <c r="HD54" s="1749"/>
      <c r="HE54" s="1749"/>
      <c r="HF54" s="1749"/>
      <c r="HG54" s="1749"/>
      <c r="HH54" s="1749"/>
      <c r="HI54" s="1749"/>
      <c r="HJ54" s="1749"/>
      <c r="HK54" s="1749"/>
      <c r="HL54" s="1749"/>
      <c r="HM54" s="1749"/>
      <c r="HN54" s="1749"/>
      <c r="HO54" s="1749"/>
      <c r="HP54" s="1749"/>
      <c r="HQ54" s="1749"/>
      <c r="HR54" s="1749"/>
      <c r="HS54" s="1749"/>
      <c r="HT54" s="1749"/>
      <c r="HU54" s="1749"/>
      <c r="HV54" s="1749"/>
      <c r="HW54" s="1749"/>
      <c r="HX54" s="1749"/>
      <c r="HY54" s="1749"/>
      <c r="HZ54" s="1749"/>
      <c r="IA54" s="1749"/>
      <c r="IB54" s="1749"/>
      <c r="IC54" s="1749"/>
      <c r="ID54" s="1749"/>
      <c r="IE54" s="1749"/>
      <c r="IF54" s="1749"/>
      <c r="IG54" s="1749"/>
      <c r="IH54" s="1749"/>
      <c r="II54" s="1749"/>
      <c r="IJ54" s="1749"/>
      <c r="IK54" s="1749"/>
      <c r="IL54" s="1749"/>
      <c r="IM54" s="1749"/>
      <c r="IN54" s="1749"/>
    </row>
    <row r="55" spans="1:248">
      <c r="A55" s="1729" t="s">
        <v>210</v>
      </c>
      <c r="B55" s="1730">
        <f>审定资负表!G14</f>
        <v>0</v>
      </c>
      <c r="C55" s="1730">
        <f>审定资负表!H14</f>
        <v>0</v>
      </c>
      <c r="D55" s="1731" t="str">
        <f t="shared" si="0"/>
        <v> </v>
      </c>
      <c r="E55" s="1732">
        <f t="shared" si="1"/>
        <v>0</v>
      </c>
      <c r="F55" s="1733" t="str">
        <f t="shared" si="2"/>
        <v/>
      </c>
      <c r="G55" s="1734"/>
      <c r="H55" s="1735" t="str">
        <f>IF(报表附注!F2033=0,"相符","不相符")</f>
        <v>相符</v>
      </c>
      <c r="I55" s="1735" t="str">
        <f>IF(报表附注!G2033=0,"相符","不相符")</f>
        <v>相符</v>
      </c>
      <c r="J55" s="1748" t="s">
        <v>1489</v>
      </c>
      <c r="K55" s="1749"/>
      <c r="L55" s="1749"/>
      <c r="M55" s="1749"/>
      <c r="N55" s="1749"/>
      <c r="O55" s="1749"/>
      <c r="P55" s="1749"/>
      <c r="Q55" s="1749"/>
      <c r="R55" s="1749"/>
      <c r="S55" s="1749"/>
      <c r="T55" s="1749"/>
      <c r="U55" s="1749"/>
      <c r="V55" s="1749"/>
      <c r="W55" s="1749"/>
      <c r="X55" s="1749"/>
      <c r="Y55" s="1749"/>
      <c r="Z55" s="1749"/>
      <c r="AA55" s="1749"/>
      <c r="AB55" s="1749"/>
      <c r="AC55" s="1749"/>
      <c r="AD55" s="1749"/>
      <c r="AE55" s="1749"/>
      <c r="AF55" s="1749"/>
      <c r="AG55" s="1749"/>
      <c r="AH55" s="1749"/>
      <c r="AI55" s="1749"/>
      <c r="AJ55" s="1749"/>
      <c r="AK55" s="1749"/>
      <c r="AL55" s="1749"/>
      <c r="AM55" s="1749"/>
      <c r="AN55" s="1749"/>
      <c r="AO55" s="1749"/>
      <c r="AP55" s="1749"/>
      <c r="AQ55" s="1749"/>
      <c r="AR55" s="1749"/>
      <c r="AS55" s="1749"/>
      <c r="AT55" s="1749"/>
      <c r="AU55" s="1749"/>
      <c r="AV55" s="1749"/>
      <c r="AW55" s="1749"/>
      <c r="AX55" s="1749"/>
      <c r="AY55" s="1749"/>
      <c r="AZ55" s="1749"/>
      <c r="BA55" s="1749"/>
      <c r="BB55" s="1749"/>
      <c r="BC55" s="1749"/>
      <c r="BD55" s="1749"/>
      <c r="BE55" s="1749"/>
      <c r="BF55" s="1749"/>
      <c r="BG55" s="1749"/>
      <c r="BH55" s="1749"/>
      <c r="BI55" s="1749"/>
      <c r="BJ55" s="1749"/>
      <c r="BK55" s="1749"/>
      <c r="BL55" s="1749"/>
      <c r="BM55" s="1749"/>
      <c r="BN55" s="1749"/>
      <c r="BO55" s="1749"/>
      <c r="BP55" s="1749"/>
      <c r="BQ55" s="1749"/>
      <c r="BR55" s="1749"/>
      <c r="BS55" s="1749"/>
      <c r="BT55" s="1749"/>
      <c r="BU55" s="1749"/>
      <c r="BV55" s="1749"/>
      <c r="BW55" s="1749"/>
      <c r="BX55" s="1749"/>
      <c r="BY55" s="1749"/>
      <c r="BZ55" s="1749"/>
      <c r="CA55" s="1749"/>
      <c r="CB55" s="1749"/>
      <c r="CC55" s="1749"/>
      <c r="CD55" s="1749"/>
      <c r="CE55" s="1749"/>
      <c r="CF55" s="1749"/>
      <c r="CG55" s="1749"/>
      <c r="CH55" s="1749"/>
      <c r="CI55" s="1749"/>
      <c r="CJ55" s="1749"/>
      <c r="CK55" s="1749"/>
      <c r="CL55" s="1749"/>
      <c r="CM55" s="1749"/>
      <c r="CN55" s="1749"/>
      <c r="CO55" s="1749"/>
      <c r="CP55" s="1749"/>
      <c r="CQ55" s="1749"/>
      <c r="CR55" s="1749"/>
      <c r="CS55" s="1749"/>
      <c r="CT55" s="1749"/>
      <c r="CU55" s="1749"/>
      <c r="CV55" s="1749"/>
      <c r="CW55" s="1749"/>
      <c r="CX55" s="1749"/>
      <c r="CY55" s="1749"/>
      <c r="CZ55" s="1749"/>
      <c r="DA55" s="1749"/>
      <c r="DB55" s="1749"/>
      <c r="DC55" s="1749"/>
      <c r="DD55" s="1749"/>
      <c r="DE55" s="1749"/>
      <c r="DF55" s="1749"/>
      <c r="DG55" s="1749"/>
      <c r="DH55" s="1749"/>
      <c r="DI55" s="1749"/>
      <c r="DJ55" s="1749"/>
      <c r="DK55" s="1749"/>
      <c r="DL55" s="1749"/>
      <c r="DM55" s="1749"/>
      <c r="DN55" s="1749"/>
      <c r="DO55" s="1749"/>
      <c r="DP55" s="1749"/>
      <c r="DQ55" s="1749"/>
      <c r="DR55" s="1749"/>
      <c r="DS55" s="1749"/>
      <c r="DT55" s="1749"/>
      <c r="DU55" s="1749"/>
      <c r="DV55" s="1749"/>
      <c r="DW55" s="1749"/>
      <c r="DX55" s="1749"/>
      <c r="DY55" s="1749"/>
      <c r="DZ55" s="1749"/>
      <c r="EA55" s="1749"/>
      <c r="EB55" s="1749"/>
      <c r="EC55" s="1749"/>
      <c r="ED55" s="1749"/>
      <c r="EE55" s="1749"/>
      <c r="EF55" s="1749"/>
      <c r="EG55" s="1749"/>
      <c r="EH55" s="1749"/>
      <c r="EI55" s="1749"/>
      <c r="EJ55" s="1749"/>
      <c r="EK55" s="1749"/>
      <c r="EL55" s="1749"/>
      <c r="EM55" s="1749"/>
      <c r="EN55" s="1749"/>
      <c r="EO55" s="1749"/>
      <c r="EP55" s="1749"/>
      <c r="EQ55" s="1749"/>
      <c r="ER55" s="1749"/>
      <c r="ES55" s="1749"/>
      <c r="ET55" s="1749"/>
      <c r="EU55" s="1749"/>
      <c r="EV55" s="1749"/>
      <c r="EW55" s="1749"/>
      <c r="EX55" s="1749"/>
      <c r="EY55" s="1749"/>
      <c r="EZ55" s="1749"/>
      <c r="FA55" s="1749"/>
      <c r="FB55" s="1749"/>
      <c r="FC55" s="1749"/>
      <c r="FD55" s="1749"/>
      <c r="FE55" s="1749"/>
      <c r="FF55" s="1749"/>
      <c r="FG55" s="1749"/>
      <c r="FH55" s="1749"/>
      <c r="FI55" s="1749"/>
      <c r="FJ55" s="1749"/>
      <c r="FK55" s="1749"/>
      <c r="FL55" s="1749"/>
      <c r="FM55" s="1749"/>
      <c r="FN55" s="1749"/>
      <c r="FO55" s="1749"/>
      <c r="FP55" s="1749"/>
      <c r="FQ55" s="1749"/>
      <c r="FR55" s="1749"/>
      <c r="FS55" s="1749"/>
      <c r="FT55" s="1749"/>
      <c r="FU55" s="1749"/>
      <c r="FV55" s="1749"/>
      <c r="FW55" s="1749"/>
      <c r="FX55" s="1749"/>
      <c r="FY55" s="1749"/>
      <c r="FZ55" s="1749"/>
      <c r="GA55" s="1749"/>
      <c r="GB55" s="1749"/>
      <c r="GC55" s="1749"/>
      <c r="GD55" s="1749"/>
      <c r="GE55" s="1749"/>
      <c r="GF55" s="1749"/>
      <c r="GG55" s="1749"/>
      <c r="GH55" s="1749"/>
      <c r="GI55" s="1749"/>
      <c r="GJ55" s="1749"/>
      <c r="GK55" s="1749"/>
      <c r="GL55" s="1749"/>
      <c r="GM55" s="1749"/>
      <c r="GN55" s="1749"/>
      <c r="GO55" s="1749"/>
      <c r="GP55" s="1749"/>
      <c r="GQ55" s="1749"/>
      <c r="GR55" s="1749"/>
      <c r="GS55" s="1749"/>
      <c r="GT55" s="1749"/>
      <c r="GU55" s="1749"/>
      <c r="GV55" s="1749"/>
      <c r="GW55" s="1749"/>
      <c r="GX55" s="1749"/>
      <c r="GY55" s="1749"/>
      <c r="GZ55" s="1749"/>
      <c r="HA55" s="1749"/>
      <c r="HB55" s="1749"/>
      <c r="HC55" s="1749"/>
      <c r="HD55" s="1749"/>
      <c r="HE55" s="1749"/>
      <c r="HF55" s="1749"/>
      <c r="HG55" s="1749"/>
      <c r="HH55" s="1749"/>
      <c r="HI55" s="1749"/>
      <c r="HJ55" s="1749"/>
      <c r="HK55" s="1749"/>
      <c r="HL55" s="1749"/>
      <c r="HM55" s="1749"/>
      <c r="HN55" s="1749"/>
      <c r="HO55" s="1749"/>
      <c r="HP55" s="1749"/>
      <c r="HQ55" s="1749"/>
      <c r="HR55" s="1749"/>
      <c r="HS55" s="1749"/>
      <c r="HT55" s="1749"/>
      <c r="HU55" s="1749"/>
      <c r="HV55" s="1749"/>
      <c r="HW55" s="1749"/>
      <c r="HX55" s="1749"/>
      <c r="HY55" s="1749"/>
      <c r="HZ55" s="1749"/>
      <c r="IA55" s="1749"/>
      <c r="IB55" s="1749"/>
      <c r="IC55" s="1749"/>
      <c r="ID55" s="1749"/>
      <c r="IE55" s="1749"/>
      <c r="IF55" s="1749"/>
      <c r="IG55" s="1749"/>
      <c r="IH55" s="1749"/>
      <c r="II55" s="1749"/>
      <c r="IJ55" s="1749"/>
      <c r="IK55" s="1749"/>
      <c r="IL55" s="1749"/>
      <c r="IM55" s="1749"/>
      <c r="IN55" s="1749"/>
    </row>
    <row r="56" spans="1:248">
      <c r="A56" s="1729" t="s">
        <v>212</v>
      </c>
      <c r="B56" s="1730">
        <f>审定资负表!G15</f>
        <v>0</v>
      </c>
      <c r="C56" s="1730">
        <f>审定资负表!H15</f>
        <v>0</v>
      </c>
      <c r="D56" s="1731" t="str">
        <f t="shared" si="0"/>
        <v> </v>
      </c>
      <c r="E56" s="1732">
        <f t="shared" si="1"/>
        <v>0</v>
      </c>
      <c r="F56" s="1733" t="str">
        <f t="shared" si="2"/>
        <v/>
      </c>
      <c r="G56" s="1734"/>
      <c r="H56" s="1735" t="str">
        <f>IF(报表附注!F2059=0,"相符","不相符")</f>
        <v>相符</v>
      </c>
      <c r="I56" s="1735" t="str">
        <f>IF(报表附注!G2059=0,"相符","不相符")</f>
        <v>相符</v>
      </c>
      <c r="J56" s="1748" t="s">
        <v>1491</v>
      </c>
      <c r="K56" s="1749"/>
      <c r="L56" s="1749"/>
      <c r="M56" s="1749"/>
      <c r="N56" s="1749"/>
      <c r="O56" s="1749"/>
      <c r="P56" s="1749"/>
      <c r="Q56" s="1749"/>
      <c r="R56" s="1749"/>
      <c r="S56" s="1749"/>
      <c r="T56" s="1749"/>
      <c r="U56" s="1749"/>
      <c r="V56" s="1749"/>
      <c r="W56" s="1749"/>
      <c r="X56" s="1749"/>
      <c r="Y56" s="1749"/>
      <c r="Z56" s="1749"/>
      <c r="AA56" s="1749"/>
      <c r="AB56" s="1749"/>
      <c r="AC56" s="1749"/>
      <c r="AD56" s="1749"/>
      <c r="AE56" s="1749"/>
      <c r="AF56" s="1749"/>
      <c r="AG56" s="1749"/>
      <c r="AH56" s="1749"/>
      <c r="AI56" s="1749"/>
      <c r="AJ56" s="1749"/>
      <c r="AK56" s="1749"/>
      <c r="AL56" s="1749"/>
      <c r="AM56" s="1749"/>
      <c r="AN56" s="1749"/>
      <c r="AO56" s="1749"/>
      <c r="AP56" s="1749"/>
      <c r="AQ56" s="1749"/>
      <c r="AR56" s="1749"/>
      <c r="AS56" s="1749"/>
      <c r="AT56" s="1749"/>
      <c r="AU56" s="1749"/>
      <c r="AV56" s="1749"/>
      <c r="AW56" s="1749"/>
      <c r="AX56" s="1749"/>
      <c r="AY56" s="1749"/>
      <c r="AZ56" s="1749"/>
      <c r="BA56" s="1749"/>
      <c r="BB56" s="1749"/>
      <c r="BC56" s="1749"/>
      <c r="BD56" s="1749"/>
      <c r="BE56" s="1749"/>
      <c r="BF56" s="1749"/>
      <c r="BG56" s="1749"/>
      <c r="BH56" s="1749"/>
      <c r="BI56" s="1749"/>
      <c r="BJ56" s="1749"/>
      <c r="BK56" s="1749"/>
      <c r="BL56" s="1749"/>
      <c r="BM56" s="1749"/>
      <c r="BN56" s="1749"/>
      <c r="BO56" s="1749"/>
      <c r="BP56" s="1749"/>
      <c r="BQ56" s="1749"/>
      <c r="BR56" s="1749"/>
      <c r="BS56" s="1749"/>
      <c r="BT56" s="1749"/>
      <c r="BU56" s="1749"/>
      <c r="BV56" s="1749"/>
      <c r="BW56" s="1749"/>
      <c r="BX56" s="1749"/>
      <c r="BY56" s="1749"/>
      <c r="BZ56" s="1749"/>
      <c r="CA56" s="1749"/>
      <c r="CB56" s="1749"/>
      <c r="CC56" s="1749"/>
      <c r="CD56" s="1749"/>
      <c r="CE56" s="1749"/>
      <c r="CF56" s="1749"/>
      <c r="CG56" s="1749"/>
      <c r="CH56" s="1749"/>
      <c r="CI56" s="1749"/>
      <c r="CJ56" s="1749"/>
      <c r="CK56" s="1749"/>
      <c r="CL56" s="1749"/>
      <c r="CM56" s="1749"/>
      <c r="CN56" s="1749"/>
      <c r="CO56" s="1749"/>
      <c r="CP56" s="1749"/>
      <c r="CQ56" s="1749"/>
      <c r="CR56" s="1749"/>
      <c r="CS56" s="1749"/>
      <c r="CT56" s="1749"/>
      <c r="CU56" s="1749"/>
      <c r="CV56" s="1749"/>
      <c r="CW56" s="1749"/>
      <c r="CX56" s="1749"/>
      <c r="CY56" s="1749"/>
      <c r="CZ56" s="1749"/>
      <c r="DA56" s="1749"/>
      <c r="DB56" s="1749"/>
      <c r="DC56" s="1749"/>
      <c r="DD56" s="1749"/>
      <c r="DE56" s="1749"/>
      <c r="DF56" s="1749"/>
      <c r="DG56" s="1749"/>
      <c r="DH56" s="1749"/>
      <c r="DI56" s="1749"/>
      <c r="DJ56" s="1749"/>
      <c r="DK56" s="1749"/>
      <c r="DL56" s="1749"/>
      <c r="DM56" s="1749"/>
      <c r="DN56" s="1749"/>
      <c r="DO56" s="1749"/>
      <c r="DP56" s="1749"/>
      <c r="DQ56" s="1749"/>
      <c r="DR56" s="1749"/>
      <c r="DS56" s="1749"/>
      <c r="DT56" s="1749"/>
      <c r="DU56" s="1749"/>
      <c r="DV56" s="1749"/>
      <c r="DW56" s="1749"/>
      <c r="DX56" s="1749"/>
      <c r="DY56" s="1749"/>
      <c r="DZ56" s="1749"/>
      <c r="EA56" s="1749"/>
      <c r="EB56" s="1749"/>
      <c r="EC56" s="1749"/>
      <c r="ED56" s="1749"/>
      <c r="EE56" s="1749"/>
      <c r="EF56" s="1749"/>
      <c r="EG56" s="1749"/>
      <c r="EH56" s="1749"/>
      <c r="EI56" s="1749"/>
      <c r="EJ56" s="1749"/>
      <c r="EK56" s="1749"/>
      <c r="EL56" s="1749"/>
      <c r="EM56" s="1749"/>
      <c r="EN56" s="1749"/>
      <c r="EO56" s="1749"/>
      <c r="EP56" s="1749"/>
      <c r="EQ56" s="1749"/>
      <c r="ER56" s="1749"/>
      <c r="ES56" s="1749"/>
      <c r="ET56" s="1749"/>
      <c r="EU56" s="1749"/>
      <c r="EV56" s="1749"/>
      <c r="EW56" s="1749"/>
      <c r="EX56" s="1749"/>
      <c r="EY56" s="1749"/>
      <c r="EZ56" s="1749"/>
      <c r="FA56" s="1749"/>
      <c r="FB56" s="1749"/>
      <c r="FC56" s="1749"/>
      <c r="FD56" s="1749"/>
      <c r="FE56" s="1749"/>
      <c r="FF56" s="1749"/>
      <c r="FG56" s="1749"/>
      <c r="FH56" s="1749"/>
      <c r="FI56" s="1749"/>
      <c r="FJ56" s="1749"/>
      <c r="FK56" s="1749"/>
      <c r="FL56" s="1749"/>
      <c r="FM56" s="1749"/>
      <c r="FN56" s="1749"/>
      <c r="FO56" s="1749"/>
      <c r="FP56" s="1749"/>
      <c r="FQ56" s="1749"/>
      <c r="FR56" s="1749"/>
      <c r="FS56" s="1749"/>
      <c r="FT56" s="1749"/>
      <c r="FU56" s="1749"/>
      <c r="FV56" s="1749"/>
      <c r="FW56" s="1749"/>
      <c r="FX56" s="1749"/>
      <c r="FY56" s="1749"/>
      <c r="FZ56" s="1749"/>
      <c r="GA56" s="1749"/>
      <c r="GB56" s="1749"/>
      <c r="GC56" s="1749"/>
      <c r="GD56" s="1749"/>
      <c r="GE56" s="1749"/>
      <c r="GF56" s="1749"/>
      <c r="GG56" s="1749"/>
      <c r="GH56" s="1749"/>
      <c r="GI56" s="1749"/>
      <c r="GJ56" s="1749"/>
      <c r="GK56" s="1749"/>
      <c r="GL56" s="1749"/>
      <c r="GM56" s="1749"/>
      <c r="GN56" s="1749"/>
      <c r="GO56" s="1749"/>
      <c r="GP56" s="1749"/>
      <c r="GQ56" s="1749"/>
      <c r="GR56" s="1749"/>
      <c r="GS56" s="1749"/>
      <c r="GT56" s="1749"/>
      <c r="GU56" s="1749"/>
      <c r="GV56" s="1749"/>
      <c r="GW56" s="1749"/>
      <c r="GX56" s="1749"/>
      <c r="GY56" s="1749"/>
      <c r="GZ56" s="1749"/>
      <c r="HA56" s="1749"/>
      <c r="HB56" s="1749"/>
      <c r="HC56" s="1749"/>
      <c r="HD56" s="1749"/>
      <c r="HE56" s="1749"/>
      <c r="HF56" s="1749"/>
      <c r="HG56" s="1749"/>
      <c r="HH56" s="1749"/>
      <c r="HI56" s="1749"/>
      <c r="HJ56" s="1749"/>
      <c r="HK56" s="1749"/>
      <c r="HL56" s="1749"/>
      <c r="HM56" s="1749"/>
      <c r="HN56" s="1749"/>
      <c r="HO56" s="1749"/>
      <c r="HP56" s="1749"/>
      <c r="HQ56" s="1749"/>
      <c r="HR56" s="1749"/>
      <c r="HS56" s="1749"/>
      <c r="HT56" s="1749"/>
      <c r="HU56" s="1749"/>
      <c r="HV56" s="1749"/>
      <c r="HW56" s="1749"/>
      <c r="HX56" s="1749"/>
      <c r="HY56" s="1749"/>
      <c r="HZ56" s="1749"/>
      <c r="IA56" s="1749"/>
      <c r="IB56" s="1749"/>
      <c r="IC56" s="1749"/>
      <c r="ID56" s="1749"/>
      <c r="IE56" s="1749"/>
      <c r="IF56" s="1749"/>
      <c r="IG56" s="1749"/>
      <c r="IH56" s="1749"/>
      <c r="II56" s="1749"/>
      <c r="IJ56" s="1749"/>
      <c r="IK56" s="1749"/>
      <c r="IL56" s="1749"/>
      <c r="IM56" s="1749"/>
      <c r="IN56" s="1749"/>
    </row>
    <row r="57" spans="1:248">
      <c r="A57" s="1729" t="s">
        <v>214</v>
      </c>
      <c r="B57" s="1730">
        <f>审定资负表!G16</f>
        <v>0</v>
      </c>
      <c r="C57" s="1730">
        <f>审定资负表!H16</f>
        <v>0</v>
      </c>
      <c r="D57" s="1731" t="str">
        <f t="shared" si="0"/>
        <v> </v>
      </c>
      <c r="E57" s="1732">
        <f t="shared" si="1"/>
        <v>0</v>
      </c>
      <c r="F57" s="1733" t="str">
        <f t="shared" si="2"/>
        <v/>
      </c>
      <c r="G57" s="1734"/>
      <c r="H57" s="1735" t="str">
        <f>IF(报表附注!F2073=0,"相符","不相符")</f>
        <v>相符</v>
      </c>
      <c r="I57" s="1735" t="str">
        <f>IF(报表附注!G2073=0,"相符","不相符")</f>
        <v>相符</v>
      </c>
      <c r="J57" s="1748" t="s">
        <v>1493</v>
      </c>
      <c r="K57" s="1749"/>
      <c r="L57" s="1749"/>
      <c r="M57" s="1749"/>
      <c r="N57" s="1749"/>
      <c r="O57" s="1749"/>
      <c r="P57" s="1749"/>
      <c r="Q57" s="1749"/>
      <c r="R57" s="1749"/>
      <c r="S57" s="1749"/>
      <c r="T57" s="1749"/>
      <c r="U57" s="1749"/>
      <c r="V57" s="1749"/>
      <c r="W57" s="1749"/>
      <c r="X57" s="1749"/>
      <c r="Y57" s="1749"/>
      <c r="Z57" s="1749"/>
      <c r="AA57" s="1749"/>
      <c r="AB57" s="1749"/>
      <c r="AC57" s="1749"/>
      <c r="AD57" s="1749"/>
      <c r="AE57" s="1749"/>
      <c r="AF57" s="1749"/>
      <c r="AG57" s="1749"/>
      <c r="AH57" s="1749"/>
      <c r="AI57" s="1749"/>
      <c r="AJ57" s="1749"/>
      <c r="AK57" s="1749"/>
      <c r="AL57" s="1749"/>
      <c r="AM57" s="1749"/>
      <c r="AN57" s="1749"/>
      <c r="AO57" s="1749"/>
      <c r="AP57" s="1749"/>
      <c r="AQ57" s="1749"/>
      <c r="AR57" s="1749"/>
      <c r="AS57" s="1749"/>
      <c r="AT57" s="1749"/>
      <c r="AU57" s="1749"/>
      <c r="AV57" s="1749"/>
      <c r="AW57" s="1749"/>
      <c r="AX57" s="1749"/>
      <c r="AY57" s="1749"/>
      <c r="AZ57" s="1749"/>
      <c r="BA57" s="1749"/>
      <c r="BB57" s="1749"/>
      <c r="BC57" s="1749"/>
      <c r="BD57" s="1749"/>
      <c r="BE57" s="1749"/>
      <c r="BF57" s="1749"/>
      <c r="BG57" s="1749"/>
      <c r="BH57" s="1749"/>
      <c r="BI57" s="1749"/>
      <c r="BJ57" s="1749"/>
      <c r="BK57" s="1749"/>
      <c r="BL57" s="1749"/>
      <c r="BM57" s="1749"/>
      <c r="BN57" s="1749"/>
      <c r="BO57" s="1749"/>
      <c r="BP57" s="1749"/>
      <c r="BQ57" s="1749"/>
      <c r="BR57" s="1749"/>
      <c r="BS57" s="1749"/>
      <c r="BT57" s="1749"/>
      <c r="BU57" s="1749"/>
      <c r="BV57" s="1749"/>
      <c r="BW57" s="1749"/>
      <c r="BX57" s="1749"/>
      <c r="BY57" s="1749"/>
      <c r="BZ57" s="1749"/>
      <c r="CA57" s="1749"/>
      <c r="CB57" s="1749"/>
      <c r="CC57" s="1749"/>
      <c r="CD57" s="1749"/>
      <c r="CE57" s="1749"/>
      <c r="CF57" s="1749"/>
      <c r="CG57" s="1749"/>
      <c r="CH57" s="1749"/>
      <c r="CI57" s="1749"/>
      <c r="CJ57" s="1749"/>
      <c r="CK57" s="1749"/>
      <c r="CL57" s="1749"/>
      <c r="CM57" s="1749"/>
      <c r="CN57" s="1749"/>
      <c r="CO57" s="1749"/>
      <c r="CP57" s="1749"/>
      <c r="CQ57" s="1749"/>
      <c r="CR57" s="1749"/>
      <c r="CS57" s="1749"/>
      <c r="CT57" s="1749"/>
      <c r="CU57" s="1749"/>
      <c r="CV57" s="1749"/>
      <c r="CW57" s="1749"/>
      <c r="CX57" s="1749"/>
      <c r="CY57" s="1749"/>
      <c r="CZ57" s="1749"/>
      <c r="DA57" s="1749"/>
      <c r="DB57" s="1749"/>
      <c r="DC57" s="1749"/>
      <c r="DD57" s="1749"/>
      <c r="DE57" s="1749"/>
      <c r="DF57" s="1749"/>
      <c r="DG57" s="1749"/>
      <c r="DH57" s="1749"/>
      <c r="DI57" s="1749"/>
      <c r="DJ57" s="1749"/>
      <c r="DK57" s="1749"/>
      <c r="DL57" s="1749"/>
      <c r="DM57" s="1749"/>
      <c r="DN57" s="1749"/>
      <c r="DO57" s="1749"/>
      <c r="DP57" s="1749"/>
      <c r="DQ57" s="1749"/>
      <c r="DR57" s="1749"/>
      <c r="DS57" s="1749"/>
      <c r="DT57" s="1749"/>
      <c r="DU57" s="1749"/>
      <c r="DV57" s="1749"/>
      <c r="DW57" s="1749"/>
      <c r="DX57" s="1749"/>
      <c r="DY57" s="1749"/>
      <c r="DZ57" s="1749"/>
      <c r="EA57" s="1749"/>
      <c r="EB57" s="1749"/>
      <c r="EC57" s="1749"/>
      <c r="ED57" s="1749"/>
      <c r="EE57" s="1749"/>
      <c r="EF57" s="1749"/>
      <c r="EG57" s="1749"/>
      <c r="EH57" s="1749"/>
      <c r="EI57" s="1749"/>
      <c r="EJ57" s="1749"/>
      <c r="EK57" s="1749"/>
      <c r="EL57" s="1749"/>
      <c r="EM57" s="1749"/>
      <c r="EN57" s="1749"/>
      <c r="EO57" s="1749"/>
      <c r="EP57" s="1749"/>
      <c r="EQ57" s="1749"/>
      <c r="ER57" s="1749"/>
      <c r="ES57" s="1749"/>
      <c r="ET57" s="1749"/>
      <c r="EU57" s="1749"/>
      <c r="EV57" s="1749"/>
      <c r="EW57" s="1749"/>
      <c r="EX57" s="1749"/>
      <c r="EY57" s="1749"/>
      <c r="EZ57" s="1749"/>
      <c r="FA57" s="1749"/>
      <c r="FB57" s="1749"/>
      <c r="FC57" s="1749"/>
      <c r="FD57" s="1749"/>
      <c r="FE57" s="1749"/>
      <c r="FF57" s="1749"/>
      <c r="FG57" s="1749"/>
      <c r="FH57" s="1749"/>
      <c r="FI57" s="1749"/>
      <c r="FJ57" s="1749"/>
      <c r="FK57" s="1749"/>
      <c r="FL57" s="1749"/>
      <c r="FM57" s="1749"/>
      <c r="FN57" s="1749"/>
      <c r="FO57" s="1749"/>
      <c r="FP57" s="1749"/>
      <c r="FQ57" s="1749"/>
      <c r="FR57" s="1749"/>
      <c r="FS57" s="1749"/>
      <c r="FT57" s="1749"/>
      <c r="FU57" s="1749"/>
      <c r="FV57" s="1749"/>
      <c r="FW57" s="1749"/>
      <c r="FX57" s="1749"/>
      <c r="FY57" s="1749"/>
      <c r="FZ57" s="1749"/>
      <c r="GA57" s="1749"/>
      <c r="GB57" s="1749"/>
      <c r="GC57" s="1749"/>
      <c r="GD57" s="1749"/>
      <c r="GE57" s="1749"/>
      <c r="GF57" s="1749"/>
      <c r="GG57" s="1749"/>
      <c r="GH57" s="1749"/>
      <c r="GI57" s="1749"/>
      <c r="GJ57" s="1749"/>
      <c r="GK57" s="1749"/>
      <c r="GL57" s="1749"/>
      <c r="GM57" s="1749"/>
      <c r="GN57" s="1749"/>
      <c r="GO57" s="1749"/>
      <c r="GP57" s="1749"/>
      <c r="GQ57" s="1749"/>
      <c r="GR57" s="1749"/>
      <c r="GS57" s="1749"/>
      <c r="GT57" s="1749"/>
      <c r="GU57" s="1749"/>
      <c r="GV57" s="1749"/>
      <c r="GW57" s="1749"/>
      <c r="GX57" s="1749"/>
      <c r="GY57" s="1749"/>
      <c r="GZ57" s="1749"/>
      <c r="HA57" s="1749"/>
      <c r="HB57" s="1749"/>
      <c r="HC57" s="1749"/>
      <c r="HD57" s="1749"/>
      <c r="HE57" s="1749"/>
      <c r="HF57" s="1749"/>
      <c r="HG57" s="1749"/>
      <c r="HH57" s="1749"/>
      <c r="HI57" s="1749"/>
      <c r="HJ57" s="1749"/>
      <c r="HK57" s="1749"/>
      <c r="HL57" s="1749"/>
      <c r="HM57" s="1749"/>
      <c r="HN57" s="1749"/>
      <c r="HO57" s="1749"/>
      <c r="HP57" s="1749"/>
      <c r="HQ57" s="1749"/>
      <c r="HR57" s="1749"/>
      <c r="HS57" s="1749"/>
      <c r="HT57" s="1749"/>
      <c r="HU57" s="1749"/>
      <c r="HV57" s="1749"/>
      <c r="HW57" s="1749"/>
      <c r="HX57" s="1749"/>
      <c r="HY57" s="1749"/>
      <c r="HZ57" s="1749"/>
      <c r="IA57" s="1749"/>
      <c r="IB57" s="1749"/>
      <c r="IC57" s="1749"/>
      <c r="ID57" s="1749"/>
      <c r="IE57" s="1749"/>
      <c r="IF57" s="1749"/>
      <c r="IG57" s="1749"/>
      <c r="IH57" s="1749"/>
      <c r="II57" s="1749"/>
      <c r="IJ57" s="1749"/>
      <c r="IK57" s="1749"/>
      <c r="IL57" s="1749"/>
      <c r="IM57" s="1749"/>
      <c r="IN57" s="1749"/>
    </row>
    <row r="58" spans="1:248">
      <c r="A58" s="1729" t="s">
        <v>216</v>
      </c>
      <c r="B58" s="1730">
        <f>审定资负表!G17</f>
        <v>6935621.62</v>
      </c>
      <c r="C58" s="1730">
        <f>审定资负表!H17</f>
        <v>0</v>
      </c>
      <c r="D58" s="1731">
        <f t="shared" si="0"/>
        <v>0.122856448988557</v>
      </c>
      <c r="E58" s="1732">
        <f t="shared" si="1"/>
        <v>6935621.62</v>
      </c>
      <c r="F58" s="1733">
        <f t="shared" si="2"/>
        <v>1</v>
      </c>
      <c r="G58" s="1734"/>
      <c r="H58" s="1735" t="str">
        <f>IF(报表附注!F2182=0,"相符","不相符")</f>
        <v>相符</v>
      </c>
      <c r="I58" s="1735" t="str">
        <f>IF(报表附注!G2182=0,"相符","不相符")</f>
        <v>相符</v>
      </c>
      <c r="J58" s="1748" t="s">
        <v>1495</v>
      </c>
      <c r="K58" s="1749"/>
      <c r="L58" s="1749"/>
      <c r="M58" s="1749"/>
      <c r="N58" s="1749"/>
      <c r="O58" s="1749"/>
      <c r="P58" s="1749"/>
      <c r="Q58" s="1749"/>
      <c r="R58" s="1749"/>
      <c r="S58" s="1749"/>
      <c r="T58" s="1749"/>
      <c r="U58" s="1749"/>
      <c r="V58" s="1749"/>
      <c r="W58" s="1749"/>
      <c r="X58" s="1749"/>
      <c r="Y58" s="1749"/>
      <c r="Z58" s="1749"/>
      <c r="AA58" s="1749"/>
      <c r="AB58" s="1749"/>
      <c r="AC58" s="1749"/>
      <c r="AD58" s="1749"/>
      <c r="AE58" s="1749"/>
      <c r="AF58" s="1749"/>
      <c r="AG58" s="1749"/>
      <c r="AH58" s="1749"/>
      <c r="AI58" s="1749"/>
      <c r="AJ58" s="1749"/>
      <c r="AK58" s="1749"/>
      <c r="AL58" s="1749"/>
      <c r="AM58" s="1749"/>
      <c r="AN58" s="1749"/>
      <c r="AO58" s="1749"/>
      <c r="AP58" s="1749"/>
      <c r="AQ58" s="1749"/>
      <c r="AR58" s="1749"/>
      <c r="AS58" s="1749"/>
      <c r="AT58" s="1749"/>
      <c r="AU58" s="1749"/>
      <c r="AV58" s="1749"/>
      <c r="AW58" s="1749"/>
      <c r="AX58" s="1749"/>
      <c r="AY58" s="1749"/>
      <c r="AZ58" s="1749"/>
      <c r="BA58" s="1749"/>
      <c r="BB58" s="1749"/>
      <c r="BC58" s="1749"/>
      <c r="BD58" s="1749"/>
      <c r="BE58" s="1749"/>
      <c r="BF58" s="1749"/>
      <c r="BG58" s="1749"/>
      <c r="BH58" s="1749"/>
      <c r="BI58" s="1749"/>
      <c r="BJ58" s="1749"/>
      <c r="BK58" s="1749"/>
      <c r="BL58" s="1749"/>
      <c r="BM58" s="1749"/>
      <c r="BN58" s="1749"/>
      <c r="BO58" s="1749"/>
      <c r="BP58" s="1749"/>
      <c r="BQ58" s="1749"/>
      <c r="BR58" s="1749"/>
      <c r="BS58" s="1749"/>
      <c r="BT58" s="1749"/>
      <c r="BU58" s="1749"/>
      <c r="BV58" s="1749"/>
      <c r="BW58" s="1749"/>
      <c r="BX58" s="1749"/>
      <c r="BY58" s="1749"/>
      <c r="BZ58" s="1749"/>
      <c r="CA58" s="1749"/>
      <c r="CB58" s="1749"/>
      <c r="CC58" s="1749"/>
      <c r="CD58" s="1749"/>
      <c r="CE58" s="1749"/>
      <c r="CF58" s="1749"/>
      <c r="CG58" s="1749"/>
      <c r="CH58" s="1749"/>
      <c r="CI58" s="1749"/>
      <c r="CJ58" s="1749"/>
      <c r="CK58" s="1749"/>
      <c r="CL58" s="1749"/>
      <c r="CM58" s="1749"/>
      <c r="CN58" s="1749"/>
      <c r="CO58" s="1749"/>
      <c r="CP58" s="1749"/>
      <c r="CQ58" s="1749"/>
      <c r="CR58" s="1749"/>
      <c r="CS58" s="1749"/>
      <c r="CT58" s="1749"/>
      <c r="CU58" s="1749"/>
      <c r="CV58" s="1749"/>
      <c r="CW58" s="1749"/>
      <c r="CX58" s="1749"/>
      <c r="CY58" s="1749"/>
      <c r="CZ58" s="1749"/>
      <c r="DA58" s="1749"/>
      <c r="DB58" s="1749"/>
      <c r="DC58" s="1749"/>
      <c r="DD58" s="1749"/>
      <c r="DE58" s="1749"/>
      <c r="DF58" s="1749"/>
      <c r="DG58" s="1749"/>
      <c r="DH58" s="1749"/>
      <c r="DI58" s="1749"/>
      <c r="DJ58" s="1749"/>
      <c r="DK58" s="1749"/>
      <c r="DL58" s="1749"/>
      <c r="DM58" s="1749"/>
      <c r="DN58" s="1749"/>
      <c r="DO58" s="1749"/>
      <c r="DP58" s="1749"/>
      <c r="DQ58" s="1749"/>
      <c r="DR58" s="1749"/>
      <c r="DS58" s="1749"/>
      <c r="DT58" s="1749"/>
      <c r="DU58" s="1749"/>
      <c r="DV58" s="1749"/>
      <c r="DW58" s="1749"/>
      <c r="DX58" s="1749"/>
      <c r="DY58" s="1749"/>
      <c r="DZ58" s="1749"/>
      <c r="EA58" s="1749"/>
      <c r="EB58" s="1749"/>
      <c r="EC58" s="1749"/>
      <c r="ED58" s="1749"/>
      <c r="EE58" s="1749"/>
      <c r="EF58" s="1749"/>
      <c r="EG58" s="1749"/>
      <c r="EH58" s="1749"/>
      <c r="EI58" s="1749"/>
      <c r="EJ58" s="1749"/>
      <c r="EK58" s="1749"/>
      <c r="EL58" s="1749"/>
      <c r="EM58" s="1749"/>
      <c r="EN58" s="1749"/>
      <c r="EO58" s="1749"/>
      <c r="EP58" s="1749"/>
      <c r="EQ58" s="1749"/>
      <c r="ER58" s="1749"/>
      <c r="ES58" s="1749"/>
      <c r="ET58" s="1749"/>
      <c r="EU58" s="1749"/>
      <c r="EV58" s="1749"/>
      <c r="EW58" s="1749"/>
      <c r="EX58" s="1749"/>
      <c r="EY58" s="1749"/>
      <c r="EZ58" s="1749"/>
      <c r="FA58" s="1749"/>
      <c r="FB58" s="1749"/>
      <c r="FC58" s="1749"/>
      <c r="FD58" s="1749"/>
      <c r="FE58" s="1749"/>
      <c r="FF58" s="1749"/>
      <c r="FG58" s="1749"/>
      <c r="FH58" s="1749"/>
      <c r="FI58" s="1749"/>
      <c r="FJ58" s="1749"/>
      <c r="FK58" s="1749"/>
      <c r="FL58" s="1749"/>
      <c r="FM58" s="1749"/>
      <c r="FN58" s="1749"/>
      <c r="FO58" s="1749"/>
      <c r="FP58" s="1749"/>
      <c r="FQ58" s="1749"/>
      <c r="FR58" s="1749"/>
      <c r="FS58" s="1749"/>
      <c r="FT58" s="1749"/>
      <c r="FU58" s="1749"/>
      <c r="FV58" s="1749"/>
      <c r="FW58" s="1749"/>
      <c r="FX58" s="1749"/>
      <c r="FY58" s="1749"/>
      <c r="FZ58" s="1749"/>
      <c r="GA58" s="1749"/>
      <c r="GB58" s="1749"/>
      <c r="GC58" s="1749"/>
      <c r="GD58" s="1749"/>
      <c r="GE58" s="1749"/>
      <c r="GF58" s="1749"/>
      <c r="GG58" s="1749"/>
      <c r="GH58" s="1749"/>
      <c r="GI58" s="1749"/>
      <c r="GJ58" s="1749"/>
      <c r="GK58" s="1749"/>
      <c r="GL58" s="1749"/>
      <c r="GM58" s="1749"/>
      <c r="GN58" s="1749"/>
      <c r="GO58" s="1749"/>
      <c r="GP58" s="1749"/>
      <c r="GQ58" s="1749"/>
      <c r="GR58" s="1749"/>
      <c r="GS58" s="1749"/>
      <c r="GT58" s="1749"/>
      <c r="GU58" s="1749"/>
      <c r="GV58" s="1749"/>
      <c r="GW58" s="1749"/>
      <c r="GX58" s="1749"/>
      <c r="GY58" s="1749"/>
      <c r="GZ58" s="1749"/>
      <c r="HA58" s="1749"/>
      <c r="HB58" s="1749"/>
      <c r="HC58" s="1749"/>
      <c r="HD58" s="1749"/>
      <c r="HE58" s="1749"/>
      <c r="HF58" s="1749"/>
      <c r="HG58" s="1749"/>
      <c r="HH58" s="1749"/>
      <c r="HI58" s="1749"/>
      <c r="HJ58" s="1749"/>
      <c r="HK58" s="1749"/>
      <c r="HL58" s="1749"/>
      <c r="HM58" s="1749"/>
      <c r="HN58" s="1749"/>
      <c r="HO58" s="1749"/>
      <c r="HP58" s="1749"/>
      <c r="HQ58" s="1749"/>
      <c r="HR58" s="1749"/>
      <c r="HS58" s="1749"/>
      <c r="HT58" s="1749"/>
      <c r="HU58" s="1749"/>
      <c r="HV58" s="1749"/>
      <c r="HW58" s="1749"/>
      <c r="HX58" s="1749"/>
      <c r="HY58" s="1749"/>
      <c r="HZ58" s="1749"/>
      <c r="IA58" s="1749"/>
      <c r="IB58" s="1749"/>
      <c r="IC58" s="1749"/>
      <c r="ID58" s="1749"/>
      <c r="IE58" s="1749"/>
      <c r="IF58" s="1749"/>
      <c r="IG58" s="1749"/>
      <c r="IH58" s="1749"/>
      <c r="II58" s="1749"/>
      <c r="IJ58" s="1749"/>
      <c r="IK58" s="1749"/>
      <c r="IL58" s="1749"/>
      <c r="IM58" s="1749"/>
      <c r="IN58" s="1749"/>
    </row>
    <row r="59" spans="1:10">
      <c r="A59" s="1729" t="s">
        <v>218</v>
      </c>
      <c r="B59" s="1730">
        <f>审定资负表!G18</f>
        <v>0</v>
      </c>
      <c r="C59" s="1730">
        <f>审定资负表!H18</f>
        <v>0</v>
      </c>
      <c r="D59" s="1731" t="str">
        <f t="shared" si="0"/>
        <v> </v>
      </c>
      <c r="E59" s="1732">
        <f t="shared" si="1"/>
        <v>0</v>
      </c>
      <c r="F59" s="1733" t="str">
        <f t="shared" si="2"/>
        <v/>
      </c>
      <c r="G59" s="1734"/>
      <c r="H59" s="1735" t="str">
        <f>IF(报表附注!F2265=0,"相符","不相符")</f>
        <v>相符</v>
      </c>
      <c r="I59" s="1735" t="str">
        <f>IF(报表附注!G2265=0,"相符","不相符")</f>
        <v>相符</v>
      </c>
      <c r="J59" s="1748" t="s">
        <v>1497</v>
      </c>
    </row>
    <row r="60" spans="1:10">
      <c r="A60" s="1729" t="str">
        <f>审定资负表!E19</f>
        <v>持有待售负债</v>
      </c>
      <c r="B60" s="1730">
        <f>审定资负表!G19</f>
        <v>0</v>
      </c>
      <c r="C60" s="1730">
        <f>审定资负表!H19</f>
        <v>0</v>
      </c>
      <c r="D60" s="1731" t="str">
        <f t="shared" si="0"/>
        <v> </v>
      </c>
      <c r="E60" s="1732">
        <f t="shared" si="1"/>
        <v>0</v>
      </c>
      <c r="F60" s="1733" t="str">
        <f t="shared" si="2"/>
        <v/>
      </c>
      <c r="G60" s="1734"/>
      <c r="H60" s="1735" t="str">
        <f>IF(报表附注!F4087=0,"相符","不相符")</f>
        <v>相符</v>
      </c>
      <c r="I60" s="1735" t="str">
        <f>IF(报表附注!G4087=0,"相符","不相符")</f>
        <v>相符</v>
      </c>
      <c r="J60" s="1750" t="s">
        <v>1498</v>
      </c>
    </row>
    <row r="61" spans="1:10">
      <c r="A61" s="1736" t="s">
        <v>221</v>
      </c>
      <c r="B61" s="1730">
        <f>审定资负表!G20</f>
        <v>6935621.62</v>
      </c>
      <c r="C61" s="1730">
        <f>审定资负表!H20</f>
        <v>0</v>
      </c>
      <c r="D61" s="1731">
        <f t="shared" si="0"/>
        <v>0.122856448988557</v>
      </c>
      <c r="E61" s="1732">
        <f t="shared" si="1"/>
        <v>6935621.62</v>
      </c>
      <c r="F61" s="1733">
        <f t="shared" si="2"/>
        <v>1</v>
      </c>
      <c r="G61" s="1734"/>
      <c r="H61" s="1737"/>
      <c r="I61" s="1737"/>
      <c r="J61" s="1748"/>
    </row>
    <row r="62" spans="1:10">
      <c r="A62" s="1729"/>
      <c r="B62" s="1730">
        <f>审定资负表!G21</f>
        <v>0</v>
      </c>
      <c r="C62" s="1730">
        <f>审定资负表!H21</f>
        <v>0</v>
      </c>
      <c r="D62" s="1731" t="str">
        <f t="shared" si="0"/>
        <v> </v>
      </c>
      <c r="E62" s="1732">
        <f t="shared" si="1"/>
        <v>0</v>
      </c>
      <c r="F62" s="1733" t="str">
        <f t="shared" si="2"/>
        <v/>
      </c>
      <c r="G62" s="1734"/>
      <c r="H62" s="1737"/>
      <c r="I62" s="1737"/>
      <c r="J62" s="1761"/>
    </row>
    <row r="63" spans="1:10">
      <c r="A63" s="1725" t="s">
        <v>224</v>
      </c>
      <c r="B63" s="1730">
        <f>审定资负表!G22</f>
        <v>0</v>
      </c>
      <c r="C63" s="1730">
        <f>审定资负表!H22</f>
        <v>0</v>
      </c>
      <c r="D63" s="1731" t="str">
        <f t="shared" si="0"/>
        <v> </v>
      </c>
      <c r="E63" s="1732">
        <f t="shared" si="1"/>
        <v>0</v>
      </c>
      <c r="F63" s="1733" t="str">
        <f t="shared" si="2"/>
        <v/>
      </c>
      <c r="G63" s="1734"/>
      <c r="H63" s="1737"/>
      <c r="I63" s="1737"/>
      <c r="J63" s="1761"/>
    </row>
    <row r="64" spans="1:10">
      <c r="A64" s="1729" t="s">
        <v>226</v>
      </c>
      <c r="B64" s="1730">
        <f>审定资负表!G23</f>
        <v>0</v>
      </c>
      <c r="C64" s="1730">
        <f>审定资负表!H23</f>
        <v>0</v>
      </c>
      <c r="D64" s="1731" t="str">
        <f t="shared" si="0"/>
        <v> </v>
      </c>
      <c r="E64" s="1732">
        <f t="shared" si="1"/>
        <v>0</v>
      </c>
      <c r="F64" s="1733" t="str">
        <f t="shared" si="2"/>
        <v/>
      </c>
      <c r="G64" s="1734"/>
      <c r="H64" s="1735" t="str">
        <f>IF(报表附注!F2280=0,"相符","不相符")</f>
        <v>相符</v>
      </c>
      <c r="I64" s="1735" t="str">
        <f>IF(报表附注!G2280=0,"相符","不相符")</f>
        <v>相符</v>
      </c>
      <c r="J64" s="1748" t="s">
        <v>1501</v>
      </c>
    </row>
    <row r="65" spans="1:10">
      <c r="A65" s="1729" t="s">
        <v>228</v>
      </c>
      <c r="B65" s="1730">
        <f>审定资负表!G24</f>
        <v>0</v>
      </c>
      <c r="C65" s="1730">
        <f>审定资负表!H24</f>
        <v>0</v>
      </c>
      <c r="D65" s="1731" t="str">
        <f t="shared" si="0"/>
        <v> </v>
      </c>
      <c r="E65" s="1732">
        <f t="shared" si="1"/>
        <v>0</v>
      </c>
      <c r="F65" s="1733" t="str">
        <f t="shared" si="2"/>
        <v/>
      </c>
      <c r="G65" s="1734"/>
      <c r="H65" s="1735" t="str">
        <f>IF(报表附注!N2327=0,"相符","不相符")</f>
        <v>相符</v>
      </c>
      <c r="I65" s="1735" t="str">
        <f>IF(报表附注!J2327=0,"相符","不相符")</f>
        <v>相符</v>
      </c>
      <c r="J65" s="1748" t="s">
        <v>1503</v>
      </c>
    </row>
    <row r="66" spans="1:10">
      <c r="A66" s="1729" t="s">
        <v>230</v>
      </c>
      <c r="B66" s="1730">
        <f>审定资负表!G25</f>
        <v>49517431.33</v>
      </c>
      <c r="C66" s="1730">
        <f>审定资负表!H25</f>
        <v>0</v>
      </c>
      <c r="D66" s="1731">
        <f t="shared" si="0"/>
        <v>0.877143551011443</v>
      </c>
      <c r="E66" s="1732">
        <f t="shared" si="1"/>
        <v>49517431.33</v>
      </c>
      <c r="F66" s="1733">
        <f t="shared" si="2"/>
        <v>1</v>
      </c>
      <c r="G66" s="1734"/>
      <c r="H66" s="1735" t="str">
        <f>IF(报表附注!G2344=0,"相符","不相符")</f>
        <v>相符</v>
      </c>
      <c r="I66" s="1735" t="str">
        <f>IF(报表附注!H2344=0,"相符","不相符")</f>
        <v>相符</v>
      </c>
      <c r="J66" s="1748" t="s">
        <v>1505</v>
      </c>
    </row>
    <row r="67" spans="1:10">
      <c r="A67" s="1729" t="s">
        <v>232</v>
      </c>
      <c r="B67" s="1730">
        <f>审定资负表!G26</f>
        <v>0</v>
      </c>
      <c r="C67" s="1730">
        <f>审定资负表!H26</f>
        <v>0</v>
      </c>
      <c r="D67" s="1731" t="str">
        <f t="shared" si="0"/>
        <v> </v>
      </c>
      <c r="E67" s="1732">
        <f t="shared" si="1"/>
        <v>0</v>
      </c>
      <c r="F67" s="1733" t="str">
        <f t="shared" si="2"/>
        <v/>
      </c>
      <c r="G67" s="1734"/>
      <c r="H67" s="1735" t="str">
        <f>IF(报表附注!I2379=0,"相符","不相符")</f>
        <v>相符</v>
      </c>
      <c r="I67" s="1735" t="str">
        <f>IF(报表附注!F2379=0,"相符","不相符")</f>
        <v>相符</v>
      </c>
      <c r="J67" s="1748" t="s">
        <v>1507</v>
      </c>
    </row>
    <row r="68" spans="1:10">
      <c r="A68" s="1729" t="s">
        <v>234</v>
      </c>
      <c r="B68" s="1730">
        <f>审定资负表!G27</f>
        <v>0</v>
      </c>
      <c r="C68" s="1730">
        <f>审定资负表!H27</f>
        <v>0</v>
      </c>
      <c r="D68" s="1731" t="str">
        <f t="shared" si="0"/>
        <v> </v>
      </c>
      <c r="E68" s="1732">
        <f t="shared" si="1"/>
        <v>0</v>
      </c>
      <c r="F68" s="1733" t="str">
        <f t="shared" si="2"/>
        <v/>
      </c>
      <c r="G68" s="1734"/>
      <c r="H68" s="1735" t="str">
        <f>IF(报表附注!I2169=0,"相符","不相符")</f>
        <v>相符</v>
      </c>
      <c r="I68" s="1735" t="str">
        <f>IF(报表附注!F2169=0,"相符","不相符")</f>
        <v>相符</v>
      </c>
      <c r="J68" s="1748" t="s">
        <v>1509</v>
      </c>
    </row>
    <row r="69" spans="1:10">
      <c r="A69" s="1729" t="s">
        <v>236</v>
      </c>
      <c r="B69" s="1730">
        <f>审定资负表!G28</f>
        <v>0</v>
      </c>
      <c r="C69" s="1730">
        <f>审定资负表!H28</f>
        <v>0</v>
      </c>
      <c r="D69" s="1731" t="str">
        <f t="shared" si="0"/>
        <v> </v>
      </c>
      <c r="E69" s="1732">
        <f t="shared" si="1"/>
        <v>0</v>
      </c>
      <c r="F69" s="1733" t="str">
        <f t="shared" si="2"/>
        <v/>
      </c>
      <c r="G69" s="1734"/>
      <c r="H69" s="1735" t="str">
        <f>IF(报表附注!F1633=0,"相符","不相符")</f>
        <v>相符</v>
      </c>
      <c r="I69" s="1735" t="str">
        <f>IF(报表附注!H1633=0,"相符","不相符")</f>
        <v>相符</v>
      </c>
      <c r="J69" s="1748" t="s">
        <v>1511</v>
      </c>
    </row>
    <row r="70" spans="1:10">
      <c r="A70" s="1729" t="s">
        <v>238</v>
      </c>
      <c r="B70" s="1730">
        <f>审定资负表!G29</f>
        <v>0</v>
      </c>
      <c r="C70" s="1730">
        <f>审定资负表!H29</f>
        <v>0</v>
      </c>
      <c r="D70" s="1731" t="str">
        <f t="shared" ref="D70:D89" si="3">IF(B70=0," ",B70/$B$46)</f>
        <v> </v>
      </c>
      <c r="E70" s="1732">
        <f t="shared" ref="E70:E110" si="4">B70-C70</f>
        <v>0</v>
      </c>
      <c r="F70" s="1733" t="str">
        <f t="shared" ref="F70:F79" si="5">IFERROR(IF(C70=0,B70/B70,ROUND(E70/ABS(C70),4)),"")</f>
        <v/>
      </c>
      <c r="G70" s="1734"/>
      <c r="H70" s="1735" t="str">
        <f>IF(报表附注!F2396=0,"相符","不相符")</f>
        <v>相符</v>
      </c>
      <c r="I70" s="1735" t="str">
        <f>IF(报表附注!G2396=0,"相符","不相符")</f>
        <v>相符</v>
      </c>
      <c r="J70" s="1748" t="s">
        <v>1513</v>
      </c>
    </row>
    <row r="71" spans="1:10">
      <c r="A71" s="1729" t="s">
        <v>240</v>
      </c>
      <c r="B71" s="1730">
        <f>审定资负表!G30</f>
        <v>0</v>
      </c>
      <c r="C71" s="1730">
        <f>审定资负表!H30</f>
        <v>0</v>
      </c>
      <c r="D71" s="1731" t="str">
        <f t="shared" si="3"/>
        <v> </v>
      </c>
      <c r="E71" s="1732">
        <f t="shared" si="4"/>
        <v>0</v>
      </c>
      <c r="F71" s="1733" t="str">
        <f t="shared" si="5"/>
        <v/>
      </c>
      <c r="G71" s="1734"/>
      <c r="H71" s="1735" t="str">
        <f>IF(报表附注!L3918=0,"相符","不相符")</f>
        <v>相符</v>
      </c>
      <c r="I71" s="1735" t="str">
        <f>IF(报表附注!H3918=0,"相符","不相符")</f>
        <v>相符</v>
      </c>
      <c r="J71" s="1748" t="s">
        <v>77</v>
      </c>
    </row>
    <row r="72" spans="1:10">
      <c r="A72" s="1736" t="s">
        <v>242</v>
      </c>
      <c r="B72" s="1730">
        <f>审定资负表!G31</f>
        <v>49517431.33</v>
      </c>
      <c r="C72" s="1730">
        <f>审定资负表!H31</f>
        <v>0</v>
      </c>
      <c r="D72" s="1731">
        <f t="shared" si="3"/>
        <v>0.877143551011443</v>
      </c>
      <c r="E72" s="1732">
        <f t="shared" si="4"/>
        <v>49517431.33</v>
      </c>
      <c r="F72" s="1733">
        <f t="shared" si="5"/>
        <v>1</v>
      </c>
      <c r="G72" s="1734"/>
      <c r="H72" s="1737"/>
      <c r="I72" s="1737"/>
      <c r="J72" s="1761"/>
    </row>
    <row r="73" spans="1:10">
      <c r="A73" s="1729"/>
      <c r="B73" s="1730">
        <f>审定资负表!G32</f>
        <v>0</v>
      </c>
      <c r="C73" s="1730">
        <f>审定资负表!H32</f>
        <v>0</v>
      </c>
      <c r="D73" s="1731" t="str">
        <f t="shared" si="3"/>
        <v> </v>
      </c>
      <c r="E73" s="1732">
        <f t="shared" si="4"/>
        <v>0</v>
      </c>
      <c r="F73" s="1733" t="str">
        <f t="shared" si="5"/>
        <v/>
      </c>
      <c r="G73" s="1734"/>
      <c r="H73" s="1737"/>
      <c r="I73" s="1737"/>
      <c r="J73" s="1761"/>
    </row>
    <row r="74" spans="1:10">
      <c r="A74" s="1739" t="s">
        <v>245</v>
      </c>
      <c r="B74" s="1730">
        <f>审定资负表!G33</f>
        <v>56453052.95</v>
      </c>
      <c r="C74" s="1730">
        <f>审定资负表!H33</f>
        <v>0</v>
      </c>
      <c r="D74" s="1731">
        <f t="shared" si="3"/>
        <v>1</v>
      </c>
      <c r="E74" s="1732">
        <f t="shared" si="4"/>
        <v>56453052.95</v>
      </c>
      <c r="F74" s="1733">
        <f t="shared" si="5"/>
        <v>1</v>
      </c>
      <c r="G74" s="1734"/>
      <c r="H74" s="1737"/>
      <c r="I74" s="1737"/>
      <c r="J74" s="1761"/>
    </row>
    <row r="75" spans="1:10">
      <c r="A75" s="1729"/>
      <c r="B75" s="1730">
        <f>审定资负表!G34</f>
        <v>0</v>
      </c>
      <c r="C75" s="1730">
        <f>审定资负表!H34</f>
        <v>0</v>
      </c>
      <c r="D75" s="1731" t="str">
        <f t="shared" si="3"/>
        <v> </v>
      </c>
      <c r="E75" s="1732">
        <f t="shared" si="4"/>
        <v>0</v>
      </c>
      <c r="F75" s="1733" t="str">
        <f t="shared" si="5"/>
        <v/>
      </c>
      <c r="G75" s="1734"/>
      <c r="H75" s="1737"/>
      <c r="I75" s="1737"/>
      <c r="J75" s="1761"/>
    </row>
    <row r="76" spans="1:10">
      <c r="A76" s="1725" t="s">
        <v>248</v>
      </c>
      <c r="B76" s="1730">
        <f>审定资负表!G35</f>
        <v>0</v>
      </c>
      <c r="C76" s="1730">
        <f>审定资负表!H35</f>
        <v>0</v>
      </c>
      <c r="D76" s="1731" t="str">
        <f t="shared" si="3"/>
        <v> </v>
      </c>
      <c r="E76" s="1732">
        <f t="shared" si="4"/>
        <v>0</v>
      </c>
      <c r="F76" s="1733" t="str">
        <f t="shared" si="5"/>
        <v/>
      </c>
      <c r="G76" s="1734"/>
      <c r="H76" s="1737"/>
      <c r="I76" s="1737"/>
      <c r="J76" s="1761"/>
    </row>
    <row r="77" spans="1:10">
      <c r="A77" s="1729" t="s">
        <v>250</v>
      </c>
      <c r="B77" s="1730">
        <f>审定资负表!G36</f>
        <v>0</v>
      </c>
      <c r="C77" s="1730">
        <f>审定资负表!H36</f>
        <v>0</v>
      </c>
      <c r="D77" s="1731" t="str">
        <f t="shared" si="3"/>
        <v> </v>
      </c>
      <c r="E77" s="1732">
        <f t="shared" si="4"/>
        <v>0</v>
      </c>
      <c r="F77" s="1733" t="str">
        <f t="shared" si="5"/>
        <v/>
      </c>
      <c r="G77" s="1734"/>
      <c r="H77" s="1735" t="str">
        <f>IF(AND(报表附注!L2421=0,报表附注!J2436=0),"相符","不相符")</f>
        <v>相符</v>
      </c>
      <c r="I77" s="1735" t="str">
        <f>IF(AND(报表附注!F2421=0,报表附注!F2436=0),"相符","不相符")</f>
        <v>相符</v>
      </c>
      <c r="J77" s="1748" t="s">
        <v>1520</v>
      </c>
    </row>
    <row r="78" spans="1:10">
      <c r="A78" s="1729" t="s">
        <v>252</v>
      </c>
      <c r="B78" s="1730">
        <f>审定资负表!G37</f>
        <v>0</v>
      </c>
      <c r="C78" s="1730">
        <f>审定资负表!H37</f>
        <v>0</v>
      </c>
      <c r="D78" s="1731" t="str">
        <f t="shared" si="3"/>
        <v> </v>
      </c>
      <c r="E78" s="1732">
        <f t="shared" si="4"/>
        <v>0</v>
      </c>
      <c r="F78" s="1733" t="str">
        <f t="shared" si="5"/>
        <v/>
      </c>
      <c r="G78" s="1734"/>
      <c r="H78" s="1735" t="str">
        <f>IF(报表附注!I2476=0,"相符","不相符")</f>
        <v>相符</v>
      </c>
      <c r="I78" s="1735" t="str">
        <f>IF(报表附注!F2476=0,"相符","不相符")</f>
        <v>相符</v>
      </c>
      <c r="J78" s="1748" t="s">
        <v>1521</v>
      </c>
    </row>
    <row r="79" spans="1:10">
      <c r="A79" s="1729" t="s">
        <v>254</v>
      </c>
      <c r="B79" s="1730">
        <f>审定资负表!G38</f>
        <v>0</v>
      </c>
      <c r="C79" s="1730">
        <f>审定资负表!H38</f>
        <v>0</v>
      </c>
      <c r="D79" s="1731" t="str">
        <f t="shared" si="3"/>
        <v> </v>
      </c>
      <c r="E79" s="1732">
        <f t="shared" si="4"/>
        <v>0</v>
      </c>
      <c r="F79" s="1733" t="str">
        <f t="shared" si="5"/>
        <v/>
      </c>
      <c r="G79" s="1734"/>
      <c r="H79" s="1735" t="str">
        <f>IF(报表附注!F4157=0,"相符","不相符")</f>
        <v>相符</v>
      </c>
      <c r="I79" s="1735" t="str">
        <f>IF(报表附注!F2488=0,"相符","不相符")</f>
        <v>相符</v>
      </c>
      <c r="J79" s="1750" t="s">
        <v>2030</v>
      </c>
    </row>
    <row r="80" spans="1:10">
      <c r="A80" s="1729" t="s">
        <v>255</v>
      </c>
      <c r="B80" s="1730">
        <f>审定资负表!G39</f>
        <v>0</v>
      </c>
      <c r="C80" s="1730">
        <f>审定资负表!H39</f>
        <v>0</v>
      </c>
      <c r="D80" s="1731" t="str">
        <f t="shared" si="3"/>
        <v> </v>
      </c>
      <c r="E80" s="1732">
        <f t="shared" si="4"/>
        <v>0</v>
      </c>
      <c r="F80" s="1733" t="str">
        <f t="shared" ref="F80:F89" si="6">IFERROR(IF(C80=0,B80/B80,ROUND(E80/ABS(C80),4)),"")</f>
        <v/>
      </c>
      <c r="G80" s="1734"/>
      <c r="H80" s="1735" t="str">
        <f>IF(报表附注!I2489=0,"相符","不相符")</f>
        <v>相符</v>
      </c>
      <c r="I80" s="1735" t="str">
        <f>IF(报表附注!I4157=0,"相符","不相符")</f>
        <v>相符</v>
      </c>
      <c r="J80" s="1748" t="s">
        <v>1524</v>
      </c>
    </row>
    <row r="81" spans="1:10">
      <c r="A81" s="1729" t="s">
        <v>257</v>
      </c>
      <c r="B81" s="1730">
        <f>审定资负表!G40</f>
        <v>0</v>
      </c>
      <c r="C81" s="1730">
        <f>审定资负表!H40</f>
        <v>0</v>
      </c>
      <c r="D81" s="1731" t="str">
        <f t="shared" si="3"/>
        <v> </v>
      </c>
      <c r="E81" s="1732">
        <f t="shared" si="4"/>
        <v>0</v>
      </c>
      <c r="F81" s="1733" t="str">
        <f t="shared" si="6"/>
        <v/>
      </c>
      <c r="G81" s="1734"/>
      <c r="H81" s="1735" t="str">
        <f>IF(报表附注!F2512=0,"相符","不相符")</f>
        <v>相符</v>
      </c>
      <c r="I81" s="1735" t="str">
        <f>IF(报表附注!G2512=0,"相符","不相符")</f>
        <v>相符</v>
      </c>
      <c r="J81" s="1770" t="s">
        <v>1525</v>
      </c>
    </row>
    <row r="82" spans="1:10">
      <c r="A82" s="1729" t="s">
        <v>258</v>
      </c>
      <c r="B82" s="1730">
        <f>审定资负表!G41</f>
        <v>0</v>
      </c>
      <c r="C82" s="1730">
        <f>审定资负表!H41</f>
        <v>0</v>
      </c>
      <c r="D82" s="1731" t="str">
        <f t="shared" si="3"/>
        <v> </v>
      </c>
      <c r="E82" s="1732">
        <f t="shared" si="4"/>
        <v>0</v>
      </c>
      <c r="F82" s="1733" t="str">
        <f t="shared" si="6"/>
        <v/>
      </c>
      <c r="G82" s="1734"/>
      <c r="H82" s="1735"/>
      <c r="I82" s="1735"/>
      <c r="J82" s="1748" t="s">
        <v>88</v>
      </c>
    </row>
    <row r="83" spans="1:10">
      <c r="A83" s="1729" t="str">
        <f>审定资负表!E42</f>
        <v>其他综合收益</v>
      </c>
      <c r="B83" s="1730">
        <f>审定资负表!G42</f>
        <v>0</v>
      </c>
      <c r="C83" s="1730">
        <f>审定资负表!H42</f>
        <v>0</v>
      </c>
      <c r="D83" s="1731" t="str">
        <f t="shared" si="3"/>
        <v> </v>
      </c>
      <c r="E83" s="1732">
        <f t="shared" si="4"/>
        <v>0</v>
      </c>
      <c r="F83" s="1733" t="str">
        <f t="shared" si="6"/>
        <v/>
      </c>
      <c r="G83" s="1734"/>
      <c r="H83" s="1735" t="str">
        <f>IF(报表附注!L4057=0,"相符","不相符")</f>
        <v>相符</v>
      </c>
      <c r="I83" s="1735" t="str">
        <f>IF(报表附注!M4057=0,"相符","不相符")</f>
        <v>相符</v>
      </c>
      <c r="J83" s="1748" t="s">
        <v>88</v>
      </c>
    </row>
    <row r="84" spans="1:10">
      <c r="A84" s="1736" t="s">
        <v>260</v>
      </c>
      <c r="B84" s="1730">
        <f>审定资负表!G43</f>
        <v>0</v>
      </c>
      <c r="C84" s="1730">
        <f>审定资负表!H43</f>
        <v>0</v>
      </c>
      <c r="D84" s="1731" t="str">
        <f t="shared" si="3"/>
        <v> </v>
      </c>
      <c r="E84" s="1732">
        <f t="shared" si="4"/>
        <v>0</v>
      </c>
      <c r="F84" s="1733" t="str">
        <f t="shared" si="6"/>
        <v/>
      </c>
      <c r="G84" s="1734"/>
      <c r="H84" s="1737"/>
      <c r="I84" s="1737"/>
      <c r="J84" s="1759"/>
    </row>
    <row r="85" spans="1:10">
      <c r="A85" s="1729"/>
      <c r="B85" s="1730">
        <f>审定资负表!G44</f>
        <v>0</v>
      </c>
      <c r="C85" s="1730">
        <f>审定资负表!H44</f>
        <v>0</v>
      </c>
      <c r="D85" s="1731" t="str">
        <f t="shared" si="3"/>
        <v> </v>
      </c>
      <c r="E85" s="1732">
        <f t="shared" si="4"/>
        <v>0</v>
      </c>
      <c r="F85" s="1733" t="str">
        <f t="shared" si="6"/>
        <v/>
      </c>
      <c r="G85" s="1734"/>
      <c r="H85" s="1737"/>
      <c r="I85" s="1737"/>
      <c r="J85" s="1759"/>
    </row>
    <row r="86" spans="1:10">
      <c r="A86" s="1729" t="s">
        <v>261</v>
      </c>
      <c r="B86" s="1730">
        <f>审定资负表!G45</f>
        <v>0</v>
      </c>
      <c r="C86" s="1730">
        <f>审定资负表!H45</f>
        <v>0</v>
      </c>
      <c r="D86" s="1731" t="str">
        <f t="shared" si="3"/>
        <v> </v>
      </c>
      <c r="E86" s="1732">
        <f t="shared" si="4"/>
        <v>0</v>
      </c>
      <c r="F86" s="1733" t="str">
        <f t="shared" si="6"/>
        <v/>
      </c>
      <c r="G86" s="1734"/>
      <c r="H86" s="1737"/>
      <c r="I86" s="1737"/>
      <c r="J86" s="1759"/>
    </row>
    <row r="87" spans="1:10">
      <c r="A87" s="1739" t="s">
        <v>262</v>
      </c>
      <c r="B87" s="1730">
        <f>审定资负表!G46</f>
        <v>0</v>
      </c>
      <c r="C87" s="1730">
        <f>审定资负表!H46</f>
        <v>0</v>
      </c>
      <c r="D87" s="1731" t="str">
        <f t="shared" si="3"/>
        <v> </v>
      </c>
      <c r="E87" s="1732">
        <f t="shared" si="4"/>
        <v>0</v>
      </c>
      <c r="F87" s="1733" t="str">
        <f t="shared" si="6"/>
        <v/>
      </c>
      <c r="G87" s="1734"/>
      <c r="H87" s="1737"/>
      <c r="I87" s="1737"/>
      <c r="J87" s="1759"/>
    </row>
    <row r="88" spans="1:10">
      <c r="A88" s="1729"/>
      <c r="B88" s="1730">
        <f>审定资负表!G47</f>
        <v>0</v>
      </c>
      <c r="C88" s="1730">
        <f>审定资负表!H47</f>
        <v>0</v>
      </c>
      <c r="D88" s="1731" t="str">
        <f t="shared" si="3"/>
        <v> </v>
      </c>
      <c r="E88" s="1732">
        <f t="shared" si="4"/>
        <v>0</v>
      </c>
      <c r="F88" s="1733" t="str">
        <f t="shared" si="6"/>
        <v/>
      </c>
      <c r="G88" s="1734"/>
      <c r="H88" s="1737"/>
      <c r="I88" s="1737"/>
      <c r="J88" s="1759"/>
    </row>
    <row r="89" spans="1:10">
      <c r="A89" s="1739" t="s">
        <v>264</v>
      </c>
      <c r="B89" s="1730">
        <f>审定资负表!G48</f>
        <v>56453052.95</v>
      </c>
      <c r="C89" s="1730">
        <f>审定资负表!H48</f>
        <v>0</v>
      </c>
      <c r="D89" s="1731">
        <f t="shared" si="3"/>
        <v>1</v>
      </c>
      <c r="E89" s="1732">
        <f t="shared" si="4"/>
        <v>56453052.95</v>
      </c>
      <c r="F89" s="1733">
        <f t="shared" si="6"/>
        <v>1</v>
      </c>
      <c r="G89" s="1734"/>
      <c r="H89" s="1737"/>
      <c r="I89" s="1737"/>
      <c r="J89" s="1759"/>
    </row>
    <row r="90" spans="1:10">
      <c r="A90" s="1736" t="s">
        <v>76</v>
      </c>
      <c r="B90" s="1730">
        <f>审定利润表!C6</f>
        <v>0</v>
      </c>
      <c r="C90" s="1730">
        <f>本月审定利润表!G6</f>
        <v>0</v>
      </c>
      <c r="D90" s="1731" t="str">
        <f>IF(B90=0," ",B90/$B$90)</f>
        <v> </v>
      </c>
      <c r="E90" s="1732">
        <f t="shared" si="4"/>
        <v>0</v>
      </c>
      <c r="F90" s="1733" t="str">
        <f t="shared" ref="F90:F110" si="7">IFERROR(IF(C90=0,B90/B90,ROUND(E90/ABS(C90),4)),"")</f>
        <v/>
      </c>
      <c r="G90" s="1734"/>
      <c r="H90" s="1735" t="str">
        <f>IF(报表附注!F2533=0,"相符","不相符")</f>
        <v>相符</v>
      </c>
      <c r="I90" s="1760" t="str">
        <f>IF(报表附注!G2533=0,"相符","不相符")</f>
        <v>相符</v>
      </c>
      <c r="J90" s="1771" t="s">
        <v>77</v>
      </c>
    </row>
    <row r="91" spans="1:10">
      <c r="A91" s="1729" t="s">
        <v>78</v>
      </c>
      <c r="B91" s="1730">
        <f>审定利润表!C7</f>
        <v>0</v>
      </c>
      <c r="C91" s="1730">
        <f>本月审定利润表!G7</f>
        <v>0</v>
      </c>
      <c r="D91" s="1731" t="str">
        <f>IF(B91=0," ",B91/$B$90)</f>
        <v> </v>
      </c>
      <c r="E91" s="1732">
        <f t="shared" si="4"/>
        <v>0</v>
      </c>
      <c r="F91" s="1733" t="str">
        <f t="shared" si="7"/>
        <v/>
      </c>
      <c r="G91" s="1734"/>
      <c r="H91" s="1735" t="str">
        <f>IF(报表附注!H2533=0,"相符","不相符")</f>
        <v>相符</v>
      </c>
      <c r="I91" s="1760" t="str">
        <f>IF(报表附注!I2533=0,"相符","不相符")</f>
        <v>相符</v>
      </c>
      <c r="J91" s="1771" t="s">
        <v>77</v>
      </c>
    </row>
    <row r="92" spans="1:10">
      <c r="A92" s="1729" t="s">
        <v>2031</v>
      </c>
      <c r="B92" s="1730">
        <f>审定利润表!C8</f>
        <v>0</v>
      </c>
      <c r="C92" s="1730">
        <f>本月审定利润表!G8</f>
        <v>0</v>
      </c>
      <c r="D92" s="1731" t="str">
        <f t="shared" ref="D92:D110" si="8">IF(B92=0," ",B92/$B$90)</f>
        <v> </v>
      </c>
      <c r="E92" s="1732">
        <f t="shared" si="4"/>
        <v>0</v>
      </c>
      <c r="F92" s="1733" t="str">
        <f t="shared" si="7"/>
        <v/>
      </c>
      <c r="G92" s="1734"/>
      <c r="H92" s="1735" t="str">
        <f>IF(报表附注!F2632=0,"相符","不相符")</f>
        <v>相符</v>
      </c>
      <c r="I92" s="1760" t="str">
        <f>IF(报表附注!G2632=0,"相符","不相符")</f>
        <v>相符</v>
      </c>
      <c r="J92" s="1771" t="s">
        <v>80</v>
      </c>
    </row>
    <row r="93" spans="1:10">
      <c r="A93" s="1729" t="s">
        <v>81</v>
      </c>
      <c r="B93" s="1730">
        <f>审定利润表!C9</f>
        <v>0</v>
      </c>
      <c r="C93" s="1730">
        <f>本月审定利润表!G9</f>
        <v>0</v>
      </c>
      <c r="D93" s="1731" t="str">
        <f t="shared" si="8"/>
        <v> </v>
      </c>
      <c r="E93" s="1732">
        <f t="shared" si="4"/>
        <v>0</v>
      </c>
      <c r="F93" s="1733" t="str">
        <f t="shared" si="7"/>
        <v/>
      </c>
      <c r="G93" s="1734"/>
      <c r="H93" s="1735" t="str">
        <f>IF(报表附注!F2886=0,"相符","不相符")</f>
        <v>相符</v>
      </c>
      <c r="I93" s="1760" t="str">
        <f>IF(报表附注!G2886=0,"相符","不相符")</f>
        <v>相符</v>
      </c>
      <c r="J93" s="1771" t="s">
        <v>82</v>
      </c>
    </row>
    <row r="94" spans="1:10">
      <c r="A94" s="1729" t="s">
        <v>83</v>
      </c>
      <c r="B94" s="1730">
        <f>审定利润表!C10</f>
        <v>0</v>
      </c>
      <c r="C94" s="1730">
        <f>本月审定利润表!G10</f>
        <v>0</v>
      </c>
      <c r="D94" s="1731" t="str">
        <f t="shared" si="8"/>
        <v> </v>
      </c>
      <c r="E94" s="1732">
        <f t="shared" si="4"/>
        <v>0</v>
      </c>
      <c r="F94" s="1733" t="str">
        <f t="shared" si="7"/>
        <v/>
      </c>
      <c r="G94" s="1734"/>
      <c r="H94" s="1735" t="str">
        <f>IF(报表附注!F2822=0,"相符","不相符")</f>
        <v>相符</v>
      </c>
      <c r="I94" s="1760" t="str">
        <f>IF(报表附注!G2822=0,"相符","不相符")</f>
        <v>相符</v>
      </c>
      <c r="J94" s="1771" t="s">
        <v>82</v>
      </c>
    </row>
    <row r="95" spans="1:10">
      <c r="A95" s="1729" t="s">
        <v>84</v>
      </c>
      <c r="B95" s="1730">
        <f>审定利润表!C11</f>
        <v>0</v>
      </c>
      <c r="C95" s="1730">
        <f>本月审定利润表!G11</f>
        <v>0</v>
      </c>
      <c r="D95" s="1731" t="str">
        <f t="shared" si="8"/>
        <v> </v>
      </c>
      <c r="E95" s="1732">
        <f t="shared" si="4"/>
        <v>0</v>
      </c>
      <c r="F95" s="1733" t="str">
        <f t="shared" si="7"/>
        <v/>
      </c>
      <c r="G95" s="1734"/>
      <c r="H95" s="1735" t="str">
        <f>IF(报表附注!F2748=0,"相符","不相符")</f>
        <v>相符</v>
      </c>
      <c r="I95" s="1760" t="str">
        <f>IF(报表附注!G2748=0,"相符","不相符")</f>
        <v>相符</v>
      </c>
      <c r="J95" s="1771" t="s">
        <v>82</v>
      </c>
    </row>
    <row r="96" spans="1:10">
      <c r="A96" s="1729" t="s">
        <v>85</v>
      </c>
      <c r="B96" s="1730">
        <f>审定利润表!C12</f>
        <v>0</v>
      </c>
      <c r="C96" s="1730">
        <f>本月审定利润表!G12</f>
        <v>0</v>
      </c>
      <c r="D96" s="1731" t="str">
        <f t="shared" si="8"/>
        <v> </v>
      </c>
      <c r="E96" s="1732">
        <f t="shared" si="4"/>
        <v>0</v>
      </c>
      <c r="F96" s="1733" t="str">
        <f t="shared" si="7"/>
        <v/>
      </c>
      <c r="G96" s="1734"/>
      <c r="H96" s="1735" t="str">
        <f>IF(报表附注!F2728=0,"相符","不相符")</f>
        <v>相符</v>
      </c>
      <c r="I96" s="1760" t="str">
        <f>IF(报表附注!G2728=0,"相符","不相符")</f>
        <v>相符</v>
      </c>
      <c r="J96" s="1771" t="s">
        <v>86</v>
      </c>
    </row>
    <row r="97" spans="1:10">
      <c r="A97" s="1729" t="s">
        <v>87</v>
      </c>
      <c r="B97" s="1730">
        <f>审定利润表!C13</f>
        <v>0</v>
      </c>
      <c r="C97" s="1730">
        <f>本月审定利润表!G13</f>
        <v>0</v>
      </c>
      <c r="D97" s="1731" t="str">
        <f t="shared" si="8"/>
        <v> </v>
      </c>
      <c r="E97" s="1732">
        <f t="shared" si="4"/>
        <v>0</v>
      </c>
      <c r="F97" s="1733" t="str">
        <f t="shared" si="7"/>
        <v/>
      </c>
      <c r="G97" s="1734"/>
      <c r="H97" s="1735" t="str">
        <f>IF(报表附注!F2653=0,"相符","不相符")</f>
        <v>相符</v>
      </c>
      <c r="I97" s="1760" t="str">
        <f>IF(报表附注!G2653=0,"相符","不相符")</f>
        <v>相符</v>
      </c>
      <c r="J97" s="1771" t="s">
        <v>88</v>
      </c>
    </row>
    <row r="98" spans="1:10">
      <c r="A98" s="1729" t="s">
        <v>89</v>
      </c>
      <c r="B98" s="1730">
        <f>审定利润表!C14</f>
        <v>0</v>
      </c>
      <c r="C98" s="1730">
        <f>本月审定利润表!G14</f>
        <v>0</v>
      </c>
      <c r="D98" s="1731" t="str">
        <f t="shared" si="8"/>
        <v> </v>
      </c>
      <c r="E98" s="1732">
        <f t="shared" si="4"/>
        <v>0</v>
      </c>
      <c r="F98" s="1733" t="str">
        <f t="shared" si="7"/>
        <v/>
      </c>
      <c r="G98" s="1734"/>
      <c r="H98" s="1735" t="str">
        <f>IF(报表附注!F2675=0,"相符","不相符")</f>
        <v>相符</v>
      </c>
      <c r="I98" s="1760" t="str">
        <f>IF(报表附注!G2675=0,"相符","不相符")</f>
        <v>相符</v>
      </c>
      <c r="J98" s="1771" t="s">
        <v>90</v>
      </c>
    </row>
    <row r="99" spans="1:10">
      <c r="A99" s="1762" t="s">
        <v>91</v>
      </c>
      <c r="B99" s="1730">
        <f>审定利润表!C15</f>
        <v>0</v>
      </c>
      <c r="C99" s="1730">
        <f>本月审定利润表!G15</f>
        <v>0</v>
      </c>
      <c r="D99" s="1731" t="str">
        <f t="shared" si="8"/>
        <v> </v>
      </c>
      <c r="E99" s="1732">
        <f t="shared" si="4"/>
        <v>0</v>
      </c>
      <c r="F99" s="1733" t="str">
        <f t="shared" si="7"/>
        <v/>
      </c>
      <c r="G99" s="1734"/>
      <c r="H99" s="1735" t="str">
        <f>IF(报表附注!F2703=0,"相符","不相符")</f>
        <v>相符</v>
      </c>
      <c r="I99" s="1760" t="str">
        <f>IF(报表附注!G2703=0,"相符","不相符")</f>
        <v>相符</v>
      </c>
      <c r="J99" s="1759"/>
    </row>
    <row r="100" spans="1:10">
      <c r="A100" s="1762" t="s">
        <v>266</v>
      </c>
      <c r="B100" s="1730">
        <f>审定利润表!C16</f>
        <v>0</v>
      </c>
      <c r="C100" s="1730">
        <f>本月审定利润表!G16</f>
        <v>0</v>
      </c>
      <c r="D100" s="1731" t="str">
        <f t="shared" si="8"/>
        <v> </v>
      </c>
      <c r="E100" s="1732">
        <f t="shared" si="4"/>
        <v>0</v>
      </c>
      <c r="F100" s="1733" t="str">
        <f t="shared" si="7"/>
        <v/>
      </c>
      <c r="G100" s="1734"/>
      <c r="H100" s="1735" t="str">
        <f>IF(报表附注!F4117=0,"相符","不相符")</f>
        <v>相符</v>
      </c>
      <c r="I100" s="1735" t="str">
        <f>IF(报表附注!G4117=0,"相符","不相符")</f>
        <v>相符</v>
      </c>
      <c r="J100" s="1750" t="s">
        <v>1529</v>
      </c>
    </row>
    <row r="101" spans="1:10">
      <c r="A101" s="1762" t="s">
        <v>92</v>
      </c>
      <c r="B101" s="1730">
        <f>审定利润表!C17</f>
        <v>0</v>
      </c>
      <c r="C101" s="1730">
        <f>本月审定利润表!G17</f>
        <v>0</v>
      </c>
      <c r="D101" s="1731" t="str">
        <f t="shared" si="8"/>
        <v> </v>
      </c>
      <c r="E101" s="1732">
        <f t="shared" si="4"/>
        <v>0</v>
      </c>
      <c r="F101" s="1733" t="str">
        <f t="shared" si="7"/>
        <v/>
      </c>
      <c r="G101" s="1734"/>
      <c r="H101" s="1737"/>
      <c r="I101" s="1737"/>
      <c r="J101" s="1759"/>
    </row>
    <row r="102" spans="1:10">
      <c r="A102" s="1762" t="s">
        <v>267</v>
      </c>
      <c r="B102" s="1730">
        <f>审定利润表!C18</f>
        <v>0</v>
      </c>
      <c r="C102" s="1730">
        <f>本月审定利润表!G18</f>
        <v>0</v>
      </c>
      <c r="D102" s="1731" t="str">
        <f t="shared" si="8"/>
        <v> </v>
      </c>
      <c r="E102" s="1732">
        <f t="shared" si="4"/>
        <v>0</v>
      </c>
      <c r="F102" s="1733" t="str">
        <f t="shared" si="7"/>
        <v/>
      </c>
      <c r="G102" s="1734"/>
      <c r="H102" s="1735" t="str">
        <f>IF(报表附注!F4149=0,"相符","不相符")</f>
        <v>相符</v>
      </c>
      <c r="I102" s="1735" t="str">
        <f>IF(报表附注!G4149=0,"相符","不相符")</f>
        <v>相符</v>
      </c>
      <c r="J102" s="1750" t="s">
        <v>1530</v>
      </c>
    </row>
    <row r="103" spans="1:10">
      <c r="A103" s="1763" t="s">
        <v>93</v>
      </c>
      <c r="B103" s="1730">
        <f>审定利润表!C19</f>
        <v>0</v>
      </c>
      <c r="C103" s="1730">
        <f>本月审定利润表!G19</f>
        <v>0</v>
      </c>
      <c r="D103" s="1731" t="str">
        <f t="shared" si="8"/>
        <v> </v>
      </c>
      <c r="E103" s="1732">
        <f t="shared" si="4"/>
        <v>0</v>
      </c>
      <c r="F103" s="1733" t="str">
        <f t="shared" si="7"/>
        <v/>
      </c>
      <c r="G103" s="1734"/>
      <c r="H103" s="1737"/>
      <c r="I103" s="1737"/>
      <c r="J103" s="1771"/>
    </row>
    <row r="104" spans="1:10">
      <c r="A104" s="1762" t="s">
        <v>94</v>
      </c>
      <c r="B104" s="1730">
        <f>审定利润表!C20</f>
        <v>0</v>
      </c>
      <c r="C104" s="1730">
        <f>本月审定利润表!G20</f>
        <v>0</v>
      </c>
      <c r="D104" s="1731" t="str">
        <f t="shared" si="8"/>
        <v> </v>
      </c>
      <c r="E104" s="1732">
        <f t="shared" si="4"/>
        <v>0</v>
      </c>
      <c r="F104" s="1733" t="str">
        <f t="shared" si="7"/>
        <v/>
      </c>
      <c r="G104" s="1734"/>
      <c r="H104" s="1764" t="str">
        <f>IF(AND(报表附注!F2927=0,报表附注!F2959=0),"相符","不相符")</f>
        <v>相符</v>
      </c>
      <c r="I104" s="1760" t="str">
        <f>IF(AND(报表附注!G2959=0,报表附注!G2927=0),"相符","不相符")</f>
        <v>相符</v>
      </c>
      <c r="J104" s="1771" t="s">
        <v>95</v>
      </c>
    </row>
    <row r="105" spans="1:10">
      <c r="A105" s="1762" t="s">
        <v>96</v>
      </c>
      <c r="B105" s="1730">
        <f>审定利润表!C21</f>
        <v>0</v>
      </c>
      <c r="C105" s="1730">
        <f>本月审定利润表!G21</f>
        <v>0</v>
      </c>
      <c r="D105" s="1731" t="str">
        <f t="shared" si="8"/>
        <v> </v>
      </c>
      <c r="E105" s="1732">
        <f t="shared" si="4"/>
        <v>0</v>
      </c>
      <c r="F105" s="1733" t="str">
        <f t="shared" si="7"/>
        <v/>
      </c>
      <c r="G105" s="1734"/>
      <c r="H105" s="1735" t="str">
        <f>IF(报表附注!F2993=0,"相符","不相符")</f>
        <v>相符</v>
      </c>
      <c r="I105" s="1760" t="str">
        <f>IF(报表附注!G2993=0,"相符","不相符")</f>
        <v>相符</v>
      </c>
      <c r="J105" s="1771" t="s">
        <v>97</v>
      </c>
    </row>
    <row r="106" spans="1:10">
      <c r="A106" s="1763" t="s">
        <v>99</v>
      </c>
      <c r="B106" s="1730">
        <f>审定利润表!C22</f>
        <v>0</v>
      </c>
      <c r="C106" s="1730">
        <f>本月审定利润表!G22</f>
        <v>0</v>
      </c>
      <c r="D106" s="1731" t="str">
        <f t="shared" si="8"/>
        <v> </v>
      </c>
      <c r="E106" s="1732">
        <f t="shared" si="4"/>
        <v>0</v>
      </c>
      <c r="F106" s="1733" t="str">
        <f t="shared" si="7"/>
        <v/>
      </c>
      <c r="G106" s="1734"/>
      <c r="H106" s="1737"/>
      <c r="I106" s="1737"/>
      <c r="J106" s="1759"/>
    </row>
    <row r="107" spans="1:10">
      <c r="A107" s="1762" t="s">
        <v>100</v>
      </c>
      <c r="B107" s="1730">
        <f>审定利润表!C23</f>
        <v>0</v>
      </c>
      <c r="C107" s="1730">
        <f>本月审定利润表!G23</f>
        <v>0</v>
      </c>
      <c r="D107" s="1731" t="str">
        <f t="shared" si="8"/>
        <v> </v>
      </c>
      <c r="E107" s="1732">
        <f t="shared" si="4"/>
        <v>0</v>
      </c>
      <c r="F107" s="1733" t="str">
        <f t="shared" si="7"/>
        <v/>
      </c>
      <c r="G107" s="1734"/>
      <c r="H107" s="1735" t="str">
        <f>IF(报表附注!F3004=0,"相符","不相符")</f>
        <v>相符</v>
      </c>
      <c r="I107" s="1760" t="str">
        <f>IF(报表附注!G3004=0,"相符","不相符")</f>
        <v>相符</v>
      </c>
      <c r="J107" s="1771" t="s">
        <v>101</v>
      </c>
    </row>
    <row r="108" spans="1:10">
      <c r="A108" s="1763" t="s">
        <v>102</v>
      </c>
      <c r="B108" s="1730">
        <f>审定利润表!C24</f>
        <v>0</v>
      </c>
      <c r="C108" s="1730">
        <f>本月审定利润表!G24</f>
        <v>0</v>
      </c>
      <c r="D108" s="1731" t="str">
        <f t="shared" si="8"/>
        <v> </v>
      </c>
      <c r="E108" s="1732">
        <f t="shared" si="4"/>
        <v>0</v>
      </c>
      <c r="F108" s="1733" t="str">
        <f t="shared" si="7"/>
        <v/>
      </c>
      <c r="G108" s="1734"/>
      <c r="H108" s="1737"/>
      <c r="I108" s="1737"/>
      <c r="J108" s="1759"/>
    </row>
    <row r="109" spans="1:10">
      <c r="A109" s="1763" t="s">
        <v>270</v>
      </c>
      <c r="B109" s="1730">
        <f>审定利润表!C29</f>
        <v>0</v>
      </c>
      <c r="C109" s="1730">
        <f>审定利润表!D29</f>
        <v>0</v>
      </c>
      <c r="D109" s="1731" t="str">
        <f t="shared" si="8"/>
        <v> </v>
      </c>
      <c r="E109" s="1732">
        <f t="shared" si="4"/>
        <v>0</v>
      </c>
      <c r="F109" s="1733" t="str">
        <f t="shared" si="7"/>
        <v/>
      </c>
      <c r="G109" s="1734"/>
      <c r="H109" s="1735" t="str">
        <f>IF(报表附注!J4057=0,"相符","不相符")</f>
        <v>相符</v>
      </c>
      <c r="I109" s="1760"/>
      <c r="J109" s="1750" t="s">
        <v>1526</v>
      </c>
    </row>
    <row r="110" spans="1:10">
      <c r="A110" s="1736"/>
      <c r="B110" s="1730"/>
      <c r="C110" s="1730"/>
      <c r="D110" s="1731" t="str">
        <f t="shared" si="8"/>
        <v> </v>
      </c>
      <c r="E110" s="1732">
        <f t="shared" si="4"/>
        <v>0</v>
      </c>
      <c r="F110" s="1733" t="str">
        <f t="shared" si="7"/>
        <v/>
      </c>
      <c r="G110" s="1734"/>
      <c r="H110" s="1737"/>
      <c r="I110" s="1737"/>
      <c r="J110" s="1759"/>
    </row>
    <row r="111" ht="19.5" customHeight="1" spans="1:10">
      <c r="A111" s="1765"/>
      <c r="B111" s="1766"/>
      <c r="C111" s="1766"/>
      <c r="D111" s="1766"/>
      <c r="E111" s="1766"/>
      <c r="F111" s="1766"/>
      <c r="G111" s="1766"/>
      <c r="J111" s="1759"/>
    </row>
    <row r="112" spans="1:10">
      <c r="A112" s="1767" t="s">
        <v>60</v>
      </c>
      <c r="B112" s="1730"/>
      <c r="C112" s="1730"/>
      <c r="D112" s="1731"/>
      <c r="E112" s="1731"/>
      <c r="F112" s="1731"/>
      <c r="G112" s="1731"/>
      <c r="H112" s="1737"/>
      <c r="I112" s="1737"/>
      <c r="J112" s="1759"/>
    </row>
    <row r="113" spans="1:10">
      <c r="A113" s="1729"/>
      <c r="B113" s="1768" t="s">
        <v>23</v>
      </c>
      <c r="C113" s="1768" t="s">
        <v>2032</v>
      </c>
      <c r="D113" s="1731"/>
      <c r="E113" s="1731"/>
      <c r="F113" s="1731"/>
      <c r="G113" s="1731"/>
      <c r="H113" s="1737"/>
      <c r="I113" s="1737"/>
      <c r="J113" s="1759"/>
    </row>
    <row r="114" spans="1:10">
      <c r="A114" s="1729" t="s">
        <v>115</v>
      </c>
      <c r="B114" s="1730">
        <f>审定现流表!C6</f>
        <v>0</v>
      </c>
      <c r="C114" s="1730">
        <f>本月审定现流表!G6</f>
        <v>0</v>
      </c>
      <c r="D114" s="1731"/>
      <c r="E114" s="1732">
        <f t="shared" ref="E114:E157" si="9">B114-C114</f>
        <v>0</v>
      </c>
      <c r="F114" s="1733" t="str">
        <f t="shared" ref="F114:F157" si="10">IFERROR(IF(C114=0,B114/B114,ROUND(E114/ABS(C114),4)),"")</f>
        <v/>
      </c>
      <c r="G114" s="1731"/>
      <c r="H114" s="1737"/>
      <c r="I114" s="1737"/>
      <c r="J114" s="1759"/>
    </row>
    <row r="115" spans="1:10">
      <c r="A115" s="1729" t="s">
        <v>116</v>
      </c>
      <c r="B115" s="1730">
        <f>审定现流表!C7</f>
        <v>0</v>
      </c>
      <c r="C115" s="1730">
        <f>本月审定现流表!G7</f>
        <v>0</v>
      </c>
      <c r="D115" s="1731"/>
      <c r="E115" s="1732">
        <f t="shared" si="9"/>
        <v>0</v>
      </c>
      <c r="F115" s="1733" t="str">
        <f t="shared" si="10"/>
        <v/>
      </c>
      <c r="G115" s="1731"/>
      <c r="H115" s="1737"/>
      <c r="I115" s="1737"/>
      <c r="J115" s="1759"/>
    </row>
    <row r="116" spans="1:10">
      <c r="A116" s="1729" t="s">
        <v>117</v>
      </c>
      <c r="B116" s="1730">
        <f>审定现流表!C8</f>
        <v>0</v>
      </c>
      <c r="C116" s="1730">
        <f>本月审定现流表!G8</f>
        <v>0</v>
      </c>
      <c r="D116" s="1731"/>
      <c r="E116" s="1732">
        <f t="shared" si="9"/>
        <v>0</v>
      </c>
      <c r="F116" s="1733" t="str">
        <f t="shared" si="10"/>
        <v/>
      </c>
      <c r="G116" s="1731"/>
      <c r="H116" s="1737"/>
      <c r="I116" s="1737"/>
      <c r="J116" s="1772"/>
    </row>
    <row r="117" spans="1:10">
      <c r="A117" s="1729" t="s">
        <v>118</v>
      </c>
      <c r="B117" s="1730">
        <f>审定现流表!C9</f>
        <v>0</v>
      </c>
      <c r="C117" s="1730">
        <f>本月审定现流表!G9</f>
        <v>0</v>
      </c>
      <c r="D117" s="1731"/>
      <c r="E117" s="1732">
        <f t="shared" si="9"/>
        <v>0</v>
      </c>
      <c r="F117" s="1733" t="str">
        <f t="shared" si="10"/>
        <v/>
      </c>
      <c r="G117" s="1731"/>
      <c r="H117" s="1735" t="str">
        <f>IF(报表附注!F3155=0,"相符","不相符")</f>
        <v>相符</v>
      </c>
      <c r="I117" s="1760" t="str">
        <f>IF(报表附注!G3155=0,"相符","不相符")</f>
        <v>相符</v>
      </c>
      <c r="J117" s="1773" t="s">
        <v>119</v>
      </c>
    </row>
    <row r="118" spans="1:10">
      <c r="A118" s="1729" t="s">
        <v>120</v>
      </c>
      <c r="B118" s="1730">
        <f>审定现流表!C10</f>
        <v>0</v>
      </c>
      <c r="C118" s="1730">
        <f>本月审定现流表!G10</f>
        <v>0</v>
      </c>
      <c r="D118" s="1731"/>
      <c r="E118" s="1732">
        <f t="shared" si="9"/>
        <v>0</v>
      </c>
      <c r="F118" s="1733" t="str">
        <f t="shared" si="10"/>
        <v/>
      </c>
      <c r="G118" s="1731"/>
      <c r="H118" s="1737"/>
      <c r="I118" s="1737"/>
      <c r="J118" s="1759"/>
    </row>
    <row r="119" spans="1:10">
      <c r="A119" s="1729" t="s">
        <v>121</v>
      </c>
      <c r="B119" s="1730">
        <f>审定现流表!C11</f>
        <v>0</v>
      </c>
      <c r="C119" s="1730">
        <f>本月审定现流表!G11</f>
        <v>0</v>
      </c>
      <c r="D119" s="1731"/>
      <c r="E119" s="1732">
        <f t="shared" si="9"/>
        <v>0</v>
      </c>
      <c r="F119" s="1733" t="str">
        <f t="shared" si="10"/>
        <v/>
      </c>
      <c r="G119" s="1731"/>
      <c r="H119" s="1737"/>
      <c r="I119" s="1737"/>
      <c r="J119" s="1759"/>
    </row>
    <row r="120" spans="1:10">
      <c r="A120" s="1729" t="s">
        <v>122</v>
      </c>
      <c r="B120" s="1730">
        <f>审定现流表!C12</f>
        <v>0</v>
      </c>
      <c r="C120" s="1730">
        <f>本月审定现流表!G12</f>
        <v>0</v>
      </c>
      <c r="D120" s="1731"/>
      <c r="E120" s="1732">
        <f t="shared" si="9"/>
        <v>0</v>
      </c>
      <c r="F120" s="1733" t="str">
        <f t="shared" si="10"/>
        <v/>
      </c>
      <c r="G120" s="1731"/>
      <c r="H120" s="1769" t="str">
        <f>IF(现流表勾稽!D10=0,"相符","请在表《现流表勾稽》补充不相符差异原因")</f>
        <v>相符</v>
      </c>
      <c r="I120" s="1737"/>
      <c r="J120" s="1772" t="s">
        <v>2033</v>
      </c>
    </row>
    <row r="121" spans="1:10">
      <c r="A121" s="1729" t="s">
        <v>123</v>
      </c>
      <c r="B121" s="1730">
        <f>审定现流表!C13</f>
        <v>0</v>
      </c>
      <c r="C121" s="1730">
        <f>本月审定现流表!G13</f>
        <v>0</v>
      </c>
      <c r="D121" s="1731"/>
      <c r="E121" s="1732">
        <f t="shared" si="9"/>
        <v>0</v>
      </c>
      <c r="F121" s="1733" t="str">
        <f t="shared" si="10"/>
        <v/>
      </c>
      <c r="G121" s="1731"/>
      <c r="H121" s="1735" t="str">
        <f>IF(现流表勾稽!D25=0,"相符","请在表《现流表勾稽》补充不相符差异原因")</f>
        <v>相符</v>
      </c>
      <c r="I121" s="1737"/>
      <c r="J121" s="1772" t="s">
        <v>2033</v>
      </c>
    </row>
    <row r="122" spans="1:10">
      <c r="A122" s="1729" t="s">
        <v>124</v>
      </c>
      <c r="B122" s="1730">
        <f>审定现流表!C14</f>
        <v>0</v>
      </c>
      <c r="C122" s="1730">
        <f>本月审定现流表!G14</f>
        <v>0</v>
      </c>
      <c r="D122" s="1731"/>
      <c r="E122" s="1732">
        <f t="shared" si="9"/>
        <v>0</v>
      </c>
      <c r="F122" s="1733" t="str">
        <f t="shared" si="10"/>
        <v/>
      </c>
      <c r="G122" s="1731"/>
      <c r="H122" s="1735" t="str">
        <f>IF(报表附注!F3157=0,"相符","不相符")</f>
        <v>相符</v>
      </c>
      <c r="I122" s="1760" t="str">
        <f>IF(报表附注!G3157=0,"相符","不相符")</f>
        <v>相符</v>
      </c>
      <c r="J122" s="1773" t="s">
        <v>119</v>
      </c>
    </row>
    <row r="123" spans="1:10">
      <c r="A123" s="1729" t="s">
        <v>125</v>
      </c>
      <c r="B123" s="1730">
        <f>审定现流表!C15</f>
        <v>0</v>
      </c>
      <c r="C123" s="1730">
        <f>本月审定现流表!G15</f>
        <v>0</v>
      </c>
      <c r="D123" s="1731"/>
      <c r="E123" s="1732">
        <f t="shared" si="9"/>
        <v>0</v>
      </c>
      <c r="F123" s="1733" t="str">
        <f t="shared" si="10"/>
        <v/>
      </c>
      <c r="G123" s="1731"/>
      <c r="H123" s="1737"/>
      <c r="I123" s="1737"/>
      <c r="J123" s="1759"/>
    </row>
    <row r="124" spans="1:10">
      <c r="A124" s="1729" t="s">
        <v>126</v>
      </c>
      <c r="B124" s="1730">
        <f>审定现流表!C16</f>
        <v>0</v>
      </c>
      <c r="C124" s="1730">
        <f>本月审定现流表!G16</f>
        <v>0</v>
      </c>
      <c r="D124" s="1731"/>
      <c r="E124" s="1732">
        <f t="shared" si="9"/>
        <v>0</v>
      </c>
      <c r="F124" s="1733" t="str">
        <f t="shared" si="10"/>
        <v/>
      </c>
      <c r="G124" s="1731"/>
      <c r="H124" s="1737"/>
      <c r="I124" s="1737"/>
      <c r="J124" s="1759"/>
    </row>
    <row r="125" spans="1:10">
      <c r="A125" s="1729"/>
      <c r="B125" s="1730">
        <f>审定现流表!C17</f>
        <v>0</v>
      </c>
      <c r="C125" s="1730">
        <f>本月审定现流表!G17</f>
        <v>0</v>
      </c>
      <c r="D125" s="1731"/>
      <c r="E125" s="1732">
        <f t="shared" si="9"/>
        <v>0</v>
      </c>
      <c r="F125" s="1733" t="str">
        <f t="shared" si="10"/>
        <v/>
      </c>
      <c r="G125" s="1731"/>
      <c r="H125" s="1737"/>
      <c r="I125" s="1737"/>
      <c r="J125" s="1759"/>
    </row>
    <row r="126" spans="1:10">
      <c r="A126" s="1729" t="s">
        <v>127</v>
      </c>
      <c r="B126" s="1730">
        <f>审定现流表!C18</f>
        <v>0</v>
      </c>
      <c r="C126" s="1730">
        <f>本月审定现流表!G18</f>
        <v>0</v>
      </c>
      <c r="D126" s="1731"/>
      <c r="E126" s="1732">
        <f t="shared" si="9"/>
        <v>0</v>
      </c>
      <c r="F126" s="1733" t="str">
        <f t="shared" si="10"/>
        <v/>
      </c>
      <c r="G126" s="1731"/>
      <c r="H126" s="1737"/>
      <c r="I126" s="1737"/>
      <c r="J126" s="1759"/>
    </row>
    <row r="127" spans="1:10">
      <c r="A127" s="1729" t="s">
        <v>128</v>
      </c>
      <c r="B127" s="1730">
        <f>审定现流表!C19</f>
        <v>0</v>
      </c>
      <c r="C127" s="1730">
        <f>本月审定现流表!G19</f>
        <v>0</v>
      </c>
      <c r="D127" s="1731"/>
      <c r="E127" s="1732">
        <f t="shared" si="9"/>
        <v>0</v>
      </c>
      <c r="F127" s="1733" t="str">
        <f t="shared" si="10"/>
        <v/>
      </c>
      <c r="G127" s="1731"/>
      <c r="H127" s="1737"/>
      <c r="I127" s="1737"/>
      <c r="J127" s="1759"/>
    </row>
    <row r="128" spans="1:10">
      <c r="A128" s="1729" t="s">
        <v>129</v>
      </c>
      <c r="B128" s="1730">
        <f>审定现流表!C20</f>
        <v>0</v>
      </c>
      <c r="C128" s="1730">
        <f>本月审定现流表!G20</f>
        <v>0</v>
      </c>
      <c r="D128" s="1731"/>
      <c r="E128" s="1732">
        <f t="shared" si="9"/>
        <v>0</v>
      </c>
      <c r="F128" s="1733" t="str">
        <f t="shared" si="10"/>
        <v/>
      </c>
      <c r="G128" s="1731"/>
      <c r="H128" s="1737"/>
      <c r="I128" s="1737"/>
      <c r="J128" s="1759"/>
    </row>
    <row r="129" spans="1:10">
      <c r="A129" s="1729" t="s">
        <v>130</v>
      </c>
      <c r="B129" s="1730">
        <f>审定现流表!C21</f>
        <v>0</v>
      </c>
      <c r="C129" s="1730">
        <f>本月审定现流表!G21</f>
        <v>0</v>
      </c>
      <c r="D129" s="1731"/>
      <c r="E129" s="1732">
        <f t="shared" si="9"/>
        <v>0</v>
      </c>
      <c r="F129" s="1733" t="str">
        <f t="shared" si="10"/>
        <v/>
      </c>
      <c r="G129" s="1731"/>
      <c r="H129" s="1737"/>
      <c r="I129" s="1737"/>
      <c r="J129" s="1759"/>
    </row>
    <row r="130" spans="1:10">
      <c r="A130" s="1729" t="s">
        <v>131</v>
      </c>
      <c r="B130" s="1730">
        <f>审定现流表!C22</f>
        <v>0</v>
      </c>
      <c r="C130" s="1730">
        <f>本月审定现流表!G22</f>
        <v>0</v>
      </c>
      <c r="D130" s="1731"/>
      <c r="E130" s="1732">
        <f t="shared" si="9"/>
        <v>0</v>
      </c>
      <c r="F130" s="1733" t="str">
        <f t="shared" si="10"/>
        <v/>
      </c>
      <c r="G130" s="1731"/>
      <c r="H130" s="1737"/>
      <c r="I130" s="1737"/>
      <c r="J130" s="1759"/>
    </row>
    <row r="131" spans="1:10">
      <c r="A131" s="1729" t="s">
        <v>132</v>
      </c>
      <c r="B131" s="1730">
        <f>审定现流表!C23</f>
        <v>0</v>
      </c>
      <c r="C131" s="1730">
        <f>本月审定现流表!G23</f>
        <v>0</v>
      </c>
      <c r="D131" s="1731"/>
      <c r="E131" s="1732">
        <f t="shared" si="9"/>
        <v>0</v>
      </c>
      <c r="F131" s="1733" t="str">
        <f t="shared" si="10"/>
        <v/>
      </c>
      <c r="G131" s="1731"/>
      <c r="H131" s="1735" t="str">
        <f>IF(报表附注!F3190=0,"相符","不相符")</f>
        <v>相符</v>
      </c>
      <c r="I131" s="1760" t="str">
        <f>IF(报表附注!G3190=0,"相符","不相符")</f>
        <v>相符</v>
      </c>
      <c r="J131" s="1773" t="s">
        <v>133</v>
      </c>
    </row>
    <row r="132" spans="1:10">
      <c r="A132" s="1729" t="s">
        <v>134</v>
      </c>
      <c r="B132" s="1730">
        <f>审定现流表!C24</f>
        <v>0</v>
      </c>
      <c r="C132" s="1730">
        <f>本月审定现流表!G24</f>
        <v>0</v>
      </c>
      <c r="D132" s="1731"/>
      <c r="E132" s="1732">
        <f t="shared" si="9"/>
        <v>0</v>
      </c>
      <c r="F132" s="1733" t="str">
        <f t="shared" si="10"/>
        <v/>
      </c>
      <c r="G132" s="1731"/>
      <c r="H132" s="1737"/>
      <c r="I132" s="1737"/>
      <c r="J132" s="1774"/>
    </row>
    <row r="133" spans="1:10">
      <c r="A133" s="1729" t="s">
        <v>135</v>
      </c>
      <c r="B133" s="1730">
        <f>审定现流表!C25</f>
        <v>0</v>
      </c>
      <c r="C133" s="1730">
        <f>本月审定现流表!G25</f>
        <v>0</v>
      </c>
      <c r="D133" s="1731"/>
      <c r="E133" s="1732">
        <f t="shared" si="9"/>
        <v>0</v>
      </c>
      <c r="F133" s="1733" t="str">
        <f t="shared" si="10"/>
        <v/>
      </c>
      <c r="G133" s="1731"/>
      <c r="H133" s="1769" t="str">
        <f>IF(现流表勾稽!D46=0,"相符","请在表《现流表勾稽》补充不相符差异原因")</f>
        <v>相符</v>
      </c>
      <c r="I133" s="1737"/>
      <c r="J133" s="1775"/>
    </row>
    <row r="134" spans="1:10">
      <c r="A134" s="1729" t="s">
        <v>136</v>
      </c>
      <c r="B134" s="1730">
        <f>审定现流表!C26</f>
        <v>0</v>
      </c>
      <c r="C134" s="1730">
        <f>本月审定现流表!G26</f>
        <v>0</v>
      </c>
      <c r="D134" s="1731"/>
      <c r="E134" s="1732">
        <f t="shared" si="9"/>
        <v>0</v>
      </c>
      <c r="F134" s="1733" t="str">
        <f t="shared" si="10"/>
        <v/>
      </c>
      <c r="G134" s="1731"/>
      <c r="H134" s="1737"/>
      <c r="I134" s="1737"/>
      <c r="J134" s="1775"/>
    </row>
    <row r="135" spans="1:10">
      <c r="A135" s="1729" t="s">
        <v>137</v>
      </c>
      <c r="B135" s="1730">
        <f>审定现流表!C27</f>
        <v>0</v>
      </c>
      <c r="C135" s="1730">
        <f>本月审定现流表!G27</f>
        <v>0</v>
      </c>
      <c r="D135" s="1731"/>
      <c r="E135" s="1732">
        <f t="shared" si="9"/>
        <v>0</v>
      </c>
      <c r="F135" s="1733" t="str">
        <f t="shared" si="10"/>
        <v/>
      </c>
      <c r="G135" s="1731"/>
      <c r="H135" s="1737"/>
      <c r="I135" s="1737"/>
      <c r="J135" s="1775"/>
    </row>
    <row r="136" spans="1:10">
      <c r="A136" s="1729" t="s">
        <v>138</v>
      </c>
      <c r="B136" s="1730">
        <f>审定现流表!C28</f>
        <v>0</v>
      </c>
      <c r="C136" s="1730">
        <f>本月审定现流表!G28</f>
        <v>0</v>
      </c>
      <c r="D136" s="1731"/>
      <c r="E136" s="1732">
        <f t="shared" si="9"/>
        <v>0</v>
      </c>
      <c r="F136" s="1733" t="str">
        <f t="shared" si="10"/>
        <v/>
      </c>
      <c r="G136" s="1731"/>
      <c r="H136" s="1735" t="str">
        <f>IF(报表附注!F3192=0,"相符","不相符")</f>
        <v>相符</v>
      </c>
      <c r="I136" s="1760" t="str">
        <f>IF(报表附注!G3192=0,"相符","不相符")</f>
        <v>相符</v>
      </c>
      <c r="J136" s="1773" t="s">
        <v>133</v>
      </c>
    </row>
    <row r="137" spans="1:10">
      <c r="A137" s="1729" t="s">
        <v>139</v>
      </c>
      <c r="B137" s="1730">
        <f>审定现流表!C29</f>
        <v>0</v>
      </c>
      <c r="C137" s="1730">
        <f>本月审定现流表!G29</f>
        <v>0</v>
      </c>
      <c r="D137" s="1731"/>
      <c r="E137" s="1732">
        <f t="shared" si="9"/>
        <v>0</v>
      </c>
      <c r="F137" s="1733" t="str">
        <f t="shared" si="10"/>
        <v/>
      </c>
      <c r="G137" s="1731"/>
      <c r="H137" s="1737"/>
      <c r="I137" s="1737"/>
      <c r="J137" s="1774"/>
    </row>
    <row r="138" spans="1:10">
      <c r="A138" s="1729" t="s">
        <v>140</v>
      </c>
      <c r="B138" s="1730">
        <f>审定现流表!C30</f>
        <v>0</v>
      </c>
      <c r="C138" s="1730">
        <f>本月审定现流表!G30</f>
        <v>0</v>
      </c>
      <c r="D138" s="1731"/>
      <c r="E138" s="1732">
        <f t="shared" si="9"/>
        <v>0</v>
      </c>
      <c r="F138" s="1733" t="str">
        <f t="shared" si="10"/>
        <v/>
      </c>
      <c r="G138" s="1731"/>
      <c r="H138" s="1737"/>
      <c r="I138" s="1737"/>
      <c r="J138" s="1774"/>
    </row>
    <row r="139" spans="1:10">
      <c r="A139" s="1729"/>
      <c r="B139" s="1730">
        <f>审定现流表!C31</f>
        <v>0</v>
      </c>
      <c r="C139" s="1730">
        <f>本月审定现流表!G31</f>
        <v>0</v>
      </c>
      <c r="D139" s="1731"/>
      <c r="E139" s="1732">
        <f t="shared" si="9"/>
        <v>0</v>
      </c>
      <c r="F139" s="1733" t="str">
        <f t="shared" si="10"/>
        <v/>
      </c>
      <c r="G139" s="1731"/>
      <c r="H139" s="1737"/>
      <c r="I139" s="1737"/>
      <c r="J139" s="1774"/>
    </row>
    <row r="140" spans="1:10">
      <c r="A140" s="1729" t="s">
        <v>141</v>
      </c>
      <c r="B140" s="1730">
        <f>审定现流表!C32</f>
        <v>0</v>
      </c>
      <c r="C140" s="1730">
        <f>本月审定现流表!G32</f>
        <v>0</v>
      </c>
      <c r="D140" s="1731"/>
      <c r="E140" s="1732">
        <f t="shared" si="9"/>
        <v>0</v>
      </c>
      <c r="F140" s="1733" t="str">
        <f t="shared" si="10"/>
        <v/>
      </c>
      <c r="G140" s="1731"/>
      <c r="H140" s="1737"/>
      <c r="I140" s="1737"/>
      <c r="J140" s="1774"/>
    </row>
    <row r="141" spans="1:10">
      <c r="A141" s="1729" t="s">
        <v>142</v>
      </c>
      <c r="B141" s="1730">
        <f>审定现流表!C33</f>
        <v>0</v>
      </c>
      <c r="C141" s="1730">
        <f>本月审定现流表!G33</f>
        <v>0</v>
      </c>
      <c r="D141" s="1731"/>
      <c r="E141" s="1732">
        <f t="shared" si="9"/>
        <v>0</v>
      </c>
      <c r="F141" s="1733" t="str">
        <f t="shared" si="10"/>
        <v/>
      </c>
      <c r="G141" s="1731"/>
      <c r="H141" s="1737"/>
      <c r="I141" s="1737"/>
      <c r="J141" s="1775"/>
    </row>
    <row r="142" spans="1:10">
      <c r="A142" s="1729" t="s">
        <v>143</v>
      </c>
      <c r="B142" s="1730">
        <f>审定现流表!C34</f>
        <v>0</v>
      </c>
      <c r="C142" s="1730">
        <f>本月审定现流表!G34</f>
        <v>0</v>
      </c>
      <c r="D142" s="1731"/>
      <c r="E142" s="1732">
        <f t="shared" si="9"/>
        <v>0</v>
      </c>
      <c r="F142" s="1733" t="str">
        <f t="shared" si="10"/>
        <v/>
      </c>
      <c r="G142" s="1731"/>
      <c r="H142" s="1737"/>
      <c r="I142" s="1737"/>
      <c r="J142" s="1775"/>
    </row>
    <row r="143" spans="1:10">
      <c r="A143" s="1729" t="s">
        <v>144</v>
      </c>
      <c r="B143" s="1730">
        <f>审定现流表!C35</f>
        <v>0</v>
      </c>
      <c r="C143" s="1730">
        <f>本月审定现流表!G35</f>
        <v>0</v>
      </c>
      <c r="D143" s="1731"/>
      <c r="E143" s="1732">
        <f t="shared" si="9"/>
        <v>0</v>
      </c>
      <c r="F143" s="1733" t="str">
        <f t="shared" si="10"/>
        <v/>
      </c>
      <c r="G143" s="1731"/>
      <c r="H143" s="1769" t="str">
        <f>IF(现流表勾稽!D77=0,"相符","请在表《现流表勾稽》补充不相符差异原因")</f>
        <v>相符</v>
      </c>
      <c r="I143" s="1737"/>
      <c r="J143" s="1775"/>
    </row>
    <row r="144" spans="1:10">
      <c r="A144" s="1729" t="s">
        <v>145</v>
      </c>
      <c r="B144" s="1730">
        <f>审定现流表!C36</f>
        <v>0</v>
      </c>
      <c r="C144" s="1730">
        <f>本月审定现流表!G36</f>
        <v>0</v>
      </c>
      <c r="D144" s="1731"/>
      <c r="E144" s="1732">
        <f t="shared" si="9"/>
        <v>0</v>
      </c>
      <c r="F144" s="1733" t="str">
        <f t="shared" si="10"/>
        <v/>
      </c>
      <c r="G144" s="1731"/>
      <c r="H144" s="1737"/>
      <c r="I144" s="1737"/>
      <c r="J144" s="1775"/>
    </row>
    <row r="145" spans="1:10">
      <c r="A145" s="1729" t="s">
        <v>146</v>
      </c>
      <c r="B145" s="1730">
        <f>审定现流表!C37</f>
        <v>0</v>
      </c>
      <c r="C145" s="1730">
        <f>本月审定现流表!G37</f>
        <v>0</v>
      </c>
      <c r="D145" s="1731"/>
      <c r="E145" s="1732">
        <f t="shared" si="9"/>
        <v>0</v>
      </c>
      <c r="F145" s="1733" t="str">
        <f t="shared" si="10"/>
        <v/>
      </c>
      <c r="G145" s="1731"/>
      <c r="H145" s="1735" t="str">
        <f>IF(报表附注!F3221=0,"相符","不相符")</f>
        <v>相符</v>
      </c>
      <c r="I145" s="1760" t="str">
        <f>IF(报表附注!G3221=0,"相符","不相符")</f>
        <v>相符</v>
      </c>
      <c r="J145" s="1773" t="s">
        <v>147</v>
      </c>
    </row>
    <row r="146" spans="1:10">
      <c r="A146" s="1729" t="s">
        <v>148</v>
      </c>
      <c r="B146" s="1730">
        <f>审定现流表!C38</f>
        <v>0</v>
      </c>
      <c r="C146" s="1730">
        <f>本月审定现流表!G38</f>
        <v>0</v>
      </c>
      <c r="D146" s="1731"/>
      <c r="E146" s="1732">
        <f t="shared" si="9"/>
        <v>0</v>
      </c>
      <c r="F146" s="1733" t="str">
        <f t="shared" si="10"/>
        <v/>
      </c>
      <c r="G146" s="1731"/>
      <c r="H146" s="1737"/>
      <c r="I146" s="1737"/>
      <c r="J146" s="1774"/>
    </row>
    <row r="147" spans="1:10">
      <c r="A147" s="1729" t="s">
        <v>149</v>
      </c>
      <c r="B147" s="1730">
        <f>审定现流表!C39</f>
        <v>0</v>
      </c>
      <c r="C147" s="1730">
        <f>本月审定现流表!G39</f>
        <v>0</v>
      </c>
      <c r="D147" s="1731"/>
      <c r="E147" s="1732">
        <f t="shared" si="9"/>
        <v>0</v>
      </c>
      <c r="F147" s="1733" t="str">
        <f t="shared" si="10"/>
        <v/>
      </c>
      <c r="G147" s="1731"/>
      <c r="H147" s="1737"/>
      <c r="I147" s="1737"/>
      <c r="J147" s="1775"/>
    </row>
    <row r="148" spans="1:10">
      <c r="A148" s="1729" t="s">
        <v>150</v>
      </c>
      <c r="B148" s="1730">
        <f>审定现流表!C40</f>
        <v>0</v>
      </c>
      <c r="C148" s="1730">
        <f>本月审定现流表!G40</f>
        <v>0</v>
      </c>
      <c r="D148" s="1731"/>
      <c r="E148" s="1732">
        <f t="shared" si="9"/>
        <v>0</v>
      </c>
      <c r="F148" s="1733" t="str">
        <f t="shared" si="10"/>
        <v/>
      </c>
      <c r="G148" s="1731"/>
      <c r="H148" s="1769" t="str">
        <f>IF(现流表勾稽!D94=0,"相符","请在表《现流表勾稽》补充不相符差异原因")</f>
        <v>相符</v>
      </c>
      <c r="I148" s="1737"/>
      <c r="J148" s="1775"/>
    </row>
    <row r="149" spans="1:10">
      <c r="A149" s="1729" t="s">
        <v>151</v>
      </c>
      <c r="B149" s="1730">
        <f>审定现流表!C41</f>
        <v>0</v>
      </c>
      <c r="C149" s="1730">
        <f>本月审定现流表!G41</f>
        <v>0</v>
      </c>
      <c r="D149" s="1731"/>
      <c r="E149" s="1732">
        <f t="shared" si="9"/>
        <v>0</v>
      </c>
      <c r="F149" s="1733" t="str">
        <f t="shared" si="10"/>
        <v/>
      </c>
      <c r="G149" s="1731"/>
      <c r="H149" s="1737"/>
      <c r="I149" s="1737"/>
      <c r="J149" s="1775"/>
    </row>
    <row r="150" spans="1:10">
      <c r="A150" s="1729" t="s">
        <v>152</v>
      </c>
      <c r="B150" s="1730">
        <f>审定现流表!C42</f>
        <v>0</v>
      </c>
      <c r="C150" s="1730">
        <f>本月审定现流表!G42</f>
        <v>0</v>
      </c>
      <c r="D150" s="1731"/>
      <c r="E150" s="1732">
        <f t="shared" si="9"/>
        <v>0</v>
      </c>
      <c r="F150" s="1733" t="str">
        <f t="shared" si="10"/>
        <v/>
      </c>
      <c r="G150" s="1731"/>
      <c r="H150" s="1735" t="str">
        <f>IF(报表附注!F3223=0,"相符","不相符")</f>
        <v>相符</v>
      </c>
      <c r="I150" s="1760" t="str">
        <f>IF(报表附注!G3223=0,"相符","不相符")</f>
        <v>相符</v>
      </c>
      <c r="J150" s="1773" t="s">
        <v>147</v>
      </c>
    </row>
    <row r="151" spans="1:10">
      <c r="A151" s="1729" t="s">
        <v>153</v>
      </c>
      <c r="B151" s="1730">
        <f>审定现流表!C43</f>
        <v>0</v>
      </c>
      <c r="C151" s="1730">
        <f>本月审定现流表!G43</f>
        <v>0</v>
      </c>
      <c r="D151" s="1731"/>
      <c r="E151" s="1732">
        <f t="shared" si="9"/>
        <v>0</v>
      </c>
      <c r="F151" s="1733" t="str">
        <f t="shared" si="10"/>
        <v/>
      </c>
      <c r="G151" s="1731"/>
      <c r="H151" s="1737"/>
      <c r="I151" s="1737"/>
      <c r="J151" s="1759"/>
    </row>
    <row r="152" spans="1:10">
      <c r="A152" s="1729" t="s">
        <v>154</v>
      </c>
      <c r="B152" s="1730">
        <f>审定现流表!C44</f>
        <v>0</v>
      </c>
      <c r="C152" s="1730">
        <f>本月审定现流表!G44</f>
        <v>0</v>
      </c>
      <c r="D152" s="1731"/>
      <c r="E152" s="1732">
        <f t="shared" si="9"/>
        <v>0</v>
      </c>
      <c r="F152" s="1733" t="str">
        <f t="shared" si="10"/>
        <v/>
      </c>
      <c r="G152" s="1731"/>
      <c r="H152" s="1737"/>
      <c r="I152" s="1737"/>
      <c r="J152" s="1759"/>
    </row>
    <row r="153" spans="1:10">
      <c r="A153" s="1729"/>
      <c r="B153" s="1730">
        <f>审定现流表!C45</f>
        <v>0</v>
      </c>
      <c r="C153" s="1730">
        <f>本月审定现流表!G45</f>
        <v>0</v>
      </c>
      <c r="D153" s="1731"/>
      <c r="E153" s="1732">
        <f t="shared" si="9"/>
        <v>0</v>
      </c>
      <c r="F153" s="1733" t="str">
        <f t="shared" si="10"/>
        <v/>
      </c>
      <c r="G153" s="1731"/>
      <c r="H153" s="1737"/>
      <c r="I153" s="1737"/>
      <c r="J153" s="1759"/>
    </row>
    <row r="154" spans="1:10">
      <c r="A154" s="1729" t="s">
        <v>155</v>
      </c>
      <c r="B154" s="1730">
        <f>审定现流表!C46</f>
        <v>0</v>
      </c>
      <c r="C154" s="1730">
        <f>本月审定现流表!G46</f>
        <v>0</v>
      </c>
      <c r="D154" s="1731"/>
      <c r="E154" s="1732">
        <f t="shared" si="9"/>
        <v>0</v>
      </c>
      <c r="F154" s="1733" t="str">
        <f t="shared" si="10"/>
        <v/>
      </c>
      <c r="G154" s="1731"/>
      <c r="H154" s="1769" t="str">
        <f>IF(现流表勾稽!D105=0,"相符","请在表《现流表勾稽》补充不相符差异原因")</f>
        <v>相符</v>
      </c>
      <c r="I154" s="1737"/>
      <c r="J154" s="1759"/>
    </row>
    <row r="155" spans="1:10">
      <c r="A155" s="1729" t="s">
        <v>156</v>
      </c>
      <c r="B155" s="1730">
        <f>审定现流表!C47</f>
        <v>0</v>
      </c>
      <c r="C155" s="1730">
        <f>本月审定现流表!G47</f>
        <v>0</v>
      </c>
      <c r="D155" s="1731"/>
      <c r="E155" s="1732">
        <f t="shared" si="9"/>
        <v>0</v>
      </c>
      <c r="F155" s="1733" t="str">
        <f t="shared" si="10"/>
        <v/>
      </c>
      <c r="G155" s="1731"/>
      <c r="H155" s="1737"/>
      <c r="I155" s="1737"/>
      <c r="J155" s="1759"/>
    </row>
    <row r="156" spans="1:10">
      <c r="A156" s="1729" t="s">
        <v>157</v>
      </c>
      <c r="B156" s="1730">
        <f>审定现流表!C48</f>
        <v>0</v>
      </c>
      <c r="C156" s="1730">
        <f>本月审定现流表!G48</f>
        <v>0</v>
      </c>
      <c r="D156" s="1731"/>
      <c r="E156" s="1732">
        <f t="shared" si="9"/>
        <v>0</v>
      </c>
      <c r="F156" s="1733" t="str">
        <f t="shared" si="10"/>
        <v/>
      </c>
      <c r="G156" s="1731"/>
      <c r="H156" s="1737"/>
      <c r="I156" s="1737"/>
      <c r="J156" s="1759"/>
    </row>
    <row r="157" spans="1:10">
      <c r="A157" s="1729" t="s">
        <v>158</v>
      </c>
      <c r="B157" s="1730">
        <f>审定现流表!C49</f>
        <v>0</v>
      </c>
      <c r="C157" s="1730">
        <f>本月审定现流表!G49</f>
        <v>0</v>
      </c>
      <c r="D157" s="1731"/>
      <c r="E157" s="1732">
        <f t="shared" si="9"/>
        <v>0</v>
      </c>
      <c r="F157" s="1733" t="str">
        <f t="shared" si="10"/>
        <v/>
      </c>
      <c r="G157" s="1731"/>
      <c r="H157" s="1737"/>
      <c r="I157" s="1737"/>
      <c r="J157" s="1759"/>
    </row>
    <row r="158" spans="2:10">
      <c r="B158" s="1599"/>
      <c r="C158" s="1599"/>
      <c r="J158" s="1759"/>
    </row>
    <row r="159" spans="1:10">
      <c r="A159" s="1729" t="s">
        <v>160</v>
      </c>
      <c r="B159" s="1768" t="s">
        <v>23</v>
      </c>
      <c r="C159" s="1768" t="s">
        <v>2032</v>
      </c>
      <c r="D159" s="1731"/>
      <c r="E159" s="1731"/>
      <c r="F159" s="1731"/>
      <c r="G159" s="1731"/>
      <c r="H159" s="1737"/>
      <c r="I159" s="1737"/>
      <c r="J159" s="1759"/>
    </row>
    <row r="160" spans="1:10">
      <c r="A160" s="1729" t="s">
        <v>163</v>
      </c>
      <c r="B160" s="1730"/>
      <c r="C160" s="1730"/>
      <c r="D160" s="1731"/>
      <c r="E160" s="1732">
        <f t="shared" ref="E160:E189" si="11">B160-C160</f>
        <v>0</v>
      </c>
      <c r="F160" s="1733" t="str">
        <f t="shared" ref="F160:F189" si="12">IFERROR(IF(C160=0,B160/B160,ROUND(E160/ABS(C160),4)),"")</f>
        <v/>
      </c>
      <c r="G160" s="1731"/>
      <c r="H160" s="1737"/>
      <c r="I160" s="1737"/>
      <c r="J160" s="1759"/>
    </row>
    <row r="161" spans="1:10">
      <c r="A161" s="1729" t="s">
        <v>109</v>
      </c>
      <c r="B161" s="1730">
        <f>审定现流表!C56</f>
        <v>0</v>
      </c>
      <c r="C161" s="1730">
        <f>本月审定现流表!G56</f>
        <v>0</v>
      </c>
      <c r="D161" s="1731"/>
      <c r="E161" s="1732">
        <f t="shared" si="11"/>
        <v>0</v>
      </c>
      <c r="F161" s="1733" t="str">
        <f t="shared" si="12"/>
        <v/>
      </c>
      <c r="G161" s="1731"/>
      <c r="H161" s="1737"/>
      <c r="I161" s="1737"/>
      <c r="J161" s="1759"/>
    </row>
    <row r="162" spans="1:10">
      <c r="A162" s="1729" t="s">
        <v>164</v>
      </c>
      <c r="B162" s="1730">
        <f>审定现流表!C57</f>
        <v>0</v>
      </c>
      <c r="C162" s="1730">
        <f>本月审定现流表!G57</f>
        <v>0</v>
      </c>
      <c r="D162" s="1731"/>
      <c r="E162" s="1732">
        <f t="shared" si="11"/>
        <v>0</v>
      </c>
      <c r="F162" s="1733" t="str">
        <f t="shared" si="12"/>
        <v/>
      </c>
      <c r="G162" s="1731"/>
      <c r="H162" s="1769" t="str">
        <f>IF(现流表勾稽!D116=0,"相符","请在表《现流表勾稽》补充不相符差异原因")</f>
        <v>相符</v>
      </c>
      <c r="I162" s="1737"/>
      <c r="J162" s="1759"/>
    </row>
    <row r="163" spans="1:10">
      <c r="A163" s="1729" t="s">
        <v>165</v>
      </c>
      <c r="B163" s="1730">
        <f>审定现流表!C58</f>
        <v>0</v>
      </c>
      <c r="C163" s="1730">
        <f>本月审定现流表!G58</f>
        <v>0</v>
      </c>
      <c r="D163" s="1731"/>
      <c r="E163" s="1732">
        <f t="shared" si="11"/>
        <v>0</v>
      </c>
      <c r="F163" s="1733" t="str">
        <f t="shared" si="12"/>
        <v/>
      </c>
      <c r="G163" s="1731"/>
      <c r="H163" s="1769" t="str">
        <f>IF(现流表勾稽!D129=0,"相符","请在表《现流表勾稽》补充不相符差异原因")</f>
        <v>相符</v>
      </c>
      <c r="I163" s="1737"/>
      <c r="J163" s="1759"/>
    </row>
    <row r="164" spans="1:10">
      <c r="A164" s="1729" t="s">
        <v>166</v>
      </c>
      <c r="B164" s="1730">
        <f>审定现流表!C59</f>
        <v>0</v>
      </c>
      <c r="C164" s="1730">
        <f>本月审定现流表!G59</f>
        <v>0</v>
      </c>
      <c r="D164" s="1731"/>
      <c r="E164" s="1732">
        <f t="shared" si="11"/>
        <v>0</v>
      </c>
      <c r="F164" s="1733" t="str">
        <f t="shared" si="12"/>
        <v/>
      </c>
      <c r="G164" s="1731"/>
      <c r="H164" s="1769" t="str">
        <f>IF(现流表勾稽!D142=0,"相符","请在表《现流表勾稽》补充不相符差异原因")</f>
        <v>相符</v>
      </c>
      <c r="I164" s="1737"/>
      <c r="J164" s="1759"/>
    </row>
    <row r="165" spans="1:10">
      <c r="A165" s="1729" t="s">
        <v>167</v>
      </c>
      <c r="B165" s="1730">
        <f>审定现流表!C60</f>
        <v>0</v>
      </c>
      <c r="C165" s="1730">
        <f>本月审定现流表!G60</f>
        <v>0</v>
      </c>
      <c r="D165" s="1731"/>
      <c r="E165" s="1732">
        <f t="shared" si="11"/>
        <v>0</v>
      </c>
      <c r="F165" s="1733" t="str">
        <f t="shared" si="12"/>
        <v/>
      </c>
      <c r="G165" s="1731"/>
      <c r="H165" s="1769" t="str">
        <f>IF(现流表勾稽!D152=0,"相符","请在表《现流表勾稽》补充不相符差异原因")</f>
        <v>相符</v>
      </c>
      <c r="I165" s="1737"/>
      <c r="J165" s="1759"/>
    </row>
    <row r="166" spans="1:10">
      <c r="A166" s="1729" t="s">
        <v>168</v>
      </c>
      <c r="B166" s="1730">
        <f>审定现流表!C61</f>
        <v>0</v>
      </c>
      <c r="C166" s="1730">
        <f>本月审定现流表!G61</f>
        <v>0</v>
      </c>
      <c r="D166" s="1731"/>
      <c r="E166" s="1732">
        <f t="shared" si="11"/>
        <v>0</v>
      </c>
      <c r="F166" s="1733" t="str">
        <f t="shared" si="12"/>
        <v/>
      </c>
      <c r="G166" s="1731"/>
      <c r="H166" s="1769" t="str">
        <f>IF(现流表勾稽!D166=0,"相符","请在表《现流表勾稽》补充不相符差异原因")</f>
        <v>相符</v>
      </c>
      <c r="I166" s="1737"/>
      <c r="J166" s="1759"/>
    </row>
    <row r="167" spans="1:10">
      <c r="A167" s="1729" t="s">
        <v>169</v>
      </c>
      <c r="B167" s="1730">
        <f>审定现流表!C62</f>
        <v>0</v>
      </c>
      <c r="C167" s="1730">
        <f>本月审定现流表!G62</f>
        <v>0</v>
      </c>
      <c r="D167" s="1731"/>
      <c r="E167" s="1732">
        <f t="shared" si="11"/>
        <v>0</v>
      </c>
      <c r="F167" s="1733" t="str">
        <f t="shared" si="12"/>
        <v/>
      </c>
      <c r="G167" s="1731"/>
      <c r="H167" s="1737"/>
      <c r="I167" s="1737"/>
      <c r="J167" s="1759"/>
    </row>
    <row r="168" spans="1:10">
      <c r="A168" s="1729" t="s">
        <v>170</v>
      </c>
      <c r="B168" s="1730">
        <f>审定现流表!C63</f>
        <v>0</v>
      </c>
      <c r="C168" s="1730">
        <f>本月审定现流表!G63</f>
        <v>0</v>
      </c>
      <c r="D168" s="1731"/>
      <c r="E168" s="1732">
        <f t="shared" si="11"/>
        <v>0</v>
      </c>
      <c r="F168" s="1733" t="str">
        <f t="shared" si="12"/>
        <v/>
      </c>
      <c r="G168" s="1731"/>
      <c r="H168" s="1769" t="str">
        <f>IF(现流表勾稽!D177=0,"相符","请在表《现流表勾稽》补充不相符差异原因")</f>
        <v>相符</v>
      </c>
      <c r="I168" s="1737"/>
      <c r="J168" s="1759"/>
    </row>
    <row r="169" spans="1:10">
      <c r="A169" s="1729" t="s">
        <v>84</v>
      </c>
      <c r="B169" s="1730">
        <f>审定现流表!C64</f>
        <v>0</v>
      </c>
      <c r="C169" s="1730">
        <f>本月审定现流表!G64</f>
        <v>0</v>
      </c>
      <c r="D169" s="1731"/>
      <c r="E169" s="1732">
        <f t="shared" si="11"/>
        <v>0</v>
      </c>
      <c r="F169" s="1733" t="str">
        <f t="shared" si="12"/>
        <v/>
      </c>
      <c r="G169" s="1731"/>
      <c r="H169" s="1769" t="str">
        <f>IF(现流表勾稽!D189=0,"相符","请在表《现流表勾稽》补充不相符差异原因")</f>
        <v>相符</v>
      </c>
      <c r="I169" s="1737"/>
      <c r="J169" s="1759"/>
    </row>
    <row r="170" spans="1:10">
      <c r="A170" s="1729" t="s">
        <v>171</v>
      </c>
      <c r="B170" s="1730">
        <f>审定现流表!C65</f>
        <v>0</v>
      </c>
      <c r="C170" s="1730">
        <f>本月审定现流表!G65</f>
        <v>0</v>
      </c>
      <c r="D170" s="1731"/>
      <c r="E170" s="1732">
        <f t="shared" si="11"/>
        <v>0</v>
      </c>
      <c r="F170" s="1733" t="str">
        <f t="shared" si="12"/>
        <v/>
      </c>
      <c r="G170" s="1731"/>
      <c r="H170" s="1769" t="str">
        <f>IF(现流表勾稽!D200=0,"相符","请在表《现流表勾稽》补充不相符差异原因")</f>
        <v>相符</v>
      </c>
      <c r="I170" s="1737"/>
      <c r="J170" s="1759"/>
    </row>
    <row r="171" spans="1:10">
      <c r="A171" s="1729" t="s">
        <v>172</v>
      </c>
      <c r="B171" s="1730">
        <f>审定现流表!C66</f>
        <v>0</v>
      </c>
      <c r="C171" s="1730">
        <f>本月审定现流表!G66</f>
        <v>0</v>
      </c>
      <c r="D171" s="1731"/>
      <c r="E171" s="1732">
        <f t="shared" si="11"/>
        <v>0</v>
      </c>
      <c r="F171" s="1733" t="str">
        <f t="shared" si="12"/>
        <v/>
      </c>
      <c r="G171" s="1731"/>
      <c r="H171" s="1769" t="str">
        <f>IF(现流表勾稽!D211=0,"相符","请在表《现流表勾稽》补充不相符差异原因")</f>
        <v>相符</v>
      </c>
      <c r="I171" s="1737"/>
      <c r="J171" s="1759"/>
    </row>
    <row r="172" spans="1:10">
      <c r="A172" s="1729" t="s">
        <v>173</v>
      </c>
      <c r="B172" s="1730">
        <f>审定现流表!C67</f>
        <v>0</v>
      </c>
      <c r="C172" s="1730">
        <f>本月审定现流表!G67</f>
        <v>0</v>
      </c>
      <c r="D172" s="1731"/>
      <c r="E172" s="1732">
        <f t="shared" si="11"/>
        <v>0</v>
      </c>
      <c r="F172" s="1733" t="str">
        <f t="shared" si="12"/>
        <v/>
      </c>
      <c r="G172" s="1731"/>
      <c r="H172" s="1769" t="str">
        <f>IF(现流表勾稽!D220=0,"相符","请在表《现流表勾稽》补充不相符差异原因")</f>
        <v>相符</v>
      </c>
      <c r="I172" s="1737"/>
      <c r="J172" s="1759"/>
    </row>
    <row r="173" spans="1:10">
      <c r="A173" s="1729" t="s">
        <v>174</v>
      </c>
      <c r="B173" s="1730">
        <f>审定现流表!C68</f>
        <v>0</v>
      </c>
      <c r="C173" s="1730">
        <f>本月审定现流表!G68</f>
        <v>0</v>
      </c>
      <c r="D173" s="1731"/>
      <c r="E173" s="1732">
        <f t="shared" si="11"/>
        <v>0</v>
      </c>
      <c r="F173" s="1733" t="str">
        <f t="shared" si="12"/>
        <v/>
      </c>
      <c r="G173" s="1731"/>
      <c r="H173" s="1769" t="str">
        <f>IF(现流表勾稽!D229=0,"相符","请在表《现流表勾稽》补充不相符差异原因")</f>
        <v>请在表《现流表勾稽》补充不相符差异原因</v>
      </c>
      <c r="I173" s="1737"/>
      <c r="J173" s="1759"/>
    </row>
    <row r="174" spans="1:10">
      <c r="A174" s="1729" t="s">
        <v>175</v>
      </c>
      <c r="B174" s="1730">
        <f>审定现流表!C69</f>
        <v>0</v>
      </c>
      <c r="C174" s="1730">
        <f>本月审定现流表!G69</f>
        <v>0</v>
      </c>
      <c r="D174" s="1731"/>
      <c r="E174" s="1732">
        <f t="shared" si="11"/>
        <v>0</v>
      </c>
      <c r="F174" s="1733" t="str">
        <f t="shared" si="12"/>
        <v/>
      </c>
      <c r="G174" s="1731"/>
      <c r="H174" s="1769" t="str">
        <f>IF(现流表勾稽!D244=0,"相符","请在表《现流表勾稽》补充不相符差异原因")</f>
        <v>相符</v>
      </c>
      <c r="I174" s="1737"/>
      <c r="J174" s="1759"/>
    </row>
    <row r="175" spans="1:10">
      <c r="A175" s="1729" t="s">
        <v>176</v>
      </c>
      <c r="B175" s="1730">
        <f>审定现流表!C70</f>
        <v>0</v>
      </c>
      <c r="C175" s="1730">
        <f>本月审定现流表!G70</f>
        <v>0</v>
      </c>
      <c r="D175" s="1731"/>
      <c r="E175" s="1732">
        <f t="shared" si="11"/>
        <v>0</v>
      </c>
      <c r="F175" s="1733" t="str">
        <f t="shared" si="12"/>
        <v/>
      </c>
      <c r="G175" s="1731"/>
      <c r="H175" s="1769" t="str">
        <f>IF(现流表勾稽!D273=0,"相符","请在表《现流表勾稽》补充不相符差异原因")</f>
        <v>相符</v>
      </c>
      <c r="I175" s="1737"/>
      <c r="J175" s="1759"/>
    </row>
    <row r="176" spans="1:10">
      <c r="A176" s="1729" t="s">
        <v>177</v>
      </c>
      <c r="B176" s="1730">
        <f>审定现流表!C71</f>
        <v>0</v>
      </c>
      <c r="C176" s="1730">
        <f>本月审定现流表!G71</f>
        <v>0</v>
      </c>
      <c r="D176" s="1731"/>
      <c r="E176" s="1732">
        <f t="shared" si="11"/>
        <v>0</v>
      </c>
      <c r="F176" s="1733" t="str">
        <f t="shared" si="12"/>
        <v/>
      </c>
      <c r="G176" s="1731"/>
      <c r="H176" s="1769" t="str">
        <f>IF(现流表勾稽!D291=0,"相符","请在表《现流表勾稽》补充不相符差异原因")</f>
        <v>相符</v>
      </c>
      <c r="I176" s="1737"/>
      <c r="J176" s="1759"/>
    </row>
    <row r="177" spans="1:10">
      <c r="A177" s="1729" t="s">
        <v>178</v>
      </c>
      <c r="B177" s="1730">
        <f>审定现流表!C72</f>
        <v>0</v>
      </c>
      <c r="C177" s="1730">
        <f>本月审定现流表!G72</f>
        <v>0</v>
      </c>
      <c r="D177" s="1731"/>
      <c r="E177" s="1732">
        <f t="shared" si="11"/>
        <v>0</v>
      </c>
      <c r="F177" s="1733" t="str">
        <f t="shared" si="12"/>
        <v/>
      </c>
      <c r="G177" s="1731"/>
      <c r="H177" s="1737"/>
      <c r="I177" s="1737"/>
      <c r="J177" s="1759"/>
    </row>
    <row r="178" spans="1:10">
      <c r="A178" s="1729"/>
      <c r="B178" s="1730">
        <f>审定现流表!C73</f>
        <v>0</v>
      </c>
      <c r="C178" s="1730">
        <f>本月审定现流表!G73</f>
        <v>0</v>
      </c>
      <c r="D178" s="1731"/>
      <c r="E178" s="1732">
        <f t="shared" si="11"/>
        <v>0</v>
      </c>
      <c r="F178" s="1733" t="str">
        <f t="shared" si="12"/>
        <v/>
      </c>
      <c r="G178" s="1731"/>
      <c r="H178" s="1737"/>
      <c r="I178" s="1737"/>
      <c r="J178" s="1759"/>
    </row>
    <row r="179" spans="1:10">
      <c r="A179" s="1729" t="s">
        <v>179</v>
      </c>
      <c r="B179" s="1730">
        <f>审定现流表!C74</f>
        <v>0</v>
      </c>
      <c r="C179" s="1730">
        <f>本月审定现流表!G74</f>
        <v>0</v>
      </c>
      <c r="D179" s="1731"/>
      <c r="E179" s="1732">
        <f t="shared" si="11"/>
        <v>0</v>
      </c>
      <c r="F179" s="1733" t="str">
        <f t="shared" si="12"/>
        <v/>
      </c>
      <c r="G179" s="1731"/>
      <c r="H179" s="1737"/>
      <c r="I179" s="1737"/>
      <c r="J179" s="1759"/>
    </row>
    <row r="180" spans="1:10">
      <c r="A180" s="1729" t="s">
        <v>180</v>
      </c>
      <c r="B180" s="1730">
        <f>审定现流表!C75</f>
        <v>0</v>
      </c>
      <c r="C180" s="1730">
        <f>本月审定现流表!G75</f>
        <v>0</v>
      </c>
      <c r="D180" s="1731"/>
      <c r="E180" s="1732">
        <f t="shared" si="11"/>
        <v>0</v>
      </c>
      <c r="F180" s="1733" t="str">
        <f t="shared" si="12"/>
        <v/>
      </c>
      <c r="G180" s="1731"/>
      <c r="H180" s="1737"/>
      <c r="I180" s="1737"/>
      <c r="J180" s="1759"/>
    </row>
    <row r="181" spans="1:10">
      <c r="A181" s="1729" t="s">
        <v>181</v>
      </c>
      <c r="B181" s="1730">
        <f>审定现流表!C76</f>
        <v>0</v>
      </c>
      <c r="C181" s="1730">
        <f>本月审定现流表!G76</f>
        <v>0</v>
      </c>
      <c r="D181" s="1731"/>
      <c r="E181" s="1732">
        <f t="shared" si="11"/>
        <v>0</v>
      </c>
      <c r="F181" s="1733" t="str">
        <f t="shared" si="12"/>
        <v/>
      </c>
      <c r="G181" s="1731"/>
      <c r="H181" s="1737"/>
      <c r="I181" s="1737"/>
      <c r="J181" s="1759"/>
    </row>
    <row r="182" spans="1:10">
      <c r="A182" s="1729" t="s">
        <v>182</v>
      </c>
      <c r="B182" s="1730">
        <f>审定现流表!C77</f>
        <v>0</v>
      </c>
      <c r="C182" s="1730">
        <f>本月审定现流表!G77</f>
        <v>0</v>
      </c>
      <c r="D182" s="1731"/>
      <c r="E182" s="1732">
        <f t="shared" si="11"/>
        <v>0</v>
      </c>
      <c r="F182" s="1733" t="str">
        <f t="shared" si="12"/>
        <v/>
      </c>
      <c r="G182" s="1731"/>
      <c r="H182" s="1737"/>
      <c r="I182" s="1737"/>
      <c r="J182" s="1759"/>
    </row>
    <row r="183" spans="1:10">
      <c r="A183" s="1729"/>
      <c r="B183" s="1730">
        <f>审定现流表!C78</f>
        <v>0</v>
      </c>
      <c r="C183" s="1730">
        <f>本月审定现流表!G78</f>
        <v>0</v>
      </c>
      <c r="D183" s="1731"/>
      <c r="E183" s="1732">
        <f t="shared" si="11"/>
        <v>0</v>
      </c>
      <c r="F183" s="1733" t="str">
        <f t="shared" si="12"/>
        <v/>
      </c>
      <c r="G183" s="1731"/>
      <c r="H183" s="1737"/>
      <c r="I183" s="1737"/>
      <c r="J183" s="1759"/>
    </row>
    <row r="184" spans="1:10">
      <c r="A184" s="1729" t="s">
        <v>183</v>
      </c>
      <c r="B184" s="1730">
        <f>审定现流表!C79</f>
        <v>0</v>
      </c>
      <c r="C184" s="1730">
        <f>本月审定现流表!G79</f>
        <v>0</v>
      </c>
      <c r="D184" s="1731"/>
      <c r="E184" s="1732">
        <f t="shared" si="11"/>
        <v>0</v>
      </c>
      <c r="F184" s="1733" t="str">
        <f t="shared" si="12"/>
        <v/>
      </c>
      <c r="G184" s="1731"/>
      <c r="H184" s="1737"/>
      <c r="I184" s="1737"/>
      <c r="J184" s="1759"/>
    </row>
    <row r="185" spans="1:10">
      <c r="A185" s="1729" t="s">
        <v>184</v>
      </c>
      <c r="B185" s="1730">
        <f>审定现流表!C80</f>
        <v>0</v>
      </c>
      <c r="C185" s="1730">
        <f>本月审定现流表!G80</f>
        <v>0</v>
      </c>
      <c r="D185" s="1731"/>
      <c r="E185" s="1732">
        <f t="shared" si="11"/>
        <v>0</v>
      </c>
      <c r="F185" s="1733" t="str">
        <f t="shared" si="12"/>
        <v/>
      </c>
      <c r="G185" s="1731"/>
      <c r="H185" s="1737"/>
      <c r="I185" s="1737"/>
      <c r="J185" s="1759"/>
    </row>
    <row r="186" spans="1:10">
      <c r="A186" s="1729" t="s">
        <v>185</v>
      </c>
      <c r="B186" s="1730">
        <f>审定现流表!C81</f>
        <v>0</v>
      </c>
      <c r="C186" s="1730">
        <f>本月审定现流表!G81</f>
        <v>0</v>
      </c>
      <c r="D186" s="1731"/>
      <c r="E186" s="1732">
        <f t="shared" si="11"/>
        <v>0</v>
      </c>
      <c r="F186" s="1733" t="str">
        <f t="shared" si="12"/>
        <v/>
      </c>
      <c r="G186" s="1731"/>
      <c r="H186" s="1737"/>
      <c r="I186" s="1737"/>
      <c r="J186" s="1759"/>
    </row>
    <row r="187" spans="1:10">
      <c r="A187" s="1729" t="s">
        <v>186</v>
      </c>
      <c r="B187" s="1730">
        <f>审定现流表!C82</f>
        <v>0</v>
      </c>
      <c r="C187" s="1730">
        <f>本月审定现流表!G82</f>
        <v>0</v>
      </c>
      <c r="D187" s="1731"/>
      <c r="E187" s="1732">
        <f t="shared" si="11"/>
        <v>0</v>
      </c>
      <c r="F187" s="1733" t="str">
        <f t="shared" si="12"/>
        <v/>
      </c>
      <c r="G187" s="1731"/>
      <c r="H187" s="1737"/>
      <c r="I187" s="1737"/>
      <c r="J187" s="1759"/>
    </row>
    <row r="188" spans="1:10">
      <c r="A188" s="1729" t="s">
        <v>187</v>
      </c>
      <c r="B188" s="1730">
        <f>审定现流表!C83</f>
        <v>0</v>
      </c>
      <c r="C188" s="1730">
        <f>本月审定现流表!G83</f>
        <v>0</v>
      </c>
      <c r="D188" s="1731"/>
      <c r="E188" s="1732">
        <f t="shared" si="11"/>
        <v>0</v>
      </c>
      <c r="F188" s="1733" t="str">
        <f t="shared" si="12"/>
        <v/>
      </c>
      <c r="G188" s="1731"/>
      <c r="H188" s="1737"/>
      <c r="I188" s="1737"/>
      <c r="J188" s="1759"/>
    </row>
    <row r="189" spans="1:10">
      <c r="A189" s="1729" t="s">
        <v>188</v>
      </c>
      <c r="B189" s="1730">
        <f>审定现流表!C84</f>
        <v>0</v>
      </c>
      <c r="C189" s="1730">
        <f>本月审定现流表!G84</f>
        <v>0</v>
      </c>
      <c r="D189" s="1731"/>
      <c r="E189" s="1732">
        <f t="shared" si="11"/>
        <v>0</v>
      </c>
      <c r="F189" s="1733" t="str">
        <f t="shared" si="12"/>
        <v/>
      </c>
      <c r="G189" s="1731"/>
      <c r="H189" s="1737"/>
      <c r="I189" s="1737"/>
      <c r="J189" s="1759"/>
    </row>
  </sheetData>
  <sheetProtection password="CF6E" sheet="1" formatCells="0" formatColumns="0" formatRows="0" insertRows="0" insertColumns="0" insertHyperlinks="0" autoFilter="0" pivotTables="0" objects="1" scenarios="1"/>
  <autoFilter ref="H4:I189">
    <extLst/>
  </autoFilter>
  <mergeCells count="7">
    <mergeCell ref="A111:G111"/>
    <mergeCell ref="A1:A2"/>
    <mergeCell ref="B1:B2"/>
    <mergeCell ref="C1:C2"/>
    <mergeCell ref="D1:D2"/>
    <mergeCell ref="J1:J2"/>
    <mergeCell ref="H1:I2"/>
  </mergeCells>
  <conditionalFormatting sqref="I5">
    <cfRule type="containsText" dxfId="7" priority="91" operator="between" text="不相符">
      <formula>NOT(ISERROR(SEARCH("不相符",I5)))</formula>
    </cfRule>
  </conditionalFormatting>
  <conditionalFormatting sqref="H14:I14">
    <cfRule type="containsText" dxfId="7" priority="11" operator="between" text="不相符">
      <formula>NOT(ISERROR(SEARCH("不相符",H14)))</formula>
    </cfRule>
  </conditionalFormatting>
  <conditionalFormatting sqref="H16:I16">
    <cfRule type="containsText" dxfId="7" priority="15" operator="between" text="不相符">
      <formula>NOT(ISERROR(SEARCH("不相符",H16)))</formula>
    </cfRule>
  </conditionalFormatting>
  <conditionalFormatting sqref="I23">
    <cfRule type="containsText" dxfId="7" priority="92" operator="between" text="不相符">
      <formula>NOT(ISERROR(SEARCH("不相符",I23)))</formula>
    </cfRule>
  </conditionalFormatting>
  <conditionalFormatting sqref="H28">
    <cfRule type="containsText" dxfId="7" priority="84" operator="between" text="不相符">
      <formula>NOT(ISERROR(SEARCH("不相符",H28)))</formula>
    </cfRule>
  </conditionalFormatting>
  <conditionalFormatting sqref="I28">
    <cfRule type="containsText" dxfId="7" priority="83" operator="between" text="不相符">
      <formula>NOT(ISERROR(SEARCH("不相符",I28)))</formula>
    </cfRule>
  </conditionalFormatting>
  <conditionalFormatting sqref="H60:I60">
    <cfRule type="containsText" dxfId="7" priority="13" operator="between" text="不相符">
      <formula>NOT(ISERROR(SEARCH("不相符",H60)))</formula>
    </cfRule>
  </conditionalFormatting>
  <conditionalFormatting sqref="H71">
    <cfRule type="containsText" dxfId="7" priority="23" operator="between" text="不相符">
      <formula>NOT(ISERROR(SEARCH("不相符",H71)))</formula>
    </cfRule>
  </conditionalFormatting>
  <conditionalFormatting sqref="I71">
    <cfRule type="containsText" dxfId="7" priority="22" operator="between" text="不相符">
      <formula>NOT(ISERROR(SEARCH("不相符",I71)))</formula>
    </cfRule>
  </conditionalFormatting>
  <conditionalFormatting sqref="H79">
    <cfRule type="containsText" dxfId="7" priority="6" operator="between" text="不相符">
      <formula>NOT(ISERROR(SEARCH("不相符",H79)))</formula>
    </cfRule>
  </conditionalFormatting>
  <conditionalFormatting sqref="I79">
    <cfRule type="containsText" dxfId="7" priority="5" operator="between" text="不相符">
      <formula>NOT(ISERROR(SEARCH("不相符",I79)))</formula>
    </cfRule>
  </conditionalFormatting>
  <conditionalFormatting sqref="H83:I83">
    <cfRule type="containsText" dxfId="7" priority="2" operator="between" text="不相符">
      <formula>NOT(ISERROR(SEARCH("不相符",H83)))</formula>
    </cfRule>
  </conditionalFormatting>
  <conditionalFormatting sqref="H99:I99">
    <cfRule type="containsText" dxfId="7" priority="21" operator="between" text="不相符">
      <formula>NOT(ISERROR(SEARCH("不相符",H99)))</formula>
    </cfRule>
  </conditionalFormatting>
  <conditionalFormatting sqref="H100:I100">
    <cfRule type="containsText" dxfId="7" priority="9" operator="between" text="不相符">
      <formula>NOT(ISERROR(SEARCH("不相符",H100)))</formula>
    </cfRule>
  </conditionalFormatting>
  <conditionalFormatting sqref="H102:I102">
    <cfRule type="containsText" dxfId="7" priority="8" operator="between" text="不相符">
      <formula>NOT(ISERROR(SEARCH("不相符",H102)))</formula>
    </cfRule>
  </conditionalFormatting>
  <conditionalFormatting sqref="H104">
    <cfRule type="containsText" dxfId="7" priority="17" operator="between" text="不相符">
      <formula>NOT(ISERROR(SEARCH("不相符",H104)))</formula>
    </cfRule>
  </conditionalFormatting>
  <conditionalFormatting sqref="I104">
    <cfRule type="containsText" dxfId="7" priority="16" operator="between" text="不相符">
      <formula>NOT(ISERROR(SEARCH("不相符",I104)))</formula>
    </cfRule>
  </conditionalFormatting>
  <conditionalFormatting sqref="H109:I109">
    <cfRule type="containsText" dxfId="7" priority="7" operator="between" text="不相符">
      <formula>NOT(ISERROR(SEARCH("不相符",H109)))</formula>
    </cfRule>
  </conditionalFormatting>
  <conditionalFormatting sqref="H110">
    <cfRule type="containsText" dxfId="7" priority="73" operator="between" text="不相符">
      <formula>NOT(ISERROR(SEARCH("不相符",H110)))</formula>
    </cfRule>
  </conditionalFormatting>
  <conditionalFormatting sqref="I110">
    <cfRule type="containsText" dxfId="7" priority="72" operator="between" text="不相符">
      <formula>NOT(ISERROR(SEARCH("不相符",I110)))</formula>
    </cfRule>
  </conditionalFormatting>
  <conditionalFormatting sqref="H116">
    <cfRule type="containsText" dxfId="7" priority="18" operator="between" text="不相符">
      <formula>NOT(ISERROR(SEARCH("不相符",H116)))</formula>
    </cfRule>
  </conditionalFormatting>
  <conditionalFormatting sqref="H120">
    <cfRule type="containsText" dxfId="7" priority="55" operator="between" text="不相符">
      <formula>NOT(ISERROR(SEARCH("不相符",H120)))</formula>
    </cfRule>
  </conditionalFormatting>
  <conditionalFormatting sqref="H121">
    <cfRule type="containsText" dxfId="7" priority="19" operator="between" text="不相符">
      <formula>NOT(ISERROR(SEARCH("不相符",H121)))</formula>
    </cfRule>
  </conditionalFormatting>
  <conditionalFormatting sqref="I121">
    <cfRule type="containsText" dxfId="7" priority="20" operator="between" text="不相符">
      <formula>NOT(ISERROR(SEARCH("不相符",I121)))</formula>
    </cfRule>
  </conditionalFormatting>
  <conditionalFormatting sqref="H131:I131">
    <cfRule type="containsText" dxfId="7" priority="81" operator="between" text="不相符">
      <formula>NOT(ISERROR(SEARCH("不相符",H131)))</formula>
    </cfRule>
  </conditionalFormatting>
  <conditionalFormatting sqref="H133">
    <cfRule type="containsText" dxfId="7" priority="50" operator="between" text="不相符">
      <formula>NOT(ISERROR(SEARCH("不相符",H133)))</formula>
    </cfRule>
  </conditionalFormatting>
  <conditionalFormatting sqref="H136:I136">
    <cfRule type="containsText" dxfId="7" priority="80" operator="between" text="不相符">
      <formula>NOT(ISERROR(SEARCH("不相符",H136)))</formula>
    </cfRule>
  </conditionalFormatting>
  <conditionalFormatting sqref="H143">
    <cfRule type="containsText" dxfId="7" priority="48" operator="between" text="不相符">
      <formula>NOT(ISERROR(SEARCH("不相符",H143)))</formula>
    </cfRule>
  </conditionalFormatting>
  <conditionalFormatting sqref="H145:I145">
    <cfRule type="containsText" dxfId="7" priority="78" operator="between" text="不相符">
      <formula>NOT(ISERROR(SEARCH("不相符",H145)))</formula>
    </cfRule>
  </conditionalFormatting>
  <conditionalFormatting sqref="H148">
    <cfRule type="containsText" dxfId="7" priority="45" operator="between" text="不相符">
      <formula>NOT(ISERROR(SEARCH("不相符",H148)))</formula>
    </cfRule>
  </conditionalFormatting>
  <conditionalFormatting sqref="H150:I150">
    <cfRule type="containsText" dxfId="7" priority="79" operator="between" text="不相符">
      <formula>NOT(ISERROR(SEARCH("不相符",H150)))</formula>
    </cfRule>
  </conditionalFormatting>
  <conditionalFormatting sqref="H154">
    <cfRule type="containsText" dxfId="7" priority="24" operator="between" text="不相符">
      <formula>NOT(ISERROR(SEARCH("不相符",H154)))</formula>
    </cfRule>
  </conditionalFormatting>
  <conditionalFormatting sqref="H162">
    <cfRule type="containsText" dxfId="7" priority="27" operator="between" text="不相符">
      <formula>NOT(ISERROR(SEARCH("不相符",H162)))</formula>
    </cfRule>
  </conditionalFormatting>
  <conditionalFormatting sqref="H163">
    <cfRule type="containsText" dxfId="7" priority="26" operator="between" text="不相符">
      <formula>NOT(ISERROR(SEARCH("不相符",H163)))</formula>
    </cfRule>
  </conditionalFormatting>
  <conditionalFormatting sqref="H164">
    <cfRule type="containsText" dxfId="7" priority="29" operator="between" text="不相符">
      <formula>NOT(ISERROR(SEARCH("不相符",H164)))</formula>
    </cfRule>
  </conditionalFormatting>
  <conditionalFormatting sqref="H112:H115">
    <cfRule type="containsText" dxfId="7" priority="71" operator="between" text="不相符">
      <formula>NOT(ISERROR(SEARCH("不相符",H112)))</formula>
    </cfRule>
  </conditionalFormatting>
  <conditionalFormatting sqref="H118:H119">
    <cfRule type="containsText" dxfId="7" priority="69" operator="between" text="不相符">
      <formula>NOT(ISERROR(SEARCH("不相符",H118)))</formula>
    </cfRule>
  </conditionalFormatting>
  <conditionalFormatting sqref="H123:H130">
    <cfRule type="containsText" dxfId="7" priority="67" operator="between" text="不相符">
      <formula>NOT(ISERROR(SEARCH("不相符",H123)))</formula>
    </cfRule>
  </conditionalFormatting>
  <conditionalFormatting sqref="H165:H166">
    <cfRule type="containsText" dxfId="7" priority="28" operator="between" text="不相符">
      <formula>NOT(ISERROR(SEARCH("不相符",H165)))</formula>
    </cfRule>
  </conditionalFormatting>
  <conditionalFormatting sqref="H168:H176">
    <cfRule type="containsText" dxfId="7" priority="30" operator="between" text="不相符">
      <formula>NOT(ISERROR(SEARCH("不相符",H168)))</formula>
    </cfRule>
  </conditionalFormatting>
  <conditionalFormatting sqref="I20:I22">
    <cfRule type="containsText" dxfId="7" priority="89" operator="between" text="不相符">
      <formula>NOT(ISERROR(SEARCH("不相符",I20)))</formula>
    </cfRule>
  </conditionalFormatting>
  <conditionalFormatting sqref="I48:I52">
    <cfRule type="containsText" dxfId="7" priority="87" operator="between" text="不相符">
      <formula>NOT(ISERROR(SEARCH("不相符",I48)))</formula>
    </cfRule>
  </conditionalFormatting>
  <conditionalFormatting sqref="I55:I59">
    <cfRule type="containsText" dxfId="7" priority="86" operator="between" text="不相符">
      <formula>NOT(ISERROR(SEARCH("不相符",I55)))</formula>
    </cfRule>
  </conditionalFormatting>
  <conditionalFormatting sqref="I112:I116">
    <cfRule type="containsText" dxfId="7" priority="70" operator="between" text="不相符">
      <formula>NOT(ISERROR(SEARCH("不相符",I112)))</formula>
    </cfRule>
  </conditionalFormatting>
  <conditionalFormatting sqref="I118:I120">
    <cfRule type="containsText" dxfId="7" priority="68" operator="between" text="不相符">
      <formula>NOT(ISERROR(SEARCH("不相符",I118)))</formula>
    </cfRule>
  </conditionalFormatting>
  <conditionalFormatting sqref="I123:I130">
    <cfRule type="containsText" dxfId="7" priority="66" operator="between" text="不相符">
      <formula>NOT(ISERROR(SEARCH("不相符",I123)))</formula>
    </cfRule>
  </conditionalFormatting>
  <conditionalFormatting sqref="I132:I135">
    <cfRule type="containsText" dxfId="7" priority="64" operator="between" text="不相符">
      <formula>NOT(ISERROR(SEARCH("不相符",I132)))</formula>
    </cfRule>
  </conditionalFormatting>
  <conditionalFormatting sqref="I137:I144">
    <cfRule type="containsText" dxfId="7" priority="62" operator="between" text="不相符">
      <formula>NOT(ISERROR(SEARCH("不相符",I137)))</formula>
    </cfRule>
  </conditionalFormatting>
  <conditionalFormatting sqref="I146:I149">
    <cfRule type="containsText" dxfId="7" priority="60" operator="between" text="不相符">
      <formula>NOT(ISERROR(SEARCH("不相符",I146)))</formula>
    </cfRule>
  </conditionalFormatting>
  <conditionalFormatting sqref="I151:I157">
    <cfRule type="containsText" dxfId="7" priority="58" operator="between" text="不相符">
      <formula>NOT(ISERROR(SEARCH("不相符",I151)))</formula>
    </cfRule>
  </conditionalFormatting>
  <conditionalFormatting sqref="I159:I189">
    <cfRule type="containsText" dxfId="7" priority="56" operator="between" text="不相符">
      <formula>NOT(ISERROR(SEARCH("不相符",I159)))</formula>
    </cfRule>
  </conditionalFormatting>
  <conditionalFormatting sqref="H5:H13 H15 H20:H27 H29:H36 H48:H59 H64:H70 I53:I54 I90:I98 H117:I117 H122:I122 H77:H78 H105:I108 H80:H82 H84:H98">
    <cfRule type="containsText" dxfId="7" priority="107" operator="between" text="不相符">
      <formula>NOT(ISERROR(SEARCH("不相符",H5)))</formula>
    </cfRule>
  </conditionalFormatting>
  <conditionalFormatting sqref="I6:I13 I15">
    <cfRule type="containsText" dxfId="7" priority="90" operator="between" text="不相符">
      <formula>NOT(ISERROR(SEARCH("不相符",I6)))</formula>
    </cfRule>
  </conditionalFormatting>
  <conditionalFormatting sqref="I24:I27 I29:I36">
    <cfRule type="containsText" dxfId="7" priority="88" operator="between" text="不相符">
      <formula>NOT(ISERROR(SEARCH("不相符",I24)))</formula>
    </cfRule>
  </conditionalFormatting>
  <conditionalFormatting sqref="I64:I70 I77:I78 I80:I82 I84:I89">
    <cfRule type="containsText" dxfId="7" priority="85" operator="between" text="不相符">
      <formula>NOT(ISERROR(SEARCH("不相符",I64)))</formula>
    </cfRule>
  </conditionalFormatting>
  <conditionalFormatting sqref="H101 H103">
    <cfRule type="containsText" dxfId="7" priority="77" operator="between" text="不相符">
      <formula>NOT(ISERROR(SEARCH("不相符",H101)))</formula>
    </cfRule>
  </conditionalFormatting>
  <conditionalFormatting sqref="I101 I103">
    <cfRule type="containsText" dxfId="7" priority="76" operator="between" text="不相符">
      <formula>NOT(ISERROR(SEARCH("不相符",I101)))</formula>
    </cfRule>
  </conditionalFormatting>
  <conditionalFormatting sqref="H132 H134:H135">
    <cfRule type="containsText" dxfId="7" priority="65" operator="between" text="不相符">
      <formula>NOT(ISERROR(SEARCH("不相符",H132)))</formula>
    </cfRule>
  </conditionalFormatting>
  <conditionalFormatting sqref="H137:H142 H144">
    <cfRule type="containsText" dxfId="7" priority="63" operator="between" text="不相符">
      <formula>NOT(ISERROR(SEARCH("不相符",H137)))</formula>
    </cfRule>
  </conditionalFormatting>
  <conditionalFormatting sqref="H146:H147 H149">
    <cfRule type="containsText" dxfId="7" priority="61" operator="between" text="不相符">
      <formula>NOT(ISERROR(SEARCH("不相符",H146)))</formula>
    </cfRule>
  </conditionalFormatting>
  <conditionalFormatting sqref="H151:H153 H155:H157">
    <cfRule type="containsText" dxfId="7" priority="59" operator="between" text="不相符">
      <formula>NOT(ISERROR(SEARCH("不相符",H151)))</formula>
    </cfRule>
  </conditionalFormatting>
  <conditionalFormatting sqref="H159:H161 H177:H189 H167">
    <cfRule type="containsText" dxfId="7" priority="57" operator="between" text="不相符">
      <formula>NOT(ISERROR(SEARCH("不相符",H159)))</formula>
    </cfRule>
  </conditionalFormatting>
  <dataValidations count="1">
    <dataValidation type="list" allowBlank="1" showInputMessage="1" showErrorMessage="1" sqref="IX4:IX110 IX65456:IX65581 IX130992:IX131117 IX196528:IX196653 IX262064:IX262189 IX327600:IX327725 IX393136:IX393261 IX458672:IX458797 IX524208:IX524333 IX589744:IX589869 IX655280:IX655405 IX720816:IX720941 IX786352:IX786477 IX851888:IX852013 IX917424:IX917549 IX982960:IX983085 ST4:ST110 ST65456:ST65581 ST130992:ST131117 ST196528:ST196653 ST262064:ST262189 ST327600:ST327725 ST393136:ST393261 ST458672:ST458797 ST524208:ST524333 ST589744:ST589869 ST655280:ST655405 ST720816:ST720941 ST786352:ST786477 ST851888:ST852013 ST917424:ST917549 ST982960:ST983085 ACP4:ACP110 ACP65456:ACP65581 ACP130992:ACP131117 ACP196528:ACP196653 ACP262064:ACP262189 ACP327600:ACP327725 ACP393136:ACP393261 ACP458672:ACP458797 ACP524208:ACP524333 ACP589744:ACP589869 ACP655280:ACP655405 ACP720816:ACP720941 ACP786352:ACP786477 ACP851888:ACP852013 ACP917424:ACP917549 ACP982960:ACP983085 AML4:AML110 AML65456:AML65581 AML130992:AML131117 AML196528:AML196653 AML262064:AML262189 AML327600:AML327725 AML393136:AML393261 AML458672:AML458797 AML524208:AML524333 AML589744:AML589869 AML655280:AML655405 AML720816:AML720941 AML786352:AML786477 AML851888:AML852013 AML917424:AML917549 AML982960:AML983085 AWH4:AWH110 AWH65456:AWH65581 AWH130992:AWH131117 AWH196528:AWH196653 AWH262064:AWH262189 AWH327600:AWH327725 AWH393136:AWH393261 AWH458672:AWH458797 AWH524208:AWH524333 AWH589744:AWH589869 AWH655280:AWH655405 AWH720816:AWH720941 AWH786352:AWH786477 AWH851888:AWH852013 AWH917424:AWH917549 AWH982960:AWH983085 BGD4:BGD110 BGD65456:BGD65581 BGD130992:BGD131117 BGD196528:BGD196653 BGD262064:BGD262189 BGD327600:BGD327725 BGD393136:BGD393261 BGD458672:BGD458797 BGD524208:BGD524333 BGD589744:BGD589869 BGD655280:BGD655405 BGD720816:BGD720941 BGD786352:BGD786477 BGD851888:BGD852013 BGD917424:BGD917549 BGD982960:BGD983085 BPZ4:BPZ110 BPZ65456:BPZ65581 BPZ130992:BPZ131117 BPZ196528:BPZ196653 BPZ262064:BPZ262189 BPZ327600:BPZ327725 BPZ393136:BPZ393261 BPZ458672:BPZ458797 BPZ524208:BPZ524333 BPZ589744:BPZ589869 BPZ655280:BPZ655405 BPZ720816:BPZ720941 BPZ786352:BPZ786477 BPZ851888:BPZ852013 BPZ917424:BPZ917549 BPZ982960:BPZ983085 BZV4:BZV110 BZV65456:BZV65581 BZV130992:BZV131117 BZV196528:BZV196653 BZV262064:BZV262189 BZV327600:BZV327725 BZV393136:BZV393261 BZV458672:BZV458797 BZV524208:BZV524333 BZV589744:BZV589869 BZV655280:BZV655405 BZV720816:BZV720941 BZV786352:BZV786477 BZV851888:BZV852013 BZV917424:BZV917549 BZV982960:BZV983085 CJR4:CJR110 CJR65456:CJR65581 CJR130992:CJR131117 CJR196528:CJR196653 CJR262064:CJR262189 CJR327600:CJR327725 CJR393136:CJR393261 CJR458672:CJR458797 CJR524208:CJR524333 CJR589744:CJR589869 CJR655280:CJR655405 CJR720816:CJR720941 CJR786352:CJR786477 CJR851888:CJR852013 CJR917424:CJR917549 CJR982960:CJR983085 CTN4:CTN110 CTN65456:CTN65581 CTN130992:CTN131117 CTN196528:CTN196653 CTN262064:CTN262189 CTN327600:CTN327725 CTN393136:CTN393261 CTN458672:CTN458797 CTN524208:CTN524333 CTN589744:CTN589869 CTN655280:CTN655405 CTN720816:CTN720941 CTN786352:CTN786477 CTN851888:CTN852013 CTN917424:CTN917549 CTN982960:CTN983085 DDJ4:DDJ110 DDJ65456:DDJ65581 DDJ130992:DDJ131117 DDJ196528:DDJ196653 DDJ262064:DDJ262189 DDJ327600:DDJ327725 DDJ393136:DDJ393261 DDJ458672:DDJ458797 DDJ524208:DDJ524333 DDJ589744:DDJ589869 DDJ655280:DDJ655405 DDJ720816:DDJ720941 DDJ786352:DDJ786477 DDJ851888:DDJ852013 DDJ917424:DDJ917549 DDJ982960:DDJ983085 DNF4:DNF110 DNF65456:DNF65581 DNF130992:DNF131117 DNF196528:DNF196653 DNF262064:DNF262189 DNF327600:DNF327725 DNF393136:DNF393261 DNF458672:DNF458797 DNF524208:DNF524333 DNF589744:DNF589869 DNF655280:DNF655405 DNF720816:DNF720941 DNF786352:DNF786477 DNF851888:DNF852013 DNF917424:DNF917549 DNF982960:DNF983085 DXB4:DXB110 DXB65456:DXB65581 DXB130992:DXB131117 DXB196528:DXB196653 DXB262064:DXB262189 DXB327600:DXB327725 DXB393136:DXB393261 DXB458672:DXB458797 DXB524208:DXB524333 DXB589744:DXB589869 DXB655280:DXB655405 DXB720816:DXB720941 DXB786352:DXB786477 DXB851888:DXB852013 DXB917424:DXB917549 DXB982960:DXB983085 EGX4:EGX110 EGX65456:EGX65581 EGX130992:EGX131117 EGX196528:EGX196653 EGX262064:EGX262189 EGX327600:EGX327725 EGX393136:EGX393261 EGX458672:EGX458797 EGX524208:EGX524333 EGX589744:EGX589869 EGX655280:EGX655405 EGX720816:EGX720941 EGX786352:EGX786477 EGX851888:EGX852013 EGX917424:EGX917549 EGX982960:EGX983085 EQT4:EQT110 EQT65456:EQT65581 EQT130992:EQT131117 EQT196528:EQT196653 EQT262064:EQT262189 EQT327600:EQT327725 EQT393136:EQT393261 EQT458672:EQT458797 EQT524208:EQT524333 EQT589744:EQT589869 EQT655280:EQT655405 EQT720816:EQT720941 EQT786352:EQT786477 EQT851888:EQT852013 EQT917424:EQT917549 EQT982960:EQT983085 FAP4:FAP110 FAP65456:FAP65581 FAP130992:FAP131117 FAP196528:FAP196653 FAP262064:FAP262189 FAP327600:FAP327725 FAP393136:FAP393261 FAP458672:FAP458797 FAP524208:FAP524333 FAP589744:FAP589869 FAP655280:FAP655405 FAP720816:FAP720941 FAP786352:FAP786477 FAP851888:FAP852013 FAP917424:FAP917549 FAP982960:FAP983085 FKL4:FKL110 FKL65456:FKL65581 FKL130992:FKL131117 FKL196528:FKL196653 FKL262064:FKL262189 FKL327600:FKL327725 FKL393136:FKL393261 FKL458672:FKL458797 FKL524208:FKL524333 FKL589744:FKL589869 FKL655280:FKL655405 FKL720816:FKL720941 FKL786352:FKL786477 FKL851888:FKL852013 FKL917424:FKL917549 FKL982960:FKL983085 FUH4:FUH110 FUH65456:FUH65581 FUH130992:FUH131117 FUH196528:FUH196653 FUH262064:FUH262189 FUH327600:FUH327725 FUH393136:FUH393261 FUH458672:FUH458797 FUH524208:FUH524333 FUH589744:FUH589869 FUH655280:FUH655405 FUH720816:FUH720941 FUH786352:FUH786477 FUH851888:FUH852013 FUH917424:FUH917549 FUH982960:FUH983085 GED4:GED110 GED65456:GED65581 GED130992:GED131117 GED196528:GED196653 GED262064:GED262189 GED327600:GED327725 GED393136:GED393261 GED458672:GED458797 GED524208:GED524333 GED589744:GED589869 GED655280:GED655405 GED720816:GED720941 GED786352:GED786477 GED851888:GED852013 GED917424:GED917549 GED982960:GED983085 GNZ4:GNZ110 GNZ65456:GNZ65581 GNZ130992:GNZ131117 GNZ196528:GNZ196653 GNZ262064:GNZ262189 GNZ327600:GNZ327725 GNZ393136:GNZ393261 GNZ458672:GNZ458797 GNZ524208:GNZ524333 GNZ589744:GNZ589869 GNZ655280:GNZ655405 GNZ720816:GNZ720941 GNZ786352:GNZ786477 GNZ851888:GNZ852013 GNZ917424:GNZ917549 GNZ982960:GNZ983085 GXV4:GXV110 GXV65456:GXV65581 GXV130992:GXV131117 GXV196528:GXV196653 GXV262064:GXV262189 GXV327600:GXV327725 GXV393136:GXV393261 GXV458672:GXV458797 GXV524208:GXV524333 GXV589744:GXV589869 GXV655280:GXV655405 GXV720816:GXV720941 GXV786352:GXV786477 GXV851888:GXV852013 GXV917424:GXV917549 GXV982960:GXV983085 HHR4:HHR110 HHR65456:HHR65581 HHR130992:HHR131117 HHR196528:HHR196653 HHR262064:HHR262189 HHR327600:HHR327725 HHR393136:HHR393261 HHR458672:HHR458797 HHR524208:HHR524333 HHR589744:HHR589869 HHR655280:HHR655405 HHR720816:HHR720941 HHR786352:HHR786477 HHR851888:HHR852013 HHR917424:HHR917549 HHR982960:HHR983085 HRN4:HRN110 HRN65456:HRN65581 HRN130992:HRN131117 HRN196528:HRN196653 HRN262064:HRN262189 HRN327600:HRN327725 HRN393136:HRN393261 HRN458672:HRN458797 HRN524208:HRN524333 HRN589744:HRN589869 HRN655280:HRN655405 HRN720816:HRN720941 HRN786352:HRN786477 HRN851888:HRN852013 HRN917424:HRN917549 HRN982960:HRN983085 IBJ4:IBJ110 IBJ65456:IBJ65581 IBJ130992:IBJ131117 IBJ196528:IBJ196653 IBJ262064:IBJ262189 IBJ327600:IBJ327725 IBJ393136:IBJ393261 IBJ458672:IBJ458797 IBJ524208:IBJ524333 IBJ589744:IBJ589869 IBJ655280:IBJ655405 IBJ720816:IBJ720941 IBJ786352:IBJ786477 IBJ851888:IBJ852013 IBJ917424:IBJ917549 IBJ982960:IBJ983085 ILF4:ILF110 ILF65456:ILF65581 ILF130992:ILF131117 ILF196528:ILF196653 ILF262064:ILF262189 ILF327600:ILF327725 ILF393136:ILF393261 ILF458672:ILF458797 ILF524208:ILF524333 ILF589744:ILF589869 ILF655280:ILF655405 ILF720816:ILF720941 ILF786352:ILF786477 ILF851888:ILF852013 ILF917424:ILF917549 ILF982960:ILF983085 IVB4:IVB110 IVB65456:IVB65581 IVB130992:IVB131117 IVB196528:IVB196653 IVB262064:IVB262189 IVB327600:IVB327725 IVB393136:IVB393261 IVB458672:IVB458797 IVB524208:IVB524333 IVB589744:IVB589869 IVB655280:IVB655405 IVB720816:IVB720941 IVB786352:IVB786477 IVB851888:IVB852013 IVB917424:IVB917549 IVB982960:IVB983085 JEX4:JEX110 JEX65456:JEX65581 JEX130992:JEX131117 JEX196528:JEX196653 JEX262064:JEX262189 JEX327600:JEX327725 JEX393136:JEX393261 JEX458672:JEX458797 JEX524208:JEX524333 JEX589744:JEX589869 JEX655280:JEX655405 JEX720816:JEX720941 JEX786352:JEX786477 JEX851888:JEX852013 JEX917424:JEX917549 JEX982960:JEX983085 JOT4:JOT110 JOT65456:JOT65581 JOT130992:JOT131117 JOT196528:JOT196653 JOT262064:JOT262189 JOT327600:JOT327725 JOT393136:JOT393261 JOT458672:JOT458797 JOT524208:JOT524333 JOT589744:JOT589869 JOT655280:JOT655405 JOT720816:JOT720941 JOT786352:JOT786477 JOT851888:JOT852013 JOT917424:JOT917549 JOT982960:JOT983085 JYP4:JYP110 JYP65456:JYP65581 JYP130992:JYP131117 JYP196528:JYP196653 JYP262064:JYP262189 JYP327600:JYP327725 JYP393136:JYP393261 JYP458672:JYP458797 JYP524208:JYP524333 JYP589744:JYP589869 JYP655280:JYP655405 JYP720816:JYP720941 JYP786352:JYP786477 JYP851888:JYP852013 JYP917424:JYP917549 JYP982960:JYP983085 KIL4:KIL110 KIL65456:KIL65581 KIL130992:KIL131117 KIL196528:KIL196653 KIL262064:KIL262189 KIL327600:KIL327725 KIL393136:KIL393261 KIL458672:KIL458797 KIL524208:KIL524333 KIL589744:KIL589869 KIL655280:KIL655405 KIL720816:KIL720941 KIL786352:KIL786477 KIL851888:KIL852013 KIL917424:KIL917549 KIL982960:KIL983085 KSH4:KSH110 KSH65456:KSH65581 KSH130992:KSH131117 KSH196528:KSH196653 KSH262064:KSH262189 KSH327600:KSH327725 KSH393136:KSH393261 KSH458672:KSH458797 KSH524208:KSH524333 KSH589744:KSH589869 KSH655280:KSH655405 KSH720816:KSH720941 KSH786352:KSH786477 KSH851888:KSH852013 KSH917424:KSH917549 KSH982960:KSH983085 LCD4:LCD110 LCD65456:LCD65581 LCD130992:LCD131117 LCD196528:LCD196653 LCD262064:LCD262189 LCD327600:LCD327725 LCD393136:LCD393261 LCD458672:LCD458797 LCD524208:LCD524333 LCD589744:LCD589869 LCD655280:LCD655405 LCD720816:LCD720941 LCD786352:LCD786477 LCD851888:LCD852013 LCD917424:LCD917549 LCD982960:LCD983085 LLZ4:LLZ110 LLZ65456:LLZ65581 LLZ130992:LLZ131117 LLZ196528:LLZ196653 LLZ262064:LLZ262189 LLZ327600:LLZ327725 LLZ393136:LLZ393261 LLZ458672:LLZ458797 LLZ524208:LLZ524333 LLZ589744:LLZ589869 LLZ655280:LLZ655405 LLZ720816:LLZ720941 LLZ786352:LLZ786477 LLZ851888:LLZ852013 LLZ917424:LLZ917549 LLZ982960:LLZ983085 LVV4:LVV110 LVV65456:LVV65581 LVV130992:LVV131117 LVV196528:LVV196653 LVV262064:LVV262189 LVV327600:LVV327725 LVV393136:LVV393261 LVV458672:LVV458797 LVV524208:LVV524333 LVV589744:LVV589869 LVV655280:LVV655405 LVV720816:LVV720941 LVV786352:LVV786477 LVV851888:LVV852013 LVV917424:LVV917549 LVV982960:LVV983085 MFR4:MFR110 MFR65456:MFR65581 MFR130992:MFR131117 MFR196528:MFR196653 MFR262064:MFR262189 MFR327600:MFR327725 MFR393136:MFR393261 MFR458672:MFR458797 MFR524208:MFR524333 MFR589744:MFR589869 MFR655280:MFR655405 MFR720816:MFR720941 MFR786352:MFR786477 MFR851888:MFR852013 MFR917424:MFR917549 MFR982960:MFR983085 MPN4:MPN110 MPN65456:MPN65581 MPN130992:MPN131117 MPN196528:MPN196653 MPN262064:MPN262189 MPN327600:MPN327725 MPN393136:MPN393261 MPN458672:MPN458797 MPN524208:MPN524333 MPN589744:MPN589869 MPN655280:MPN655405 MPN720816:MPN720941 MPN786352:MPN786477 MPN851888:MPN852013 MPN917424:MPN917549 MPN982960:MPN983085 MZJ4:MZJ110 MZJ65456:MZJ65581 MZJ130992:MZJ131117 MZJ196528:MZJ196653 MZJ262064:MZJ262189 MZJ327600:MZJ327725 MZJ393136:MZJ393261 MZJ458672:MZJ458797 MZJ524208:MZJ524333 MZJ589744:MZJ589869 MZJ655280:MZJ655405 MZJ720816:MZJ720941 MZJ786352:MZJ786477 MZJ851888:MZJ852013 MZJ917424:MZJ917549 MZJ982960:MZJ983085 NJF4:NJF110 NJF65456:NJF65581 NJF130992:NJF131117 NJF196528:NJF196653 NJF262064:NJF262189 NJF327600:NJF327725 NJF393136:NJF393261 NJF458672:NJF458797 NJF524208:NJF524333 NJF589744:NJF589869 NJF655280:NJF655405 NJF720816:NJF720941 NJF786352:NJF786477 NJF851888:NJF852013 NJF917424:NJF917549 NJF982960:NJF983085 NTB4:NTB110 NTB65456:NTB65581 NTB130992:NTB131117 NTB196528:NTB196653 NTB262064:NTB262189 NTB327600:NTB327725 NTB393136:NTB393261 NTB458672:NTB458797 NTB524208:NTB524333 NTB589744:NTB589869 NTB655280:NTB655405 NTB720816:NTB720941 NTB786352:NTB786477 NTB851888:NTB852013 NTB917424:NTB917549 NTB982960:NTB983085 OCX4:OCX110 OCX65456:OCX65581 OCX130992:OCX131117 OCX196528:OCX196653 OCX262064:OCX262189 OCX327600:OCX327725 OCX393136:OCX393261 OCX458672:OCX458797 OCX524208:OCX524333 OCX589744:OCX589869 OCX655280:OCX655405 OCX720816:OCX720941 OCX786352:OCX786477 OCX851888:OCX852013 OCX917424:OCX917549 OCX982960:OCX983085 OMT4:OMT110 OMT65456:OMT65581 OMT130992:OMT131117 OMT196528:OMT196653 OMT262064:OMT262189 OMT327600:OMT327725 OMT393136:OMT393261 OMT458672:OMT458797 OMT524208:OMT524333 OMT589744:OMT589869 OMT655280:OMT655405 OMT720816:OMT720941 OMT786352:OMT786477 OMT851888:OMT852013 OMT917424:OMT917549 OMT982960:OMT983085 OWP4:OWP110 OWP65456:OWP65581 OWP130992:OWP131117 OWP196528:OWP196653 OWP262064:OWP262189 OWP327600:OWP327725 OWP393136:OWP393261 OWP458672:OWP458797 OWP524208:OWP524333 OWP589744:OWP589869 OWP655280:OWP655405 OWP720816:OWP720941 OWP786352:OWP786477 OWP851888:OWP852013 OWP917424:OWP917549 OWP982960:OWP983085 PGL4:PGL110 PGL65456:PGL65581 PGL130992:PGL131117 PGL196528:PGL196653 PGL262064:PGL262189 PGL327600:PGL327725 PGL393136:PGL393261 PGL458672:PGL458797 PGL524208:PGL524333 PGL589744:PGL589869 PGL655280:PGL655405 PGL720816:PGL720941 PGL786352:PGL786477 PGL851888:PGL852013 PGL917424:PGL917549 PGL982960:PGL983085 PQH4:PQH110 PQH65456:PQH65581 PQH130992:PQH131117 PQH196528:PQH196653 PQH262064:PQH262189 PQH327600:PQH327725 PQH393136:PQH393261 PQH458672:PQH458797 PQH524208:PQH524333 PQH589744:PQH589869 PQH655280:PQH655405 PQH720816:PQH720941 PQH786352:PQH786477 PQH851888:PQH852013 PQH917424:PQH917549 PQH982960:PQH983085 QAD4:QAD110 QAD65456:QAD65581 QAD130992:QAD131117 QAD196528:QAD196653 QAD262064:QAD262189 QAD327600:QAD327725 QAD393136:QAD393261 QAD458672:QAD458797 QAD524208:QAD524333 QAD589744:QAD589869 QAD655280:QAD655405 QAD720816:QAD720941 QAD786352:QAD786477 QAD851888:QAD852013 QAD917424:QAD917549 QAD982960:QAD983085 QJZ4:QJZ110 QJZ65456:QJZ65581 QJZ130992:QJZ131117 QJZ196528:QJZ196653 QJZ262064:QJZ262189 QJZ327600:QJZ327725 QJZ393136:QJZ393261 QJZ458672:QJZ458797 QJZ524208:QJZ524333 QJZ589744:QJZ589869 QJZ655280:QJZ655405 QJZ720816:QJZ720941 QJZ786352:QJZ786477 QJZ851888:QJZ852013 QJZ917424:QJZ917549 QJZ982960:QJZ983085 QTV4:QTV110 QTV65456:QTV65581 QTV130992:QTV131117 QTV196528:QTV196653 QTV262064:QTV262189 QTV327600:QTV327725 QTV393136:QTV393261 QTV458672:QTV458797 QTV524208:QTV524333 QTV589744:QTV589869 QTV655280:QTV655405 QTV720816:QTV720941 QTV786352:QTV786477 QTV851888:QTV852013 QTV917424:QTV917549 QTV982960:QTV983085 RDR4:RDR110 RDR65456:RDR65581 RDR130992:RDR131117 RDR196528:RDR196653 RDR262064:RDR262189 RDR327600:RDR327725 RDR393136:RDR393261 RDR458672:RDR458797 RDR524208:RDR524333 RDR589744:RDR589869 RDR655280:RDR655405 RDR720816:RDR720941 RDR786352:RDR786477 RDR851888:RDR852013 RDR917424:RDR917549 RDR982960:RDR983085 RNN4:RNN110 RNN65456:RNN65581 RNN130992:RNN131117 RNN196528:RNN196653 RNN262064:RNN262189 RNN327600:RNN327725 RNN393136:RNN393261 RNN458672:RNN458797 RNN524208:RNN524333 RNN589744:RNN589869 RNN655280:RNN655405 RNN720816:RNN720941 RNN786352:RNN786477 RNN851888:RNN852013 RNN917424:RNN917549 RNN982960:RNN983085 RXJ4:RXJ110 RXJ65456:RXJ65581 RXJ130992:RXJ131117 RXJ196528:RXJ196653 RXJ262064:RXJ262189 RXJ327600:RXJ327725 RXJ393136:RXJ393261 RXJ458672:RXJ458797 RXJ524208:RXJ524333 RXJ589744:RXJ589869 RXJ655280:RXJ655405 RXJ720816:RXJ720941 RXJ786352:RXJ786477 RXJ851888:RXJ852013 RXJ917424:RXJ917549 RXJ982960:RXJ983085 SHF4:SHF110 SHF65456:SHF65581 SHF130992:SHF131117 SHF196528:SHF196653 SHF262064:SHF262189 SHF327600:SHF327725 SHF393136:SHF393261 SHF458672:SHF458797 SHF524208:SHF524333 SHF589744:SHF589869 SHF655280:SHF655405 SHF720816:SHF720941 SHF786352:SHF786477 SHF851888:SHF852013 SHF917424:SHF917549 SHF982960:SHF983085 SRB4:SRB110 SRB65456:SRB65581 SRB130992:SRB131117 SRB196528:SRB196653 SRB262064:SRB262189 SRB327600:SRB327725 SRB393136:SRB393261 SRB458672:SRB458797 SRB524208:SRB524333 SRB589744:SRB589869 SRB655280:SRB655405 SRB720816:SRB720941 SRB786352:SRB786477 SRB851888:SRB852013 SRB917424:SRB917549 SRB982960:SRB983085 TAX4:TAX110 TAX65456:TAX65581 TAX130992:TAX131117 TAX196528:TAX196653 TAX262064:TAX262189 TAX327600:TAX327725 TAX393136:TAX393261 TAX458672:TAX458797 TAX524208:TAX524333 TAX589744:TAX589869 TAX655280:TAX655405 TAX720816:TAX720941 TAX786352:TAX786477 TAX851888:TAX852013 TAX917424:TAX917549 TAX982960:TAX983085 TKT4:TKT110 TKT65456:TKT65581 TKT130992:TKT131117 TKT196528:TKT196653 TKT262064:TKT262189 TKT327600:TKT327725 TKT393136:TKT393261 TKT458672:TKT458797 TKT524208:TKT524333 TKT589744:TKT589869 TKT655280:TKT655405 TKT720816:TKT720941 TKT786352:TKT786477 TKT851888:TKT852013 TKT917424:TKT917549 TKT982960:TKT983085 TUP4:TUP110 TUP65456:TUP65581 TUP130992:TUP131117 TUP196528:TUP196653 TUP262064:TUP262189 TUP327600:TUP327725 TUP393136:TUP393261 TUP458672:TUP458797 TUP524208:TUP524333 TUP589744:TUP589869 TUP655280:TUP655405 TUP720816:TUP720941 TUP786352:TUP786477 TUP851888:TUP852013 TUP917424:TUP917549 TUP982960:TUP983085 UEL4:UEL110 UEL65456:UEL65581 UEL130992:UEL131117 UEL196528:UEL196653 UEL262064:UEL262189 UEL327600:UEL327725 UEL393136:UEL393261 UEL458672:UEL458797 UEL524208:UEL524333 UEL589744:UEL589869 UEL655280:UEL655405 UEL720816:UEL720941 UEL786352:UEL786477 UEL851888:UEL852013 UEL917424:UEL917549 UEL982960:UEL983085 UOH4:UOH110 UOH65456:UOH65581 UOH130992:UOH131117 UOH196528:UOH196653 UOH262064:UOH262189 UOH327600:UOH327725 UOH393136:UOH393261 UOH458672:UOH458797 UOH524208:UOH524333 UOH589744:UOH589869 UOH655280:UOH655405 UOH720816:UOH720941 UOH786352:UOH786477 UOH851888:UOH852013 UOH917424:UOH917549 UOH982960:UOH983085 UYD4:UYD110 UYD65456:UYD65581 UYD130992:UYD131117 UYD196528:UYD196653 UYD262064:UYD262189 UYD327600:UYD327725 UYD393136:UYD393261 UYD458672:UYD458797 UYD524208:UYD524333 UYD589744:UYD589869 UYD655280:UYD655405 UYD720816:UYD720941 UYD786352:UYD786477 UYD851888:UYD852013 UYD917424:UYD917549 UYD982960:UYD983085 VHZ4:VHZ110 VHZ65456:VHZ65581 VHZ130992:VHZ131117 VHZ196528:VHZ196653 VHZ262064:VHZ262189 VHZ327600:VHZ327725 VHZ393136:VHZ393261 VHZ458672:VHZ458797 VHZ524208:VHZ524333 VHZ589744:VHZ589869 VHZ655280:VHZ655405 VHZ720816:VHZ720941 VHZ786352:VHZ786477 VHZ851888:VHZ852013 VHZ917424:VHZ917549 VHZ982960:VHZ983085 VRV4:VRV110 VRV65456:VRV65581 VRV130992:VRV131117 VRV196528:VRV196653 VRV262064:VRV262189 VRV327600:VRV327725 VRV393136:VRV393261 VRV458672:VRV458797 VRV524208:VRV524333 VRV589744:VRV589869 VRV655280:VRV655405 VRV720816:VRV720941 VRV786352:VRV786477 VRV851888:VRV852013 VRV917424:VRV917549 VRV982960:VRV983085 WBR4:WBR110 WBR65456:WBR65581 WBR130992:WBR131117 WBR196528:WBR196653 WBR262064:WBR262189 WBR327600:WBR327725 WBR393136:WBR393261 WBR458672:WBR458797 WBR524208:WBR524333 WBR589744:WBR589869 WBR655280:WBR655405 WBR720816:WBR720941 WBR786352:WBR786477 WBR851888:WBR852013 WBR917424:WBR917549 WBR982960:WBR983085 WLN4:WLN110 WLN65456:WLN65581 WLN130992:WLN131117 WLN196528:WLN196653 WLN262064:WLN262189 WLN327600:WLN327725 WLN393136:WLN393261 WLN458672:WLN458797 WLN524208:WLN524333 WLN589744:WLN589869 WLN655280:WLN655405 WLN720816:WLN720941 WLN786352:WLN786477 WLN851888:WLN852013 WLN917424:WLN917549 WLN982960:WLN983085 WVJ4:WVJ110 WVJ65456:WVJ65581 WVJ130992:WVJ131117 WVJ196528:WVJ196653 WVJ262064:WVJ262189 WVJ327600:WVJ327725 WVJ393136:WVJ393261 WVJ458672:WVJ458797 WVJ524208:WVJ524333 WVJ589744:WVJ589869 WVJ655280:WVJ655405 WVJ720816:WVJ720941 WVJ786352:WVJ786477 WVJ851888:WVJ852013 WVJ917424:WVJ917549 WVJ982960:WVJ983085">
      <formula1>"是,否"</formula1>
    </dataValidation>
  </dataValidations>
  <hyperlinks>
    <hyperlink ref="J90" location="报表附注!E2527" display="（五十四）"/>
    <hyperlink ref="J91" location="报表附注!E2527" display="（五十四）"/>
    <hyperlink ref="J92" location="报表附注!E2621" display="（五十六）"/>
    <hyperlink ref="J97" location="报表附注!E2637" display="（五十七）"/>
    <hyperlink ref="J98" location="报表附注!E2658" display="（五十八）"/>
    <hyperlink ref="J96" location="报表附注!E2710" display="（五十九）"/>
    <hyperlink ref="J94" location="'1.管理费用'!H5" display="（六十）"/>
    <hyperlink ref="J93" location="'2.销售费用'!H5" display="（六十）"/>
    <hyperlink ref="J95" location="报表附注!E2732" display="（六十）"/>
    <hyperlink ref="J104" location="报表附注!E2913" display="（六十一）"/>
    <hyperlink ref="J105" location="报表附注!E2979" display="（六十二）"/>
    <hyperlink ref="J107" location="报表附注!E2998" display="（六十三）"/>
    <hyperlink ref="J5" location="报表附注!E2" display="（一）"/>
    <hyperlink ref="J6" location="报表附注!E46" display="（二）"/>
    <hyperlink ref="J7" location="报表附注!E71" display="(三)"/>
    <hyperlink ref="J8" location="报表附注!E196" display="(六)"/>
    <hyperlink ref="J11" location="报表附注!E124" display="(四)"/>
    <hyperlink ref="J10" location="报表附注!E155" display="（五）"/>
    <hyperlink ref="J9" location="报表附注!E500" display="（七）"/>
    <hyperlink ref="J12" location="报表附注!E562" display="（八）"/>
    <hyperlink ref="J13" location="报表附注!E847" display="（九）"/>
    <hyperlink ref="J15" location="报表附注!E943" display="（十）"/>
    <hyperlink ref="J20" location="报表附注!E961" display="（十一）"/>
    <hyperlink ref="J21" location="报表附注!E986" display="（十二）"/>
    <hyperlink ref="J22" location="报表附注!E1014" display="（十三）"/>
    <hyperlink ref="J23" location="报表附注!E1052" display="（十五）"/>
    <hyperlink ref="J24" location="报表附注!E1101" display="（十六）"/>
    <hyperlink ref="J26" location="报表附注!E1226" display="（十八）"/>
    <hyperlink ref="J27" location="报表附注!E1334" display="（十九）"/>
    <hyperlink ref="J28" location="报表附注!E1351" display="（二十）"/>
    <hyperlink ref="J29" location="报表附注!E1365" display="（二十一）"/>
    <hyperlink ref="J30" location="报表附注!E1393" display="（二十二）"/>
    <hyperlink ref="J32" location="报表附注!E1485" display="（二十三）"/>
    <hyperlink ref="J33" location="报表附注!E1557" display="（二十五）"/>
    <hyperlink ref="J34" location="报表附注!E1520" display="（二十四）"/>
    <hyperlink ref="J36" location="报表附注!E1582" display="（二十六）"/>
    <hyperlink ref="J35" location="报表附注!E1597" display="（二十七）"/>
    <hyperlink ref="J48" location="报表附注!E1770" display="（三十）"/>
    <hyperlink ref="J49" location="报表附注!E1796" display="（三十一）"/>
    <hyperlink ref="J50" location="报表附注!E1809" display="（三十二）"/>
    <hyperlink ref="J51" location="报表附注!E1824" display="（三十三）"/>
    <hyperlink ref="J52" location="报表附注!E1890" display="（三十四）"/>
    <hyperlink ref="J53" location="报表附注!E1952" display="(三十五)"/>
    <hyperlink ref="J54" location="报表附注!E1991" display="（三十六）"/>
    <hyperlink ref="J55" location="报表附注!E2025" display="（三十七）"/>
    <hyperlink ref="J56" location="报表附注!E2037" display="（三十八）"/>
    <hyperlink ref="J57" location="报表附注!E2062" display="（三十九）"/>
    <hyperlink ref="J58" location="报表附注!E2173" display="（四十一）"/>
    <hyperlink ref="J59" location="报表附注!E2251" display="（四十二）"/>
    <hyperlink ref="J64" location="报表附注!E2272" display="（四十三）"/>
    <hyperlink ref="J65" location="报表附注!E2313" display="（四十四）"/>
    <hyperlink ref="J66" location="报表附注!E2333" display="（四十五）"/>
    <hyperlink ref="J67" location="报表附注!E2368" display="（四十六）"/>
    <hyperlink ref="J68" location="报表附注!E2157" display="（四十）"/>
    <hyperlink ref="J70" location="报表附注!E2385" display="（四十七）"/>
    <hyperlink ref="J77" location="报表附注!E2401" display="（四十八）"/>
    <hyperlink ref="J78" location="报表附注!E2470" display="（五十一）"/>
    <hyperlink ref="J80" location="报表附注!E2481" display="（五十二）"/>
    <hyperlink ref="J81" location="报表附注!E2493" display="（五十三）"/>
    <hyperlink ref="J69" location="报表附注!E1597" display="（二十七）"/>
    <hyperlink ref="J122" location="报表附注!E3138" display="六十六"/>
    <hyperlink ref="J117" location="报表附注!E3121" display="六十六"/>
    <hyperlink ref="J131" location="报表附注!E3163" display="六十七"/>
    <hyperlink ref="J136" location="报表附注!E3177" display="六十七"/>
    <hyperlink ref="J145" location="报表附注!E3199" display="六十八"/>
    <hyperlink ref="J150" location="报表附注!E3210" display="六十八"/>
    <hyperlink ref="A3" location="报表附注!F1" display="【返回】报表附注"/>
    <hyperlink ref="J120" location="现流表勾稽!D10" display="【返回】现流表勾稽"/>
    <hyperlink ref="H120" location="现流表勾稽!D10" display="=IF(现流表勾稽!D10=0,&quot;相符&quot;,&quot;请在表《现流表勾稽》补充不相符差异原因&quot;)"/>
    <hyperlink ref="H133" location="现流表勾稽!D46" display="=IF(现流表勾稽!D46=0,&quot;相符&quot;,&quot;请在表《现流表勾稽》补充不相符差异原因&quot;)"/>
    <hyperlink ref="H143" location="现流表勾稽!D77" display="=IF(现流表勾稽!D77=0,&quot;相符&quot;,&quot;请在表《现流表勾稽》补充不相符差异原因&quot;)"/>
    <hyperlink ref="H148" location="现流表勾稽!D94" display="=IF(现流表勾稽!D94=0,&quot;相符&quot;,&quot;请在表《现流表勾稽》补充不相符差异原因&quot;)"/>
    <hyperlink ref="H169" location="现流表勾稽!D189" display="=IF(现流表勾稽!D189=0,&quot;相符&quot;,&quot;请在表《现流表勾稽》补充不相符差异原因&quot;)"/>
    <hyperlink ref="H162" location="现流表勾稽!D116" display="=IF(现流表勾稽!D116=0,&quot;相符&quot;,&quot;请在表《现流表勾稽》补充不相符差异原因&quot;)"/>
    <hyperlink ref="H163" location="现流表勾稽!D129" display="=IF(现流表勾稽!D129=0,&quot;相符&quot;,&quot;请在表《现流表勾稽》补充不相符差异原因&quot;)"/>
    <hyperlink ref="H164" location="现流表勾稽!D141" display="=IF(现流表勾稽!D142=0,&quot;相符&quot;,&quot;请在表《现流表勾稽》补充不相符差异原因&quot;)"/>
    <hyperlink ref="H165" location="现流表勾稽!D152" display="=IF(现流表勾稽!D152=0,&quot;相符&quot;,&quot;请在表《现流表勾稽》补充不相符差异原因&quot;)"/>
    <hyperlink ref="H166" location="现流表勾稽!D166" display="=IF(现流表勾稽!D166=0,&quot;相符&quot;,&quot;请在表《现流表勾稽》补充不相符差异原因&quot;)"/>
    <hyperlink ref="H168" location="现流表勾稽!D177" display="=IF(现流表勾稽!D177=0,&quot;相符&quot;,&quot;请在表《现流表勾稽》补充不相符差异原因&quot;)"/>
    <hyperlink ref="H170" location="现流表勾稽!D200" display="=IF(现流表勾稽!D200=0,&quot;相符&quot;,&quot;请在表《现流表勾稽》补充不相符差异原因&quot;)"/>
    <hyperlink ref="H171" location="现流表勾稽!D211" display="=IF(现流表勾稽!D211=0,&quot;相符&quot;,&quot;请在表《现流表勾稽》补充不相符差异原因&quot;)"/>
    <hyperlink ref="H172" location="现流表勾稽!D220" display="=IF(现流表勾稽!D220=0,&quot;相符&quot;,&quot;请在表《现流表勾稽》补充不相符差异原因&quot;)"/>
    <hyperlink ref="H173" location="现流表勾稽!D229" display="=IF(现流表勾稽!D229=0,&quot;相符&quot;,&quot;请在表《现流表勾稽》补充不相符差异原因&quot;)"/>
    <hyperlink ref="H174" location="现流表勾稽!D244" display="=IF(现流表勾稽!D244=0,&quot;相符&quot;,&quot;请在表《现流表勾稽》补充不相符差异原因&quot;)"/>
    <hyperlink ref="H175" location="现流表勾稽!D273" display="=IF(现流表勾稽!D273=0,&quot;相符&quot;,&quot;请在表《现流表勾稽》补充不相符差异原因&quot;)"/>
    <hyperlink ref="H176" location="现流表勾稽!D291" display="=IF(现流表勾稽!D291=0,&quot;相符&quot;,&quot;请在表《现流表勾稽》补充不相符差异原因&quot;)"/>
    <hyperlink ref="H154" location="现流表勾稽!D105" display="=IF(现流表勾稽!D105=0,&quot;相符&quot;,&quot;请在表《现流表勾稽》补充不相符差异原因&quot;)"/>
    <hyperlink ref="J71" location="报表附注!E3903" display="（五十四）"/>
    <hyperlink ref="J25" location="报表附注!F3795" display="填写（十七）"/>
    <hyperlink ref="K25" location="报表附注!F1142" display="（十七）"/>
    <hyperlink ref="J31" location="报表附注!E3850" display="填写（二十三）"/>
    <hyperlink ref="K31" location="报表附注!E1418" display="（二十三）"/>
    <hyperlink ref="J82" location="报表附注!E4057" display="（五十七）"/>
    <hyperlink ref="H121" location="现流表勾稽!D25" display="=IF(现流表勾稽!D25=0,&quot;相符&quot;,&quot;请在表《现流表勾稽》补充不相符差异原因&quot;)"/>
    <hyperlink ref="J121" location="现流表勾稽!D25" display="【返回】现流表勾稽"/>
    <hyperlink ref="J16" location="报表附注!E4059" display="（六十五）"/>
    <hyperlink ref="J60" location="报表附注!E4074" display="（六十六）"/>
    <hyperlink ref="J14" location="报表附注!E4089" display="（六十七）"/>
    <hyperlink ref="J100" location="报表附注!E4104" display="（六十八）"/>
    <hyperlink ref="J102" location="报表附注!E4119" display="（六十九）"/>
    <hyperlink ref="J109" location="报表附注!E4038" display="（六十四）"/>
    <hyperlink ref="J83" location="报表附注!E4057" display="（五十七）"/>
    <hyperlink ref="J79" location="报表附注!E4151" display="（七十）"/>
  </hyperlinks>
  <pageMargins left="0.708661417322835" right="0.393700787401575" top="0.748031496062992" bottom="0.748031496062992" header="0.31496062992126" footer="0.31496062992126"/>
  <pageSetup paperSize="9" scale="85" orientation="portrait"/>
  <headerFooter/>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G467"/>
  <sheetViews>
    <sheetView topLeftCell="C1" workbookViewId="0">
      <pane xSplit="1" ySplit="4" topLeftCell="D5" activePane="bottomRight" state="frozen"/>
      <selection/>
      <selection pane="topRight"/>
      <selection pane="bottomLeft"/>
      <selection pane="bottomRight" activeCell="D126" sqref="D126"/>
    </sheetView>
  </sheetViews>
  <sheetFormatPr defaultColWidth="9" defaultRowHeight="12.75" customHeight="1" outlineLevelCol="6"/>
  <cols>
    <col min="1" max="1" width="2" style="1679" hidden="1" customWidth="1"/>
    <col min="2" max="2" width="2.75" style="1680" hidden="1" customWidth="1"/>
    <col min="3" max="3" width="56.125" style="1681" customWidth="1"/>
    <col min="4" max="4" width="19.25" style="1682" customWidth="1"/>
    <col min="5" max="5" width="15.25" style="1678" customWidth="1"/>
    <col min="6" max="6" width="12.25" style="1681" customWidth="1"/>
    <col min="7" max="7" width="4.5" style="1681" hidden="1" customWidth="1"/>
    <col min="8" max="8" width="9.375" style="1681" customWidth="1"/>
    <col min="9" max="16384" width="9" style="1681"/>
  </cols>
  <sheetData>
    <row r="1" customHeight="1" spans="3:7">
      <c r="C1" s="316" t="s">
        <v>305</v>
      </c>
      <c r="D1" s="1683"/>
      <c r="G1" s="1684" t="s">
        <v>2034</v>
      </c>
    </row>
    <row r="2" customHeight="1" spans="3:7">
      <c r="C2" s="1685" t="s">
        <v>2035</v>
      </c>
      <c r="D2" s="1686"/>
      <c r="G2" s="1684" t="s">
        <v>2034</v>
      </c>
    </row>
    <row r="3" customHeight="1" spans="1:7">
      <c r="A3" s="1679" t="s">
        <v>2036</v>
      </c>
      <c r="B3" s="1680" t="s">
        <v>2037</v>
      </c>
      <c r="C3" s="1687" t="s">
        <v>2038</v>
      </c>
      <c r="D3" s="1688" t="s">
        <v>365</v>
      </c>
      <c r="E3" s="1689" t="s">
        <v>2039</v>
      </c>
      <c r="F3" s="1681" t="s">
        <v>2040</v>
      </c>
      <c r="G3" s="1684" t="s">
        <v>2034</v>
      </c>
    </row>
    <row r="4" customHeight="1" spans="1:7">
      <c r="A4" s="1679" t="str">
        <f>报表附注!$G$1</f>
        <v>石嘴山市深阳蓝光市政工程有限公司</v>
      </c>
      <c r="B4" s="1680" t="s">
        <v>122</v>
      </c>
      <c r="C4" s="1690" t="s">
        <v>2041</v>
      </c>
      <c r="G4" s="1684" t="s">
        <v>2034</v>
      </c>
    </row>
    <row r="5" customHeight="1" spans="1:7">
      <c r="A5" s="1679" t="str">
        <f>报表附注!$G$1</f>
        <v>石嘴山市深阳蓝光市政工程有限公司</v>
      </c>
      <c r="B5" s="1680" t="s">
        <v>122</v>
      </c>
      <c r="C5" s="1691" t="s">
        <v>122</v>
      </c>
      <c r="D5" s="1692">
        <f>审定现流表!C12</f>
        <v>0</v>
      </c>
      <c r="G5" s="1684" t="s">
        <v>2034</v>
      </c>
    </row>
    <row r="6" customHeight="1" spans="1:7">
      <c r="A6" s="1679" t="str">
        <f>报表附注!$G$1</f>
        <v>石嘴山市深阳蓝光市政工程有限公司</v>
      </c>
      <c r="B6" s="1680" t="s">
        <v>122</v>
      </c>
      <c r="C6" s="1693" t="s">
        <v>2042</v>
      </c>
      <c r="G6" s="1684" t="s">
        <v>2034</v>
      </c>
    </row>
    <row r="7" customHeight="1" spans="1:7">
      <c r="A7" s="1679" t="str">
        <f>报表附注!$G$1</f>
        <v>石嘴山市深阳蓝光市政工程有限公司</v>
      </c>
      <c r="B7" s="1680" t="s">
        <v>122</v>
      </c>
      <c r="C7" s="1694" t="s">
        <v>2043</v>
      </c>
      <c r="D7" s="1692">
        <f>报表附注!H1980-报表附注!H1966</f>
        <v>0</v>
      </c>
      <c r="G7" s="1684" t="s">
        <v>2034</v>
      </c>
    </row>
    <row r="8" customHeight="1" spans="1:7">
      <c r="A8" s="1679" t="str">
        <f>报表附注!$G$1</f>
        <v>石嘴山市深阳蓝光市政工程有限公司</v>
      </c>
      <c r="B8" s="1680" t="s">
        <v>122</v>
      </c>
      <c r="C8" s="1694" t="s">
        <v>2044</v>
      </c>
      <c r="D8" s="1692">
        <f>报表附注!F2005-报表附注!I2005</f>
        <v>0</v>
      </c>
      <c r="G8" s="1684" t="s">
        <v>2034</v>
      </c>
    </row>
    <row r="9" customHeight="1" spans="1:7">
      <c r="A9" s="1679" t="str">
        <f>报表附注!$G$1</f>
        <v>石嘴山市深阳蓝光市政工程有限公司</v>
      </c>
      <c r="B9" s="1680" t="s">
        <v>122</v>
      </c>
      <c r="C9" s="1695" t="s">
        <v>1394</v>
      </c>
      <c r="D9" s="1692">
        <f>ROUND(D5-D7-D8,2)</f>
        <v>0</v>
      </c>
      <c r="G9" s="1684" t="s">
        <v>2034</v>
      </c>
    </row>
    <row r="10" customHeight="1" spans="1:7">
      <c r="A10" s="1679" t="str">
        <f>报表附注!$G$1</f>
        <v>石嘴山市深阳蓝光市政工程有限公司</v>
      </c>
      <c r="B10" s="1680" t="s">
        <v>122</v>
      </c>
      <c r="C10" s="1696" t="s">
        <v>2045</v>
      </c>
      <c r="D10" s="1697">
        <f>ROUND(SUM(D11:D19)-D9,2)</f>
        <v>0</v>
      </c>
      <c r="E10" s="1678" t="str">
        <f>IF(D10=0,"勾稽一致","最终差异")</f>
        <v>勾稽一致</v>
      </c>
      <c r="G10" s="1684" t="s">
        <v>2034</v>
      </c>
    </row>
    <row r="11" customHeight="1" spans="1:7">
      <c r="A11" s="1679" t="str">
        <f>报表附注!$G$1</f>
        <v>石嘴山市深阳蓝光市政工程有限公司</v>
      </c>
      <c r="B11" s="1680" t="s">
        <v>122</v>
      </c>
      <c r="C11" s="1698" t="s">
        <v>2046</v>
      </c>
      <c r="G11" s="1684" t="s">
        <v>2034</v>
      </c>
    </row>
    <row r="12" customHeight="1" spans="1:7">
      <c r="A12" s="1679" t="str">
        <f>报表附注!$G$1</f>
        <v>石嘴山市深阳蓝光市政工程有限公司</v>
      </c>
      <c r="B12" s="1680" t="s">
        <v>122</v>
      </c>
      <c r="C12" s="1699" t="s">
        <v>2047</v>
      </c>
      <c r="G12" s="1684" t="s">
        <v>2034</v>
      </c>
    </row>
    <row r="13" customHeight="1" spans="1:7">
      <c r="A13" s="1679" t="str">
        <f>报表附注!$G$1</f>
        <v>石嘴山市深阳蓝光市政工程有限公司</v>
      </c>
      <c r="B13" s="1680" t="s">
        <v>122</v>
      </c>
      <c r="C13" s="1698" t="s">
        <v>2048</v>
      </c>
      <c r="G13" s="1684" t="s">
        <v>2034</v>
      </c>
    </row>
    <row r="14" customHeight="1" spans="1:7">
      <c r="A14" s="1679" t="str">
        <f>报表附注!$G$1</f>
        <v>石嘴山市深阳蓝光市政工程有限公司</v>
      </c>
      <c r="B14" s="1680" t="s">
        <v>122</v>
      </c>
      <c r="C14" s="1698" t="s">
        <v>2049</v>
      </c>
      <c r="G14" s="1684" t="s">
        <v>2034</v>
      </c>
    </row>
    <row r="15" customHeight="1" spans="1:7">
      <c r="A15" s="1679" t="str">
        <f>报表附注!$G$1</f>
        <v>石嘴山市深阳蓝光市政工程有限公司</v>
      </c>
      <c r="B15" s="1680" t="s">
        <v>122</v>
      </c>
      <c r="C15" s="1681" t="s">
        <v>2050</v>
      </c>
      <c r="G15" s="1684" t="s">
        <v>2034</v>
      </c>
    </row>
    <row r="16" customHeight="1" spans="1:7">
      <c r="A16" s="1679" t="str">
        <f>报表附注!$G$1</f>
        <v>石嘴山市深阳蓝光市政工程有限公司</v>
      </c>
      <c r="B16" s="1680" t="s">
        <v>122</v>
      </c>
      <c r="C16" s="1681" t="s">
        <v>2051</v>
      </c>
      <c r="G16" s="1684" t="s">
        <v>2034</v>
      </c>
    </row>
    <row r="17" customHeight="1" spans="1:7">
      <c r="A17" s="1679" t="str">
        <f>报表附注!$G$1</f>
        <v>石嘴山市深阳蓝光市政工程有限公司</v>
      </c>
      <c r="B17" s="1680" t="s">
        <v>122</v>
      </c>
      <c r="C17" s="1681" t="s">
        <v>2052</v>
      </c>
      <c r="G17" s="1684" t="s">
        <v>2034</v>
      </c>
    </row>
    <row r="18" customHeight="1" spans="1:7">
      <c r="A18" s="1679" t="str">
        <f>报表附注!$G$1</f>
        <v>石嘴山市深阳蓝光市政工程有限公司</v>
      </c>
      <c r="B18" s="1680" t="s">
        <v>122</v>
      </c>
      <c r="C18" s="1681" t="s">
        <v>2053</v>
      </c>
      <c r="G18" s="1684" t="s">
        <v>2034</v>
      </c>
    </row>
    <row r="19" customHeight="1" spans="1:7">
      <c r="A19" s="1679" t="str">
        <f>报表附注!$G$1</f>
        <v>石嘴山市深阳蓝光市政工程有限公司</v>
      </c>
      <c r="B19" s="1680" t="s">
        <v>122</v>
      </c>
      <c r="G19" s="1684" t="s">
        <v>2034</v>
      </c>
    </row>
    <row r="20" customHeight="1" spans="1:7">
      <c r="A20" s="1679" t="str">
        <f>报表附注!$G$1</f>
        <v>石嘴山市深阳蓝光市政工程有限公司</v>
      </c>
      <c r="B20" s="1680" t="s">
        <v>123</v>
      </c>
      <c r="C20" s="1690" t="s">
        <v>2041</v>
      </c>
      <c r="G20" s="1684" t="s">
        <v>2034</v>
      </c>
    </row>
    <row r="21" customHeight="1" spans="1:7">
      <c r="A21" s="1679" t="str">
        <f>报表附注!$G$1</f>
        <v>石嘴山市深阳蓝光市政工程有限公司</v>
      </c>
      <c r="B21" s="1680" t="s">
        <v>123</v>
      </c>
      <c r="C21" s="1691" t="s">
        <v>123</v>
      </c>
      <c r="D21" s="1692">
        <f>审定现流表!C13</f>
        <v>0</v>
      </c>
      <c r="G21" s="1684" t="s">
        <v>2034</v>
      </c>
    </row>
    <row r="22" customHeight="1" spans="1:7">
      <c r="A22" s="1679" t="str">
        <f>报表附注!$G$1</f>
        <v>石嘴山市深阳蓝光市政工程有限公司</v>
      </c>
      <c r="B22" s="1680" t="s">
        <v>123</v>
      </c>
      <c r="C22" s="1693" t="s">
        <v>2042</v>
      </c>
      <c r="G22" s="1684" t="s">
        <v>2034</v>
      </c>
    </row>
    <row r="23" customHeight="1" spans="1:7">
      <c r="A23" s="1679" t="str">
        <f>报表附注!$G$1</f>
        <v>石嘴山市深阳蓝光市政工程有限公司</v>
      </c>
      <c r="B23" s="1680" t="s">
        <v>123</v>
      </c>
      <c r="C23" s="1694" t="s">
        <v>2054</v>
      </c>
      <c r="D23" s="1692">
        <f>报表附注!H2017-报表附注!H2005</f>
        <v>0</v>
      </c>
      <c r="G23" s="1684" t="s">
        <v>2034</v>
      </c>
    </row>
    <row r="24" customHeight="1" spans="1:7">
      <c r="A24" s="1679" t="str">
        <f>报表附注!$G$1</f>
        <v>石嘴山市深阳蓝光市政工程有限公司</v>
      </c>
      <c r="B24" s="1680" t="s">
        <v>123</v>
      </c>
      <c r="C24" s="1695" t="s">
        <v>1394</v>
      </c>
      <c r="D24" s="1692">
        <f>D21-D23</f>
        <v>0</v>
      </c>
      <c r="G24" s="1684" t="s">
        <v>2034</v>
      </c>
    </row>
    <row r="25" customHeight="1" spans="1:7">
      <c r="A25" s="1679" t="str">
        <f>报表附注!$G$1</f>
        <v>石嘴山市深阳蓝光市政工程有限公司</v>
      </c>
      <c r="B25" s="1680" t="s">
        <v>123</v>
      </c>
      <c r="C25" s="1696" t="s">
        <v>2045</v>
      </c>
      <c r="D25" s="1697">
        <f>ROUND(SUM(D26:D36)-D24,2)</f>
        <v>0</v>
      </c>
      <c r="E25" s="1678" t="str">
        <f>IF(D25=0,"勾稽一致","最终差异")</f>
        <v>勾稽一致</v>
      </c>
      <c r="G25" s="1684" t="s">
        <v>2034</v>
      </c>
    </row>
    <row r="26" customHeight="1" spans="1:7">
      <c r="A26" s="1679" t="str">
        <f>报表附注!$G$1</f>
        <v>石嘴山市深阳蓝光市政工程有限公司</v>
      </c>
      <c r="B26" s="1680" t="s">
        <v>123</v>
      </c>
      <c r="C26" s="1700" t="s">
        <v>2055</v>
      </c>
      <c r="G26" s="1684" t="s">
        <v>2034</v>
      </c>
    </row>
    <row r="27" customHeight="1" spans="1:7">
      <c r="A27" s="1679" t="str">
        <f>报表附注!$G$1</f>
        <v>石嘴山市深阳蓝光市政工程有限公司</v>
      </c>
      <c r="B27" s="1680" t="s">
        <v>123</v>
      </c>
      <c r="C27" s="1699" t="s">
        <v>2056</v>
      </c>
      <c r="G27" s="1684" t="s">
        <v>2034</v>
      </c>
    </row>
    <row r="28" customHeight="1" spans="1:7">
      <c r="A28" s="1679" t="str">
        <f>报表附注!$G$1</f>
        <v>石嘴山市深阳蓝光市政工程有限公司</v>
      </c>
      <c r="B28" s="1680" t="s">
        <v>123</v>
      </c>
      <c r="C28" s="1698" t="s">
        <v>2048</v>
      </c>
      <c r="G28" s="1684" t="s">
        <v>2034</v>
      </c>
    </row>
    <row r="29" customHeight="1" spans="1:7">
      <c r="A29" s="1679" t="str">
        <f>报表附注!$G$1</f>
        <v>石嘴山市深阳蓝光市政工程有限公司</v>
      </c>
      <c r="B29" s="1680" t="s">
        <v>123</v>
      </c>
      <c r="C29" s="1699" t="s">
        <v>2057</v>
      </c>
      <c r="G29" s="1684" t="s">
        <v>2034</v>
      </c>
    </row>
    <row r="30" customHeight="1" spans="1:7">
      <c r="A30" s="1679" t="str">
        <f>报表附注!$G$1</f>
        <v>石嘴山市深阳蓝光市政工程有限公司</v>
      </c>
      <c r="B30" s="1680" t="s">
        <v>123</v>
      </c>
      <c r="C30" s="1699" t="s">
        <v>2058</v>
      </c>
      <c r="G30" s="1684" t="s">
        <v>2034</v>
      </c>
    </row>
    <row r="31" customHeight="1" spans="1:7">
      <c r="A31" s="1679" t="str">
        <f>报表附注!$G$1</f>
        <v>石嘴山市深阳蓝光市政工程有限公司</v>
      </c>
      <c r="B31" s="1680" t="s">
        <v>123</v>
      </c>
      <c r="G31" s="1684" t="s">
        <v>2034</v>
      </c>
    </row>
    <row r="32" customHeight="1" spans="1:7">
      <c r="A32" s="1679" t="str">
        <f>报表附注!$G$1</f>
        <v>石嘴山市深阳蓝光市政工程有限公司</v>
      </c>
      <c r="B32" s="1680" t="s">
        <v>123</v>
      </c>
      <c r="G32" s="1684" t="s">
        <v>2034</v>
      </c>
    </row>
    <row r="33" customHeight="1" spans="1:7">
      <c r="A33" s="1679" t="str">
        <f>报表附注!$G$1</f>
        <v>石嘴山市深阳蓝光市政工程有限公司</v>
      </c>
      <c r="B33" s="1680" t="s">
        <v>123</v>
      </c>
      <c r="G33" s="1684" t="s">
        <v>2034</v>
      </c>
    </row>
    <row r="34" customHeight="1" spans="1:7">
      <c r="A34" s="1679" t="str">
        <f>报表附注!$G$1</f>
        <v>石嘴山市深阳蓝光市政工程有限公司</v>
      </c>
      <c r="B34" s="1680" t="s">
        <v>123</v>
      </c>
      <c r="G34" s="1684" t="s">
        <v>2034</v>
      </c>
    </row>
    <row r="35" customHeight="1" spans="1:7">
      <c r="A35" s="1679" t="str">
        <f>报表附注!$G$1</f>
        <v>石嘴山市深阳蓝光市政工程有限公司</v>
      </c>
      <c r="B35" s="1680" t="s">
        <v>123</v>
      </c>
      <c r="G35" s="1684" t="s">
        <v>2034</v>
      </c>
    </row>
    <row r="36" customHeight="1" spans="1:7">
      <c r="A36" s="1679" t="str">
        <f>报表附注!$G$1</f>
        <v>石嘴山市深阳蓝光市政工程有限公司</v>
      </c>
      <c r="B36" s="1680" t="s">
        <v>123</v>
      </c>
      <c r="G36" s="1684" t="s">
        <v>2034</v>
      </c>
    </row>
    <row r="37" customHeight="1" spans="1:7">
      <c r="A37" s="1679" t="str">
        <f>报表附注!$G$1</f>
        <v>石嘴山市深阳蓝光市政工程有限公司</v>
      </c>
      <c r="B37" s="1680" t="s">
        <v>135</v>
      </c>
      <c r="C37" s="1690" t="s">
        <v>2041</v>
      </c>
      <c r="G37" s="1684"/>
    </row>
    <row r="38" customHeight="1" spans="1:7">
      <c r="A38" s="1679" t="str">
        <f>报表附注!$G$1</f>
        <v>石嘴山市深阳蓝光市政工程有限公司</v>
      </c>
      <c r="B38" s="1680" t="s">
        <v>135</v>
      </c>
      <c r="C38" s="1691" t="s">
        <v>135</v>
      </c>
      <c r="D38" s="1692">
        <f>审定现流表!C25</f>
        <v>0</v>
      </c>
      <c r="G38" s="1684"/>
    </row>
    <row r="39" customHeight="1" spans="1:7">
      <c r="A39" s="1679" t="str">
        <f>报表附注!$G$1</f>
        <v>石嘴山市深阳蓝光市政工程有限公司</v>
      </c>
      <c r="B39" s="1680" t="s">
        <v>135</v>
      </c>
      <c r="C39" s="1693" t="s">
        <v>2042</v>
      </c>
      <c r="G39" s="1684"/>
    </row>
    <row r="40" customHeight="1" spans="1:7">
      <c r="A40" s="1679" t="str">
        <f>报表附注!$G$1</f>
        <v>石嘴山市深阳蓝光市政工程有限公司</v>
      </c>
      <c r="B40" s="1680" t="s">
        <v>135</v>
      </c>
      <c r="C40" s="1694" t="s">
        <v>2059</v>
      </c>
      <c r="D40" s="1692">
        <f>报表附注!H1144</f>
        <v>0</v>
      </c>
      <c r="G40" s="1684"/>
    </row>
    <row r="41" customHeight="1" spans="1:7">
      <c r="A41" s="1679" t="str">
        <f>报表附注!$G$1</f>
        <v>石嘴山市深阳蓝光市政工程有限公司</v>
      </c>
      <c r="B41" s="1680" t="s">
        <v>135</v>
      </c>
      <c r="C41" s="1701" t="s">
        <v>2060</v>
      </c>
      <c r="D41" s="1692">
        <f>报表附注!I1309</f>
        <v>0</v>
      </c>
      <c r="G41" s="1684"/>
    </row>
    <row r="42" customHeight="1" spans="1:7">
      <c r="A42" s="1679" t="str">
        <f>报表附注!$G$1</f>
        <v>石嘴山市深阳蓝光市政工程有限公司</v>
      </c>
      <c r="B42" s="1680" t="s">
        <v>135</v>
      </c>
      <c r="C42" s="1694" t="s">
        <v>2061</v>
      </c>
      <c r="D42" s="1692">
        <f>报表附注!H1309-报表附注!N1309</f>
        <v>0</v>
      </c>
      <c r="G42" s="1684"/>
    </row>
    <row r="43" customHeight="1" spans="1:7">
      <c r="A43" s="1679" t="str">
        <f>报表附注!$G$1</f>
        <v>石嘴山市深阳蓝光市政工程有限公司</v>
      </c>
      <c r="B43" s="1680" t="s">
        <v>135</v>
      </c>
      <c r="C43" s="1694" t="s">
        <v>2062</v>
      </c>
      <c r="D43" s="1692">
        <f>报表附注!G1344</f>
        <v>0</v>
      </c>
      <c r="G43" s="1684"/>
    </row>
    <row r="44" customHeight="1" spans="1:7">
      <c r="A44" s="1679" t="str">
        <f>报表附注!$G$1</f>
        <v>石嘴山市深阳蓝光市政工程有限公司</v>
      </c>
      <c r="B44" s="1680" t="s">
        <v>135</v>
      </c>
      <c r="C44" s="1694" t="s">
        <v>2063</v>
      </c>
      <c r="D44" s="1692">
        <f>报表附注!G1421</f>
        <v>0</v>
      </c>
      <c r="G44" s="1684"/>
    </row>
    <row r="45" customHeight="1" spans="1:7">
      <c r="A45" s="1679" t="str">
        <f>报表附注!$G$1</f>
        <v>石嘴山市深阳蓝光市政工程有限公司</v>
      </c>
      <c r="B45" s="1680" t="s">
        <v>135</v>
      </c>
      <c r="C45" s="1695" t="s">
        <v>1394</v>
      </c>
      <c r="D45" s="1692">
        <f>D38-D40+D41-D42-D43-D44</f>
        <v>0</v>
      </c>
      <c r="G45" s="1684"/>
    </row>
    <row r="46" customHeight="1" spans="1:7">
      <c r="A46" s="1679" t="str">
        <f>报表附注!$G$1</f>
        <v>石嘴山市深阳蓝光市政工程有限公司</v>
      </c>
      <c r="B46" s="1680" t="s">
        <v>135</v>
      </c>
      <c r="C46" s="1696" t="s">
        <v>2045</v>
      </c>
      <c r="D46" s="1697">
        <f>ROUND(SUM(D47:D70)-D45,2)</f>
        <v>0</v>
      </c>
      <c r="E46" s="1678" t="str">
        <f>IF(D46=0,"勾稽一致","最终差异")</f>
        <v>勾稽一致</v>
      </c>
      <c r="G46" s="1684"/>
    </row>
    <row r="47" customHeight="1" spans="1:7">
      <c r="A47" s="1679" t="str">
        <f>报表附注!$G$1</f>
        <v>石嘴山市深阳蓝光市政工程有限公司</v>
      </c>
      <c r="B47" s="1680" t="s">
        <v>135</v>
      </c>
      <c r="C47" s="1700" t="s">
        <v>2064</v>
      </c>
      <c r="G47" s="1684"/>
    </row>
    <row r="48" customHeight="1" spans="1:7">
      <c r="A48" s="1679" t="str">
        <f>报表附注!$G$1</f>
        <v>石嘴山市深阳蓝光市政工程有限公司</v>
      </c>
      <c r="B48" s="1680" t="s">
        <v>135</v>
      </c>
      <c r="C48" s="1700" t="s">
        <v>2065</v>
      </c>
      <c r="G48" s="1684"/>
    </row>
    <row r="49" customHeight="1" spans="1:7">
      <c r="A49" s="1679" t="str">
        <f>报表附注!$G$1</f>
        <v>石嘴山市深阳蓝光市政工程有限公司</v>
      </c>
      <c r="B49" s="1680" t="s">
        <v>135</v>
      </c>
      <c r="C49" s="1700" t="s">
        <v>2066</v>
      </c>
      <c r="G49" s="1684"/>
    </row>
    <row r="50" customHeight="1" spans="1:7">
      <c r="A50" s="1679" t="str">
        <f>报表附注!$G$1</f>
        <v>石嘴山市深阳蓝光市政工程有限公司</v>
      </c>
      <c r="B50" s="1680" t="s">
        <v>135</v>
      </c>
      <c r="C50" s="1700" t="s">
        <v>2067</v>
      </c>
      <c r="G50" s="1684"/>
    </row>
    <row r="51" customHeight="1" spans="1:7">
      <c r="A51" s="1679" t="str">
        <f>报表附注!$G$1</f>
        <v>石嘴山市深阳蓝光市政工程有限公司</v>
      </c>
      <c r="B51" s="1680" t="s">
        <v>135</v>
      </c>
      <c r="C51" s="1700" t="s">
        <v>2068</v>
      </c>
      <c r="G51" s="1684"/>
    </row>
    <row r="52" customHeight="1" spans="1:7">
      <c r="A52" s="1679" t="str">
        <f>报表附注!$G$1</f>
        <v>石嘴山市深阳蓝光市政工程有限公司</v>
      </c>
      <c r="B52" s="1680" t="s">
        <v>135</v>
      </c>
      <c r="C52" s="1700" t="s">
        <v>2069</v>
      </c>
      <c r="G52" s="1684"/>
    </row>
    <row r="53" customHeight="1" spans="1:7">
      <c r="A53" s="1679" t="str">
        <f>报表附注!$G$1</f>
        <v>石嘴山市深阳蓝光市政工程有限公司</v>
      </c>
      <c r="B53" s="1680" t="s">
        <v>135</v>
      </c>
      <c r="C53" s="1700" t="s">
        <v>2070</v>
      </c>
      <c r="G53" s="1684"/>
    </row>
    <row r="54" customHeight="1" spans="1:7">
      <c r="A54" s="1679" t="str">
        <f>报表附注!$G$1</f>
        <v>石嘴山市深阳蓝光市政工程有限公司</v>
      </c>
      <c r="B54" s="1680" t="s">
        <v>135</v>
      </c>
      <c r="C54" s="1700" t="s">
        <v>2071</v>
      </c>
      <c r="G54" s="1684"/>
    </row>
    <row r="55" customHeight="1" spans="1:7">
      <c r="A55" s="1679" t="str">
        <f>报表附注!$G$1</f>
        <v>石嘴山市深阳蓝光市政工程有限公司</v>
      </c>
      <c r="B55" s="1680" t="s">
        <v>135</v>
      </c>
      <c r="C55" s="1700" t="s">
        <v>2072</v>
      </c>
      <c r="G55" s="1684"/>
    </row>
    <row r="56" customHeight="1" spans="1:7">
      <c r="A56" s="1679" t="str">
        <f>报表附注!$G$1</f>
        <v>石嘴山市深阳蓝光市政工程有限公司</v>
      </c>
      <c r="B56" s="1680" t="s">
        <v>135</v>
      </c>
      <c r="C56" s="1698" t="s">
        <v>2073</v>
      </c>
      <c r="G56" s="1684"/>
    </row>
    <row r="57" customHeight="1" spans="1:7">
      <c r="A57" s="1679" t="str">
        <f>报表附注!$G$1</f>
        <v>石嘴山市深阳蓝光市政工程有限公司</v>
      </c>
      <c r="B57" s="1680" t="s">
        <v>135</v>
      </c>
      <c r="C57" s="1698" t="s">
        <v>2074</v>
      </c>
      <c r="G57" s="1684"/>
    </row>
    <row r="58" customHeight="1" spans="1:7">
      <c r="A58" s="1679" t="str">
        <f>报表附注!$G$1</f>
        <v>石嘴山市深阳蓝光市政工程有限公司</v>
      </c>
      <c r="B58" s="1680" t="s">
        <v>135</v>
      </c>
      <c r="C58" s="1700" t="s">
        <v>2075</v>
      </c>
      <c r="G58" s="1684"/>
    </row>
    <row r="59" customHeight="1" spans="1:7">
      <c r="A59" s="1679" t="str">
        <f>报表附注!$G$1</f>
        <v>石嘴山市深阳蓝光市政工程有限公司</v>
      </c>
      <c r="B59" s="1680" t="s">
        <v>135</v>
      </c>
      <c r="C59" s="1700" t="s">
        <v>2076</v>
      </c>
      <c r="G59" s="1684"/>
    </row>
    <row r="60" customHeight="1" spans="1:7">
      <c r="A60" s="1679" t="str">
        <f>报表附注!$G$1</f>
        <v>石嘴山市深阳蓝光市政工程有限公司</v>
      </c>
      <c r="B60" s="1680" t="s">
        <v>135</v>
      </c>
      <c r="C60" s="1698" t="s">
        <v>2048</v>
      </c>
      <c r="G60" s="1684"/>
    </row>
    <row r="61" customHeight="1" spans="1:7">
      <c r="A61" s="1679" t="str">
        <f>报表附注!$G$1</f>
        <v>石嘴山市深阳蓝光市政工程有限公司</v>
      </c>
      <c r="B61" s="1680" t="s">
        <v>135</v>
      </c>
      <c r="C61" s="1698" t="s">
        <v>2077</v>
      </c>
      <c r="G61" s="1684"/>
    </row>
    <row r="62" customHeight="1" spans="1:7">
      <c r="A62" s="1679" t="str">
        <f>报表附注!$G$1</f>
        <v>石嘴山市深阳蓝光市政工程有限公司</v>
      </c>
      <c r="B62" s="1680" t="s">
        <v>135</v>
      </c>
      <c r="C62" s="1698" t="s">
        <v>2078</v>
      </c>
      <c r="G62" s="1684"/>
    </row>
    <row r="63" customHeight="1" spans="1:7">
      <c r="A63" s="1679" t="str">
        <f>报表附注!$G$1</f>
        <v>石嘴山市深阳蓝光市政工程有限公司</v>
      </c>
      <c r="B63" s="1680" t="s">
        <v>135</v>
      </c>
      <c r="C63" s="1698" t="s">
        <v>2079</v>
      </c>
      <c r="G63" s="1684"/>
    </row>
    <row r="64" customHeight="1" spans="1:7">
      <c r="A64" s="1679" t="str">
        <f>报表附注!$G$1</f>
        <v>石嘴山市深阳蓝光市政工程有限公司</v>
      </c>
      <c r="B64" s="1680" t="s">
        <v>135</v>
      </c>
      <c r="C64" s="1698" t="s">
        <v>253</v>
      </c>
      <c r="G64" s="1684"/>
    </row>
    <row r="65" customHeight="1" spans="1:7">
      <c r="A65" s="1679" t="str">
        <f>报表附注!$G$1</f>
        <v>石嘴山市深阳蓝光市政工程有限公司</v>
      </c>
      <c r="B65" s="1680" t="s">
        <v>135</v>
      </c>
      <c r="C65" s="1698" t="s">
        <v>2080</v>
      </c>
      <c r="G65" s="1684"/>
    </row>
    <row r="66" customHeight="1" spans="1:7">
      <c r="A66" s="1679" t="str">
        <f>报表附注!$G$1</f>
        <v>石嘴山市深阳蓝光市政工程有限公司</v>
      </c>
      <c r="B66" s="1680" t="s">
        <v>135</v>
      </c>
      <c r="C66" s="1702"/>
      <c r="G66" s="1684"/>
    </row>
    <row r="67" customHeight="1" spans="1:7">
      <c r="A67" s="1679" t="str">
        <f>报表附注!$G$1</f>
        <v>石嘴山市深阳蓝光市政工程有限公司</v>
      </c>
      <c r="B67" s="1680" t="s">
        <v>135</v>
      </c>
      <c r="C67" s="1702"/>
      <c r="G67" s="1684"/>
    </row>
    <row r="68" customHeight="1" spans="1:7">
      <c r="A68" s="1679" t="str">
        <f>报表附注!$G$1</f>
        <v>石嘴山市深阳蓝光市政工程有限公司</v>
      </c>
      <c r="B68" s="1680" t="s">
        <v>135</v>
      </c>
      <c r="C68" s="1702"/>
      <c r="G68" s="1684"/>
    </row>
    <row r="69" customHeight="1" spans="1:7">
      <c r="A69" s="1679" t="str">
        <f>报表附注!$G$1</f>
        <v>石嘴山市深阳蓝光市政工程有限公司</v>
      </c>
      <c r="B69" s="1680" t="s">
        <v>135</v>
      </c>
      <c r="C69" s="1702"/>
      <c r="G69" s="1684"/>
    </row>
    <row r="70" customHeight="1" spans="1:7">
      <c r="A70" s="1679" t="str">
        <f>报表附注!$G$1</f>
        <v>石嘴山市深阳蓝光市政工程有限公司</v>
      </c>
      <c r="B70" s="1680" t="s">
        <v>135</v>
      </c>
      <c r="C70" s="1702"/>
      <c r="G70" s="1684"/>
    </row>
    <row r="71" customHeight="1" spans="1:7">
      <c r="A71" s="1679" t="str">
        <f>报表附注!$G$1</f>
        <v>石嘴山市深阳蓝光市政工程有限公司</v>
      </c>
      <c r="B71" s="1680" t="s">
        <v>144</v>
      </c>
      <c r="C71" s="1690" t="s">
        <v>2041</v>
      </c>
      <c r="G71" s="1684"/>
    </row>
    <row r="72" customHeight="1" spans="1:7">
      <c r="A72" s="1679" t="str">
        <f>报表附注!$G$1</f>
        <v>石嘴山市深阳蓝光市政工程有限公司</v>
      </c>
      <c r="B72" s="1680" t="s">
        <v>144</v>
      </c>
      <c r="C72" s="1691" t="s">
        <v>144</v>
      </c>
      <c r="D72" s="1692">
        <f>审定现流表!C35</f>
        <v>0</v>
      </c>
      <c r="G72" s="1684"/>
    </row>
    <row r="73" customHeight="1" spans="1:7">
      <c r="A73" s="1679" t="str">
        <f>报表附注!$G$1</f>
        <v>石嘴山市深阳蓝光市政工程有限公司</v>
      </c>
      <c r="B73" s="1680" t="s">
        <v>144</v>
      </c>
      <c r="C73" s="1691" t="s">
        <v>149</v>
      </c>
      <c r="D73" s="1692">
        <f>审定现流表!C39</f>
        <v>0</v>
      </c>
      <c r="G73" s="1684"/>
    </row>
    <row r="74" customHeight="1" spans="1:7">
      <c r="A74" s="1679" t="str">
        <f>报表附注!$G$1</f>
        <v>石嘴山市深阳蓝光市政工程有限公司</v>
      </c>
      <c r="B74" s="1680" t="s">
        <v>144</v>
      </c>
      <c r="C74" s="1693" t="s">
        <v>2081</v>
      </c>
      <c r="G74" s="1684"/>
    </row>
    <row r="75" customHeight="1" spans="1:7">
      <c r="A75" s="1679" t="str">
        <f>报表附注!$G$1</f>
        <v>石嘴山市深阳蓝光市政工程有限公司</v>
      </c>
      <c r="B75" s="1680" t="s">
        <v>144</v>
      </c>
      <c r="C75" s="1694" t="s">
        <v>2082</v>
      </c>
      <c r="D75" s="1692">
        <f>-报表附注!F2190+报表附注!G2190+审定资负表!H7-审定资负表!G7+审定资负表!H23-审定资负表!G23</f>
        <v>0</v>
      </c>
      <c r="G75" s="1684"/>
    </row>
    <row r="76" customHeight="1" spans="1:7">
      <c r="A76" s="1679" t="str">
        <f>报表附注!$G$1</f>
        <v>石嘴山市深阳蓝光市政工程有限公司</v>
      </c>
      <c r="B76" s="1680" t="s">
        <v>144</v>
      </c>
      <c r="C76" s="1695" t="s">
        <v>1394</v>
      </c>
      <c r="D76" s="1692">
        <f>D73-D72-D75</f>
        <v>0</v>
      </c>
      <c r="G76" s="1684"/>
    </row>
    <row r="77" customHeight="1" spans="1:7">
      <c r="A77" s="1679" t="str">
        <f>报表附注!$G$1</f>
        <v>石嘴山市深阳蓝光市政工程有限公司</v>
      </c>
      <c r="B77" s="1680" t="s">
        <v>144</v>
      </c>
      <c r="C77" s="1696" t="s">
        <v>2045</v>
      </c>
      <c r="D77" s="1697">
        <f>ROUND(SUM(D78:D84)-D76,2)</f>
        <v>0</v>
      </c>
      <c r="E77" s="1678" t="str">
        <f>IF(D77=0,"勾稽一致","最终差异")</f>
        <v>勾稽一致</v>
      </c>
      <c r="G77" s="1684"/>
    </row>
    <row r="78" customHeight="1" spans="1:7">
      <c r="A78" s="1679" t="str">
        <f>报表附注!$G$1</f>
        <v>石嘴山市深阳蓝光市政工程有限公司</v>
      </c>
      <c r="B78" s="1680" t="s">
        <v>144</v>
      </c>
      <c r="C78" s="1703" t="s">
        <v>2083</v>
      </c>
      <c r="G78" s="1684"/>
    </row>
    <row r="79" customHeight="1" spans="1:7">
      <c r="A79" s="1679" t="str">
        <f>报表附注!$G$1</f>
        <v>石嘴山市深阳蓝光市政工程有限公司</v>
      </c>
      <c r="B79" s="1680" t="s">
        <v>144</v>
      </c>
      <c r="C79" s="1703" t="s">
        <v>2084</v>
      </c>
      <c r="G79" s="1684"/>
    </row>
    <row r="80" customHeight="1" spans="1:7">
      <c r="A80" s="1679" t="str">
        <f>报表附注!$G$1</f>
        <v>石嘴山市深阳蓝光市政工程有限公司</v>
      </c>
      <c r="B80" s="1680" t="s">
        <v>144</v>
      </c>
      <c r="C80" s="1703" t="s">
        <v>2085</v>
      </c>
      <c r="G80" s="1684"/>
    </row>
    <row r="81" customHeight="1" spans="1:7">
      <c r="A81" s="1679" t="str">
        <f>报表附注!$G$1</f>
        <v>石嘴山市深阳蓝光市政工程有限公司</v>
      </c>
      <c r="B81" s="1680" t="s">
        <v>144</v>
      </c>
      <c r="C81" s="1702" t="s">
        <v>2086</v>
      </c>
      <c r="G81" s="1684"/>
    </row>
    <row r="82" customHeight="1" spans="1:7">
      <c r="A82" s="1679" t="str">
        <f>报表附注!$G$1</f>
        <v>石嘴山市深阳蓝光市政工程有限公司</v>
      </c>
      <c r="B82" s="1680" t="s">
        <v>144</v>
      </c>
      <c r="C82" s="1702" t="s">
        <v>2087</v>
      </c>
      <c r="G82" s="1684"/>
    </row>
    <row r="83" customHeight="1" spans="1:7">
      <c r="A83" s="1679" t="str">
        <f>报表附注!$G$1</f>
        <v>石嘴山市深阳蓝光市政工程有限公司</v>
      </c>
      <c r="B83" s="1680" t="s">
        <v>144</v>
      </c>
      <c r="C83" s="1702" t="s">
        <v>2088</v>
      </c>
      <c r="G83" s="1684"/>
    </row>
    <row r="84" customHeight="1" spans="1:7">
      <c r="A84" s="1679" t="str">
        <f>报表附注!$G$1</f>
        <v>石嘴山市深阳蓝光市政工程有限公司</v>
      </c>
      <c r="B84" s="1680" t="s">
        <v>144</v>
      </c>
      <c r="C84" s="1702"/>
      <c r="G84" s="1684"/>
    </row>
    <row r="85" customHeight="1" spans="1:7">
      <c r="A85" s="1679" t="str">
        <f>报表附注!$G$1</f>
        <v>石嘴山市深阳蓝光市政工程有限公司</v>
      </c>
      <c r="B85" s="1680" t="s">
        <v>150</v>
      </c>
      <c r="C85" s="1690" t="s">
        <v>2041</v>
      </c>
      <c r="G85" s="1684"/>
    </row>
    <row r="86" customHeight="1" spans="1:7">
      <c r="A86" s="1679" t="str">
        <f>报表附注!$G$1</f>
        <v>石嘴山市深阳蓝光市政工程有限公司</v>
      </c>
      <c r="B86" s="1680" t="s">
        <v>150</v>
      </c>
      <c r="C86" s="1704" t="s">
        <v>150</v>
      </c>
      <c r="D86" s="1692">
        <f>审定现流表!C40</f>
        <v>0</v>
      </c>
      <c r="G86" s="1684"/>
    </row>
    <row r="87" customHeight="1" spans="1:7">
      <c r="A87" s="1679" t="str">
        <f>报表附注!$G$1</f>
        <v>石嘴山市深阳蓝光市政工程有限公司</v>
      </c>
      <c r="B87" s="1680" t="s">
        <v>150</v>
      </c>
      <c r="C87" s="1705" t="s">
        <v>2089</v>
      </c>
      <c r="G87" s="1684"/>
    </row>
    <row r="88" customHeight="1" spans="1:7">
      <c r="A88" s="1679" t="str">
        <f>报表附注!$G$1</f>
        <v>石嘴山市深阳蓝光市政工程有限公司</v>
      </c>
      <c r="B88" s="1680" t="s">
        <v>150</v>
      </c>
      <c r="C88" s="1704" t="s">
        <v>2090</v>
      </c>
      <c r="D88" s="1692">
        <f>审定资负表!H14-审定资负表!G14</f>
        <v>0</v>
      </c>
      <c r="G88" s="1684"/>
    </row>
    <row r="89" customHeight="1" spans="1:7">
      <c r="A89" s="1679" t="str">
        <f>报表附注!$G$1</f>
        <v>石嘴山市深阳蓝光市政工程有限公司</v>
      </c>
      <c r="B89" s="1680" t="s">
        <v>150</v>
      </c>
      <c r="C89" s="1704" t="s">
        <v>2091</v>
      </c>
      <c r="D89" s="1692">
        <f>审定资负表!H15-审定资负表!G15</f>
        <v>0</v>
      </c>
      <c r="G89" s="1684"/>
    </row>
    <row r="90" customHeight="1" spans="1:7">
      <c r="A90" s="1679" t="str">
        <f>报表附注!$G$1</f>
        <v>石嘴山市深阳蓝光市政工程有限公司</v>
      </c>
      <c r="B90" s="1680" t="s">
        <v>150</v>
      </c>
      <c r="C90" s="1704" t="s">
        <v>2092</v>
      </c>
      <c r="D90" s="1692">
        <f>报表附注!N1309</f>
        <v>0</v>
      </c>
      <c r="G90" s="1684"/>
    </row>
    <row r="91" customHeight="1" spans="1:7">
      <c r="A91" s="1679" t="str">
        <f>报表附注!$G$1</f>
        <v>石嘴山市深阳蓝光市政工程有限公司</v>
      </c>
      <c r="B91" s="1680" t="s">
        <v>150</v>
      </c>
      <c r="C91" s="1704" t="s">
        <v>2093</v>
      </c>
      <c r="D91" s="1692">
        <f>报表附注!F2734</f>
        <v>0</v>
      </c>
      <c r="G91" s="1684"/>
    </row>
    <row r="92" customHeight="1" spans="1:7">
      <c r="A92" s="1679" t="str">
        <f>报表附注!$G$1</f>
        <v>石嘴山市深阳蓝光市政工程有限公司</v>
      </c>
      <c r="B92" s="1680" t="s">
        <v>150</v>
      </c>
      <c r="C92" s="1704" t="s">
        <v>2094</v>
      </c>
      <c r="D92" s="1692">
        <f>报表附注!F2508</f>
        <v>0</v>
      </c>
      <c r="G92" s="1684"/>
    </row>
    <row r="93" customHeight="1" spans="1:7">
      <c r="A93" s="1679" t="str">
        <f>报表附注!$G$1</f>
        <v>石嘴山市深阳蓝光市政工程有限公司</v>
      </c>
      <c r="B93" s="1680" t="s">
        <v>150</v>
      </c>
      <c r="C93" s="1704" t="s">
        <v>1394</v>
      </c>
      <c r="D93" s="1692">
        <f>D86-D88-D89-D90-D91-D92</f>
        <v>0</v>
      </c>
      <c r="G93" s="1684"/>
    </row>
    <row r="94" customHeight="1" spans="1:7">
      <c r="A94" s="1679" t="str">
        <f>报表附注!$G$1</f>
        <v>石嘴山市深阳蓝光市政工程有限公司</v>
      </c>
      <c r="B94" s="1680" t="s">
        <v>150</v>
      </c>
      <c r="C94" s="1696" t="s">
        <v>2045</v>
      </c>
      <c r="D94" s="1697">
        <f>ROUND(SUM(D95:D99)-D93,2)</f>
        <v>0</v>
      </c>
      <c r="E94" s="1678" t="str">
        <f>IF(D94=0,"勾稽一致","最终差异")</f>
        <v>勾稽一致</v>
      </c>
      <c r="G94" s="1684"/>
    </row>
    <row r="95" customHeight="1" spans="1:7">
      <c r="A95" s="1679" t="str">
        <f>报表附注!$G$1</f>
        <v>石嘴山市深阳蓝光市政工程有限公司</v>
      </c>
      <c r="B95" s="1680" t="s">
        <v>150</v>
      </c>
      <c r="C95" s="1703" t="s">
        <v>2095</v>
      </c>
      <c r="G95" s="1684"/>
    </row>
    <row r="96" customHeight="1" spans="1:7">
      <c r="A96" s="1679" t="str">
        <f>报表附注!$G$1</f>
        <v>石嘴山市深阳蓝光市政工程有限公司</v>
      </c>
      <c r="B96" s="1680" t="s">
        <v>150</v>
      </c>
      <c r="C96" s="1703" t="s">
        <v>2096</v>
      </c>
      <c r="G96" s="1684"/>
    </row>
    <row r="97" customHeight="1" spans="1:7">
      <c r="A97" s="1679" t="str">
        <f>报表附注!$G$1</f>
        <v>石嘴山市深阳蓝光市政工程有限公司</v>
      </c>
      <c r="B97" s="1680" t="s">
        <v>150</v>
      </c>
      <c r="C97" s="1681" t="s">
        <v>2097</v>
      </c>
      <c r="G97" s="1684"/>
    </row>
    <row r="98" customHeight="1" spans="1:7">
      <c r="A98" s="1679" t="str">
        <f>报表附注!$G$1</f>
        <v>石嘴山市深阳蓝光市政工程有限公司</v>
      </c>
      <c r="B98" s="1680" t="s">
        <v>150</v>
      </c>
      <c r="C98" s="1681" t="s">
        <v>2098</v>
      </c>
      <c r="G98" s="1684"/>
    </row>
    <row r="99" customHeight="1" spans="1:7">
      <c r="A99" s="1679" t="str">
        <f>报表附注!$G$1</f>
        <v>石嘴山市深阳蓝光市政工程有限公司</v>
      </c>
      <c r="B99" s="1680" t="s">
        <v>150</v>
      </c>
      <c r="C99" s="1681" t="s">
        <v>2099</v>
      </c>
      <c r="G99" s="1684"/>
    </row>
    <row r="100" customHeight="1" spans="1:7">
      <c r="A100" s="1679" t="str">
        <f>报表附注!$G$1</f>
        <v>石嘴山市深阳蓝光市政工程有限公司</v>
      </c>
      <c r="B100" s="1680" t="s">
        <v>155</v>
      </c>
      <c r="C100" s="1690" t="s">
        <v>2041</v>
      </c>
      <c r="G100" s="1684"/>
    </row>
    <row r="101" customHeight="1" spans="1:7">
      <c r="A101" s="1679" t="str">
        <f>报表附注!$G$1</f>
        <v>石嘴山市深阳蓝光市政工程有限公司</v>
      </c>
      <c r="B101" s="1680" t="s">
        <v>155</v>
      </c>
      <c r="C101" s="1691" t="s">
        <v>155</v>
      </c>
      <c r="D101" s="1692">
        <f>审定现流表!C46</f>
        <v>0</v>
      </c>
      <c r="G101" s="1684" t="s">
        <v>2034</v>
      </c>
    </row>
    <row r="102" customHeight="1" spans="1:7">
      <c r="A102" s="1679" t="str">
        <f>报表附注!$G$1</f>
        <v>石嘴山市深阳蓝光市政工程有限公司</v>
      </c>
      <c r="B102" s="1680" t="s">
        <v>155</v>
      </c>
      <c r="C102" s="1693" t="s">
        <v>2042</v>
      </c>
      <c r="G102" s="1684" t="s">
        <v>2034</v>
      </c>
    </row>
    <row r="103" customHeight="1" spans="1:7">
      <c r="A103" s="1679" t="str">
        <f>报表附注!$G$1</f>
        <v>石嘴山市深阳蓝光市政工程有限公司</v>
      </c>
      <c r="B103" s="1680" t="s">
        <v>155</v>
      </c>
      <c r="C103" s="1694" t="s">
        <v>2100</v>
      </c>
      <c r="D103" s="1692">
        <f>-报表附注!F2738</f>
        <v>0</v>
      </c>
      <c r="G103" s="1684" t="s">
        <v>2034</v>
      </c>
    </row>
    <row r="104" customHeight="1" spans="1:7">
      <c r="A104" s="1679" t="str">
        <f>报表附注!$G$1</f>
        <v>石嘴山市深阳蓝光市政工程有限公司</v>
      </c>
      <c r="B104" s="1680" t="s">
        <v>155</v>
      </c>
      <c r="C104" s="1695" t="s">
        <v>1394</v>
      </c>
      <c r="D104" s="1692">
        <f>D101-D103</f>
        <v>0</v>
      </c>
      <c r="G104" s="1684" t="s">
        <v>2034</v>
      </c>
    </row>
    <row r="105" customHeight="1" spans="1:7">
      <c r="A105" s="1679" t="str">
        <f>报表附注!$G$1</f>
        <v>石嘴山市深阳蓝光市政工程有限公司</v>
      </c>
      <c r="B105" s="1680" t="s">
        <v>155</v>
      </c>
      <c r="C105" s="1696" t="s">
        <v>2045</v>
      </c>
      <c r="D105" s="1697">
        <f>ROUND(SUM(D106:D108)-D104,2)</f>
        <v>0</v>
      </c>
      <c r="E105" s="1678" t="str">
        <f>IF(D105=0,"勾稽一致","最终差异")</f>
        <v>勾稽一致</v>
      </c>
      <c r="G105" s="1684" t="s">
        <v>2034</v>
      </c>
    </row>
    <row r="106" customHeight="1" spans="1:7">
      <c r="A106" s="1679" t="str">
        <f>报表附注!$G$1</f>
        <v>石嘴山市深阳蓝光市政工程有限公司</v>
      </c>
      <c r="B106" s="1680" t="s">
        <v>155</v>
      </c>
      <c r="C106" s="1703" t="s">
        <v>258</v>
      </c>
      <c r="G106" s="1684" t="s">
        <v>2034</v>
      </c>
    </row>
    <row r="107" customHeight="1" spans="1:7">
      <c r="A107" s="1679" t="str">
        <f>报表附注!$G$1</f>
        <v>石嘴山市深阳蓝光市政工程有限公司</v>
      </c>
      <c r="B107" s="1680" t="s">
        <v>155</v>
      </c>
      <c r="G107" s="1684" t="s">
        <v>2034</v>
      </c>
    </row>
    <row r="108" customHeight="1" spans="1:7">
      <c r="A108" s="1679" t="str">
        <f>报表附注!$G$1</f>
        <v>石嘴山市深阳蓝光市政工程有限公司</v>
      </c>
      <c r="B108" s="1680" t="s">
        <v>155</v>
      </c>
      <c r="G108" s="1684" t="s">
        <v>2034</v>
      </c>
    </row>
    <row r="109" customHeight="1" spans="1:7">
      <c r="A109" s="1679" t="str">
        <f>报表附注!$G$1</f>
        <v>石嘴山市深阳蓝光市政工程有限公司</v>
      </c>
      <c r="C109" s="1706" t="s">
        <v>2101</v>
      </c>
      <c r="G109" s="1684" t="s">
        <v>2034</v>
      </c>
    </row>
    <row r="110" customHeight="1" spans="1:7">
      <c r="A110" s="1679" t="str">
        <f>报表附注!$G$1</f>
        <v>石嘴山市深阳蓝光市政工程有限公司</v>
      </c>
      <c r="G110" s="1684" t="s">
        <v>2034</v>
      </c>
    </row>
    <row r="111" customHeight="1" spans="1:7">
      <c r="A111" s="1679" t="str">
        <f>报表附注!$G$1</f>
        <v>石嘴山市深阳蓝光市政工程有限公司</v>
      </c>
      <c r="B111" s="1680" t="s">
        <v>164</v>
      </c>
      <c r="C111" s="1705" t="s">
        <v>2102</v>
      </c>
      <c r="G111" s="1684" t="s">
        <v>2034</v>
      </c>
    </row>
    <row r="112" customHeight="1" spans="1:7">
      <c r="A112" s="1679" t="str">
        <f>报表附注!$G$1</f>
        <v>石嘴山市深阳蓝光市政工程有限公司</v>
      </c>
      <c r="B112" s="1680" t="s">
        <v>164</v>
      </c>
      <c r="C112" s="1704" t="s">
        <v>164</v>
      </c>
      <c r="D112" s="1692">
        <f>审定现流表!C57</f>
        <v>0</v>
      </c>
      <c r="G112" s="1684" t="s">
        <v>2034</v>
      </c>
    </row>
    <row r="113" customHeight="1" spans="1:7">
      <c r="A113" s="1679" t="str">
        <f>报表附注!$G$1</f>
        <v>石嘴山市深阳蓝光市政工程有限公司</v>
      </c>
      <c r="B113" s="1680" t="s">
        <v>164</v>
      </c>
      <c r="C113" s="1705" t="s">
        <v>2042</v>
      </c>
      <c r="G113" s="1684" t="s">
        <v>2034</v>
      </c>
    </row>
    <row r="114" customHeight="1" spans="1:7">
      <c r="A114" s="1679" t="str">
        <f>报表附注!$G$1</f>
        <v>石嘴山市深阳蓝光市政工程有限公司</v>
      </c>
      <c r="B114" s="1680" t="s">
        <v>164</v>
      </c>
      <c r="C114" s="1707" t="s">
        <v>2103</v>
      </c>
      <c r="D114" s="1692">
        <f>报表附注!G1745-报表附注!H1745</f>
        <v>0</v>
      </c>
      <c r="G114" s="1684" t="s">
        <v>2034</v>
      </c>
    </row>
    <row r="115" customHeight="1" spans="1:7">
      <c r="A115" s="1679" t="str">
        <f>报表附注!$G$1</f>
        <v>石嘴山市深阳蓝光市政工程有限公司</v>
      </c>
      <c r="B115" s="1680" t="s">
        <v>164</v>
      </c>
      <c r="C115" s="1707" t="s">
        <v>1394</v>
      </c>
      <c r="D115" s="1692">
        <f>D112-D114</f>
        <v>0</v>
      </c>
      <c r="G115" s="1684" t="s">
        <v>2034</v>
      </c>
    </row>
    <row r="116" customHeight="1" spans="1:7">
      <c r="A116" s="1679" t="str">
        <f>报表附注!$G$1</f>
        <v>石嘴山市深阳蓝光市政工程有限公司</v>
      </c>
      <c r="B116" s="1680" t="s">
        <v>164</v>
      </c>
      <c r="C116" s="1696" t="s">
        <v>2045</v>
      </c>
      <c r="D116" s="1697">
        <f>ROUND(SUM(D117:D122)-D115,2)</f>
        <v>0</v>
      </c>
      <c r="E116" s="1678" t="str">
        <f>IF(D116=0,"勾稽一致","最终差异")</f>
        <v>勾稽一致</v>
      </c>
      <c r="G116" s="1684" t="s">
        <v>2034</v>
      </c>
    </row>
    <row r="117" customHeight="1" spans="1:7">
      <c r="A117" s="1679" t="str">
        <f>报表附注!$G$1</f>
        <v>石嘴山市深阳蓝光市政工程有限公司</v>
      </c>
      <c r="B117" s="1680" t="s">
        <v>164</v>
      </c>
      <c r="C117" s="1702"/>
      <c r="G117" s="1684" t="s">
        <v>2034</v>
      </c>
    </row>
    <row r="118" customHeight="1" spans="1:7">
      <c r="A118" s="1679" t="str">
        <f>报表附注!$G$1</f>
        <v>石嘴山市深阳蓝光市政工程有限公司</v>
      </c>
      <c r="B118" s="1680" t="s">
        <v>164</v>
      </c>
      <c r="C118" s="1702"/>
      <c r="G118" s="1684" t="s">
        <v>2034</v>
      </c>
    </row>
    <row r="119" customHeight="1" spans="1:7">
      <c r="A119" s="1679" t="str">
        <f>报表附注!$G$1</f>
        <v>石嘴山市深阳蓝光市政工程有限公司</v>
      </c>
      <c r="B119" s="1680" t="s">
        <v>164</v>
      </c>
      <c r="C119" s="1702"/>
      <c r="G119" s="1684" t="s">
        <v>2034</v>
      </c>
    </row>
    <row r="120" customHeight="1" spans="1:7">
      <c r="A120" s="1679" t="str">
        <f>报表附注!$G$1</f>
        <v>石嘴山市深阳蓝光市政工程有限公司</v>
      </c>
      <c r="B120" s="1680" t="s">
        <v>164</v>
      </c>
      <c r="G120" s="1684" t="s">
        <v>2034</v>
      </c>
    </row>
    <row r="121" customHeight="1" spans="1:7">
      <c r="A121" s="1679" t="str">
        <f>报表附注!$G$1</f>
        <v>石嘴山市深阳蓝光市政工程有限公司</v>
      </c>
      <c r="B121" s="1680" t="s">
        <v>164</v>
      </c>
      <c r="G121" s="1684" t="s">
        <v>2034</v>
      </c>
    </row>
    <row r="122" customHeight="1" spans="1:7">
      <c r="A122" s="1679" t="str">
        <f>报表附注!$G$1</f>
        <v>石嘴山市深阳蓝光市政工程有限公司</v>
      </c>
      <c r="B122" s="1680" t="s">
        <v>164</v>
      </c>
      <c r="G122" s="1684" t="s">
        <v>2034</v>
      </c>
    </row>
    <row r="123" customHeight="1" spans="1:7">
      <c r="A123" s="1679" t="str">
        <f>报表附注!$G$1</f>
        <v>石嘴山市深阳蓝光市政工程有限公司</v>
      </c>
      <c r="B123" s="1680" t="s">
        <v>2104</v>
      </c>
      <c r="C123" s="1705" t="s">
        <v>2102</v>
      </c>
      <c r="G123" s="1684" t="s">
        <v>2034</v>
      </c>
    </row>
    <row r="124" customHeight="1" spans="1:7">
      <c r="A124" s="1679" t="str">
        <f>报表附注!$G$1</f>
        <v>石嘴山市深阳蓝光市政工程有限公司</v>
      </c>
      <c r="B124" s="1680" t="s">
        <v>2104</v>
      </c>
      <c r="C124" s="1704" t="s">
        <v>165</v>
      </c>
      <c r="D124" s="1692">
        <f>审定现流表!C58</f>
        <v>0</v>
      </c>
      <c r="G124" s="1684"/>
    </row>
    <row r="125" customHeight="1" spans="1:7">
      <c r="A125" s="1679" t="str">
        <f>报表附注!$G$1</f>
        <v>石嘴山市深阳蓝光市政工程有限公司</v>
      </c>
      <c r="B125" s="1680" t="s">
        <v>2104</v>
      </c>
      <c r="C125" s="1693" t="s">
        <v>2042</v>
      </c>
      <c r="G125" s="1684"/>
    </row>
    <row r="126" customHeight="1" spans="1:7">
      <c r="A126" s="1679" t="str">
        <f>报表附注!$G$1</f>
        <v>石嘴山市深阳蓝光市政工程有限公司</v>
      </c>
      <c r="B126" s="1680" t="s">
        <v>2104</v>
      </c>
      <c r="C126" s="1704" t="s">
        <v>2105</v>
      </c>
      <c r="D126" s="1692">
        <f>报表附注!J3815</f>
        <v>0</v>
      </c>
      <c r="G126" s="1684"/>
    </row>
    <row r="127" customHeight="1" spans="1:7">
      <c r="A127" s="1679" t="str">
        <f>报表附注!$G$1</f>
        <v>石嘴山市深阳蓝光市政工程有限公司</v>
      </c>
      <c r="B127" s="1680" t="s">
        <v>2104</v>
      </c>
      <c r="C127" s="1704" t="s">
        <v>2106</v>
      </c>
      <c r="D127" s="1692">
        <f>报表附注!F3767</f>
        <v>0</v>
      </c>
      <c r="G127" s="1684"/>
    </row>
    <row r="128" customHeight="1" spans="1:7">
      <c r="A128" s="1679" t="str">
        <f>报表附注!$G$1</f>
        <v>石嘴山市深阳蓝光市政工程有限公司</v>
      </c>
      <c r="B128" s="1680" t="s">
        <v>2104</v>
      </c>
      <c r="C128" s="1707" t="s">
        <v>1394</v>
      </c>
      <c r="D128" s="1692">
        <f>ROUND(D124-D126-D127,2)</f>
        <v>0</v>
      </c>
      <c r="G128" s="1684"/>
    </row>
    <row r="129" customHeight="1" spans="1:7">
      <c r="A129" s="1679" t="str">
        <f>报表附注!$G$1</f>
        <v>石嘴山市深阳蓝光市政工程有限公司</v>
      </c>
      <c r="B129" s="1680" t="s">
        <v>2104</v>
      </c>
      <c r="C129" s="1696" t="s">
        <v>2045</v>
      </c>
      <c r="D129" s="1697">
        <f>ROUND(SUM(D130:D135)-D128,2)</f>
        <v>0</v>
      </c>
      <c r="E129" s="1678" t="str">
        <f>IF(D129=0,"勾稽一致","最终差异")</f>
        <v>勾稽一致</v>
      </c>
      <c r="G129" s="1684"/>
    </row>
    <row r="130" customHeight="1" spans="1:7">
      <c r="A130" s="1679" t="str">
        <f>报表附注!$G$1</f>
        <v>石嘴山市深阳蓝光市政工程有限公司</v>
      </c>
      <c r="B130" s="1680" t="s">
        <v>2104</v>
      </c>
      <c r="C130" s="1700" t="s">
        <v>2074</v>
      </c>
      <c r="G130" s="1684"/>
    </row>
    <row r="131" customHeight="1" spans="1:7">
      <c r="A131" s="1679" t="str">
        <f>报表附注!$G$1</f>
        <v>石嘴山市深阳蓝光市政工程有限公司</v>
      </c>
      <c r="B131" s="1680" t="s">
        <v>2104</v>
      </c>
      <c r="C131" s="1698" t="s">
        <v>2048</v>
      </c>
      <c r="G131" s="1684"/>
    </row>
    <row r="132" customHeight="1" spans="1:7">
      <c r="A132" s="1679" t="str">
        <f>报表附注!$G$1</f>
        <v>石嘴山市深阳蓝光市政工程有限公司</v>
      </c>
      <c r="B132" s="1680" t="s">
        <v>2104</v>
      </c>
      <c r="C132" s="1702"/>
      <c r="G132" s="1684"/>
    </row>
    <row r="133" customHeight="1" spans="1:7">
      <c r="A133" s="1679" t="str">
        <f>报表附注!$G$1</f>
        <v>石嘴山市深阳蓝光市政工程有限公司</v>
      </c>
      <c r="B133" s="1680" t="s">
        <v>2104</v>
      </c>
      <c r="G133" s="1684"/>
    </row>
    <row r="134" customHeight="1" spans="1:7">
      <c r="A134" s="1679" t="str">
        <f>报表附注!$G$1</f>
        <v>石嘴山市深阳蓝光市政工程有限公司</v>
      </c>
      <c r="B134" s="1680" t="s">
        <v>2104</v>
      </c>
      <c r="G134" s="1684"/>
    </row>
    <row r="135" customHeight="1" spans="1:7">
      <c r="A135" s="1679" t="str">
        <f>报表附注!$G$1</f>
        <v>石嘴山市深阳蓝光市政工程有限公司</v>
      </c>
      <c r="B135" s="1680" t="s">
        <v>2104</v>
      </c>
      <c r="G135" s="1684"/>
    </row>
    <row r="136" customHeight="1" spans="1:7">
      <c r="A136" s="1679" t="str">
        <f>报表附注!$G$1</f>
        <v>石嘴山市深阳蓝光市政工程有限公司</v>
      </c>
      <c r="B136" s="1680" t="s">
        <v>2107</v>
      </c>
      <c r="C136" s="1705" t="s">
        <v>2102</v>
      </c>
      <c r="G136" s="1684"/>
    </row>
    <row r="137" customHeight="1" spans="1:7">
      <c r="A137" s="1679" t="str">
        <f>报表附注!$G$1</f>
        <v>石嘴山市深阳蓝光市政工程有限公司</v>
      </c>
      <c r="B137" s="1680" t="s">
        <v>2107</v>
      </c>
      <c r="C137" s="1704" t="s">
        <v>166</v>
      </c>
      <c r="D137" s="1692">
        <f>审定现流表!C59</f>
        <v>0</v>
      </c>
      <c r="G137" s="1684"/>
    </row>
    <row r="138" customHeight="1" spans="1:7">
      <c r="A138" s="1679" t="str">
        <f>报表附注!$G$1</f>
        <v>石嘴山市深阳蓝光市政工程有限公司</v>
      </c>
      <c r="B138" s="1680" t="s">
        <v>2107</v>
      </c>
      <c r="C138" s="1705" t="s">
        <v>2042</v>
      </c>
      <c r="G138" s="1684"/>
    </row>
    <row r="139" customHeight="1" spans="1:7">
      <c r="A139" s="1679" t="str">
        <f>报表附注!$G$1</f>
        <v>石嘴山市深阳蓝光市政工程有限公司</v>
      </c>
      <c r="B139" s="1680" t="s">
        <v>2107</v>
      </c>
      <c r="C139" s="1704" t="s">
        <v>2108</v>
      </c>
      <c r="D139" s="1692">
        <f>报表附注!J3869</f>
        <v>0</v>
      </c>
      <c r="G139" s="1684"/>
    </row>
    <row r="140" customHeight="1" spans="3:7">
      <c r="C140" s="1704" t="s">
        <v>2109</v>
      </c>
      <c r="D140" s="1692">
        <f>报表附注!G3767</f>
        <v>0</v>
      </c>
      <c r="G140" s="1684"/>
    </row>
    <row r="141" customHeight="1" spans="1:7">
      <c r="A141" s="1679" t="str">
        <f>报表附注!$G$1</f>
        <v>石嘴山市深阳蓝光市政工程有限公司</v>
      </c>
      <c r="B141" s="1680" t="s">
        <v>2107</v>
      </c>
      <c r="C141" s="1707" t="s">
        <v>1394</v>
      </c>
      <c r="D141" s="1692">
        <f>ROUND(D137-D139-D140,2)</f>
        <v>0</v>
      </c>
      <c r="G141" s="1684"/>
    </row>
    <row r="142" customHeight="1" spans="1:7">
      <c r="A142" s="1679" t="str">
        <f>报表附注!$G$1</f>
        <v>石嘴山市深阳蓝光市政工程有限公司</v>
      </c>
      <c r="B142" s="1680" t="s">
        <v>2107</v>
      </c>
      <c r="C142" s="1696" t="s">
        <v>2045</v>
      </c>
      <c r="D142" s="1697">
        <f>ROUND(SUM(D143:D146)-D141,2)</f>
        <v>0</v>
      </c>
      <c r="E142" s="1678" t="str">
        <f>IF(D142=0,"勾稽一致","最终差异")</f>
        <v>勾稽一致</v>
      </c>
      <c r="G142" s="1684"/>
    </row>
    <row r="143" customHeight="1" spans="1:7">
      <c r="A143" s="1679" t="str">
        <f>报表附注!$G$1</f>
        <v>石嘴山市深阳蓝光市政工程有限公司</v>
      </c>
      <c r="B143" s="1680" t="s">
        <v>2107</v>
      </c>
      <c r="C143" s="1700" t="s">
        <v>2075</v>
      </c>
      <c r="G143" s="1684"/>
    </row>
    <row r="144" customHeight="1" spans="1:7">
      <c r="A144" s="1679" t="str">
        <f>报表附注!$G$1</f>
        <v>石嘴山市深阳蓝光市政工程有限公司</v>
      </c>
      <c r="B144" s="1680" t="s">
        <v>2107</v>
      </c>
      <c r="C144" s="1698" t="s">
        <v>2048</v>
      </c>
      <c r="G144" s="1684"/>
    </row>
    <row r="145" customHeight="1" spans="1:7">
      <c r="A145" s="1679" t="str">
        <f>报表附注!$G$1</f>
        <v>石嘴山市深阳蓝光市政工程有限公司</v>
      </c>
      <c r="B145" s="1680" t="s">
        <v>2107</v>
      </c>
      <c r="C145" s="1702"/>
      <c r="G145" s="1684"/>
    </row>
    <row r="146" customHeight="1" spans="1:7">
      <c r="A146" s="1679" t="str">
        <f>报表附注!$G$1</f>
        <v>石嘴山市深阳蓝光市政工程有限公司</v>
      </c>
      <c r="B146" s="1680" t="s">
        <v>2107</v>
      </c>
      <c r="G146" s="1684"/>
    </row>
    <row r="147" customHeight="1" spans="1:7">
      <c r="A147" s="1679" t="str">
        <f>报表附注!$G$1</f>
        <v>石嘴山市深阳蓝光市政工程有限公司</v>
      </c>
      <c r="B147" s="1680" t="s">
        <v>1459</v>
      </c>
      <c r="C147" s="1705" t="s">
        <v>2102</v>
      </c>
      <c r="G147" s="1684"/>
    </row>
    <row r="148" customHeight="1" spans="1:7">
      <c r="A148" s="1679" t="str">
        <f>报表附注!$G$1</f>
        <v>石嘴山市深阳蓝光市政工程有限公司</v>
      </c>
      <c r="B148" s="1680" t="s">
        <v>1459</v>
      </c>
      <c r="C148" s="1704" t="s">
        <v>167</v>
      </c>
      <c r="D148" s="1692">
        <f>审定现流表!C60</f>
        <v>0</v>
      </c>
      <c r="G148" s="1684"/>
    </row>
    <row r="149" customHeight="1" spans="1:7">
      <c r="A149" s="1679" t="str">
        <f>报表附注!$G$1</f>
        <v>石嘴山市深阳蓝光市政工程有限公司</v>
      </c>
      <c r="B149" s="1680" t="s">
        <v>1459</v>
      </c>
      <c r="C149" s="1705" t="s">
        <v>2042</v>
      </c>
      <c r="G149" s="1684"/>
    </row>
    <row r="150" customHeight="1" spans="1:7">
      <c r="A150" s="1679" t="str">
        <f>报表附注!$G$1</f>
        <v>石嘴山市深阳蓝光市政工程有限公司</v>
      </c>
      <c r="B150" s="1680" t="s">
        <v>1459</v>
      </c>
      <c r="C150" s="1704" t="s">
        <v>2110</v>
      </c>
      <c r="D150" s="1692">
        <f>报表附注!I1552</f>
        <v>0</v>
      </c>
      <c r="G150" s="1684"/>
    </row>
    <row r="151" customHeight="1" spans="1:7">
      <c r="A151" s="1679" t="str">
        <f>报表附注!$G$1</f>
        <v>石嘴山市深阳蓝光市政工程有限公司</v>
      </c>
      <c r="B151" s="1680" t="s">
        <v>1459</v>
      </c>
      <c r="C151" s="1707" t="s">
        <v>1394</v>
      </c>
      <c r="D151" s="1692">
        <f>D148-D150</f>
        <v>0</v>
      </c>
      <c r="G151" s="1684"/>
    </row>
    <row r="152" customHeight="1" spans="1:7">
      <c r="A152" s="1679" t="str">
        <f>报表附注!$G$1</f>
        <v>石嘴山市深阳蓝光市政工程有限公司</v>
      </c>
      <c r="B152" s="1680" t="s">
        <v>1459</v>
      </c>
      <c r="C152" s="1696" t="s">
        <v>2045</v>
      </c>
      <c r="D152" s="1697">
        <f>ROUND(SUM(D153:D158)-D151,2)</f>
        <v>0</v>
      </c>
      <c r="E152" s="1678" t="str">
        <f>IF(D152=0,"勾稽一致","最终差异")</f>
        <v>勾稽一致</v>
      </c>
      <c r="G152" s="1684"/>
    </row>
    <row r="153" customHeight="1" spans="1:7">
      <c r="A153" s="1679" t="str">
        <f>报表附注!$G$1</f>
        <v>石嘴山市深阳蓝光市政工程有限公司</v>
      </c>
      <c r="B153" s="1680" t="s">
        <v>1459</v>
      </c>
      <c r="C153" s="1700" t="s">
        <v>2076</v>
      </c>
      <c r="G153" s="1684"/>
    </row>
    <row r="154" customHeight="1" spans="1:7">
      <c r="A154" s="1679" t="str">
        <f>报表附注!$G$1</f>
        <v>石嘴山市深阳蓝光市政工程有限公司</v>
      </c>
      <c r="B154" s="1680" t="s">
        <v>1459</v>
      </c>
      <c r="C154" s="1698" t="s">
        <v>2048</v>
      </c>
      <c r="G154" s="1684"/>
    </row>
    <row r="155" customHeight="1" spans="1:7">
      <c r="A155" s="1679" t="str">
        <f>报表附注!$G$1</f>
        <v>石嘴山市深阳蓝光市政工程有限公司</v>
      </c>
      <c r="B155" s="1680" t="s">
        <v>1459</v>
      </c>
      <c r="C155" s="1702" t="s">
        <v>2111</v>
      </c>
      <c r="G155" s="1684"/>
    </row>
    <row r="156" customHeight="1" spans="1:7">
      <c r="A156" s="1679" t="str">
        <f>报表附注!$G$1</f>
        <v>石嘴山市深阳蓝光市政工程有限公司</v>
      </c>
      <c r="B156" s="1680" t="s">
        <v>1459</v>
      </c>
      <c r="G156" s="1684"/>
    </row>
    <row r="157" customHeight="1" spans="1:7">
      <c r="A157" s="1679" t="str">
        <f>报表附注!$G$1</f>
        <v>石嘴山市深阳蓝光市政工程有限公司</v>
      </c>
      <c r="B157" s="1680" t="s">
        <v>1459</v>
      </c>
      <c r="G157" s="1684"/>
    </row>
    <row r="158" customHeight="1" spans="1:7">
      <c r="A158" s="1679" t="str">
        <f>报表附注!$G$1</f>
        <v>石嘴山市深阳蓝光市政工程有限公司</v>
      </c>
      <c r="B158" s="1680" t="s">
        <v>1459</v>
      </c>
      <c r="G158" s="1684"/>
    </row>
    <row r="159" customHeight="1" spans="1:7">
      <c r="A159" s="1679" t="str">
        <f>报表附注!$G$1</f>
        <v>石嘴山市深阳蓝光市政工程有限公司</v>
      </c>
      <c r="B159" s="1680" t="s">
        <v>1461</v>
      </c>
      <c r="C159" s="1705" t="s">
        <v>2102</v>
      </c>
      <c r="G159" s="1684"/>
    </row>
    <row r="160" customHeight="1" spans="1:7">
      <c r="A160" s="1679" t="str">
        <f>报表附注!$G$1</f>
        <v>石嘴山市深阳蓝光市政工程有限公司</v>
      </c>
      <c r="B160" s="1680" t="s">
        <v>1461</v>
      </c>
      <c r="C160" s="1704" t="s">
        <v>168</v>
      </c>
      <c r="D160" s="1692">
        <f>审定现流表!C61</f>
        <v>0</v>
      </c>
      <c r="G160" s="1684" t="s">
        <v>2034</v>
      </c>
    </row>
    <row r="161" customHeight="1" spans="1:7">
      <c r="A161" s="1679" t="str">
        <f>报表附注!$G$1</f>
        <v>石嘴山市深阳蓝光市政工程有限公司</v>
      </c>
      <c r="B161" s="1680" t="s">
        <v>1461</v>
      </c>
      <c r="C161" s="1704" t="s">
        <v>169</v>
      </c>
      <c r="D161" s="1692">
        <f>审定现流表!C62</f>
        <v>0</v>
      </c>
      <c r="G161" s="1684" t="s">
        <v>2034</v>
      </c>
    </row>
    <row r="162" customHeight="1" spans="1:7">
      <c r="A162" s="1679" t="str">
        <f>报表附注!$G$1</f>
        <v>石嘴山市深阳蓝光市政工程有限公司</v>
      </c>
      <c r="B162" s="1680" t="s">
        <v>1461</v>
      </c>
      <c r="C162" s="1705" t="s">
        <v>2042</v>
      </c>
      <c r="G162" s="1684" t="s">
        <v>2034</v>
      </c>
    </row>
    <row r="163" customHeight="1" spans="1:7">
      <c r="A163" s="1679" t="str">
        <f>报表附注!$G$1</f>
        <v>石嘴山市深阳蓝光市政工程有限公司</v>
      </c>
      <c r="B163" s="1680" t="s">
        <v>1461</v>
      </c>
      <c r="C163" s="1704" t="s">
        <v>2112</v>
      </c>
      <c r="D163" s="1692">
        <f>报表附注!F2915</f>
        <v>0</v>
      </c>
      <c r="G163" s="1684" t="s">
        <v>2034</v>
      </c>
    </row>
    <row r="164" customHeight="1" spans="1:7">
      <c r="A164" s="1679" t="str">
        <f>报表附注!$G$1</f>
        <v>石嘴山市深阳蓝光市政工程有限公司</v>
      </c>
      <c r="B164" s="1680" t="s">
        <v>1461</v>
      </c>
      <c r="C164" s="1704" t="s">
        <v>2113</v>
      </c>
      <c r="D164" s="1692">
        <f>报表附注!F2981</f>
        <v>0</v>
      </c>
      <c r="G164" s="1684" t="s">
        <v>2034</v>
      </c>
    </row>
    <row r="165" customHeight="1" spans="1:7">
      <c r="A165" s="1679" t="str">
        <f>报表附注!$G$1</f>
        <v>石嘴山市深阳蓝光市政工程有限公司</v>
      </c>
      <c r="B165" s="1680" t="s">
        <v>1461</v>
      </c>
      <c r="C165" s="1707" t="s">
        <v>1394</v>
      </c>
      <c r="D165" s="1692">
        <f>D160+D161-(D164-D163)</f>
        <v>0</v>
      </c>
      <c r="G165" s="1684" t="s">
        <v>2034</v>
      </c>
    </row>
    <row r="166" customHeight="1" spans="1:7">
      <c r="A166" s="1679" t="str">
        <f>报表附注!$G$1</f>
        <v>石嘴山市深阳蓝光市政工程有限公司</v>
      </c>
      <c r="B166" s="1680" t="s">
        <v>1461</v>
      </c>
      <c r="C166" s="1696" t="s">
        <v>2045</v>
      </c>
      <c r="D166" s="1697">
        <f>ROUND(SUM(D167:D171)-D165,2)</f>
        <v>0</v>
      </c>
      <c r="E166" s="1678" t="str">
        <f>IF(D166=0,"勾稽一致","最终差异")</f>
        <v>勾稽一致</v>
      </c>
      <c r="G166" s="1684" t="s">
        <v>2034</v>
      </c>
    </row>
    <row r="167" customHeight="1" spans="1:7">
      <c r="A167" s="1679" t="str">
        <f>报表附注!$G$1</f>
        <v>石嘴山市深阳蓝光市政工程有限公司</v>
      </c>
      <c r="B167" s="1680" t="s">
        <v>1461</v>
      </c>
      <c r="C167" s="1698" t="s">
        <v>2114</v>
      </c>
      <c r="G167" s="1684" t="s">
        <v>2034</v>
      </c>
    </row>
    <row r="168" customHeight="1" spans="1:7">
      <c r="A168" s="1679" t="str">
        <f>报表附注!$G$1</f>
        <v>石嘴山市深阳蓝光市政工程有限公司</v>
      </c>
      <c r="B168" s="1680" t="s">
        <v>1461</v>
      </c>
      <c r="C168" s="1702"/>
      <c r="G168" s="1684" t="s">
        <v>2034</v>
      </c>
    </row>
    <row r="169" customHeight="1" spans="1:7">
      <c r="A169" s="1679" t="str">
        <f>报表附注!$G$1</f>
        <v>石嘴山市深阳蓝光市政工程有限公司</v>
      </c>
      <c r="B169" s="1680" t="s">
        <v>1461</v>
      </c>
      <c r="C169" s="1702"/>
      <c r="G169" s="1684" t="s">
        <v>2034</v>
      </c>
    </row>
    <row r="170" customHeight="1" spans="1:7">
      <c r="A170" s="1679" t="str">
        <f>报表附注!$G$1</f>
        <v>石嘴山市深阳蓝光市政工程有限公司</v>
      </c>
      <c r="B170" s="1680" t="s">
        <v>1461</v>
      </c>
      <c r="C170" s="1702"/>
      <c r="G170" s="1684" t="s">
        <v>2034</v>
      </c>
    </row>
    <row r="171" customHeight="1" spans="1:7">
      <c r="A171" s="1679" t="str">
        <f>报表附注!$G$1</f>
        <v>石嘴山市深阳蓝光市政工程有限公司</v>
      </c>
      <c r="B171" s="1680" t="s">
        <v>1461</v>
      </c>
      <c r="G171" s="1684" t="s">
        <v>2034</v>
      </c>
    </row>
    <row r="172" customHeight="1" spans="1:7">
      <c r="A172" s="1679" t="str">
        <f>报表附注!$G$1</f>
        <v>石嘴山市深阳蓝光市政工程有限公司</v>
      </c>
      <c r="B172" s="1680" t="s">
        <v>1462</v>
      </c>
      <c r="C172" s="1705" t="s">
        <v>2102</v>
      </c>
      <c r="G172" s="1684"/>
    </row>
    <row r="173" customHeight="1" spans="1:7">
      <c r="A173" s="1679" t="str">
        <f>报表附注!$G$1</f>
        <v>石嘴山市深阳蓝光市政工程有限公司</v>
      </c>
      <c r="B173" s="1680" t="s">
        <v>1462</v>
      </c>
      <c r="C173" s="1704" t="s">
        <v>170</v>
      </c>
      <c r="D173" s="1692">
        <f>审定现流表!C63</f>
        <v>0</v>
      </c>
      <c r="G173" s="1684"/>
    </row>
    <row r="174" customHeight="1" spans="1:7">
      <c r="A174" s="1679" t="str">
        <f>报表附注!$G$1</f>
        <v>石嘴山市深阳蓝光市政工程有限公司</v>
      </c>
      <c r="B174" s="1680" t="s">
        <v>1462</v>
      </c>
      <c r="C174" s="1705" t="s">
        <v>2042</v>
      </c>
      <c r="G174" s="1684"/>
    </row>
    <row r="175" customHeight="1" spans="1:7">
      <c r="A175" s="1679" t="str">
        <f>报表附注!$G$1</f>
        <v>石嘴山市深阳蓝光市政工程有限公司</v>
      </c>
      <c r="B175" s="1680" t="s">
        <v>1462</v>
      </c>
      <c r="C175" s="1704" t="s">
        <v>2115</v>
      </c>
      <c r="D175" s="1692">
        <f>-报表附注!F2651</f>
        <v>0</v>
      </c>
      <c r="G175" s="1684"/>
    </row>
    <row r="176" customHeight="1" spans="1:7">
      <c r="A176" s="1679" t="str">
        <f>报表附注!$G$1</f>
        <v>石嘴山市深阳蓝光市政工程有限公司</v>
      </c>
      <c r="B176" s="1680" t="s">
        <v>1462</v>
      </c>
      <c r="C176" s="1707" t="s">
        <v>1394</v>
      </c>
      <c r="D176" s="1692">
        <f>D173-D175</f>
        <v>0</v>
      </c>
      <c r="G176" s="1684"/>
    </row>
    <row r="177" customHeight="1" spans="1:7">
      <c r="A177" s="1679" t="str">
        <f>报表附注!$G$1</f>
        <v>石嘴山市深阳蓝光市政工程有限公司</v>
      </c>
      <c r="B177" s="1680" t="s">
        <v>1462</v>
      </c>
      <c r="C177" s="1696" t="s">
        <v>2045</v>
      </c>
      <c r="D177" s="1697">
        <f>ROUND(SUM(D178:D183)-D176,2)</f>
        <v>0</v>
      </c>
      <c r="E177" s="1678" t="str">
        <f>IF(D177=0,"勾稽一致","最终差异")</f>
        <v>勾稽一致</v>
      </c>
      <c r="G177" s="1684"/>
    </row>
    <row r="178" customHeight="1" spans="1:7">
      <c r="A178" s="1679" t="str">
        <f>报表附注!$G$1</f>
        <v>石嘴山市深阳蓝光市政工程有限公司</v>
      </c>
      <c r="B178" s="1680" t="s">
        <v>1462</v>
      </c>
      <c r="C178" s="1702"/>
      <c r="G178" s="1684"/>
    </row>
    <row r="179" customHeight="1" spans="1:7">
      <c r="A179" s="1679" t="str">
        <f>报表附注!$G$1</f>
        <v>石嘴山市深阳蓝光市政工程有限公司</v>
      </c>
      <c r="B179" s="1680" t="s">
        <v>1462</v>
      </c>
      <c r="C179" s="1702"/>
      <c r="G179" s="1684"/>
    </row>
    <row r="180" customHeight="1" spans="1:7">
      <c r="A180" s="1679" t="str">
        <f>报表附注!$G$1</f>
        <v>石嘴山市深阳蓝光市政工程有限公司</v>
      </c>
      <c r="B180" s="1680" t="s">
        <v>1462</v>
      </c>
      <c r="C180" s="1702"/>
      <c r="G180" s="1684"/>
    </row>
    <row r="181" customHeight="1" spans="1:7">
      <c r="A181" s="1679" t="str">
        <f>报表附注!$G$1</f>
        <v>石嘴山市深阳蓝光市政工程有限公司</v>
      </c>
      <c r="B181" s="1680" t="s">
        <v>1462</v>
      </c>
      <c r="G181" s="1684"/>
    </row>
    <row r="182" customHeight="1" spans="7:7">
      <c r="G182" s="1684"/>
    </row>
    <row r="183" customHeight="1" spans="1:7">
      <c r="A183" s="1679" t="str">
        <f>报表附注!$G$1</f>
        <v>石嘴山市深阳蓝光市政工程有限公司</v>
      </c>
      <c r="B183" s="1680" t="s">
        <v>1462</v>
      </c>
      <c r="G183" s="1684"/>
    </row>
    <row r="184" customHeight="1" spans="1:7">
      <c r="A184" s="1679" t="str">
        <f>报表附注!$G$1</f>
        <v>石嘴山市深阳蓝光市政工程有限公司</v>
      </c>
      <c r="B184" s="1680" t="s">
        <v>2116</v>
      </c>
      <c r="C184" s="1705" t="s">
        <v>2102</v>
      </c>
      <c r="G184" s="1684" t="s">
        <v>2034</v>
      </c>
    </row>
    <row r="185" customHeight="1" spans="1:7">
      <c r="A185" s="1679" t="str">
        <f>报表附注!$G$1</f>
        <v>石嘴山市深阳蓝光市政工程有限公司</v>
      </c>
      <c r="B185" s="1680" t="s">
        <v>2116</v>
      </c>
      <c r="C185" s="1704" t="s">
        <v>84</v>
      </c>
      <c r="D185" s="1692">
        <f>审定现流表!C64</f>
        <v>0</v>
      </c>
      <c r="G185" s="1684" t="s">
        <v>2034</v>
      </c>
    </row>
    <row r="186" customHeight="1" spans="1:7">
      <c r="A186" s="1679" t="str">
        <f>报表附注!$G$1</f>
        <v>石嘴山市深阳蓝光市政工程有限公司</v>
      </c>
      <c r="B186" s="1680" t="s">
        <v>2116</v>
      </c>
      <c r="C186" s="1705" t="s">
        <v>2042</v>
      </c>
      <c r="G186" s="1684" t="s">
        <v>2034</v>
      </c>
    </row>
    <row r="187" customHeight="1" spans="1:7">
      <c r="A187" s="1679" t="str">
        <f>报表附注!$G$1</f>
        <v>石嘴山市深阳蓝光市政工程有限公司</v>
      </c>
      <c r="B187" s="1680" t="s">
        <v>2116</v>
      </c>
      <c r="C187" s="1704" t="s">
        <v>2117</v>
      </c>
      <c r="D187" s="1692">
        <f>报表附注!F2734+报表附注!F2738</f>
        <v>0</v>
      </c>
      <c r="G187" s="1684" t="s">
        <v>2034</v>
      </c>
    </row>
    <row r="188" customHeight="1" spans="1:7">
      <c r="A188" s="1679" t="str">
        <f>报表附注!$G$1</f>
        <v>石嘴山市深阳蓝光市政工程有限公司</v>
      </c>
      <c r="B188" s="1680" t="s">
        <v>2116</v>
      </c>
      <c r="C188" s="1707" t="s">
        <v>1394</v>
      </c>
      <c r="D188" s="1692">
        <f>D185-D187</f>
        <v>0</v>
      </c>
      <c r="G188" s="1684" t="s">
        <v>2034</v>
      </c>
    </row>
    <row r="189" customHeight="1" spans="1:7">
      <c r="A189" s="1679" t="str">
        <f>报表附注!$G$1</f>
        <v>石嘴山市深阳蓝光市政工程有限公司</v>
      </c>
      <c r="B189" s="1680" t="s">
        <v>2116</v>
      </c>
      <c r="C189" s="1696" t="s">
        <v>2045</v>
      </c>
      <c r="D189" s="1697">
        <f>ROUND(SUM(D190:D194)-D188,2)</f>
        <v>0</v>
      </c>
      <c r="E189" s="1678" t="str">
        <f>IF(D189=0,"勾稽一致","最终差异")</f>
        <v>勾稽一致</v>
      </c>
      <c r="G189" s="1684" t="s">
        <v>2034</v>
      </c>
    </row>
    <row r="190" customHeight="1" spans="1:7">
      <c r="A190" s="1679" t="str">
        <f>报表附注!$G$1</f>
        <v>石嘴山市深阳蓝光市政工程有限公司</v>
      </c>
      <c r="B190" s="1680" t="s">
        <v>2116</v>
      </c>
      <c r="C190" s="1698" t="s">
        <v>2118</v>
      </c>
      <c r="G190" s="1684" t="s">
        <v>2034</v>
      </c>
    </row>
    <row r="191" customHeight="1" spans="1:7">
      <c r="A191" s="1679" t="str">
        <f>报表附注!$G$1</f>
        <v>石嘴山市深阳蓝光市政工程有限公司</v>
      </c>
      <c r="B191" s="1680" t="s">
        <v>2116</v>
      </c>
      <c r="C191" s="1698" t="s">
        <v>2119</v>
      </c>
      <c r="G191" s="1684" t="s">
        <v>2034</v>
      </c>
    </row>
    <row r="192" customHeight="1" spans="1:7">
      <c r="A192" s="1679" t="str">
        <f>报表附注!$G$1</f>
        <v>石嘴山市深阳蓝光市政工程有限公司</v>
      </c>
      <c r="B192" s="1680" t="s">
        <v>2116</v>
      </c>
      <c r="C192" s="1702" t="s">
        <v>2120</v>
      </c>
      <c r="G192" s="1684" t="s">
        <v>2034</v>
      </c>
    </row>
    <row r="193" customHeight="1" spans="1:7">
      <c r="A193" s="1679" t="str">
        <f>报表附注!$G$1</f>
        <v>石嘴山市深阳蓝光市政工程有限公司</v>
      </c>
      <c r="B193" s="1680" t="s">
        <v>2116</v>
      </c>
      <c r="C193" s="1702" t="s">
        <v>2121</v>
      </c>
      <c r="G193" s="1684" t="s">
        <v>2034</v>
      </c>
    </row>
    <row r="194" customHeight="1" spans="1:7">
      <c r="A194" s="1679" t="str">
        <f>报表附注!$G$1</f>
        <v>石嘴山市深阳蓝光市政工程有限公司</v>
      </c>
      <c r="B194" s="1680" t="s">
        <v>2116</v>
      </c>
      <c r="C194" s="1702" t="s">
        <v>2122</v>
      </c>
      <c r="G194" s="1684" t="s">
        <v>2034</v>
      </c>
    </row>
    <row r="195" customHeight="1" spans="1:7">
      <c r="A195" s="1679" t="str">
        <f>报表附注!$G$1</f>
        <v>石嘴山市深阳蓝光市政工程有限公司</v>
      </c>
      <c r="B195" s="1680" t="s">
        <v>2123</v>
      </c>
      <c r="C195" s="1705" t="s">
        <v>2102</v>
      </c>
      <c r="G195" s="1684" t="s">
        <v>2034</v>
      </c>
    </row>
    <row r="196" customHeight="1" spans="1:7">
      <c r="A196" s="1679" t="str">
        <f>报表附注!$G$1</f>
        <v>石嘴山市深阳蓝光市政工程有限公司</v>
      </c>
      <c r="B196" s="1680" t="s">
        <v>2123</v>
      </c>
      <c r="C196" s="1704" t="s">
        <v>171</v>
      </c>
      <c r="D196" s="1692">
        <f>审定现流表!C65</f>
        <v>0</v>
      </c>
      <c r="G196" s="1684" t="s">
        <v>2034</v>
      </c>
    </row>
    <row r="197" customHeight="1" spans="1:7">
      <c r="A197" s="1679" t="str">
        <f>报表附注!$G$1</f>
        <v>石嘴山市深阳蓝光市政工程有限公司</v>
      </c>
      <c r="B197" s="1680" t="s">
        <v>2123</v>
      </c>
      <c r="C197" s="1705" t="s">
        <v>2124</v>
      </c>
      <c r="G197" s="1684" t="s">
        <v>2034</v>
      </c>
    </row>
    <row r="198" customHeight="1" spans="1:7">
      <c r="A198" s="1679" t="str">
        <f>报表附注!$G$1</f>
        <v>石嘴山市深阳蓝光市政工程有限公司</v>
      </c>
      <c r="B198" s="1680" t="s">
        <v>2123</v>
      </c>
      <c r="C198" s="1704" t="s">
        <v>2125</v>
      </c>
      <c r="D198" s="1692">
        <f>-审定利润表!C14</f>
        <v>0</v>
      </c>
      <c r="G198" s="1684" t="s">
        <v>2034</v>
      </c>
    </row>
    <row r="199" customHeight="1" spans="1:7">
      <c r="A199" s="1679" t="str">
        <f>报表附注!$G$1</f>
        <v>石嘴山市深阳蓝光市政工程有限公司</v>
      </c>
      <c r="B199" s="1680" t="s">
        <v>2123</v>
      </c>
      <c r="C199" s="1707" t="s">
        <v>1394</v>
      </c>
      <c r="D199" s="1692">
        <f>D196-D198</f>
        <v>0</v>
      </c>
      <c r="G199" s="1684" t="s">
        <v>2034</v>
      </c>
    </row>
    <row r="200" customHeight="1" spans="1:7">
      <c r="A200" s="1679" t="str">
        <f>报表附注!$G$1</f>
        <v>石嘴山市深阳蓝光市政工程有限公司</v>
      </c>
      <c r="B200" s="1680" t="s">
        <v>2123</v>
      </c>
      <c r="C200" s="1696" t="s">
        <v>2045</v>
      </c>
      <c r="D200" s="1697">
        <f>ROUND(SUM(D201:D205)-D199,2)</f>
        <v>0</v>
      </c>
      <c r="E200" s="1678" t="str">
        <f>IF(D200=0,"勾稽一致","最终差异")</f>
        <v>勾稽一致</v>
      </c>
      <c r="G200" s="1684" t="s">
        <v>2034</v>
      </c>
    </row>
    <row r="201" customHeight="1" spans="1:7">
      <c r="A201" s="1679" t="str">
        <f>报表附注!$G$1</f>
        <v>石嘴山市深阳蓝光市政工程有限公司</v>
      </c>
      <c r="B201" s="1680" t="s">
        <v>2123</v>
      </c>
      <c r="C201" s="1702"/>
      <c r="G201" s="1684" t="s">
        <v>2034</v>
      </c>
    </row>
    <row r="202" customHeight="1" spans="1:7">
      <c r="A202" s="1679" t="str">
        <f>报表附注!$G$1</f>
        <v>石嘴山市深阳蓝光市政工程有限公司</v>
      </c>
      <c r="B202" s="1680" t="s">
        <v>2123</v>
      </c>
      <c r="C202" s="1702"/>
      <c r="G202" s="1684" t="s">
        <v>2034</v>
      </c>
    </row>
    <row r="203" customHeight="1" spans="1:7">
      <c r="A203" s="1679" t="str">
        <f>报表附注!$G$1</f>
        <v>石嘴山市深阳蓝光市政工程有限公司</v>
      </c>
      <c r="B203" s="1680" t="s">
        <v>2123</v>
      </c>
      <c r="C203" s="1702"/>
      <c r="G203" s="1684" t="s">
        <v>2034</v>
      </c>
    </row>
    <row r="204" customHeight="1" spans="1:7">
      <c r="A204" s="1679" t="str">
        <f>报表附注!$G$1</f>
        <v>石嘴山市深阳蓝光市政工程有限公司</v>
      </c>
      <c r="B204" s="1680" t="s">
        <v>2123</v>
      </c>
      <c r="G204" s="1684" t="s">
        <v>2034</v>
      </c>
    </row>
    <row r="205" customHeight="1" spans="1:7">
      <c r="A205" s="1679" t="str">
        <f>报表附注!$G$1</f>
        <v>石嘴山市深阳蓝光市政工程有限公司</v>
      </c>
      <c r="B205" s="1680" t="s">
        <v>2123</v>
      </c>
      <c r="G205" s="1684" t="s">
        <v>2034</v>
      </c>
    </row>
    <row r="206" customHeight="1" spans="1:7">
      <c r="A206" s="1679" t="str">
        <f>报表附注!$G$1</f>
        <v>石嘴山市深阳蓝光市政工程有限公司</v>
      </c>
      <c r="B206" s="1680" t="s">
        <v>1464</v>
      </c>
      <c r="C206" s="1705" t="s">
        <v>2102</v>
      </c>
      <c r="G206" s="1684"/>
    </row>
    <row r="207" customHeight="1" spans="1:7">
      <c r="A207" s="1679" t="str">
        <f>报表附注!$G$1</f>
        <v>石嘴山市深阳蓝光市政工程有限公司</v>
      </c>
      <c r="B207" s="1680" t="s">
        <v>1464</v>
      </c>
      <c r="C207" s="1704" t="s">
        <v>172</v>
      </c>
      <c r="D207" s="1692">
        <f>审定现流表!C66</f>
        <v>0</v>
      </c>
      <c r="G207" s="1684"/>
    </row>
    <row r="208" customHeight="1" spans="1:7">
      <c r="A208" s="1679" t="str">
        <f>报表附注!$G$1</f>
        <v>石嘴山市深阳蓝光市政工程有限公司</v>
      </c>
      <c r="B208" s="1680" t="s">
        <v>1464</v>
      </c>
      <c r="C208" s="1705" t="s">
        <v>2124</v>
      </c>
      <c r="G208" s="1684"/>
    </row>
    <row r="209" customHeight="1" spans="1:7">
      <c r="A209" s="1679" t="str">
        <f>报表附注!$G$1</f>
        <v>石嘴山市深阳蓝光市政工程有限公司</v>
      </c>
      <c r="B209" s="1680" t="s">
        <v>1464</v>
      </c>
      <c r="C209" s="1704" t="s">
        <v>2126</v>
      </c>
      <c r="D209" s="1692">
        <f>审定资负表!D37-审定资负表!C37</f>
        <v>0</v>
      </c>
      <c r="G209" s="1684"/>
    </row>
    <row r="210" customHeight="1" spans="1:7">
      <c r="A210" s="1679" t="str">
        <f>报表附注!$G$1</f>
        <v>石嘴山市深阳蓝光市政工程有限公司</v>
      </c>
      <c r="B210" s="1680" t="s">
        <v>1464</v>
      </c>
      <c r="C210" s="1707" t="s">
        <v>1394</v>
      </c>
      <c r="D210" s="1692">
        <f>D207-D209</f>
        <v>0</v>
      </c>
      <c r="G210" s="1684"/>
    </row>
    <row r="211" customHeight="1" spans="1:7">
      <c r="A211" s="1679" t="str">
        <f>报表附注!$G$1</f>
        <v>石嘴山市深阳蓝光市政工程有限公司</v>
      </c>
      <c r="B211" s="1680" t="s">
        <v>1464</v>
      </c>
      <c r="C211" s="1696" t="s">
        <v>2045</v>
      </c>
      <c r="D211" s="1697">
        <f>ROUND(SUM(D212:D214)-D210,2)</f>
        <v>0</v>
      </c>
      <c r="E211" s="1678" t="str">
        <f>IF(D211=0,"勾稽一致","最终差异")</f>
        <v>勾稽一致</v>
      </c>
      <c r="G211" s="1684"/>
    </row>
    <row r="212" customHeight="1" spans="1:7">
      <c r="A212" s="1679" t="str">
        <f>报表附注!$G$1</f>
        <v>石嘴山市深阳蓝光市政工程有限公司</v>
      </c>
      <c r="B212" s="1680" t="s">
        <v>1464</v>
      </c>
      <c r="C212" s="1698" t="s">
        <v>2048</v>
      </c>
      <c r="G212" s="1684"/>
    </row>
    <row r="213" customHeight="1" spans="1:7">
      <c r="A213" s="1679" t="str">
        <f>报表附注!$G$1</f>
        <v>石嘴山市深阳蓝光市政工程有限公司</v>
      </c>
      <c r="B213" s="1680" t="s">
        <v>1464</v>
      </c>
      <c r="C213" s="1702" t="s">
        <v>2127</v>
      </c>
      <c r="G213" s="1684"/>
    </row>
    <row r="214" customHeight="1" spans="1:7">
      <c r="A214" s="1679" t="str">
        <f>报表附注!$G$1</f>
        <v>石嘴山市深阳蓝光市政工程有限公司</v>
      </c>
      <c r="B214" s="1680" t="s">
        <v>1464</v>
      </c>
      <c r="C214" s="1702"/>
      <c r="G214" s="1684"/>
    </row>
    <row r="215" customHeight="1" spans="1:7">
      <c r="A215" s="1679" t="str">
        <f>报表附注!$G$1</f>
        <v>石嘴山市深阳蓝光市政工程有限公司</v>
      </c>
      <c r="B215" s="1680" t="s">
        <v>2128</v>
      </c>
      <c r="C215" s="1705" t="s">
        <v>2102</v>
      </c>
      <c r="G215" s="1684"/>
    </row>
    <row r="216" customHeight="1" spans="1:7">
      <c r="A216" s="1679" t="str">
        <f>报表附注!$G$1</f>
        <v>石嘴山市深阳蓝光市政工程有限公司</v>
      </c>
      <c r="B216" s="1680" t="s">
        <v>2128</v>
      </c>
      <c r="C216" s="1704" t="s">
        <v>173</v>
      </c>
      <c r="D216" s="1692">
        <f>审定现流表!C67</f>
        <v>0</v>
      </c>
      <c r="G216" s="1684"/>
    </row>
    <row r="217" customHeight="1" spans="1:7">
      <c r="A217" s="1679" t="str">
        <f>报表附注!$G$1</f>
        <v>石嘴山市深阳蓝光市政工程有限公司</v>
      </c>
      <c r="B217" s="1680" t="s">
        <v>2128</v>
      </c>
      <c r="C217" s="1705" t="s">
        <v>2124</v>
      </c>
      <c r="G217" s="1684"/>
    </row>
    <row r="218" customHeight="1" spans="1:7">
      <c r="A218" s="1679" t="str">
        <f>报表附注!$G$1</f>
        <v>石嘴山市深阳蓝光市政工程有限公司</v>
      </c>
      <c r="B218" s="1680" t="s">
        <v>2128</v>
      </c>
      <c r="C218" s="1704" t="s">
        <v>2129</v>
      </c>
      <c r="D218" s="1692">
        <f>审定资负表!G28-审定资负表!H28</f>
        <v>0</v>
      </c>
      <c r="G218" s="1684"/>
    </row>
    <row r="219" customHeight="1" spans="1:7">
      <c r="A219" s="1679" t="str">
        <f>报表附注!$G$1</f>
        <v>石嘴山市深阳蓝光市政工程有限公司</v>
      </c>
      <c r="B219" s="1680" t="s">
        <v>2128</v>
      </c>
      <c r="C219" s="1707" t="s">
        <v>1394</v>
      </c>
      <c r="D219" s="1692">
        <f>D216-D218</f>
        <v>0</v>
      </c>
      <c r="G219" s="1684"/>
    </row>
    <row r="220" customHeight="1" spans="1:7">
      <c r="A220" s="1679" t="str">
        <f>报表附注!$G$1</f>
        <v>石嘴山市深阳蓝光市政工程有限公司</v>
      </c>
      <c r="B220" s="1680" t="s">
        <v>2128</v>
      </c>
      <c r="C220" s="1696" t="s">
        <v>2045</v>
      </c>
      <c r="D220" s="1697">
        <f>ROUND(SUM(D221:D223)-D219,2)</f>
        <v>0</v>
      </c>
      <c r="E220" s="1678" t="str">
        <f>IF(D220=0,"勾稽一致","最终差异")</f>
        <v>勾稽一致</v>
      </c>
      <c r="G220" s="1684"/>
    </row>
    <row r="221" customHeight="1" spans="1:7">
      <c r="A221" s="1679" t="str">
        <f>报表附注!$G$1</f>
        <v>石嘴山市深阳蓝光市政工程有限公司</v>
      </c>
      <c r="B221" s="1680" t="s">
        <v>2128</v>
      </c>
      <c r="C221" s="1698" t="s">
        <v>2048</v>
      </c>
      <c r="G221" s="1684"/>
    </row>
    <row r="222" customHeight="1" spans="1:7">
      <c r="A222" s="1679" t="str">
        <f>报表附注!$G$1</f>
        <v>石嘴山市深阳蓝光市政工程有限公司</v>
      </c>
      <c r="B222" s="1680" t="s">
        <v>2128</v>
      </c>
      <c r="C222" s="1702" t="s">
        <v>2127</v>
      </c>
      <c r="G222" s="1684"/>
    </row>
    <row r="223" customHeight="1" spans="1:7">
      <c r="A223" s="1679" t="str">
        <f>报表附注!$G$1</f>
        <v>石嘴山市深阳蓝光市政工程有限公司</v>
      </c>
      <c r="B223" s="1680" t="s">
        <v>2128</v>
      </c>
      <c r="C223" s="1702"/>
      <c r="G223" s="1684"/>
    </row>
    <row r="224" customHeight="1" spans="1:7">
      <c r="A224" s="1679" t="str">
        <f>报表附注!$G$1</f>
        <v>石嘴山市深阳蓝光市政工程有限公司</v>
      </c>
      <c r="B224" s="1680" t="s">
        <v>1466</v>
      </c>
      <c r="C224" s="1705" t="s">
        <v>2102</v>
      </c>
      <c r="G224" s="1684"/>
    </row>
    <row r="225" customHeight="1" spans="1:7">
      <c r="A225" s="1679" t="str">
        <f>报表附注!$G$1</f>
        <v>石嘴山市深阳蓝光市政工程有限公司</v>
      </c>
      <c r="B225" s="1680" t="s">
        <v>1466</v>
      </c>
      <c r="C225" s="1704" t="s">
        <v>174</v>
      </c>
      <c r="D225" s="1692">
        <f>审定现流表!C68</f>
        <v>0</v>
      </c>
      <c r="G225" s="1684"/>
    </row>
    <row r="226" customHeight="1" spans="1:7">
      <c r="A226" s="1679" t="str">
        <f>报表附注!$G$1</f>
        <v>石嘴山市深阳蓝光市政工程有限公司</v>
      </c>
      <c r="B226" s="1680" t="s">
        <v>1466</v>
      </c>
      <c r="C226" s="1705" t="s">
        <v>2124</v>
      </c>
      <c r="G226" s="1684"/>
    </row>
    <row r="227" customHeight="1" spans="1:7">
      <c r="A227" s="1679" t="str">
        <f>报表附注!$G$1</f>
        <v>石嘴山市深阳蓝光市政工程有限公司</v>
      </c>
      <c r="B227" s="1680" t="s">
        <v>1466</v>
      </c>
      <c r="C227" s="1704" t="s">
        <v>2130</v>
      </c>
      <c r="D227" s="1692">
        <f>审定资负表!D15-审定资负表!C15</f>
        <v>-56453052.95</v>
      </c>
      <c r="G227" s="1684"/>
    </row>
    <row r="228" customHeight="1" spans="1:7">
      <c r="A228" s="1679" t="str">
        <f>报表附注!$G$1</f>
        <v>石嘴山市深阳蓝光市政工程有限公司</v>
      </c>
      <c r="B228" s="1680" t="s">
        <v>1466</v>
      </c>
      <c r="C228" s="1707" t="s">
        <v>1394</v>
      </c>
      <c r="D228" s="1692">
        <f>D225-D227</f>
        <v>56453052.95</v>
      </c>
      <c r="G228" s="1684"/>
    </row>
    <row r="229" customHeight="1" spans="1:7">
      <c r="A229" s="1679" t="str">
        <f>报表附注!$G$1</f>
        <v>石嘴山市深阳蓝光市政工程有限公司</v>
      </c>
      <c r="B229" s="1680" t="s">
        <v>1466</v>
      </c>
      <c r="C229" s="1696" t="s">
        <v>2045</v>
      </c>
      <c r="D229" s="1697">
        <f>ROUND(SUM(D230:D235)-D228,2)</f>
        <v>-56453052.95</v>
      </c>
      <c r="E229" s="1678" t="str">
        <f>IF(D229=0,"勾稽一致","最终差异")</f>
        <v>最终差异</v>
      </c>
      <c r="G229" s="1684"/>
    </row>
    <row r="230" customHeight="1" spans="1:7">
      <c r="A230" s="1679" t="str">
        <f>报表附注!$G$1</f>
        <v>石嘴山市深阳蓝光市政工程有限公司</v>
      </c>
      <c r="B230" s="1680" t="s">
        <v>1466</v>
      </c>
      <c r="C230" s="1698" t="s">
        <v>2073</v>
      </c>
      <c r="G230" s="1684"/>
    </row>
    <row r="231" customHeight="1" spans="1:7">
      <c r="A231" s="1679" t="str">
        <f>报表附注!$G$1</f>
        <v>石嘴山市深阳蓝光市政工程有限公司</v>
      </c>
      <c r="B231" s="1680" t="s">
        <v>1466</v>
      </c>
      <c r="C231" s="1698" t="s">
        <v>2048</v>
      </c>
      <c r="G231" s="1684"/>
    </row>
    <row r="232" customHeight="1" spans="1:7">
      <c r="A232" s="1679" t="str">
        <f>报表附注!$G$1</f>
        <v>石嘴山市深阳蓝光市政工程有限公司</v>
      </c>
      <c r="B232" s="1680" t="s">
        <v>1466</v>
      </c>
      <c r="C232" s="1698" t="s">
        <v>2131</v>
      </c>
      <c r="G232" s="1684"/>
    </row>
    <row r="233" customHeight="1" spans="1:7">
      <c r="A233" s="1679" t="str">
        <f>报表附注!$G$1</f>
        <v>石嘴山市深阳蓝光市政工程有限公司</v>
      </c>
      <c r="B233" s="1680" t="s">
        <v>1466</v>
      </c>
      <c r="C233" s="1698" t="s">
        <v>1745</v>
      </c>
      <c r="D233" s="1708">
        <f>-报表附注!F2713</f>
        <v>0</v>
      </c>
      <c r="G233" s="1684"/>
    </row>
    <row r="234" customHeight="1" spans="1:7">
      <c r="A234" s="1679" t="str">
        <f>报表附注!$G$1</f>
        <v>石嘴山市深阳蓝光市政工程有限公司</v>
      </c>
      <c r="B234" s="1680" t="s">
        <v>1466</v>
      </c>
      <c r="C234" s="1698" t="s">
        <v>2132</v>
      </c>
      <c r="G234" s="1684"/>
    </row>
    <row r="235" customHeight="1" spans="1:7">
      <c r="A235" s="1679" t="str">
        <f>报表附注!$G$1</f>
        <v>石嘴山市深阳蓝光市政工程有限公司</v>
      </c>
      <c r="B235" s="1680" t="s">
        <v>1466</v>
      </c>
      <c r="G235" s="1684"/>
    </row>
    <row r="236" customHeight="1" spans="1:7">
      <c r="A236" s="1679" t="str">
        <f>报表附注!$G$1</f>
        <v>石嘴山市深阳蓝光市政工程有限公司</v>
      </c>
      <c r="B236" s="1680" t="s">
        <v>2133</v>
      </c>
      <c r="C236" s="1705" t="s">
        <v>2102</v>
      </c>
      <c r="G236" s="1684"/>
    </row>
    <row r="237" customHeight="1" spans="1:7">
      <c r="A237" s="1679" t="str">
        <f>报表附注!$G$1</f>
        <v>石嘴山市深阳蓝光市政工程有限公司</v>
      </c>
      <c r="B237" s="1680" t="s">
        <v>2133</v>
      </c>
      <c r="C237" s="1704" t="s">
        <v>175</v>
      </c>
      <c r="D237" s="1692">
        <f>审定现流表!C69</f>
        <v>0</v>
      </c>
      <c r="G237" s="1684"/>
    </row>
    <row r="238" customHeight="1" spans="1:7">
      <c r="A238" s="1679" t="str">
        <f>报表附注!$G$1</f>
        <v>石嘴山市深阳蓝光市政工程有限公司</v>
      </c>
      <c r="B238" s="1680" t="s">
        <v>2133</v>
      </c>
      <c r="C238" s="1705" t="s">
        <v>2124</v>
      </c>
      <c r="G238" s="1684"/>
    </row>
    <row r="239" customHeight="1" spans="1:7">
      <c r="A239" s="1679" t="str">
        <f>报表附注!$G$1</f>
        <v>石嘴山市深阳蓝光市政工程有限公司</v>
      </c>
      <c r="B239" s="1680" t="s">
        <v>2133</v>
      </c>
      <c r="C239" s="1704" t="s">
        <v>2134</v>
      </c>
      <c r="D239" s="1692">
        <f>审定资负表!D9-审定资负表!C9</f>
        <v>0</v>
      </c>
      <c r="G239" s="1684"/>
    </row>
    <row r="240" customHeight="1" spans="1:7">
      <c r="A240" s="1679" t="str">
        <f>报表附注!$G$1</f>
        <v>石嘴山市深阳蓝光市政工程有限公司</v>
      </c>
      <c r="B240" s="1680" t="s">
        <v>2133</v>
      </c>
      <c r="C240" s="1704" t="s">
        <v>2135</v>
      </c>
      <c r="D240" s="1692">
        <f>审定资负表!D10-审定资负表!C10</f>
        <v>0</v>
      </c>
      <c r="G240" s="1684"/>
    </row>
    <row r="241" customHeight="1" spans="1:7">
      <c r="A241" s="1679" t="str">
        <f>报表附注!$G$1</f>
        <v>石嘴山市深阳蓝光市政工程有限公司</v>
      </c>
      <c r="B241" s="1680" t="s">
        <v>2133</v>
      </c>
      <c r="C241" s="1704" t="s">
        <v>2136</v>
      </c>
      <c r="D241" s="1692">
        <f>审定资负表!D11-审定资负表!C11</f>
        <v>0</v>
      </c>
      <c r="G241" s="1684"/>
    </row>
    <row r="242" customHeight="1" spans="1:7">
      <c r="A242" s="1679" t="str">
        <f>报表附注!$G$1</f>
        <v>石嘴山市深阳蓝光市政工程有限公司</v>
      </c>
      <c r="B242" s="1680" t="s">
        <v>2133</v>
      </c>
      <c r="C242" s="1704" t="s">
        <v>2137</v>
      </c>
      <c r="D242" s="1692">
        <f>审定资负表!D14-审定资负表!C14</f>
        <v>0</v>
      </c>
      <c r="G242" s="1684"/>
    </row>
    <row r="243" customHeight="1" spans="1:7">
      <c r="A243" s="1679" t="str">
        <f>报表附注!$G$1</f>
        <v>石嘴山市深阳蓝光市政工程有限公司</v>
      </c>
      <c r="B243" s="1680" t="s">
        <v>2133</v>
      </c>
      <c r="C243" s="1707" t="s">
        <v>1394</v>
      </c>
      <c r="D243" s="1692">
        <f>D237-D239-D240-D241-D242</f>
        <v>0</v>
      </c>
      <c r="G243" s="1684"/>
    </row>
    <row r="244" customHeight="1" spans="1:7">
      <c r="A244" s="1679" t="str">
        <f>报表附注!$G$1</f>
        <v>石嘴山市深阳蓝光市政工程有限公司</v>
      </c>
      <c r="B244" s="1680" t="s">
        <v>2133</v>
      </c>
      <c r="C244" s="1696" t="s">
        <v>2045</v>
      </c>
      <c r="D244" s="1697">
        <f>ROUND(SUM(D245:D262)-D243,2)</f>
        <v>0</v>
      </c>
      <c r="E244" s="1678" t="str">
        <f>IF(D244=0,"勾稽一致","最终差异")</f>
        <v>勾稽一致</v>
      </c>
      <c r="G244" s="1684"/>
    </row>
    <row r="245" customHeight="1" spans="1:7">
      <c r="A245" s="1679" t="str">
        <f>报表附注!$G$1</f>
        <v>石嘴山市深阳蓝光市政工程有限公司</v>
      </c>
      <c r="B245" s="1680" t="s">
        <v>2133</v>
      </c>
      <c r="C245" s="1700" t="s">
        <v>2064</v>
      </c>
      <c r="G245" s="1684"/>
    </row>
    <row r="246" customHeight="1" spans="1:7">
      <c r="A246" s="1679" t="str">
        <f>报表附注!$G$1</f>
        <v>石嘴山市深阳蓝光市政工程有限公司</v>
      </c>
      <c r="B246" s="1680" t="s">
        <v>2133</v>
      </c>
      <c r="C246" s="1700" t="s">
        <v>2065</v>
      </c>
      <c r="G246" s="1684"/>
    </row>
    <row r="247" customHeight="1" spans="1:7">
      <c r="A247" s="1679" t="str">
        <f>报表附注!$G$1</f>
        <v>石嘴山市深阳蓝光市政工程有限公司</v>
      </c>
      <c r="B247" s="1680" t="s">
        <v>2133</v>
      </c>
      <c r="C247" s="1700" t="s">
        <v>2066</v>
      </c>
      <c r="G247" s="1684"/>
    </row>
    <row r="248" customHeight="1" spans="1:7">
      <c r="A248" s="1679" t="str">
        <f>报表附注!$G$1</f>
        <v>石嘴山市深阳蓝光市政工程有限公司</v>
      </c>
      <c r="B248" s="1680" t="s">
        <v>2133</v>
      </c>
      <c r="C248" s="1700" t="s">
        <v>2067</v>
      </c>
      <c r="G248" s="1684"/>
    </row>
    <row r="249" customHeight="1" spans="1:7">
      <c r="A249" s="1679" t="str">
        <f>报表附注!$G$1</f>
        <v>石嘴山市深阳蓝光市政工程有限公司</v>
      </c>
      <c r="B249" s="1680" t="s">
        <v>2133</v>
      </c>
      <c r="C249" s="1700" t="s">
        <v>2138</v>
      </c>
      <c r="G249" s="1684"/>
    </row>
    <row r="250" customHeight="1" spans="1:7">
      <c r="A250" s="1679" t="str">
        <f>报表附注!$G$1</f>
        <v>石嘴山市深阳蓝光市政工程有限公司</v>
      </c>
      <c r="B250" s="1680" t="s">
        <v>2133</v>
      </c>
      <c r="C250" s="1700" t="s">
        <v>2139</v>
      </c>
      <c r="G250" s="1684"/>
    </row>
    <row r="251" customHeight="1" spans="1:7">
      <c r="A251" s="1679" t="str">
        <f>报表附注!$G$1</f>
        <v>石嘴山市深阳蓝光市政工程有限公司</v>
      </c>
      <c r="B251" s="1680" t="s">
        <v>2133</v>
      </c>
      <c r="C251" s="1700" t="s">
        <v>2140</v>
      </c>
      <c r="G251" s="1684"/>
    </row>
    <row r="252" customHeight="1" spans="1:7">
      <c r="A252" s="1679" t="str">
        <f>报表附注!$G$1</f>
        <v>石嘴山市深阳蓝光市政工程有限公司</v>
      </c>
      <c r="B252" s="1680" t="s">
        <v>2133</v>
      </c>
      <c r="C252" s="1698" t="s">
        <v>2048</v>
      </c>
      <c r="G252" s="1684"/>
    </row>
    <row r="253" customHeight="1" spans="1:7">
      <c r="A253" s="1679" t="str">
        <f>报表附注!$G$1</f>
        <v>石嘴山市深阳蓝光市政工程有限公司</v>
      </c>
      <c r="B253" s="1680" t="s">
        <v>2133</v>
      </c>
      <c r="C253" s="1700" t="s">
        <v>2141</v>
      </c>
      <c r="D253" s="1682">
        <f>-(报表附注!H205-报表附注!L205)</f>
        <v>0</v>
      </c>
      <c r="G253" s="1684"/>
    </row>
    <row r="254" customHeight="1" spans="1:7">
      <c r="A254" s="1679" t="str">
        <f>报表附注!$G$1</f>
        <v>石嘴山市深阳蓝光市政工程有限公司</v>
      </c>
      <c r="B254" s="1680" t="s">
        <v>2133</v>
      </c>
      <c r="C254" s="1700" t="s">
        <v>2142</v>
      </c>
      <c r="D254" s="1682">
        <f>-(报表附注!H571-报表附注!L571)</f>
        <v>0</v>
      </c>
      <c r="G254" s="1684"/>
    </row>
    <row r="255" customHeight="1" spans="1:7">
      <c r="A255" s="1679" t="str">
        <f>报表附注!$G$1</f>
        <v>石嘴山市深阳蓝光市政工程有限公司</v>
      </c>
      <c r="B255" s="1680" t="s">
        <v>2133</v>
      </c>
      <c r="C255" s="1700" t="s">
        <v>2143</v>
      </c>
      <c r="G255" s="1684"/>
    </row>
    <row r="256" customHeight="1" spans="1:7">
      <c r="A256" s="1679" t="str">
        <f>报表附注!$G$1</f>
        <v>石嘴山市深阳蓝光市政工程有限公司</v>
      </c>
      <c r="B256" s="1680" t="s">
        <v>2133</v>
      </c>
      <c r="C256" s="1700" t="s">
        <v>2144</v>
      </c>
      <c r="G256" s="1684"/>
    </row>
    <row r="257" customHeight="1" spans="1:7">
      <c r="A257" s="1679" t="str">
        <f>报表附注!$G$1</f>
        <v>石嘴山市深阳蓝光市政工程有限公司</v>
      </c>
      <c r="B257" s="1680" t="s">
        <v>2133</v>
      </c>
      <c r="C257" s="1700" t="s">
        <v>2145</v>
      </c>
      <c r="G257" s="1684"/>
    </row>
    <row r="258" customHeight="1" spans="1:7">
      <c r="A258" s="1679" t="str">
        <f>报表附注!$G$1</f>
        <v>石嘴山市深阳蓝光市政工程有限公司</v>
      </c>
      <c r="B258" s="1680" t="s">
        <v>2133</v>
      </c>
      <c r="C258" s="1700" t="s">
        <v>2146</v>
      </c>
      <c r="G258" s="1684"/>
    </row>
    <row r="259" customHeight="1" spans="1:7">
      <c r="A259" s="1679" t="str">
        <f>报表附注!$G$1</f>
        <v>石嘴山市深阳蓝光市政工程有限公司</v>
      </c>
      <c r="B259" s="1680" t="s">
        <v>2133</v>
      </c>
      <c r="C259" s="1700" t="s">
        <v>2147</v>
      </c>
      <c r="G259" s="1684"/>
    </row>
    <row r="260" customHeight="1" spans="1:7">
      <c r="A260" s="1679" t="str">
        <f>报表附注!$G$1</f>
        <v>石嘴山市深阳蓝光市政工程有限公司</v>
      </c>
      <c r="B260" s="1680" t="s">
        <v>2133</v>
      </c>
      <c r="C260" s="1700" t="s">
        <v>2148</v>
      </c>
      <c r="G260" s="1684"/>
    </row>
    <row r="261" customHeight="1" spans="1:7">
      <c r="A261" s="1679" t="str">
        <f>报表附注!$G$1</f>
        <v>石嘴山市深阳蓝光市政工程有限公司</v>
      </c>
      <c r="B261" s="1680" t="s">
        <v>2133</v>
      </c>
      <c r="C261" s="1702"/>
      <c r="G261" s="1684"/>
    </row>
    <row r="262" customHeight="1" spans="1:7">
      <c r="A262" s="1679" t="str">
        <f>报表附注!$G$1</f>
        <v>石嘴山市深阳蓝光市政工程有限公司</v>
      </c>
      <c r="B262" s="1680" t="s">
        <v>2133</v>
      </c>
      <c r="C262" s="1702"/>
      <c r="G262" s="1684"/>
    </row>
    <row r="263" customHeight="1" spans="1:7">
      <c r="A263" s="1679" t="str">
        <f>报表附注!$G$1</f>
        <v>石嘴山市深阳蓝光市政工程有限公司</v>
      </c>
      <c r="B263" s="1680" t="s">
        <v>2149</v>
      </c>
      <c r="C263" s="1705" t="s">
        <v>2102</v>
      </c>
      <c r="G263" s="1684"/>
    </row>
    <row r="264" customHeight="1" spans="1:7">
      <c r="A264" s="1679" t="str">
        <f>报表附注!$G$1</f>
        <v>石嘴山市深阳蓝光市政工程有限公司</v>
      </c>
      <c r="B264" s="1680" t="s">
        <v>2149</v>
      </c>
      <c r="C264" s="1704" t="s">
        <v>176</v>
      </c>
      <c r="D264" s="1692">
        <f>审定现流表!C70</f>
        <v>0</v>
      </c>
      <c r="G264" s="1684"/>
    </row>
    <row r="265" customHeight="1" spans="1:7">
      <c r="A265" s="1679" t="str">
        <f>报表附注!$G$1</f>
        <v>石嘴山市深阳蓝光市政工程有限公司</v>
      </c>
      <c r="B265" s="1680" t="s">
        <v>2149</v>
      </c>
      <c r="C265" s="1705" t="s">
        <v>2124</v>
      </c>
      <c r="G265" s="1684"/>
    </row>
    <row r="266" customHeight="1" spans="1:7">
      <c r="A266" s="1679" t="str">
        <f>报表附注!$G$1</f>
        <v>石嘴山市深阳蓝光市政工程有限公司</v>
      </c>
      <c r="B266" s="1680" t="s">
        <v>2149</v>
      </c>
      <c r="C266" s="1704" t="s">
        <v>2150</v>
      </c>
      <c r="D266" s="1692">
        <f>审定资负表!G9-审定资负表!H9</f>
        <v>0</v>
      </c>
      <c r="G266" s="1684"/>
    </row>
    <row r="267" customHeight="1" spans="1:7">
      <c r="A267" s="1679" t="str">
        <f>报表附注!$G$1</f>
        <v>石嘴山市深阳蓝光市政工程有限公司</v>
      </c>
      <c r="B267" s="1680" t="s">
        <v>2149</v>
      </c>
      <c r="C267" s="1704" t="s">
        <v>2151</v>
      </c>
      <c r="D267" s="1692">
        <f>审定资负表!G10-审定资负表!H10</f>
        <v>0</v>
      </c>
      <c r="G267" s="1684"/>
    </row>
    <row r="268" customHeight="1" spans="1:7">
      <c r="A268" s="1679" t="str">
        <f>报表附注!$G$1</f>
        <v>石嘴山市深阳蓝光市政工程有限公司</v>
      </c>
      <c r="B268" s="1680" t="s">
        <v>2149</v>
      </c>
      <c r="C268" s="1704" t="s">
        <v>2152</v>
      </c>
      <c r="D268" s="1692">
        <f>审定资负表!G11-审定资负表!H11</f>
        <v>0</v>
      </c>
      <c r="G268" s="1684"/>
    </row>
    <row r="269" customHeight="1" spans="1:7">
      <c r="A269" s="1679" t="str">
        <f>报表附注!$G$1</f>
        <v>石嘴山市深阳蓝光市政工程有限公司</v>
      </c>
      <c r="B269" s="1680" t="s">
        <v>2149</v>
      </c>
      <c r="C269" s="1704" t="s">
        <v>2153</v>
      </c>
      <c r="D269" s="1692">
        <f>审定资负表!G12-审定资负表!H12</f>
        <v>0</v>
      </c>
      <c r="G269" s="1684"/>
    </row>
    <row r="270" customHeight="1" spans="1:7">
      <c r="A270" s="1679" t="str">
        <f>报表附注!$G$1</f>
        <v>石嘴山市深阳蓝光市政工程有限公司</v>
      </c>
      <c r="B270" s="1680" t="s">
        <v>2149</v>
      </c>
      <c r="C270" s="1704" t="s">
        <v>2154</v>
      </c>
      <c r="D270" s="1692">
        <f>审定资负表!G13-审定资负表!H13</f>
        <v>0</v>
      </c>
      <c r="G270" s="1684"/>
    </row>
    <row r="271" customHeight="1" spans="1:7">
      <c r="A271" s="1679" t="str">
        <f>报表附注!$G$1</f>
        <v>石嘴山市深阳蓝光市政工程有限公司</v>
      </c>
      <c r="B271" s="1680" t="s">
        <v>2149</v>
      </c>
      <c r="C271" s="1704" t="s">
        <v>2155</v>
      </c>
      <c r="D271" s="1692">
        <f>审定资负表!G16-审定资负表!H16</f>
        <v>0</v>
      </c>
      <c r="G271" s="1684"/>
    </row>
    <row r="272" customHeight="1" spans="1:7">
      <c r="A272" s="1679" t="str">
        <f>报表附注!$G$1</f>
        <v>石嘴山市深阳蓝光市政工程有限公司</v>
      </c>
      <c r="B272" s="1680" t="s">
        <v>2149</v>
      </c>
      <c r="C272" s="1707" t="s">
        <v>1394</v>
      </c>
      <c r="D272" s="1692">
        <f>D264-D266-D267-D268-D269-D270-D271</f>
        <v>0</v>
      </c>
      <c r="G272" s="1684"/>
    </row>
    <row r="273" customHeight="1" spans="1:7">
      <c r="A273" s="1679" t="str">
        <f>报表附注!$G$1</f>
        <v>石嘴山市深阳蓝光市政工程有限公司</v>
      </c>
      <c r="B273" s="1680" t="s">
        <v>2149</v>
      </c>
      <c r="C273" s="1696" t="s">
        <v>2045</v>
      </c>
      <c r="D273" s="1697">
        <f>ROUND(SUM(D274:D288)-D272,2)</f>
        <v>0</v>
      </c>
      <c r="E273" s="1678" t="str">
        <f>IF(D273=0,"勾稽一致","最终差异")</f>
        <v>勾稽一致</v>
      </c>
      <c r="G273" s="1684"/>
    </row>
    <row r="274" customHeight="1" spans="1:7">
      <c r="A274" s="1679" t="str">
        <f>报表附注!$G$1</f>
        <v>石嘴山市深阳蓝光市政工程有限公司</v>
      </c>
      <c r="B274" s="1680" t="s">
        <v>2149</v>
      </c>
      <c r="C274" s="1700" t="s">
        <v>2156</v>
      </c>
      <c r="G274" s="1684"/>
    </row>
    <row r="275" customHeight="1" spans="1:7">
      <c r="A275" s="1679" t="str">
        <f>报表附注!$G$1</f>
        <v>石嘴山市深阳蓝光市政工程有限公司</v>
      </c>
      <c r="B275" s="1680" t="s">
        <v>2149</v>
      </c>
      <c r="C275" s="1700" t="s">
        <v>2068</v>
      </c>
      <c r="G275" s="1684"/>
    </row>
    <row r="276" customHeight="1" spans="1:7">
      <c r="A276" s="1679" t="str">
        <f>报表附注!$G$1</f>
        <v>石嘴山市深阳蓝光市政工程有限公司</v>
      </c>
      <c r="B276" s="1680" t="s">
        <v>2149</v>
      </c>
      <c r="C276" s="1700" t="s">
        <v>2069</v>
      </c>
      <c r="G276" s="1684"/>
    </row>
    <row r="277" customHeight="1" spans="1:7">
      <c r="A277" s="1679" t="str">
        <f>报表附注!$G$1</f>
        <v>石嘴山市深阳蓝光市政工程有限公司</v>
      </c>
      <c r="B277" s="1680" t="s">
        <v>2149</v>
      </c>
      <c r="C277" s="1700" t="s">
        <v>2070</v>
      </c>
      <c r="G277" s="1684"/>
    </row>
    <row r="278" customHeight="1" spans="1:7">
      <c r="A278" s="1679" t="str">
        <f>报表附注!$G$1</f>
        <v>石嘴山市深阳蓝光市政工程有限公司</v>
      </c>
      <c r="B278" s="1680" t="s">
        <v>2149</v>
      </c>
      <c r="C278" s="1700" t="s">
        <v>2157</v>
      </c>
      <c r="G278" s="1684"/>
    </row>
    <row r="279" customHeight="1" spans="1:7">
      <c r="A279" s="1679" t="str">
        <f>报表附注!$G$1</f>
        <v>石嘴山市深阳蓝光市政工程有限公司</v>
      </c>
      <c r="B279" s="1680" t="s">
        <v>2149</v>
      </c>
      <c r="C279" s="1700" t="s">
        <v>2158</v>
      </c>
      <c r="G279" s="1684"/>
    </row>
    <row r="280" customHeight="1" spans="1:7">
      <c r="A280" s="1679" t="str">
        <f>报表附注!$G$1</f>
        <v>石嘴山市深阳蓝光市政工程有限公司</v>
      </c>
      <c r="B280" s="1680" t="s">
        <v>2149</v>
      </c>
      <c r="C280" s="1700" t="s">
        <v>2159</v>
      </c>
      <c r="G280" s="1684"/>
    </row>
    <row r="281" customHeight="1" spans="1:7">
      <c r="A281" s="1679" t="str">
        <f>报表附注!$G$1</f>
        <v>石嘴山市深阳蓝光市政工程有限公司</v>
      </c>
      <c r="B281" s="1680" t="s">
        <v>2149</v>
      </c>
      <c r="C281" s="1700" t="s">
        <v>2160</v>
      </c>
      <c r="G281" s="1684"/>
    </row>
    <row r="282" customHeight="1" spans="1:7">
      <c r="A282" s="1679" t="str">
        <f>报表附注!$G$1</f>
        <v>石嘴山市深阳蓝光市政工程有限公司</v>
      </c>
      <c r="B282" s="1680" t="s">
        <v>2149</v>
      </c>
      <c r="C282" s="1698" t="s">
        <v>2048</v>
      </c>
      <c r="G282" s="1684"/>
    </row>
    <row r="283" customHeight="1" spans="1:7">
      <c r="A283" s="1679" t="str">
        <f>报表附注!$G$1</f>
        <v>石嘴山市深阳蓝光市政工程有限公司</v>
      </c>
      <c r="B283" s="1680" t="s">
        <v>2149</v>
      </c>
      <c r="C283" s="1681" t="s">
        <v>2161</v>
      </c>
      <c r="G283" s="1684"/>
    </row>
    <row r="284" customHeight="1" spans="1:7">
      <c r="A284" s="1679" t="str">
        <f>报表附注!$G$1</f>
        <v>石嘴山市深阳蓝光市政工程有限公司</v>
      </c>
      <c r="B284" s="1680" t="s">
        <v>2149</v>
      </c>
      <c r="C284" s="1681" t="s">
        <v>234</v>
      </c>
      <c r="G284" s="1684"/>
    </row>
    <row r="285" customHeight="1" spans="1:7">
      <c r="A285" s="1679" t="str">
        <f>报表附注!$G$1</f>
        <v>石嘴山市深阳蓝光市政工程有限公司</v>
      </c>
      <c r="B285" s="1680" t="s">
        <v>2149</v>
      </c>
      <c r="C285" s="1681" t="s">
        <v>238</v>
      </c>
      <c r="G285" s="1684"/>
    </row>
    <row r="286" customHeight="1" spans="1:7">
      <c r="A286" s="1679" t="str">
        <f>报表附注!$G$1</f>
        <v>石嘴山市深阳蓝光市政工程有限公司</v>
      </c>
      <c r="B286" s="1680" t="s">
        <v>2149</v>
      </c>
      <c r="C286" s="1681" t="s">
        <v>2162</v>
      </c>
      <c r="G286" s="1684"/>
    </row>
    <row r="287" customHeight="1" spans="1:7">
      <c r="A287" s="1679" t="str">
        <f>报表附注!$G$1</f>
        <v>石嘴山市深阳蓝光市政工程有限公司</v>
      </c>
      <c r="B287" s="1680" t="s">
        <v>2149</v>
      </c>
      <c r="C287" s="1681" t="s">
        <v>258</v>
      </c>
      <c r="G287" s="1684"/>
    </row>
    <row r="288" customHeight="1" spans="1:7">
      <c r="A288" s="1679" t="str">
        <f>报表附注!$G$1</f>
        <v>石嘴山市深阳蓝光市政工程有限公司</v>
      </c>
      <c r="B288" s="1680" t="s">
        <v>2149</v>
      </c>
      <c r="G288" s="1684"/>
    </row>
    <row r="289" customHeight="1" spans="1:7">
      <c r="A289" s="1679" t="str">
        <f>报表附注!$G$1</f>
        <v>石嘴山市深阳蓝光市政工程有限公司</v>
      </c>
      <c r="B289" s="1680" t="s">
        <v>279</v>
      </c>
      <c r="C289" s="1705" t="s">
        <v>2102</v>
      </c>
      <c r="G289" s="1684"/>
    </row>
    <row r="290" customHeight="1" spans="1:7">
      <c r="A290" s="1679" t="str">
        <f>报表附注!$G$1</f>
        <v>石嘴山市深阳蓝光市政工程有限公司</v>
      </c>
      <c r="B290" s="1680" t="s">
        <v>279</v>
      </c>
      <c r="C290" s="1709" t="s">
        <v>279</v>
      </c>
      <c r="D290" s="1692">
        <f>审定现流表!C71</f>
        <v>0</v>
      </c>
      <c r="G290" s="1684"/>
    </row>
    <row r="291" customHeight="1" spans="1:7">
      <c r="A291" s="1679" t="str">
        <f>报表附注!$G$1</f>
        <v>石嘴山市深阳蓝光市政工程有限公司</v>
      </c>
      <c r="B291" s="1680" t="s">
        <v>279</v>
      </c>
      <c r="C291" s="1696" t="s">
        <v>2163</v>
      </c>
      <c r="D291" s="1697">
        <f>ROUND(SUM(D292:D301)-D290,2)</f>
        <v>0</v>
      </c>
      <c r="E291" s="1678" t="str">
        <f>IF(D291=0,"勾稽一致","最终差异")</f>
        <v>勾稽一致</v>
      </c>
      <c r="G291" s="1684"/>
    </row>
    <row r="292" customHeight="1" spans="1:7">
      <c r="A292" s="1679" t="str">
        <f>报表附注!$G$1</f>
        <v>石嘴山市深阳蓝光市政工程有限公司</v>
      </c>
      <c r="B292" s="1680" t="s">
        <v>279</v>
      </c>
      <c r="G292" s="1684"/>
    </row>
    <row r="293" customHeight="1" spans="1:7">
      <c r="A293" s="1679" t="str">
        <f>报表附注!$G$1</f>
        <v>石嘴山市深阳蓝光市政工程有限公司</v>
      </c>
      <c r="B293" s="1680" t="s">
        <v>279</v>
      </c>
      <c r="G293" s="1684"/>
    </row>
    <row r="294" customHeight="1" spans="1:7">
      <c r="A294" s="1679" t="str">
        <f>报表附注!$G$1</f>
        <v>石嘴山市深阳蓝光市政工程有限公司</v>
      </c>
      <c r="B294" s="1680" t="s">
        <v>279</v>
      </c>
      <c r="G294" s="1684"/>
    </row>
    <row r="295" customHeight="1" spans="1:7">
      <c r="A295" s="1679" t="str">
        <f>报表附注!$G$1</f>
        <v>石嘴山市深阳蓝光市政工程有限公司</v>
      </c>
      <c r="B295" s="1680" t="s">
        <v>279</v>
      </c>
      <c r="G295" s="1684"/>
    </row>
    <row r="296" customHeight="1" spans="1:7">
      <c r="A296" s="1679" t="str">
        <f>报表附注!$G$1</f>
        <v>石嘴山市深阳蓝光市政工程有限公司</v>
      </c>
      <c r="B296" s="1680" t="s">
        <v>279</v>
      </c>
      <c r="G296" s="1684"/>
    </row>
    <row r="297" customHeight="1" spans="1:7">
      <c r="A297" s="1679" t="str">
        <f>报表附注!$G$1</f>
        <v>石嘴山市深阳蓝光市政工程有限公司</v>
      </c>
      <c r="B297" s="1680" t="s">
        <v>279</v>
      </c>
      <c r="G297" s="1684"/>
    </row>
    <row r="298" customHeight="1" spans="1:7">
      <c r="A298" s="1679" t="str">
        <f>报表附注!$G$1</f>
        <v>石嘴山市深阳蓝光市政工程有限公司</v>
      </c>
      <c r="B298" s="1680" t="s">
        <v>279</v>
      </c>
      <c r="G298" s="1684"/>
    </row>
    <row r="299" customHeight="1" spans="1:7">
      <c r="A299" s="1679" t="str">
        <f>报表附注!$G$1</f>
        <v>石嘴山市深阳蓝光市政工程有限公司</v>
      </c>
      <c r="B299" s="1680" t="s">
        <v>279</v>
      </c>
      <c r="G299" s="1684"/>
    </row>
    <row r="300" customHeight="1" spans="1:7">
      <c r="A300" s="1679" t="str">
        <f>报表附注!$G$1</f>
        <v>石嘴山市深阳蓝光市政工程有限公司</v>
      </c>
      <c r="B300" s="1680" t="s">
        <v>279</v>
      </c>
      <c r="G300" s="1684"/>
    </row>
    <row r="301" customHeight="1" spans="1:7">
      <c r="A301" s="1679" t="str">
        <f>报表附注!$G$1</f>
        <v>石嘴山市深阳蓝光市政工程有限公司</v>
      </c>
      <c r="B301" s="1680" t="s">
        <v>279</v>
      </c>
      <c r="G301" s="1684"/>
    </row>
    <row r="302" s="1678" customFormat="1" customHeight="1" spans="1:4">
      <c r="A302" s="1679"/>
      <c r="B302" s="1680"/>
      <c r="D302" s="1710"/>
    </row>
    <row r="303" s="1678" customFormat="1" customHeight="1" spans="1:4">
      <c r="A303" s="1679"/>
      <c r="B303" s="1680"/>
      <c r="D303" s="1710"/>
    </row>
    <row r="304" s="1678" customFormat="1" customHeight="1" spans="1:4">
      <c r="A304" s="1679"/>
      <c r="B304" s="1680"/>
      <c r="D304" s="1710"/>
    </row>
    <row r="305" s="1678" customFormat="1" customHeight="1" spans="1:4">
      <c r="A305" s="1679"/>
      <c r="B305" s="1680"/>
      <c r="D305" s="1710"/>
    </row>
    <row r="306" s="1678" customFormat="1" customHeight="1" spans="1:4">
      <c r="A306" s="1679"/>
      <c r="B306" s="1680"/>
      <c r="D306" s="1710"/>
    </row>
    <row r="307" s="1678" customFormat="1" customHeight="1" spans="1:4">
      <c r="A307" s="1679"/>
      <c r="B307" s="1680"/>
      <c r="D307" s="1710"/>
    </row>
    <row r="308" s="1678" customFormat="1" customHeight="1" spans="1:4">
      <c r="A308" s="1679"/>
      <c r="B308" s="1680"/>
      <c r="D308" s="1710"/>
    </row>
    <row r="309" s="1678" customFormat="1" customHeight="1" spans="1:4">
      <c r="A309" s="1679"/>
      <c r="B309" s="1680"/>
      <c r="D309" s="1710"/>
    </row>
    <row r="310" s="1678" customFormat="1" customHeight="1" spans="1:4">
      <c r="A310" s="1679"/>
      <c r="B310" s="1680"/>
      <c r="D310" s="1710"/>
    </row>
    <row r="311" s="1678" customFormat="1" customHeight="1" spans="1:4">
      <c r="A311" s="1679"/>
      <c r="B311" s="1680"/>
      <c r="D311" s="1710"/>
    </row>
    <row r="312" s="1678" customFormat="1" customHeight="1" spans="1:4">
      <c r="A312" s="1679"/>
      <c r="B312" s="1680"/>
      <c r="D312" s="1710"/>
    </row>
    <row r="313" s="1678" customFormat="1" customHeight="1" spans="1:4">
      <c r="A313" s="1679"/>
      <c r="B313" s="1680"/>
      <c r="D313" s="1710"/>
    </row>
    <row r="314" s="1678" customFormat="1" customHeight="1" spans="1:4">
      <c r="A314" s="1679"/>
      <c r="B314" s="1680"/>
      <c r="D314" s="1710"/>
    </row>
    <row r="315" s="1678" customFormat="1" customHeight="1" spans="1:4">
      <c r="A315" s="1679"/>
      <c r="B315" s="1680"/>
      <c r="D315" s="1710"/>
    </row>
    <row r="316" s="1678" customFormat="1" customHeight="1" spans="1:4">
      <c r="A316" s="1679"/>
      <c r="B316" s="1680"/>
      <c r="D316" s="1710"/>
    </row>
    <row r="317" s="1678" customFormat="1" customHeight="1" spans="1:4">
      <c r="A317" s="1679"/>
      <c r="B317" s="1680"/>
      <c r="D317" s="1710"/>
    </row>
    <row r="318" s="1678" customFormat="1" customHeight="1" spans="1:4">
      <c r="A318" s="1679"/>
      <c r="B318" s="1680"/>
      <c r="D318" s="1710"/>
    </row>
    <row r="319" s="1678" customFormat="1" customHeight="1" spans="1:4">
      <c r="A319" s="1679"/>
      <c r="B319" s="1680"/>
      <c r="D319" s="1710"/>
    </row>
    <row r="320" s="1678" customFormat="1" customHeight="1" spans="1:4">
      <c r="A320" s="1679"/>
      <c r="B320" s="1680"/>
      <c r="D320" s="1710"/>
    </row>
    <row r="321" s="1678" customFormat="1" customHeight="1" spans="1:4">
      <c r="A321" s="1679"/>
      <c r="B321" s="1680"/>
      <c r="D321" s="1710"/>
    </row>
    <row r="322" s="1678" customFormat="1" customHeight="1" spans="1:4">
      <c r="A322" s="1679"/>
      <c r="B322" s="1680"/>
      <c r="D322" s="1710"/>
    </row>
    <row r="323" s="1678" customFormat="1" customHeight="1" spans="1:4">
      <c r="A323" s="1679"/>
      <c r="B323" s="1680"/>
      <c r="D323" s="1710"/>
    </row>
    <row r="324" s="1678" customFormat="1" customHeight="1" spans="1:4">
      <c r="A324" s="1679"/>
      <c r="B324" s="1680"/>
      <c r="D324" s="1710"/>
    </row>
    <row r="325" s="1678" customFormat="1" customHeight="1" spans="1:4">
      <c r="A325" s="1679"/>
      <c r="B325" s="1680"/>
      <c r="D325" s="1710"/>
    </row>
    <row r="326" s="1678" customFormat="1" customHeight="1" spans="1:4">
      <c r="A326" s="1679"/>
      <c r="B326" s="1680"/>
      <c r="D326" s="1710"/>
    </row>
    <row r="327" s="1678" customFormat="1" customHeight="1" spans="1:4">
      <c r="A327" s="1679"/>
      <c r="B327" s="1680"/>
      <c r="D327" s="1710"/>
    </row>
    <row r="328" s="1678" customFormat="1" customHeight="1" spans="1:4">
      <c r="A328" s="1679"/>
      <c r="B328" s="1680"/>
      <c r="D328" s="1710"/>
    </row>
    <row r="329" s="1678" customFormat="1" customHeight="1" spans="1:4">
      <c r="A329" s="1679"/>
      <c r="B329" s="1680"/>
      <c r="D329" s="1710"/>
    </row>
    <row r="330" s="1678" customFormat="1" customHeight="1" spans="1:4">
      <c r="A330" s="1679"/>
      <c r="B330" s="1680"/>
      <c r="D330" s="1710"/>
    </row>
    <row r="331" s="1678" customFormat="1" customHeight="1" spans="1:4">
      <c r="A331" s="1679"/>
      <c r="B331" s="1680"/>
      <c r="D331" s="1710"/>
    </row>
    <row r="332" s="1678" customFormat="1" customHeight="1" spans="1:4">
      <c r="A332" s="1679"/>
      <c r="B332" s="1680"/>
      <c r="D332" s="1710"/>
    </row>
    <row r="333" s="1678" customFormat="1" customHeight="1" spans="1:4">
      <c r="A333" s="1679"/>
      <c r="B333" s="1680"/>
      <c r="D333" s="1710"/>
    </row>
    <row r="334" s="1678" customFormat="1" customHeight="1" spans="1:4">
      <c r="A334" s="1679"/>
      <c r="B334" s="1680"/>
      <c r="D334" s="1710"/>
    </row>
    <row r="335" s="1678" customFormat="1" customHeight="1" spans="1:4">
      <c r="A335" s="1679"/>
      <c r="B335" s="1680"/>
      <c r="D335" s="1710"/>
    </row>
    <row r="336" s="1678" customFormat="1" customHeight="1" spans="1:4">
      <c r="A336" s="1679"/>
      <c r="B336" s="1680"/>
      <c r="D336" s="1710"/>
    </row>
    <row r="337" s="1678" customFormat="1" customHeight="1" spans="1:4">
      <c r="A337" s="1679"/>
      <c r="B337" s="1680"/>
      <c r="D337" s="1710"/>
    </row>
    <row r="338" s="1678" customFormat="1" customHeight="1" spans="1:4">
      <c r="A338" s="1679"/>
      <c r="B338" s="1680"/>
      <c r="D338" s="1710"/>
    </row>
    <row r="339" s="1678" customFormat="1" customHeight="1" spans="1:4">
      <c r="A339" s="1679"/>
      <c r="B339" s="1680"/>
      <c r="D339" s="1710"/>
    </row>
    <row r="340" s="1678" customFormat="1" customHeight="1" spans="1:4">
      <c r="A340" s="1679"/>
      <c r="B340" s="1680"/>
      <c r="D340" s="1710"/>
    </row>
    <row r="341" s="1678" customFormat="1" customHeight="1" spans="1:4">
      <c r="A341" s="1679"/>
      <c r="B341" s="1680"/>
      <c r="D341" s="1710"/>
    </row>
    <row r="342" s="1678" customFormat="1" customHeight="1" spans="1:4">
      <c r="A342" s="1679"/>
      <c r="B342" s="1680"/>
      <c r="D342" s="1710"/>
    </row>
    <row r="343" s="1678" customFormat="1" customHeight="1" spans="1:4">
      <c r="A343" s="1679"/>
      <c r="B343" s="1680"/>
      <c r="D343" s="1710"/>
    </row>
    <row r="344" s="1678" customFormat="1" customHeight="1" spans="1:4">
      <c r="A344" s="1679"/>
      <c r="B344" s="1680"/>
      <c r="D344" s="1710"/>
    </row>
    <row r="345" s="1678" customFormat="1" customHeight="1" spans="1:4">
      <c r="A345" s="1679"/>
      <c r="B345" s="1680"/>
      <c r="D345" s="1710"/>
    </row>
    <row r="346" s="1678" customFormat="1" customHeight="1" spans="1:4">
      <c r="A346" s="1679"/>
      <c r="B346" s="1680"/>
      <c r="D346" s="1710"/>
    </row>
    <row r="347" s="1678" customFormat="1" customHeight="1" spans="1:4">
      <c r="A347" s="1679"/>
      <c r="B347" s="1680"/>
      <c r="D347" s="1710"/>
    </row>
    <row r="348" s="1678" customFormat="1" customHeight="1" spans="1:4">
      <c r="A348" s="1679"/>
      <c r="B348" s="1680"/>
      <c r="D348" s="1710"/>
    </row>
    <row r="349" s="1678" customFormat="1" customHeight="1" spans="1:4">
      <c r="A349" s="1679"/>
      <c r="B349" s="1680"/>
      <c r="D349" s="1710"/>
    </row>
    <row r="350" s="1678" customFormat="1" customHeight="1" spans="1:4">
      <c r="A350" s="1679"/>
      <c r="B350" s="1680"/>
      <c r="D350" s="1710"/>
    </row>
    <row r="351" s="1678" customFormat="1" customHeight="1" spans="1:4">
      <c r="A351" s="1679"/>
      <c r="B351" s="1680"/>
      <c r="D351" s="1710"/>
    </row>
    <row r="352" s="1678" customFormat="1" customHeight="1" spans="1:4">
      <c r="A352" s="1679"/>
      <c r="B352" s="1680"/>
      <c r="D352" s="1710"/>
    </row>
    <row r="353" s="1678" customFormat="1" customHeight="1" spans="1:4">
      <c r="A353" s="1679"/>
      <c r="B353" s="1680"/>
      <c r="D353" s="1710"/>
    </row>
    <row r="354" s="1678" customFormat="1" customHeight="1" spans="1:4">
      <c r="A354" s="1679"/>
      <c r="B354" s="1680"/>
      <c r="D354" s="1710"/>
    </row>
    <row r="355" s="1678" customFormat="1" customHeight="1" spans="1:4">
      <c r="A355" s="1679"/>
      <c r="B355" s="1680"/>
      <c r="D355" s="1710"/>
    </row>
    <row r="356" s="1678" customFormat="1" customHeight="1" spans="1:4">
      <c r="A356" s="1679"/>
      <c r="B356" s="1680"/>
      <c r="D356" s="1710"/>
    </row>
    <row r="357" s="1678" customFormat="1" customHeight="1" spans="1:4">
      <c r="A357" s="1679"/>
      <c r="B357" s="1680"/>
      <c r="D357" s="1710"/>
    </row>
    <row r="358" s="1678" customFormat="1" customHeight="1" spans="1:4">
      <c r="A358" s="1679"/>
      <c r="B358" s="1680"/>
      <c r="D358" s="1710"/>
    </row>
    <row r="359" s="1678" customFormat="1" customHeight="1" spans="1:4">
      <c r="A359" s="1679"/>
      <c r="B359" s="1680"/>
      <c r="D359" s="1710"/>
    </row>
    <row r="360" s="1678" customFormat="1" customHeight="1" spans="1:4">
      <c r="A360" s="1679"/>
      <c r="B360" s="1680"/>
      <c r="D360" s="1710"/>
    </row>
    <row r="361" s="1678" customFormat="1" customHeight="1" spans="1:4">
      <c r="A361" s="1679"/>
      <c r="B361" s="1680"/>
      <c r="D361" s="1710"/>
    </row>
    <row r="362" s="1678" customFormat="1" customHeight="1" spans="1:4">
      <c r="A362" s="1679"/>
      <c r="B362" s="1680"/>
      <c r="D362" s="1710"/>
    </row>
    <row r="363" s="1678" customFormat="1" customHeight="1" spans="1:4">
      <c r="A363" s="1679"/>
      <c r="B363" s="1680"/>
      <c r="D363" s="1710"/>
    </row>
    <row r="364" s="1678" customFormat="1" customHeight="1" spans="1:4">
      <c r="A364" s="1679"/>
      <c r="B364" s="1680"/>
      <c r="D364" s="1710"/>
    </row>
    <row r="365" s="1678" customFormat="1" customHeight="1" spans="1:4">
      <c r="A365" s="1679"/>
      <c r="B365" s="1680"/>
      <c r="D365" s="1710"/>
    </row>
    <row r="366" s="1678" customFormat="1" customHeight="1" spans="1:4">
      <c r="A366" s="1679"/>
      <c r="B366" s="1680"/>
      <c r="D366" s="1710"/>
    </row>
    <row r="367" s="1678" customFormat="1" customHeight="1" spans="1:4">
      <c r="A367" s="1679"/>
      <c r="B367" s="1680"/>
      <c r="D367" s="1710"/>
    </row>
    <row r="368" s="1678" customFormat="1" customHeight="1" spans="1:4">
      <c r="A368" s="1679"/>
      <c r="B368" s="1680"/>
      <c r="D368" s="1710"/>
    </row>
    <row r="369" s="1678" customFormat="1" customHeight="1" spans="1:4">
      <c r="A369" s="1679"/>
      <c r="B369" s="1680"/>
      <c r="D369" s="1710"/>
    </row>
    <row r="370" s="1678" customFormat="1" customHeight="1" spans="1:4">
      <c r="A370" s="1679"/>
      <c r="B370" s="1680"/>
      <c r="D370" s="1710"/>
    </row>
    <row r="371" s="1678" customFormat="1" customHeight="1" spans="1:4">
      <c r="A371" s="1679"/>
      <c r="B371" s="1680"/>
      <c r="D371" s="1710"/>
    </row>
    <row r="372" s="1678" customFormat="1" customHeight="1" spans="1:4">
      <c r="A372" s="1679"/>
      <c r="B372" s="1680"/>
      <c r="D372" s="1710"/>
    </row>
    <row r="373" s="1678" customFormat="1" customHeight="1" spans="1:4">
      <c r="A373" s="1679"/>
      <c r="B373" s="1680"/>
      <c r="D373" s="1710"/>
    </row>
    <row r="374" s="1678" customFormat="1" customHeight="1" spans="1:4">
      <c r="A374" s="1679"/>
      <c r="B374" s="1680"/>
      <c r="D374" s="1710"/>
    </row>
    <row r="375" s="1678" customFormat="1" customHeight="1" spans="1:4">
      <c r="A375" s="1679"/>
      <c r="B375" s="1680"/>
      <c r="D375" s="1710"/>
    </row>
    <row r="376" s="1678" customFormat="1" customHeight="1" spans="1:4">
      <c r="A376" s="1679"/>
      <c r="B376" s="1680"/>
      <c r="D376" s="1710"/>
    </row>
    <row r="377" s="1678" customFormat="1" customHeight="1" spans="1:4">
      <c r="A377" s="1679"/>
      <c r="B377" s="1680"/>
      <c r="D377" s="1710"/>
    </row>
    <row r="378" s="1678" customFormat="1" customHeight="1" spans="1:4">
      <c r="A378" s="1679"/>
      <c r="B378" s="1680"/>
      <c r="D378" s="1710"/>
    </row>
    <row r="379" s="1678" customFormat="1" customHeight="1" spans="1:4">
      <c r="A379" s="1679"/>
      <c r="B379" s="1680"/>
      <c r="D379" s="1710"/>
    </row>
    <row r="380" s="1678" customFormat="1" customHeight="1" spans="1:4">
      <c r="A380" s="1679"/>
      <c r="B380" s="1680"/>
      <c r="D380" s="1710"/>
    </row>
    <row r="381" s="1678" customFormat="1" customHeight="1" spans="1:4">
      <c r="A381" s="1679"/>
      <c r="B381" s="1680"/>
      <c r="D381" s="1710"/>
    </row>
    <row r="382" s="1678" customFormat="1" customHeight="1" spans="1:4">
      <c r="A382" s="1679"/>
      <c r="B382" s="1680"/>
      <c r="D382" s="1710"/>
    </row>
    <row r="383" s="1678" customFormat="1" customHeight="1" spans="1:4">
      <c r="A383" s="1679"/>
      <c r="B383" s="1680"/>
      <c r="D383" s="1710"/>
    </row>
    <row r="384" s="1678" customFormat="1" customHeight="1" spans="1:4">
      <c r="A384" s="1679"/>
      <c r="B384" s="1680"/>
      <c r="D384" s="1710"/>
    </row>
    <row r="385" s="1678" customFormat="1" customHeight="1" spans="1:4">
      <c r="A385" s="1679"/>
      <c r="B385" s="1680"/>
      <c r="D385" s="1710"/>
    </row>
    <row r="386" s="1678" customFormat="1" customHeight="1" spans="1:4">
      <c r="A386" s="1679"/>
      <c r="B386" s="1680"/>
      <c r="D386" s="1710"/>
    </row>
    <row r="387" s="1678" customFormat="1" customHeight="1" spans="1:4">
      <c r="A387" s="1679"/>
      <c r="B387" s="1680"/>
      <c r="D387" s="1710"/>
    </row>
    <row r="388" s="1678" customFormat="1" customHeight="1" spans="1:4">
      <c r="A388" s="1679"/>
      <c r="B388" s="1680"/>
      <c r="D388" s="1710"/>
    </row>
    <row r="389" s="1678" customFormat="1" customHeight="1" spans="1:4">
      <c r="A389" s="1679"/>
      <c r="B389" s="1680"/>
      <c r="D389" s="1710"/>
    </row>
    <row r="390" s="1678" customFormat="1" customHeight="1" spans="1:4">
      <c r="A390" s="1679"/>
      <c r="B390" s="1680"/>
      <c r="D390" s="1710"/>
    </row>
    <row r="391" s="1678" customFormat="1" customHeight="1" spans="1:4">
      <c r="A391" s="1679"/>
      <c r="B391" s="1680"/>
      <c r="D391" s="1710"/>
    </row>
    <row r="392" s="1678" customFormat="1" customHeight="1" spans="1:4">
      <c r="A392" s="1679"/>
      <c r="B392" s="1680"/>
      <c r="D392" s="1710"/>
    </row>
    <row r="393" s="1678" customFormat="1" customHeight="1" spans="1:4">
      <c r="A393" s="1679"/>
      <c r="B393" s="1680"/>
      <c r="D393" s="1710"/>
    </row>
    <row r="394" s="1678" customFormat="1" customHeight="1" spans="1:4">
      <c r="A394" s="1679"/>
      <c r="B394" s="1680"/>
      <c r="D394" s="1710"/>
    </row>
    <row r="395" s="1678" customFormat="1" customHeight="1" spans="1:4">
      <c r="A395" s="1679"/>
      <c r="B395" s="1680"/>
      <c r="D395" s="1710"/>
    </row>
    <row r="396" s="1678" customFormat="1" customHeight="1" spans="1:4">
      <c r="A396" s="1679"/>
      <c r="B396" s="1680"/>
      <c r="D396" s="1710"/>
    </row>
    <row r="397" s="1678" customFormat="1" customHeight="1" spans="1:4">
      <c r="A397" s="1679"/>
      <c r="B397" s="1680"/>
      <c r="D397" s="1710"/>
    </row>
    <row r="398" s="1678" customFormat="1" customHeight="1" spans="1:4">
      <c r="A398" s="1679"/>
      <c r="B398" s="1680"/>
      <c r="D398" s="1710"/>
    </row>
    <row r="399" s="1678" customFormat="1" customHeight="1" spans="1:4">
      <c r="A399" s="1679"/>
      <c r="B399" s="1680"/>
      <c r="D399" s="1710"/>
    </row>
    <row r="400" s="1678" customFormat="1" customHeight="1" spans="1:4">
      <c r="A400" s="1679"/>
      <c r="B400" s="1680"/>
      <c r="D400" s="1710"/>
    </row>
    <row r="401" s="1678" customFormat="1" customHeight="1" spans="1:4">
      <c r="A401" s="1679"/>
      <c r="B401" s="1680"/>
      <c r="D401" s="1710"/>
    </row>
    <row r="402" s="1678" customFormat="1" customHeight="1" spans="1:4">
      <c r="A402" s="1679"/>
      <c r="B402" s="1680"/>
      <c r="D402" s="1710"/>
    </row>
    <row r="403" s="1678" customFormat="1" customHeight="1" spans="1:4">
      <c r="A403" s="1679"/>
      <c r="B403" s="1680"/>
      <c r="D403" s="1710"/>
    </row>
    <row r="404" s="1678" customFormat="1" customHeight="1" spans="1:4">
      <c r="A404" s="1679"/>
      <c r="B404" s="1680"/>
      <c r="D404" s="1710"/>
    </row>
    <row r="405" s="1678" customFormat="1" customHeight="1" spans="1:4">
      <c r="A405" s="1679"/>
      <c r="B405" s="1680"/>
      <c r="D405" s="1710"/>
    </row>
    <row r="406" s="1678" customFormat="1" customHeight="1" spans="1:4">
      <c r="A406" s="1679"/>
      <c r="B406" s="1680"/>
      <c r="D406" s="1710"/>
    </row>
    <row r="407" s="1678" customFormat="1" customHeight="1" spans="1:4">
      <c r="A407" s="1679"/>
      <c r="B407" s="1680"/>
      <c r="D407" s="1710"/>
    </row>
    <row r="408" s="1678" customFormat="1" customHeight="1" spans="1:4">
      <c r="A408" s="1679"/>
      <c r="B408" s="1680"/>
      <c r="D408" s="1710"/>
    </row>
    <row r="409" s="1678" customFormat="1" customHeight="1" spans="1:4">
      <c r="A409" s="1679"/>
      <c r="B409" s="1680"/>
      <c r="D409" s="1710"/>
    </row>
    <row r="410" s="1678" customFormat="1" customHeight="1" spans="1:4">
      <c r="A410" s="1679"/>
      <c r="B410" s="1680"/>
      <c r="D410" s="1710"/>
    </row>
    <row r="411" s="1678" customFormat="1" customHeight="1" spans="1:4">
      <c r="A411" s="1679"/>
      <c r="B411" s="1680"/>
      <c r="D411" s="1710"/>
    </row>
    <row r="412" s="1678" customFormat="1" customHeight="1" spans="1:4">
      <c r="A412" s="1679"/>
      <c r="B412" s="1680"/>
      <c r="D412" s="1710"/>
    </row>
    <row r="413" s="1678" customFormat="1" customHeight="1" spans="1:4">
      <c r="A413" s="1679"/>
      <c r="B413" s="1680"/>
      <c r="D413" s="1710"/>
    </row>
    <row r="414" s="1678" customFormat="1" customHeight="1" spans="1:4">
      <c r="A414" s="1679"/>
      <c r="B414" s="1680"/>
      <c r="D414" s="1710"/>
    </row>
    <row r="415" s="1678" customFormat="1" customHeight="1" spans="1:4">
      <c r="A415" s="1679"/>
      <c r="B415" s="1680"/>
      <c r="D415" s="1710"/>
    </row>
    <row r="416" s="1678" customFormat="1" customHeight="1" spans="1:4">
      <c r="A416" s="1679"/>
      <c r="B416" s="1680"/>
      <c r="D416" s="1710"/>
    </row>
    <row r="417" s="1678" customFormat="1" customHeight="1" spans="1:4">
      <c r="A417" s="1679"/>
      <c r="B417" s="1680"/>
      <c r="D417" s="1710"/>
    </row>
    <row r="418" s="1678" customFormat="1" customHeight="1" spans="1:4">
      <c r="A418" s="1679"/>
      <c r="B418" s="1680"/>
      <c r="D418" s="1710"/>
    </row>
    <row r="419" s="1678" customFormat="1" customHeight="1" spans="1:4">
      <c r="A419" s="1679"/>
      <c r="B419" s="1680"/>
      <c r="D419" s="1710"/>
    </row>
    <row r="420" s="1678" customFormat="1" customHeight="1" spans="1:4">
      <c r="A420" s="1679"/>
      <c r="B420" s="1680"/>
      <c r="D420" s="1710"/>
    </row>
    <row r="421" s="1678" customFormat="1" customHeight="1" spans="1:4">
      <c r="A421" s="1679"/>
      <c r="B421" s="1680"/>
      <c r="D421" s="1710"/>
    </row>
    <row r="422" s="1678" customFormat="1" customHeight="1" spans="1:4">
      <c r="A422" s="1679"/>
      <c r="B422" s="1680"/>
      <c r="D422" s="1710"/>
    </row>
    <row r="423" s="1678" customFormat="1" customHeight="1" spans="1:4">
      <c r="A423" s="1679"/>
      <c r="B423" s="1680"/>
      <c r="D423" s="1710"/>
    </row>
    <row r="424" s="1678" customFormat="1" customHeight="1" spans="1:4">
      <c r="A424" s="1679"/>
      <c r="B424" s="1680"/>
      <c r="D424" s="1710"/>
    </row>
    <row r="425" s="1678" customFormat="1" customHeight="1" spans="1:4">
      <c r="A425" s="1679"/>
      <c r="B425" s="1680"/>
      <c r="D425" s="1710"/>
    </row>
    <row r="426" s="1678" customFormat="1" customHeight="1" spans="1:4">
      <c r="A426" s="1679"/>
      <c r="B426" s="1680"/>
      <c r="D426" s="1710"/>
    </row>
    <row r="427" s="1678" customFormat="1" customHeight="1" spans="1:4">
      <c r="A427" s="1679"/>
      <c r="B427" s="1680"/>
      <c r="D427" s="1710"/>
    </row>
    <row r="428" s="1678" customFormat="1" customHeight="1" spans="1:4">
      <c r="A428" s="1679"/>
      <c r="B428" s="1680"/>
      <c r="D428" s="1710"/>
    </row>
    <row r="429" s="1678" customFormat="1" customHeight="1" spans="1:4">
      <c r="A429" s="1679"/>
      <c r="B429" s="1680"/>
      <c r="D429" s="1710"/>
    </row>
    <row r="430" s="1678" customFormat="1" customHeight="1" spans="1:4">
      <c r="A430" s="1679"/>
      <c r="B430" s="1680"/>
      <c r="D430" s="1710"/>
    </row>
    <row r="431" s="1678" customFormat="1" customHeight="1" spans="1:4">
      <c r="A431" s="1679"/>
      <c r="B431" s="1680"/>
      <c r="D431" s="1710"/>
    </row>
    <row r="432" s="1678" customFormat="1" customHeight="1" spans="1:4">
      <c r="A432" s="1679"/>
      <c r="B432" s="1680"/>
      <c r="D432" s="1710"/>
    </row>
    <row r="433" s="1678" customFormat="1" customHeight="1" spans="1:4">
      <c r="A433" s="1679"/>
      <c r="B433" s="1680"/>
      <c r="D433" s="1710"/>
    </row>
    <row r="434" s="1678" customFormat="1" customHeight="1" spans="1:4">
      <c r="A434" s="1679"/>
      <c r="B434" s="1680"/>
      <c r="D434" s="1710"/>
    </row>
    <row r="435" s="1678" customFormat="1" customHeight="1" spans="1:4">
      <c r="A435" s="1679"/>
      <c r="B435" s="1680"/>
      <c r="D435" s="1710"/>
    </row>
    <row r="436" s="1678" customFormat="1" customHeight="1" spans="1:4">
      <c r="A436" s="1679"/>
      <c r="B436" s="1680"/>
      <c r="D436" s="1710"/>
    </row>
    <row r="437" s="1678" customFormat="1" customHeight="1" spans="1:4">
      <c r="A437" s="1679"/>
      <c r="B437" s="1680"/>
      <c r="D437" s="1710"/>
    </row>
    <row r="438" s="1678" customFormat="1" customHeight="1" spans="1:4">
      <c r="A438" s="1679"/>
      <c r="B438" s="1680"/>
      <c r="D438" s="1710"/>
    </row>
    <row r="439" s="1678" customFormat="1" customHeight="1" spans="1:4">
      <c r="A439" s="1679"/>
      <c r="B439" s="1680"/>
      <c r="D439" s="1710"/>
    </row>
    <row r="440" s="1678" customFormat="1" customHeight="1" spans="1:4">
      <c r="A440" s="1679"/>
      <c r="B440" s="1680"/>
      <c r="D440" s="1710"/>
    </row>
    <row r="441" s="1678" customFormat="1" customHeight="1" spans="1:4">
      <c r="A441" s="1679"/>
      <c r="B441" s="1680"/>
      <c r="D441" s="1710"/>
    </row>
    <row r="442" s="1678" customFormat="1" customHeight="1" spans="1:4">
      <c r="A442" s="1679"/>
      <c r="B442" s="1680"/>
      <c r="D442" s="1710"/>
    </row>
    <row r="443" s="1678" customFormat="1" customHeight="1" spans="1:4">
      <c r="A443" s="1679"/>
      <c r="B443" s="1680"/>
      <c r="D443" s="1710"/>
    </row>
    <row r="444" s="1678" customFormat="1" customHeight="1" spans="1:4">
      <c r="A444" s="1679"/>
      <c r="B444" s="1680"/>
      <c r="D444" s="1710"/>
    </row>
    <row r="445" s="1678" customFormat="1" customHeight="1" spans="1:4">
      <c r="A445" s="1679"/>
      <c r="B445" s="1680"/>
      <c r="D445" s="1710"/>
    </row>
    <row r="446" s="1678" customFormat="1" customHeight="1" spans="1:4">
      <c r="A446" s="1679"/>
      <c r="B446" s="1680"/>
      <c r="D446" s="1710"/>
    </row>
    <row r="447" s="1678" customFormat="1" customHeight="1" spans="1:4">
      <c r="A447" s="1679"/>
      <c r="B447" s="1680"/>
      <c r="D447" s="1710"/>
    </row>
    <row r="448" s="1678" customFormat="1" customHeight="1" spans="1:4">
      <c r="A448" s="1679"/>
      <c r="B448" s="1680"/>
      <c r="D448" s="1710"/>
    </row>
    <row r="449" s="1678" customFormat="1" customHeight="1" spans="1:4">
      <c r="A449" s="1679"/>
      <c r="B449" s="1680"/>
      <c r="D449" s="1710"/>
    </row>
    <row r="450" s="1678" customFormat="1" customHeight="1" spans="1:4">
      <c r="A450" s="1679"/>
      <c r="B450" s="1680"/>
      <c r="D450" s="1710"/>
    </row>
    <row r="451" s="1678" customFormat="1" customHeight="1" spans="1:4">
      <c r="A451" s="1679"/>
      <c r="B451" s="1680"/>
      <c r="D451" s="1710"/>
    </row>
    <row r="452" s="1678" customFormat="1" customHeight="1" spans="1:4">
      <c r="A452" s="1679"/>
      <c r="B452" s="1680"/>
      <c r="D452" s="1710"/>
    </row>
    <row r="453" s="1678" customFormat="1" customHeight="1" spans="1:4">
      <c r="A453" s="1679"/>
      <c r="B453" s="1680"/>
      <c r="D453" s="1710"/>
    </row>
    <row r="454" s="1678" customFormat="1" customHeight="1" spans="1:4">
      <c r="A454" s="1679"/>
      <c r="B454" s="1680"/>
      <c r="D454" s="1710"/>
    </row>
    <row r="455" s="1678" customFormat="1" customHeight="1" spans="1:4">
      <c r="A455" s="1679"/>
      <c r="B455" s="1680"/>
      <c r="D455" s="1710"/>
    </row>
    <row r="456" s="1678" customFormat="1" customHeight="1" spans="1:4">
      <c r="A456" s="1679"/>
      <c r="B456" s="1680"/>
      <c r="D456" s="1710"/>
    </row>
    <row r="457" s="1678" customFormat="1" customHeight="1" spans="1:4">
      <c r="A457" s="1679"/>
      <c r="B457" s="1680"/>
      <c r="D457" s="1710"/>
    </row>
    <row r="458" s="1678" customFormat="1" customHeight="1" spans="1:4">
      <c r="A458" s="1679"/>
      <c r="B458" s="1680"/>
      <c r="D458" s="1710"/>
    </row>
    <row r="459" s="1678" customFormat="1" customHeight="1" spans="1:4">
      <c r="A459" s="1679"/>
      <c r="B459" s="1680"/>
      <c r="D459" s="1710"/>
    </row>
    <row r="460" s="1678" customFormat="1" customHeight="1" spans="1:4">
      <c r="A460" s="1679"/>
      <c r="B460" s="1680"/>
      <c r="D460" s="1710"/>
    </row>
    <row r="461" s="1678" customFormat="1" customHeight="1" spans="1:4">
      <c r="A461" s="1679"/>
      <c r="B461" s="1680"/>
      <c r="D461" s="1710"/>
    </row>
    <row r="462" s="1678" customFormat="1" customHeight="1" spans="1:4">
      <c r="A462" s="1679"/>
      <c r="B462" s="1680"/>
      <c r="D462" s="1710"/>
    </row>
    <row r="463" s="1678" customFormat="1" customHeight="1" spans="1:4">
      <c r="A463" s="1679"/>
      <c r="B463" s="1680"/>
      <c r="D463" s="1710"/>
    </row>
    <row r="464" s="1678" customFormat="1" customHeight="1" spans="1:4">
      <c r="A464" s="1679"/>
      <c r="B464" s="1680"/>
      <c r="D464" s="1710"/>
    </row>
    <row r="465" s="1678" customFormat="1" customHeight="1" spans="1:4">
      <c r="A465" s="1679"/>
      <c r="B465" s="1680"/>
      <c r="D465" s="1710"/>
    </row>
    <row r="466" s="1678" customFormat="1" customHeight="1" spans="1:4">
      <c r="A466" s="1679"/>
      <c r="B466" s="1680"/>
      <c r="D466" s="1710"/>
    </row>
    <row r="467" s="1678" customFormat="1" customHeight="1" spans="1:4">
      <c r="A467" s="1679"/>
      <c r="B467" s="1680"/>
      <c r="D467" s="1710"/>
    </row>
  </sheetData>
  <sheetProtection formatCells="0" autoFilter="0" pivotTables="0"/>
  <autoFilter ref="B4:G301">
    <extLst/>
  </autoFilter>
  <conditionalFormatting sqref="D290">
    <cfRule type="cellIs" dxfId="8" priority="1" operator="notEqual">
      <formula>0</formula>
    </cfRule>
  </conditionalFormatting>
  <conditionalFormatting sqref="D219 D151 D165 D176 D188 D199 D210 D228 D243 D272 D9 D24 D45 D76 D93 D104 D115 D128 D141">
    <cfRule type="cellIs" dxfId="8" priority="20" operator="notEqual">
      <formula>0</formula>
    </cfRule>
  </conditionalFormatting>
  <hyperlinks>
    <hyperlink ref="C1" location="报表附注!F1" display="【返回】报表附注"/>
    <hyperlink ref="C2" location="附注、报表核对!H112" display="【返回】附注、报表核对"/>
  </hyperlinks>
  <pageMargins left="0.7" right="0.7" top="0.75" bottom="0.75" header="0.3" footer="0.3"/>
  <pageSetup paperSize="9" orientation="portrait"/>
  <headerFooter/>
  <ignoredErrors>
    <ignoredError sqref="D233" unlockedFormula="1"/>
  </ignoredErrors>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B1:D183"/>
  <sheetViews>
    <sheetView workbookViewId="0">
      <pane xSplit="3" ySplit="1" topLeftCell="D2" activePane="bottomRight" state="frozen"/>
      <selection/>
      <selection pane="topRight"/>
      <selection pane="bottomLeft"/>
      <selection pane="bottomRight" activeCell="D10" sqref="D10"/>
    </sheetView>
  </sheetViews>
  <sheetFormatPr defaultColWidth="9" defaultRowHeight="13.5" outlineLevelCol="3"/>
  <cols>
    <col min="1" max="1" width="1.25" style="1661" customWidth="1"/>
    <col min="2" max="2" width="39.625" style="1662" customWidth="1"/>
    <col min="3" max="3" width="25.25" style="1661" customWidth="1"/>
    <col min="4" max="4" width="39.625" style="1661" customWidth="1"/>
    <col min="5" max="16384" width="9" style="1661"/>
  </cols>
  <sheetData>
    <row r="1" spans="2:4">
      <c r="B1" s="1663" t="s">
        <v>2164</v>
      </c>
      <c r="C1" s="1664" t="s">
        <v>2165</v>
      </c>
      <c r="D1" s="1664" t="s">
        <v>2166</v>
      </c>
    </row>
    <row r="2" spans="2:2">
      <c r="B2" s="1665" t="s">
        <v>2167</v>
      </c>
    </row>
    <row r="3" spans="2:2">
      <c r="B3" s="1666" t="s">
        <v>2168</v>
      </c>
    </row>
    <row r="4" spans="2:4">
      <c r="B4" s="1667" t="s">
        <v>1586</v>
      </c>
      <c r="C4" s="1661" t="str">
        <f>报表附注!O200</f>
        <v>合理</v>
      </c>
      <c r="D4" s="1668"/>
    </row>
    <row r="5" spans="2:4">
      <c r="B5" s="1667" t="s">
        <v>1587</v>
      </c>
      <c r="C5" s="1661" t="str">
        <f>报表附注!O201</f>
        <v>合理</v>
      </c>
      <c r="D5" s="1668"/>
    </row>
    <row r="6" spans="2:4">
      <c r="B6" s="1667" t="s">
        <v>1588</v>
      </c>
      <c r="C6" s="1661" t="str">
        <f>报表附注!O202</f>
        <v>合理</v>
      </c>
      <c r="D6" s="1668"/>
    </row>
    <row r="7" spans="2:4">
      <c r="B7" s="1667" t="s">
        <v>1589</v>
      </c>
      <c r="C7" s="1661" t="str">
        <f>报表附注!O203</f>
        <v>合理</v>
      </c>
      <c r="D7" s="1668"/>
    </row>
    <row r="8" spans="2:4">
      <c r="B8" s="1667" t="s">
        <v>1590</v>
      </c>
      <c r="C8" s="1661" t="str">
        <f>报表附注!O204</f>
        <v>合理</v>
      </c>
      <c r="D8" s="1668"/>
    </row>
    <row r="9" spans="2:4">
      <c r="B9" s="1662" t="s">
        <v>2169</v>
      </c>
      <c r="C9" s="1661" t="str">
        <f>报表附注!R206</f>
        <v>合理</v>
      </c>
      <c r="D9" s="1668"/>
    </row>
    <row r="10" ht="24.75" spans="2:4">
      <c r="B10" s="1662" t="s">
        <v>2170</v>
      </c>
      <c r="D10" s="1668"/>
    </row>
    <row r="11" spans="2:4">
      <c r="B11" s="1669" t="s">
        <v>2171</v>
      </c>
      <c r="C11" s="1661" t="str">
        <f>IF(报表附注!G383=0,"相符","差异："&amp;报表附注!G383&amp;" "&amp;"不相符，请检查")</f>
        <v>相符</v>
      </c>
      <c r="D11" s="1668"/>
    </row>
    <row r="12" spans="2:4">
      <c r="B12" s="1669" t="s">
        <v>2172</v>
      </c>
      <c r="C12" s="1661" t="str">
        <f>IF(报表附注!H383=0,"相符","差异："&amp;报表附注!H383&amp;"，不相符，请检查")</f>
        <v>相符</v>
      </c>
      <c r="D12" s="1668"/>
    </row>
    <row r="13" ht="15" customHeight="1" spans="2:4">
      <c r="B13" s="1662" t="s">
        <v>2173</v>
      </c>
      <c r="C13" s="1661" t="str">
        <f>IF(OR(报表附注!G205=100%,报表附注!G205=0),"相符","差异："&amp;ROUND((报表附注!G205-100%),4)&amp;" "&amp;"不相符，请检查")</f>
        <v>相符</v>
      </c>
      <c r="D13" s="1668"/>
    </row>
    <row r="14" ht="25.5" customHeight="1" spans="2:4">
      <c r="B14" s="1670" t="s">
        <v>2174</v>
      </c>
      <c r="C14" s="1661" t="str">
        <f>IF(OR(报表附注!G214=100%,报表附注!G214=0),"相符","比例合计不等于100%，差异："&amp;ROUND((报表附注!G214-100%),4)&amp;" "&amp;"不相符，请检查")</f>
        <v>相符</v>
      </c>
      <c r="D14" s="1668"/>
    </row>
    <row r="15" ht="15.75" customHeight="1" spans="2:4">
      <c r="B15" s="1670" t="s">
        <v>2175</v>
      </c>
      <c r="D15" s="1668"/>
    </row>
    <row r="16" ht="15.75" customHeight="1" spans="2:4">
      <c r="B16" s="1669" t="s">
        <v>2171</v>
      </c>
      <c r="C16" s="1661" t="str">
        <f>IF(报表附注!F217=0,"相符","差异："&amp;报表附注!F217&amp;" "&amp;"，不相符，请检查")</f>
        <v>相符</v>
      </c>
      <c r="D16" s="1668"/>
    </row>
    <row r="17" ht="15.75" customHeight="1" spans="2:4">
      <c r="B17" s="1669" t="s">
        <v>2172</v>
      </c>
      <c r="C17" s="1661" t="str">
        <f>IF(报表附注!H217=0,"相符","差异："&amp;报表附注!H217&amp;" "&amp;"，不相符，请检查")</f>
        <v>相符</v>
      </c>
      <c r="D17" s="1668"/>
    </row>
    <row r="18" ht="22.5" spans="2:4">
      <c r="B18" s="1666" t="s">
        <v>2176</v>
      </c>
      <c r="C18" s="1671" t="str">
        <f>IF(报表附注!I441=0,"相符","单项比例合计与合计数不符，请检查")</f>
        <v>相符</v>
      </c>
      <c r="D18" s="1668"/>
    </row>
    <row r="19" ht="22.5" spans="2:4">
      <c r="B19" s="1666" t="s">
        <v>2177</v>
      </c>
      <c r="C19" s="1671" t="str">
        <f>IF(报表附注!H469=0,"相符","单项比例合计与合计数不符，请检查")</f>
        <v>相符</v>
      </c>
      <c r="D19" s="1668"/>
    </row>
    <row r="20" spans="2:4">
      <c r="B20" s="1672" t="s">
        <v>2178</v>
      </c>
      <c r="D20" s="1668"/>
    </row>
    <row r="21" spans="2:4">
      <c r="B21" s="1666" t="s">
        <v>2168</v>
      </c>
      <c r="D21" s="1668"/>
    </row>
    <row r="22" spans="2:4">
      <c r="B22" s="1667" t="s">
        <v>1586</v>
      </c>
      <c r="C22" s="1661" t="str">
        <f>报表附注!J503</f>
        <v>合理</v>
      </c>
      <c r="D22" s="1668"/>
    </row>
    <row r="23" spans="2:4">
      <c r="B23" s="1667" t="s">
        <v>1587</v>
      </c>
      <c r="C23" s="1661" t="str">
        <f>报表附注!J504</f>
        <v>合理</v>
      </c>
      <c r="D23" s="1668"/>
    </row>
    <row r="24" spans="2:4">
      <c r="B24" s="1667" t="s">
        <v>2179</v>
      </c>
      <c r="C24" s="1661" t="str">
        <f>报表附注!J505</f>
        <v>合理</v>
      </c>
      <c r="D24" s="1668"/>
    </row>
    <row r="25" spans="2:4">
      <c r="B25" s="1662" t="s">
        <v>2180</v>
      </c>
      <c r="C25" s="1671" t="str">
        <f>报表附注!G507</f>
        <v>相符</v>
      </c>
      <c r="D25" s="1668"/>
    </row>
    <row r="26" ht="22.5" spans="2:4">
      <c r="B26" s="1666" t="s">
        <v>2181</v>
      </c>
      <c r="C26" s="1661" t="str">
        <f>IF(报表附注!I556=0,"相符","差异："&amp;ROUND(报表附注!I556,4)&amp;" "&amp;"，不相符，请检查")</f>
        <v>相符</v>
      </c>
      <c r="D26" s="1668"/>
    </row>
    <row r="27" spans="2:4">
      <c r="B27" s="1672" t="s">
        <v>2182</v>
      </c>
      <c r="D27" s="1668"/>
    </row>
    <row r="28" spans="2:4">
      <c r="B28" s="1666" t="s">
        <v>2168</v>
      </c>
      <c r="D28" s="1668"/>
    </row>
    <row r="29" spans="2:4">
      <c r="B29" s="1667" t="s">
        <v>1586</v>
      </c>
      <c r="C29" s="1661" t="str">
        <f>报表附注!O566</f>
        <v>合理</v>
      </c>
      <c r="D29" s="1668"/>
    </row>
    <row r="30" spans="2:4">
      <c r="B30" s="1667" t="s">
        <v>1587</v>
      </c>
      <c r="C30" s="1661" t="str">
        <f>报表附注!O567</f>
        <v>合理</v>
      </c>
      <c r="D30" s="1668"/>
    </row>
    <row r="31" spans="2:4">
      <c r="B31" s="1667" t="s">
        <v>1588</v>
      </c>
      <c r="C31" s="1661" t="str">
        <f>报表附注!O568</f>
        <v>合理</v>
      </c>
      <c r="D31" s="1668"/>
    </row>
    <row r="32" spans="2:4">
      <c r="B32" s="1667" t="s">
        <v>1589</v>
      </c>
      <c r="C32" s="1661" t="str">
        <f>报表附注!O569</f>
        <v>合理</v>
      </c>
      <c r="D32" s="1668"/>
    </row>
    <row r="33" spans="2:4">
      <c r="B33" s="1667" t="s">
        <v>1590</v>
      </c>
      <c r="C33" s="1661" t="str">
        <f>报表附注!O570</f>
        <v>合理</v>
      </c>
      <c r="D33" s="1668"/>
    </row>
    <row r="34" spans="2:4">
      <c r="B34" s="1662" t="s">
        <v>2169</v>
      </c>
      <c r="C34" s="1661" t="str">
        <f>报表附注!R572</f>
        <v>合理</v>
      </c>
      <c r="D34" s="1673"/>
    </row>
    <row r="35" ht="24.75" spans="2:4">
      <c r="B35" s="1662" t="s">
        <v>2170</v>
      </c>
      <c r="D35" s="1668"/>
    </row>
    <row r="36" spans="2:4">
      <c r="B36" s="1669" t="s">
        <v>2171</v>
      </c>
      <c r="D36" s="1668"/>
    </row>
    <row r="37" spans="2:4">
      <c r="B37" s="1669" t="s">
        <v>2172</v>
      </c>
      <c r="D37" s="1668"/>
    </row>
    <row r="38" spans="2:4">
      <c r="B38" s="1662" t="s">
        <v>2173</v>
      </c>
      <c r="C38" s="1661" t="str">
        <f>IF(OR(报表附注!G571=100%,报表附注!G571=0),"相符","差异："&amp;ROUND((报表附注!G571-100%),4)&amp;" "&amp;"不相符，请检查")</f>
        <v>相符</v>
      </c>
      <c r="D38" s="1668"/>
    </row>
    <row r="39" spans="2:4">
      <c r="B39" s="1670" t="s">
        <v>2174</v>
      </c>
      <c r="C39" s="1671" t="str">
        <f>报表附注!G584</f>
        <v>相符</v>
      </c>
      <c r="D39" s="1668"/>
    </row>
    <row r="40" spans="2:4">
      <c r="B40" s="1670" t="s">
        <v>2175</v>
      </c>
      <c r="D40" s="1668"/>
    </row>
    <row r="41" spans="2:4">
      <c r="B41" s="1669" t="s">
        <v>2171</v>
      </c>
      <c r="C41" s="1661" t="str">
        <f>IF(报表附注!F584=0,"相符","差异："&amp;报表附注!F584&amp;" "&amp;"，不相符，请检查")</f>
        <v>相符</v>
      </c>
      <c r="D41" s="1668"/>
    </row>
    <row r="42" spans="2:4">
      <c r="B42" s="1669" t="s">
        <v>2172</v>
      </c>
      <c r="C42" s="1661" t="str">
        <f>IF(报表附注!H584=0,"相符","差异："&amp;报表附注!H584&amp;" "&amp;"，不相符，请检查")</f>
        <v>相符</v>
      </c>
      <c r="D42" s="1668"/>
    </row>
    <row r="43" ht="22.5" spans="2:4">
      <c r="B43" s="1666" t="s">
        <v>2183</v>
      </c>
      <c r="C43" s="1661" t="str">
        <f>IF(报表附注!I776=0,"相符","差异："&amp;ROUND(报表附注!I776,4)&amp;" "&amp;"，不相符，请检查")</f>
        <v>相符</v>
      </c>
      <c r="D43" s="1668"/>
    </row>
    <row r="44" ht="22.5" spans="2:4">
      <c r="B44" s="1666" t="s">
        <v>2184</v>
      </c>
      <c r="C44" s="1661" t="str">
        <f>IF(报表附注!H804=0,"相符","差异："&amp;ROUND(报表附注!H804,4)&amp;" "&amp;"，不相符，请检查")</f>
        <v>相符</v>
      </c>
      <c r="D44" s="1668"/>
    </row>
    <row r="45" spans="2:4">
      <c r="B45" s="1672" t="s">
        <v>2185</v>
      </c>
      <c r="D45" s="1668"/>
    </row>
    <row r="46" spans="2:4">
      <c r="B46" s="1662" t="s">
        <v>2186</v>
      </c>
      <c r="C46" s="1671" t="str">
        <f>报表附注!K1509</f>
        <v>相符</v>
      </c>
      <c r="D46" s="1668"/>
    </row>
    <row r="47" spans="2:4">
      <c r="B47" s="1672" t="s">
        <v>2187</v>
      </c>
      <c r="D47" s="1668"/>
    </row>
    <row r="48" ht="40.5" customHeight="1" spans="2:4">
      <c r="B48" s="1666" t="s">
        <v>2188</v>
      </c>
      <c r="D48" s="1668"/>
    </row>
    <row r="49" spans="2:4">
      <c r="B49" s="1662" t="str">
        <f>报表附注!E1602</f>
        <v>一、递延所得税资产</v>
      </c>
      <c r="C49" s="1674" t="str">
        <f>报表附注!J1602</f>
        <v>合理</v>
      </c>
      <c r="D49" s="1668"/>
    </row>
    <row r="50" spans="2:4">
      <c r="B50" s="1662" t="str">
        <f>报表附注!E1603</f>
        <v>1、资产减值准备：</v>
      </c>
      <c r="C50" s="1674" t="str">
        <f>报表附注!J1603</f>
        <v>合理</v>
      </c>
      <c r="D50" s="1668"/>
    </row>
    <row r="51" spans="2:4">
      <c r="B51" s="1675" t="str">
        <f>报表附注!E1604</f>
        <v>      其中：坏账准备</v>
      </c>
      <c r="C51" s="1674" t="str">
        <f>报表附注!J1604</f>
        <v>合理</v>
      </c>
      <c r="D51" s="1668"/>
    </row>
    <row r="52" spans="2:4">
      <c r="B52" s="1675" t="str">
        <f>报表附注!E1605</f>
        <v>           存货减值</v>
      </c>
      <c r="C52" s="1674" t="str">
        <f>报表附注!J1605</f>
        <v>合理</v>
      </c>
      <c r="D52" s="1668"/>
    </row>
    <row r="53" spans="2:4">
      <c r="B53" s="1675" t="str">
        <f>报表附注!E1606</f>
        <v>           在建工程减值</v>
      </c>
      <c r="C53" s="1674" t="str">
        <f>报表附注!J1606</f>
        <v>合理</v>
      </c>
      <c r="D53" s="1668"/>
    </row>
    <row r="54" spans="2:4">
      <c r="B54" s="1675" t="str">
        <f>报表附注!E1607</f>
        <v>           长期股权投资减值</v>
      </c>
      <c r="C54" s="1674" t="str">
        <f>报表附注!J1607</f>
        <v>合理</v>
      </c>
      <c r="D54" s="1668"/>
    </row>
    <row r="55" spans="2:4">
      <c r="B55" s="1675" t="str">
        <f>报表附注!E1608</f>
        <v>           固定资产减值</v>
      </c>
      <c r="C55" s="1674" t="str">
        <f>报表附注!J1608</f>
        <v>合理</v>
      </c>
      <c r="D55" s="1668"/>
    </row>
    <row r="56" spans="2:4">
      <c r="B56" s="1662" t="str">
        <f>报表附注!E1609</f>
        <v>            无形资产减值</v>
      </c>
      <c r="C56" s="1674" t="str">
        <f>报表附注!J1609</f>
        <v>合理</v>
      </c>
      <c r="D56" s="1668"/>
    </row>
    <row r="57" spans="2:4">
      <c r="B57" s="1662" t="str">
        <f>报表附注!E1610</f>
        <v>            商誉减值</v>
      </c>
      <c r="C57" s="1674" t="str">
        <f>报表附注!J1610</f>
        <v>合理</v>
      </c>
      <c r="D57" s="1668"/>
    </row>
    <row r="58" spans="2:4">
      <c r="B58" s="1662" t="str">
        <f>报表附注!E1611</f>
        <v>2、开办费</v>
      </c>
      <c r="C58" s="1674" t="str">
        <f>报表附注!J1611</f>
        <v>合理</v>
      </c>
      <c r="D58" s="1668"/>
    </row>
    <row r="59" spans="2:4">
      <c r="B59" s="1662" t="str">
        <f>报表附注!E1612</f>
        <v>3、可抵扣亏损</v>
      </c>
      <c r="C59" s="1674" t="str">
        <f>报表附注!J1612</f>
        <v>合理</v>
      </c>
      <c r="D59" s="1668"/>
    </row>
    <row r="60" spans="2:4">
      <c r="B60" s="1662" t="str">
        <f>报表附注!E1613</f>
        <v>4、非同一控制下企业合并产生递延所得税资产</v>
      </c>
      <c r="C60" s="1674" t="str">
        <f>报表附注!J1613</f>
        <v>合理</v>
      </c>
      <c r="D60" s="1668"/>
    </row>
    <row r="61" spans="2:4">
      <c r="B61" s="1662" t="str">
        <f>报表附注!E1614</f>
        <v>5、计提未付的工资</v>
      </c>
      <c r="C61" s="1674" t="str">
        <f>报表附注!J1614</f>
        <v>合理</v>
      </c>
      <c r="D61" s="1668"/>
    </row>
    <row r="62" spans="2:4">
      <c r="B62" s="1662" t="str">
        <f>报表附注!E1615</f>
        <v>6、递延收益</v>
      </c>
      <c r="C62" s="1674" t="str">
        <f>报表附注!J1615</f>
        <v>合理</v>
      </c>
      <c r="D62" s="1668"/>
    </row>
    <row r="63" spans="2:4">
      <c r="B63" s="1662" t="str">
        <f>报表附注!E1616</f>
        <v>7、内部交易未实现损益</v>
      </c>
      <c r="C63" s="1674" t="str">
        <f>报表附注!J1616</f>
        <v>合理</v>
      </c>
      <c r="D63" s="1668"/>
    </row>
    <row r="64" spans="2:4">
      <c r="B64" s="1662" t="str">
        <f>报表附注!E1617</f>
        <v>二、递延所得税负债</v>
      </c>
      <c r="C64" s="1674" t="str">
        <f>报表附注!J1617</f>
        <v>合理</v>
      </c>
      <c r="D64" s="1668"/>
    </row>
    <row r="65" spans="2:4">
      <c r="B65" s="1662" t="str">
        <f>报表附注!E1618</f>
        <v>1、交易性金融工具、衍生金融工具的估值</v>
      </c>
      <c r="C65" s="1674" t="str">
        <f>报表附注!J1618</f>
        <v>合理</v>
      </c>
      <c r="D65" s="1668"/>
    </row>
    <row r="66" spans="2:4">
      <c r="B66" s="1662" t="str">
        <f>报表附注!E1619</f>
        <v>2、计入资本公积的可供出售金融资产公允价值变动</v>
      </c>
      <c r="C66" s="1674" t="str">
        <f>报表附注!J1619</f>
        <v>合理</v>
      </c>
      <c r="D66" s="1668"/>
    </row>
    <row r="67" spans="2:4">
      <c r="B67" s="1662" t="str">
        <f>报表附注!E1620</f>
        <v>3、非同一控制下企业合并产生递延所得税负债</v>
      </c>
      <c r="C67" s="1674" t="str">
        <f>报表附注!J1620</f>
        <v>合理</v>
      </c>
      <c r="D67" s="1668"/>
    </row>
    <row r="68" spans="2:4">
      <c r="B68" s="1662" t="str">
        <f>报表附注!E1621</f>
        <v>4、内部交易未实现损益</v>
      </c>
      <c r="C68" s="1674" t="str">
        <f>报表附注!J1621</f>
        <v>合理</v>
      </c>
      <c r="D68" s="1668"/>
    </row>
    <row r="69" spans="2:4">
      <c r="B69" s="1662" t="str">
        <f>报表附注!E1622</f>
        <v>5、固定资产评估增值</v>
      </c>
      <c r="C69" s="1674" t="str">
        <f>报表附注!J1622</f>
        <v>合理</v>
      </c>
      <c r="D69" s="1668"/>
    </row>
    <row r="70" spans="2:4">
      <c r="B70" s="1662" t="str">
        <f>报表附注!E1623</f>
        <v>新增项目4……</v>
      </c>
      <c r="C70" s="1674" t="str">
        <f>报表附注!J1623</f>
        <v>合理</v>
      </c>
      <c r="D70" s="1668"/>
    </row>
    <row r="71" spans="2:4">
      <c r="B71" s="1662" t="str">
        <f>报表附注!E1624</f>
        <v>新增项目5……</v>
      </c>
      <c r="C71" s="1674" t="str">
        <f>报表附注!J1624</f>
        <v>合理</v>
      </c>
      <c r="D71" s="1668"/>
    </row>
    <row r="72" spans="2:4">
      <c r="B72" s="1662" t="str">
        <f>报表附注!E1625</f>
        <v>新增项目6……</v>
      </c>
      <c r="C72" s="1674" t="str">
        <f>报表附注!J1625</f>
        <v>合理</v>
      </c>
      <c r="D72" s="1668"/>
    </row>
    <row r="73" spans="2:4">
      <c r="B73" s="1662" t="str">
        <f>报表附注!E1626</f>
        <v>新增项目7……</v>
      </c>
      <c r="C73" s="1674" t="str">
        <f>报表附注!J1626</f>
        <v>合理</v>
      </c>
      <c r="D73" s="1668"/>
    </row>
    <row r="74" spans="2:4">
      <c r="B74" s="1662" t="str">
        <f>报表附注!E1627</f>
        <v>新增项目8……</v>
      </c>
      <c r="C74" s="1674" t="str">
        <f>报表附注!J1627</f>
        <v>合理</v>
      </c>
      <c r="D74" s="1668"/>
    </row>
    <row r="75" spans="2:4">
      <c r="B75" s="1662" t="str">
        <f>报表附注!E1628</f>
        <v>新增项目9……</v>
      </c>
      <c r="C75" s="1674" t="str">
        <f>报表附注!J1628</f>
        <v>合理</v>
      </c>
      <c r="D75" s="1668"/>
    </row>
    <row r="76" spans="2:4">
      <c r="B76" s="1662" t="str">
        <f>报表附注!E1629</f>
        <v>新增项目10……</v>
      </c>
      <c r="C76" s="1674" t="str">
        <f>报表附注!J1629</f>
        <v>合理</v>
      </c>
      <c r="D76" s="1668"/>
    </row>
    <row r="77" spans="2:4">
      <c r="B77" s="1665" t="s">
        <v>2189</v>
      </c>
      <c r="D77" s="1668"/>
    </row>
    <row r="78" spans="2:4">
      <c r="B78" s="1666" t="s">
        <v>2190</v>
      </c>
      <c r="D78" s="1668"/>
    </row>
    <row r="79" spans="2:4">
      <c r="B79" s="1675" t="str">
        <f>报表附注!E1730</f>
        <v>坏账准备</v>
      </c>
      <c r="C79" s="1676" t="str">
        <f>报表附注!R1730</f>
        <v>相符</v>
      </c>
      <c r="D79" s="1668"/>
    </row>
    <row r="80" spans="2:4">
      <c r="B80" s="1675" t="str">
        <f>报表附注!E1731</f>
        <v>存货跌价准备</v>
      </c>
      <c r="C80" s="1676" t="str">
        <f>报表附注!R1731</f>
        <v>相符</v>
      </c>
      <c r="D80" s="1668"/>
    </row>
    <row r="81" spans="2:4">
      <c r="B81" s="1675" t="str">
        <f>报表附注!E1732</f>
        <v>可供出售金融资产减值准备</v>
      </c>
      <c r="C81" s="1676">
        <f>报表附注!R1732</f>
        <v>0</v>
      </c>
      <c r="D81" s="1668"/>
    </row>
    <row r="82" spans="2:4">
      <c r="B82" s="1675" t="str">
        <f>报表附注!E1733</f>
        <v>持有至到期投资减值准备</v>
      </c>
      <c r="C82" s="1676">
        <f>报表附注!R1733</f>
        <v>0</v>
      </c>
      <c r="D82" s="1668"/>
    </row>
    <row r="83" spans="2:4">
      <c r="B83" s="1675" t="str">
        <f>报表附注!E1734</f>
        <v>长期股权投资减值准备</v>
      </c>
      <c r="C83" s="1676" t="str">
        <f>报表附注!R1734</f>
        <v>相符</v>
      </c>
      <c r="D83" s="1668"/>
    </row>
    <row r="84" spans="2:4">
      <c r="B84" s="1675" t="str">
        <f>报表附注!E1735</f>
        <v>投资性房地产减值准备</v>
      </c>
      <c r="C84" s="1676" t="str">
        <f>报表附注!R1735</f>
        <v>相符</v>
      </c>
      <c r="D84" s="1668"/>
    </row>
    <row r="85" spans="2:4">
      <c r="B85" s="1675" t="str">
        <f>报表附注!E1736</f>
        <v>固定资产减值准备</v>
      </c>
      <c r="C85" s="1676" t="str">
        <f>报表附注!R1736</f>
        <v>相符</v>
      </c>
      <c r="D85" s="1668"/>
    </row>
    <row r="86" spans="2:4">
      <c r="B86" s="1675" t="str">
        <f>报表附注!E1737</f>
        <v>工程物资减值准备</v>
      </c>
      <c r="C86" s="1676">
        <f>报表附注!R1737</f>
        <v>0</v>
      </c>
      <c r="D86" s="1668"/>
    </row>
    <row r="87" spans="2:4">
      <c r="B87" s="1675" t="str">
        <f>报表附注!E1738</f>
        <v>在建工程减值准备</v>
      </c>
      <c r="C87" s="1676" t="str">
        <f>报表附注!R1738</f>
        <v>相符</v>
      </c>
      <c r="D87" s="1668"/>
    </row>
    <row r="88" spans="2:4">
      <c r="B88" s="1675" t="str">
        <f>报表附注!E1739</f>
        <v>生产性生物资产减值准备</v>
      </c>
      <c r="C88" s="1676" t="str">
        <f>报表附注!R1739</f>
        <v>相符</v>
      </c>
      <c r="D88" s="1668"/>
    </row>
    <row r="89" spans="2:4">
      <c r="B89" s="1675" t="str">
        <f>报表附注!E1740</f>
        <v>其中：成熟生产性生物资产减值准备</v>
      </c>
      <c r="C89" s="1676">
        <f>报表附注!R1740</f>
        <v>0</v>
      </c>
      <c r="D89" s="1668"/>
    </row>
    <row r="90" spans="2:4">
      <c r="B90" s="1675" t="str">
        <f>报表附注!E1741</f>
        <v>油气资产减值准备</v>
      </c>
      <c r="C90" s="1676" t="str">
        <f>报表附注!R1741</f>
        <v>相符</v>
      </c>
      <c r="D90" s="1668"/>
    </row>
    <row r="91" spans="2:4">
      <c r="B91" s="1675" t="str">
        <f>报表附注!E1742</f>
        <v>无形资产减值准备</v>
      </c>
      <c r="C91" s="1676" t="str">
        <f>报表附注!R1742</f>
        <v>相符</v>
      </c>
      <c r="D91" s="1668"/>
    </row>
    <row r="92" spans="2:4">
      <c r="B92" s="1675" t="str">
        <f>报表附注!E1743</f>
        <v>商誉减值准备</v>
      </c>
      <c r="C92" s="1676" t="str">
        <f>报表附注!R1743</f>
        <v>相符</v>
      </c>
      <c r="D92" s="1668"/>
    </row>
    <row r="93" spans="2:4">
      <c r="B93" s="1675" t="str">
        <f>报表附注!E1744</f>
        <v>其他</v>
      </c>
      <c r="C93" s="1676">
        <f>报表附注!R1744</f>
        <v>0</v>
      </c>
      <c r="D93" s="1668"/>
    </row>
    <row r="94" spans="2:4">
      <c r="B94" s="1666" t="s">
        <v>2191</v>
      </c>
      <c r="D94" s="1668"/>
    </row>
    <row r="95" spans="2:4">
      <c r="B95" s="1675" t="str">
        <f t="shared" ref="B95:B109" si="0">B79</f>
        <v>坏账准备</v>
      </c>
      <c r="C95" s="1676" t="str">
        <f>报表附注!S1730</f>
        <v>相符</v>
      </c>
      <c r="D95" s="1668"/>
    </row>
    <row r="96" spans="2:4">
      <c r="B96" s="1675" t="str">
        <f t="shared" si="0"/>
        <v>存货跌价准备</v>
      </c>
      <c r="C96" s="1676" t="str">
        <f>报表附注!S1731</f>
        <v>相符</v>
      </c>
      <c r="D96" s="1668"/>
    </row>
    <row r="97" spans="2:4">
      <c r="B97" s="1675" t="str">
        <f t="shared" si="0"/>
        <v>可供出售金融资产减值准备</v>
      </c>
      <c r="C97" s="1676">
        <f>报表附注!S1732</f>
        <v>0</v>
      </c>
      <c r="D97" s="1668"/>
    </row>
    <row r="98" spans="2:4">
      <c r="B98" s="1675" t="str">
        <f t="shared" si="0"/>
        <v>持有至到期投资减值准备</v>
      </c>
      <c r="C98" s="1676">
        <f>报表附注!S1733</f>
        <v>0</v>
      </c>
      <c r="D98" s="1668"/>
    </row>
    <row r="99" spans="2:4">
      <c r="B99" s="1675" t="str">
        <f t="shared" si="0"/>
        <v>长期股权投资减值准备</v>
      </c>
      <c r="C99" s="1676" t="str">
        <f>报表附注!S1734</f>
        <v>相符</v>
      </c>
      <c r="D99" s="1668"/>
    </row>
    <row r="100" spans="2:4">
      <c r="B100" s="1675" t="str">
        <f t="shared" si="0"/>
        <v>投资性房地产减值准备</v>
      </c>
      <c r="C100" s="1676" t="str">
        <f>报表附注!S1735</f>
        <v>相符</v>
      </c>
      <c r="D100" s="1668"/>
    </row>
    <row r="101" spans="2:4">
      <c r="B101" s="1675" t="str">
        <f t="shared" si="0"/>
        <v>固定资产减值准备</v>
      </c>
      <c r="C101" s="1676" t="str">
        <f>报表附注!S1736</f>
        <v>相符</v>
      </c>
      <c r="D101" s="1668"/>
    </row>
    <row r="102" spans="2:4">
      <c r="B102" s="1675" t="str">
        <f t="shared" si="0"/>
        <v>工程物资减值准备</v>
      </c>
      <c r="C102" s="1676">
        <f>报表附注!S1737</f>
        <v>0</v>
      </c>
      <c r="D102" s="1668"/>
    </row>
    <row r="103" spans="2:4">
      <c r="B103" s="1675" t="str">
        <f t="shared" si="0"/>
        <v>在建工程减值准备</v>
      </c>
      <c r="C103" s="1676" t="str">
        <f>报表附注!S1738</f>
        <v>相符</v>
      </c>
      <c r="D103" s="1668"/>
    </row>
    <row r="104" spans="2:4">
      <c r="B104" s="1675" t="str">
        <f t="shared" si="0"/>
        <v>生产性生物资产减值准备</v>
      </c>
      <c r="C104" s="1676" t="str">
        <f>报表附注!S1739</f>
        <v>相符</v>
      </c>
      <c r="D104" s="1668"/>
    </row>
    <row r="105" spans="2:4">
      <c r="B105" s="1675" t="str">
        <f t="shared" si="0"/>
        <v>其中：成熟生产性生物资产减值准备</v>
      </c>
      <c r="C105" s="1676">
        <f>报表附注!S1740</f>
        <v>0</v>
      </c>
      <c r="D105" s="1668"/>
    </row>
    <row r="106" spans="2:4">
      <c r="B106" s="1675" t="str">
        <f t="shared" si="0"/>
        <v>油气资产减值准备</v>
      </c>
      <c r="C106" s="1676" t="str">
        <f>报表附注!S1741</f>
        <v>相符</v>
      </c>
      <c r="D106" s="1668"/>
    </row>
    <row r="107" spans="2:4">
      <c r="B107" s="1675" t="str">
        <f t="shared" si="0"/>
        <v>无形资产减值准备</v>
      </c>
      <c r="C107" s="1676" t="str">
        <f>报表附注!S1742</f>
        <v>相符</v>
      </c>
      <c r="D107" s="1668"/>
    </row>
    <row r="108" spans="2:4">
      <c r="B108" s="1675" t="str">
        <f t="shared" si="0"/>
        <v>商誉减值准备</v>
      </c>
      <c r="C108" s="1676" t="str">
        <f>报表附注!S1743</f>
        <v>相符</v>
      </c>
      <c r="D108" s="1668"/>
    </row>
    <row r="109" spans="2:4">
      <c r="B109" s="1675" t="str">
        <f t="shared" si="0"/>
        <v>其他</v>
      </c>
      <c r="C109" s="1676">
        <f>报表附注!S1744</f>
        <v>0</v>
      </c>
      <c r="D109" s="1668"/>
    </row>
    <row r="110" spans="2:4">
      <c r="B110" s="1672" t="s">
        <v>2192</v>
      </c>
      <c r="D110" s="1668"/>
    </row>
    <row r="111" spans="2:4">
      <c r="B111" s="1662" t="s">
        <v>2168</v>
      </c>
      <c r="D111" s="1668"/>
    </row>
    <row r="112" spans="2:4">
      <c r="B112" s="1667" t="s">
        <v>1586</v>
      </c>
      <c r="C112" s="1661" t="str">
        <f>报表附注!H1828</f>
        <v>合理</v>
      </c>
      <c r="D112" s="1668"/>
    </row>
    <row r="113" spans="2:4">
      <c r="B113" s="1667" t="s">
        <v>1587</v>
      </c>
      <c r="C113" s="1661" t="str">
        <f>报表附注!H1829</f>
        <v>合理</v>
      </c>
      <c r="D113" s="1668"/>
    </row>
    <row r="114" spans="2:4">
      <c r="B114" s="1667" t="s">
        <v>1588</v>
      </c>
      <c r="C114" s="1661" t="str">
        <f>报表附注!H1830</f>
        <v>合理</v>
      </c>
      <c r="D114" s="1668"/>
    </row>
    <row r="115" spans="2:4">
      <c r="B115" s="1667" t="s">
        <v>1589</v>
      </c>
      <c r="C115" s="1661" t="str">
        <f>报表附注!H1831</f>
        <v>合理</v>
      </c>
      <c r="D115" s="1668"/>
    </row>
    <row r="116" spans="2:4">
      <c r="B116" s="1667" t="s">
        <v>1590</v>
      </c>
      <c r="C116" s="1661" t="str">
        <f>报表附注!H1832</f>
        <v>合理</v>
      </c>
      <c r="D116" s="1668"/>
    </row>
    <row r="117" spans="2:4">
      <c r="B117" s="1672" t="s">
        <v>2193</v>
      </c>
      <c r="D117" s="1668"/>
    </row>
    <row r="118" spans="2:4">
      <c r="B118" s="1666" t="s">
        <v>2168</v>
      </c>
      <c r="D118" s="1668"/>
    </row>
    <row r="119" spans="2:4">
      <c r="B119" s="1667" t="s">
        <v>1586</v>
      </c>
      <c r="C119" s="1661" t="str">
        <f>报表附注!H1894</f>
        <v>合理</v>
      </c>
      <c r="D119" s="1668"/>
    </row>
    <row r="120" spans="2:4">
      <c r="B120" s="1667" t="s">
        <v>1587</v>
      </c>
      <c r="C120" s="1661" t="str">
        <f>报表附注!H1895</f>
        <v>合理</v>
      </c>
      <c r="D120" s="1668"/>
    </row>
    <row r="121" spans="2:4">
      <c r="B121" s="1667" t="s">
        <v>2179</v>
      </c>
      <c r="C121" s="1661" t="str">
        <f>报表附注!H1896</f>
        <v>合理</v>
      </c>
      <c r="D121" s="1668"/>
    </row>
    <row r="122" spans="2:4">
      <c r="B122" s="1672" t="s">
        <v>2194</v>
      </c>
      <c r="D122" s="1668"/>
    </row>
    <row r="123" spans="2:4">
      <c r="B123" s="1662" t="s">
        <v>2168</v>
      </c>
      <c r="D123" s="1668"/>
    </row>
    <row r="124" spans="2:4">
      <c r="B124" s="1667" t="s">
        <v>1586</v>
      </c>
      <c r="C124" s="1661" t="str">
        <f>报表附注!H2066</f>
        <v>合理</v>
      </c>
      <c r="D124" s="1668"/>
    </row>
    <row r="125" spans="2:4">
      <c r="B125" s="1667" t="s">
        <v>1587</v>
      </c>
      <c r="C125" s="1661" t="str">
        <f>报表附注!H2067</f>
        <v>合理</v>
      </c>
      <c r="D125" s="1668"/>
    </row>
    <row r="126" spans="2:4">
      <c r="B126" s="1667" t="s">
        <v>1588</v>
      </c>
      <c r="C126" s="1661" t="str">
        <f>报表附注!H2068</f>
        <v>合理</v>
      </c>
      <c r="D126" s="1668"/>
    </row>
    <row r="127" spans="2:4">
      <c r="B127" s="1667" t="s">
        <v>1589</v>
      </c>
      <c r="C127" s="1661" t="str">
        <f>报表附注!H2069</f>
        <v>合理</v>
      </c>
      <c r="D127" s="1668"/>
    </row>
    <row r="128" spans="2:4">
      <c r="B128" s="1667" t="s">
        <v>1590</v>
      </c>
      <c r="C128" s="1661" t="str">
        <f>报表附注!H2070</f>
        <v>合理</v>
      </c>
      <c r="D128" s="1668"/>
    </row>
    <row r="129" spans="2:4">
      <c r="B129" s="1672" t="s">
        <v>2195</v>
      </c>
      <c r="D129" s="1668"/>
    </row>
    <row r="130" ht="24.75" spans="2:4">
      <c r="B130" s="1662" t="s">
        <v>2196</v>
      </c>
      <c r="C130" s="1661" t="str">
        <f>IF(报表附注!F2191=0,"相符","差异："&amp;报表附注!F2191&amp;"，不相符，请检查")</f>
        <v>相符</v>
      </c>
      <c r="D130" s="1668"/>
    </row>
    <row r="131" ht="24.75" spans="2:4">
      <c r="B131" s="1662" t="s">
        <v>2197</v>
      </c>
      <c r="C131" s="1661" t="str">
        <f>IF(报表附注!N2233=0,"相符","差异："&amp;报表附注!N2233&amp;"，不相符，请检查")</f>
        <v>相符</v>
      </c>
      <c r="D131" s="1668"/>
    </row>
    <row r="132" spans="2:4">
      <c r="B132" s="1672" t="s">
        <v>2198</v>
      </c>
      <c r="D132" s="1668"/>
    </row>
    <row r="133" ht="24.75" spans="2:4">
      <c r="B133" s="1662" t="s">
        <v>2199</v>
      </c>
      <c r="D133" s="1668"/>
    </row>
    <row r="134" spans="2:4">
      <c r="B134" s="1667" t="s">
        <v>2200</v>
      </c>
      <c r="C134" s="1661" t="str">
        <f>IF(报表附注!F2553=0,"相符","差异："&amp;报表附注!F2553&amp;"，不相符，请检查")</f>
        <v>相符</v>
      </c>
      <c r="D134" s="1668"/>
    </row>
    <row r="135" spans="2:4">
      <c r="B135" s="1667" t="s">
        <v>2201</v>
      </c>
      <c r="C135" s="1661" t="str">
        <f>IF(报表附注!G2553=0,"相符","差异："&amp;报表附注!G2553&amp;"，不相符，请检查")</f>
        <v>相符</v>
      </c>
      <c r="D135" s="1668"/>
    </row>
    <row r="136" spans="2:4">
      <c r="B136" s="1667" t="s">
        <v>2202</v>
      </c>
      <c r="C136" s="1661" t="str">
        <f>IF(报表附注!H2553=0,"相符","差异："&amp;报表附注!H2553&amp;"，不相符，请检查")</f>
        <v>相符</v>
      </c>
      <c r="D136" s="1668"/>
    </row>
    <row r="137" spans="2:4">
      <c r="B137" s="1667" t="s">
        <v>2203</v>
      </c>
      <c r="C137" s="1661" t="str">
        <f>IF(报表附注!I2553=0,"相符","差异："&amp;报表附注!I2553&amp;"，不相符，请检查")</f>
        <v>相符</v>
      </c>
      <c r="D137" s="1668"/>
    </row>
    <row r="138" ht="24.75" spans="2:4">
      <c r="B138" s="1662" t="s">
        <v>2204</v>
      </c>
      <c r="D138" s="1668"/>
    </row>
    <row r="139" spans="2:4">
      <c r="B139" s="1667" t="s">
        <v>2200</v>
      </c>
      <c r="C139" s="1661" t="str">
        <f>IF(报表附注!F2571=0,"相符","差异："&amp;报表附注!F2571&amp;"，不相符，请检查")</f>
        <v>相符</v>
      </c>
      <c r="D139" s="1668"/>
    </row>
    <row r="140" spans="2:4">
      <c r="B140" s="1667" t="s">
        <v>2201</v>
      </c>
      <c r="C140" s="1661" t="str">
        <f>IF(报表附注!G2571=0,"相符","差异："&amp;报表附注!G2571&amp;"，不相符，请检查")</f>
        <v>相符</v>
      </c>
      <c r="D140" s="1668"/>
    </row>
    <row r="141" spans="2:4">
      <c r="B141" s="1667" t="s">
        <v>2202</v>
      </c>
      <c r="C141" s="1661" t="str">
        <f>IF(报表附注!H2571=0,"相符","差异："&amp;报表附注!H2571&amp;"，不相符，请检查")</f>
        <v>相符</v>
      </c>
      <c r="D141" s="1668"/>
    </row>
    <row r="142" spans="2:4">
      <c r="B142" s="1667" t="s">
        <v>2203</v>
      </c>
      <c r="C142" s="1661" t="str">
        <f>IF(报表附注!I2571=0,"相符","差异："&amp;报表附注!I2571&amp;"，不相符，请检查")</f>
        <v>相符</v>
      </c>
      <c r="D142" s="1668"/>
    </row>
    <row r="143" ht="24.75" spans="2:4">
      <c r="B143" s="1662" t="s">
        <v>2205</v>
      </c>
      <c r="D143" s="1668"/>
    </row>
    <row r="144" spans="2:4">
      <c r="B144" s="1667" t="s">
        <v>2200</v>
      </c>
      <c r="C144" s="1661" t="str">
        <f>IF(报表附注!F2589=0,"相符","差异："&amp;报表附注!F2589&amp;"，不相符，请检查")</f>
        <v>相符</v>
      </c>
      <c r="D144" s="1668"/>
    </row>
    <row r="145" spans="2:4">
      <c r="B145" s="1667" t="s">
        <v>2201</v>
      </c>
      <c r="C145" s="1661" t="str">
        <f>IF(报表附注!G2589=0,"相符","差异："&amp;报表附注!G2589&amp;"，不相符，请检查")</f>
        <v>相符</v>
      </c>
      <c r="D145" s="1668"/>
    </row>
    <row r="146" spans="2:4">
      <c r="B146" s="1667" t="s">
        <v>2202</v>
      </c>
      <c r="C146" s="1661" t="str">
        <f>IF(报表附注!H2589=0,"相符","差异："&amp;报表附注!H2589&amp;"，不相符，请检查")</f>
        <v>相符</v>
      </c>
      <c r="D146" s="1668"/>
    </row>
    <row r="147" spans="2:4">
      <c r="B147" s="1667" t="s">
        <v>2203</v>
      </c>
      <c r="C147" s="1661" t="str">
        <f>IF(报表附注!I2589=0,"相符","差异："&amp;报表附注!I2589&amp;"，不相符，请检查")</f>
        <v>相符</v>
      </c>
      <c r="D147" s="1668"/>
    </row>
    <row r="148" spans="2:4">
      <c r="B148" s="1672" t="s">
        <v>2206</v>
      </c>
      <c r="D148" s="1668"/>
    </row>
    <row r="149" spans="2:4">
      <c r="B149" s="1662" t="s">
        <v>2207</v>
      </c>
      <c r="D149" s="1668"/>
    </row>
    <row r="150" spans="2:4">
      <c r="B150" s="1670" t="s">
        <v>2208</v>
      </c>
      <c r="C150" s="1661" t="str">
        <f>报表附注!H2713</f>
        <v>相符</v>
      </c>
      <c r="D150" s="1668"/>
    </row>
    <row r="151" spans="2:4">
      <c r="B151" s="1670" t="s">
        <v>2209</v>
      </c>
      <c r="C151" s="1661" t="str">
        <f>报表附注!H2716</f>
        <v>相符</v>
      </c>
      <c r="D151" s="1668"/>
    </row>
    <row r="152" spans="2:4">
      <c r="B152" s="1670" t="s">
        <v>2210</v>
      </c>
      <c r="C152" s="1661" t="str">
        <f>报表附注!H2717</f>
        <v>相符</v>
      </c>
      <c r="D152" s="1668"/>
    </row>
    <row r="153" spans="2:4">
      <c r="B153" s="1670" t="s">
        <v>2211</v>
      </c>
      <c r="C153" s="1661" t="str">
        <f>报表附注!H2718</f>
        <v>相符</v>
      </c>
      <c r="D153" s="1668"/>
    </row>
    <row r="154" spans="2:4">
      <c r="B154" s="1670" t="s">
        <v>2212</v>
      </c>
      <c r="C154" s="1661" t="str">
        <f>报表附注!H2720</f>
        <v>相符</v>
      </c>
      <c r="D154" s="1668"/>
    </row>
    <row r="155" spans="2:4">
      <c r="B155" s="1670" t="s">
        <v>2213</v>
      </c>
      <c r="C155" s="1661" t="str">
        <f>报表附注!H2721</f>
        <v>相符</v>
      </c>
      <c r="D155" s="1668"/>
    </row>
    <row r="156" spans="2:4">
      <c r="B156" s="1670" t="s">
        <v>2214</v>
      </c>
      <c r="C156" s="1661" t="str">
        <f>报表附注!H2722</f>
        <v>相符</v>
      </c>
      <c r="D156" s="1668"/>
    </row>
    <row r="157" spans="2:4">
      <c r="B157" s="1670" t="s">
        <v>2215</v>
      </c>
      <c r="C157" s="1661" t="str">
        <f>报表附注!H2723</f>
        <v>相符</v>
      </c>
      <c r="D157" s="1668"/>
    </row>
    <row r="158" spans="2:4">
      <c r="B158" s="1670" t="s">
        <v>2216</v>
      </c>
      <c r="C158" s="1661" t="str">
        <f>报表附注!H2724</f>
        <v>相符</v>
      </c>
      <c r="D158" s="1668"/>
    </row>
    <row r="159" ht="27" spans="2:4">
      <c r="B159" s="1662" t="s">
        <v>2217</v>
      </c>
      <c r="D159" s="1668"/>
    </row>
    <row r="160" spans="2:4">
      <c r="B160" s="1670" t="s">
        <v>2218</v>
      </c>
      <c r="C160" s="1661" t="str">
        <f>报表附注!I2712</f>
        <v>相符</v>
      </c>
      <c r="D160" s="1668"/>
    </row>
    <row r="161" spans="2:4">
      <c r="B161" s="1670" t="s">
        <v>2208</v>
      </c>
      <c r="C161" s="1661" t="str">
        <f>报表附注!I2713</f>
        <v>相符</v>
      </c>
      <c r="D161" s="1668"/>
    </row>
    <row r="162" spans="2:4">
      <c r="B162" s="1670" t="s">
        <v>2219</v>
      </c>
      <c r="C162" s="1661" t="str">
        <f>报表附注!I2714</f>
        <v>相符</v>
      </c>
      <c r="D162" s="1668"/>
    </row>
    <row r="163" spans="2:4">
      <c r="B163" s="1670" t="s">
        <v>2220</v>
      </c>
      <c r="C163" s="1661" t="str">
        <f>报表附注!I2715</f>
        <v>相符</v>
      </c>
      <c r="D163" s="1668"/>
    </row>
    <row r="164" spans="2:4">
      <c r="B164" s="1670" t="s">
        <v>2209</v>
      </c>
      <c r="C164" s="1661" t="str">
        <f>报表附注!I2716</f>
        <v>相符</v>
      </c>
      <c r="D164" s="1668"/>
    </row>
    <row r="165" spans="2:4">
      <c r="B165" s="1670" t="s">
        <v>2210</v>
      </c>
      <c r="C165" s="1661" t="str">
        <f>报表附注!I2717</f>
        <v>相符</v>
      </c>
      <c r="D165" s="1668"/>
    </row>
    <row r="166" spans="2:4">
      <c r="B166" s="1670" t="s">
        <v>2211</v>
      </c>
      <c r="C166" s="1661" t="str">
        <f>报表附注!I2718</f>
        <v>相符</v>
      </c>
      <c r="D166" s="1668"/>
    </row>
    <row r="167" spans="2:4">
      <c r="B167" s="1670" t="s">
        <v>2221</v>
      </c>
      <c r="C167" s="1661" t="str">
        <f>报表附注!I2719</f>
        <v>相符</v>
      </c>
      <c r="D167" s="1668"/>
    </row>
    <row r="168" spans="2:4">
      <c r="B168" s="1670" t="s">
        <v>2212</v>
      </c>
      <c r="C168" s="1661" t="str">
        <f>报表附注!I2720</f>
        <v>相符</v>
      </c>
      <c r="D168" s="1668"/>
    </row>
    <row r="169" spans="2:4">
      <c r="B169" s="1670" t="s">
        <v>2213</v>
      </c>
      <c r="C169" s="1661" t="str">
        <f>报表附注!I2721</f>
        <v>相符</v>
      </c>
      <c r="D169" s="1668"/>
    </row>
    <row r="170" spans="2:4">
      <c r="B170" s="1670" t="s">
        <v>2214</v>
      </c>
      <c r="C170" s="1661" t="str">
        <f>报表附注!I2722</f>
        <v>相符</v>
      </c>
      <c r="D170" s="1668"/>
    </row>
    <row r="171" spans="2:4">
      <c r="B171" s="1670" t="s">
        <v>2215</v>
      </c>
      <c r="C171" s="1661" t="str">
        <f>报表附注!I2723</f>
        <v>相符</v>
      </c>
      <c r="D171" s="1668"/>
    </row>
    <row r="172" spans="2:4">
      <c r="B172" s="1670" t="s">
        <v>2216</v>
      </c>
      <c r="C172" s="1661" t="str">
        <f>报表附注!I2724</f>
        <v>相符</v>
      </c>
      <c r="D172" s="1668"/>
    </row>
    <row r="173" spans="2:4">
      <c r="B173" s="1670" t="s">
        <v>2222</v>
      </c>
      <c r="C173" s="1661" t="str">
        <f>报表附注!I2725</f>
        <v>相符</v>
      </c>
      <c r="D173" s="1668"/>
    </row>
    <row r="174" spans="2:4">
      <c r="B174" s="1672" t="s">
        <v>2223</v>
      </c>
      <c r="D174" s="1668"/>
    </row>
    <row r="175" ht="24.75" spans="2:4">
      <c r="B175" s="1662" t="s">
        <v>2224</v>
      </c>
      <c r="C175" s="1674" t="str">
        <f>报表附注!G2909</f>
        <v>相符</v>
      </c>
      <c r="D175" s="1668"/>
    </row>
    <row r="176" ht="24.75" spans="2:4">
      <c r="B176" s="1662" t="s">
        <v>2225</v>
      </c>
      <c r="C176" s="1674" t="str">
        <f>报表附注!G2910</f>
        <v>相符</v>
      </c>
      <c r="D176" s="1668"/>
    </row>
    <row r="177" ht="24.75" spans="2:4">
      <c r="B177" s="1662" t="s">
        <v>2226</v>
      </c>
      <c r="C177" s="1674" t="str">
        <f>报表附注!G2911</f>
        <v>相符</v>
      </c>
      <c r="D177" s="1668"/>
    </row>
    <row r="178" spans="2:4">
      <c r="B178" s="1672" t="s">
        <v>2227</v>
      </c>
      <c r="D178" s="1668"/>
    </row>
    <row r="179" spans="2:4">
      <c r="B179" s="1662" t="s">
        <v>2228</v>
      </c>
      <c r="C179" s="1674" t="str">
        <f>报表附注!I3155</f>
        <v>相符</v>
      </c>
      <c r="D179" s="1668"/>
    </row>
    <row r="180" spans="2:4">
      <c r="B180" s="1662" t="s">
        <v>2229</v>
      </c>
      <c r="C180" s="1674" t="str">
        <f>报表附注!I3156</f>
        <v>合理</v>
      </c>
      <c r="D180" s="1668"/>
    </row>
    <row r="181" spans="2:4">
      <c r="B181" s="1662" t="s">
        <v>2230</v>
      </c>
      <c r="C181" s="1674" t="str">
        <f>报表附注!I3157</f>
        <v>合理</v>
      </c>
      <c r="D181" s="1668"/>
    </row>
    <row r="182" spans="2:4">
      <c r="B182" s="1662" t="s">
        <v>2231</v>
      </c>
      <c r="C182" s="1674" t="str">
        <f>报表附注!I3158</f>
        <v>合理</v>
      </c>
      <c r="D182" s="1668"/>
    </row>
    <row r="183" s="1660" customFormat="1" spans="2:2">
      <c r="B183" s="1677"/>
    </row>
  </sheetData>
  <sheetProtection formatCells="0"/>
  <conditionalFormatting sqref="C182">
    <cfRule type="containsText" dxfId="7" priority="1" operator="between" text="不">
      <formula>NOT(ISERROR(SEARCH("不",C182)))</formula>
    </cfRule>
    <cfRule type="containsText" priority="2" operator="between" text="不">
      <formula>NOT(ISERROR(SEARCH("不",C182)))</formula>
    </cfRule>
  </conditionalFormatting>
  <conditionalFormatting sqref="C183">
    <cfRule type="containsText" dxfId="7" priority="3" operator="between" text="不">
      <formula>NOT(ISERROR(SEARCH("不",C183)))</formula>
    </cfRule>
    <cfRule type="containsText" priority="4" operator="between" text="不">
      <formula>NOT(ISERROR(SEARCH("不",C183)))</formula>
    </cfRule>
  </conditionalFormatting>
  <conditionalFormatting sqref="D134:F134 C184:C1048576 C1:C181">
    <cfRule type="containsText" dxfId="7" priority="5" operator="between" text="不">
      <formula>NOT(ISERROR(SEARCH("不",C1)))</formula>
    </cfRule>
    <cfRule type="containsText" priority="6" operator="between" text="不">
      <formula>NOT(ISERROR(SEARCH("不",C1)))</formula>
    </cfRule>
  </conditionalFormatting>
  <pageMargins left="0.7" right="0.7" top="0.75" bottom="0.75" header="0.3" footer="0.3"/>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IM148"/>
  <sheetViews>
    <sheetView view="pageBreakPreview" zoomScaleNormal="100" zoomScaleSheetLayoutView="100" workbookViewId="0">
      <pane xSplit="6" ySplit="8" topLeftCell="G85" activePane="bottomRight" state="frozen"/>
      <selection/>
      <selection pane="topRight"/>
      <selection pane="bottomLeft"/>
      <selection pane="bottomRight" activeCell="D95" sqref="D95"/>
    </sheetView>
  </sheetViews>
  <sheetFormatPr defaultColWidth="9" defaultRowHeight="14.25"/>
  <cols>
    <col min="1" max="1" width="15.375" style="1598" customWidth="1"/>
    <col min="2" max="6" width="12.625" style="1599" customWidth="1"/>
    <col min="7" max="7" width="57.5" style="1599" customWidth="1"/>
    <col min="8" max="251" width="9" style="1598"/>
    <col min="252" max="252" width="33.25" style="1598" customWidth="1"/>
    <col min="253" max="254" width="11.375" style="1598" customWidth="1"/>
    <col min="255" max="255" width="10" style="1598" customWidth="1"/>
    <col min="256" max="256" width="8.25" style="1598" customWidth="1"/>
    <col min="257" max="257" width="7.5" style="1598" customWidth="1"/>
    <col min="258" max="258" width="32" style="1598" customWidth="1"/>
    <col min="259" max="259" width="10.25" style="1598" customWidth="1"/>
    <col min="260" max="260" width="10.125" style="1598" customWidth="1"/>
    <col min="261" max="261" width="12.25" style="1598" customWidth="1"/>
    <col min="262" max="262" width="21" style="1598" customWidth="1"/>
    <col min="263" max="507" width="9" style="1598"/>
    <col min="508" max="508" width="33.25" style="1598" customWidth="1"/>
    <col min="509" max="510" width="11.375" style="1598" customWidth="1"/>
    <col min="511" max="511" width="10" style="1598" customWidth="1"/>
    <col min="512" max="512" width="8.25" style="1598" customWidth="1"/>
    <col min="513" max="513" width="7.5" style="1598" customWidth="1"/>
    <col min="514" max="514" width="32" style="1598" customWidth="1"/>
    <col min="515" max="515" width="10.25" style="1598" customWidth="1"/>
    <col min="516" max="516" width="10.125" style="1598" customWidth="1"/>
    <col min="517" max="517" width="12.25" style="1598" customWidth="1"/>
    <col min="518" max="518" width="21" style="1598" customWidth="1"/>
    <col min="519" max="763" width="9" style="1598"/>
    <col min="764" max="764" width="33.25" style="1598" customWidth="1"/>
    <col min="765" max="766" width="11.375" style="1598" customWidth="1"/>
    <col min="767" max="767" width="10" style="1598" customWidth="1"/>
    <col min="768" max="768" width="8.25" style="1598" customWidth="1"/>
    <col min="769" max="769" width="7.5" style="1598" customWidth="1"/>
    <col min="770" max="770" width="32" style="1598" customWidth="1"/>
    <col min="771" max="771" width="10.25" style="1598" customWidth="1"/>
    <col min="772" max="772" width="10.125" style="1598" customWidth="1"/>
    <col min="773" max="773" width="12.25" style="1598" customWidth="1"/>
    <col min="774" max="774" width="21" style="1598" customWidth="1"/>
    <col min="775" max="1019" width="9" style="1598"/>
    <col min="1020" max="1020" width="33.25" style="1598" customWidth="1"/>
    <col min="1021" max="1022" width="11.375" style="1598" customWidth="1"/>
    <col min="1023" max="1023" width="10" style="1598" customWidth="1"/>
    <col min="1024" max="1024" width="8.25" style="1598" customWidth="1"/>
    <col min="1025" max="1025" width="7.5" style="1598" customWidth="1"/>
    <col min="1026" max="1026" width="32" style="1598" customWidth="1"/>
    <col min="1027" max="1027" width="10.25" style="1598" customWidth="1"/>
    <col min="1028" max="1028" width="10.125" style="1598" customWidth="1"/>
    <col min="1029" max="1029" width="12.25" style="1598" customWidth="1"/>
    <col min="1030" max="1030" width="21" style="1598" customWidth="1"/>
    <col min="1031" max="1275" width="9" style="1598"/>
    <col min="1276" max="1276" width="33.25" style="1598" customWidth="1"/>
    <col min="1277" max="1278" width="11.375" style="1598" customWidth="1"/>
    <col min="1279" max="1279" width="10" style="1598" customWidth="1"/>
    <col min="1280" max="1280" width="8.25" style="1598" customWidth="1"/>
    <col min="1281" max="1281" width="7.5" style="1598" customWidth="1"/>
    <col min="1282" max="1282" width="32" style="1598" customWidth="1"/>
    <col min="1283" max="1283" width="10.25" style="1598" customWidth="1"/>
    <col min="1284" max="1284" width="10.125" style="1598" customWidth="1"/>
    <col min="1285" max="1285" width="12.25" style="1598" customWidth="1"/>
    <col min="1286" max="1286" width="21" style="1598" customWidth="1"/>
    <col min="1287" max="1531" width="9" style="1598"/>
    <col min="1532" max="1532" width="33.25" style="1598" customWidth="1"/>
    <col min="1533" max="1534" width="11.375" style="1598" customWidth="1"/>
    <col min="1535" max="1535" width="10" style="1598" customWidth="1"/>
    <col min="1536" max="1536" width="8.25" style="1598" customWidth="1"/>
    <col min="1537" max="1537" width="7.5" style="1598" customWidth="1"/>
    <col min="1538" max="1538" width="32" style="1598" customWidth="1"/>
    <col min="1539" max="1539" width="10.25" style="1598" customWidth="1"/>
    <col min="1540" max="1540" width="10.125" style="1598" customWidth="1"/>
    <col min="1541" max="1541" width="12.25" style="1598" customWidth="1"/>
    <col min="1542" max="1542" width="21" style="1598" customWidth="1"/>
    <col min="1543" max="1787" width="9" style="1598"/>
    <col min="1788" max="1788" width="33.25" style="1598" customWidth="1"/>
    <col min="1789" max="1790" width="11.375" style="1598" customWidth="1"/>
    <col min="1791" max="1791" width="10" style="1598" customWidth="1"/>
    <col min="1792" max="1792" width="8.25" style="1598" customWidth="1"/>
    <col min="1793" max="1793" width="7.5" style="1598" customWidth="1"/>
    <col min="1794" max="1794" width="32" style="1598" customWidth="1"/>
    <col min="1795" max="1795" width="10.25" style="1598" customWidth="1"/>
    <col min="1796" max="1796" width="10.125" style="1598" customWidth="1"/>
    <col min="1797" max="1797" width="12.25" style="1598" customWidth="1"/>
    <col min="1798" max="1798" width="21" style="1598" customWidth="1"/>
    <col min="1799" max="2043" width="9" style="1598"/>
    <col min="2044" max="2044" width="33.25" style="1598" customWidth="1"/>
    <col min="2045" max="2046" width="11.375" style="1598" customWidth="1"/>
    <col min="2047" max="2047" width="10" style="1598" customWidth="1"/>
    <col min="2048" max="2048" width="8.25" style="1598" customWidth="1"/>
    <col min="2049" max="2049" width="7.5" style="1598" customWidth="1"/>
    <col min="2050" max="2050" width="32" style="1598" customWidth="1"/>
    <col min="2051" max="2051" width="10.25" style="1598" customWidth="1"/>
    <col min="2052" max="2052" width="10.125" style="1598" customWidth="1"/>
    <col min="2053" max="2053" width="12.25" style="1598" customWidth="1"/>
    <col min="2054" max="2054" width="21" style="1598" customWidth="1"/>
    <col min="2055" max="2299" width="9" style="1598"/>
    <col min="2300" max="2300" width="33.25" style="1598" customWidth="1"/>
    <col min="2301" max="2302" width="11.375" style="1598" customWidth="1"/>
    <col min="2303" max="2303" width="10" style="1598" customWidth="1"/>
    <col min="2304" max="2304" width="8.25" style="1598" customWidth="1"/>
    <col min="2305" max="2305" width="7.5" style="1598" customWidth="1"/>
    <col min="2306" max="2306" width="32" style="1598" customWidth="1"/>
    <col min="2307" max="2307" width="10.25" style="1598" customWidth="1"/>
    <col min="2308" max="2308" width="10.125" style="1598" customWidth="1"/>
    <col min="2309" max="2309" width="12.25" style="1598" customWidth="1"/>
    <col min="2310" max="2310" width="21" style="1598" customWidth="1"/>
    <col min="2311" max="2555" width="9" style="1598"/>
    <col min="2556" max="2556" width="33.25" style="1598" customWidth="1"/>
    <col min="2557" max="2558" width="11.375" style="1598" customWidth="1"/>
    <col min="2559" max="2559" width="10" style="1598" customWidth="1"/>
    <col min="2560" max="2560" width="8.25" style="1598" customWidth="1"/>
    <col min="2561" max="2561" width="7.5" style="1598" customWidth="1"/>
    <col min="2562" max="2562" width="32" style="1598" customWidth="1"/>
    <col min="2563" max="2563" width="10.25" style="1598" customWidth="1"/>
    <col min="2564" max="2564" width="10.125" style="1598" customWidth="1"/>
    <col min="2565" max="2565" width="12.25" style="1598" customWidth="1"/>
    <col min="2566" max="2566" width="21" style="1598" customWidth="1"/>
    <col min="2567" max="2811" width="9" style="1598"/>
    <col min="2812" max="2812" width="33.25" style="1598" customWidth="1"/>
    <col min="2813" max="2814" width="11.375" style="1598" customWidth="1"/>
    <col min="2815" max="2815" width="10" style="1598" customWidth="1"/>
    <col min="2816" max="2816" width="8.25" style="1598" customWidth="1"/>
    <col min="2817" max="2817" width="7.5" style="1598" customWidth="1"/>
    <col min="2818" max="2818" width="32" style="1598" customWidth="1"/>
    <col min="2819" max="2819" width="10.25" style="1598" customWidth="1"/>
    <col min="2820" max="2820" width="10.125" style="1598" customWidth="1"/>
    <col min="2821" max="2821" width="12.25" style="1598" customWidth="1"/>
    <col min="2822" max="2822" width="21" style="1598" customWidth="1"/>
    <col min="2823" max="3067" width="9" style="1598"/>
    <col min="3068" max="3068" width="33.25" style="1598" customWidth="1"/>
    <col min="3069" max="3070" width="11.375" style="1598" customWidth="1"/>
    <col min="3071" max="3071" width="10" style="1598" customWidth="1"/>
    <col min="3072" max="3072" width="8.25" style="1598" customWidth="1"/>
    <col min="3073" max="3073" width="7.5" style="1598" customWidth="1"/>
    <col min="3074" max="3074" width="32" style="1598" customWidth="1"/>
    <col min="3075" max="3075" width="10.25" style="1598" customWidth="1"/>
    <col min="3076" max="3076" width="10.125" style="1598" customWidth="1"/>
    <col min="3077" max="3077" width="12.25" style="1598" customWidth="1"/>
    <col min="3078" max="3078" width="21" style="1598" customWidth="1"/>
    <col min="3079" max="3323" width="9" style="1598"/>
    <col min="3324" max="3324" width="33.25" style="1598" customWidth="1"/>
    <col min="3325" max="3326" width="11.375" style="1598" customWidth="1"/>
    <col min="3327" max="3327" width="10" style="1598" customWidth="1"/>
    <col min="3328" max="3328" width="8.25" style="1598" customWidth="1"/>
    <col min="3329" max="3329" width="7.5" style="1598" customWidth="1"/>
    <col min="3330" max="3330" width="32" style="1598" customWidth="1"/>
    <col min="3331" max="3331" width="10.25" style="1598" customWidth="1"/>
    <col min="3332" max="3332" width="10.125" style="1598" customWidth="1"/>
    <col min="3333" max="3333" width="12.25" style="1598" customWidth="1"/>
    <col min="3334" max="3334" width="21" style="1598" customWidth="1"/>
    <col min="3335" max="3579" width="9" style="1598"/>
    <col min="3580" max="3580" width="33.25" style="1598" customWidth="1"/>
    <col min="3581" max="3582" width="11.375" style="1598" customWidth="1"/>
    <col min="3583" max="3583" width="10" style="1598" customWidth="1"/>
    <col min="3584" max="3584" width="8.25" style="1598" customWidth="1"/>
    <col min="3585" max="3585" width="7.5" style="1598" customWidth="1"/>
    <col min="3586" max="3586" width="32" style="1598" customWidth="1"/>
    <col min="3587" max="3587" width="10.25" style="1598" customWidth="1"/>
    <col min="3588" max="3588" width="10.125" style="1598" customWidth="1"/>
    <col min="3589" max="3589" width="12.25" style="1598" customWidth="1"/>
    <col min="3590" max="3590" width="21" style="1598" customWidth="1"/>
    <col min="3591" max="3835" width="9" style="1598"/>
    <col min="3836" max="3836" width="33.25" style="1598" customWidth="1"/>
    <col min="3837" max="3838" width="11.375" style="1598" customWidth="1"/>
    <col min="3839" max="3839" width="10" style="1598" customWidth="1"/>
    <col min="3840" max="3840" width="8.25" style="1598" customWidth="1"/>
    <col min="3841" max="3841" width="7.5" style="1598" customWidth="1"/>
    <col min="3842" max="3842" width="32" style="1598" customWidth="1"/>
    <col min="3843" max="3843" width="10.25" style="1598" customWidth="1"/>
    <col min="3844" max="3844" width="10.125" style="1598" customWidth="1"/>
    <col min="3845" max="3845" width="12.25" style="1598" customWidth="1"/>
    <col min="3846" max="3846" width="21" style="1598" customWidth="1"/>
    <col min="3847" max="4091" width="9" style="1598"/>
    <col min="4092" max="4092" width="33.25" style="1598" customWidth="1"/>
    <col min="4093" max="4094" width="11.375" style="1598" customWidth="1"/>
    <col min="4095" max="4095" width="10" style="1598" customWidth="1"/>
    <col min="4096" max="4096" width="8.25" style="1598" customWidth="1"/>
    <col min="4097" max="4097" width="7.5" style="1598" customWidth="1"/>
    <col min="4098" max="4098" width="32" style="1598" customWidth="1"/>
    <col min="4099" max="4099" width="10.25" style="1598" customWidth="1"/>
    <col min="4100" max="4100" width="10.125" style="1598" customWidth="1"/>
    <col min="4101" max="4101" width="12.25" style="1598" customWidth="1"/>
    <col min="4102" max="4102" width="21" style="1598" customWidth="1"/>
    <col min="4103" max="4347" width="9" style="1598"/>
    <col min="4348" max="4348" width="33.25" style="1598" customWidth="1"/>
    <col min="4349" max="4350" width="11.375" style="1598" customWidth="1"/>
    <col min="4351" max="4351" width="10" style="1598" customWidth="1"/>
    <col min="4352" max="4352" width="8.25" style="1598" customWidth="1"/>
    <col min="4353" max="4353" width="7.5" style="1598" customWidth="1"/>
    <col min="4354" max="4354" width="32" style="1598" customWidth="1"/>
    <col min="4355" max="4355" width="10.25" style="1598" customWidth="1"/>
    <col min="4356" max="4356" width="10.125" style="1598" customWidth="1"/>
    <col min="4357" max="4357" width="12.25" style="1598" customWidth="1"/>
    <col min="4358" max="4358" width="21" style="1598" customWidth="1"/>
    <col min="4359" max="4603" width="9" style="1598"/>
    <col min="4604" max="4604" width="33.25" style="1598" customWidth="1"/>
    <col min="4605" max="4606" width="11.375" style="1598" customWidth="1"/>
    <col min="4607" max="4607" width="10" style="1598" customWidth="1"/>
    <col min="4608" max="4608" width="8.25" style="1598" customWidth="1"/>
    <col min="4609" max="4609" width="7.5" style="1598" customWidth="1"/>
    <col min="4610" max="4610" width="32" style="1598" customWidth="1"/>
    <col min="4611" max="4611" width="10.25" style="1598" customWidth="1"/>
    <col min="4612" max="4612" width="10.125" style="1598" customWidth="1"/>
    <col min="4613" max="4613" width="12.25" style="1598" customWidth="1"/>
    <col min="4614" max="4614" width="21" style="1598" customWidth="1"/>
    <col min="4615" max="4859" width="9" style="1598"/>
    <col min="4860" max="4860" width="33.25" style="1598" customWidth="1"/>
    <col min="4861" max="4862" width="11.375" style="1598" customWidth="1"/>
    <col min="4863" max="4863" width="10" style="1598" customWidth="1"/>
    <col min="4864" max="4864" width="8.25" style="1598" customWidth="1"/>
    <col min="4865" max="4865" width="7.5" style="1598" customWidth="1"/>
    <col min="4866" max="4866" width="32" style="1598" customWidth="1"/>
    <col min="4867" max="4867" width="10.25" style="1598" customWidth="1"/>
    <col min="4868" max="4868" width="10.125" style="1598" customWidth="1"/>
    <col min="4869" max="4869" width="12.25" style="1598" customWidth="1"/>
    <col min="4870" max="4870" width="21" style="1598" customWidth="1"/>
    <col min="4871" max="5115" width="9" style="1598"/>
    <col min="5116" max="5116" width="33.25" style="1598" customWidth="1"/>
    <col min="5117" max="5118" width="11.375" style="1598" customWidth="1"/>
    <col min="5119" max="5119" width="10" style="1598" customWidth="1"/>
    <col min="5120" max="5120" width="8.25" style="1598" customWidth="1"/>
    <col min="5121" max="5121" width="7.5" style="1598" customWidth="1"/>
    <col min="5122" max="5122" width="32" style="1598" customWidth="1"/>
    <col min="5123" max="5123" width="10.25" style="1598" customWidth="1"/>
    <col min="5124" max="5124" width="10.125" style="1598" customWidth="1"/>
    <col min="5125" max="5125" width="12.25" style="1598" customWidth="1"/>
    <col min="5126" max="5126" width="21" style="1598" customWidth="1"/>
    <col min="5127" max="5371" width="9" style="1598"/>
    <col min="5372" max="5372" width="33.25" style="1598" customWidth="1"/>
    <col min="5373" max="5374" width="11.375" style="1598" customWidth="1"/>
    <col min="5375" max="5375" width="10" style="1598" customWidth="1"/>
    <col min="5376" max="5376" width="8.25" style="1598" customWidth="1"/>
    <col min="5377" max="5377" width="7.5" style="1598" customWidth="1"/>
    <col min="5378" max="5378" width="32" style="1598" customWidth="1"/>
    <col min="5379" max="5379" width="10.25" style="1598" customWidth="1"/>
    <col min="5380" max="5380" width="10.125" style="1598" customWidth="1"/>
    <col min="5381" max="5381" width="12.25" style="1598" customWidth="1"/>
    <col min="5382" max="5382" width="21" style="1598" customWidth="1"/>
    <col min="5383" max="5627" width="9" style="1598"/>
    <col min="5628" max="5628" width="33.25" style="1598" customWidth="1"/>
    <col min="5629" max="5630" width="11.375" style="1598" customWidth="1"/>
    <col min="5631" max="5631" width="10" style="1598" customWidth="1"/>
    <col min="5632" max="5632" width="8.25" style="1598" customWidth="1"/>
    <col min="5633" max="5633" width="7.5" style="1598" customWidth="1"/>
    <col min="5634" max="5634" width="32" style="1598" customWidth="1"/>
    <col min="5635" max="5635" width="10.25" style="1598" customWidth="1"/>
    <col min="5636" max="5636" width="10.125" style="1598" customWidth="1"/>
    <col min="5637" max="5637" width="12.25" style="1598" customWidth="1"/>
    <col min="5638" max="5638" width="21" style="1598" customWidth="1"/>
    <col min="5639" max="5883" width="9" style="1598"/>
    <col min="5884" max="5884" width="33.25" style="1598" customWidth="1"/>
    <col min="5885" max="5886" width="11.375" style="1598" customWidth="1"/>
    <col min="5887" max="5887" width="10" style="1598" customWidth="1"/>
    <col min="5888" max="5888" width="8.25" style="1598" customWidth="1"/>
    <col min="5889" max="5889" width="7.5" style="1598" customWidth="1"/>
    <col min="5890" max="5890" width="32" style="1598" customWidth="1"/>
    <col min="5891" max="5891" width="10.25" style="1598" customWidth="1"/>
    <col min="5892" max="5892" width="10.125" style="1598" customWidth="1"/>
    <col min="5893" max="5893" width="12.25" style="1598" customWidth="1"/>
    <col min="5894" max="5894" width="21" style="1598" customWidth="1"/>
    <col min="5895" max="6139" width="9" style="1598"/>
    <col min="6140" max="6140" width="33.25" style="1598" customWidth="1"/>
    <col min="6141" max="6142" width="11.375" style="1598" customWidth="1"/>
    <col min="6143" max="6143" width="10" style="1598" customWidth="1"/>
    <col min="6144" max="6144" width="8.25" style="1598" customWidth="1"/>
    <col min="6145" max="6145" width="7.5" style="1598" customWidth="1"/>
    <col min="6146" max="6146" width="32" style="1598" customWidth="1"/>
    <col min="6147" max="6147" width="10.25" style="1598" customWidth="1"/>
    <col min="6148" max="6148" width="10.125" style="1598" customWidth="1"/>
    <col min="6149" max="6149" width="12.25" style="1598" customWidth="1"/>
    <col min="6150" max="6150" width="21" style="1598" customWidth="1"/>
    <col min="6151" max="6395" width="9" style="1598"/>
    <col min="6396" max="6396" width="33.25" style="1598" customWidth="1"/>
    <col min="6397" max="6398" width="11.375" style="1598" customWidth="1"/>
    <col min="6399" max="6399" width="10" style="1598" customWidth="1"/>
    <col min="6400" max="6400" width="8.25" style="1598" customWidth="1"/>
    <col min="6401" max="6401" width="7.5" style="1598" customWidth="1"/>
    <col min="6402" max="6402" width="32" style="1598" customWidth="1"/>
    <col min="6403" max="6403" width="10.25" style="1598" customWidth="1"/>
    <col min="6404" max="6404" width="10.125" style="1598" customWidth="1"/>
    <col min="6405" max="6405" width="12.25" style="1598" customWidth="1"/>
    <col min="6406" max="6406" width="21" style="1598" customWidth="1"/>
    <col min="6407" max="6651" width="9" style="1598"/>
    <col min="6652" max="6652" width="33.25" style="1598" customWidth="1"/>
    <col min="6653" max="6654" width="11.375" style="1598" customWidth="1"/>
    <col min="6655" max="6655" width="10" style="1598" customWidth="1"/>
    <col min="6656" max="6656" width="8.25" style="1598" customWidth="1"/>
    <col min="6657" max="6657" width="7.5" style="1598" customWidth="1"/>
    <col min="6658" max="6658" width="32" style="1598" customWidth="1"/>
    <col min="6659" max="6659" width="10.25" style="1598" customWidth="1"/>
    <col min="6660" max="6660" width="10.125" style="1598" customWidth="1"/>
    <col min="6661" max="6661" width="12.25" style="1598" customWidth="1"/>
    <col min="6662" max="6662" width="21" style="1598" customWidth="1"/>
    <col min="6663" max="6907" width="9" style="1598"/>
    <col min="6908" max="6908" width="33.25" style="1598" customWidth="1"/>
    <col min="6909" max="6910" width="11.375" style="1598" customWidth="1"/>
    <col min="6911" max="6911" width="10" style="1598" customWidth="1"/>
    <col min="6912" max="6912" width="8.25" style="1598" customWidth="1"/>
    <col min="6913" max="6913" width="7.5" style="1598" customWidth="1"/>
    <col min="6914" max="6914" width="32" style="1598" customWidth="1"/>
    <col min="6915" max="6915" width="10.25" style="1598" customWidth="1"/>
    <col min="6916" max="6916" width="10.125" style="1598" customWidth="1"/>
    <col min="6917" max="6917" width="12.25" style="1598" customWidth="1"/>
    <col min="6918" max="6918" width="21" style="1598" customWidth="1"/>
    <col min="6919" max="7163" width="9" style="1598"/>
    <col min="7164" max="7164" width="33.25" style="1598" customWidth="1"/>
    <col min="7165" max="7166" width="11.375" style="1598" customWidth="1"/>
    <col min="7167" max="7167" width="10" style="1598" customWidth="1"/>
    <col min="7168" max="7168" width="8.25" style="1598" customWidth="1"/>
    <col min="7169" max="7169" width="7.5" style="1598" customWidth="1"/>
    <col min="7170" max="7170" width="32" style="1598" customWidth="1"/>
    <col min="7171" max="7171" width="10.25" style="1598" customWidth="1"/>
    <col min="7172" max="7172" width="10.125" style="1598" customWidth="1"/>
    <col min="7173" max="7173" width="12.25" style="1598" customWidth="1"/>
    <col min="7174" max="7174" width="21" style="1598" customWidth="1"/>
    <col min="7175" max="7419" width="9" style="1598"/>
    <col min="7420" max="7420" width="33.25" style="1598" customWidth="1"/>
    <col min="7421" max="7422" width="11.375" style="1598" customWidth="1"/>
    <col min="7423" max="7423" width="10" style="1598" customWidth="1"/>
    <col min="7424" max="7424" width="8.25" style="1598" customWidth="1"/>
    <col min="7425" max="7425" width="7.5" style="1598" customWidth="1"/>
    <col min="7426" max="7426" width="32" style="1598" customWidth="1"/>
    <col min="7427" max="7427" width="10.25" style="1598" customWidth="1"/>
    <col min="7428" max="7428" width="10.125" style="1598" customWidth="1"/>
    <col min="7429" max="7429" width="12.25" style="1598" customWidth="1"/>
    <col min="7430" max="7430" width="21" style="1598" customWidth="1"/>
    <col min="7431" max="7675" width="9" style="1598"/>
    <col min="7676" max="7676" width="33.25" style="1598" customWidth="1"/>
    <col min="7677" max="7678" width="11.375" style="1598" customWidth="1"/>
    <col min="7679" max="7679" width="10" style="1598" customWidth="1"/>
    <col min="7680" max="7680" width="8.25" style="1598" customWidth="1"/>
    <col min="7681" max="7681" width="7.5" style="1598" customWidth="1"/>
    <col min="7682" max="7682" width="32" style="1598" customWidth="1"/>
    <col min="7683" max="7683" width="10.25" style="1598" customWidth="1"/>
    <col min="7684" max="7684" width="10.125" style="1598" customWidth="1"/>
    <col min="7685" max="7685" width="12.25" style="1598" customWidth="1"/>
    <col min="7686" max="7686" width="21" style="1598" customWidth="1"/>
    <col min="7687" max="7931" width="9" style="1598"/>
    <col min="7932" max="7932" width="33.25" style="1598" customWidth="1"/>
    <col min="7933" max="7934" width="11.375" style="1598" customWidth="1"/>
    <col min="7935" max="7935" width="10" style="1598" customWidth="1"/>
    <col min="7936" max="7936" width="8.25" style="1598" customWidth="1"/>
    <col min="7937" max="7937" width="7.5" style="1598" customWidth="1"/>
    <col min="7938" max="7938" width="32" style="1598" customWidth="1"/>
    <col min="7939" max="7939" width="10.25" style="1598" customWidth="1"/>
    <col min="7940" max="7940" width="10.125" style="1598" customWidth="1"/>
    <col min="7941" max="7941" width="12.25" style="1598" customWidth="1"/>
    <col min="7942" max="7942" width="21" style="1598" customWidth="1"/>
    <col min="7943" max="8187" width="9" style="1598"/>
    <col min="8188" max="8188" width="33.25" style="1598" customWidth="1"/>
    <col min="8189" max="8190" width="11.375" style="1598" customWidth="1"/>
    <col min="8191" max="8191" width="10" style="1598" customWidth="1"/>
    <col min="8192" max="8192" width="8.25" style="1598" customWidth="1"/>
    <col min="8193" max="8193" width="7.5" style="1598" customWidth="1"/>
    <col min="8194" max="8194" width="32" style="1598" customWidth="1"/>
    <col min="8195" max="8195" width="10.25" style="1598" customWidth="1"/>
    <col min="8196" max="8196" width="10.125" style="1598" customWidth="1"/>
    <col min="8197" max="8197" width="12.25" style="1598" customWidth="1"/>
    <col min="8198" max="8198" width="21" style="1598" customWidth="1"/>
    <col min="8199" max="8443" width="9" style="1598"/>
    <col min="8444" max="8444" width="33.25" style="1598" customWidth="1"/>
    <col min="8445" max="8446" width="11.375" style="1598" customWidth="1"/>
    <col min="8447" max="8447" width="10" style="1598" customWidth="1"/>
    <col min="8448" max="8448" width="8.25" style="1598" customWidth="1"/>
    <col min="8449" max="8449" width="7.5" style="1598" customWidth="1"/>
    <col min="8450" max="8450" width="32" style="1598" customWidth="1"/>
    <col min="8451" max="8451" width="10.25" style="1598" customWidth="1"/>
    <col min="8452" max="8452" width="10.125" style="1598" customWidth="1"/>
    <col min="8453" max="8453" width="12.25" style="1598" customWidth="1"/>
    <col min="8454" max="8454" width="21" style="1598" customWidth="1"/>
    <col min="8455" max="8699" width="9" style="1598"/>
    <col min="8700" max="8700" width="33.25" style="1598" customWidth="1"/>
    <col min="8701" max="8702" width="11.375" style="1598" customWidth="1"/>
    <col min="8703" max="8703" width="10" style="1598" customWidth="1"/>
    <col min="8704" max="8704" width="8.25" style="1598" customWidth="1"/>
    <col min="8705" max="8705" width="7.5" style="1598" customWidth="1"/>
    <col min="8706" max="8706" width="32" style="1598" customWidth="1"/>
    <col min="8707" max="8707" width="10.25" style="1598" customWidth="1"/>
    <col min="8708" max="8708" width="10.125" style="1598" customWidth="1"/>
    <col min="8709" max="8709" width="12.25" style="1598" customWidth="1"/>
    <col min="8710" max="8710" width="21" style="1598" customWidth="1"/>
    <col min="8711" max="8955" width="9" style="1598"/>
    <col min="8956" max="8956" width="33.25" style="1598" customWidth="1"/>
    <col min="8957" max="8958" width="11.375" style="1598" customWidth="1"/>
    <col min="8959" max="8959" width="10" style="1598" customWidth="1"/>
    <col min="8960" max="8960" width="8.25" style="1598" customWidth="1"/>
    <col min="8961" max="8961" width="7.5" style="1598" customWidth="1"/>
    <col min="8962" max="8962" width="32" style="1598" customWidth="1"/>
    <col min="8963" max="8963" width="10.25" style="1598" customWidth="1"/>
    <col min="8964" max="8964" width="10.125" style="1598" customWidth="1"/>
    <col min="8965" max="8965" width="12.25" style="1598" customWidth="1"/>
    <col min="8966" max="8966" width="21" style="1598" customWidth="1"/>
    <col min="8967" max="9211" width="9" style="1598"/>
    <col min="9212" max="9212" width="33.25" style="1598" customWidth="1"/>
    <col min="9213" max="9214" width="11.375" style="1598" customWidth="1"/>
    <col min="9215" max="9215" width="10" style="1598" customWidth="1"/>
    <col min="9216" max="9216" width="8.25" style="1598" customWidth="1"/>
    <col min="9217" max="9217" width="7.5" style="1598" customWidth="1"/>
    <col min="9218" max="9218" width="32" style="1598" customWidth="1"/>
    <col min="9219" max="9219" width="10.25" style="1598" customWidth="1"/>
    <col min="9220" max="9220" width="10.125" style="1598" customWidth="1"/>
    <col min="9221" max="9221" width="12.25" style="1598" customWidth="1"/>
    <col min="9222" max="9222" width="21" style="1598" customWidth="1"/>
    <col min="9223" max="9467" width="9" style="1598"/>
    <col min="9468" max="9468" width="33.25" style="1598" customWidth="1"/>
    <col min="9469" max="9470" width="11.375" style="1598" customWidth="1"/>
    <col min="9471" max="9471" width="10" style="1598" customWidth="1"/>
    <col min="9472" max="9472" width="8.25" style="1598" customWidth="1"/>
    <col min="9473" max="9473" width="7.5" style="1598" customWidth="1"/>
    <col min="9474" max="9474" width="32" style="1598" customWidth="1"/>
    <col min="9475" max="9475" width="10.25" style="1598" customWidth="1"/>
    <col min="9476" max="9476" width="10.125" style="1598" customWidth="1"/>
    <col min="9477" max="9477" width="12.25" style="1598" customWidth="1"/>
    <col min="9478" max="9478" width="21" style="1598" customWidth="1"/>
    <col min="9479" max="9723" width="9" style="1598"/>
    <col min="9724" max="9724" width="33.25" style="1598" customWidth="1"/>
    <col min="9725" max="9726" width="11.375" style="1598" customWidth="1"/>
    <col min="9727" max="9727" width="10" style="1598" customWidth="1"/>
    <col min="9728" max="9728" width="8.25" style="1598" customWidth="1"/>
    <col min="9729" max="9729" width="7.5" style="1598" customWidth="1"/>
    <col min="9730" max="9730" width="32" style="1598" customWidth="1"/>
    <col min="9731" max="9731" width="10.25" style="1598" customWidth="1"/>
    <col min="9732" max="9732" width="10.125" style="1598" customWidth="1"/>
    <col min="9733" max="9733" width="12.25" style="1598" customWidth="1"/>
    <col min="9734" max="9734" width="21" style="1598" customWidth="1"/>
    <col min="9735" max="9979" width="9" style="1598"/>
    <col min="9980" max="9980" width="33.25" style="1598" customWidth="1"/>
    <col min="9981" max="9982" width="11.375" style="1598" customWidth="1"/>
    <col min="9983" max="9983" width="10" style="1598" customWidth="1"/>
    <col min="9984" max="9984" width="8.25" style="1598" customWidth="1"/>
    <col min="9985" max="9985" width="7.5" style="1598" customWidth="1"/>
    <col min="9986" max="9986" width="32" style="1598" customWidth="1"/>
    <col min="9987" max="9987" width="10.25" style="1598" customWidth="1"/>
    <col min="9988" max="9988" width="10.125" style="1598" customWidth="1"/>
    <col min="9989" max="9989" width="12.25" style="1598" customWidth="1"/>
    <col min="9990" max="9990" width="21" style="1598" customWidth="1"/>
    <col min="9991" max="10235" width="9" style="1598"/>
    <col min="10236" max="10236" width="33.25" style="1598" customWidth="1"/>
    <col min="10237" max="10238" width="11.375" style="1598" customWidth="1"/>
    <col min="10239" max="10239" width="10" style="1598" customWidth="1"/>
    <col min="10240" max="10240" width="8.25" style="1598" customWidth="1"/>
    <col min="10241" max="10241" width="7.5" style="1598" customWidth="1"/>
    <col min="10242" max="10242" width="32" style="1598" customWidth="1"/>
    <col min="10243" max="10243" width="10.25" style="1598" customWidth="1"/>
    <col min="10244" max="10244" width="10.125" style="1598" customWidth="1"/>
    <col min="10245" max="10245" width="12.25" style="1598" customWidth="1"/>
    <col min="10246" max="10246" width="21" style="1598" customWidth="1"/>
    <col min="10247" max="10491" width="9" style="1598"/>
    <col min="10492" max="10492" width="33.25" style="1598" customWidth="1"/>
    <col min="10493" max="10494" width="11.375" style="1598" customWidth="1"/>
    <col min="10495" max="10495" width="10" style="1598" customWidth="1"/>
    <col min="10496" max="10496" width="8.25" style="1598" customWidth="1"/>
    <col min="10497" max="10497" width="7.5" style="1598" customWidth="1"/>
    <col min="10498" max="10498" width="32" style="1598" customWidth="1"/>
    <col min="10499" max="10499" width="10.25" style="1598" customWidth="1"/>
    <col min="10500" max="10500" width="10.125" style="1598" customWidth="1"/>
    <col min="10501" max="10501" width="12.25" style="1598" customWidth="1"/>
    <col min="10502" max="10502" width="21" style="1598" customWidth="1"/>
    <col min="10503" max="10747" width="9" style="1598"/>
    <col min="10748" max="10748" width="33.25" style="1598" customWidth="1"/>
    <col min="10749" max="10750" width="11.375" style="1598" customWidth="1"/>
    <col min="10751" max="10751" width="10" style="1598" customWidth="1"/>
    <col min="10752" max="10752" width="8.25" style="1598" customWidth="1"/>
    <col min="10753" max="10753" width="7.5" style="1598" customWidth="1"/>
    <col min="10754" max="10754" width="32" style="1598" customWidth="1"/>
    <col min="10755" max="10755" width="10.25" style="1598" customWidth="1"/>
    <col min="10756" max="10756" width="10.125" style="1598" customWidth="1"/>
    <col min="10757" max="10757" width="12.25" style="1598" customWidth="1"/>
    <col min="10758" max="10758" width="21" style="1598" customWidth="1"/>
    <col min="10759" max="11003" width="9" style="1598"/>
    <col min="11004" max="11004" width="33.25" style="1598" customWidth="1"/>
    <col min="11005" max="11006" width="11.375" style="1598" customWidth="1"/>
    <col min="11007" max="11007" width="10" style="1598" customWidth="1"/>
    <col min="11008" max="11008" width="8.25" style="1598" customWidth="1"/>
    <col min="11009" max="11009" width="7.5" style="1598" customWidth="1"/>
    <col min="11010" max="11010" width="32" style="1598" customWidth="1"/>
    <col min="11011" max="11011" width="10.25" style="1598" customWidth="1"/>
    <col min="11012" max="11012" width="10.125" style="1598" customWidth="1"/>
    <col min="11013" max="11013" width="12.25" style="1598" customWidth="1"/>
    <col min="11014" max="11014" width="21" style="1598" customWidth="1"/>
    <col min="11015" max="11259" width="9" style="1598"/>
    <col min="11260" max="11260" width="33.25" style="1598" customWidth="1"/>
    <col min="11261" max="11262" width="11.375" style="1598" customWidth="1"/>
    <col min="11263" max="11263" width="10" style="1598" customWidth="1"/>
    <col min="11264" max="11264" width="8.25" style="1598" customWidth="1"/>
    <col min="11265" max="11265" width="7.5" style="1598" customWidth="1"/>
    <col min="11266" max="11266" width="32" style="1598" customWidth="1"/>
    <col min="11267" max="11267" width="10.25" style="1598" customWidth="1"/>
    <col min="11268" max="11268" width="10.125" style="1598" customWidth="1"/>
    <col min="11269" max="11269" width="12.25" style="1598" customWidth="1"/>
    <col min="11270" max="11270" width="21" style="1598" customWidth="1"/>
    <col min="11271" max="11515" width="9" style="1598"/>
    <col min="11516" max="11516" width="33.25" style="1598" customWidth="1"/>
    <col min="11517" max="11518" width="11.375" style="1598" customWidth="1"/>
    <col min="11519" max="11519" width="10" style="1598" customWidth="1"/>
    <col min="11520" max="11520" width="8.25" style="1598" customWidth="1"/>
    <col min="11521" max="11521" width="7.5" style="1598" customWidth="1"/>
    <col min="11522" max="11522" width="32" style="1598" customWidth="1"/>
    <col min="11523" max="11523" width="10.25" style="1598" customWidth="1"/>
    <col min="11524" max="11524" width="10.125" style="1598" customWidth="1"/>
    <col min="11525" max="11525" width="12.25" style="1598" customWidth="1"/>
    <col min="11526" max="11526" width="21" style="1598" customWidth="1"/>
    <col min="11527" max="11771" width="9" style="1598"/>
    <col min="11772" max="11772" width="33.25" style="1598" customWidth="1"/>
    <col min="11773" max="11774" width="11.375" style="1598" customWidth="1"/>
    <col min="11775" max="11775" width="10" style="1598" customWidth="1"/>
    <col min="11776" max="11776" width="8.25" style="1598" customWidth="1"/>
    <col min="11777" max="11777" width="7.5" style="1598" customWidth="1"/>
    <col min="11778" max="11778" width="32" style="1598" customWidth="1"/>
    <col min="11779" max="11779" width="10.25" style="1598" customWidth="1"/>
    <col min="11780" max="11780" width="10.125" style="1598" customWidth="1"/>
    <col min="11781" max="11781" width="12.25" style="1598" customWidth="1"/>
    <col min="11782" max="11782" width="21" style="1598" customWidth="1"/>
    <col min="11783" max="12027" width="9" style="1598"/>
    <col min="12028" max="12028" width="33.25" style="1598" customWidth="1"/>
    <col min="12029" max="12030" width="11.375" style="1598" customWidth="1"/>
    <col min="12031" max="12031" width="10" style="1598" customWidth="1"/>
    <col min="12032" max="12032" width="8.25" style="1598" customWidth="1"/>
    <col min="12033" max="12033" width="7.5" style="1598" customWidth="1"/>
    <col min="12034" max="12034" width="32" style="1598" customWidth="1"/>
    <col min="12035" max="12035" width="10.25" style="1598" customWidth="1"/>
    <col min="12036" max="12036" width="10.125" style="1598" customWidth="1"/>
    <col min="12037" max="12037" width="12.25" style="1598" customWidth="1"/>
    <col min="12038" max="12038" width="21" style="1598" customWidth="1"/>
    <col min="12039" max="12283" width="9" style="1598"/>
    <col min="12284" max="12284" width="33.25" style="1598" customWidth="1"/>
    <col min="12285" max="12286" width="11.375" style="1598" customWidth="1"/>
    <col min="12287" max="12287" width="10" style="1598" customWidth="1"/>
    <col min="12288" max="12288" width="8.25" style="1598" customWidth="1"/>
    <col min="12289" max="12289" width="7.5" style="1598" customWidth="1"/>
    <col min="12290" max="12290" width="32" style="1598" customWidth="1"/>
    <col min="12291" max="12291" width="10.25" style="1598" customWidth="1"/>
    <col min="12292" max="12292" width="10.125" style="1598" customWidth="1"/>
    <col min="12293" max="12293" width="12.25" style="1598" customWidth="1"/>
    <col min="12294" max="12294" width="21" style="1598" customWidth="1"/>
    <col min="12295" max="12539" width="9" style="1598"/>
    <col min="12540" max="12540" width="33.25" style="1598" customWidth="1"/>
    <col min="12541" max="12542" width="11.375" style="1598" customWidth="1"/>
    <col min="12543" max="12543" width="10" style="1598" customWidth="1"/>
    <col min="12544" max="12544" width="8.25" style="1598" customWidth="1"/>
    <col min="12545" max="12545" width="7.5" style="1598" customWidth="1"/>
    <col min="12546" max="12546" width="32" style="1598" customWidth="1"/>
    <col min="12547" max="12547" width="10.25" style="1598" customWidth="1"/>
    <col min="12548" max="12548" width="10.125" style="1598" customWidth="1"/>
    <col min="12549" max="12549" width="12.25" style="1598" customWidth="1"/>
    <col min="12550" max="12550" width="21" style="1598" customWidth="1"/>
    <col min="12551" max="12795" width="9" style="1598"/>
    <col min="12796" max="12796" width="33.25" style="1598" customWidth="1"/>
    <col min="12797" max="12798" width="11.375" style="1598" customWidth="1"/>
    <col min="12799" max="12799" width="10" style="1598" customWidth="1"/>
    <col min="12800" max="12800" width="8.25" style="1598" customWidth="1"/>
    <col min="12801" max="12801" width="7.5" style="1598" customWidth="1"/>
    <col min="12802" max="12802" width="32" style="1598" customWidth="1"/>
    <col min="12803" max="12803" width="10.25" style="1598" customWidth="1"/>
    <col min="12804" max="12804" width="10.125" style="1598" customWidth="1"/>
    <col min="12805" max="12805" width="12.25" style="1598" customWidth="1"/>
    <col min="12806" max="12806" width="21" style="1598" customWidth="1"/>
    <col min="12807" max="13051" width="9" style="1598"/>
    <col min="13052" max="13052" width="33.25" style="1598" customWidth="1"/>
    <col min="13053" max="13054" width="11.375" style="1598" customWidth="1"/>
    <col min="13055" max="13055" width="10" style="1598" customWidth="1"/>
    <col min="13056" max="13056" width="8.25" style="1598" customWidth="1"/>
    <col min="13057" max="13057" width="7.5" style="1598" customWidth="1"/>
    <col min="13058" max="13058" width="32" style="1598" customWidth="1"/>
    <col min="13059" max="13059" width="10.25" style="1598" customWidth="1"/>
    <col min="13060" max="13060" width="10.125" style="1598" customWidth="1"/>
    <col min="13061" max="13061" width="12.25" style="1598" customWidth="1"/>
    <col min="13062" max="13062" width="21" style="1598" customWidth="1"/>
    <col min="13063" max="13307" width="9" style="1598"/>
    <col min="13308" max="13308" width="33.25" style="1598" customWidth="1"/>
    <col min="13309" max="13310" width="11.375" style="1598" customWidth="1"/>
    <col min="13311" max="13311" width="10" style="1598" customWidth="1"/>
    <col min="13312" max="13312" width="8.25" style="1598" customWidth="1"/>
    <col min="13313" max="13313" width="7.5" style="1598" customWidth="1"/>
    <col min="13314" max="13314" width="32" style="1598" customWidth="1"/>
    <col min="13315" max="13315" width="10.25" style="1598" customWidth="1"/>
    <col min="13316" max="13316" width="10.125" style="1598" customWidth="1"/>
    <col min="13317" max="13317" width="12.25" style="1598" customWidth="1"/>
    <col min="13318" max="13318" width="21" style="1598" customWidth="1"/>
    <col min="13319" max="13563" width="9" style="1598"/>
    <col min="13564" max="13564" width="33.25" style="1598" customWidth="1"/>
    <col min="13565" max="13566" width="11.375" style="1598" customWidth="1"/>
    <col min="13567" max="13567" width="10" style="1598" customWidth="1"/>
    <col min="13568" max="13568" width="8.25" style="1598" customWidth="1"/>
    <col min="13569" max="13569" width="7.5" style="1598" customWidth="1"/>
    <col min="13570" max="13570" width="32" style="1598" customWidth="1"/>
    <col min="13571" max="13571" width="10.25" style="1598" customWidth="1"/>
    <col min="13572" max="13572" width="10.125" style="1598" customWidth="1"/>
    <col min="13573" max="13573" width="12.25" style="1598" customWidth="1"/>
    <col min="13574" max="13574" width="21" style="1598" customWidth="1"/>
    <col min="13575" max="13819" width="9" style="1598"/>
    <col min="13820" max="13820" width="33.25" style="1598" customWidth="1"/>
    <col min="13821" max="13822" width="11.375" style="1598" customWidth="1"/>
    <col min="13823" max="13823" width="10" style="1598" customWidth="1"/>
    <col min="13824" max="13824" width="8.25" style="1598" customWidth="1"/>
    <col min="13825" max="13825" width="7.5" style="1598" customWidth="1"/>
    <col min="13826" max="13826" width="32" style="1598" customWidth="1"/>
    <col min="13827" max="13827" width="10.25" style="1598" customWidth="1"/>
    <col min="13828" max="13828" width="10.125" style="1598" customWidth="1"/>
    <col min="13829" max="13829" width="12.25" style="1598" customWidth="1"/>
    <col min="13830" max="13830" width="21" style="1598" customWidth="1"/>
    <col min="13831" max="14075" width="9" style="1598"/>
    <col min="14076" max="14076" width="33.25" style="1598" customWidth="1"/>
    <col min="14077" max="14078" width="11.375" style="1598" customWidth="1"/>
    <col min="14079" max="14079" width="10" style="1598" customWidth="1"/>
    <col min="14080" max="14080" width="8.25" style="1598" customWidth="1"/>
    <col min="14081" max="14081" width="7.5" style="1598" customWidth="1"/>
    <col min="14082" max="14082" width="32" style="1598" customWidth="1"/>
    <col min="14083" max="14083" width="10.25" style="1598" customWidth="1"/>
    <col min="14084" max="14084" width="10.125" style="1598" customWidth="1"/>
    <col min="14085" max="14085" width="12.25" style="1598" customWidth="1"/>
    <col min="14086" max="14086" width="21" style="1598" customWidth="1"/>
    <col min="14087" max="14331" width="9" style="1598"/>
    <col min="14332" max="14332" width="33.25" style="1598" customWidth="1"/>
    <col min="14333" max="14334" width="11.375" style="1598" customWidth="1"/>
    <col min="14335" max="14335" width="10" style="1598" customWidth="1"/>
    <col min="14336" max="14336" width="8.25" style="1598" customWidth="1"/>
    <col min="14337" max="14337" width="7.5" style="1598" customWidth="1"/>
    <col min="14338" max="14338" width="32" style="1598" customWidth="1"/>
    <col min="14339" max="14339" width="10.25" style="1598" customWidth="1"/>
    <col min="14340" max="14340" width="10.125" style="1598" customWidth="1"/>
    <col min="14341" max="14341" width="12.25" style="1598" customWidth="1"/>
    <col min="14342" max="14342" width="21" style="1598" customWidth="1"/>
    <col min="14343" max="14587" width="9" style="1598"/>
    <col min="14588" max="14588" width="33.25" style="1598" customWidth="1"/>
    <col min="14589" max="14590" width="11.375" style="1598" customWidth="1"/>
    <col min="14591" max="14591" width="10" style="1598" customWidth="1"/>
    <col min="14592" max="14592" width="8.25" style="1598" customWidth="1"/>
    <col min="14593" max="14593" width="7.5" style="1598" customWidth="1"/>
    <col min="14594" max="14594" width="32" style="1598" customWidth="1"/>
    <col min="14595" max="14595" width="10.25" style="1598" customWidth="1"/>
    <col min="14596" max="14596" width="10.125" style="1598" customWidth="1"/>
    <col min="14597" max="14597" width="12.25" style="1598" customWidth="1"/>
    <col min="14598" max="14598" width="21" style="1598" customWidth="1"/>
    <col min="14599" max="14843" width="9" style="1598"/>
    <col min="14844" max="14844" width="33.25" style="1598" customWidth="1"/>
    <col min="14845" max="14846" width="11.375" style="1598" customWidth="1"/>
    <col min="14847" max="14847" width="10" style="1598" customWidth="1"/>
    <col min="14848" max="14848" width="8.25" style="1598" customWidth="1"/>
    <col min="14849" max="14849" width="7.5" style="1598" customWidth="1"/>
    <col min="14850" max="14850" width="32" style="1598" customWidth="1"/>
    <col min="14851" max="14851" width="10.25" style="1598" customWidth="1"/>
    <col min="14852" max="14852" width="10.125" style="1598" customWidth="1"/>
    <col min="14853" max="14853" width="12.25" style="1598" customWidth="1"/>
    <col min="14854" max="14854" width="21" style="1598" customWidth="1"/>
    <col min="14855" max="15099" width="9" style="1598"/>
    <col min="15100" max="15100" width="33.25" style="1598" customWidth="1"/>
    <col min="15101" max="15102" width="11.375" style="1598" customWidth="1"/>
    <col min="15103" max="15103" width="10" style="1598" customWidth="1"/>
    <col min="15104" max="15104" width="8.25" style="1598" customWidth="1"/>
    <col min="15105" max="15105" width="7.5" style="1598" customWidth="1"/>
    <col min="15106" max="15106" width="32" style="1598" customWidth="1"/>
    <col min="15107" max="15107" width="10.25" style="1598" customWidth="1"/>
    <col min="15108" max="15108" width="10.125" style="1598" customWidth="1"/>
    <col min="15109" max="15109" width="12.25" style="1598" customWidth="1"/>
    <col min="15110" max="15110" width="21" style="1598" customWidth="1"/>
    <col min="15111" max="15355" width="9" style="1598"/>
    <col min="15356" max="15356" width="33.25" style="1598" customWidth="1"/>
    <col min="15357" max="15358" width="11.375" style="1598" customWidth="1"/>
    <col min="15359" max="15359" width="10" style="1598" customWidth="1"/>
    <col min="15360" max="15360" width="8.25" style="1598" customWidth="1"/>
    <col min="15361" max="15361" width="7.5" style="1598" customWidth="1"/>
    <col min="15362" max="15362" width="32" style="1598" customWidth="1"/>
    <col min="15363" max="15363" width="10.25" style="1598" customWidth="1"/>
    <col min="15364" max="15364" width="10.125" style="1598" customWidth="1"/>
    <col min="15365" max="15365" width="12.25" style="1598" customWidth="1"/>
    <col min="15366" max="15366" width="21" style="1598" customWidth="1"/>
    <col min="15367" max="15611" width="9" style="1598"/>
    <col min="15612" max="15612" width="33.25" style="1598" customWidth="1"/>
    <col min="15613" max="15614" width="11.375" style="1598" customWidth="1"/>
    <col min="15615" max="15615" width="10" style="1598" customWidth="1"/>
    <col min="15616" max="15616" width="8.25" style="1598" customWidth="1"/>
    <col min="15617" max="15617" width="7.5" style="1598" customWidth="1"/>
    <col min="15618" max="15618" width="32" style="1598" customWidth="1"/>
    <col min="15619" max="15619" width="10.25" style="1598" customWidth="1"/>
    <col min="15620" max="15620" width="10.125" style="1598" customWidth="1"/>
    <col min="15621" max="15621" width="12.25" style="1598" customWidth="1"/>
    <col min="15622" max="15622" width="21" style="1598" customWidth="1"/>
    <col min="15623" max="15867" width="9" style="1598"/>
    <col min="15868" max="15868" width="33.25" style="1598" customWidth="1"/>
    <col min="15869" max="15870" width="11.375" style="1598" customWidth="1"/>
    <col min="15871" max="15871" width="10" style="1598" customWidth="1"/>
    <col min="15872" max="15872" width="8.25" style="1598" customWidth="1"/>
    <col min="15873" max="15873" width="7.5" style="1598" customWidth="1"/>
    <col min="15874" max="15874" width="32" style="1598" customWidth="1"/>
    <col min="15875" max="15875" width="10.25" style="1598" customWidth="1"/>
    <col min="15876" max="15876" width="10.125" style="1598" customWidth="1"/>
    <col min="15877" max="15877" width="12.25" style="1598" customWidth="1"/>
    <col min="15878" max="15878" width="21" style="1598" customWidth="1"/>
    <col min="15879" max="16123" width="9" style="1598"/>
    <col min="16124" max="16124" width="33.25" style="1598" customWidth="1"/>
    <col min="16125" max="16126" width="11.375" style="1598" customWidth="1"/>
    <col min="16127" max="16127" width="10" style="1598" customWidth="1"/>
    <col min="16128" max="16128" width="8.25" style="1598" customWidth="1"/>
    <col min="16129" max="16129" width="7.5" style="1598" customWidth="1"/>
    <col min="16130" max="16130" width="32" style="1598" customWidth="1"/>
    <col min="16131" max="16131" width="10.25" style="1598" customWidth="1"/>
    <col min="16132" max="16132" width="10.125" style="1598" customWidth="1"/>
    <col min="16133" max="16133" width="12.25" style="1598" customWidth="1"/>
    <col min="16134" max="16134" width="21" style="1598" customWidth="1"/>
    <col min="16135" max="16384" width="9" style="1598"/>
  </cols>
  <sheetData>
    <row r="1" spans="1:7">
      <c r="A1" s="1600"/>
      <c r="B1" s="1600"/>
      <c r="C1" s="1600"/>
      <c r="D1" s="1600"/>
      <c r="E1" s="1600"/>
      <c r="F1" s="1600"/>
      <c r="G1" s="1600"/>
    </row>
    <row r="2" spans="1:7">
      <c r="A2" s="1600"/>
      <c r="B2" s="1600"/>
      <c r="C2" s="1600"/>
      <c r="D2" s="1600"/>
      <c r="E2" s="1600"/>
      <c r="F2" s="1600"/>
      <c r="G2" s="1600"/>
    </row>
    <row r="3" ht="22.5" spans="1:7">
      <c r="A3" s="1601" t="s">
        <v>2232</v>
      </c>
      <c r="B3" s="1601"/>
      <c r="C3" s="1601"/>
      <c r="D3" s="1601"/>
      <c r="E3" s="1601"/>
      <c r="F3" s="1601"/>
      <c r="G3" s="1601"/>
    </row>
    <row r="4" s="1596" customFormat="1" spans="1:7">
      <c r="A4" s="1602" t="str">
        <f>"客户名称："&amp;参数表!$C$3</f>
        <v>客户名称：石嘴山市深阳蓝光市政工程有限公司</v>
      </c>
      <c r="B4" s="1602"/>
      <c r="C4" s="1603" t="str">
        <f>"编制："&amp;参数表!$F$10</f>
        <v>编制：</v>
      </c>
      <c r="D4" s="1603"/>
      <c r="E4" s="1602" t="str">
        <f>"日期："&amp;资负表及利润表调整分录!H169</f>
        <v>日期：</v>
      </c>
      <c r="F4" s="1602"/>
      <c r="G4" s="1604" t="s">
        <v>2233</v>
      </c>
    </row>
    <row r="5" s="1596" customFormat="1" spans="1:7">
      <c r="A5" s="1603" t="str">
        <f>"截止日期："&amp;参数表!$D$7</f>
        <v>截止日期：2016年度</v>
      </c>
      <c r="B5" s="1603"/>
      <c r="C5" s="1605" t="str">
        <f>"复核："&amp;参数表!$C$11</f>
        <v>复核：</v>
      </c>
      <c r="D5" s="1605"/>
      <c r="E5" s="1606" t="str">
        <f>"日期："&amp;资负表及利润表调整分录!H170</f>
        <v>日期：</v>
      </c>
      <c r="F5" s="1606"/>
      <c r="G5" s="1604"/>
    </row>
    <row r="6" s="1597" customFormat="1" ht="12.75" customHeight="1" spans="1:247">
      <c r="A6" s="1607" t="s">
        <v>2234</v>
      </c>
      <c r="B6" s="1608" t="s">
        <v>2016</v>
      </c>
      <c r="C6" s="1608" t="s">
        <v>2017</v>
      </c>
      <c r="D6" s="1609" t="s">
        <v>2018</v>
      </c>
      <c r="E6" s="1610" t="s">
        <v>2019</v>
      </c>
      <c r="F6" s="1611"/>
      <c r="G6" s="1612"/>
      <c r="H6" s="1613"/>
      <c r="I6" s="1613"/>
      <c r="J6" s="1613"/>
      <c r="K6" s="1613"/>
      <c r="L6" s="1613"/>
      <c r="M6" s="1613"/>
      <c r="N6" s="1613"/>
      <c r="O6" s="1613"/>
      <c r="P6" s="1613"/>
      <c r="Q6" s="1613"/>
      <c r="R6" s="1613"/>
      <c r="S6" s="1613"/>
      <c r="T6" s="1613"/>
      <c r="U6" s="1613"/>
      <c r="V6" s="1613"/>
      <c r="W6" s="1613"/>
      <c r="X6" s="1613"/>
      <c r="Y6" s="1613"/>
      <c r="Z6" s="1613"/>
      <c r="AA6" s="1613"/>
      <c r="AB6" s="1613"/>
      <c r="AC6" s="1613"/>
      <c r="AD6" s="1613"/>
      <c r="AE6" s="1613"/>
      <c r="AF6" s="1613"/>
      <c r="AG6" s="1613"/>
      <c r="AH6" s="1613"/>
      <c r="AI6" s="1613"/>
      <c r="AJ6" s="1613"/>
      <c r="AK6" s="1613"/>
      <c r="AL6" s="1613"/>
      <c r="AM6" s="1613"/>
      <c r="AN6" s="1613"/>
      <c r="AO6" s="1613"/>
      <c r="AP6" s="1613"/>
      <c r="AQ6" s="1613"/>
      <c r="AR6" s="1613"/>
      <c r="AS6" s="1613"/>
      <c r="AT6" s="1613"/>
      <c r="AU6" s="1613"/>
      <c r="AV6" s="1613"/>
      <c r="AW6" s="1613"/>
      <c r="AX6" s="1613"/>
      <c r="AY6" s="1613"/>
      <c r="AZ6" s="1613"/>
      <c r="BA6" s="1613"/>
      <c r="BB6" s="1613"/>
      <c r="BC6" s="1613"/>
      <c r="BD6" s="1613"/>
      <c r="BE6" s="1613"/>
      <c r="BF6" s="1613"/>
      <c r="BG6" s="1613"/>
      <c r="BH6" s="1613"/>
      <c r="BI6" s="1613"/>
      <c r="BJ6" s="1613"/>
      <c r="BK6" s="1613"/>
      <c r="BL6" s="1613"/>
      <c r="BM6" s="1613"/>
      <c r="BN6" s="1613"/>
      <c r="BO6" s="1613"/>
      <c r="BP6" s="1613"/>
      <c r="BQ6" s="1613"/>
      <c r="BR6" s="1613"/>
      <c r="BS6" s="1613"/>
      <c r="BT6" s="1613"/>
      <c r="BU6" s="1613"/>
      <c r="BV6" s="1613"/>
      <c r="BW6" s="1613"/>
      <c r="BX6" s="1613"/>
      <c r="BY6" s="1613"/>
      <c r="BZ6" s="1613"/>
      <c r="CA6" s="1613"/>
      <c r="CB6" s="1613"/>
      <c r="CC6" s="1613"/>
      <c r="CD6" s="1613"/>
      <c r="CE6" s="1613"/>
      <c r="CF6" s="1613"/>
      <c r="CG6" s="1613"/>
      <c r="CH6" s="1613"/>
      <c r="CI6" s="1613"/>
      <c r="CJ6" s="1613"/>
      <c r="CK6" s="1613"/>
      <c r="CL6" s="1613"/>
      <c r="CM6" s="1613"/>
      <c r="CN6" s="1613"/>
      <c r="CO6" s="1613"/>
      <c r="CP6" s="1613"/>
      <c r="CQ6" s="1613"/>
      <c r="CR6" s="1613"/>
      <c r="CS6" s="1613"/>
      <c r="CT6" s="1613"/>
      <c r="CU6" s="1613"/>
      <c r="CV6" s="1613"/>
      <c r="CW6" s="1613"/>
      <c r="CX6" s="1613"/>
      <c r="CY6" s="1613"/>
      <c r="CZ6" s="1613"/>
      <c r="DA6" s="1613"/>
      <c r="DB6" s="1613"/>
      <c r="DC6" s="1613"/>
      <c r="DD6" s="1613"/>
      <c r="DE6" s="1613"/>
      <c r="DF6" s="1613"/>
      <c r="DG6" s="1613"/>
      <c r="DH6" s="1613"/>
      <c r="DI6" s="1613"/>
      <c r="DJ6" s="1613"/>
      <c r="DK6" s="1613"/>
      <c r="DL6" s="1613"/>
      <c r="DM6" s="1613"/>
      <c r="DN6" s="1613"/>
      <c r="DO6" s="1613"/>
      <c r="DP6" s="1613"/>
      <c r="DQ6" s="1613"/>
      <c r="DR6" s="1613"/>
      <c r="DS6" s="1613"/>
      <c r="DT6" s="1613"/>
      <c r="DU6" s="1613"/>
      <c r="DV6" s="1613"/>
      <c r="DW6" s="1613"/>
      <c r="DX6" s="1613"/>
      <c r="DY6" s="1613"/>
      <c r="DZ6" s="1613"/>
      <c r="EA6" s="1613"/>
      <c r="EB6" s="1613"/>
      <c r="EC6" s="1613"/>
      <c r="ED6" s="1613"/>
      <c r="EE6" s="1613"/>
      <c r="EF6" s="1613"/>
      <c r="EG6" s="1613"/>
      <c r="EH6" s="1613"/>
      <c r="EI6" s="1613"/>
      <c r="EJ6" s="1613"/>
      <c r="EK6" s="1613"/>
      <c r="EL6" s="1613"/>
      <c r="EM6" s="1613"/>
      <c r="EN6" s="1613"/>
      <c r="EO6" s="1613"/>
      <c r="EP6" s="1613"/>
      <c r="EQ6" s="1613"/>
      <c r="ER6" s="1613"/>
      <c r="ES6" s="1613"/>
      <c r="ET6" s="1613"/>
      <c r="EU6" s="1613"/>
      <c r="EV6" s="1613"/>
      <c r="EW6" s="1613"/>
      <c r="EX6" s="1613"/>
      <c r="EY6" s="1613"/>
      <c r="EZ6" s="1613"/>
      <c r="FA6" s="1613"/>
      <c r="FB6" s="1613"/>
      <c r="FC6" s="1613"/>
      <c r="FD6" s="1613"/>
      <c r="FE6" s="1613"/>
      <c r="FF6" s="1613"/>
      <c r="FG6" s="1613"/>
      <c r="FH6" s="1613"/>
      <c r="FI6" s="1613"/>
      <c r="FJ6" s="1613"/>
      <c r="FK6" s="1613"/>
      <c r="FL6" s="1613"/>
      <c r="FM6" s="1613"/>
      <c r="FN6" s="1613"/>
      <c r="FO6" s="1613"/>
      <c r="FP6" s="1613"/>
      <c r="FQ6" s="1613"/>
      <c r="FR6" s="1613"/>
      <c r="FS6" s="1613"/>
      <c r="FT6" s="1613"/>
      <c r="FU6" s="1613"/>
      <c r="FV6" s="1613"/>
      <c r="FW6" s="1613"/>
      <c r="FX6" s="1613"/>
      <c r="FY6" s="1613"/>
      <c r="FZ6" s="1613"/>
      <c r="GA6" s="1613"/>
      <c r="GB6" s="1613"/>
      <c r="GC6" s="1613"/>
      <c r="GD6" s="1613"/>
      <c r="GE6" s="1613"/>
      <c r="GF6" s="1613"/>
      <c r="GG6" s="1613"/>
      <c r="GH6" s="1613"/>
      <c r="GI6" s="1613"/>
      <c r="GJ6" s="1613"/>
      <c r="GK6" s="1613"/>
      <c r="GL6" s="1613"/>
      <c r="GM6" s="1613"/>
      <c r="GN6" s="1613"/>
      <c r="GO6" s="1613"/>
      <c r="GP6" s="1613"/>
      <c r="GQ6" s="1613"/>
      <c r="GR6" s="1613"/>
      <c r="GS6" s="1613"/>
      <c r="GT6" s="1613"/>
      <c r="GU6" s="1613"/>
      <c r="GV6" s="1613"/>
      <c r="GW6" s="1613"/>
      <c r="GX6" s="1613"/>
      <c r="GY6" s="1613"/>
      <c r="GZ6" s="1613"/>
      <c r="HA6" s="1613"/>
      <c r="HB6" s="1613"/>
      <c r="HC6" s="1613"/>
      <c r="HD6" s="1613"/>
      <c r="HE6" s="1613"/>
      <c r="HF6" s="1613"/>
      <c r="HG6" s="1613"/>
      <c r="HH6" s="1613"/>
      <c r="HI6" s="1613"/>
      <c r="HJ6" s="1613"/>
      <c r="HK6" s="1613"/>
      <c r="HL6" s="1613"/>
      <c r="HM6" s="1613"/>
      <c r="HN6" s="1613"/>
      <c r="HO6" s="1613"/>
      <c r="HP6" s="1613"/>
      <c r="HQ6" s="1613"/>
      <c r="HR6" s="1613"/>
      <c r="HS6" s="1613"/>
      <c r="HT6" s="1613"/>
      <c r="HU6" s="1613"/>
      <c r="HV6" s="1613"/>
      <c r="HW6" s="1613"/>
      <c r="HX6" s="1613"/>
      <c r="HY6" s="1613"/>
      <c r="HZ6" s="1613"/>
      <c r="IA6" s="1613"/>
      <c r="IB6" s="1613"/>
      <c r="IC6" s="1613"/>
      <c r="ID6" s="1613"/>
      <c r="IE6" s="1613"/>
      <c r="IF6" s="1613"/>
      <c r="IG6" s="1613"/>
      <c r="IH6" s="1613"/>
      <c r="II6" s="1613"/>
      <c r="IJ6" s="1613"/>
      <c r="IK6" s="1613"/>
      <c r="IL6" s="1613"/>
      <c r="IM6" s="1613"/>
    </row>
    <row r="7" s="1597" customFormat="1" ht="12.75" customHeight="1" spans="1:247">
      <c r="A7" s="1614"/>
      <c r="B7" s="1615"/>
      <c r="C7" s="1615"/>
      <c r="D7" s="1616"/>
      <c r="E7" s="1617" t="s">
        <v>2021</v>
      </c>
      <c r="F7" s="1618" t="s">
        <v>2022</v>
      </c>
      <c r="G7" s="1619" t="s">
        <v>2023</v>
      </c>
      <c r="H7" s="1613"/>
      <c r="I7" s="1613"/>
      <c r="J7" s="1613"/>
      <c r="K7" s="1613"/>
      <c r="L7" s="1613"/>
      <c r="M7" s="1613"/>
      <c r="N7" s="1613"/>
      <c r="O7" s="1613"/>
      <c r="P7" s="1613"/>
      <c r="Q7" s="1613"/>
      <c r="R7" s="1613"/>
      <c r="S7" s="1613"/>
      <c r="T7" s="1613"/>
      <c r="U7" s="1613"/>
      <c r="V7" s="1613"/>
      <c r="W7" s="1613"/>
      <c r="X7" s="1613"/>
      <c r="Y7" s="1613"/>
      <c r="Z7" s="1613"/>
      <c r="AA7" s="1613"/>
      <c r="AB7" s="1613"/>
      <c r="AC7" s="1613"/>
      <c r="AD7" s="1613"/>
      <c r="AE7" s="1613"/>
      <c r="AF7" s="1613"/>
      <c r="AG7" s="1613"/>
      <c r="AH7" s="1613"/>
      <c r="AI7" s="1613"/>
      <c r="AJ7" s="1613"/>
      <c r="AK7" s="1613"/>
      <c r="AL7" s="1613"/>
      <c r="AM7" s="1613"/>
      <c r="AN7" s="1613"/>
      <c r="AO7" s="1613"/>
      <c r="AP7" s="1613"/>
      <c r="AQ7" s="1613"/>
      <c r="AR7" s="1613"/>
      <c r="AS7" s="1613"/>
      <c r="AT7" s="1613"/>
      <c r="AU7" s="1613"/>
      <c r="AV7" s="1613"/>
      <c r="AW7" s="1613"/>
      <c r="AX7" s="1613"/>
      <c r="AY7" s="1613"/>
      <c r="AZ7" s="1613"/>
      <c r="BA7" s="1613"/>
      <c r="BB7" s="1613"/>
      <c r="BC7" s="1613"/>
      <c r="BD7" s="1613"/>
      <c r="BE7" s="1613"/>
      <c r="BF7" s="1613"/>
      <c r="BG7" s="1613"/>
      <c r="BH7" s="1613"/>
      <c r="BI7" s="1613"/>
      <c r="BJ7" s="1613"/>
      <c r="BK7" s="1613"/>
      <c r="BL7" s="1613"/>
      <c r="BM7" s="1613"/>
      <c r="BN7" s="1613"/>
      <c r="BO7" s="1613"/>
      <c r="BP7" s="1613"/>
      <c r="BQ7" s="1613"/>
      <c r="BR7" s="1613"/>
      <c r="BS7" s="1613"/>
      <c r="BT7" s="1613"/>
      <c r="BU7" s="1613"/>
      <c r="BV7" s="1613"/>
      <c r="BW7" s="1613"/>
      <c r="BX7" s="1613"/>
      <c r="BY7" s="1613"/>
      <c r="BZ7" s="1613"/>
      <c r="CA7" s="1613"/>
      <c r="CB7" s="1613"/>
      <c r="CC7" s="1613"/>
      <c r="CD7" s="1613"/>
      <c r="CE7" s="1613"/>
      <c r="CF7" s="1613"/>
      <c r="CG7" s="1613"/>
      <c r="CH7" s="1613"/>
      <c r="CI7" s="1613"/>
      <c r="CJ7" s="1613"/>
      <c r="CK7" s="1613"/>
      <c r="CL7" s="1613"/>
      <c r="CM7" s="1613"/>
      <c r="CN7" s="1613"/>
      <c r="CO7" s="1613"/>
      <c r="CP7" s="1613"/>
      <c r="CQ7" s="1613"/>
      <c r="CR7" s="1613"/>
      <c r="CS7" s="1613"/>
      <c r="CT7" s="1613"/>
      <c r="CU7" s="1613"/>
      <c r="CV7" s="1613"/>
      <c r="CW7" s="1613"/>
      <c r="CX7" s="1613"/>
      <c r="CY7" s="1613"/>
      <c r="CZ7" s="1613"/>
      <c r="DA7" s="1613"/>
      <c r="DB7" s="1613"/>
      <c r="DC7" s="1613"/>
      <c r="DD7" s="1613"/>
      <c r="DE7" s="1613"/>
      <c r="DF7" s="1613"/>
      <c r="DG7" s="1613"/>
      <c r="DH7" s="1613"/>
      <c r="DI7" s="1613"/>
      <c r="DJ7" s="1613"/>
      <c r="DK7" s="1613"/>
      <c r="DL7" s="1613"/>
      <c r="DM7" s="1613"/>
      <c r="DN7" s="1613"/>
      <c r="DO7" s="1613"/>
      <c r="DP7" s="1613"/>
      <c r="DQ7" s="1613"/>
      <c r="DR7" s="1613"/>
      <c r="DS7" s="1613"/>
      <c r="DT7" s="1613"/>
      <c r="DU7" s="1613"/>
      <c r="DV7" s="1613"/>
      <c r="DW7" s="1613"/>
      <c r="DX7" s="1613"/>
      <c r="DY7" s="1613"/>
      <c r="DZ7" s="1613"/>
      <c r="EA7" s="1613"/>
      <c r="EB7" s="1613"/>
      <c r="EC7" s="1613"/>
      <c r="ED7" s="1613"/>
      <c r="EE7" s="1613"/>
      <c r="EF7" s="1613"/>
      <c r="EG7" s="1613"/>
      <c r="EH7" s="1613"/>
      <c r="EI7" s="1613"/>
      <c r="EJ7" s="1613"/>
      <c r="EK7" s="1613"/>
      <c r="EL7" s="1613"/>
      <c r="EM7" s="1613"/>
      <c r="EN7" s="1613"/>
      <c r="EO7" s="1613"/>
      <c r="EP7" s="1613"/>
      <c r="EQ7" s="1613"/>
      <c r="ER7" s="1613"/>
      <c r="ES7" s="1613"/>
      <c r="ET7" s="1613"/>
      <c r="EU7" s="1613"/>
      <c r="EV7" s="1613"/>
      <c r="EW7" s="1613"/>
      <c r="EX7" s="1613"/>
      <c r="EY7" s="1613"/>
      <c r="EZ7" s="1613"/>
      <c r="FA7" s="1613"/>
      <c r="FB7" s="1613"/>
      <c r="FC7" s="1613"/>
      <c r="FD7" s="1613"/>
      <c r="FE7" s="1613"/>
      <c r="FF7" s="1613"/>
      <c r="FG7" s="1613"/>
      <c r="FH7" s="1613"/>
      <c r="FI7" s="1613"/>
      <c r="FJ7" s="1613"/>
      <c r="FK7" s="1613"/>
      <c r="FL7" s="1613"/>
      <c r="FM7" s="1613"/>
      <c r="FN7" s="1613"/>
      <c r="FO7" s="1613"/>
      <c r="FP7" s="1613"/>
      <c r="FQ7" s="1613"/>
      <c r="FR7" s="1613"/>
      <c r="FS7" s="1613"/>
      <c r="FT7" s="1613"/>
      <c r="FU7" s="1613"/>
      <c r="FV7" s="1613"/>
      <c r="FW7" s="1613"/>
      <c r="FX7" s="1613"/>
      <c r="FY7" s="1613"/>
      <c r="FZ7" s="1613"/>
      <c r="GA7" s="1613"/>
      <c r="GB7" s="1613"/>
      <c r="GC7" s="1613"/>
      <c r="GD7" s="1613"/>
      <c r="GE7" s="1613"/>
      <c r="GF7" s="1613"/>
      <c r="GG7" s="1613"/>
      <c r="GH7" s="1613"/>
      <c r="GI7" s="1613"/>
      <c r="GJ7" s="1613"/>
      <c r="GK7" s="1613"/>
      <c r="GL7" s="1613"/>
      <c r="GM7" s="1613"/>
      <c r="GN7" s="1613"/>
      <c r="GO7" s="1613"/>
      <c r="GP7" s="1613"/>
      <c r="GQ7" s="1613"/>
      <c r="GR7" s="1613"/>
      <c r="GS7" s="1613"/>
      <c r="GT7" s="1613"/>
      <c r="GU7" s="1613"/>
      <c r="GV7" s="1613"/>
      <c r="GW7" s="1613"/>
      <c r="GX7" s="1613"/>
      <c r="GY7" s="1613"/>
      <c r="GZ7" s="1613"/>
      <c r="HA7" s="1613"/>
      <c r="HB7" s="1613"/>
      <c r="HC7" s="1613"/>
      <c r="HD7" s="1613"/>
      <c r="HE7" s="1613"/>
      <c r="HF7" s="1613"/>
      <c r="HG7" s="1613"/>
      <c r="HH7" s="1613"/>
      <c r="HI7" s="1613"/>
      <c r="HJ7" s="1613"/>
      <c r="HK7" s="1613"/>
      <c r="HL7" s="1613"/>
      <c r="HM7" s="1613"/>
      <c r="HN7" s="1613"/>
      <c r="HO7" s="1613"/>
      <c r="HP7" s="1613"/>
      <c r="HQ7" s="1613"/>
      <c r="HR7" s="1613"/>
      <c r="HS7" s="1613"/>
      <c r="HT7" s="1613"/>
      <c r="HU7" s="1613"/>
      <c r="HV7" s="1613"/>
      <c r="HW7" s="1613"/>
      <c r="HX7" s="1613"/>
      <c r="HY7" s="1613"/>
      <c r="HZ7" s="1613"/>
      <c r="IA7" s="1613"/>
      <c r="IB7" s="1613"/>
      <c r="IC7" s="1613"/>
      <c r="ID7" s="1613"/>
      <c r="IE7" s="1613"/>
      <c r="IF7" s="1613"/>
      <c r="IG7" s="1613"/>
      <c r="IH7" s="1613"/>
      <c r="II7" s="1613"/>
      <c r="IJ7" s="1613"/>
      <c r="IK7" s="1613"/>
      <c r="IL7" s="1613"/>
      <c r="IM7" s="1613"/>
    </row>
    <row r="8" s="1597" customFormat="1" ht="12.75" customHeight="1" spans="1:247">
      <c r="A8" s="1620"/>
      <c r="B8" s="1621">
        <v>1</v>
      </c>
      <c r="C8" s="1621">
        <v>2</v>
      </c>
      <c r="D8" s="1621">
        <v>3</v>
      </c>
      <c r="E8" s="1621" t="s">
        <v>2024</v>
      </c>
      <c r="F8" s="1621" t="s">
        <v>2025</v>
      </c>
      <c r="G8" s="1622">
        <v>6</v>
      </c>
      <c r="H8" s="1613"/>
      <c r="I8" s="1613"/>
      <c r="J8" s="1613"/>
      <c r="K8" s="1613"/>
      <c r="L8" s="1613"/>
      <c r="M8" s="1613"/>
      <c r="N8" s="1613"/>
      <c r="O8" s="1613"/>
      <c r="P8" s="1613"/>
      <c r="Q8" s="1613"/>
      <c r="R8" s="1613"/>
      <c r="S8" s="1613"/>
      <c r="T8" s="1613"/>
      <c r="U8" s="1613"/>
      <c r="V8" s="1613"/>
      <c r="W8" s="1613"/>
      <c r="X8" s="1613"/>
      <c r="Y8" s="1613"/>
      <c r="Z8" s="1613"/>
      <c r="AA8" s="1613"/>
      <c r="AB8" s="1613"/>
      <c r="AC8" s="1613"/>
      <c r="AD8" s="1613"/>
      <c r="AE8" s="1613"/>
      <c r="AF8" s="1613"/>
      <c r="AG8" s="1613"/>
      <c r="AH8" s="1613"/>
      <c r="AI8" s="1613"/>
      <c r="AJ8" s="1613"/>
      <c r="AK8" s="1613"/>
      <c r="AL8" s="1613"/>
      <c r="AM8" s="1613"/>
      <c r="AN8" s="1613"/>
      <c r="AO8" s="1613"/>
      <c r="AP8" s="1613"/>
      <c r="AQ8" s="1613"/>
      <c r="AR8" s="1613"/>
      <c r="AS8" s="1613"/>
      <c r="AT8" s="1613"/>
      <c r="AU8" s="1613"/>
      <c r="AV8" s="1613"/>
      <c r="AW8" s="1613"/>
      <c r="AX8" s="1613"/>
      <c r="AY8" s="1613"/>
      <c r="AZ8" s="1613"/>
      <c r="BA8" s="1613"/>
      <c r="BB8" s="1613"/>
      <c r="BC8" s="1613"/>
      <c r="BD8" s="1613"/>
      <c r="BE8" s="1613"/>
      <c r="BF8" s="1613"/>
      <c r="BG8" s="1613"/>
      <c r="BH8" s="1613"/>
      <c r="BI8" s="1613"/>
      <c r="BJ8" s="1613"/>
      <c r="BK8" s="1613"/>
      <c r="BL8" s="1613"/>
      <c r="BM8" s="1613"/>
      <c r="BN8" s="1613"/>
      <c r="BO8" s="1613"/>
      <c r="BP8" s="1613"/>
      <c r="BQ8" s="1613"/>
      <c r="BR8" s="1613"/>
      <c r="BS8" s="1613"/>
      <c r="BT8" s="1613"/>
      <c r="BU8" s="1613"/>
      <c r="BV8" s="1613"/>
      <c r="BW8" s="1613"/>
      <c r="BX8" s="1613"/>
      <c r="BY8" s="1613"/>
      <c r="BZ8" s="1613"/>
      <c r="CA8" s="1613"/>
      <c r="CB8" s="1613"/>
      <c r="CC8" s="1613"/>
      <c r="CD8" s="1613"/>
      <c r="CE8" s="1613"/>
      <c r="CF8" s="1613"/>
      <c r="CG8" s="1613"/>
      <c r="CH8" s="1613"/>
      <c r="CI8" s="1613"/>
      <c r="CJ8" s="1613"/>
      <c r="CK8" s="1613"/>
      <c r="CL8" s="1613"/>
      <c r="CM8" s="1613"/>
      <c r="CN8" s="1613"/>
      <c r="CO8" s="1613"/>
      <c r="CP8" s="1613"/>
      <c r="CQ8" s="1613"/>
      <c r="CR8" s="1613"/>
      <c r="CS8" s="1613"/>
      <c r="CT8" s="1613"/>
      <c r="CU8" s="1613"/>
      <c r="CV8" s="1613"/>
      <c r="CW8" s="1613"/>
      <c r="CX8" s="1613"/>
      <c r="CY8" s="1613"/>
      <c r="CZ8" s="1613"/>
      <c r="DA8" s="1613"/>
      <c r="DB8" s="1613"/>
      <c r="DC8" s="1613"/>
      <c r="DD8" s="1613"/>
      <c r="DE8" s="1613"/>
      <c r="DF8" s="1613"/>
      <c r="DG8" s="1613"/>
      <c r="DH8" s="1613"/>
      <c r="DI8" s="1613"/>
      <c r="DJ8" s="1613"/>
      <c r="DK8" s="1613"/>
      <c r="DL8" s="1613"/>
      <c r="DM8" s="1613"/>
      <c r="DN8" s="1613"/>
      <c r="DO8" s="1613"/>
      <c r="DP8" s="1613"/>
      <c r="DQ8" s="1613"/>
      <c r="DR8" s="1613"/>
      <c r="DS8" s="1613"/>
      <c r="DT8" s="1613"/>
      <c r="DU8" s="1613"/>
      <c r="DV8" s="1613"/>
      <c r="DW8" s="1613"/>
      <c r="DX8" s="1613"/>
      <c r="DY8" s="1613"/>
      <c r="DZ8" s="1613"/>
      <c r="EA8" s="1613"/>
      <c r="EB8" s="1613"/>
      <c r="EC8" s="1613"/>
      <c r="ED8" s="1613"/>
      <c r="EE8" s="1613"/>
      <c r="EF8" s="1613"/>
      <c r="EG8" s="1613"/>
      <c r="EH8" s="1613"/>
      <c r="EI8" s="1613"/>
      <c r="EJ8" s="1613"/>
      <c r="EK8" s="1613"/>
      <c r="EL8" s="1613"/>
      <c r="EM8" s="1613"/>
      <c r="EN8" s="1613"/>
      <c r="EO8" s="1613"/>
      <c r="EP8" s="1613"/>
      <c r="EQ8" s="1613"/>
      <c r="ER8" s="1613"/>
      <c r="ES8" s="1613"/>
      <c r="ET8" s="1613"/>
      <c r="EU8" s="1613"/>
      <c r="EV8" s="1613"/>
      <c r="EW8" s="1613"/>
      <c r="EX8" s="1613"/>
      <c r="EY8" s="1613"/>
      <c r="EZ8" s="1613"/>
      <c r="FA8" s="1613"/>
      <c r="FB8" s="1613"/>
      <c r="FC8" s="1613"/>
      <c r="FD8" s="1613"/>
      <c r="FE8" s="1613"/>
      <c r="FF8" s="1613"/>
      <c r="FG8" s="1613"/>
      <c r="FH8" s="1613"/>
      <c r="FI8" s="1613"/>
      <c r="FJ8" s="1613"/>
      <c r="FK8" s="1613"/>
      <c r="FL8" s="1613"/>
      <c r="FM8" s="1613"/>
      <c r="FN8" s="1613"/>
      <c r="FO8" s="1613"/>
      <c r="FP8" s="1613"/>
      <c r="FQ8" s="1613"/>
      <c r="FR8" s="1613"/>
      <c r="FS8" s="1613"/>
      <c r="FT8" s="1613"/>
      <c r="FU8" s="1613"/>
      <c r="FV8" s="1613"/>
      <c r="FW8" s="1613"/>
      <c r="FX8" s="1613"/>
      <c r="FY8" s="1613"/>
      <c r="FZ8" s="1613"/>
      <c r="GA8" s="1613"/>
      <c r="GB8" s="1613"/>
      <c r="GC8" s="1613"/>
      <c r="GD8" s="1613"/>
      <c r="GE8" s="1613"/>
      <c r="GF8" s="1613"/>
      <c r="GG8" s="1613"/>
      <c r="GH8" s="1613"/>
      <c r="GI8" s="1613"/>
      <c r="GJ8" s="1613"/>
      <c r="GK8" s="1613"/>
      <c r="GL8" s="1613"/>
      <c r="GM8" s="1613"/>
      <c r="GN8" s="1613"/>
      <c r="GO8" s="1613"/>
      <c r="GP8" s="1613"/>
      <c r="GQ8" s="1613"/>
      <c r="GR8" s="1613"/>
      <c r="GS8" s="1613"/>
      <c r="GT8" s="1613"/>
      <c r="GU8" s="1613"/>
      <c r="GV8" s="1613"/>
      <c r="GW8" s="1613"/>
      <c r="GX8" s="1613"/>
      <c r="GY8" s="1613"/>
      <c r="GZ8" s="1613"/>
      <c r="HA8" s="1613"/>
      <c r="HB8" s="1613"/>
      <c r="HC8" s="1613"/>
      <c r="HD8" s="1613"/>
      <c r="HE8" s="1613"/>
      <c r="HF8" s="1613"/>
      <c r="HG8" s="1613"/>
      <c r="HH8" s="1613"/>
      <c r="HI8" s="1613"/>
      <c r="HJ8" s="1613"/>
      <c r="HK8" s="1613"/>
      <c r="HL8" s="1613"/>
      <c r="HM8" s="1613"/>
      <c r="HN8" s="1613"/>
      <c r="HO8" s="1613"/>
      <c r="HP8" s="1613"/>
      <c r="HQ8" s="1613"/>
      <c r="HR8" s="1613"/>
      <c r="HS8" s="1613"/>
      <c r="HT8" s="1613"/>
      <c r="HU8" s="1613"/>
      <c r="HV8" s="1613"/>
      <c r="HW8" s="1613"/>
      <c r="HX8" s="1613"/>
      <c r="HY8" s="1613"/>
      <c r="HZ8" s="1613"/>
      <c r="IA8" s="1613"/>
      <c r="IB8" s="1613"/>
      <c r="IC8" s="1613"/>
      <c r="ID8" s="1613"/>
      <c r="IE8" s="1613"/>
      <c r="IF8" s="1613"/>
      <c r="IG8" s="1613"/>
      <c r="IH8" s="1613"/>
      <c r="II8" s="1613"/>
      <c r="IJ8" s="1613"/>
      <c r="IK8" s="1613"/>
      <c r="IL8" s="1613"/>
      <c r="IM8" s="1613"/>
    </row>
    <row r="9" spans="1:247">
      <c r="A9" s="1623" t="s">
        <v>193</v>
      </c>
      <c r="B9" s="1624"/>
      <c r="C9" s="1624"/>
      <c r="D9" s="1624"/>
      <c r="E9" s="1624"/>
      <c r="F9" s="1624"/>
      <c r="G9" s="1625"/>
      <c r="H9" s="1626"/>
      <c r="I9" s="1626"/>
      <c r="J9" s="1626"/>
      <c r="K9" s="1626"/>
      <c r="L9" s="1626"/>
      <c r="M9" s="1626"/>
      <c r="N9" s="1626"/>
      <c r="O9" s="1626"/>
      <c r="P9" s="1626"/>
      <c r="Q9" s="1626"/>
      <c r="R9" s="1626"/>
      <c r="S9" s="1626"/>
      <c r="T9" s="1626"/>
      <c r="U9" s="1626"/>
      <c r="V9" s="1626"/>
      <c r="W9" s="1626"/>
      <c r="X9" s="1626"/>
      <c r="Y9" s="1626"/>
      <c r="Z9" s="1626"/>
      <c r="AA9" s="1626"/>
      <c r="AB9" s="1626"/>
      <c r="AC9" s="1626"/>
      <c r="AD9" s="1626"/>
      <c r="AE9" s="1626"/>
      <c r="AF9" s="1626"/>
      <c r="AG9" s="1626"/>
      <c r="AH9" s="1626"/>
      <c r="AI9" s="1626"/>
      <c r="AJ9" s="1626"/>
      <c r="AK9" s="1626"/>
      <c r="AL9" s="1626"/>
      <c r="AM9" s="1626"/>
      <c r="AN9" s="1626"/>
      <c r="AO9" s="1626"/>
      <c r="AP9" s="1626"/>
      <c r="AQ9" s="1626"/>
      <c r="AR9" s="1626"/>
      <c r="AS9" s="1626"/>
      <c r="AT9" s="1626"/>
      <c r="AU9" s="1626"/>
      <c r="AV9" s="1626"/>
      <c r="AW9" s="1626"/>
      <c r="AX9" s="1626"/>
      <c r="AY9" s="1626"/>
      <c r="AZ9" s="1626"/>
      <c r="BA9" s="1626"/>
      <c r="BB9" s="1626"/>
      <c r="BC9" s="1626"/>
      <c r="BD9" s="1626"/>
      <c r="BE9" s="1626"/>
      <c r="BF9" s="1626"/>
      <c r="BG9" s="1626"/>
      <c r="BH9" s="1626"/>
      <c r="BI9" s="1626"/>
      <c r="BJ9" s="1626"/>
      <c r="BK9" s="1626"/>
      <c r="BL9" s="1626"/>
      <c r="BM9" s="1626"/>
      <c r="BN9" s="1626"/>
      <c r="BO9" s="1626"/>
      <c r="BP9" s="1626"/>
      <c r="BQ9" s="1626"/>
      <c r="BR9" s="1626"/>
      <c r="BS9" s="1626"/>
      <c r="BT9" s="1626"/>
      <c r="BU9" s="1626"/>
      <c r="BV9" s="1626"/>
      <c r="BW9" s="1626"/>
      <c r="BX9" s="1626"/>
      <c r="BY9" s="1626"/>
      <c r="BZ9" s="1626"/>
      <c r="CA9" s="1626"/>
      <c r="CB9" s="1626"/>
      <c r="CC9" s="1626"/>
      <c r="CD9" s="1626"/>
      <c r="CE9" s="1626"/>
      <c r="CF9" s="1626"/>
      <c r="CG9" s="1626"/>
      <c r="CH9" s="1626"/>
      <c r="CI9" s="1626"/>
      <c r="CJ9" s="1626"/>
      <c r="CK9" s="1626"/>
      <c r="CL9" s="1626"/>
      <c r="CM9" s="1626"/>
      <c r="CN9" s="1626"/>
      <c r="CO9" s="1626"/>
      <c r="CP9" s="1626"/>
      <c r="CQ9" s="1626"/>
      <c r="CR9" s="1626"/>
      <c r="CS9" s="1626"/>
      <c r="CT9" s="1626"/>
      <c r="CU9" s="1626"/>
      <c r="CV9" s="1626"/>
      <c r="CW9" s="1626"/>
      <c r="CX9" s="1626"/>
      <c r="CY9" s="1626"/>
      <c r="CZ9" s="1626"/>
      <c r="DA9" s="1626"/>
      <c r="DB9" s="1626"/>
      <c r="DC9" s="1626"/>
      <c r="DD9" s="1626"/>
      <c r="DE9" s="1626"/>
      <c r="DF9" s="1626"/>
      <c r="DG9" s="1626"/>
      <c r="DH9" s="1626"/>
      <c r="DI9" s="1626"/>
      <c r="DJ9" s="1626"/>
      <c r="DK9" s="1626"/>
      <c r="DL9" s="1626"/>
      <c r="DM9" s="1626"/>
      <c r="DN9" s="1626"/>
      <c r="DO9" s="1626"/>
      <c r="DP9" s="1626"/>
      <c r="DQ9" s="1626"/>
      <c r="DR9" s="1626"/>
      <c r="DS9" s="1626"/>
      <c r="DT9" s="1626"/>
      <c r="DU9" s="1626"/>
      <c r="DV9" s="1626"/>
      <c r="DW9" s="1626"/>
      <c r="DX9" s="1626"/>
      <c r="DY9" s="1626"/>
      <c r="DZ9" s="1626"/>
      <c r="EA9" s="1626"/>
      <c r="EB9" s="1626"/>
      <c r="EC9" s="1626"/>
      <c r="ED9" s="1626"/>
      <c r="EE9" s="1626"/>
      <c r="EF9" s="1626"/>
      <c r="EG9" s="1626"/>
      <c r="EH9" s="1626"/>
      <c r="EI9" s="1626"/>
      <c r="EJ9" s="1626"/>
      <c r="EK9" s="1626"/>
      <c r="EL9" s="1626"/>
      <c r="EM9" s="1626"/>
      <c r="EN9" s="1626"/>
      <c r="EO9" s="1626"/>
      <c r="EP9" s="1626"/>
      <c r="EQ9" s="1626"/>
      <c r="ER9" s="1626"/>
      <c r="ES9" s="1626"/>
      <c r="ET9" s="1626"/>
      <c r="EU9" s="1626"/>
      <c r="EV9" s="1626"/>
      <c r="EW9" s="1626"/>
      <c r="EX9" s="1626"/>
      <c r="EY9" s="1626"/>
      <c r="EZ9" s="1626"/>
      <c r="FA9" s="1626"/>
      <c r="FB9" s="1626"/>
      <c r="FC9" s="1626"/>
      <c r="FD9" s="1626"/>
      <c r="FE9" s="1626"/>
      <c r="FF9" s="1626"/>
      <c r="FG9" s="1626"/>
      <c r="FH9" s="1626"/>
      <c r="FI9" s="1626"/>
      <c r="FJ9" s="1626"/>
      <c r="FK9" s="1626"/>
      <c r="FL9" s="1626"/>
      <c r="FM9" s="1626"/>
      <c r="FN9" s="1626"/>
      <c r="FO9" s="1626"/>
      <c r="FP9" s="1626"/>
      <c r="FQ9" s="1626"/>
      <c r="FR9" s="1626"/>
      <c r="FS9" s="1626"/>
      <c r="FT9" s="1626"/>
      <c r="FU9" s="1626"/>
      <c r="FV9" s="1626"/>
      <c r="FW9" s="1626"/>
      <c r="FX9" s="1626"/>
      <c r="FY9" s="1626"/>
      <c r="FZ9" s="1626"/>
      <c r="GA9" s="1626"/>
      <c r="GB9" s="1626"/>
      <c r="GC9" s="1626"/>
      <c r="GD9" s="1626"/>
      <c r="GE9" s="1626"/>
      <c r="GF9" s="1626"/>
      <c r="GG9" s="1626"/>
      <c r="GH9" s="1626"/>
      <c r="GI9" s="1626"/>
      <c r="GJ9" s="1626"/>
      <c r="GK9" s="1626"/>
      <c r="GL9" s="1626"/>
      <c r="GM9" s="1626"/>
      <c r="GN9" s="1626"/>
      <c r="GO9" s="1626"/>
      <c r="GP9" s="1626"/>
      <c r="GQ9" s="1626"/>
      <c r="GR9" s="1626"/>
      <c r="GS9" s="1626"/>
      <c r="GT9" s="1626"/>
      <c r="GU9" s="1626"/>
      <c r="GV9" s="1626"/>
      <c r="GW9" s="1626"/>
      <c r="GX9" s="1626"/>
      <c r="GY9" s="1626"/>
      <c r="GZ9" s="1626"/>
      <c r="HA9" s="1626"/>
      <c r="HB9" s="1626"/>
      <c r="HC9" s="1626"/>
      <c r="HD9" s="1626"/>
      <c r="HE9" s="1626"/>
      <c r="HF9" s="1626"/>
      <c r="HG9" s="1626"/>
      <c r="HH9" s="1626"/>
      <c r="HI9" s="1626"/>
      <c r="HJ9" s="1626"/>
      <c r="HK9" s="1626"/>
      <c r="HL9" s="1626"/>
      <c r="HM9" s="1626"/>
      <c r="HN9" s="1626"/>
      <c r="HO9" s="1626"/>
      <c r="HP9" s="1626"/>
      <c r="HQ9" s="1626"/>
      <c r="HR9" s="1626"/>
      <c r="HS9" s="1626"/>
      <c r="HT9" s="1626"/>
      <c r="HU9" s="1626"/>
      <c r="HV9" s="1626"/>
      <c r="HW9" s="1626"/>
      <c r="HX9" s="1626"/>
      <c r="HY9" s="1626"/>
      <c r="HZ9" s="1626"/>
      <c r="IA9" s="1626"/>
      <c r="IB9" s="1626"/>
      <c r="IC9" s="1626"/>
      <c r="ID9" s="1626"/>
      <c r="IE9" s="1626"/>
      <c r="IF9" s="1626"/>
      <c r="IG9" s="1626"/>
      <c r="IH9" s="1626"/>
      <c r="II9" s="1626"/>
      <c r="IJ9" s="1626"/>
      <c r="IK9" s="1626"/>
      <c r="IL9" s="1626"/>
      <c r="IM9" s="1626"/>
    </row>
    <row r="10" spans="1:247">
      <c r="A10" s="1627" t="s">
        <v>195</v>
      </c>
      <c r="B10" s="1628">
        <f>审定资负表!C70</f>
        <v>0</v>
      </c>
      <c r="C10" s="1628">
        <f>审定资负表!D7</f>
        <v>0</v>
      </c>
      <c r="D10" s="1629" t="str">
        <f>IF(B10=0," ",B10/$B$51)</f>
        <v> </v>
      </c>
      <c r="E10" s="1630">
        <f>B10-C10</f>
        <v>0</v>
      </c>
      <c r="F10" s="1631">
        <f>IFERROR(IF(C10=0,B10/ABS(B10),ROUND(E10/ABS(C10),4)),0)</f>
        <v>0</v>
      </c>
      <c r="G10" s="1632"/>
      <c r="H10" s="1633"/>
      <c r="I10" s="1633"/>
      <c r="J10" s="1633"/>
      <c r="K10" s="1633"/>
      <c r="L10" s="1633"/>
      <c r="M10" s="1633"/>
      <c r="N10" s="1633"/>
      <c r="O10" s="1633"/>
      <c r="P10" s="1633"/>
      <c r="Q10" s="1633"/>
      <c r="R10" s="1633"/>
      <c r="S10" s="1633"/>
      <c r="T10" s="1633"/>
      <c r="U10" s="1633"/>
      <c r="V10" s="1633"/>
      <c r="W10" s="1633"/>
      <c r="X10" s="1633"/>
      <c r="Y10" s="1633"/>
      <c r="Z10" s="1633"/>
      <c r="AA10" s="1633"/>
      <c r="AB10" s="1633"/>
      <c r="AC10" s="1633"/>
      <c r="AD10" s="1633"/>
      <c r="AE10" s="1633"/>
      <c r="AF10" s="1633"/>
      <c r="AG10" s="1633"/>
      <c r="AH10" s="1633"/>
      <c r="AI10" s="1633"/>
      <c r="AJ10" s="1633"/>
      <c r="AK10" s="1633"/>
      <c r="AL10" s="1633"/>
      <c r="AM10" s="1633"/>
      <c r="AN10" s="1633"/>
      <c r="AO10" s="1633"/>
      <c r="AP10" s="1633"/>
      <c r="AQ10" s="1633"/>
      <c r="AR10" s="1633"/>
      <c r="AS10" s="1633"/>
      <c r="AT10" s="1633"/>
      <c r="AU10" s="1633"/>
      <c r="AV10" s="1633"/>
      <c r="AW10" s="1633"/>
      <c r="AX10" s="1633"/>
      <c r="AY10" s="1633"/>
      <c r="AZ10" s="1633"/>
      <c r="BA10" s="1633"/>
      <c r="BB10" s="1633"/>
      <c r="BC10" s="1633"/>
      <c r="BD10" s="1633"/>
      <c r="BE10" s="1633"/>
      <c r="BF10" s="1633"/>
      <c r="BG10" s="1633"/>
      <c r="BH10" s="1633"/>
      <c r="BI10" s="1633"/>
      <c r="BJ10" s="1633"/>
      <c r="BK10" s="1633"/>
      <c r="BL10" s="1633"/>
      <c r="BM10" s="1633"/>
      <c r="BN10" s="1633"/>
      <c r="BO10" s="1633"/>
      <c r="BP10" s="1633"/>
      <c r="BQ10" s="1633"/>
      <c r="BR10" s="1633"/>
      <c r="BS10" s="1633"/>
      <c r="BT10" s="1633"/>
      <c r="BU10" s="1633"/>
      <c r="BV10" s="1633"/>
      <c r="BW10" s="1633"/>
      <c r="BX10" s="1633"/>
      <c r="BY10" s="1633"/>
      <c r="BZ10" s="1633"/>
      <c r="CA10" s="1633"/>
      <c r="CB10" s="1633"/>
      <c r="CC10" s="1633"/>
      <c r="CD10" s="1633"/>
      <c r="CE10" s="1633"/>
      <c r="CF10" s="1633"/>
      <c r="CG10" s="1633"/>
      <c r="CH10" s="1633"/>
      <c r="CI10" s="1633"/>
      <c r="CJ10" s="1633"/>
      <c r="CK10" s="1633"/>
      <c r="CL10" s="1633"/>
      <c r="CM10" s="1633"/>
      <c r="CN10" s="1633"/>
      <c r="CO10" s="1633"/>
      <c r="CP10" s="1633"/>
      <c r="CQ10" s="1633"/>
      <c r="CR10" s="1633"/>
      <c r="CS10" s="1633"/>
      <c r="CT10" s="1633"/>
      <c r="CU10" s="1633"/>
      <c r="CV10" s="1633"/>
      <c r="CW10" s="1633"/>
      <c r="CX10" s="1633"/>
      <c r="CY10" s="1633"/>
      <c r="CZ10" s="1633"/>
      <c r="DA10" s="1633"/>
      <c r="DB10" s="1633"/>
      <c r="DC10" s="1633"/>
      <c r="DD10" s="1633"/>
      <c r="DE10" s="1633"/>
      <c r="DF10" s="1633"/>
      <c r="DG10" s="1633"/>
      <c r="DH10" s="1633"/>
      <c r="DI10" s="1633"/>
      <c r="DJ10" s="1633"/>
      <c r="DK10" s="1633"/>
      <c r="DL10" s="1633"/>
      <c r="DM10" s="1633"/>
      <c r="DN10" s="1633"/>
      <c r="DO10" s="1633"/>
      <c r="DP10" s="1633"/>
      <c r="DQ10" s="1633"/>
      <c r="DR10" s="1633"/>
      <c r="DS10" s="1633"/>
      <c r="DT10" s="1633"/>
      <c r="DU10" s="1633"/>
      <c r="DV10" s="1633"/>
      <c r="DW10" s="1633"/>
      <c r="DX10" s="1633"/>
      <c r="DY10" s="1633"/>
      <c r="DZ10" s="1633"/>
      <c r="EA10" s="1633"/>
      <c r="EB10" s="1633"/>
      <c r="EC10" s="1633"/>
      <c r="ED10" s="1633"/>
      <c r="EE10" s="1633"/>
      <c r="EF10" s="1633"/>
      <c r="EG10" s="1633"/>
      <c r="EH10" s="1633"/>
      <c r="EI10" s="1633"/>
      <c r="EJ10" s="1633"/>
      <c r="EK10" s="1633"/>
      <c r="EL10" s="1633"/>
      <c r="EM10" s="1633"/>
      <c r="EN10" s="1633"/>
      <c r="EO10" s="1633"/>
      <c r="EP10" s="1633"/>
      <c r="EQ10" s="1633"/>
      <c r="ER10" s="1633"/>
      <c r="ES10" s="1633"/>
      <c r="ET10" s="1633"/>
      <c r="EU10" s="1633"/>
      <c r="EV10" s="1633"/>
      <c r="EW10" s="1633"/>
      <c r="EX10" s="1633"/>
      <c r="EY10" s="1633"/>
      <c r="EZ10" s="1633"/>
      <c r="FA10" s="1633"/>
      <c r="FB10" s="1633"/>
      <c r="FC10" s="1633"/>
      <c r="FD10" s="1633"/>
      <c r="FE10" s="1633"/>
      <c r="FF10" s="1633"/>
      <c r="FG10" s="1633"/>
      <c r="FH10" s="1633"/>
      <c r="FI10" s="1633"/>
      <c r="FJ10" s="1633"/>
      <c r="FK10" s="1633"/>
      <c r="FL10" s="1633"/>
      <c r="FM10" s="1633"/>
      <c r="FN10" s="1633"/>
      <c r="FO10" s="1633"/>
      <c r="FP10" s="1633"/>
      <c r="FQ10" s="1633"/>
      <c r="FR10" s="1633"/>
      <c r="FS10" s="1633"/>
      <c r="FT10" s="1633"/>
      <c r="FU10" s="1633"/>
      <c r="FV10" s="1633"/>
      <c r="FW10" s="1633"/>
      <c r="FX10" s="1633"/>
      <c r="FY10" s="1633"/>
      <c r="FZ10" s="1633"/>
      <c r="GA10" s="1633"/>
      <c r="GB10" s="1633"/>
      <c r="GC10" s="1633"/>
      <c r="GD10" s="1633"/>
      <c r="GE10" s="1633"/>
      <c r="GF10" s="1633"/>
      <c r="GG10" s="1633"/>
      <c r="GH10" s="1633"/>
      <c r="GI10" s="1633"/>
      <c r="GJ10" s="1633"/>
      <c r="GK10" s="1633"/>
      <c r="GL10" s="1633"/>
      <c r="GM10" s="1633"/>
      <c r="GN10" s="1633"/>
      <c r="GO10" s="1633"/>
      <c r="GP10" s="1633"/>
      <c r="GQ10" s="1633"/>
      <c r="GR10" s="1633"/>
      <c r="GS10" s="1633"/>
      <c r="GT10" s="1633"/>
      <c r="GU10" s="1633"/>
      <c r="GV10" s="1633"/>
      <c r="GW10" s="1633"/>
      <c r="GX10" s="1633"/>
      <c r="GY10" s="1633"/>
      <c r="GZ10" s="1633"/>
      <c r="HA10" s="1633"/>
      <c r="HB10" s="1633"/>
      <c r="HC10" s="1633"/>
      <c r="HD10" s="1633"/>
      <c r="HE10" s="1633"/>
      <c r="HF10" s="1633"/>
      <c r="HG10" s="1633"/>
      <c r="HH10" s="1633"/>
      <c r="HI10" s="1633"/>
      <c r="HJ10" s="1633"/>
      <c r="HK10" s="1633"/>
      <c r="HL10" s="1633"/>
      <c r="HM10" s="1633"/>
      <c r="HN10" s="1633"/>
      <c r="HO10" s="1633"/>
      <c r="HP10" s="1633"/>
      <c r="HQ10" s="1633"/>
      <c r="HR10" s="1633"/>
      <c r="HS10" s="1633"/>
      <c r="HT10" s="1633"/>
      <c r="HU10" s="1633"/>
      <c r="HV10" s="1633"/>
      <c r="HW10" s="1633"/>
      <c r="HX10" s="1633"/>
      <c r="HY10" s="1633"/>
      <c r="HZ10" s="1633"/>
      <c r="IA10" s="1633"/>
      <c r="IB10" s="1633"/>
      <c r="IC10" s="1633"/>
      <c r="ID10" s="1633"/>
      <c r="IE10" s="1633"/>
      <c r="IF10" s="1633"/>
      <c r="IG10" s="1633"/>
      <c r="IH10" s="1633"/>
      <c r="II10" s="1633"/>
      <c r="IJ10" s="1633"/>
      <c r="IK10" s="1633"/>
      <c r="IL10" s="1633"/>
      <c r="IM10" s="1633"/>
    </row>
    <row r="11" spans="1:247">
      <c r="A11" s="1627" t="s">
        <v>1395</v>
      </c>
      <c r="B11" s="1628">
        <f>审定资负表!C8</f>
        <v>0</v>
      </c>
      <c r="C11" s="1628">
        <f>审定资负表!D8</f>
        <v>0</v>
      </c>
      <c r="D11" s="1629" t="str">
        <f t="shared" ref="D11:D74" si="0">IF(B11=0," ",B11/$B$51)</f>
        <v> </v>
      </c>
      <c r="E11" s="1630">
        <f t="shared" ref="E11:E74" si="1">B11-C11</f>
        <v>0</v>
      </c>
      <c r="F11" s="1631">
        <f t="shared" ref="F11:F74" si="2">IFERROR(IF(C11=0,B11/ABS(B11),ROUND(E11/ABS(C11),4)),0)</f>
        <v>0</v>
      </c>
      <c r="G11" s="1634"/>
      <c r="H11" s="1633"/>
      <c r="I11" s="1633"/>
      <c r="J11" s="1633"/>
      <c r="K11" s="1633"/>
      <c r="L11" s="1633"/>
      <c r="M11" s="1633"/>
      <c r="N11" s="1633"/>
      <c r="O11" s="1633"/>
      <c r="P11" s="1633"/>
      <c r="Q11" s="1633"/>
      <c r="R11" s="1633"/>
      <c r="S11" s="1633"/>
      <c r="T11" s="1633"/>
      <c r="U11" s="1633"/>
      <c r="V11" s="1633"/>
      <c r="W11" s="1633"/>
      <c r="X11" s="1633"/>
      <c r="Y11" s="1633"/>
      <c r="Z11" s="1633"/>
      <c r="AA11" s="1633"/>
      <c r="AB11" s="1633"/>
      <c r="AC11" s="1633"/>
      <c r="AD11" s="1633"/>
      <c r="AE11" s="1633"/>
      <c r="AF11" s="1633"/>
      <c r="AG11" s="1633"/>
      <c r="AH11" s="1633"/>
      <c r="AI11" s="1633"/>
      <c r="AJ11" s="1633"/>
      <c r="AK11" s="1633"/>
      <c r="AL11" s="1633"/>
      <c r="AM11" s="1633"/>
      <c r="AN11" s="1633"/>
      <c r="AO11" s="1633"/>
      <c r="AP11" s="1633"/>
      <c r="AQ11" s="1633"/>
      <c r="AR11" s="1633"/>
      <c r="AS11" s="1633"/>
      <c r="AT11" s="1633"/>
      <c r="AU11" s="1633"/>
      <c r="AV11" s="1633"/>
      <c r="AW11" s="1633"/>
      <c r="AX11" s="1633"/>
      <c r="AY11" s="1633"/>
      <c r="AZ11" s="1633"/>
      <c r="BA11" s="1633"/>
      <c r="BB11" s="1633"/>
      <c r="BC11" s="1633"/>
      <c r="BD11" s="1633"/>
      <c r="BE11" s="1633"/>
      <c r="BF11" s="1633"/>
      <c r="BG11" s="1633"/>
      <c r="BH11" s="1633"/>
      <c r="BI11" s="1633"/>
      <c r="BJ11" s="1633"/>
      <c r="BK11" s="1633"/>
      <c r="BL11" s="1633"/>
      <c r="BM11" s="1633"/>
      <c r="BN11" s="1633"/>
      <c r="BO11" s="1633"/>
      <c r="BP11" s="1633"/>
      <c r="BQ11" s="1633"/>
      <c r="BR11" s="1633"/>
      <c r="BS11" s="1633"/>
      <c r="BT11" s="1633"/>
      <c r="BU11" s="1633"/>
      <c r="BV11" s="1633"/>
      <c r="BW11" s="1633"/>
      <c r="BX11" s="1633"/>
      <c r="BY11" s="1633"/>
      <c r="BZ11" s="1633"/>
      <c r="CA11" s="1633"/>
      <c r="CB11" s="1633"/>
      <c r="CC11" s="1633"/>
      <c r="CD11" s="1633"/>
      <c r="CE11" s="1633"/>
      <c r="CF11" s="1633"/>
      <c r="CG11" s="1633"/>
      <c r="CH11" s="1633"/>
      <c r="CI11" s="1633"/>
      <c r="CJ11" s="1633"/>
      <c r="CK11" s="1633"/>
      <c r="CL11" s="1633"/>
      <c r="CM11" s="1633"/>
      <c r="CN11" s="1633"/>
      <c r="CO11" s="1633"/>
      <c r="CP11" s="1633"/>
      <c r="CQ11" s="1633"/>
      <c r="CR11" s="1633"/>
      <c r="CS11" s="1633"/>
      <c r="CT11" s="1633"/>
      <c r="CU11" s="1633"/>
      <c r="CV11" s="1633"/>
      <c r="CW11" s="1633"/>
      <c r="CX11" s="1633"/>
      <c r="CY11" s="1633"/>
      <c r="CZ11" s="1633"/>
      <c r="DA11" s="1633"/>
      <c r="DB11" s="1633"/>
      <c r="DC11" s="1633"/>
      <c r="DD11" s="1633"/>
      <c r="DE11" s="1633"/>
      <c r="DF11" s="1633"/>
      <c r="DG11" s="1633"/>
      <c r="DH11" s="1633"/>
      <c r="DI11" s="1633"/>
      <c r="DJ11" s="1633"/>
      <c r="DK11" s="1633"/>
      <c r="DL11" s="1633"/>
      <c r="DM11" s="1633"/>
      <c r="DN11" s="1633"/>
      <c r="DO11" s="1633"/>
      <c r="DP11" s="1633"/>
      <c r="DQ11" s="1633"/>
      <c r="DR11" s="1633"/>
      <c r="DS11" s="1633"/>
      <c r="DT11" s="1633"/>
      <c r="DU11" s="1633"/>
      <c r="DV11" s="1633"/>
      <c r="DW11" s="1633"/>
      <c r="DX11" s="1633"/>
      <c r="DY11" s="1633"/>
      <c r="DZ11" s="1633"/>
      <c r="EA11" s="1633"/>
      <c r="EB11" s="1633"/>
      <c r="EC11" s="1633"/>
      <c r="ED11" s="1633"/>
      <c r="EE11" s="1633"/>
      <c r="EF11" s="1633"/>
      <c r="EG11" s="1633"/>
      <c r="EH11" s="1633"/>
      <c r="EI11" s="1633"/>
      <c r="EJ11" s="1633"/>
      <c r="EK11" s="1633"/>
      <c r="EL11" s="1633"/>
      <c r="EM11" s="1633"/>
      <c r="EN11" s="1633"/>
      <c r="EO11" s="1633"/>
      <c r="EP11" s="1633"/>
      <c r="EQ11" s="1633"/>
      <c r="ER11" s="1633"/>
      <c r="ES11" s="1633"/>
      <c r="ET11" s="1633"/>
      <c r="EU11" s="1633"/>
      <c r="EV11" s="1633"/>
      <c r="EW11" s="1633"/>
      <c r="EX11" s="1633"/>
      <c r="EY11" s="1633"/>
      <c r="EZ11" s="1633"/>
      <c r="FA11" s="1633"/>
      <c r="FB11" s="1633"/>
      <c r="FC11" s="1633"/>
      <c r="FD11" s="1633"/>
      <c r="FE11" s="1633"/>
      <c r="FF11" s="1633"/>
      <c r="FG11" s="1633"/>
      <c r="FH11" s="1633"/>
      <c r="FI11" s="1633"/>
      <c r="FJ11" s="1633"/>
      <c r="FK11" s="1633"/>
      <c r="FL11" s="1633"/>
      <c r="FM11" s="1633"/>
      <c r="FN11" s="1633"/>
      <c r="FO11" s="1633"/>
      <c r="FP11" s="1633"/>
      <c r="FQ11" s="1633"/>
      <c r="FR11" s="1633"/>
      <c r="FS11" s="1633"/>
      <c r="FT11" s="1633"/>
      <c r="FU11" s="1633"/>
      <c r="FV11" s="1633"/>
      <c r="FW11" s="1633"/>
      <c r="FX11" s="1633"/>
      <c r="FY11" s="1633"/>
      <c r="FZ11" s="1633"/>
      <c r="GA11" s="1633"/>
      <c r="GB11" s="1633"/>
      <c r="GC11" s="1633"/>
      <c r="GD11" s="1633"/>
      <c r="GE11" s="1633"/>
      <c r="GF11" s="1633"/>
      <c r="GG11" s="1633"/>
      <c r="GH11" s="1633"/>
      <c r="GI11" s="1633"/>
      <c r="GJ11" s="1633"/>
      <c r="GK11" s="1633"/>
      <c r="GL11" s="1633"/>
      <c r="GM11" s="1633"/>
      <c r="GN11" s="1633"/>
      <c r="GO11" s="1633"/>
      <c r="GP11" s="1633"/>
      <c r="GQ11" s="1633"/>
      <c r="GR11" s="1633"/>
      <c r="GS11" s="1633"/>
      <c r="GT11" s="1633"/>
      <c r="GU11" s="1633"/>
      <c r="GV11" s="1633"/>
      <c r="GW11" s="1633"/>
      <c r="GX11" s="1633"/>
      <c r="GY11" s="1633"/>
      <c r="GZ11" s="1633"/>
      <c r="HA11" s="1633"/>
      <c r="HB11" s="1633"/>
      <c r="HC11" s="1633"/>
      <c r="HD11" s="1633"/>
      <c r="HE11" s="1633"/>
      <c r="HF11" s="1633"/>
      <c r="HG11" s="1633"/>
      <c r="HH11" s="1633"/>
      <c r="HI11" s="1633"/>
      <c r="HJ11" s="1633"/>
      <c r="HK11" s="1633"/>
      <c r="HL11" s="1633"/>
      <c r="HM11" s="1633"/>
      <c r="HN11" s="1633"/>
      <c r="HO11" s="1633"/>
      <c r="HP11" s="1633"/>
      <c r="HQ11" s="1633"/>
      <c r="HR11" s="1633"/>
      <c r="HS11" s="1633"/>
      <c r="HT11" s="1633"/>
      <c r="HU11" s="1633"/>
      <c r="HV11" s="1633"/>
      <c r="HW11" s="1633"/>
      <c r="HX11" s="1633"/>
      <c r="HY11" s="1633"/>
      <c r="HZ11" s="1633"/>
      <c r="IA11" s="1633"/>
      <c r="IB11" s="1633"/>
      <c r="IC11" s="1633"/>
      <c r="ID11" s="1633"/>
      <c r="IE11" s="1633"/>
      <c r="IF11" s="1633"/>
      <c r="IG11" s="1633"/>
      <c r="IH11" s="1633"/>
      <c r="II11" s="1633"/>
      <c r="IJ11" s="1633"/>
      <c r="IK11" s="1633"/>
      <c r="IL11" s="1633"/>
      <c r="IM11" s="1633"/>
    </row>
    <row r="12" spans="1:247">
      <c r="A12" s="1627" t="s">
        <v>199</v>
      </c>
      <c r="B12" s="1628">
        <f>审定资负表!C9</f>
        <v>0</v>
      </c>
      <c r="C12" s="1628">
        <f>审定资负表!D9</f>
        <v>0</v>
      </c>
      <c r="D12" s="1629" t="str">
        <f t="shared" si="0"/>
        <v> </v>
      </c>
      <c r="E12" s="1630">
        <f t="shared" si="1"/>
        <v>0</v>
      </c>
      <c r="F12" s="1631">
        <f t="shared" si="2"/>
        <v>0</v>
      </c>
      <c r="G12" s="1634"/>
      <c r="H12" s="1633"/>
      <c r="I12" s="1633"/>
      <c r="J12" s="1633"/>
      <c r="K12" s="1633"/>
      <c r="L12" s="1633"/>
      <c r="M12" s="1633"/>
      <c r="N12" s="1633"/>
      <c r="O12" s="1633"/>
      <c r="P12" s="1633"/>
      <c r="Q12" s="1633"/>
      <c r="R12" s="1633"/>
      <c r="S12" s="1633"/>
      <c r="T12" s="1633"/>
      <c r="U12" s="1633"/>
      <c r="V12" s="1633"/>
      <c r="W12" s="1633"/>
      <c r="X12" s="1633"/>
      <c r="Y12" s="1633"/>
      <c r="Z12" s="1633"/>
      <c r="AA12" s="1633"/>
      <c r="AB12" s="1633"/>
      <c r="AC12" s="1633"/>
      <c r="AD12" s="1633"/>
      <c r="AE12" s="1633"/>
      <c r="AF12" s="1633"/>
      <c r="AG12" s="1633"/>
      <c r="AH12" s="1633"/>
      <c r="AI12" s="1633"/>
      <c r="AJ12" s="1633"/>
      <c r="AK12" s="1633"/>
      <c r="AL12" s="1633"/>
      <c r="AM12" s="1633"/>
      <c r="AN12" s="1633"/>
      <c r="AO12" s="1633"/>
      <c r="AP12" s="1633"/>
      <c r="AQ12" s="1633"/>
      <c r="AR12" s="1633"/>
      <c r="AS12" s="1633"/>
      <c r="AT12" s="1633"/>
      <c r="AU12" s="1633"/>
      <c r="AV12" s="1633"/>
      <c r="AW12" s="1633"/>
      <c r="AX12" s="1633"/>
      <c r="AY12" s="1633"/>
      <c r="AZ12" s="1633"/>
      <c r="BA12" s="1633"/>
      <c r="BB12" s="1633"/>
      <c r="BC12" s="1633"/>
      <c r="BD12" s="1633"/>
      <c r="BE12" s="1633"/>
      <c r="BF12" s="1633"/>
      <c r="BG12" s="1633"/>
      <c r="BH12" s="1633"/>
      <c r="BI12" s="1633"/>
      <c r="BJ12" s="1633"/>
      <c r="BK12" s="1633"/>
      <c r="BL12" s="1633"/>
      <c r="BM12" s="1633"/>
      <c r="BN12" s="1633"/>
      <c r="BO12" s="1633"/>
      <c r="BP12" s="1633"/>
      <c r="BQ12" s="1633"/>
      <c r="BR12" s="1633"/>
      <c r="BS12" s="1633"/>
      <c r="BT12" s="1633"/>
      <c r="BU12" s="1633"/>
      <c r="BV12" s="1633"/>
      <c r="BW12" s="1633"/>
      <c r="BX12" s="1633"/>
      <c r="BY12" s="1633"/>
      <c r="BZ12" s="1633"/>
      <c r="CA12" s="1633"/>
      <c r="CB12" s="1633"/>
      <c r="CC12" s="1633"/>
      <c r="CD12" s="1633"/>
      <c r="CE12" s="1633"/>
      <c r="CF12" s="1633"/>
      <c r="CG12" s="1633"/>
      <c r="CH12" s="1633"/>
      <c r="CI12" s="1633"/>
      <c r="CJ12" s="1633"/>
      <c r="CK12" s="1633"/>
      <c r="CL12" s="1633"/>
      <c r="CM12" s="1633"/>
      <c r="CN12" s="1633"/>
      <c r="CO12" s="1633"/>
      <c r="CP12" s="1633"/>
      <c r="CQ12" s="1633"/>
      <c r="CR12" s="1633"/>
      <c r="CS12" s="1633"/>
      <c r="CT12" s="1633"/>
      <c r="CU12" s="1633"/>
      <c r="CV12" s="1633"/>
      <c r="CW12" s="1633"/>
      <c r="CX12" s="1633"/>
      <c r="CY12" s="1633"/>
      <c r="CZ12" s="1633"/>
      <c r="DA12" s="1633"/>
      <c r="DB12" s="1633"/>
      <c r="DC12" s="1633"/>
      <c r="DD12" s="1633"/>
      <c r="DE12" s="1633"/>
      <c r="DF12" s="1633"/>
      <c r="DG12" s="1633"/>
      <c r="DH12" s="1633"/>
      <c r="DI12" s="1633"/>
      <c r="DJ12" s="1633"/>
      <c r="DK12" s="1633"/>
      <c r="DL12" s="1633"/>
      <c r="DM12" s="1633"/>
      <c r="DN12" s="1633"/>
      <c r="DO12" s="1633"/>
      <c r="DP12" s="1633"/>
      <c r="DQ12" s="1633"/>
      <c r="DR12" s="1633"/>
      <c r="DS12" s="1633"/>
      <c r="DT12" s="1633"/>
      <c r="DU12" s="1633"/>
      <c r="DV12" s="1633"/>
      <c r="DW12" s="1633"/>
      <c r="DX12" s="1633"/>
      <c r="DY12" s="1633"/>
      <c r="DZ12" s="1633"/>
      <c r="EA12" s="1633"/>
      <c r="EB12" s="1633"/>
      <c r="EC12" s="1633"/>
      <c r="ED12" s="1633"/>
      <c r="EE12" s="1633"/>
      <c r="EF12" s="1633"/>
      <c r="EG12" s="1633"/>
      <c r="EH12" s="1633"/>
      <c r="EI12" s="1633"/>
      <c r="EJ12" s="1633"/>
      <c r="EK12" s="1633"/>
      <c r="EL12" s="1633"/>
      <c r="EM12" s="1633"/>
      <c r="EN12" s="1633"/>
      <c r="EO12" s="1633"/>
      <c r="EP12" s="1633"/>
      <c r="EQ12" s="1633"/>
      <c r="ER12" s="1633"/>
      <c r="ES12" s="1633"/>
      <c r="ET12" s="1633"/>
      <c r="EU12" s="1633"/>
      <c r="EV12" s="1633"/>
      <c r="EW12" s="1633"/>
      <c r="EX12" s="1633"/>
      <c r="EY12" s="1633"/>
      <c r="EZ12" s="1633"/>
      <c r="FA12" s="1633"/>
      <c r="FB12" s="1633"/>
      <c r="FC12" s="1633"/>
      <c r="FD12" s="1633"/>
      <c r="FE12" s="1633"/>
      <c r="FF12" s="1633"/>
      <c r="FG12" s="1633"/>
      <c r="FH12" s="1633"/>
      <c r="FI12" s="1633"/>
      <c r="FJ12" s="1633"/>
      <c r="FK12" s="1633"/>
      <c r="FL12" s="1633"/>
      <c r="FM12" s="1633"/>
      <c r="FN12" s="1633"/>
      <c r="FO12" s="1633"/>
      <c r="FP12" s="1633"/>
      <c r="FQ12" s="1633"/>
      <c r="FR12" s="1633"/>
      <c r="FS12" s="1633"/>
      <c r="FT12" s="1633"/>
      <c r="FU12" s="1633"/>
      <c r="FV12" s="1633"/>
      <c r="FW12" s="1633"/>
      <c r="FX12" s="1633"/>
      <c r="FY12" s="1633"/>
      <c r="FZ12" s="1633"/>
      <c r="GA12" s="1633"/>
      <c r="GB12" s="1633"/>
      <c r="GC12" s="1633"/>
      <c r="GD12" s="1633"/>
      <c r="GE12" s="1633"/>
      <c r="GF12" s="1633"/>
      <c r="GG12" s="1633"/>
      <c r="GH12" s="1633"/>
      <c r="GI12" s="1633"/>
      <c r="GJ12" s="1633"/>
      <c r="GK12" s="1633"/>
      <c r="GL12" s="1633"/>
      <c r="GM12" s="1633"/>
      <c r="GN12" s="1633"/>
      <c r="GO12" s="1633"/>
      <c r="GP12" s="1633"/>
      <c r="GQ12" s="1633"/>
      <c r="GR12" s="1633"/>
      <c r="GS12" s="1633"/>
      <c r="GT12" s="1633"/>
      <c r="GU12" s="1633"/>
      <c r="GV12" s="1633"/>
      <c r="GW12" s="1633"/>
      <c r="GX12" s="1633"/>
      <c r="GY12" s="1633"/>
      <c r="GZ12" s="1633"/>
      <c r="HA12" s="1633"/>
      <c r="HB12" s="1633"/>
      <c r="HC12" s="1633"/>
      <c r="HD12" s="1633"/>
      <c r="HE12" s="1633"/>
      <c r="HF12" s="1633"/>
      <c r="HG12" s="1633"/>
      <c r="HH12" s="1633"/>
      <c r="HI12" s="1633"/>
      <c r="HJ12" s="1633"/>
      <c r="HK12" s="1633"/>
      <c r="HL12" s="1633"/>
      <c r="HM12" s="1633"/>
      <c r="HN12" s="1633"/>
      <c r="HO12" s="1633"/>
      <c r="HP12" s="1633"/>
      <c r="HQ12" s="1633"/>
      <c r="HR12" s="1633"/>
      <c r="HS12" s="1633"/>
      <c r="HT12" s="1633"/>
      <c r="HU12" s="1633"/>
      <c r="HV12" s="1633"/>
      <c r="HW12" s="1633"/>
      <c r="HX12" s="1633"/>
      <c r="HY12" s="1633"/>
      <c r="HZ12" s="1633"/>
      <c r="IA12" s="1633"/>
      <c r="IB12" s="1633"/>
      <c r="IC12" s="1633"/>
      <c r="ID12" s="1633"/>
      <c r="IE12" s="1633"/>
      <c r="IF12" s="1633"/>
      <c r="IG12" s="1633"/>
      <c r="IH12" s="1633"/>
      <c r="II12" s="1633"/>
      <c r="IJ12" s="1633"/>
      <c r="IK12" s="1633"/>
      <c r="IL12" s="1633"/>
      <c r="IM12" s="1633"/>
    </row>
    <row r="13" spans="1:247">
      <c r="A13" s="1627" t="s">
        <v>201</v>
      </c>
      <c r="B13" s="1628">
        <f>审定资负表!C10</f>
        <v>0</v>
      </c>
      <c r="C13" s="1628">
        <f>审定资负表!D10</f>
        <v>0</v>
      </c>
      <c r="D13" s="1629" t="str">
        <f t="shared" si="0"/>
        <v> </v>
      </c>
      <c r="E13" s="1630">
        <f t="shared" si="1"/>
        <v>0</v>
      </c>
      <c r="F13" s="1631">
        <f t="shared" si="2"/>
        <v>0</v>
      </c>
      <c r="G13" s="1634"/>
      <c r="H13" s="1633"/>
      <c r="I13" s="1633"/>
      <c r="J13" s="1633"/>
      <c r="K13" s="1633"/>
      <c r="L13" s="1633"/>
      <c r="M13" s="1633"/>
      <c r="N13" s="1633"/>
      <c r="O13" s="1633"/>
      <c r="P13" s="1633"/>
      <c r="Q13" s="1633"/>
      <c r="R13" s="1633"/>
      <c r="S13" s="1633"/>
      <c r="T13" s="1633"/>
      <c r="U13" s="1633"/>
      <c r="V13" s="1633"/>
      <c r="W13" s="1633"/>
      <c r="X13" s="1633"/>
      <c r="Y13" s="1633"/>
      <c r="Z13" s="1633"/>
      <c r="AA13" s="1633"/>
      <c r="AB13" s="1633"/>
      <c r="AC13" s="1633"/>
      <c r="AD13" s="1633"/>
      <c r="AE13" s="1633"/>
      <c r="AF13" s="1633"/>
      <c r="AG13" s="1633"/>
      <c r="AH13" s="1633"/>
      <c r="AI13" s="1633"/>
      <c r="AJ13" s="1633"/>
      <c r="AK13" s="1633"/>
      <c r="AL13" s="1633"/>
      <c r="AM13" s="1633"/>
      <c r="AN13" s="1633"/>
      <c r="AO13" s="1633"/>
      <c r="AP13" s="1633"/>
      <c r="AQ13" s="1633"/>
      <c r="AR13" s="1633"/>
      <c r="AS13" s="1633"/>
      <c r="AT13" s="1633"/>
      <c r="AU13" s="1633"/>
      <c r="AV13" s="1633"/>
      <c r="AW13" s="1633"/>
      <c r="AX13" s="1633"/>
      <c r="AY13" s="1633"/>
      <c r="AZ13" s="1633"/>
      <c r="BA13" s="1633"/>
      <c r="BB13" s="1633"/>
      <c r="BC13" s="1633"/>
      <c r="BD13" s="1633"/>
      <c r="BE13" s="1633"/>
      <c r="BF13" s="1633"/>
      <c r="BG13" s="1633"/>
      <c r="BH13" s="1633"/>
      <c r="BI13" s="1633"/>
      <c r="BJ13" s="1633"/>
      <c r="BK13" s="1633"/>
      <c r="BL13" s="1633"/>
      <c r="BM13" s="1633"/>
      <c r="BN13" s="1633"/>
      <c r="BO13" s="1633"/>
      <c r="BP13" s="1633"/>
      <c r="BQ13" s="1633"/>
      <c r="BR13" s="1633"/>
      <c r="BS13" s="1633"/>
      <c r="BT13" s="1633"/>
      <c r="BU13" s="1633"/>
      <c r="BV13" s="1633"/>
      <c r="BW13" s="1633"/>
      <c r="BX13" s="1633"/>
      <c r="BY13" s="1633"/>
      <c r="BZ13" s="1633"/>
      <c r="CA13" s="1633"/>
      <c r="CB13" s="1633"/>
      <c r="CC13" s="1633"/>
      <c r="CD13" s="1633"/>
      <c r="CE13" s="1633"/>
      <c r="CF13" s="1633"/>
      <c r="CG13" s="1633"/>
      <c r="CH13" s="1633"/>
      <c r="CI13" s="1633"/>
      <c r="CJ13" s="1633"/>
      <c r="CK13" s="1633"/>
      <c r="CL13" s="1633"/>
      <c r="CM13" s="1633"/>
      <c r="CN13" s="1633"/>
      <c r="CO13" s="1633"/>
      <c r="CP13" s="1633"/>
      <c r="CQ13" s="1633"/>
      <c r="CR13" s="1633"/>
      <c r="CS13" s="1633"/>
      <c r="CT13" s="1633"/>
      <c r="CU13" s="1633"/>
      <c r="CV13" s="1633"/>
      <c r="CW13" s="1633"/>
      <c r="CX13" s="1633"/>
      <c r="CY13" s="1633"/>
      <c r="CZ13" s="1633"/>
      <c r="DA13" s="1633"/>
      <c r="DB13" s="1633"/>
      <c r="DC13" s="1633"/>
      <c r="DD13" s="1633"/>
      <c r="DE13" s="1633"/>
      <c r="DF13" s="1633"/>
      <c r="DG13" s="1633"/>
      <c r="DH13" s="1633"/>
      <c r="DI13" s="1633"/>
      <c r="DJ13" s="1633"/>
      <c r="DK13" s="1633"/>
      <c r="DL13" s="1633"/>
      <c r="DM13" s="1633"/>
      <c r="DN13" s="1633"/>
      <c r="DO13" s="1633"/>
      <c r="DP13" s="1633"/>
      <c r="DQ13" s="1633"/>
      <c r="DR13" s="1633"/>
      <c r="DS13" s="1633"/>
      <c r="DT13" s="1633"/>
      <c r="DU13" s="1633"/>
      <c r="DV13" s="1633"/>
      <c r="DW13" s="1633"/>
      <c r="DX13" s="1633"/>
      <c r="DY13" s="1633"/>
      <c r="DZ13" s="1633"/>
      <c r="EA13" s="1633"/>
      <c r="EB13" s="1633"/>
      <c r="EC13" s="1633"/>
      <c r="ED13" s="1633"/>
      <c r="EE13" s="1633"/>
      <c r="EF13" s="1633"/>
      <c r="EG13" s="1633"/>
      <c r="EH13" s="1633"/>
      <c r="EI13" s="1633"/>
      <c r="EJ13" s="1633"/>
      <c r="EK13" s="1633"/>
      <c r="EL13" s="1633"/>
      <c r="EM13" s="1633"/>
      <c r="EN13" s="1633"/>
      <c r="EO13" s="1633"/>
      <c r="EP13" s="1633"/>
      <c r="EQ13" s="1633"/>
      <c r="ER13" s="1633"/>
      <c r="ES13" s="1633"/>
      <c r="ET13" s="1633"/>
      <c r="EU13" s="1633"/>
      <c r="EV13" s="1633"/>
      <c r="EW13" s="1633"/>
      <c r="EX13" s="1633"/>
      <c r="EY13" s="1633"/>
      <c r="EZ13" s="1633"/>
      <c r="FA13" s="1633"/>
      <c r="FB13" s="1633"/>
      <c r="FC13" s="1633"/>
      <c r="FD13" s="1633"/>
      <c r="FE13" s="1633"/>
      <c r="FF13" s="1633"/>
      <c r="FG13" s="1633"/>
      <c r="FH13" s="1633"/>
      <c r="FI13" s="1633"/>
      <c r="FJ13" s="1633"/>
      <c r="FK13" s="1633"/>
      <c r="FL13" s="1633"/>
      <c r="FM13" s="1633"/>
      <c r="FN13" s="1633"/>
      <c r="FO13" s="1633"/>
      <c r="FP13" s="1633"/>
      <c r="FQ13" s="1633"/>
      <c r="FR13" s="1633"/>
      <c r="FS13" s="1633"/>
      <c r="FT13" s="1633"/>
      <c r="FU13" s="1633"/>
      <c r="FV13" s="1633"/>
      <c r="FW13" s="1633"/>
      <c r="FX13" s="1633"/>
      <c r="FY13" s="1633"/>
      <c r="FZ13" s="1633"/>
      <c r="GA13" s="1633"/>
      <c r="GB13" s="1633"/>
      <c r="GC13" s="1633"/>
      <c r="GD13" s="1633"/>
      <c r="GE13" s="1633"/>
      <c r="GF13" s="1633"/>
      <c r="GG13" s="1633"/>
      <c r="GH13" s="1633"/>
      <c r="GI13" s="1633"/>
      <c r="GJ13" s="1633"/>
      <c r="GK13" s="1633"/>
      <c r="GL13" s="1633"/>
      <c r="GM13" s="1633"/>
      <c r="GN13" s="1633"/>
      <c r="GO13" s="1633"/>
      <c r="GP13" s="1633"/>
      <c r="GQ13" s="1633"/>
      <c r="GR13" s="1633"/>
      <c r="GS13" s="1633"/>
      <c r="GT13" s="1633"/>
      <c r="GU13" s="1633"/>
      <c r="GV13" s="1633"/>
      <c r="GW13" s="1633"/>
      <c r="GX13" s="1633"/>
      <c r="GY13" s="1633"/>
      <c r="GZ13" s="1633"/>
      <c r="HA13" s="1633"/>
      <c r="HB13" s="1633"/>
      <c r="HC13" s="1633"/>
      <c r="HD13" s="1633"/>
      <c r="HE13" s="1633"/>
      <c r="HF13" s="1633"/>
      <c r="HG13" s="1633"/>
      <c r="HH13" s="1633"/>
      <c r="HI13" s="1633"/>
      <c r="HJ13" s="1633"/>
      <c r="HK13" s="1633"/>
      <c r="HL13" s="1633"/>
      <c r="HM13" s="1633"/>
      <c r="HN13" s="1633"/>
      <c r="HO13" s="1633"/>
      <c r="HP13" s="1633"/>
      <c r="HQ13" s="1633"/>
      <c r="HR13" s="1633"/>
      <c r="HS13" s="1633"/>
      <c r="HT13" s="1633"/>
      <c r="HU13" s="1633"/>
      <c r="HV13" s="1633"/>
      <c r="HW13" s="1633"/>
      <c r="HX13" s="1633"/>
      <c r="HY13" s="1633"/>
      <c r="HZ13" s="1633"/>
      <c r="IA13" s="1633"/>
      <c r="IB13" s="1633"/>
      <c r="IC13" s="1633"/>
      <c r="ID13" s="1633"/>
      <c r="IE13" s="1633"/>
      <c r="IF13" s="1633"/>
      <c r="IG13" s="1633"/>
      <c r="IH13" s="1633"/>
      <c r="II13" s="1633"/>
      <c r="IJ13" s="1633"/>
      <c r="IK13" s="1633"/>
      <c r="IL13" s="1633"/>
      <c r="IM13" s="1633"/>
    </row>
    <row r="14" spans="1:247">
      <c r="A14" s="1627" t="s">
        <v>203</v>
      </c>
      <c r="B14" s="1628">
        <f>审定资负表!C11</f>
        <v>0</v>
      </c>
      <c r="C14" s="1628">
        <f>审定资负表!D11</f>
        <v>0</v>
      </c>
      <c r="D14" s="1629" t="str">
        <f t="shared" si="0"/>
        <v> </v>
      </c>
      <c r="E14" s="1630">
        <f t="shared" si="1"/>
        <v>0</v>
      </c>
      <c r="F14" s="1631">
        <f t="shared" si="2"/>
        <v>0</v>
      </c>
      <c r="G14" s="1634"/>
      <c r="H14" s="1633"/>
      <c r="I14" s="1633"/>
      <c r="J14" s="1633"/>
      <c r="K14" s="1633"/>
      <c r="L14" s="1633"/>
      <c r="M14" s="1633"/>
      <c r="N14" s="1633"/>
      <c r="O14" s="1633"/>
      <c r="P14" s="1633"/>
      <c r="Q14" s="1633"/>
      <c r="R14" s="1633"/>
      <c r="S14" s="1633"/>
      <c r="T14" s="1633"/>
      <c r="U14" s="1633"/>
      <c r="V14" s="1633"/>
      <c r="W14" s="1633"/>
      <c r="X14" s="1633"/>
      <c r="Y14" s="1633"/>
      <c r="Z14" s="1633"/>
      <c r="AA14" s="1633"/>
      <c r="AB14" s="1633"/>
      <c r="AC14" s="1633"/>
      <c r="AD14" s="1633"/>
      <c r="AE14" s="1633"/>
      <c r="AF14" s="1633"/>
      <c r="AG14" s="1633"/>
      <c r="AH14" s="1633"/>
      <c r="AI14" s="1633"/>
      <c r="AJ14" s="1633"/>
      <c r="AK14" s="1633"/>
      <c r="AL14" s="1633"/>
      <c r="AM14" s="1633"/>
      <c r="AN14" s="1633"/>
      <c r="AO14" s="1633"/>
      <c r="AP14" s="1633"/>
      <c r="AQ14" s="1633"/>
      <c r="AR14" s="1633"/>
      <c r="AS14" s="1633"/>
      <c r="AT14" s="1633"/>
      <c r="AU14" s="1633"/>
      <c r="AV14" s="1633"/>
      <c r="AW14" s="1633"/>
      <c r="AX14" s="1633"/>
      <c r="AY14" s="1633"/>
      <c r="AZ14" s="1633"/>
      <c r="BA14" s="1633"/>
      <c r="BB14" s="1633"/>
      <c r="BC14" s="1633"/>
      <c r="BD14" s="1633"/>
      <c r="BE14" s="1633"/>
      <c r="BF14" s="1633"/>
      <c r="BG14" s="1633"/>
      <c r="BH14" s="1633"/>
      <c r="BI14" s="1633"/>
      <c r="BJ14" s="1633"/>
      <c r="BK14" s="1633"/>
      <c r="BL14" s="1633"/>
      <c r="BM14" s="1633"/>
      <c r="BN14" s="1633"/>
      <c r="BO14" s="1633"/>
      <c r="BP14" s="1633"/>
      <c r="BQ14" s="1633"/>
      <c r="BR14" s="1633"/>
      <c r="BS14" s="1633"/>
      <c r="BT14" s="1633"/>
      <c r="BU14" s="1633"/>
      <c r="BV14" s="1633"/>
      <c r="BW14" s="1633"/>
      <c r="BX14" s="1633"/>
      <c r="BY14" s="1633"/>
      <c r="BZ14" s="1633"/>
      <c r="CA14" s="1633"/>
      <c r="CB14" s="1633"/>
      <c r="CC14" s="1633"/>
      <c r="CD14" s="1633"/>
      <c r="CE14" s="1633"/>
      <c r="CF14" s="1633"/>
      <c r="CG14" s="1633"/>
      <c r="CH14" s="1633"/>
      <c r="CI14" s="1633"/>
      <c r="CJ14" s="1633"/>
      <c r="CK14" s="1633"/>
      <c r="CL14" s="1633"/>
      <c r="CM14" s="1633"/>
      <c r="CN14" s="1633"/>
      <c r="CO14" s="1633"/>
      <c r="CP14" s="1633"/>
      <c r="CQ14" s="1633"/>
      <c r="CR14" s="1633"/>
      <c r="CS14" s="1633"/>
      <c r="CT14" s="1633"/>
      <c r="CU14" s="1633"/>
      <c r="CV14" s="1633"/>
      <c r="CW14" s="1633"/>
      <c r="CX14" s="1633"/>
      <c r="CY14" s="1633"/>
      <c r="CZ14" s="1633"/>
      <c r="DA14" s="1633"/>
      <c r="DB14" s="1633"/>
      <c r="DC14" s="1633"/>
      <c r="DD14" s="1633"/>
      <c r="DE14" s="1633"/>
      <c r="DF14" s="1633"/>
      <c r="DG14" s="1633"/>
      <c r="DH14" s="1633"/>
      <c r="DI14" s="1633"/>
      <c r="DJ14" s="1633"/>
      <c r="DK14" s="1633"/>
      <c r="DL14" s="1633"/>
      <c r="DM14" s="1633"/>
      <c r="DN14" s="1633"/>
      <c r="DO14" s="1633"/>
      <c r="DP14" s="1633"/>
      <c r="DQ14" s="1633"/>
      <c r="DR14" s="1633"/>
      <c r="DS14" s="1633"/>
      <c r="DT14" s="1633"/>
      <c r="DU14" s="1633"/>
      <c r="DV14" s="1633"/>
      <c r="DW14" s="1633"/>
      <c r="DX14" s="1633"/>
      <c r="DY14" s="1633"/>
      <c r="DZ14" s="1633"/>
      <c r="EA14" s="1633"/>
      <c r="EB14" s="1633"/>
      <c r="EC14" s="1633"/>
      <c r="ED14" s="1633"/>
      <c r="EE14" s="1633"/>
      <c r="EF14" s="1633"/>
      <c r="EG14" s="1633"/>
      <c r="EH14" s="1633"/>
      <c r="EI14" s="1633"/>
      <c r="EJ14" s="1633"/>
      <c r="EK14" s="1633"/>
      <c r="EL14" s="1633"/>
      <c r="EM14" s="1633"/>
      <c r="EN14" s="1633"/>
      <c r="EO14" s="1633"/>
      <c r="EP14" s="1633"/>
      <c r="EQ14" s="1633"/>
      <c r="ER14" s="1633"/>
      <c r="ES14" s="1633"/>
      <c r="ET14" s="1633"/>
      <c r="EU14" s="1633"/>
      <c r="EV14" s="1633"/>
      <c r="EW14" s="1633"/>
      <c r="EX14" s="1633"/>
      <c r="EY14" s="1633"/>
      <c r="EZ14" s="1633"/>
      <c r="FA14" s="1633"/>
      <c r="FB14" s="1633"/>
      <c r="FC14" s="1633"/>
      <c r="FD14" s="1633"/>
      <c r="FE14" s="1633"/>
      <c r="FF14" s="1633"/>
      <c r="FG14" s="1633"/>
      <c r="FH14" s="1633"/>
      <c r="FI14" s="1633"/>
      <c r="FJ14" s="1633"/>
      <c r="FK14" s="1633"/>
      <c r="FL14" s="1633"/>
      <c r="FM14" s="1633"/>
      <c r="FN14" s="1633"/>
      <c r="FO14" s="1633"/>
      <c r="FP14" s="1633"/>
      <c r="FQ14" s="1633"/>
      <c r="FR14" s="1633"/>
      <c r="FS14" s="1633"/>
      <c r="FT14" s="1633"/>
      <c r="FU14" s="1633"/>
      <c r="FV14" s="1633"/>
      <c r="FW14" s="1633"/>
      <c r="FX14" s="1633"/>
      <c r="FY14" s="1633"/>
      <c r="FZ14" s="1633"/>
      <c r="GA14" s="1633"/>
      <c r="GB14" s="1633"/>
      <c r="GC14" s="1633"/>
      <c r="GD14" s="1633"/>
      <c r="GE14" s="1633"/>
      <c r="GF14" s="1633"/>
      <c r="GG14" s="1633"/>
      <c r="GH14" s="1633"/>
      <c r="GI14" s="1633"/>
      <c r="GJ14" s="1633"/>
      <c r="GK14" s="1633"/>
      <c r="GL14" s="1633"/>
      <c r="GM14" s="1633"/>
      <c r="GN14" s="1633"/>
      <c r="GO14" s="1633"/>
      <c r="GP14" s="1633"/>
      <c r="GQ14" s="1633"/>
      <c r="GR14" s="1633"/>
      <c r="GS14" s="1633"/>
      <c r="GT14" s="1633"/>
      <c r="GU14" s="1633"/>
      <c r="GV14" s="1633"/>
      <c r="GW14" s="1633"/>
      <c r="GX14" s="1633"/>
      <c r="GY14" s="1633"/>
      <c r="GZ14" s="1633"/>
      <c r="HA14" s="1633"/>
      <c r="HB14" s="1633"/>
      <c r="HC14" s="1633"/>
      <c r="HD14" s="1633"/>
      <c r="HE14" s="1633"/>
      <c r="HF14" s="1633"/>
      <c r="HG14" s="1633"/>
      <c r="HH14" s="1633"/>
      <c r="HI14" s="1633"/>
      <c r="HJ14" s="1633"/>
      <c r="HK14" s="1633"/>
      <c r="HL14" s="1633"/>
      <c r="HM14" s="1633"/>
      <c r="HN14" s="1633"/>
      <c r="HO14" s="1633"/>
      <c r="HP14" s="1633"/>
      <c r="HQ14" s="1633"/>
      <c r="HR14" s="1633"/>
      <c r="HS14" s="1633"/>
      <c r="HT14" s="1633"/>
      <c r="HU14" s="1633"/>
      <c r="HV14" s="1633"/>
      <c r="HW14" s="1633"/>
      <c r="HX14" s="1633"/>
      <c r="HY14" s="1633"/>
      <c r="HZ14" s="1633"/>
      <c r="IA14" s="1633"/>
      <c r="IB14" s="1633"/>
      <c r="IC14" s="1633"/>
      <c r="ID14" s="1633"/>
      <c r="IE14" s="1633"/>
      <c r="IF14" s="1633"/>
      <c r="IG14" s="1633"/>
      <c r="IH14" s="1633"/>
      <c r="II14" s="1633"/>
      <c r="IJ14" s="1633"/>
      <c r="IK14" s="1633"/>
      <c r="IL14" s="1633"/>
      <c r="IM14" s="1633"/>
    </row>
    <row r="15" spans="1:247">
      <c r="A15" s="1627" t="s">
        <v>205</v>
      </c>
      <c r="B15" s="1628">
        <f>审定资负表!C12</f>
        <v>0</v>
      </c>
      <c r="C15" s="1628">
        <f>审定资负表!D12</f>
        <v>0</v>
      </c>
      <c r="D15" s="1629" t="str">
        <f t="shared" si="0"/>
        <v> </v>
      </c>
      <c r="E15" s="1630">
        <f t="shared" si="1"/>
        <v>0</v>
      </c>
      <c r="F15" s="1631">
        <f t="shared" si="2"/>
        <v>0</v>
      </c>
      <c r="G15" s="1634"/>
      <c r="H15" s="1633"/>
      <c r="I15" s="1633"/>
      <c r="J15" s="1633"/>
      <c r="K15" s="1633"/>
      <c r="L15" s="1633"/>
      <c r="M15" s="1633"/>
      <c r="N15" s="1633"/>
      <c r="O15" s="1633"/>
      <c r="P15" s="1633"/>
      <c r="Q15" s="1633"/>
      <c r="R15" s="1633"/>
      <c r="S15" s="1633"/>
      <c r="T15" s="1633"/>
      <c r="U15" s="1633"/>
      <c r="V15" s="1633"/>
      <c r="W15" s="1633"/>
      <c r="X15" s="1633"/>
      <c r="Y15" s="1633"/>
      <c r="Z15" s="1633"/>
      <c r="AA15" s="1633"/>
      <c r="AB15" s="1633"/>
      <c r="AC15" s="1633"/>
      <c r="AD15" s="1633"/>
      <c r="AE15" s="1633"/>
      <c r="AF15" s="1633"/>
      <c r="AG15" s="1633"/>
      <c r="AH15" s="1633"/>
      <c r="AI15" s="1633"/>
      <c r="AJ15" s="1633"/>
      <c r="AK15" s="1633"/>
      <c r="AL15" s="1633"/>
      <c r="AM15" s="1633"/>
      <c r="AN15" s="1633"/>
      <c r="AO15" s="1633"/>
      <c r="AP15" s="1633"/>
      <c r="AQ15" s="1633"/>
      <c r="AR15" s="1633"/>
      <c r="AS15" s="1633"/>
      <c r="AT15" s="1633"/>
      <c r="AU15" s="1633"/>
      <c r="AV15" s="1633"/>
      <c r="AW15" s="1633"/>
      <c r="AX15" s="1633"/>
      <c r="AY15" s="1633"/>
      <c r="AZ15" s="1633"/>
      <c r="BA15" s="1633"/>
      <c r="BB15" s="1633"/>
      <c r="BC15" s="1633"/>
      <c r="BD15" s="1633"/>
      <c r="BE15" s="1633"/>
      <c r="BF15" s="1633"/>
      <c r="BG15" s="1633"/>
      <c r="BH15" s="1633"/>
      <c r="BI15" s="1633"/>
      <c r="BJ15" s="1633"/>
      <c r="BK15" s="1633"/>
      <c r="BL15" s="1633"/>
      <c r="BM15" s="1633"/>
      <c r="BN15" s="1633"/>
      <c r="BO15" s="1633"/>
      <c r="BP15" s="1633"/>
      <c r="BQ15" s="1633"/>
      <c r="BR15" s="1633"/>
      <c r="BS15" s="1633"/>
      <c r="BT15" s="1633"/>
      <c r="BU15" s="1633"/>
      <c r="BV15" s="1633"/>
      <c r="BW15" s="1633"/>
      <c r="BX15" s="1633"/>
      <c r="BY15" s="1633"/>
      <c r="BZ15" s="1633"/>
      <c r="CA15" s="1633"/>
      <c r="CB15" s="1633"/>
      <c r="CC15" s="1633"/>
      <c r="CD15" s="1633"/>
      <c r="CE15" s="1633"/>
      <c r="CF15" s="1633"/>
      <c r="CG15" s="1633"/>
      <c r="CH15" s="1633"/>
      <c r="CI15" s="1633"/>
      <c r="CJ15" s="1633"/>
      <c r="CK15" s="1633"/>
      <c r="CL15" s="1633"/>
      <c r="CM15" s="1633"/>
      <c r="CN15" s="1633"/>
      <c r="CO15" s="1633"/>
      <c r="CP15" s="1633"/>
      <c r="CQ15" s="1633"/>
      <c r="CR15" s="1633"/>
      <c r="CS15" s="1633"/>
      <c r="CT15" s="1633"/>
      <c r="CU15" s="1633"/>
      <c r="CV15" s="1633"/>
      <c r="CW15" s="1633"/>
      <c r="CX15" s="1633"/>
      <c r="CY15" s="1633"/>
      <c r="CZ15" s="1633"/>
      <c r="DA15" s="1633"/>
      <c r="DB15" s="1633"/>
      <c r="DC15" s="1633"/>
      <c r="DD15" s="1633"/>
      <c r="DE15" s="1633"/>
      <c r="DF15" s="1633"/>
      <c r="DG15" s="1633"/>
      <c r="DH15" s="1633"/>
      <c r="DI15" s="1633"/>
      <c r="DJ15" s="1633"/>
      <c r="DK15" s="1633"/>
      <c r="DL15" s="1633"/>
      <c r="DM15" s="1633"/>
      <c r="DN15" s="1633"/>
      <c r="DO15" s="1633"/>
      <c r="DP15" s="1633"/>
      <c r="DQ15" s="1633"/>
      <c r="DR15" s="1633"/>
      <c r="DS15" s="1633"/>
      <c r="DT15" s="1633"/>
      <c r="DU15" s="1633"/>
      <c r="DV15" s="1633"/>
      <c r="DW15" s="1633"/>
      <c r="DX15" s="1633"/>
      <c r="DY15" s="1633"/>
      <c r="DZ15" s="1633"/>
      <c r="EA15" s="1633"/>
      <c r="EB15" s="1633"/>
      <c r="EC15" s="1633"/>
      <c r="ED15" s="1633"/>
      <c r="EE15" s="1633"/>
      <c r="EF15" s="1633"/>
      <c r="EG15" s="1633"/>
      <c r="EH15" s="1633"/>
      <c r="EI15" s="1633"/>
      <c r="EJ15" s="1633"/>
      <c r="EK15" s="1633"/>
      <c r="EL15" s="1633"/>
      <c r="EM15" s="1633"/>
      <c r="EN15" s="1633"/>
      <c r="EO15" s="1633"/>
      <c r="EP15" s="1633"/>
      <c r="EQ15" s="1633"/>
      <c r="ER15" s="1633"/>
      <c r="ES15" s="1633"/>
      <c r="ET15" s="1633"/>
      <c r="EU15" s="1633"/>
      <c r="EV15" s="1633"/>
      <c r="EW15" s="1633"/>
      <c r="EX15" s="1633"/>
      <c r="EY15" s="1633"/>
      <c r="EZ15" s="1633"/>
      <c r="FA15" s="1633"/>
      <c r="FB15" s="1633"/>
      <c r="FC15" s="1633"/>
      <c r="FD15" s="1633"/>
      <c r="FE15" s="1633"/>
      <c r="FF15" s="1633"/>
      <c r="FG15" s="1633"/>
      <c r="FH15" s="1633"/>
      <c r="FI15" s="1633"/>
      <c r="FJ15" s="1633"/>
      <c r="FK15" s="1633"/>
      <c r="FL15" s="1633"/>
      <c r="FM15" s="1633"/>
      <c r="FN15" s="1633"/>
      <c r="FO15" s="1633"/>
      <c r="FP15" s="1633"/>
      <c r="FQ15" s="1633"/>
      <c r="FR15" s="1633"/>
      <c r="FS15" s="1633"/>
      <c r="FT15" s="1633"/>
      <c r="FU15" s="1633"/>
      <c r="FV15" s="1633"/>
      <c r="FW15" s="1633"/>
      <c r="FX15" s="1633"/>
      <c r="FY15" s="1633"/>
      <c r="FZ15" s="1633"/>
      <c r="GA15" s="1633"/>
      <c r="GB15" s="1633"/>
      <c r="GC15" s="1633"/>
      <c r="GD15" s="1633"/>
      <c r="GE15" s="1633"/>
      <c r="GF15" s="1633"/>
      <c r="GG15" s="1633"/>
      <c r="GH15" s="1633"/>
      <c r="GI15" s="1633"/>
      <c r="GJ15" s="1633"/>
      <c r="GK15" s="1633"/>
      <c r="GL15" s="1633"/>
      <c r="GM15" s="1633"/>
      <c r="GN15" s="1633"/>
      <c r="GO15" s="1633"/>
      <c r="GP15" s="1633"/>
      <c r="GQ15" s="1633"/>
      <c r="GR15" s="1633"/>
      <c r="GS15" s="1633"/>
      <c r="GT15" s="1633"/>
      <c r="GU15" s="1633"/>
      <c r="GV15" s="1633"/>
      <c r="GW15" s="1633"/>
      <c r="GX15" s="1633"/>
      <c r="GY15" s="1633"/>
      <c r="GZ15" s="1633"/>
      <c r="HA15" s="1633"/>
      <c r="HB15" s="1633"/>
      <c r="HC15" s="1633"/>
      <c r="HD15" s="1633"/>
      <c r="HE15" s="1633"/>
      <c r="HF15" s="1633"/>
      <c r="HG15" s="1633"/>
      <c r="HH15" s="1633"/>
      <c r="HI15" s="1633"/>
      <c r="HJ15" s="1633"/>
      <c r="HK15" s="1633"/>
      <c r="HL15" s="1633"/>
      <c r="HM15" s="1633"/>
      <c r="HN15" s="1633"/>
      <c r="HO15" s="1633"/>
      <c r="HP15" s="1633"/>
      <c r="HQ15" s="1633"/>
      <c r="HR15" s="1633"/>
      <c r="HS15" s="1633"/>
      <c r="HT15" s="1633"/>
      <c r="HU15" s="1633"/>
      <c r="HV15" s="1633"/>
      <c r="HW15" s="1633"/>
      <c r="HX15" s="1633"/>
      <c r="HY15" s="1633"/>
      <c r="HZ15" s="1633"/>
      <c r="IA15" s="1633"/>
      <c r="IB15" s="1633"/>
      <c r="IC15" s="1633"/>
      <c r="ID15" s="1633"/>
      <c r="IE15" s="1633"/>
      <c r="IF15" s="1633"/>
      <c r="IG15" s="1633"/>
      <c r="IH15" s="1633"/>
      <c r="II15" s="1633"/>
      <c r="IJ15" s="1633"/>
      <c r="IK15" s="1633"/>
      <c r="IL15" s="1633"/>
      <c r="IM15" s="1633"/>
    </row>
    <row r="16" spans="1:247">
      <c r="A16" s="1627" t="s">
        <v>207</v>
      </c>
      <c r="B16" s="1628">
        <f>审定资负表!C13</f>
        <v>0</v>
      </c>
      <c r="C16" s="1628">
        <f>审定资负表!D13</f>
        <v>0</v>
      </c>
      <c r="D16" s="1629" t="str">
        <f t="shared" si="0"/>
        <v> </v>
      </c>
      <c r="E16" s="1630">
        <f t="shared" si="1"/>
        <v>0</v>
      </c>
      <c r="F16" s="1631">
        <f t="shared" si="2"/>
        <v>0</v>
      </c>
      <c r="G16" s="1634"/>
      <c r="H16" s="1633"/>
      <c r="I16" s="1633"/>
      <c r="J16" s="1633"/>
      <c r="K16" s="1633"/>
      <c r="L16" s="1633"/>
      <c r="M16" s="1633"/>
      <c r="N16" s="1633"/>
      <c r="O16" s="1633"/>
      <c r="P16" s="1633"/>
      <c r="Q16" s="1633"/>
      <c r="R16" s="1633"/>
      <c r="S16" s="1633"/>
      <c r="T16" s="1633"/>
      <c r="U16" s="1633"/>
      <c r="V16" s="1633"/>
      <c r="W16" s="1633"/>
      <c r="X16" s="1633"/>
      <c r="Y16" s="1633"/>
      <c r="Z16" s="1633"/>
      <c r="AA16" s="1633"/>
      <c r="AB16" s="1633"/>
      <c r="AC16" s="1633"/>
      <c r="AD16" s="1633"/>
      <c r="AE16" s="1633"/>
      <c r="AF16" s="1633"/>
      <c r="AG16" s="1633"/>
      <c r="AH16" s="1633"/>
      <c r="AI16" s="1633"/>
      <c r="AJ16" s="1633"/>
      <c r="AK16" s="1633"/>
      <c r="AL16" s="1633"/>
      <c r="AM16" s="1633"/>
      <c r="AN16" s="1633"/>
      <c r="AO16" s="1633"/>
      <c r="AP16" s="1633"/>
      <c r="AQ16" s="1633"/>
      <c r="AR16" s="1633"/>
      <c r="AS16" s="1633"/>
      <c r="AT16" s="1633"/>
      <c r="AU16" s="1633"/>
      <c r="AV16" s="1633"/>
      <c r="AW16" s="1633"/>
      <c r="AX16" s="1633"/>
      <c r="AY16" s="1633"/>
      <c r="AZ16" s="1633"/>
      <c r="BA16" s="1633"/>
      <c r="BB16" s="1633"/>
      <c r="BC16" s="1633"/>
      <c r="BD16" s="1633"/>
      <c r="BE16" s="1633"/>
      <c r="BF16" s="1633"/>
      <c r="BG16" s="1633"/>
      <c r="BH16" s="1633"/>
      <c r="BI16" s="1633"/>
      <c r="BJ16" s="1633"/>
      <c r="BK16" s="1633"/>
      <c r="BL16" s="1633"/>
      <c r="BM16" s="1633"/>
      <c r="BN16" s="1633"/>
      <c r="BO16" s="1633"/>
      <c r="BP16" s="1633"/>
      <c r="BQ16" s="1633"/>
      <c r="BR16" s="1633"/>
      <c r="BS16" s="1633"/>
      <c r="BT16" s="1633"/>
      <c r="BU16" s="1633"/>
      <c r="BV16" s="1633"/>
      <c r="BW16" s="1633"/>
      <c r="BX16" s="1633"/>
      <c r="BY16" s="1633"/>
      <c r="BZ16" s="1633"/>
      <c r="CA16" s="1633"/>
      <c r="CB16" s="1633"/>
      <c r="CC16" s="1633"/>
      <c r="CD16" s="1633"/>
      <c r="CE16" s="1633"/>
      <c r="CF16" s="1633"/>
      <c r="CG16" s="1633"/>
      <c r="CH16" s="1633"/>
      <c r="CI16" s="1633"/>
      <c r="CJ16" s="1633"/>
      <c r="CK16" s="1633"/>
      <c r="CL16" s="1633"/>
      <c r="CM16" s="1633"/>
      <c r="CN16" s="1633"/>
      <c r="CO16" s="1633"/>
      <c r="CP16" s="1633"/>
      <c r="CQ16" s="1633"/>
      <c r="CR16" s="1633"/>
      <c r="CS16" s="1633"/>
      <c r="CT16" s="1633"/>
      <c r="CU16" s="1633"/>
      <c r="CV16" s="1633"/>
      <c r="CW16" s="1633"/>
      <c r="CX16" s="1633"/>
      <c r="CY16" s="1633"/>
      <c r="CZ16" s="1633"/>
      <c r="DA16" s="1633"/>
      <c r="DB16" s="1633"/>
      <c r="DC16" s="1633"/>
      <c r="DD16" s="1633"/>
      <c r="DE16" s="1633"/>
      <c r="DF16" s="1633"/>
      <c r="DG16" s="1633"/>
      <c r="DH16" s="1633"/>
      <c r="DI16" s="1633"/>
      <c r="DJ16" s="1633"/>
      <c r="DK16" s="1633"/>
      <c r="DL16" s="1633"/>
      <c r="DM16" s="1633"/>
      <c r="DN16" s="1633"/>
      <c r="DO16" s="1633"/>
      <c r="DP16" s="1633"/>
      <c r="DQ16" s="1633"/>
      <c r="DR16" s="1633"/>
      <c r="DS16" s="1633"/>
      <c r="DT16" s="1633"/>
      <c r="DU16" s="1633"/>
      <c r="DV16" s="1633"/>
      <c r="DW16" s="1633"/>
      <c r="DX16" s="1633"/>
      <c r="DY16" s="1633"/>
      <c r="DZ16" s="1633"/>
      <c r="EA16" s="1633"/>
      <c r="EB16" s="1633"/>
      <c r="EC16" s="1633"/>
      <c r="ED16" s="1633"/>
      <c r="EE16" s="1633"/>
      <c r="EF16" s="1633"/>
      <c r="EG16" s="1633"/>
      <c r="EH16" s="1633"/>
      <c r="EI16" s="1633"/>
      <c r="EJ16" s="1633"/>
      <c r="EK16" s="1633"/>
      <c r="EL16" s="1633"/>
      <c r="EM16" s="1633"/>
      <c r="EN16" s="1633"/>
      <c r="EO16" s="1633"/>
      <c r="EP16" s="1633"/>
      <c r="EQ16" s="1633"/>
      <c r="ER16" s="1633"/>
      <c r="ES16" s="1633"/>
      <c r="ET16" s="1633"/>
      <c r="EU16" s="1633"/>
      <c r="EV16" s="1633"/>
      <c r="EW16" s="1633"/>
      <c r="EX16" s="1633"/>
      <c r="EY16" s="1633"/>
      <c r="EZ16" s="1633"/>
      <c r="FA16" s="1633"/>
      <c r="FB16" s="1633"/>
      <c r="FC16" s="1633"/>
      <c r="FD16" s="1633"/>
      <c r="FE16" s="1633"/>
      <c r="FF16" s="1633"/>
      <c r="FG16" s="1633"/>
      <c r="FH16" s="1633"/>
      <c r="FI16" s="1633"/>
      <c r="FJ16" s="1633"/>
      <c r="FK16" s="1633"/>
      <c r="FL16" s="1633"/>
      <c r="FM16" s="1633"/>
      <c r="FN16" s="1633"/>
      <c r="FO16" s="1633"/>
      <c r="FP16" s="1633"/>
      <c r="FQ16" s="1633"/>
      <c r="FR16" s="1633"/>
      <c r="FS16" s="1633"/>
      <c r="FT16" s="1633"/>
      <c r="FU16" s="1633"/>
      <c r="FV16" s="1633"/>
      <c r="FW16" s="1633"/>
      <c r="FX16" s="1633"/>
      <c r="FY16" s="1633"/>
      <c r="FZ16" s="1633"/>
      <c r="GA16" s="1633"/>
      <c r="GB16" s="1633"/>
      <c r="GC16" s="1633"/>
      <c r="GD16" s="1633"/>
      <c r="GE16" s="1633"/>
      <c r="GF16" s="1633"/>
      <c r="GG16" s="1633"/>
      <c r="GH16" s="1633"/>
      <c r="GI16" s="1633"/>
      <c r="GJ16" s="1633"/>
      <c r="GK16" s="1633"/>
      <c r="GL16" s="1633"/>
      <c r="GM16" s="1633"/>
      <c r="GN16" s="1633"/>
      <c r="GO16" s="1633"/>
      <c r="GP16" s="1633"/>
      <c r="GQ16" s="1633"/>
      <c r="GR16" s="1633"/>
      <c r="GS16" s="1633"/>
      <c r="GT16" s="1633"/>
      <c r="GU16" s="1633"/>
      <c r="GV16" s="1633"/>
      <c r="GW16" s="1633"/>
      <c r="GX16" s="1633"/>
      <c r="GY16" s="1633"/>
      <c r="GZ16" s="1633"/>
      <c r="HA16" s="1633"/>
      <c r="HB16" s="1633"/>
      <c r="HC16" s="1633"/>
      <c r="HD16" s="1633"/>
      <c r="HE16" s="1633"/>
      <c r="HF16" s="1633"/>
      <c r="HG16" s="1633"/>
      <c r="HH16" s="1633"/>
      <c r="HI16" s="1633"/>
      <c r="HJ16" s="1633"/>
      <c r="HK16" s="1633"/>
      <c r="HL16" s="1633"/>
      <c r="HM16" s="1633"/>
      <c r="HN16" s="1633"/>
      <c r="HO16" s="1633"/>
      <c r="HP16" s="1633"/>
      <c r="HQ16" s="1633"/>
      <c r="HR16" s="1633"/>
      <c r="HS16" s="1633"/>
      <c r="HT16" s="1633"/>
      <c r="HU16" s="1633"/>
      <c r="HV16" s="1633"/>
      <c r="HW16" s="1633"/>
      <c r="HX16" s="1633"/>
      <c r="HY16" s="1633"/>
      <c r="HZ16" s="1633"/>
      <c r="IA16" s="1633"/>
      <c r="IB16" s="1633"/>
      <c r="IC16" s="1633"/>
      <c r="ID16" s="1633"/>
      <c r="IE16" s="1633"/>
      <c r="IF16" s="1633"/>
      <c r="IG16" s="1633"/>
      <c r="IH16" s="1633"/>
      <c r="II16" s="1633"/>
      <c r="IJ16" s="1633"/>
      <c r="IK16" s="1633"/>
      <c r="IL16" s="1633"/>
      <c r="IM16" s="1633"/>
    </row>
    <row r="17" spans="1:247">
      <c r="A17" s="1627" t="s">
        <v>209</v>
      </c>
      <c r="B17" s="1628">
        <f>审定资负表!C14</f>
        <v>0</v>
      </c>
      <c r="C17" s="1628">
        <f>审定资负表!D14</f>
        <v>0</v>
      </c>
      <c r="D17" s="1629" t="str">
        <f t="shared" si="0"/>
        <v> </v>
      </c>
      <c r="E17" s="1630">
        <f t="shared" si="1"/>
        <v>0</v>
      </c>
      <c r="F17" s="1631">
        <f t="shared" si="2"/>
        <v>0</v>
      </c>
      <c r="G17" s="1634"/>
      <c r="H17" s="1633"/>
      <c r="I17" s="1633"/>
      <c r="J17" s="1633"/>
      <c r="K17" s="1633"/>
      <c r="L17" s="1633"/>
      <c r="M17" s="1633"/>
      <c r="N17" s="1633"/>
      <c r="O17" s="1633"/>
      <c r="P17" s="1633"/>
      <c r="Q17" s="1633"/>
      <c r="R17" s="1633"/>
      <c r="S17" s="1633"/>
      <c r="T17" s="1633"/>
      <c r="U17" s="1633"/>
      <c r="V17" s="1633"/>
      <c r="W17" s="1633"/>
      <c r="X17" s="1633"/>
      <c r="Y17" s="1633"/>
      <c r="Z17" s="1633"/>
      <c r="AA17" s="1633"/>
      <c r="AB17" s="1633"/>
      <c r="AC17" s="1633"/>
      <c r="AD17" s="1633"/>
      <c r="AE17" s="1633"/>
      <c r="AF17" s="1633"/>
      <c r="AG17" s="1633"/>
      <c r="AH17" s="1633"/>
      <c r="AI17" s="1633"/>
      <c r="AJ17" s="1633"/>
      <c r="AK17" s="1633"/>
      <c r="AL17" s="1633"/>
      <c r="AM17" s="1633"/>
      <c r="AN17" s="1633"/>
      <c r="AO17" s="1633"/>
      <c r="AP17" s="1633"/>
      <c r="AQ17" s="1633"/>
      <c r="AR17" s="1633"/>
      <c r="AS17" s="1633"/>
      <c r="AT17" s="1633"/>
      <c r="AU17" s="1633"/>
      <c r="AV17" s="1633"/>
      <c r="AW17" s="1633"/>
      <c r="AX17" s="1633"/>
      <c r="AY17" s="1633"/>
      <c r="AZ17" s="1633"/>
      <c r="BA17" s="1633"/>
      <c r="BB17" s="1633"/>
      <c r="BC17" s="1633"/>
      <c r="BD17" s="1633"/>
      <c r="BE17" s="1633"/>
      <c r="BF17" s="1633"/>
      <c r="BG17" s="1633"/>
      <c r="BH17" s="1633"/>
      <c r="BI17" s="1633"/>
      <c r="BJ17" s="1633"/>
      <c r="BK17" s="1633"/>
      <c r="BL17" s="1633"/>
      <c r="BM17" s="1633"/>
      <c r="BN17" s="1633"/>
      <c r="BO17" s="1633"/>
      <c r="BP17" s="1633"/>
      <c r="BQ17" s="1633"/>
      <c r="BR17" s="1633"/>
      <c r="BS17" s="1633"/>
      <c r="BT17" s="1633"/>
      <c r="BU17" s="1633"/>
      <c r="BV17" s="1633"/>
      <c r="BW17" s="1633"/>
      <c r="BX17" s="1633"/>
      <c r="BY17" s="1633"/>
      <c r="BZ17" s="1633"/>
      <c r="CA17" s="1633"/>
      <c r="CB17" s="1633"/>
      <c r="CC17" s="1633"/>
      <c r="CD17" s="1633"/>
      <c r="CE17" s="1633"/>
      <c r="CF17" s="1633"/>
      <c r="CG17" s="1633"/>
      <c r="CH17" s="1633"/>
      <c r="CI17" s="1633"/>
      <c r="CJ17" s="1633"/>
      <c r="CK17" s="1633"/>
      <c r="CL17" s="1633"/>
      <c r="CM17" s="1633"/>
      <c r="CN17" s="1633"/>
      <c r="CO17" s="1633"/>
      <c r="CP17" s="1633"/>
      <c r="CQ17" s="1633"/>
      <c r="CR17" s="1633"/>
      <c r="CS17" s="1633"/>
      <c r="CT17" s="1633"/>
      <c r="CU17" s="1633"/>
      <c r="CV17" s="1633"/>
      <c r="CW17" s="1633"/>
      <c r="CX17" s="1633"/>
      <c r="CY17" s="1633"/>
      <c r="CZ17" s="1633"/>
      <c r="DA17" s="1633"/>
      <c r="DB17" s="1633"/>
      <c r="DC17" s="1633"/>
      <c r="DD17" s="1633"/>
      <c r="DE17" s="1633"/>
      <c r="DF17" s="1633"/>
      <c r="DG17" s="1633"/>
      <c r="DH17" s="1633"/>
      <c r="DI17" s="1633"/>
      <c r="DJ17" s="1633"/>
      <c r="DK17" s="1633"/>
      <c r="DL17" s="1633"/>
      <c r="DM17" s="1633"/>
      <c r="DN17" s="1633"/>
      <c r="DO17" s="1633"/>
      <c r="DP17" s="1633"/>
      <c r="DQ17" s="1633"/>
      <c r="DR17" s="1633"/>
      <c r="DS17" s="1633"/>
      <c r="DT17" s="1633"/>
      <c r="DU17" s="1633"/>
      <c r="DV17" s="1633"/>
      <c r="DW17" s="1633"/>
      <c r="DX17" s="1633"/>
      <c r="DY17" s="1633"/>
      <c r="DZ17" s="1633"/>
      <c r="EA17" s="1633"/>
      <c r="EB17" s="1633"/>
      <c r="EC17" s="1633"/>
      <c r="ED17" s="1633"/>
      <c r="EE17" s="1633"/>
      <c r="EF17" s="1633"/>
      <c r="EG17" s="1633"/>
      <c r="EH17" s="1633"/>
      <c r="EI17" s="1633"/>
      <c r="EJ17" s="1633"/>
      <c r="EK17" s="1633"/>
      <c r="EL17" s="1633"/>
      <c r="EM17" s="1633"/>
      <c r="EN17" s="1633"/>
      <c r="EO17" s="1633"/>
      <c r="EP17" s="1633"/>
      <c r="EQ17" s="1633"/>
      <c r="ER17" s="1633"/>
      <c r="ES17" s="1633"/>
      <c r="ET17" s="1633"/>
      <c r="EU17" s="1633"/>
      <c r="EV17" s="1633"/>
      <c r="EW17" s="1633"/>
      <c r="EX17" s="1633"/>
      <c r="EY17" s="1633"/>
      <c r="EZ17" s="1633"/>
      <c r="FA17" s="1633"/>
      <c r="FB17" s="1633"/>
      <c r="FC17" s="1633"/>
      <c r="FD17" s="1633"/>
      <c r="FE17" s="1633"/>
      <c r="FF17" s="1633"/>
      <c r="FG17" s="1633"/>
      <c r="FH17" s="1633"/>
      <c r="FI17" s="1633"/>
      <c r="FJ17" s="1633"/>
      <c r="FK17" s="1633"/>
      <c r="FL17" s="1633"/>
      <c r="FM17" s="1633"/>
      <c r="FN17" s="1633"/>
      <c r="FO17" s="1633"/>
      <c r="FP17" s="1633"/>
      <c r="FQ17" s="1633"/>
      <c r="FR17" s="1633"/>
      <c r="FS17" s="1633"/>
      <c r="FT17" s="1633"/>
      <c r="FU17" s="1633"/>
      <c r="FV17" s="1633"/>
      <c r="FW17" s="1633"/>
      <c r="FX17" s="1633"/>
      <c r="FY17" s="1633"/>
      <c r="FZ17" s="1633"/>
      <c r="GA17" s="1633"/>
      <c r="GB17" s="1633"/>
      <c r="GC17" s="1633"/>
      <c r="GD17" s="1633"/>
      <c r="GE17" s="1633"/>
      <c r="GF17" s="1633"/>
      <c r="GG17" s="1633"/>
      <c r="GH17" s="1633"/>
      <c r="GI17" s="1633"/>
      <c r="GJ17" s="1633"/>
      <c r="GK17" s="1633"/>
      <c r="GL17" s="1633"/>
      <c r="GM17" s="1633"/>
      <c r="GN17" s="1633"/>
      <c r="GO17" s="1633"/>
      <c r="GP17" s="1633"/>
      <c r="GQ17" s="1633"/>
      <c r="GR17" s="1633"/>
      <c r="GS17" s="1633"/>
      <c r="GT17" s="1633"/>
      <c r="GU17" s="1633"/>
      <c r="GV17" s="1633"/>
      <c r="GW17" s="1633"/>
      <c r="GX17" s="1633"/>
      <c r="GY17" s="1633"/>
      <c r="GZ17" s="1633"/>
      <c r="HA17" s="1633"/>
      <c r="HB17" s="1633"/>
      <c r="HC17" s="1633"/>
      <c r="HD17" s="1633"/>
      <c r="HE17" s="1633"/>
      <c r="HF17" s="1633"/>
      <c r="HG17" s="1633"/>
      <c r="HH17" s="1633"/>
      <c r="HI17" s="1633"/>
      <c r="HJ17" s="1633"/>
      <c r="HK17" s="1633"/>
      <c r="HL17" s="1633"/>
      <c r="HM17" s="1633"/>
      <c r="HN17" s="1633"/>
      <c r="HO17" s="1633"/>
      <c r="HP17" s="1633"/>
      <c r="HQ17" s="1633"/>
      <c r="HR17" s="1633"/>
      <c r="HS17" s="1633"/>
      <c r="HT17" s="1633"/>
      <c r="HU17" s="1633"/>
      <c r="HV17" s="1633"/>
      <c r="HW17" s="1633"/>
      <c r="HX17" s="1633"/>
      <c r="HY17" s="1633"/>
      <c r="HZ17" s="1633"/>
      <c r="IA17" s="1633"/>
      <c r="IB17" s="1633"/>
      <c r="IC17" s="1633"/>
      <c r="ID17" s="1633"/>
      <c r="IE17" s="1633"/>
      <c r="IF17" s="1633"/>
      <c r="IG17" s="1633"/>
      <c r="IH17" s="1633"/>
      <c r="II17" s="1633"/>
      <c r="IJ17" s="1633"/>
      <c r="IK17" s="1633"/>
      <c r="IL17" s="1633"/>
      <c r="IM17" s="1633"/>
    </row>
    <row r="18" spans="1:247">
      <c r="A18" s="1627" t="s">
        <v>211</v>
      </c>
      <c r="B18" s="1628">
        <f>审定资负表!C15</f>
        <v>56453052.95</v>
      </c>
      <c r="C18" s="1628">
        <f>审定资负表!D15</f>
        <v>0</v>
      </c>
      <c r="D18" s="1629">
        <f t="shared" si="0"/>
        <v>1</v>
      </c>
      <c r="E18" s="1630">
        <f t="shared" si="1"/>
        <v>56453052.95</v>
      </c>
      <c r="F18" s="1631">
        <f t="shared" si="2"/>
        <v>1</v>
      </c>
      <c r="G18" s="1634"/>
      <c r="H18" s="1633"/>
      <c r="I18" s="1633"/>
      <c r="J18" s="1633"/>
      <c r="K18" s="1633"/>
      <c r="L18" s="1633"/>
      <c r="M18" s="1633"/>
      <c r="N18" s="1633"/>
      <c r="O18" s="1633"/>
      <c r="P18" s="1633"/>
      <c r="Q18" s="1633"/>
      <c r="R18" s="1633"/>
      <c r="S18" s="1633"/>
      <c r="T18" s="1633"/>
      <c r="U18" s="1633"/>
      <c r="V18" s="1633"/>
      <c r="W18" s="1633"/>
      <c r="X18" s="1633"/>
      <c r="Y18" s="1633"/>
      <c r="Z18" s="1633"/>
      <c r="AA18" s="1633"/>
      <c r="AB18" s="1633"/>
      <c r="AC18" s="1633"/>
      <c r="AD18" s="1633"/>
      <c r="AE18" s="1633"/>
      <c r="AF18" s="1633"/>
      <c r="AG18" s="1633"/>
      <c r="AH18" s="1633"/>
      <c r="AI18" s="1633"/>
      <c r="AJ18" s="1633"/>
      <c r="AK18" s="1633"/>
      <c r="AL18" s="1633"/>
      <c r="AM18" s="1633"/>
      <c r="AN18" s="1633"/>
      <c r="AO18" s="1633"/>
      <c r="AP18" s="1633"/>
      <c r="AQ18" s="1633"/>
      <c r="AR18" s="1633"/>
      <c r="AS18" s="1633"/>
      <c r="AT18" s="1633"/>
      <c r="AU18" s="1633"/>
      <c r="AV18" s="1633"/>
      <c r="AW18" s="1633"/>
      <c r="AX18" s="1633"/>
      <c r="AY18" s="1633"/>
      <c r="AZ18" s="1633"/>
      <c r="BA18" s="1633"/>
      <c r="BB18" s="1633"/>
      <c r="BC18" s="1633"/>
      <c r="BD18" s="1633"/>
      <c r="BE18" s="1633"/>
      <c r="BF18" s="1633"/>
      <c r="BG18" s="1633"/>
      <c r="BH18" s="1633"/>
      <c r="BI18" s="1633"/>
      <c r="BJ18" s="1633"/>
      <c r="BK18" s="1633"/>
      <c r="BL18" s="1633"/>
      <c r="BM18" s="1633"/>
      <c r="BN18" s="1633"/>
      <c r="BO18" s="1633"/>
      <c r="BP18" s="1633"/>
      <c r="BQ18" s="1633"/>
      <c r="BR18" s="1633"/>
      <c r="BS18" s="1633"/>
      <c r="BT18" s="1633"/>
      <c r="BU18" s="1633"/>
      <c r="BV18" s="1633"/>
      <c r="BW18" s="1633"/>
      <c r="BX18" s="1633"/>
      <c r="BY18" s="1633"/>
      <c r="BZ18" s="1633"/>
      <c r="CA18" s="1633"/>
      <c r="CB18" s="1633"/>
      <c r="CC18" s="1633"/>
      <c r="CD18" s="1633"/>
      <c r="CE18" s="1633"/>
      <c r="CF18" s="1633"/>
      <c r="CG18" s="1633"/>
      <c r="CH18" s="1633"/>
      <c r="CI18" s="1633"/>
      <c r="CJ18" s="1633"/>
      <c r="CK18" s="1633"/>
      <c r="CL18" s="1633"/>
      <c r="CM18" s="1633"/>
      <c r="CN18" s="1633"/>
      <c r="CO18" s="1633"/>
      <c r="CP18" s="1633"/>
      <c r="CQ18" s="1633"/>
      <c r="CR18" s="1633"/>
      <c r="CS18" s="1633"/>
      <c r="CT18" s="1633"/>
      <c r="CU18" s="1633"/>
      <c r="CV18" s="1633"/>
      <c r="CW18" s="1633"/>
      <c r="CX18" s="1633"/>
      <c r="CY18" s="1633"/>
      <c r="CZ18" s="1633"/>
      <c r="DA18" s="1633"/>
      <c r="DB18" s="1633"/>
      <c r="DC18" s="1633"/>
      <c r="DD18" s="1633"/>
      <c r="DE18" s="1633"/>
      <c r="DF18" s="1633"/>
      <c r="DG18" s="1633"/>
      <c r="DH18" s="1633"/>
      <c r="DI18" s="1633"/>
      <c r="DJ18" s="1633"/>
      <c r="DK18" s="1633"/>
      <c r="DL18" s="1633"/>
      <c r="DM18" s="1633"/>
      <c r="DN18" s="1633"/>
      <c r="DO18" s="1633"/>
      <c r="DP18" s="1633"/>
      <c r="DQ18" s="1633"/>
      <c r="DR18" s="1633"/>
      <c r="DS18" s="1633"/>
      <c r="DT18" s="1633"/>
      <c r="DU18" s="1633"/>
      <c r="DV18" s="1633"/>
      <c r="DW18" s="1633"/>
      <c r="DX18" s="1633"/>
      <c r="DY18" s="1633"/>
      <c r="DZ18" s="1633"/>
      <c r="EA18" s="1633"/>
      <c r="EB18" s="1633"/>
      <c r="EC18" s="1633"/>
      <c r="ED18" s="1633"/>
      <c r="EE18" s="1633"/>
      <c r="EF18" s="1633"/>
      <c r="EG18" s="1633"/>
      <c r="EH18" s="1633"/>
      <c r="EI18" s="1633"/>
      <c r="EJ18" s="1633"/>
      <c r="EK18" s="1633"/>
      <c r="EL18" s="1633"/>
      <c r="EM18" s="1633"/>
      <c r="EN18" s="1633"/>
      <c r="EO18" s="1633"/>
      <c r="EP18" s="1633"/>
      <c r="EQ18" s="1633"/>
      <c r="ER18" s="1633"/>
      <c r="ES18" s="1633"/>
      <c r="ET18" s="1633"/>
      <c r="EU18" s="1633"/>
      <c r="EV18" s="1633"/>
      <c r="EW18" s="1633"/>
      <c r="EX18" s="1633"/>
      <c r="EY18" s="1633"/>
      <c r="EZ18" s="1633"/>
      <c r="FA18" s="1633"/>
      <c r="FB18" s="1633"/>
      <c r="FC18" s="1633"/>
      <c r="FD18" s="1633"/>
      <c r="FE18" s="1633"/>
      <c r="FF18" s="1633"/>
      <c r="FG18" s="1633"/>
      <c r="FH18" s="1633"/>
      <c r="FI18" s="1633"/>
      <c r="FJ18" s="1633"/>
      <c r="FK18" s="1633"/>
      <c r="FL18" s="1633"/>
      <c r="FM18" s="1633"/>
      <c r="FN18" s="1633"/>
      <c r="FO18" s="1633"/>
      <c r="FP18" s="1633"/>
      <c r="FQ18" s="1633"/>
      <c r="FR18" s="1633"/>
      <c r="FS18" s="1633"/>
      <c r="FT18" s="1633"/>
      <c r="FU18" s="1633"/>
      <c r="FV18" s="1633"/>
      <c r="FW18" s="1633"/>
      <c r="FX18" s="1633"/>
      <c r="FY18" s="1633"/>
      <c r="FZ18" s="1633"/>
      <c r="GA18" s="1633"/>
      <c r="GB18" s="1633"/>
      <c r="GC18" s="1633"/>
      <c r="GD18" s="1633"/>
      <c r="GE18" s="1633"/>
      <c r="GF18" s="1633"/>
      <c r="GG18" s="1633"/>
      <c r="GH18" s="1633"/>
      <c r="GI18" s="1633"/>
      <c r="GJ18" s="1633"/>
      <c r="GK18" s="1633"/>
      <c r="GL18" s="1633"/>
      <c r="GM18" s="1633"/>
      <c r="GN18" s="1633"/>
      <c r="GO18" s="1633"/>
      <c r="GP18" s="1633"/>
      <c r="GQ18" s="1633"/>
      <c r="GR18" s="1633"/>
      <c r="GS18" s="1633"/>
      <c r="GT18" s="1633"/>
      <c r="GU18" s="1633"/>
      <c r="GV18" s="1633"/>
      <c r="GW18" s="1633"/>
      <c r="GX18" s="1633"/>
      <c r="GY18" s="1633"/>
      <c r="GZ18" s="1633"/>
      <c r="HA18" s="1633"/>
      <c r="HB18" s="1633"/>
      <c r="HC18" s="1633"/>
      <c r="HD18" s="1633"/>
      <c r="HE18" s="1633"/>
      <c r="HF18" s="1633"/>
      <c r="HG18" s="1633"/>
      <c r="HH18" s="1633"/>
      <c r="HI18" s="1633"/>
      <c r="HJ18" s="1633"/>
      <c r="HK18" s="1633"/>
      <c r="HL18" s="1633"/>
      <c r="HM18" s="1633"/>
      <c r="HN18" s="1633"/>
      <c r="HO18" s="1633"/>
      <c r="HP18" s="1633"/>
      <c r="HQ18" s="1633"/>
      <c r="HR18" s="1633"/>
      <c r="HS18" s="1633"/>
      <c r="HT18" s="1633"/>
      <c r="HU18" s="1633"/>
      <c r="HV18" s="1633"/>
      <c r="HW18" s="1633"/>
      <c r="HX18" s="1633"/>
      <c r="HY18" s="1633"/>
      <c r="HZ18" s="1633"/>
      <c r="IA18" s="1633"/>
      <c r="IB18" s="1633"/>
      <c r="IC18" s="1633"/>
      <c r="ID18" s="1633"/>
      <c r="IE18" s="1633"/>
      <c r="IF18" s="1633"/>
      <c r="IG18" s="1633"/>
      <c r="IH18" s="1633"/>
      <c r="II18" s="1633"/>
      <c r="IJ18" s="1633"/>
      <c r="IK18" s="1633"/>
      <c r="IL18" s="1633"/>
      <c r="IM18" s="1633"/>
    </row>
    <row r="19" spans="1:247">
      <c r="A19" s="1627" t="s">
        <v>213</v>
      </c>
      <c r="B19" s="1628">
        <f>审定资负表!C16</f>
        <v>0</v>
      </c>
      <c r="C19" s="1628">
        <f>审定资负表!D16</f>
        <v>0</v>
      </c>
      <c r="D19" s="1629" t="str">
        <f t="shared" si="0"/>
        <v> </v>
      </c>
      <c r="E19" s="1630">
        <f t="shared" si="1"/>
        <v>0</v>
      </c>
      <c r="F19" s="1631">
        <f t="shared" si="2"/>
        <v>0</v>
      </c>
      <c r="G19" s="1634"/>
      <c r="H19" s="1633"/>
      <c r="I19" s="1633"/>
      <c r="J19" s="1633"/>
      <c r="K19" s="1633"/>
      <c r="L19" s="1633"/>
      <c r="M19" s="1633"/>
      <c r="N19" s="1633"/>
      <c r="O19" s="1633"/>
      <c r="P19" s="1633"/>
      <c r="Q19" s="1633"/>
      <c r="R19" s="1633"/>
      <c r="S19" s="1633"/>
      <c r="T19" s="1633"/>
      <c r="U19" s="1633"/>
      <c r="V19" s="1633"/>
      <c r="W19" s="1633"/>
      <c r="X19" s="1633"/>
      <c r="Y19" s="1633"/>
      <c r="Z19" s="1633"/>
      <c r="AA19" s="1633"/>
      <c r="AB19" s="1633"/>
      <c r="AC19" s="1633"/>
      <c r="AD19" s="1633"/>
      <c r="AE19" s="1633"/>
      <c r="AF19" s="1633"/>
      <c r="AG19" s="1633"/>
      <c r="AH19" s="1633"/>
      <c r="AI19" s="1633"/>
      <c r="AJ19" s="1633"/>
      <c r="AK19" s="1633"/>
      <c r="AL19" s="1633"/>
      <c r="AM19" s="1633"/>
      <c r="AN19" s="1633"/>
      <c r="AO19" s="1633"/>
      <c r="AP19" s="1633"/>
      <c r="AQ19" s="1633"/>
      <c r="AR19" s="1633"/>
      <c r="AS19" s="1633"/>
      <c r="AT19" s="1633"/>
      <c r="AU19" s="1633"/>
      <c r="AV19" s="1633"/>
      <c r="AW19" s="1633"/>
      <c r="AX19" s="1633"/>
      <c r="AY19" s="1633"/>
      <c r="AZ19" s="1633"/>
      <c r="BA19" s="1633"/>
      <c r="BB19" s="1633"/>
      <c r="BC19" s="1633"/>
      <c r="BD19" s="1633"/>
      <c r="BE19" s="1633"/>
      <c r="BF19" s="1633"/>
      <c r="BG19" s="1633"/>
      <c r="BH19" s="1633"/>
      <c r="BI19" s="1633"/>
      <c r="BJ19" s="1633"/>
      <c r="BK19" s="1633"/>
      <c r="BL19" s="1633"/>
      <c r="BM19" s="1633"/>
      <c r="BN19" s="1633"/>
      <c r="BO19" s="1633"/>
      <c r="BP19" s="1633"/>
      <c r="BQ19" s="1633"/>
      <c r="BR19" s="1633"/>
      <c r="BS19" s="1633"/>
      <c r="BT19" s="1633"/>
      <c r="BU19" s="1633"/>
      <c r="BV19" s="1633"/>
      <c r="BW19" s="1633"/>
      <c r="BX19" s="1633"/>
      <c r="BY19" s="1633"/>
      <c r="BZ19" s="1633"/>
      <c r="CA19" s="1633"/>
      <c r="CB19" s="1633"/>
      <c r="CC19" s="1633"/>
      <c r="CD19" s="1633"/>
      <c r="CE19" s="1633"/>
      <c r="CF19" s="1633"/>
      <c r="CG19" s="1633"/>
      <c r="CH19" s="1633"/>
      <c r="CI19" s="1633"/>
      <c r="CJ19" s="1633"/>
      <c r="CK19" s="1633"/>
      <c r="CL19" s="1633"/>
      <c r="CM19" s="1633"/>
      <c r="CN19" s="1633"/>
      <c r="CO19" s="1633"/>
      <c r="CP19" s="1633"/>
      <c r="CQ19" s="1633"/>
      <c r="CR19" s="1633"/>
      <c r="CS19" s="1633"/>
      <c r="CT19" s="1633"/>
      <c r="CU19" s="1633"/>
      <c r="CV19" s="1633"/>
      <c r="CW19" s="1633"/>
      <c r="CX19" s="1633"/>
      <c r="CY19" s="1633"/>
      <c r="CZ19" s="1633"/>
      <c r="DA19" s="1633"/>
      <c r="DB19" s="1633"/>
      <c r="DC19" s="1633"/>
      <c r="DD19" s="1633"/>
      <c r="DE19" s="1633"/>
      <c r="DF19" s="1633"/>
      <c r="DG19" s="1633"/>
      <c r="DH19" s="1633"/>
      <c r="DI19" s="1633"/>
      <c r="DJ19" s="1633"/>
      <c r="DK19" s="1633"/>
      <c r="DL19" s="1633"/>
      <c r="DM19" s="1633"/>
      <c r="DN19" s="1633"/>
      <c r="DO19" s="1633"/>
      <c r="DP19" s="1633"/>
      <c r="DQ19" s="1633"/>
      <c r="DR19" s="1633"/>
      <c r="DS19" s="1633"/>
      <c r="DT19" s="1633"/>
      <c r="DU19" s="1633"/>
      <c r="DV19" s="1633"/>
      <c r="DW19" s="1633"/>
      <c r="DX19" s="1633"/>
      <c r="DY19" s="1633"/>
      <c r="DZ19" s="1633"/>
      <c r="EA19" s="1633"/>
      <c r="EB19" s="1633"/>
      <c r="EC19" s="1633"/>
      <c r="ED19" s="1633"/>
      <c r="EE19" s="1633"/>
      <c r="EF19" s="1633"/>
      <c r="EG19" s="1633"/>
      <c r="EH19" s="1633"/>
      <c r="EI19" s="1633"/>
      <c r="EJ19" s="1633"/>
      <c r="EK19" s="1633"/>
      <c r="EL19" s="1633"/>
      <c r="EM19" s="1633"/>
      <c r="EN19" s="1633"/>
      <c r="EO19" s="1633"/>
      <c r="EP19" s="1633"/>
      <c r="EQ19" s="1633"/>
      <c r="ER19" s="1633"/>
      <c r="ES19" s="1633"/>
      <c r="ET19" s="1633"/>
      <c r="EU19" s="1633"/>
      <c r="EV19" s="1633"/>
      <c r="EW19" s="1633"/>
      <c r="EX19" s="1633"/>
      <c r="EY19" s="1633"/>
      <c r="EZ19" s="1633"/>
      <c r="FA19" s="1633"/>
      <c r="FB19" s="1633"/>
      <c r="FC19" s="1633"/>
      <c r="FD19" s="1633"/>
      <c r="FE19" s="1633"/>
      <c r="FF19" s="1633"/>
      <c r="FG19" s="1633"/>
      <c r="FH19" s="1633"/>
      <c r="FI19" s="1633"/>
      <c r="FJ19" s="1633"/>
      <c r="FK19" s="1633"/>
      <c r="FL19" s="1633"/>
      <c r="FM19" s="1633"/>
      <c r="FN19" s="1633"/>
      <c r="FO19" s="1633"/>
      <c r="FP19" s="1633"/>
      <c r="FQ19" s="1633"/>
      <c r="FR19" s="1633"/>
      <c r="FS19" s="1633"/>
      <c r="FT19" s="1633"/>
      <c r="FU19" s="1633"/>
      <c r="FV19" s="1633"/>
      <c r="FW19" s="1633"/>
      <c r="FX19" s="1633"/>
      <c r="FY19" s="1633"/>
      <c r="FZ19" s="1633"/>
      <c r="GA19" s="1633"/>
      <c r="GB19" s="1633"/>
      <c r="GC19" s="1633"/>
      <c r="GD19" s="1633"/>
      <c r="GE19" s="1633"/>
      <c r="GF19" s="1633"/>
      <c r="GG19" s="1633"/>
      <c r="GH19" s="1633"/>
      <c r="GI19" s="1633"/>
      <c r="GJ19" s="1633"/>
      <c r="GK19" s="1633"/>
      <c r="GL19" s="1633"/>
      <c r="GM19" s="1633"/>
      <c r="GN19" s="1633"/>
      <c r="GO19" s="1633"/>
      <c r="GP19" s="1633"/>
      <c r="GQ19" s="1633"/>
      <c r="GR19" s="1633"/>
      <c r="GS19" s="1633"/>
      <c r="GT19" s="1633"/>
      <c r="GU19" s="1633"/>
      <c r="GV19" s="1633"/>
      <c r="GW19" s="1633"/>
      <c r="GX19" s="1633"/>
      <c r="GY19" s="1633"/>
      <c r="GZ19" s="1633"/>
      <c r="HA19" s="1633"/>
      <c r="HB19" s="1633"/>
      <c r="HC19" s="1633"/>
      <c r="HD19" s="1633"/>
      <c r="HE19" s="1633"/>
      <c r="HF19" s="1633"/>
      <c r="HG19" s="1633"/>
      <c r="HH19" s="1633"/>
      <c r="HI19" s="1633"/>
      <c r="HJ19" s="1633"/>
      <c r="HK19" s="1633"/>
      <c r="HL19" s="1633"/>
      <c r="HM19" s="1633"/>
      <c r="HN19" s="1633"/>
      <c r="HO19" s="1633"/>
      <c r="HP19" s="1633"/>
      <c r="HQ19" s="1633"/>
      <c r="HR19" s="1633"/>
      <c r="HS19" s="1633"/>
      <c r="HT19" s="1633"/>
      <c r="HU19" s="1633"/>
      <c r="HV19" s="1633"/>
      <c r="HW19" s="1633"/>
      <c r="HX19" s="1633"/>
      <c r="HY19" s="1633"/>
      <c r="HZ19" s="1633"/>
      <c r="IA19" s="1633"/>
      <c r="IB19" s="1633"/>
      <c r="IC19" s="1633"/>
      <c r="ID19" s="1633"/>
      <c r="IE19" s="1633"/>
      <c r="IF19" s="1633"/>
      <c r="IG19" s="1633"/>
      <c r="IH19" s="1633"/>
      <c r="II19" s="1633"/>
      <c r="IJ19" s="1633"/>
      <c r="IK19" s="1633"/>
      <c r="IL19" s="1633"/>
      <c r="IM19" s="1633"/>
    </row>
    <row r="20" spans="1:247">
      <c r="A20" s="1627" t="s">
        <v>215</v>
      </c>
      <c r="B20" s="1628">
        <f>审定资负表!C17</f>
        <v>0</v>
      </c>
      <c r="C20" s="1628">
        <f>审定资负表!D17</f>
        <v>0</v>
      </c>
      <c r="D20" s="1629" t="str">
        <f t="shared" si="0"/>
        <v> </v>
      </c>
      <c r="E20" s="1630">
        <f t="shared" si="1"/>
        <v>0</v>
      </c>
      <c r="F20" s="1631">
        <f t="shared" si="2"/>
        <v>0</v>
      </c>
      <c r="G20" s="1634"/>
      <c r="H20" s="1633"/>
      <c r="I20" s="1633"/>
      <c r="J20" s="1633"/>
      <c r="K20" s="1633"/>
      <c r="L20" s="1633"/>
      <c r="M20" s="1633"/>
      <c r="N20" s="1633"/>
      <c r="O20" s="1633"/>
      <c r="P20" s="1633"/>
      <c r="Q20" s="1633"/>
      <c r="R20" s="1633"/>
      <c r="S20" s="1633"/>
      <c r="T20" s="1633"/>
      <c r="U20" s="1633"/>
      <c r="V20" s="1633"/>
      <c r="W20" s="1633"/>
      <c r="X20" s="1633"/>
      <c r="Y20" s="1633"/>
      <c r="Z20" s="1633"/>
      <c r="AA20" s="1633"/>
      <c r="AB20" s="1633"/>
      <c r="AC20" s="1633"/>
      <c r="AD20" s="1633"/>
      <c r="AE20" s="1633"/>
      <c r="AF20" s="1633"/>
      <c r="AG20" s="1633"/>
      <c r="AH20" s="1633"/>
      <c r="AI20" s="1633"/>
      <c r="AJ20" s="1633"/>
      <c r="AK20" s="1633"/>
      <c r="AL20" s="1633"/>
      <c r="AM20" s="1633"/>
      <c r="AN20" s="1633"/>
      <c r="AO20" s="1633"/>
      <c r="AP20" s="1633"/>
      <c r="AQ20" s="1633"/>
      <c r="AR20" s="1633"/>
      <c r="AS20" s="1633"/>
      <c r="AT20" s="1633"/>
      <c r="AU20" s="1633"/>
      <c r="AV20" s="1633"/>
      <c r="AW20" s="1633"/>
      <c r="AX20" s="1633"/>
      <c r="AY20" s="1633"/>
      <c r="AZ20" s="1633"/>
      <c r="BA20" s="1633"/>
      <c r="BB20" s="1633"/>
      <c r="BC20" s="1633"/>
      <c r="BD20" s="1633"/>
      <c r="BE20" s="1633"/>
      <c r="BF20" s="1633"/>
      <c r="BG20" s="1633"/>
      <c r="BH20" s="1633"/>
      <c r="BI20" s="1633"/>
      <c r="BJ20" s="1633"/>
      <c r="BK20" s="1633"/>
      <c r="BL20" s="1633"/>
      <c r="BM20" s="1633"/>
      <c r="BN20" s="1633"/>
      <c r="BO20" s="1633"/>
      <c r="BP20" s="1633"/>
      <c r="BQ20" s="1633"/>
      <c r="BR20" s="1633"/>
      <c r="BS20" s="1633"/>
      <c r="BT20" s="1633"/>
      <c r="BU20" s="1633"/>
      <c r="BV20" s="1633"/>
      <c r="BW20" s="1633"/>
      <c r="BX20" s="1633"/>
      <c r="BY20" s="1633"/>
      <c r="BZ20" s="1633"/>
      <c r="CA20" s="1633"/>
      <c r="CB20" s="1633"/>
      <c r="CC20" s="1633"/>
      <c r="CD20" s="1633"/>
      <c r="CE20" s="1633"/>
      <c r="CF20" s="1633"/>
      <c r="CG20" s="1633"/>
      <c r="CH20" s="1633"/>
      <c r="CI20" s="1633"/>
      <c r="CJ20" s="1633"/>
      <c r="CK20" s="1633"/>
      <c r="CL20" s="1633"/>
      <c r="CM20" s="1633"/>
      <c r="CN20" s="1633"/>
      <c r="CO20" s="1633"/>
      <c r="CP20" s="1633"/>
      <c r="CQ20" s="1633"/>
      <c r="CR20" s="1633"/>
      <c r="CS20" s="1633"/>
      <c r="CT20" s="1633"/>
      <c r="CU20" s="1633"/>
      <c r="CV20" s="1633"/>
      <c r="CW20" s="1633"/>
      <c r="CX20" s="1633"/>
      <c r="CY20" s="1633"/>
      <c r="CZ20" s="1633"/>
      <c r="DA20" s="1633"/>
      <c r="DB20" s="1633"/>
      <c r="DC20" s="1633"/>
      <c r="DD20" s="1633"/>
      <c r="DE20" s="1633"/>
      <c r="DF20" s="1633"/>
      <c r="DG20" s="1633"/>
      <c r="DH20" s="1633"/>
      <c r="DI20" s="1633"/>
      <c r="DJ20" s="1633"/>
      <c r="DK20" s="1633"/>
      <c r="DL20" s="1633"/>
      <c r="DM20" s="1633"/>
      <c r="DN20" s="1633"/>
      <c r="DO20" s="1633"/>
      <c r="DP20" s="1633"/>
      <c r="DQ20" s="1633"/>
      <c r="DR20" s="1633"/>
      <c r="DS20" s="1633"/>
      <c r="DT20" s="1633"/>
      <c r="DU20" s="1633"/>
      <c r="DV20" s="1633"/>
      <c r="DW20" s="1633"/>
      <c r="DX20" s="1633"/>
      <c r="DY20" s="1633"/>
      <c r="DZ20" s="1633"/>
      <c r="EA20" s="1633"/>
      <c r="EB20" s="1633"/>
      <c r="EC20" s="1633"/>
      <c r="ED20" s="1633"/>
      <c r="EE20" s="1633"/>
      <c r="EF20" s="1633"/>
      <c r="EG20" s="1633"/>
      <c r="EH20" s="1633"/>
      <c r="EI20" s="1633"/>
      <c r="EJ20" s="1633"/>
      <c r="EK20" s="1633"/>
      <c r="EL20" s="1633"/>
      <c r="EM20" s="1633"/>
      <c r="EN20" s="1633"/>
      <c r="EO20" s="1633"/>
      <c r="EP20" s="1633"/>
      <c r="EQ20" s="1633"/>
      <c r="ER20" s="1633"/>
      <c r="ES20" s="1633"/>
      <c r="ET20" s="1633"/>
      <c r="EU20" s="1633"/>
      <c r="EV20" s="1633"/>
      <c r="EW20" s="1633"/>
      <c r="EX20" s="1633"/>
      <c r="EY20" s="1633"/>
      <c r="EZ20" s="1633"/>
      <c r="FA20" s="1633"/>
      <c r="FB20" s="1633"/>
      <c r="FC20" s="1633"/>
      <c r="FD20" s="1633"/>
      <c r="FE20" s="1633"/>
      <c r="FF20" s="1633"/>
      <c r="FG20" s="1633"/>
      <c r="FH20" s="1633"/>
      <c r="FI20" s="1633"/>
      <c r="FJ20" s="1633"/>
      <c r="FK20" s="1633"/>
      <c r="FL20" s="1633"/>
      <c r="FM20" s="1633"/>
      <c r="FN20" s="1633"/>
      <c r="FO20" s="1633"/>
      <c r="FP20" s="1633"/>
      <c r="FQ20" s="1633"/>
      <c r="FR20" s="1633"/>
      <c r="FS20" s="1633"/>
      <c r="FT20" s="1633"/>
      <c r="FU20" s="1633"/>
      <c r="FV20" s="1633"/>
      <c r="FW20" s="1633"/>
      <c r="FX20" s="1633"/>
      <c r="FY20" s="1633"/>
      <c r="FZ20" s="1633"/>
      <c r="GA20" s="1633"/>
      <c r="GB20" s="1633"/>
      <c r="GC20" s="1633"/>
      <c r="GD20" s="1633"/>
      <c r="GE20" s="1633"/>
      <c r="GF20" s="1633"/>
      <c r="GG20" s="1633"/>
      <c r="GH20" s="1633"/>
      <c r="GI20" s="1633"/>
      <c r="GJ20" s="1633"/>
      <c r="GK20" s="1633"/>
      <c r="GL20" s="1633"/>
      <c r="GM20" s="1633"/>
      <c r="GN20" s="1633"/>
      <c r="GO20" s="1633"/>
      <c r="GP20" s="1633"/>
      <c r="GQ20" s="1633"/>
      <c r="GR20" s="1633"/>
      <c r="GS20" s="1633"/>
      <c r="GT20" s="1633"/>
      <c r="GU20" s="1633"/>
      <c r="GV20" s="1633"/>
      <c r="GW20" s="1633"/>
      <c r="GX20" s="1633"/>
      <c r="GY20" s="1633"/>
      <c r="GZ20" s="1633"/>
      <c r="HA20" s="1633"/>
      <c r="HB20" s="1633"/>
      <c r="HC20" s="1633"/>
      <c r="HD20" s="1633"/>
      <c r="HE20" s="1633"/>
      <c r="HF20" s="1633"/>
      <c r="HG20" s="1633"/>
      <c r="HH20" s="1633"/>
      <c r="HI20" s="1633"/>
      <c r="HJ20" s="1633"/>
      <c r="HK20" s="1633"/>
      <c r="HL20" s="1633"/>
      <c r="HM20" s="1633"/>
      <c r="HN20" s="1633"/>
      <c r="HO20" s="1633"/>
      <c r="HP20" s="1633"/>
      <c r="HQ20" s="1633"/>
      <c r="HR20" s="1633"/>
      <c r="HS20" s="1633"/>
      <c r="HT20" s="1633"/>
      <c r="HU20" s="1633"/>
      <c r="HV20" s="1633"/>
      <c r="HW20" s="1633"/>
      <c r="HX20" s="1633"/>
      <c r="HY20" s="1633"/>
      <c r="HZ20" s="1633"/>
      <c r="IA20" s="1633"/>
      <c r="IB20" s="1633"/>
      <c r="IC20" s="1633"/>
      <c r="ID20" s="1633"/>
      <c r="IE20" s="1633"/>
      <c r="IF20" s="1633"/>
      <c r="IG20" s="1633"/>
      <c r="IH20" s="1633"/>
      <c r="II20" s="1633"/>
      <c r="IJ20" s="1633"/>
      <c r="IK20" s="1633"/>
      <c r="IL20" s="1633"/>
      <c r="IM20" s="1633"/>
    </row>
    <row r="21" spans="1:247">
      <c r="A21" s="1627" t="s">
        <v>2007</v>
      </c>
      <c r="B21" s="1628">
        <f>审定资负表!C18</f>
        <v>0</v>
      </c>
      <c r="C21" s="1628">
        <f>审定资负表!D18</f>
        <v>0</v>
      </c>
      <c r="D21" s="1629" t="str">
        <f t="shared" si="0"/>
        <v> </v>
      </c>
      <c r="E21" s="1630">
        <f t="shared" si="1"/>
        <v>0</v>
      </c>
      <c r="F21" s="1631">
        <f t="shared" si="2"/>
        <v>0</v>
      </c>
      <c r="G21" s="1634"/>
      <c r="H21" s="1633"/>
      <c r="I21" s="1633"/>
      <c r="J21" s="1633"/>
      <c r="K21" s="1633"/>
      <c r="L21" s="1633"/>
      <c r="M21" s="1633"/>
      <c r="N21" s="1633"/>
      <c r="O21" s="1633"/>
      <c r="P21" s="1633"/>
      <c r="Q21" s="1633"/>
      <c r="R21" s="1633"/>
      <c r="S21" s="1633"/>
      <c r="T21" s="1633"/>
      <c r="U21" s="1633"/>
      <c r="V21" s="1633"/>
      <c r="W21" s="1633"/>
      <c r="X21" s="1633"/>
      <c r="Y21" s="1633"/>
      <c r="Z21" s="1633"/>
      <c r="AA21" s="1633"/>
      <c r="AB21" s="1633"/>
      <c r="AC21" s="1633"/>
      <c r="AD21" s="1633"/>
      <c r="AE21" s="1633"/>
      <c r="AF21" s="1633"/>
      <c r="AG21" s="1633"/>
      <c r="AH21" s="1633"/>
      <c r="AI21" s="1633"/>
      <c r="AJ21" s="1633"/>
      <c r="AK21" s="1633"/>
      <c r="AL21" s="1633"/>
      <c r="AM21" s="1633"/>
      <c r="AN21" s="1633"/>
      <c r="AO21" s="1633"/>
      <c r="AP21" s="1633"/>
      <c r="AQ21" s="1633"/>
      <c r="AR21" s="1633"/>
      <c r="AS21" s="1633"/>
      <c r="AT21" s="1633"/>
      <c r="AU21" s="1633"/>
      <c r="AV21" s="1633"/>
      <c r="AW21" s="1633"/>
      <c r="AX21" s="1633"/>
      <c r="AY21" s="1633"/>
      <c r="AZ21" s="1633"/>
      <c r="BA21" s="1633"/>
      <c r="BB21" s="1633"/>
      <c r="BC21" s="1633"/>
      <c r="BD21" s="1633"/>
      <c r="BE21" s="1633"/>
      <c r="BF21" s="1633"/>
      <c r="BG21" s="1633"/>
      <c r="BH21" s="1633"/>
      <c r="BI21" s="1633"/>
      <c r="BJ21" s="1633"/>
      <c r="BK21" s="1633"/>
      <c r="BL21" s="1633"/>
      <c r="BM21" s="1633"/>
      <c r="BN21" s="1633"/>
      <c r="BO21" s="1633"/>
      <c r="BP21" s="1633"/>
      <c r="BQ21" s="1633"/>
      <c r="BR21" s="1633"/>
      <c r="BS21" s="1633"/>
      <c r="BT21" s="1633"/>
      <c r="BU21" s="1633"/>
      <c r="BV21" s="1633"/>
      <c r="BW21" s="1633"/>
      <c r="BX21" s="1633"/>
      <c r="BY21" s="1633"/>
      <c r="BZ21" s="1633"/>
      <c r="CA21" s="1633"/>
      <c r="CB21" s="1633"/>
      <c r="CC21" s="1633"/>
      <c r="CD21" s="1633"/>
      <c r="CE21" s="1633"/>
      <c r="CF21" s="1633"/>
      <c r="CG21" s="1633"/>
      <c r="CH21" s="1633"/>
      <c r="CI21" s="1633"/>
      <c r="CJ21" s="1633"/>
      <c r="CK21" s="1633"/>
      <c r="CL21" s="1633"/>
      <c r="CM21" s="1633"/>
      <c r="CN21" s="1633"/>
      <c r="CO21" s="1633"/>
      <c r="CP21" s="1633"/>
      <c r="CQ21" s="1633"/>
      <c r="CR21" s="1633"/>
      <c r="CS21" s="1633"/>
      <c r="CT21" s="1633"/>
      <c r="CU21" s="1633"/>
      <c r="CV21" s="1633"/>
      <c r="CW21" s="1633"/>
      <c r="CX21" s="1633"/>
      <c r="CY21" s="1633"/>
      <c r="CZ21" s="1633"/>
      <c r="DA21" s="1633"/>
      <c r="DB21" s="1633"/>
      <c r="DC21" s="1633"/>
      <c r="DD21" s="1633"/>
      <c r="DE21" s="1633"/>
      <c r="DF21" s="1633"/>
      <c r="DG21" s="1633"/>
      <c r="DH21" s="1633"/>
      <c r="DI21" s="1633"/>
      <c r="DJ21" s="1633"/>
      <c r="DK21" s="1633"/>
      <c r="DL21" s="1633"/>
      <c r="DM21" s="1633"/>
      <c r="DN21" s="1633"/>
      <c r="DO21" s="1633"/>
      <c r="DP21" s="1633"/>
      <c r="DQ21" s="1633"/>
      <c r="DR21" s="1633"/>
      <c r="DS21" s="1633"/>
      <c r="DT21" s="1633"/>
      <c r="DU21" s="1633"/>
      <c r="DV21" s="1633"/>
      <c r="DW21" s="1633"/>
      <c r="DX21" s="1633"/>
      <c r="DY21" s="1633"/>
      <c r="DZ21" s="1633"/>
      <c r="EA21" s="1633"/>
      <c r="EB21" s="1633"/>
      <c r="EC21" s="1633"/>
      <c r="ED21" s="1633"/>
      <c r="EE21" s="1633"/>
      <c r="EF21" s="1633"/>
      <c r="EG21" s="1633"/>
      <c r="EH21" s="1633"/>
      <c r="EI21" s="1633"/>
      <c r="EJ21" s="1633"/>
      <c r="EK21" s="1633"/>
      <c r="EL21" s="1633"/>
      <c r="EM21" s="1633"/>
      <c r="EN21" s="1633"/>
      <c r="EO21" s="1633"/>
      <c r="EP21" s="1633"/>
      <c r="EQ21" s="1633"/>
      <c r="ER21" s="1633"/>
      <c r="ES21" s="1633"/>
      <c r="ET21" s="1633"/>
      <c r="EU21" s="1633"/>
      <c r="EV21" s="1633"/>
      <c r="EW21" s="1633"/>
      <c r="EX21" s="1633"/>
      <c r="EY21" s="1633"/>
      <c r="EZ21" s="1633"/>
      <c r="FA21" s="1633"/>
      <c r="FB21" s="1633"/>
      <c r="FC21" s="1633"/>
      <c r="FD21" s="1633"/>
      <c r="FE21" s="1633"/>
      <c r="FF21" s="1633"/>
      <c r="FG21" s="1633"/>
      <c r="FH21" s="1633"/>
      <c r="FI21" s="1633"/>
      <c r="FJ21" s="1633"/>
      <c r="FK21" s="1633"/>
      <c r="FL21" s="1633"/>
      <c r="FM21" s="1633"/>
      <c r="FN21" s="1633"/>
      <c r="FO21" s="1633"/>
      <c r="FP21" s="1633"/>
      <c r="FQ21" s="1633"/>
      <c r="FR21" s="1633"/>
      <c r="FS21" s="1633"/>
      <c r="FT21" s="1633"/>
      <c r="FU21" s="1633"/>
      <c r="FV21" s="1633"/>
      <c r="FW21" s="1633"/>
      <c r="FX21" s="1633"/>
      <c r="FY21" s="1633"/>
      <c r="FZ21" s="1633"/>
      <c r="GA21" s="1633"/>
      <c r="GB21" s="1633"/>
      <c r="GC21" s="1633"/>
      <c r="GD21" s="1633"/>
      <c r="GE21" s="1633"/>
      <c r="GF21" s="1633"/>
      <c r="GG21" s="1633"/>
      <c r="GH21" s="1633"/>
      <c r="GI21" s="1633"/>
      <c r="GJ21" s="1633"/>
      <c r="GK21" s="1633"/>
      <c r="GL21" s="1633"/>
      <c r="GM21" s="1633"/>
      <c r="GN21" s="1633"/>
      <c r="GO21" s="1633"/>
      <c r="GP21" s="1633"/>
      <c r="GQ21" s="1633"/>
      <c r="GR21" s="1633"/>
      <c r="GS21" s="1633"/>
      <c r="GT21" s="1633"/>
      <c r="GU21" s="1633"/>
      <c r="GV21" s="1633"/>
      <c r="GW21" s="1633"/>
      <c r="GX21" s="1633"/>
      <c r="GY21" s="1633"/>
      <c r="GZ21" s="1633"/>
      <c r="HA21" s="1633"/>
      <c r="HB21" s="1633"/>
      <c r="HC21" s="1633"/>
      <c r="HD21" s="1633"/>
      <c r="HE21" s="1633"/>
      <c r="HF21" s="1633"/>
      <c r="HG21" s="1633"/>
      <c r="HH21" s="1633"/>
      <c r="HI21" s="1633"/>
      <c r="HJ21" s="1633"/>
      <c r="HK21" s="1633"/>
      <c r="HL21" s="1633"/>
      <c r="HM21" s="1633"/>
      <c r="HN21" s="1633"/>
      <c r="HO21" s="1633"/>
      <c r="HP21" s="1633"/>
      <c r="HQ21" s="1633"/>
      <c r="HR21" s="1633"/>
      <c r="HS21" s="1633"/>
      <c r="HT21" s="1633"/>
      <c r="HU21" s="1633"/>
      <c r="HV21" s="1633"/>
      <c r="HW21" s="1633"/>
      <c r="HX21" s="1633"/>
      <c r="HY21" s="1633"/>
      <c r="HZ21" s="1633"/>
      <c r="IA21" s="1633"/>
      <c r="IB21" s="1633"/>
      <c r="IC21" s="1633"/>
      <c r="ID21" s="1633"/>
      <c r="IE21" s="1633"/>
      <c r="IF21" s="1633"/>
      <c r="IG21" s="1633"/>
      <c r="IH21" s="1633"/>
      <c r="II21" s="1633"/>
      <c r="IJ21" s="1633"/>
      <c r="IK21" s="1633"/>
      <c r="IL21" s="1633"/>
      <c r="IM21" s="1633"/>
    </row>
    <row r="22" spans="1:247">
      <c r="A22" s="1635" t="s">
        <v>219</v>
      </c>
      <c r="B22" s="1628">
        <f>审定资负表!C19</f>
        <v>56453052.95</v>
      </c>
      <c r="C22" s="1628">
        <f>审定资负表!D19</f>
        <v>0</v>
      </c>
      <c r="D22" s="1629">
        <f t="shared" si="0"/>
        <v>1</v>
      </c>
      <c r="E22" s="1630">
        <f t="shared" si="1"/>
        <v>56453052.95</v>
      </c>
      <c r="F22" s="1631">
        <f t="shared" si="2"/>
        <v>1</v>
      </c>
      <c r="G22" s="1634"/>
      <c r="H22" s="1633"/>
      <c r="I22" s="1633"/>
      <c r="J22" s="1633"/>
      <c r="K22" s="1633"/>
      <c r="L22" s="1633"/>
      <c r="M22" s="1633"/>
      <c r="N22" s="1633"/>
      <c r="O22" s="1633"/>
      <c r="P22" s="1633"/>
      <c r="Q22" s="1633"/>
      <c r="R22" s="1633"/>
      <c r="S22" s="1633"/>
      <c r="T22" s="1633"/>
      <c r="U22" s="1633"/>
      <c r="V22" s="1633"/>
      <c r="W22" s="1633"/>
      <c r="X22" s="1633"/>
      <c r="Y22" s="1633"/>
      <c r="Z22" s="1633"/>
      <c r="AA22" s="1633"/>
      <c r="AB22" s="1633"/>
      <c r="AC22" s="1633"/>
      <c r="AD22" s="1633"/>
      <c r="AE22" s="1633"/>
      <c r="AF22" s="1633"/>
      <c r="AG22" s="1633"/>
      <c r="AH22" s="1633"/>
      <c r="AI22" s="1633"/>
      <c r="AJ22" s="1633"/>
      <c r="AK22" s="1633"/>
      <c r="AL22" s="1633"/>
      <c r="AM22" s="1633"/>
      <c r="AN22" s="1633"/>
      <c r="AO22" s="1633"/>
      <c r="AP22" s="1633"/>
      <c r="AQ22" s="1633"/>
      <c r="AR22" s="1633"/>
      <c r="AS22" s="1633"/>
      <c r="AT22" s="1633"/>
      <c r="AU22" s="1633"/>
      <c r="AV22" s="1633"/>
      <c r="AW22" s="1633"/>
      <c r="AX22" s="1633"/>
      <c r="AY22" s="1633"/>
      <c r="AZ22" s="1633"/>
      <c r="BA22" s="1633"/>
      <c r="BB22" s="1633"/>
      <c r="BC22" s="1633"/>
      <c r="BD22" s="1633"/>
      <c r="BE22" s="1633"/>
      <c r="BF22" s="1633"/>
      <c r="BG22" s="1633"/>
      <c r="BH22" s="1633"/>
      <c r="BI22" s="1633"/>
      <c r="BJ22" s="1633"/>
      <c r="BK22" s="1633"/>
      <c r="BL22" s="1633"/>
      <c r="BM22" s="1633"/>
      <c r="BN22" s="1633"/>
      <c r="BO22" s="1633"/>
      <c r="BP22" s="1633"/>
      <c r="BQ22" s="1633"/>
      <c r="BR22" s="1633"/>
      <c r="BS22" s="1633"/>
      <c r="BT22" s="1633"/>
      <c r="BU22" s="1633"/>
      <c r="BV22" s="1633"/>
      <c r="BW22" s="1633"/>
      <c r="BX22" s="1633"/>
      <c r="BY22" s="1633"/>
      <c r="BZ22" s="1633"/>
      <c r="CA22" s="1633"/>
      <c r="CB22" s="1633"/>
      <c r="CC22" s="1633"/>
      <c r="CD22" s="1633"/>
      <c r="CE22" s="1633"/>
      <c r="CF22" s="1633"/>
      <c r="CG22" s="1633"/>
      <c r="CH22" s="1633"/>
      <c r="CI22" s="1633"/>
      <c r="CJ22" s="1633"/>
      <c r="CK22" s="1633"/>
      <c r="CL22" s="1633"/>
      <c r="CM22" s="1633"/>
      <c r="CN22" s="1633"/>
      <c r="CO22" s="1633"/>
      <c r="CP22" s="1633"/>
      <c r="CQ22" s="1633"/>
      <c r="CR22" s="1633"/>
      <c r="CS22" s="1633"/>
      <c r="CT22" s="1633"/>
      <c r="CU22" s="1633"/>
      <c r="CV22" s="1633"/>
      <c r="CW22" s="1633"/>
      <c r="CX22" s="1633"/>
      <c r="CY22" s="1633"/>
      <c r="CZ22" s="1633"/>
      <c r="DA22" s="1633"/>
      <c r="DB22" s="1633"/>
      <c r="DC22" s="1633"/>
      <c r="DD22" s="1633"/>
      <c r="DE22" s="1633"/>
      <c r="DF22" s="1633"/>
      <c r="DG22" s="1633"/>
      <c r="DH22" s="1633"/>
      <c r="DI22" s="1633"/>
      <c r="DJ22" s="1633"/>
      <c r="DK22" s="1633"/>
      <c r="DL22" s="1633"/>
      <c r="DM22" s="1633"/>
      <c r="DN22" s="1633"/>
      <c r="DO22" s="1633"/>
      <c r="DP22" s="1633"/>
      <c r="DQ22" s="1633"/>
      <c r="DR22" s="1633"/>
      <c r="DS22" s="1633"/>
      <c r="DT22" s="1633"/>
      <c r="DU22" s="1633"/>
      <c r="DV22" s="1633"/>
      <c r="DW22" s="1633"/>
      <c r="DX22" s="1633"/>
      <c r="DY22" s="1633"/>
      <c r="DZ22" s="1633"/>
      <c r="EA22" s="1633"/>
      <c r="EB22" s="1633"/>
      <c r="EC22" s="1633"/>
      <c r="ED22" s="1633"/>
      <c r="EE22" s="1633"/>
      <c r="EF22" s="1633"/>
      <c r="EG22" s="1633"/>
      <c r="EH22" s="1633"/>
      <c r="EI22" s="1633"/>
      <c r="EJ22" s="1633"/>
      <c r="EK22" s="1633"/>
      <c r="EL22" s="1633"/>
      <c r="EM22" s="1633"/>
      <c r="EN22" s="1633"/>
      <c r="EO22" s="1633"/>
      <c r="EP22" s="1633"/>
      <c r="EQ22" s="1633"/>
      <c r="ER22" s="1633"/>
      <c r="ES22" s="1633"/>
      <c r="ET22" s="1633"/>
      <c r="EU22" s="1633"/>
      <c r="EV22" s="1633"/>
      <c r="EW22" s="1633"/>
      <c r="EX22" s="1633"/>
      <c r="EY22" s="1633"/>
      <c r="EZ22" s="1633"/>
      <c r="FA22" s="1633"/>
      <c r="FB22" s="1633"/>
      <c r="FC22" s="1633"/>
      <c r="FD22" s="1633"/>
      <c r="FE22" s="1633"/>
      <c r="FF22" s="1633"/>
      <c r="FG22" s="1633"/>
      <c r="FH22" s="1633"/>
      <c r="FI22" s="1633"/>
      <c r="FJ22" s="1633"/>
      <c r="FK22" s="1633"/>
      <c r="FL22" s="1633"/>
      <c r="FM22" s="1633"/>
      <c r="FN22" s="1633"/>
      <c r="FO22" s="1633"/>
      <c r="FP22" s="1633"/>
      <c r="FQ22" s="1633"/>
      <c r="FR22" s="1633"/>
      <c r="FS22" s="1633"/>
      <c r="FT22" s="1633"/>
      <c r="FU22" s="1633"/>
      <c r="FV22" s="1633"/>
      <c r="FW22" s="1633"/>
      <c r="FX22" s="1633"/>
      <c r="FY22" s="1633"/>
      <c r="FZ22" s="1633"/>
      <c r="GA22" s="1633"/>
      <c r="GB22" s="1633"/>
      <c r="GC22" s="1633"/>
      <c r="GD22" s="1633"/>
      <c r="GE22" s="1633"/>
      <c r="GF22" s="1633"/>
      <c r="GG22" s="1633"/>
      <c r="GH22" s="1633"/>
      <c r="GI22" s="1633"/>
      <c r="GJ22" s="1633"/>
      <c r="GK22" s="1633"/>
      <c r="GL22" s="1633"/>
      <c r="GM22" s="1633"/>
      <c r="GN22" s="1633"/>
      <c r="GO22" s="1633"/>
      <c r="GP22" s="1633"/>
      <c r="GQ22" s="1633"/>
      <c r="GR22" s="1633"/>
      <c r="GS22" s="1633"/>
      <c r="GT22" s="1633"/>
      <c r="GU22" s="1633"/>
      <c r="GV22" s="1633"/>
      <c r="GW22" s="1633"/>
      <c r="GX22" s="1633"/>
      <c r="GY22" s="1633"/>
      <c r="GZ22" s="1633"/>
      <c r="HA22" s="1633"/>
      <c r="HB22" s="1633"/>
      <c r="HC22" s="1633"/>
      <c r="HD22" s="1633"/>
      <c r="HE22" s="1633"/>
      <c r="HF22" s="1633"/>
      <c r="HG22" s="1633"/>
      <c r="HH22" s="1633"/>
      <c r="HI22" s="1633"/>
      <c r="HJ22" s="1633"/>
      <c r="HK22" s="1633"/>
      <c r="HL22" s="1633"/>
      <c r="HM22" s="1633"/>
      <c r="HN22" s="1633"/>
      <c r="HO22" s="1633"/>
      <c r="HP22" s="1633"/>
      <c r="HQ22" s="1633"/>
      <c r="HR22" s="1633"/>
      <c r="HS22" s="1633"/>
      <c r="HT22" s="1633"/>
      <c r="HU22" s="1633"/>
      <c r="HV22" s="1633"/>
      <c r="HW22" s="1633"/>
      <c r="HX22" s="1633"/>
      <c r="HY22" s="1633"/>
      <c r="HZ22" s="1633"/>
      <c r="IA22" s="1633"/>
      <c r="IB22" s="1633"/>
      <c r="IC22" s="1633"/>
      <c r="ID22" s="1633"/>
      <c r="IE22" s="1633"/>
      <c r="IF22" s="1633"/>
      <c r="IG22" s="1633"/>
      <c r="IH22" s="1633"/>
      <c r="II22" s="1633"/>
      <c r="IJ22" s="1633"/>
      <c r="IK22" s="1633"/>
      <c r="IL22" s="1633"/>
      <c r="IM22" s="1633"/>
    </row>
    <row r="23" spans="1:247">
      <c r="A23" s="1627"/>
      <c r="B23" s="1628">
        <f>审定资负表!C20</f>
        <v>0</v>
      </c>
      <c r="C23" s="1628">
        <f>审定资负表!D20</f>
        <v>0</v>
      </c>
      <c r="D23" s="1629" t="str">
        <f t="shared" si="0"/>
        <v> </v>
      </c>
      <c r="E23" s="1630">
        <f t="shared" si="1"/>
        <v>0</v>
      </c>
      <c r="F23" s="1631">
        <f t="shared" si="2"/>
        <v>0</v>
      </c>
      <c r="G23" s="1634"/>
      <c r="H23" s="1633"/>
      <c r="I23" s="1633"/>
      <c r="J23" s="1633"/>
      <c r="K23" s="1633"/>
      <c r="L23" s="1633"/>
      <c r="M23" s="1633"/>
      <c r="N23" s="1633"/>
      <c r="O23" s="1633"/>
      <c r="P23" s="1633"/>
      <c r="Q23" s="1633"/>
      <c r="R23" s="1633"/>
      <c r="S23" s="1633"/>
      <c r="T23" s="1633"/>
      <c r="U23" s="1633"/>
      <c r="V23" s="1633"/>
      <c r="W23" s="1633"/>
      <c r="X23" s="1633"/>
      <c r="Y23" s="1633"/>
      <c r="Z23" s="1633"/>
      <c r="AA23" s="1633"/>
      <c r="AB23" s="1633"/>
      <c r="AC23" s="1633"/>
      <c r="AD23" s="1633"/>
      <c r="AE23" s="1633"/>
      <c r="AF23" s="1633"/>
      <c r="AG23" s="1633"/>
      <c r="AH23" s="1633"/>
      <c r="AI23" s="1633"/>
      <c r="AJ23" s="1633"/>
      <c r="AK23" s="1633"/>
      <c r="AL23" s="1633"/>
      <c r="AM23" s="1633"/>
      <c r="AN23" s="1633"/>
      <c r="AO23" s="1633"/>
      <c r="AP23" s="1633"/>
      <c r="AQ23" s="1633"/>
      <c r="AR23" s="1633"/>
      <c r="AS23" s="1633"/>
      <c r="AT23" s="1633"/>
      <c r="AU23" s="1633"/>
      <c r="AV23" s="1633"/>
      <c r="AW23" s="1633"/>
      <c r="AX23" s="1633"/>
      <c r="AY23" s="1633"/>
      <c r="AZ23" s="1633"/>
      <c r="BA23" s="1633"/>
      <c r="BB23" s="1633"/>
      <c r="BC23" s="1633"/>
      <c r="BD23" s="1633"/>
      <c r="BE23" s="1633"/>
      <c r="BF23" s="1633"/>
      <c r="BG23" s="1633"/>
      <c r="BH23" s="1633"/>
      <c r="BI23" s="1633"/>
      <c r="BJ23" s="1633"/>
      <c r="BK23" s="1633"/>
      <c r="BL23" s="1633"/>
      <c r="BM23" s="1633"/>
      <c r="BN23" s="1633"/>
      <c r="BO23" s="1633"/>
      <c r="BP23" s="1633"/>
      <c r="BQ23" s="1633"/>
      <c r="BR23" s="1633"/>
      <c r="BS23" s="1633"/>
      <c r="BT23" s="1633"/>
      <c r="BU23" s="1633"/>
      <c r="BV23" s="1633"/>
      <c r="BW23" s="1633"/>
      <c r="BX23" s="1633"/>
      <c r="BY23" s="1633"/>
      <c r="BZ23" s="1633"/>
      <c r="CA23" s="1633"/>
      <c r="CB23" s="1633"/>
      <c r="CC23" s="1633"/>
      <c r="CD23" s="1633"/>
      <c r="CE23" s="1633"/>
      <c r="CF23" s="1633"/>
      <c r="CG23" s="1633"/>
      <c r="CH23" s="1633"/>
      <c r="CI23" s="1633"/>
      <c r="CJ23" s="1633"/>
      <c r="CK23" s="1633"/>
      <c r="CL23" s="1633"/>
      <c r="CM23" s="1633"/>
      <c r="CN23" s="1633"/>
      <c r="CO23" s="1633"/>
      <c r="CP23" s="1633"/>
      <c r="CQ23" s="1633"/>
      <c r="CR23" s="1633"/>
      <c r="CS23" s="1633"/>
      <c r="CT23" s="1633"/>
      <c r="CU23" s="1633"/>
      <c r="CV23" s="1633"/>
      <c r="CW23" s="1633"/>
      <c r="CX23" s="1633"/>
      <c r="CY23" s="1633"/>
      <c r="CZ23" s="1633"/>
      <c r="DA23" s="1633"/>
      <c r="DB23" s="1633"/>
      <c r="DC23" s="1633"/>
      <c r="DD23" s="1633"/>
      <c r="DE23" s="1633"/>
      <c r="DF23" s="1633"/>
      <c r="DG23" s="1633"/>
      <c r="DH23" s="1633"/>
      <c r="DI23" s="1633"/>
      <c r="DJ23" s="1633"/>
      <c r="DK23" s="1633"/>
      <c r="DL23" s="1633"/>
      <c r="DM23" s="1633"/>
      <c r="DN23" s="1633"/>
      <c r="DO23" s="1633"/>
      <c r="DP23" s="1633"/>
      <c r="DQ23" s="1633"/>
      <c r="DR23" s="1633"/>
      <c r="DS23" s="1633"/>
      <c r="DT23" s="1633"/>
      <c r="DU23" s="1633"/>
      <c r="DV23" s="1633"/>
      <c r="DW23" s="1633"/>
      <c r="DX23" s="1633"/>
      <c r="DY23" s="1633"/>
      <c r="DZ23" s="1633"/>
      <c r="EA23" s="1633"/>
      <c r="EB23" s="1633"/>
      <c r="EC23" s="1633"/>
      <c r="ED23" s="1633"/>
      <c r="EE23" s="1633"/>
      <c r="EF23" s="1633"/>
      <c r="EG23" s="1633"/>
      <c r="EH23" s="1633"/>
      <c r="EI23" s="1633"/>
      <c r="EJ23" s="1633"/>
      <c r="EK23" s="1633"/>
      <c r="EL23" s="1633"/>
      <c r="EM23" s="1633"/>
      <c r="EN23" s="1633"/>
      <c r="EO23" s="1633"/>
      <c r="EP23" s="1633"/>
      <c r="EQ23" s="1633"/>
      <c r="ER23" s="1633"/>
      <c r="ES23" s="1633"/>
      <c r="ET23" s="1633"/>
      <c r="EU23" s="1633"/>
      <c r="EV23" s="1633"/>
      <c r="EW23" s="1633"/>
      <c r="EX23" s="1633"/>
      <c r="EY23" s="1633"/>
      <c r="EZ23" s="1633"/>
      <c r="FA23" s="1633"/>
      <c r="FB23" s="1633"/>
      <c r="FC23" s="1633"/>
      <c r="FD23" s="1633"/>
      <c r="FE23" s="1633"/>
      <c r="FF23" s="1633"/>
      <c r="FG23" s="1633"/>
      <c r="FH23" s="1633"/>
      <c r="FI23" s="1633"/>
      <c r="FJ23" s="1633"/>
      <c r="FK23" s="1633"/>
      <c r="FL23" s="1633"/>
      <c r="FM23" s="1633"/>
      <c r="FN23" s="1633"/>
      <c r="FO23" s="1633"/>
      <c r="FP23" s="1633"/>
      <c r="FQ23" s="1633"/>
      <c r="FR23" s="1633"/>
      <c r="FS23" s="1633"/>
      <c r="FT23" s="1633"/>
      <c r="FU23" s="1633"/>
      <c r="FV23" s="1633"/>
      <c r="FW23" s="1633"/>
      <c r="FX23" s="1633"/>
      <c r="FY23" s="1633"/>
      <c r="FZ23" s="1633"/>
      <c r="GA23" s="1633"/>
      <c r="GB23" s="1633"/>
      <c r="GC23" s="1633"/>
      <c r="GD23" s="1633"/>
      <c r="GE23" s="1633"/>
      <c r="GF23" s="1633"/>
      <c r="GG23" s="1633"/>
      <c r="GH23" s="1633"/>
      <c r="GI23" s="1633"/>
      <c r="GJ23" s="1633"/>
      <c r="GK23" s="1633"/>
      <c r="GL23" s="1633"/>
      <c r="GM23" s="1633"/>
      <c r="GN23" s="1633"/>
      <c r="GO23" s="1633"/>
      <c r="GP23" s="1633"/>
      <c r="GQ23" s="1633"/>
      <c r="GR23" s="1633"/>
      <c r="GS23" s="1633"/>
      <c r="GT23" s="1633"/>
      <c r="GU23" s="1633"/>
      <c r="GV23" s="1633"/>
      <c r="GW23" s="1633"/>
      <c r="GX23" s="1633"/>
      <c r="GY23" s="1633"/>
      <c r="GZ23" s="1633"/>
      <c r="HA23" s="1633"/>
      <c r="HB23" s="1633"/>
      <c r="HC23" s="1633"/>
      <c r="HD23" s="1633"/>
      <c r="HE23" s="1633"/>
      <c r="HF23" s="1633"/>
      <c r="HG23" s="1633"/>
      <c r="HH23" s="1633"/>
      <c r="HI23" s="1633"/>
      <c r="HJ23" s="1633"/>
      <c r="HK23" s="1633"/>
      <c r="HL23" s="1633"/>
      <c r="HM23" s="1633"/>
      <c r="HN23" s="1633"/>
      <c r="HO23" s="1633"/>
      <c r="HP23" s="1633"/>
      <c r="HQ23" s="1633"/>
      <c r="HR23" s="1633"/>
      <c r="HS23" s="1633"/>
      <c r="HT23" s="1633"/>
      <c r="HU23" s="1633"/>
      <c r="HV23" s="1633"/>
      <c r="HW23" s="1633"/>
      <c r="HX23" s="1633"/>
      <c r="HY23" s="1633"/>
      <c r="HZ23" s="1633"/>
      <c r="IA23" s="1633"/>
      <c r="IB23" s="1633"/>
      <c r="IC23" s="1633"/>
      <c r="ID23" s="1633"/>
      <c r="IE23" s="1633"/>
      <c r="IF23" s="1633"/>
      <c r="IG23" s="1633"/>
      <c r="IH23" s="1633"/>
      <c r="II23" s="1633"/>
      <c r="IJ23" s="1633"/>
      <c r="IK23" s="1633"/>
      <c r="IL23" s="1633"/>
      <c r="IM23" s="1633"/>
    </row>
    <row r="24" spans="1:247">
      <c r="A24" s="1636" t="s">
        <v>222</v>
      </c>
      <c r="B24" s="1628">
        <f>审定资负表!C21</f>
        <v>0</v>
      </c>
      <c r="C24" s="1628">
        <f>审定资负表!D21</f>
        <v>0</v>
      </c>
      <c r="D24" s="1629" t="str">
        <f t="shared" si="0"/>
        <v> </v>
      </c>
      <c r="E24" s="1630">
        <f t="shared" si="1"/>
        <v>0</v>
      </c>
      <c r="F24" s="1631">
        <f t="shared" si="2"/>
        <v>0</v>
      </c>
      <c r="G24" s="1634"/>
      <c r="H24" s="1633"/>
      <c r="I24" s="1633"/>
      <c r="J24" s="1633"/>
      <c r="K24" s="1633"/>
      <c r="L24" s="1633"/>
      <c r="M24" s="1633"/>
      <c r="N24" s="1633"/>
      <c r="O24" s="1633"/>
      <c r="P24" s="1633"/>
      <c r="Q24" s="1633"/>
      <c r="R24" s="1633"/>
      <c r="S24" s="1633"/>
      <c r="T24" s="1633"/>
      <c r="U24" s="1633"/>
      <c r="V24" s="1633"/>
      <c r="W24" s="1633"/>
      <c r="X24" s="1633"/>
      <c r="Y24" s="1633"/>
      <c r="Z24" s="1633"/>
      <c r="AA24" s="1633"/>
      <c r="AB24" s="1633"/>
      <c r="AC24" s="1633"/>
      <c r="AD24" s="1633"/>
      <c r="AE24" s="1633"/>
      <c r="AF24" s="1633"/>
      <c r="AG24" s="1633"/>
      <c r="AH24" s="1633"/>
      <c r="AI24" s="1633"/>
      <c r="AJ24" s="1633"/>
      <c r="AK24" s="1633"/>
      <c r="AL24" s="1633"/>
      <c r="AM24" s="1633"/>
      <c r="AN24" s="1633"/>
      <c r="AO24" s="1633"/>
      <c r="AP24" s="1633"/>
      <c r="AQ24" s="1633"/>
      <c r="AR24" s="1633"/>
      <c r="AS24" s="1633"/>
      <c r="AT24" s="1633"/>
      <c r="AU24" s="1633"/>
      <c r="AV24" s="1633"/>
      <c r="AW24" s="1633"/>
      <c r="AX24" s="1633"/>
      <c r="AY24" s="1633"/>
      <c r="AZ24" s="1633"/>
      <c r="BA24" s="1633"/>
      <c r="BB24" s="1633"/>
      <c r="BC24" s="1633"/>
      <c r="BD24" s="1633"/>
      <c r="BE24" s="1633"/>
      <c r="BF24" s="1633"/>
      <c r="BG24" s="1633"/>
      <c r="BH24" s="1633"/>
      <c r="BI24" s="1633"/>
      <c r="BJ24" s="1633"/>
      <c r="BK24" s="1633"/>
      <c r="BL24" s="1633"/>
      <c r="BM24" s="1633"/>
      <c r="BN24" s="1633"/>
      <c r="BO24" s="1633"/>
      <c r="BP24" s="1633"/>
      <c r="BQ24" s="1633"/>
      <c r="BR24" s="1633"/>
      <c r="BS24" s="1633"/>
      <c r="BT24" s="1633"/>
      <c r="BU24" s="1633"/>
      <c r="BV24" s="1633"/>
      <c r="BW24" s="1633"/>
      <c r="BX24" s="1633"/>
      <c r="BY24" s="1633"/>
      <c r="BZ24" s="1633"/>
      <c r="CA24" s="1633"/>
      <c r="CB24" s="1633"/>
      <c r="CC24" s="1633"/>
      <c r="CD24" s="1633"/>
      <c r="CE24" s="1633"/>
      <c r="CF24" s="1633"/>
      <c r="CG24" s="1633"/>
      <c r="CH24" s="1633"/>
      <c r="CI24" s="1633"/>
      <c r="CJ24" s="1633"/>
      <c r="CK24" s="1633"/>
      <c r="CL24" s="1633"/>
      <c r="CM24" s="1633"/>
      <c r="CN24" s="1633"/>
      <c r="CO24" s="1633"/>
      <c r="CP24" s="1633"/>
      <c r="CQ24" s="1633"/>
      <c r="CR24" s="1633"/>
      <c r="CS24" s="1633"/>
      <c r="CT24" s="1633"/>
      <c r="CU24" s="1633"/>
      <c r="CV24" s="1633"/>
      <c r="CW24" s="1633"/>
      <c r="CX24" s="1633"/>
      <c r="CY24" s="1633"/>
      <c r="CZ24" s="1633"/>
      <c r="DA24" s="1633"/>
      <c r="DB24" s="1633"/>
      <c r="DC24" s="1633"/>
      <c r="DD24" s="1633"/>
      <c r="DE24" s="1633"/>
      <c r="DF24" s="1633"/>
      <c r="DG24" s="1633"/>
      <c r="DH24" s="1633"/>
      <c r="DI24" s="1633"/>
      <c r="DJ24" s="1633"/>
      <c r="DK24" s="1633"/>
      <c r="DL24" s="1633"/>
      <c r="DM24" s="1633"/>
      <c r="DN24" s="1633"/>
      <c r="DO24" s="1633"/>
      <c r="DP24" s="1633"/>
      <c r="DQ24" s="1633"/>
      <c r="DR24" s="1633"/>
      <c r="DS24" s="1633"/>
      <c r="DT24" s="1633"/>
      <c r="DU24" s="1633"/>
      <c r="DV24" s="1633"/>
      <c r="DW24" s="1633"/>
      <c r="DX24" s="1633"/>
      <c r="DY24" s="1633"/>
      <c r="DZ24" s="1633"/>
      <c r="EA24" s="1633"/>
      <c r="EB24" s="1633"/>
      <c r="EC24" s="1633"/>
      <c r="ED24" s="1633"/>
      <c r="EE24" s="1633"/>
      <c r="EF24" s="1633"/>
      <c r="EG24" s="1633"/>
      <c r="EH24" s="1633"/>
      <c r="EI24" s="1633"/>
      <c r="EJ24" s="1633"/>
      <c r="EK24" s="1633"/>
      <c r="EL24" s="1633"/>
      <c r="EM24" s="1633"/>
      <c r="EN24" s="1633"/>
      <c r="EO24" s="1633"/>
      <c r="EP24" s="1633"/>
      <c r="EQ24" s="1633"/>
      <c r="ER24" s="1633"/>
      <c r="ES24" s="1633"/>
      <c r="ET24" s="1633"/>
      <c r="EU24" s="1633"/>
      <c r="EV24" s="1633"/>
      <c r="EW24" s="1633"/>
      <c r="EX24" s="1633"/>
      <c r="EY24" s="1633"/>
      <c r="EZ24" s="1633"/>
      <c r="FA24" s="1633"/>
      <c r="FB24" s="1633"/>
      <c r="FC24" s="1633"/>
      <c r="FD24" s="1633"/>
      <c r="FE24" s="1633"/>
      <c r="FF24" s="1633"/>
      <c r="FG24" s="1633"/>
      <c r="FH24" s="1633"/>
      <c r="FI24" s="1633"/>
      <c r="FJ24" s="1633"/>
      <c r="FK24" s="1633"/>
      <c r="FL24" s="1633"/>
      <c r="FM24" s="1633"/>
      <c r="FN24" s="1633"/>
      <c r="FO24" s="1633"/>
      <c r="FP24" s="1633"/>
      <c r="FQ24" s="1633"/>
      <c r="FR24" s="1633"/>
      <c r="FS24" s="1633"/>
      <c r="FT24" s="1633"/>
      <c r="FU24" s="1633"/>
      <c r="FV24" s="1633"/>
      <c r="FW24" s="1633"/>
      <c r="FX24" s="1633"/>
      <c r="FY24" s="1633"/>
      <c r="FZ24" s="1633"/>
      <c r="GA24" s="1633"/>
      <c r="GB24" s="1633"/>
      <c r="GC24" s="1633"/>
      <c r="GD24" s="1633"/>
      <c r="GE24" s="1633"/>
      <c r="GF24" s="1633"/>
      <c r="GG24" s="1633"/>
      <c r="GH24" s="1633"/>
      <c r="GI24" s="1633"/>
      <c r="GJ24" s="1633"/>
      <c r="GK24" s="1633"/>
      <c r="GL24" s="1633"/>
      <c r="GM24" s="1633"/>
      <c r="GN24" s="1633"/>
      <c r="GO24" s="1633"/>
      <c r="GP24" s="1633"/>
      <c r="GQ24" s="1633"/>
      <c r="GR24" s="1633"/>
      <c r="GS24" s="1633"/>
      <c r="GT24" s="1633"/>
      <c r="GU24" s="1633"/>
      <c r="GV24" s="1633"/>
      <c r="GW24" s="1633"/>
      <c r="GX24" s="1633"/>
      <c r="GY24" s="1633"/>
      <c r="GZ24" s="1633"/>
      <c r="HA24" s="1633"/>
      <c r="HB24" s="1633"/>
      <c r="HC24" s="1633"/>
      <c r="HD24" s="1633"/>
      <c r="HE24" s="1633"/>
      <c r="HF24" s="1633"/>
      <c r="HG24" s="1633"/>
      <c r="HH24" s="1633"/>
      <c r="HI24" s="1633"/>
      <c r="HJ24" s="1633"/>
      <c r="HK24" s="1633"/>
      <c r="HL24" s="1633"/>
      <c r="HM24" s="1633"/>
      <c r="HN24" s="1633"/>
      <c r="HO24" s="1633"/>
      <c r="HP24" s="1633"/>
      <c r="HQ24" s="1633"/>
      <c r="HR24" s="1633"/>
      <c r="HS24" s="1633"/>
      <c r="HT24" s="1633"/>
      <c r="HU24" s="1633"/>
      <c r="HV24" s="1633"/>
      <c r="HW24" s="1633"/>
      <c r="HX24" s="1633"/>
      <c r="HY24" s="1633"/>
      <c r="HZ24" s="1633"/>
      <c r="IA24" s="1633"/>
      <c r="IB24" s="1633"/>
      <c r="IC24" s="1633"/>
      <c r="ID24" s="1633"/>
      <c r="IE24" s="1633"/>
      <c r="IF24" s="1633"/>
      <c r="IG24" s="1633"/>
      <c r="IH24" s="1633"/>
      <c r="II24" s="1633"/>
      <c r="IJ24" s="1633"/>
      <c r="IK24" s="1633"/>
      <c r="IL24" s="1633"/>
      <c r="IM24" s="1633"/>
    </row>
    <row r="25" spans="1:247">
      <c r="A25" s="1627" t="s">
        <v>223</v>
      </c>
      <c r="B25" s="1628">
        <f>审定资负表!C22</f>
        <v>0</v>
      </c>
      <c r="C25" s="1628">
        <f>审定资负表!D22</f>
        <v>0</v>
      </c>
      <c r="D25" s="1629" t="str">
        <f t="shared" si="0"/>
        <v> </v>
      </c>
      <c r="E25" s="1630">
        <f t="shared" si="1"/>
        <v>0</v>
      </c>
      <c r="F25" s="1631">
        <f t="shared" si="2"/>
        <v>0</v>
      </c>
      <c r="G25" s="1634"/>
      <c r="H25" s="1633"/>
      <c r="I25" s="1633"/>
      <c r="J25" s="1633"/>
      <c r="K25" s="1633"/>
      <c r="L25" s="1633"/>
      <c r="M25" s="1633"/>
      <c r="N25" s="1633"/>
      <c r="O25" s="1633"/>
      <c r="P25" s="1633"/>
      <c r="Q25" s="1633"/>
      <c r="R25" s="1633"/>
      <c r="S25" s="1633"/>
      <c r="T25" s="1633"/>
      <c r="U25" s="1633"/>
      <c r="V25" s="1633"/>
      <c r="W25" s="1633"/>
      <c r="X25" s="1633"/>
      <c r="Y25" s="1633"/>
      <c r="Z25" s="1633"/>
      <c r="AA25" s="1633"/>
      <c r="AB25" s="1633"/>
      <c r="AC25" s="1633"/>
      <c r="AD25" s="1633"/>
      <c r="AE25" s="1633"/>
      <c r="AF25" s="1633"/>
      <c r="AG25" s="1633"/>
      <c r="AH25" s="1633"/>
      <c r="AI25" s="1633"/>
      <c r="AJ25" s="1633"/>
      <c r="AK25" s="1633"/>
      <c r="AL25" s="1633"/>
      <c r="AM25" s="1633"/>
      <c r="AN25" s="1633"/>
      <c r="AO25" s="1633"/>
      <c r="AP25" s="1633"/>
      <c r="AQ25" s="1633"/>
      <c r="AR25" s="1633"/>
      <c r="AS25" s="1633"/>
      <c r="AT25" s="1633"/>
      <c r="AU25" s="1633"/>
      <c r="AV25" s="1633"/>
      <c r="AW25" s="1633"/>
      <c r="AX25" s="1633"/>
      <c r="AY25" s="1633"/>
      <c r="AZ25" s="1633"/>
      <c r="BA25" s="1633"/>
      <c r="BB25" s="1633"/>
      <c r="BC25" s="1633"/>
      <c r="BD25" s="1633"/>
      <c r="BE25" s="1633"/>
      <c r="BF25" s="1633"/>
      <c r="BG25" s="1633"/>
      <c r="BH25" s="1633"/>
      <c r="BI25" s="1633"/>
      <c r="BJ25" s="1633"/>
      <c r="BK25" s="1633"/>
      <c r="BL25" s="1633"/>
      <c r="BM25" s="1633"/>
      <c r="BN25" s="1633"/>
      <c r="BO25" s="1633"/>
      <c r="BP25" s="1633"/>
      <c r="BQ25" s="1633"/>
      <c r="BR25" s="1633"/>
      <c r="BS25" s="1633"/>
      <c r="BT25" s="1633"/>
      <c r="BU25" s="1633"/>
      <c r="BV25" s="1633"/>
      <c r="BW25" s="1633"/>
      <c r="BX25" s="1633"/>
      <c r="BY25" s="1633"/>
      <c r="BZ25" s="1633"/>
      <c r="CA25" s="1633"/>
      <c r="CB25" s="1633"/>
      <c r="CC25" s="1633"/>
      <c r="CD25" s="1633"/>
      <c r="CE25" s="1633"/>
      <c r="CF25" s="1633"/>
      <c r="CG25" s="1633"/>
      <c r="CH25" s="1633"/>
      <c r="CI25" s="1633"/>
      <c r="CJ25" s="1633"/>
      <c r="CK25" s="1633"/>
      <c r="CL25" s="1633"/>
      <c r="CM25" s="1633"/>
      <c r="CN25" s="1633"/>
      <c r="CO25" s="1633"/>
      <c r="CP25" s="1633"/>
      <c r="CQ25" s="1633"/>
      <c r="CR25" s="1633"/>
      <c r="CS25" s="1633"/>
      <c r="CT25" s="1633"/>
      <c r="CU25" s="1633"/>
      <c r="CV25" s="1633"/>
      <c r="CW25" s="1633"/>
      <c r="CX25" s="1633"/>
      <c r="CY25" s="1633"/>
      <c r="CZ25" s="1633"/>
      <c r="DA25" s="1633"/>
      <c r="DB25" s="1633"/>
      <c r="DC25" s="1633"/>
      <c r="DD25" s="1633"/>
      <c r="DE25" s="1633"/>
      <c r="DF25" s="1633"/>
      <c r="DG25" s="1633"/>
      <c r="DH25" s="1633"/>
      <c r="DI25" s="1633"/>
      <c r="DJ25" s="1633"/>
      <c r="DK25" s="1633"/>
      <c r="DL25" s="1633"/>
      <c r="DM25" s="1633"/>
      <c r="DN25" s="1633"/>
      <c r="DO25" s="1633"/>
      <c r="DP25" s="1633"/>
      <c r="DQ25" s="1633"/>
      <c r="DR25" s="1633"/>
      <c r="DS25" s="1633"/>
      <c r="DT25" s="1633"/>
      <c r="DU25" s="1633"/>
      <c r="DV25" s="1633"/>
      <c r="DW25" s="1633"/>
      <c r="DX25" s="1633"/>
      <c r="DY25" s="1633"/>
      <c r="DZ25" s="1633"/>
      <c r="EA25" s="1633"/>
      <c r="EB25" s="1633"/>
      <c r="EC25" s="1633"/>
      <c r="ED25" s="1633"/>
      <c r="EE25" s="1633"/>
      <c r="EF25" s="1633"/>
      <c r="EG25" s="1633"/>
      <c r="EH25" s="1633"/>
      <c r="EI25" s="1633"/>
      <c r="EJ25" s="1633"/>
      <c r="EK25" s="1633"/>
      <c r="EL25" s="1633"/>
      <c r="EM25" s="1633"/>
      <c r="EN25" s="1633"/>
      <c r="EO25" s="1633"/>
      <c r="EP25" s="1633"/>
      <c r="EQ25" s="1633"/>
      <c r="ER25" s="1633"/>
      <c r="ES25" s="1633"/>
      <c r="ET25" s="1633"/>
      <c r="EU25" s="1633"/>
      <c r="EV25" s="1633"/>
      <c r="EW25" s="1633"/>
      <c r="EX25" s="1633"/>
      <c r="EY25" s="1633"/>
      <c r="EZ25" s="1633"/>
      <c r="FA25" s="1633"/>
      <c r="FB25" s="1633"/>
      <c r="FC25" s="1633"/>
      <c r="FD25" s="1633"/>
      <c r="FE25" s="1633"/>
      <c r="FF25" s="1633"/>
      <c r="FG25" s="1633"/>
      <c r="FH25" s="1633"/>
      <c r="FI25" s="1633"/>
      <c r="FJ25" s="1633"/>
      <c r="FK25" s="1633"/>
      <c r="FL25" s="1633"/>
      <c r="FM25" s="1633"/>
      <c r="FN25" s="1633"/>
      <c r="FO25" s="1633"/>
      <c r="FP25" s="1633"/>
      <c r="FQ25" s="1633"/>
      <c r="FR25" s="1633"/>
      <c r="FS25" s="1633"/>
      <c r="FT25" s="1633"/>
      <c r="FU25" s="1633"/>
      <c r="FV25" s="1633"/>
      <c r="FW25" s="1633"/>
      <c r="FX25" s="1633"/>
      <c r="FY25" s="1633"/>
      <c r="FZ25" s="1633"/>
      <c r="GA25" s="1633"/>
      <c r="GB25" s="1633"/>
      <c r="GC25" s="1633"/>
      <c r="GD25" s="1633"/>
      <c r="GE25" s="1633"/>
      <c r="GF25" s="1633"/>
      <c r="GG25" s="1633"/>
      <c r="GH25" s="1633"/>
      <c r="GI25" s="1633"/>
      <c r="GJ25" s="1633"/>
      <c r="GK25" s="1633"/>
      <c r="GL25" s="1633"/>
      <c r="GM25" s="1633"/>
      <c r="GN25" s="1633"/>
      <c r="GO25" s="1633"/>
      <c r="GP25" s="1633"/>
      <c r="GQ25" s="1633"/>
      <c r="GR25" s="1633"/>
      <c r="GS25" s="1633"/>
      <c r="GT25" s="1633"/>
      <c r="GU25" s="1633"/>
      <c r="GV25" s="1633"/>
      <c r="GW25" s="1633"/>
      <c r="GX25" s="1633"/>
      <c r="GY25" s="1633"/>
      <c r="GZ25" s="1633"/>
      <c r="HA25" s="1633"/>
      <c r="HB25" s="1633"/>
      <c r="HC25" s="1633"/>
      <c r="HD25" s="1633"/>
      <c r="HE25" s="1633"/>
      <c r="HF25" s="1633"/>
      <c r="HG25" s="1633"/>
      <c r="HH25" s="1633"/>
      <c r="HI25" s="1633"/>
      <c r="HJ25" s="1633"/>
      <c r="HK25" s="1633"/>
      <c r="HL25" s="1633"/>
      <c r="HM25" s="1633"/>
      <c r="HN25" s="1633"/>
      <c r="HO25" s="1633"/>
      <c r="HP25" s="1633"/>
      <c r="HQ25" s="1633"/>
      <c r="HR25" s="1633"/>
      <c r="HS25" s="1633"/>
      <c r="HT25" s="1633"/>
      <c r="HU25" s="1633"/>
      <c r="HV25" s="1633"/>
      <c r="HW25" s="1633"/>
      <c r="HX25" s="1633"/>
      <c r="HY25" s="1633"/>
      <c r="HZ25" s="1633"/>
      <c r="IA25" s="1633"/>
      <c r="IB25" s="1633"/>
      <c r="IC25" s="1633"/>
      <c r="ID25" s="1633"/>
      <c r="IE25" s="1633"/>
      <c r="IF25" s="1633"/>
      <c r="IG25" s="1633"/>
      <c r="IH25" s="1633"/>
      <c r="II25" s="1633"/>
      <c r="IJ25" s="1633"/>
      <c r="IK25" s="1633"/>
      <c r="IL25" s="1633"/>
      <c r="IM25" s="1633"/>
    </row>
    <row r="26" spans="1:247">
      <c r="A26" s="1627" t="s">
        <v>225</v>
      </c>
      <c r="B26" s="1628">
        <f>审定资负表!C23</f>
        <v>0</v>
      </c>
      <c r="C26" s="1628">
        <f>审定资负表!D23</f>
        <v>0</v>
      </c>
      <c r="D26" s="1629" t="str">
        <f t="shared" si="0"/>
        <v> </v>
      </c>
      <c r="E26" s="1630">
        <f t="shared" si="1"/>
        <v>0</v>
      </c>
      <c r="F26" s="1631">
        <f t="shared" si="2"/>
        <v>0</v>
      </c>
      <c r="G26" s="1634"/>
      <c r="H26" s="1633"/>
      <c r="I26" s="1633"/>
      <c r="J26" s="1633"/>
      <c r="K26" s="1633"/>
      <c r="L26" s="1633"/>
      <c r="M26" s="1633"/>
      <c r="N26" s="1633"/>
      <c r="O26" s="1633"/>
      <c r="P26" s="1633"/>
      <c r="Q26" s="1633"/>
      <c r="R26" s="1633"/>
      <c r="S26" s="1633"/>
      <c r="T26" s="1633"/>
      <c r="U26" s="1633"/>
      <c r="V26" s="1633"/>
      <c r="W26" s="1633"/>
      <c r="X26" s="1633"/>
      <c r="Y26" s="1633"/>
      <c r="Z26" s="1633"/>
      <c r="AA26" s="1633"/>
      <c r="AB26" s="1633"/>
      <c r="AC26" s="1633"/>
      <c r="AD26" s="1633"/>
      <c r="AE26" s="1633"/>
      <c r="AF26" s="1633"/>
      <c r="AG26" s="1633"/>
      <c r="AH26" s="1633"/>
      <c r="AI26" s="1633"/>
      <c r="AJ26" s="1633"/>
      <c r="AK26" s="1633"/>
      <c r="AL26" s="1633"/>
      <c r="AM26" s="1633"/>
      <c r="AN26" s="1633"/>
      <c r="AO26" s="1633"/>
      <c r="AP26" s="1633"/>
      <c r="AQ26" s="1633"/>
      <c r="AR26" s="1633"/>
      <c r="AS26" s="1633"/>
      <c r="AT26" s="1633"/>
      <c r="AU26" s="1633"/>
      <c r="AV26" s="1633"/>
      <c r="AW26" s="1633"/>
      <c r="AX26" s="1633"/>
      <c r="AY26" s="1633"/>
      <c r="AZ26" s="1633"/>
      <c r="BA26" s="1633"/>
      <c r="BB26" s="1633"/>
      <c r="BC26" s="1633"/>
      <c r="BD26" s="1633"/>
      <c r="BE26" s="1633"/>
      <c r="BF26" s="1633"/>
      <c r="BG26" s="1633"/>
      <c r="BH26" s="1633"/>
      <c r="BI26" s="1633"/>
      <c r="BJ26" s="1633"/>
      <c r="BK26" s="1633"/>
      <c r="BL26" s="1633"/>
      <c r="BM26" s="1633"/>
      <c r="BN26" s="1633"/>
      <c r="BO26" s="1633"/>
      <c r="BP26" s="1633"/>
      <c r="BQ26" s="1633"/>
      <c r="BR26" s="1633"/>
      <c r="BS26" s="1633"/>
      <c r="BT26" s="1633"/>
      <c r="BU26" s="1633"/>
      <c r="BV26" s="1633"/>
      <c r="BW26" s="1633"/>
      <c r="BX26" s="1633"/>
      <c r="BY26" s="1633"/>
      <c r="BZ26" s="1633"/>
      <c r="CA26" s="1633"/>
      <c r="CB26" s="1633"/>
      <c r="CC26" s="1633"/>
      <c r="CD26" s="1633"/>
      <c r="CE26" s="1633"/>
      <c r="CF26" s="1633"/>
      <c r="CG26" s="1633"/>
      <c r="CH26" s="1633"/>
      <c r="CI26" s="1633"/>
      <c r="CJ26" s="1633"/>
      <c r="CK26" s="1633"/>
      <c r="CL26" s="1633"/>
      <c r="CM26" s="1633"/>
      <c r="CN26" s="1633"/>
      <c r="CO26" s="1633"/>
      <c r="CP26" s="1633"/>
      <c r="CQ26" s="1633"/>
      <c r="CR26" s="1633"/>
      <c r="CS26" s="1633"/>
      <c r="CT26" s="1633"/>
      <c r="CU26" s="1633"/>
      <c r="CV26" s="1633"/>
      <c r="CW26" s="1633"/>
      <c r="CX26" s="1633"/>
      <c r="CY26" s="1633"/>
      <c r="CZ26" s="1633"/>
      <c r="DA26" s="1633"/>
      <c r="DB26" s="1633"/>
      <c r="DC26" s="1633"/>
      <c r="DD26" s="1633"/>
      <c r="DE26" s="1633"/>
      <c r="DF26" s="1633"/>
      <c r="DG26" s="1633"/>
      <c r="DH26" s="1633"/>
      <c r="DI26" s="1633"/>
      <c r="DJ26" s="1633"/>
      <c r="DK26" s="1633"/>
      <c r="DL26" s="1633"/>
      <c r="DM26" s="1633"/>
      <c r="DN26" s="1633"/>
      <c r="DO26" s="1633"/>
      <c r="DP26" s="1633"/>
      <c r="DQ26" s="1633"/>
      <c r="DR26" s="1633"/>
      <c r="DS26" s="1633"/>
      <c r="DT26" s="1633"/>
      <c r="DU26" s="1633"/>
      <c r="DV26" s="1633"/>
      <c r="DW26" s="1633"/>
      <c r="DX26" s="1633"/>
      <c r="DY26" s="1633"/>
      <c r="DZ26" s="1633"/>
      <c r="EA26" s="1633"/>
      <c r="EB26" s="1633"/>
      <c r="EC26" s="1633"/>
      <c r="ED26" s="1633"/>
      <c r="EE26" s="1633"/>
      <c r="EF26" s="1633"/>
      <c r="EG26" s="1633"/>
      <c r="EH26" s="1633"/>
      <c r="EI26" s="1633"/>
      <c r="EJ26" s="1633"/>
      <c r="EK26" s="1633"/>
      <c r="EL26" s="1633"/>
      <c r="EM26" s="1633"/>
      <c r="EN26" s="1633"/>
      <c r="EO26" s="1633"/>
      <c r="EP26" s="1633"/>
      <c r="EQ26" s="1633"/>
      <c r="ER26" s="1633"/>
      <c r="ES26" s="1633"/>
      <c r="ET26" s="1633"/>
      <c r="EU26" s="1633"/>
      <c r="EV26" s="1633"/>
      <c r="EW26" s="1633"/>
      <c r="EX26" s="1633"/>
      <c r="EY26" s="1633"/>
      <c r="EZ26" s="1633"/>
      <c r="FA26" s="1633"/>
      <c r="FB26" s="1633"/>
      <c r="FC26" s="1633"/>
      <c r="FD26" s="1633"/>
      <c r="FE26" s="1633"/>
      <c r="FF26" s="1633"/>
      <c r="FG26" s="1633"/>
      <c r="FH26" s="1633"/>
      <c r="FI26" s="1633"/>
      <c r="FJ26" s="1633"/>
      <c r="FK26" s="1633"/>
      <c r="FL26" s="1633"/>
      <c r="FM26" s="1633"/>
      <c r="FN26" s="1633"/>
      <c r="FO26" s="1633"/>
      <c r="FP26" s="1633"/>
      <c r="FQ26" s="1633"/>
      <c r="FR26" s="1633"/>
      <c r="FS26" s="1633"/>
      <c r="FT26" s="1633"/>
      <c r="FU26" s="1633"/>
      <c r="FV26" s="1633"/>
      <c r="FW26" s="1633"/>
      <c r="FX26" s="1633"/>
      <c r="FY26" s="1633"/>
      <c r="FZ26" s="1633"/>
      <c r="GA26" s="1633"/>
      <c r="GB26" s="1633"/>
      <c r="GC26" s="1633"/>
      <c r="GD26" s="1633"/>
      <c r="GE26" s="1633"/>
      <c r="GF26" s="1633"/>
      <c r="GG26" s="1633"/>
      <c r="GH26" s="1633"/>
      <c r="GI26" s="1633"/>
      <c r="GJ26" s="1633"/>
      <c r="GK26" s="1633"/>
      <c r="GL26" s="1633"/>
      <c r="GM26" s="1633"/>
      <c r="GN26" s="1633"/>
      <c r="GO26" s="1633"/>
      <c r="GP26" s="1633"/>
      <c r="GQ26" s="1633"/>
      <c r="GR26" s="1633"/>
      <c r="GS26" s="1633"/>
      <c r="GT26" s="1633"/>
      <c r="GU26" s="1633"/>
      <c r="GV26" s="1633"/>
      <c r="GW26" s="1633"/>
      <c r="GX26" s="1633"/>
      <c r="GY26" s="1633"/>
      <c r="GZ26" s="1633"/>
      <c r="HA26" s="1633"/>
      <c r="HB26" s="1633"/>
      <c r="HC26" s="1633"/>
      <c r="HD26" s="1633"/>
      <c r="HE26" s="1633"/>
      <c r="HF26" s="1633"/>
      <c r="HG26" s="1633"/>
      <c r="HH26" s="1633"/>
      <c r="HI26" s="1633"/>
      <c r="HJ26" s="1633"/>
      <c r="HK26" s="1633"/>
      <c r="HL26" s="1633"/>
      <c r="HM26" s="1633"/>
      <c r="HN26" s="1633"/>
      <c r="HO26" s="1633"/>
      <c r="HP26" s="1633"/>
      <c r="HQ26" s="1633"/>
      <c r="HR26" s="1633"/>
      <c r="HS26" s="1633"/>
      <c r="HT26" s="1633"/>
      <c r="HU26" s="1633"/>
      <c r="HV26" s="1633"/>
      <c r="HW26" s="1633"/>
      <c r="HX26" s="1633"/>
      <c r="HY26" s="1633"/>
      <c r="HZ26" s="1633"/>
      <c r="IA26" s="1633"/>
      <c r="IB26" s="1633"/>
      <c r="IC26" s="1633"/>
      <c r="ID26" s="1633"/>
      <c r="IE26" s="1633"/>
      <c r="IF26" s="1633"/>
      <c r="IG26" s="1633"/>
      <c r="IH26" s="1633"/>
      <c r="II26" s="1633"/>
      <c r="IJ26" s="1633"/>
      <c r="IK26" s="1633"/>
      <c r="IL26" s="1633"/>
      <c r="IM26" s="1633"/>
    </row>
    <row r="27" spans="1:247">
      <c r="A27" s="1627" t="s">
        <v>227</v>
      </c>
      <c r="B27" s="1628">
        <f>审定资负表!C24</f>
        <v>0</v>
      </c>
      <c r="C27" s="1628">
        <f>审定资负表!D24</f>
        <v>0</v>
      </c>
      <c r="D27" s="1629" t="str">
        <f t="shared" si="0"/>
        <v> </v>
      </c>
      <c r="E27" s="1630">
        <f t="shared" si="1"/>
        <v>0</v>
      </c>
      <c r="F27" s="1631">
        <f t="shared" si="2"/>
        <v>0</v>
      </c>
      <c r="G27" s="1634"/>
      <c r="H27" s="1633"/>
      <c r="I27" s="1633"/>
      <c r="J27" s="1633"/>
      <c r="K27" s="1633"/>
      <c r="L27" s="1633"/>
      <c r="M27" s="1633"/>
      <c r="N27" s="1633"/>
      <c r="O27" s="1633"/>
      <c r="P27" s="1633"/>
      <c r="Q27" s="1633"/>
      <c r="R27" s="1633"/>
      <c r="S27" s="1633"/>
      <c r="T27" s="1633"/>
      <c r="U27" s="1633"/>
      <c r="V27" s="1633"/>
      <c r="W27" s="1633"/>
      <c r="X27" s="1633"/>
      <c r="Y27" s="1633"/>
      <c r="Z27" s="1633"/>
      <c r="AA27" s="1633"/>
      <c r="AB27" s="1633"/>
      <c r="AC27" s="1633"/>
      <c r="AD27" s="1633"/>
      <c r="AE27" s="1633"/>
      <c r="AF27" s="1633"/>
      <c r="AG27" s="1633"/>
      <c r="AH27" s="1633"/>
      <c r="AI27" s="1633"/>
      <c r="AJ27" s="1633"/>
      <c r="AK27" s="1633"/>
      <c r="AL27" s="1633"/>
      <c r="AM27" s="1633"/>
      <c r="AN27" s="1633"/>
      <c r="AO27" s="1633"/>
      <c r="AP27" s="1633"/>
      <c r="AQ27" s="1633"/>
      <c r="AR27" s="1633"/>
      <c r="AS27" s="1633"/>
      <c r="AT27" s="1633"/>
      <c r="AU27" s="1633"/>
      <c r="AV27" s="1633"/>
      <c r="AW27" s="1633"/>
      <c r="AX27" s="1633"/>
      <c r="AY27" s="1633"/>
      <c r="AZ27" s="1633"/>
      <c r="BA27" s="1633"/>
      <c r="BB27" s="1633"/>
      <c r="BC27" s="1633"/>
      <c r="BD27" s="1633"/>
      <c r="BE27" s="1633"/>
      <c r="BF27" s="1633"/>
      <c r="BG27" s="1633"/>
      <c r="BH27" s="1633"/>
      <c r="BI27" s="1633"/>
      <c r="BJ27" s="1633"/>
      <c r="BK27" s="1633"/>
      <c r="BL27" s="1633"/>
      <c r="BM27" s="1633"/>
      <c r="BN27" s="1633"/>
      <c r="BO27" s="1633"/>
      <c r="BP27" s="1633"/>
      <c r="BQ27" s="1633"/>
      <c r="BR27" s="1633"/>
      <c r="BS27" s="1633"/>
      <c r="BT27" s="1633"/>
      <c r="BU27" s="1633"/>
      <c r="BV27" s="1633"/>
      <c r="BW27" s="1633"/>
      <c r="BX27" s="1633"/>
      <c r="BY27" s="1633"/>
      <c r="BZ27" s="1633"/>
      <c r="CA27" s="1633"/>
      <c r="CB27" s="1633"/>
      <c r="CC27" s="1633"/>
      <c r="CD27" s="1633"/>
      <c r="CE27" s="1633"/>
      <c r="CF27" s="1633"/>
      <c r="CG27" s="1633"/>
      <c r="CH27" s="1633"/>
      <c r="CI27" s="1633"/>
      <c r="CJ27" s="1633"/>
      <c r="CK27" s="1633"/>
      <c r="CL27" s="1633"/>
      <c r="CM27" s="1633"/>
      <c r="CN27" s="1633"/>
      <c r="CO27" s="1633"/>
      <c r="CP27" s="1633"/>
      <c r="CQ27" s="1633"/>
      <c r="CR27" s="1633"/>
      <c r="CS27" s="1633"/>
      <c r="CT27" s="1633"/>
      <c r="CU27" s="1633"/>
      <c r="CV27" s="1633"/>
      <c r="CW27" s="1633"/>
      <c r="CX27" s="1633"/>
      <c r="CY27" s="1633"/>
      <c r="CZ27" s="1633"/>
      <c r="DA27" s="1633"/>
      <c r="DB27" s="1633"/>
      <c r="DC27" s="1633"/>
      <c r="DD27" s="1633"/>
      <c r="DE27" s="1633"/>
      <c r="DF27" s="1633"/>
      <c r="DG27" s="1633"/>
      <c r="DH27" s="1633"/>
      <c r="DI27" s="1633"/>
      <c r="DJ27" s="1633"/>
      <c r="DK27" s="1633"/>
      <c r="DL27" s="1633"/>
      <c r="DM27" s="1633"/>
      <c r="DN27" s="1633"/>
      <c r="DO27" s="1633"/>
      <c r="DP27" s="1633"/>
      <c r="DQ27" s="1633"/>
      <c r="DR27" s="1633"/>
      <c r="DS27" s="1633"/>
      <c r="DT27" s="1633"/>
      <c r="DU27" s="1633"/>
      <c r="DV27" s="1633"/>
      <c r="DW27" s="1633"/>
      <c r="DX27" s="1633"/>
      <c r="DY27" s="1633"/>
      <c r="DZ27" s="1633"/>
      <c r="EA27" s="1633"/>
      <c r="EB27" s="1633"/>
      <c r="EC27" s="1633"/>
      <c r="ED27" s="1633"/>
      <c r="EE27" s="1633"/>
      <c r="EF27" s="1633"/>
      <c r="EG27" s="1633"/>
      <c r="EH27" s="1633"/>
      <c r="EI27" s="1633"/>
      <c r="EJ27" s="1633"/>
      <c r="EK27" s="1633"/>
      <c r="EL27" s="1633"/>
      <c r="EM27" s="1633"/>
      <c r="EN27" s="1633"/>
      <c r="EO27" s="1633"/>
      <c r="EP27" s="1633"/>
      <c r="EQ27" s="1633"/>
      <c r="ER27" s="1633"/>
      <c r="ES27" s="1633"/>
      <c r="ET27" s="1633"/>
      <c r="EU27" s="1633"/>
      <c r="EV27" s="1633"/>
      <c r="EW27" s="1633"/>
      <c r="EX27" s="1633"/>
      <c r="EY27" s="1633"/>
      <c r="EZ27" s="1633"/>
      <c r="FA27" s="1633"/>
      <c r="FB27" s="1633"/>
      <c r="FC27" s="1633"/>
      <c r="FD27" s="1633"/>
      <c r="FE27" s="1633"/>
      <c r="FF27" s="1633"/>
      <c r="FG27" s="1633"/>
      <c r="FH27" s="1633"/>
      <c r="FI27" s="1633"/>
      <c r="FJ27" s="1633"/>
      <c r="FK27" s="1633"/>
      <c r="FL27" s="1633"/>
      <c r="FM27" s="1633"/>
      <c r="FN27" s="1633"/>
      <c r="FO27" s="1633"/>
      <c r="FP27" s="1633"/>
      <c r="FQ27" s="1633"/>
      <c r="FR27" s="1633"/>
      <c r="FS27" s="1633"/>
      <c r="FT27" s="1633"/>
      <c r="FU27" s="1633"/>
      <c r="FV27" s="1633"/>
      <c r="FW27" s="1633"/>
      <c r="FX27" s="1633"/>
      <c r="FY27" s="1633"/>
      <c r="FZ27" s="1633"/>
      <c r="GA27" s="1633"/>
      <c r="GB27" s="1633"/>
      <c r="GC27" s="1633"/>
      <c r="GD27" s="1633"/>
      <c r="GE27" s="1633"/>
      <c r="GF27" s="1633"/>
      <c r="GG27" s="1633"/>
      <c r="GH27" s="1633"/>
      <c r="GI27" s="1633"/>
      <c r="GJ27" s="1633"/>
      <c r="GK27" s="1633"/>
      <c r="GL27" s="1633"/>
      <c r="GM27" s="1633"/>
      <c r="GN27" s="1633"/>
      <c r="GO27" s="1633"/>
      <c r="GP27" s="1633"/>
      <c r="GQ27" s="1633"/>
      <c r="GR27" s="1633"/>
      <c r="GS27" s="1633"/>
      <c r="GT27" s="1633"/>
      <c r="GU27" s="1633"/>
      <c r="GV27" s="1633"/>
      <c r="GW27" s="1633"/>
      <c r="GX27" s="1633"/>
      <c r="GY27" s="1633"/>
      <c r="GZ27" s="1633"/>
      <c r="HA27" s="1633"/>
      <c r="HB27" s="1633"/>
      <c r="HC27" s="1633"/>
      <c r="HD27" s="1633"/>
      <c r="HE27" s="1633"/>
      <c r="HF27" s="1633"/>
      <c r="HG27" s="1633"/>
      <c r="HH27" s="1633"/>
      <c r="HI27" s="1633"/>
      <c r="HJ27" s="1633"/>
      <c r="HK27" s="1633"/>
      <c r="HL27" s="1633"/>
      <c r="HM27" s="1633"/>
      <c r="HN27" s="1633"/>
      <c r="HO27" s="1633"/>
      <c r="HP27" s="1633"/>
      <c r="HQ27" s="1633"/>
      <c r="HR27" s="1633"/>
      <c r="HS27" s="1633"/>
      <c r="HT27" s="1633"/>
      <c r="HU27" s="1633"/>
      <c r="HV27" s="1633"/>
      <c r="HW27" s="1633"/>
      <c r="HX27" s="1633"/>
      <c r="HY27" s="1633"/>
      <c r="HZ27" s="1633"/>
      <c r="IA27" s="1633"/>
      <c r="IB27" s="1633"/>
      <c r="IC27" s="1633"/>
      <c r="ID27" s="1633"/>
      <c r="IE27" s="1633"/>
      <c r="IF27" s="1633"/>
      <c r="IG27" s="1633"/>
      <c r="IH27" s="1633"/>
      <c r="II27" s="1633"/>
      <c r="IJ27" s="1633"/>
      <c r="IK27" s="1633"/>
      <c r="IL27" s="1633"/>
      <c r="IM27" s="1633"/>
    </row>
    <row r="28" spans="1:247">
      <c r="A28" s="1627" t="s">
        <v>229</v>
      </c>
      <c r="B28" s="1628">
        <f>审定资负表!C25</f>
        <v>0</v>
      </c>
      <c r="C28" s="1628">
        <f>审定资负表!D25</f>
        <v>0</v>
      </c>
      <c r="D28" s="1629" t="str">
        <f t="shared" si="0"/>
        <v> </v>
      </c>
      <c r="E28" s="1630">
        <f t="shared" si="1"/>
        <v>0</v>
      </c>
      <c r="F28" s="1631">
        <f t="shared" si="2"/>
        <v>0</v>
      </c>
      <c r="G28" s="1634"/>
      <c r="H28" s="1633"/>
      <c r="I28" s="1633"/>
      <c r="J28" s="1633"/>
      <c r="K28" s="1633"/>
      <c r="L28" s="1633"/>
      <c r="M28" s="1633"/>
      <c r="N28" s="1633"/>
      <c r="O28" s="1633"/>
      <c r="P28" s="1633"/>
      <c r="Q28" s="1633"/>
      <c r="R28" s="1633"/>
      <c r="S28" s="1633"/>
      <c r="T28" s="1633"/>
      <c r="U28" s="1633"/>
      <c r="V28" s="1633"/>
      <c r="W28" s="1633"/>
      <c r="X28" s="1633"/>
      <c r="Y28" s="1633"/>
      <c r="Z28" s="1633"/>
      <c r="AA28" s="1633"/>
      <c r="AB28" s="1633"/>
      <c r="AC28" s="1633"/>
      <c r="AD28" s="1633"/>
      <c r="AE28" s="1633"/>
      <c r="AF28" s="1633"/>
      <c r="AG28" s="1633"/>
      <c r="AH28" s="1633"/>
      <c r="AI28" s="1633"/>
      <c r="AJ28" s="1633"/>
      <c r="AK28" s="1633"/>
      <c r="AL28" s="1633"/>
      <c r="AM28" s="1633"/>
      <c r="AN28" s="1633"/>
      <c r="AO28" s="1633"/>
      <c r="AP28" s="1633"/>
      <c r="AQ28" s="1633"/>
      <c r="AR28" s="1633"/>
      <c r="AS28" s="1633"/>
      <c r="AT28" s="1633"/>
      <c r="AU28" s="1633"/>
      <c r="AV28" s="1633"/>
      <c r="AW28" s="1633"/>
      <c r="AX28" s="1633"/>
      <c r="AY28" s="1633"/>
      <c r="AZ28" s="1633"/>
      <c r="BA28" s="1633"/>
      <c r="BB28" s="1633"/>
      <c r="BC28" s="1633"/>
      <c r="BD28" s="1633"/>
      <c r="BE28" s="1633"/>
      <c r="BF28" s="1633"/>
      <c r="BG28" s="1633"/>
      <c r="BH28" s="1633"/>
      <c r="BI28" s="1633"/>
      <c r="BJ28" s="1633"/>
      <c r="BK28" s="1633"/>
      <c r="BL28" s="1633"/>
      <c r="BM28" s="1633"/>
      <c r="BN28" s="1633"/>
      <c r="BO28" s="1633"/>
      <c r="BP28" s="1633"/>
      <c r="BQ28" s="1633"/>
      <c r="BR28" s="1633"/>
      <c r="BS28" s="1633"/>
      <c r="BT28" s="1633"/>
      <c r="BU28" s="1633"/>
      <c r="BV28" s="1633"/>
      <c r="BW28" s="1633"/>
      <c r="BX28" s="1633"/>
      <c r="BY28" s="1633"/>
      <c r="BZ28" s="1633"/>
      <c r="CA28" s="1633"/>
      <c r="CB28" s="1633"/>
      <c r="CC28" s="1633"/>
      <c r="CD28" s="1633"/>
      <c r="CE28" s="1633"/>
      <c r="CF28" s="1633"/>
      <c r="CG28" s="1633"/>
      <c r="CH28" s="1633"/>
      <c r="CI28" s="1633"/>
      <c r="CJ28" s="1633"/>
      <c r="CK28" s="1633"/>
      <c r="CL28" s="1633"/>
      <c r="CM28" s="1633"/>
      <c r="CN28" s="1633"/>
      <c r="CO28" s="1633"/>
      <c r="CP28" s="1633"/>
      <c r="CQ28" s="1633"/>
      <c r="CR28" s="1633"/>
      <c r="CS28" s="1633"/>
      <c r="CT28" s="1633"/>
      <c r="CU28" s="1633"/>
      <c r="CV28" s="1633"/>
      <c r="CW28" s="1633"/>
      <c r="CX28" s="1633"/>
      <c r="CY28" s="1633"/>
      <c r="CZ28" s="1633"/>
      <c r="DA28" s="1633"/>
      <c r="DB28" s="1633"/>
      <c r="DC28" s="1633"/>
      <c r="DD28" s="1633"/>
      <c r="DE28" s="1633"/>
      <c r="DF28" s="1633"/>
      <c r="DG28" s="1633"/>
      <c r="DH28" s="1633"/>
      <c r="DI28" s="1633"/>
      <c r="DJ28" s="1633"/>
      <c r="DK28" s="1633"/>
      <c r="DL28" s="1633"/>
      <c r="DM28" s="1633"/>
      <c r="DN28" s="1633"/>
      <c r="DO28" s="1633"/>
      <c r="DP28" s="1633"/>
      <c r="DQ28" s="1633"/>
      <c r="DR28" s="1633"/>
      <c r="DS28" s="1633"/>
      <c r="DT28" s="1633"/>
      <c r="DU28" s="1633"/>
      <c r="DV28" s="1633"/>
      <c r="DW28" s="1633"/>
      <c r="DX28" s="1633"/>
      <c r="DY28" s="1633"/>
      <c r="DZ28" s="1633"/>
      <c r="EA28" s="1633"/>
      <c r="EB28" s="1633"/>
      <c r="EC28" s="1633"/>
      <c r="ED28" s="1633"/>
      <c r="EE28" s="1633"/>
      <c r="EF28" s="1633"/>
      <c r="EG28" s="1633"/>
      <c r="EH28" s="1633"/>
      <c r="EI28" s="1633"/>
      <c r="EJ28" s="1633"/>
      <c r="EK28" s="1633"/>
      <c r="EL28" s="1633"/>
      <c r="EM28" s="1633"/>
      <c r="EN28" s="1633"/>
      <c r="EO28" s="1633"/>
      <c r="EP28" s="1633"/>
      <c r="EQ28" s="1633"/>
      <c r="ER28" s="1633"/>
      <c r="ES28" s="1633"/>
      <c r="ET28" s="1633"/>
      <c r="EU28" s="1633"/>
      <c r="EV28" s="1633"/>
      <c r="EW28" s="1633"/>
      <c r="EX28" s="1633"/>
      <c r="EY28" s="1633"/>
      <c r="EZ28" s="1633"/>
      <c r="FA28" s="1633"/>
      <c r="FB28" s="1633"/>
      <c r="FC28" s="1633"/>
      <c r="FD28" s="1633"/>
      <c r="FE28" s="1633"/>
      <c r="FF28" s="1633"/>
      <c r="FG28" s="1633"/>
      <c r="FH28" s="1633"/>
      <c r="FI28" s="1633"/>
      <c r="FJ28" s="1633"/>
      <c r="FK28" s="1633"/>
      <c r="FL28" s="1633"/>
      <c r="FM28" s="1633"/>
      <c r="FN28" s="1633"/>
      <c r="FO28" s="1633"/>
      <c r="FP28" s="1633"/>
      <c r="FQ28" s="1633"/>
      <c r="FR28" s="1633"/>
      <c r="FS28" s="1633"/>
      <c r="FT28" s="1633"/>
      <c r="FU28" s="1633"/>
      <c r="FV28" s="1633"/>
      <c r="FW28" s="1633"/>
      <c r="FX28" s="1633"/>
      <c r="FY28" s="1633"/>
      <c r="FZ28" s="1633"/>
      <c r="GA28" s="1633"/>
      <c r="GB28" s="1633"/>
      <c r="GC28" s="1633"/>
      <c r="GD28" s="1633"/>
      <c r="GE28" s="1633"/>
      <c r="GF28" s="1633"/>
      <c r="GG28" s="1633"/>
      <c r="GH28" s="1633"/>
      <c r="GI28" s="1633"/>
      <c r="GJ28" s="1633"/>
      <c r="GK28" s="1633"/>
      <c r="GL28" s="1633"/>
      <c r="GM28" s="1633"/>
      <c r="GN28" s="1633"/>
      <c r="GO28" s="1633"/>
      <c r="GP28" s="1633"/>
      <c r="GQ28" s="1633"/>
      <c r="GR28" s="1633"/>
      <c r="GS28" s="1633"/>
      <c r="GT28" s="1633"/>
      <c r="GU28" s="1633"/>
      <c r="GV28" s="1633"/>
      <c r="GW28" s="1633"/>
      <c r="GX28" s="1633"/>
      <c r="GY28" s="1633"/>
      <c r="GZ28" s="1633"/>
      <c r="HA28" s="1633"/>
      <c r="HB28" s="1633"/>
      <c r="HC28" s="1633"/>
      <c r="HD28" s="1633"/>
      <c r="HE28" s="1633"/>
      <c r="HF28" s="1633"/>
      <c r="HG28" s="1633"/>
      <c r="HH28" s="1633"/>
      <c r="HI28" s="1633"/>
      <c r="HJ28" s="1633"/>
      <c r="HK28" s="1633"/>
      <c r="HL28" s="1633"/>
      <c r="HM28" s="1633"/>
      <c r="HN28" s="1633"/>
      <c r="HO28" s="1633"/>
      <c r="HP28" s="1633"/>
      <c r="HQ28" s="1633"/>
      <c r="HR28" s="1633"/>
      <c r="HS28" s="1633"/>
      <c r="HT28" s="1633"/>
      <c r="HU28" s="1633"/>
      <c r="HV28" s="1633"/>
      <c r="HW28" s="1633"/>
      <c r="HX28" s="1633"/>
      <c r="HY28" s="1633"/>
      <c r="HZ28" s="1633"/>
      <c r="IA28" s="1633"/>
      <c r="IB28" s="1633"/>
      <c r="IC28" s="1633"/>
      <c r="ID28" s="1633"/>
      <c r="IE28" s="1633"/>
      <c r="IF28" s="1633"/>
      <c r="IG28" s="1633"/>
      <c r="IH28" s="1633"/>
      <c r="II28" s="1633"/>
      <c r="IJ28" s="1633"/>
      <c r="IK28" s="1633"/>
      <c r="IL28" s="1633"/>
      <c r="IM28" s="1633"/>
    </row>
    <row r="29" spans="1:247">
      <c r="A29" s="1627" t="s">
        <v>231</v>
      </c>
      <c r="B29" s="1628">
        <f>审定资负表!C26</f>
        <v>0</v>
      </c>
      <c r="C29" s="1628">
        <f>审定资负表!D26</f>
        <v>0</v>
      </c>
      <c r="D29" s="1629" t="str">
        <f t="shared" si="0"/>
        <v> </v>
      </c>
      <c r="E29" s="1630">
        <f t="shared" si="1"/>
        <v>0</v>
      </c>
      <c r="F29" s="1631">
        <f t="shared" si="2"/>
        <v>0</v>
      </c>
      <c r="G29" s="1634"/>
      <c r="H29" s="1633"/>
      <c r="I29" s="1633"/>
      <c r="J29" s="1633"/>
      <c r="K29" s="1633"/>
      <c r="L29" s="1633"/>
      <c r="M29" s="1633"/>
      <c r="N29" s="1633"/>
      <c r="O29" s="1633"/>
      <c r="P29" s="1633"/>
      <c r="Q29" s="1633"/>
      <c r="R29" s="1633"/>
      <c r="S29" s="1633"/>
      <c r="T29" s="1633"/>
      <c r="U29" s="1633"/>
      <c r="V29" s="1633"/>
      <c r="W29" s="1633"/>
      <c r="X29" s="1633"/>
      <c r="Y29" s="1633"/>
      <c r="Z29" s="1633"/>
      <c r="AA29" s="1633"/>
      <c r="AB29" s="1633"/>
      <c r="AC29" s="1633"/>
      <c r="AD29" s="1633"/>
      <c r="AE29" s="1633"/>
      <c r="AF29" s="1633"/>
      <c r="AG29" s="1633"/>
      <c r="AH29" s="1633"/>
      <c r="AI29" s="1633"/>
      <c r="AJ29" s="1633"/>
      <c r="AK29" s="1633"/>
      <c r="AL29" s="1633"/>
      <c r="AM29" s="1633"/>
      <c r="AN29" s="1633"/>
      <c r="AO29" s="1633"/>
      <c r="AP29" s="1633"/>
      <c r="AQ29" s="1633"/>
      <c r="AR29" s="1633"/>
      <c r="AS29" s="1633"/>
      <c r="AT29" s="1633"/>
      <c r="AU29" s="1633"/>
      <c r="AV29" s="1633"/>
      <c r="AW29" s="1633"/>
      <c r="AX29" s="1633"/>
      <c r="AY29" s="1633"/>
      <c r="AZ29" s="1633"/>
      <c r="BA29" s="1633"/>
      <c r="BB29" s="1633"/>
      <c r="BC29" s="1633"/>
      <c r="BD29" s="1633"/>
      <c r="BE29" s="1633"/>
      <c r="BF29" s="1633"/>
      <c r="BG29" s="1633"/>
      <c r="BH29" s="1633"/>
      <c r="BI29" s="1633"/>
      <c r="BJ29" s="1633"/>
      <c r="BK29" s="1633"/>
      <c r="BL29" s="1633"/>
      <c r="BM29" s="1633"/>
      <c r="BN29" s="1633"/>
      <c r="BO29" s="1633"/>
      <c r="BP29" s="1633"/>
      <c r="BQ29" s="1633"/>
      <c r="BR29" s="1633"/>
      <c r="BS29" s="1633"/>
      <c r="BT29" s="1633"/>
      <c r="BU29" s="1633"/>
      <c r="BV29" s="1633"/>
      <c r="BW29" s="1633"/>
      <c r="BX29" s="1633"/>
      <c r="BY29" s="1633"/>
      <c r="BZ29" s="1633"/>
      <c r="CA29" s="1633"/>
      <c r="CB29" s="1633"/>
      <c r="CC29" s="1633"/>
      <c r="CD29" s="1633"/>
      <c r="CE29" s="1633"/>
      <c r="CF29" s="1633"/>
      <c r="CG29" s="1633"/>
      <c r="CH29" s="1633"/>
      <c r="CI29" s="1633"/>
      <c r="CJ29" s="1633"/>
      <c r="CK29" s="1633"/>
      <c r="CL29" s="1633"/>
      <c r="CM29" s="1633"/>
      <c r="CN29" s="1633"/>
      <c r="CO29" s="1633"/>
      <c r="CP29" s="1633"/>
      <c r="CQ29" s="1633"/>
      <c r="CR29" s="1633"/>
      <c r="CS29" s="1633"/>
      <c r="CT29" s="1633"/>
      <c r="CU29" s="1633"/>
      <c r="CV29" s="1633"/>
      <c r="CW29" s="1633"/>
      <c r="CX29" s="1633"/>
      <c r="CY29" s="1633"/>
      <c r="CZ29" s="1633"/>
      <c r="DA29" s="1633"/>
      <c r="DB29" s="1633"/>
      <c r="DC29" s="1633"/>
      <c r="DD29" s="1633"/>
      <c r="DE29" s="1633"/>
      <c r="DF29" s="1633"/>
      <c r="DG29" s="1633"/>
      <c r="DH29" s="1633"/>
      <c r="DI29" s="1633"/>
      <c r="DJ29" s="1633"/>
      <c r="DK29" s="1633"/>
      <c r="DL29" s="1633"/>
      <c r="DM29" s="1633"/>
      <c r="DN29" s="1633"/>
      <c r="DO29" s="1633"/>
      <c r="DP29" s="1633"/>
      <c r="DQ29" s="1633"/>
      <c r="DR29" s="1633"/>
      <c r="DS29" s="1633"/>
      <c r="DT29" s="1633"/>
      <c r="DU29" s="1633"/>
      <c r="DV29" s="1633"/>
      <c r="DW29" s="1633"/>
      <c r="DX29" s="1633"/>
      <c r="DY29" s="1633"/>
      <c r="DZ29" s="1633"/>
      <c r="EA29" s="1633"/>
      <c r="EB29" s="1633"/>
      <c r="EC29" s="1633"/>
      <c r="ED29" s="1633"/>
      <c r="EE29" s="1633"/>
      <c r="EF29" s="1633"/>
      <c r="EG29" s="1633"/>
      <c r="EH29" s="1633"/>
      <c r="EI29" s="1633"/>
      <c r="EJ29" s="1633"/>
      <c r="EK29" s="1633"/>
      <c r="EL29" s="1633"/>
      <c r="EM29" s="1633"/>
      <c r="EN29" s="1633"/>
      <c r="EO29" s="1633"/>
      <c r="EP29" s="1633"/>
      <c r="EQ29" s="1633"/>
      <c r="ER29" s="1633"/>
      <c r="ES29" s="1633"/>
      <c r="ET29" s="1633"/>
      <c r="EU29" s="1633"/>
      <c r="EV29" s="1633"/>
      <c r="EW29" s="1633"/>
      <c r="EX29" s="1633"/>
      <c r="EY29" s="1633"/>
      <c r="EZ29" s="1633"/>
      <c r="FA29" s="1633"/>
      <c r="FB29" s="1633"/>
      <c r="FC29" s="1633"/>
      <c r="FD29" s="1633"/>
      <c r="FE29" s="1633"/>
      <c r="FF29" s="1633"/>
      <c r="FG29" s="1633"/>
      <c r="FH29" s="1633"/>
      <c r="FI29" s="1633"/>
      <c r="FJ29" s="1633"/>
      <c r="FK29" s="1633"/>
      <c r="FL29" s="1633"/>
      <c r="FM29" s="1633"/>
      <c r="FN29" s="1633"/>
      <c r="FO29" s="1633"/>
      <c r="FP29" s="1633"/>
      <c r="FQ29" s="1633"/>
      <c r="FR29" s="1633"/>
      <c r="FS29" s="1633"/>
      <c r="FT29" s="1633"/>
      <c r="FU29" s="1633"/>
      <c r="FV29" s="1633"/>
      <c r="FW29" s="1633"/>
      <c r="FX29" s="1633"/>
      <c r="FY29" s="1633"/>
      <c r="FZ29" s="1633"/>
      <c r="GA29" s="1633"/>
      <c r="GB29" s="1633"/>
      <c r="GC29" s="1633"/>
      <c r="GD29" s="1633"/>
      <c r="GE29" s="1633"/>
      <c r="GF29" s="1633"/>
      <c r="GG29" s="1633"/>
      <c r="GH29" s="1633"/>
      <c r="GI29" s="1633"/>
      <c r="GJ29" s="1633"/>
      <c r="GK29" s="1633"/>
      <c r="GL29" s="1633"/>
      <c r="GM29" s="1633"/>
      <c r="GN29" s="1633"/>
      <c r="GO29" s="1633"/>
      <c r="GP29" s="1633"/>
      <c r="GQ29" s="1633"/>
      <c r="GR29" s="1633"/>
      <c r="GS29" s="1633"/>
      <c r="GT29" s="1633"/>
      <c r="GU29" s="1633"/>
      <c r="GV29" s="1633"/>
      <c r="GW29" s="1633"/>
      <c r="GX29" s="1633"/>
      <c r="GY29" s="1633"/>
      <c r="GZ29" s="1633"/>
      <c r="HA29" s="1633"/>
      <c r="HB29" s="1633"/>
      <c r="HC29" s="1633"/>
      <c r="HD29" s="1633"/>
      <c r="HE29" s="1633"/>
      <c r="HF29" s="1633"/>
      <c r="HG29" s="1633"/>
      <c r="HH29" s="1633"/>
      <c r="HI29" s="1633"/>
      <c r="HJ29" s="1633"/>
      <c r="HK29" s="1633"/>
      <c r="HL29" s="1633"/>
      <c r="HM29" s="1633"/>
      <c r="HN29" s="1633"/>
      <c r="HO29" s="1633"/>
      <c r="HP29" s="1633"/>
      <c r="HQ29" s="1633"/>
      <c r="HR29" s="1633"/>
      <c r="HS29" s="1633"/>
      <c r="HT29" s="1633"/>
      <c r="HU29" s="1633"/>
      <c r="HV29" s="1633"/>
      <c r="HW29" s="1633"/>
      <c r="HX29" s="1633"/>
      <c r="HY29" s="1633"/>
      <c r="HZ29" s="1633"/>
      <c r="IA29" s="1633"/>
      <c r="IB29" s="1633"/>
      <c r="IC29" s="1633"/>
      <c r="ID29" s="1633"/>
      <c r="IE29" s="1633"/>
      <c r="IF29" s="1633"/>
      <c r="IG29" s="1633"/>
      <c r="IH29" s="1633"/>
      <c r="II29" s="1633"/>
      <c r="IJ29" s="1633"/>
      <c r="IK29" s="1633"/>
      <c r="IL29" s="1633"/>
      <c r="IM29" s="1633"/>
    </row>
    <row r="30" spans="1:247">
      <c r="A30" s="1627" t="s">
        <v>233</v>
      </c>
      <c r="B30" s="1628">
        <f>审定资负表!C27</f>
        <v>0</v>
      </c>
      <c r="C30" s="1628">
        <f>审定资负表!D27</f>
        <v>0</v>
      </c>
      <c r="D30" s="1629" t="str">
        <f t="shared" si="0"/>
        <v> </v>
      </c>
      <c r="E30" s="1630">
        <f t="shared" si="1"/>
        <v>0</v>
      </c>
      <c r="F30" s="1631">
        <f t="shared" si="2"/>
        <v>0</v>
      </c>
      <c r="G30" s="1634"/>
      <c r="H30" s="1633"/>
      <c r="I30" s="1633"/>
      <c r="J30" s="1633"/>
      <c r="K30" s="1633"/>
      <c r="L30" s="1633"/>
      <c r="M30" s="1633"/>
      <c r="N30" s="1633"/>
      <c r="O30" s="1633"/>
      <c r="P30" s="1633"/>
      <c r="Q30" s="1633"/>
      <c r="R30" s="1633"/>
      <c r="S30" s="1633"/>
      <c r="T30" s="1633"/>
      <c r="U30" s="1633"/>
      <c r="V30" s="1633"/>
      <c r="W30" s="1633"/>
      <c r="X30" s="1633"/>
      <c r="Y30" s="1633"/>
      <c r="Z30" s="1633"/>
      <c r="AA30" s="1633"/>
      <c r="AB30" s="1633"/>
      <c r="AC30" s="1633"/>
      <c r="AD30" s="1633"/>
      <c r="AE30" s="1633"/>
      <c r="AF30" s="1633"/>
      <c r="AG30" s="1633"/>
      <c r="AH30" s="1633"/>
      <c r="AI30" s="1633"/>
      <c r="AJ30" s="1633"/>
      <c r="AK30" s="1633"/>
      <c r="AL30" s="1633"/>
      <c r="AM30" s="1633"/>
      <c r="AN30" s="1633"/>
      <c r="AO30" s="1633"/>
      <c r="AP30" s="1633"/>
      <c r="AQ30" s="1633"/>
      <c r="AR30" s="1633"/>
      <c r="AS30" s="1633"/>
      <c r="AT30" s="1633"/>
      <c r="AU30" s="1633"/>
      <c r="AV30" s="1633"/>
      <c r="AW30" s="1633"/>
      <c r="AX30" s="1633"/>
      <c r="AY30" s="1633"/>
      <c r="AZ30" s="1633"/>
      <c r="BA30" s="1633"/>
      <c r="BB30" s="1633"/>
      <c r="BC30" s="1633"/>
      <c r="BD30" s="1633"/>
      <c r="BE30" s="1633"/>
      <c r="BF30" s="1633"/>
      <c r="BG30" s="1633"/>
      <c r="BH30" s="1633"/>
      <c r="BI30" s="1633"/>
      <c r="BJ30" s="1633"/>
      <c r="BK30" s="1633"/>
      <c r="BL30" s="1633"/>
      <c r="BM30" s="1633"/>
      <c r="BN30" s="1633"/>
      <c r="BO30" s="1633"/>
      <c r="BP30" s="1633"/>
      <c r="BQ30" s="1633"/>
      <c r="BR30" s="1633"/>
      <c r="BS30" s="1633"/>
      <c r="BT30" s="1633"/>
      <c r="BU30" s="1633"/>
      <c r="BV30" s="1633"/>
      <c r="BW30" s="1633"/>
      <c r="BX30" s="1633"/>
      <c r="BY30" s="1633"/>
      <c r="BZ30" s="1633"/>
      <c r="CA30" s="1633"/>
      <c r="CB30" s="1633"/>
      <c r="CC30" s="1633"/>
      <c r="CD30" s="1633"/>
      <c r="CE30" s="1633"/>
      <c r="CF30" s="1633"/>
      <c r="CG30" s="1633"/>
      <c r="CH30" s="1633"/>
      <c r="CI30" s="1633"/>
      <c r="CJ30" s="1633"/>
      <c r="CK30" s="1633"/>
      <c r="CL30" s="1633"/>
      <c r="CM30" s="1633"/>
      <c r="CN30" s="1633"/>
      <c r="CO30" s="1633"/>
      <c r="CP30" s="1633"/>
      <c r="CQ30" s="1633"/>
      <c r="CR30" s="1633"/>
      <c r="CS30" s="1633"/>
      <c r="CT30" s="1633"/>
      <c r="CU30" s="1633"/>
      <c r="CV30" s="1633"/>
      <c r="CW30" s="1633"/>
      <c r="CX30" s="1633"/>
      <c r="CY30" s="1633"/>
      <c r="CZ30" s="1633"/>
      <c r="DA30" s="1633"/>
      <c r="DB30" s="1633"/>
      <c r="DC30" s="1633"/>
      <c r="DD30" s="1633"/>
      <c r="DE30" s="1633"/>
      <c r="DF30" s="1633"/>
      <c r="DG30" s="1633"/>
      <c r="DH30" s="1633"/>
      <c r="DI30" s="1633"/>
      <c r="DJ30" s="1633"/>
      <c r="DK30" s="1633"/>
      <c r="DL30" s="1633"/>
      <c r="DM30" s="1633"/>
      <c r="DN30" s="1633"/>
      <c r="DO30" s="1633"/>
      <c r="DP30" s="1633"/>
      <c r="DQ30" s="1633"/>
      <c r="DR30" s="1633"/>
      <c r="DS30" s="1633"/>
      <c r="DT30" s="1633"/>
      <c r="DU30" s="1633"/>
      <c r="DV30" s="1633"/>
      <c r="DW30" s="1633"/>
      <c r="DX30" s="1633"/>
      <c r="DY30" s="1633"/>
      <c r="DZ30" s="1633"/>
      <c r="EA30" s="1633"/>
      <c r="EB30" s="1633"/>
      <c r="EC30" s="1633"/>
      <c r="ED30" s="1633"/>
      <c r="EE30" s="1633"/>
      <c r="EF30" s="1633"/>
      <c r="EG30" s="1633"/>
      <c r="EH30" s="1633"/>
      <c r="EI30" s="1633"/>
      <c r="EJ30" s="1633"/>
      <c r="EK30" s="1633"/>
      <c r="EL30" s="1633"/>
      <c r="EM30" s="1633"/>
      <c r="EN30" s="1633"/>
      <c r="EO30" s="1633"/>
      <c r="EP30" s="1633"/>
      <c r="EQ30" s="1633"/>
      <c r="ER30" s="1633"/>
      <c r="ES30" s="1633"/>
      <c r="ET30" s="1633"/>
      <c r="EU30" s="1633"/>
      <c r="EV30" s="1633"/>
      <c r="EW30" s="1633"/>
      <c r="EX30" s="1633"/>
      <c r="EY30" s="1633"/>
      <c r="EZ30" s="1633"/>
      <c r="FA30" s="1633"/>
      <c r="FB30" s="1633"/>
      <c r="FC30" s="1633"/>
      <c r="FD30" s="1633"/>
      <c r="FE30" s="1633"/>
      <c r="FF30" s="1633"/>
      <c r="FG30" s="1633"/>
      <c r="FH30" s="1633"/>
      <c r="FI30" s="1633"/>
      <c r="FJ30" s="1633"/>
      <c r="FK30" s="1633"/>
      <c r="FL30" s="1633"/>
      <c r="FM30" s="1633"/>
      <c r="FN30" s="1633"/>
      <c r="FO30" s="1633"/>
      <c r="FP30" s="1633"/>
      <c r="FQ30" s="1633"/>
      <c r="FR30" s="1633"/>
      <c r="FS30" s="1633"/>
      <c r="FT30" s="1633"/>
      <c r="FU30" s="1633"/>
      <c r="FV30" s="1633"/>
      <c r="FW30" s="1633"/>
      <c r="FX30" s="1633"/>
      <c r="FY30" s="1633"/>
      <c r="FZ30" s="1633"/>
      <c r="GA30" s="1633"/>
      <c r="GB30" s="1633"/>
      <c r="GC30" s="1633"/>
      <c r="GD30" s="1633"/>
      <c r="GE30" s="1633"/>
      <c r="GF30" s="1633"/>
      <c r="GG30" s="1633"/>
      <c r="GH30" s="1633"/>
      <c r="GI30" s="1633"/>
      <c r="GJ30" s="1633"/>
      <c r="GK30" s="1633"/>
      <c r="GL30" s="1633"/>
      <c r="GM30" s="1633"/>
      <c r="GN30" s="1633"/>
      <c r="GO30" s="1633"/>
      <c r="GP30" s="1633"/>
      <c r="GQ30" s="1633"/>
      <c r="GR30" s="1633"/>
      <c r="GS30" s="1633"/>
      <c r="GT30" s="1633"/>
      <c r="GU30" s="1633"/>
      <c r="GV30" s="1633"/>
      <c r="GW30" s="1633"/>
      <c r="GX30" s="1633"/>
      <c r="GY30" s="1633"/>
      <c r="GZ30" s="1633"/>
      <c r="HA30" s="1633"/>
      <c r="HB30" s="1633"/>
      <c r="HC30" s="1633"/>
      <c r="HD30" s="1633"/>
      <c r="HE30" s="1633"/>
      <c r="HF30" s="1633"/>
      <c r="HG30" s="1633"/>
      <c r="HH30" s="1633"/>
      <c r="HI30" s="1633"/>
      <c r="HJ30" s="1633"/>
      <c r="HK30" s="1633"/>
      <c r="HL30" s="1633"/>
      <c r="HM30" s="1633"/>
      <c r="HN30" s="1633"/>
      <c r="HO30" s="1633"/>
      <c r="HP30" s="1633"/>
      <c r="HQ30" s="1633"/>
      <c r="HR30" s="1633"/>
      <c r="HS30" s="1633"/>
      <c r="HT30" s="1633"/>
      <c r="HU30" s="1633"/>
      <c r="HV30" s="1633"/>
      <c r="HW30" s="1633"/>
      <c r="HX30" s="1633"/>
      <c r="HY30" s="1633"/>
      <c r="HZ30" s="1633"/>
      <c r="IA30" s="1633"/>
      <c r="IB30" s="1633"/>
      <c r="IC30" s="1633"/>
      <c r="ID30" s="1633"/>
      <c r="IE30" s="1633"/>
      <c r="IF30" s="1633"/>
      <c r="IG30" s="1633"/>
      <c r="IH30" s="1633"/>
      <c r="II30" s="1633"/>
      <c r="IJ30" s="1633"/>
      <c r="IK30" s="1633"/>
      <c r="IL30" s="1633"/>
      <c r="IM30" s="1633"/>
    </row>
    <row r="31" spans="1:247">
      <c r="A31" s="1627" t="s">
        <v>235</v>
      </c>
      <c r="B31" s="1628">
        <f>审定资负表!C28</f>
        <v>0</v>
      </c>
      <c r="C31" s="1628">
        <f>审定资负表!D28</f>
        <v>0</v>
      </c>
      <c r="D31" s="1629" t="str">
        <f t="shared" si="0"/>
        <v> </v>
      </c>
      <c r="E31" s="1630">
        <f t="shared" si="1"/>
        <v>0</v>
      </c>
      <c r="F31" s="1631">
        <f t="shared" si="2"/>
        <v>0</v>
      </c>
      <c r="G31" s="1634"/>
      <c r="H31" s="1633"/>
      <c r="I31" s="1633"/>
      <c r="J31" s="1633"/>
      <c r="K31" s="1633"/>
      <c r="L31" s="1633"/>
      <c r="M31" s="1633"/>
      <c r="N31" s="1633"/>
      <c r="O31" s="1633"/>
      <c r="P31" s="1633"/>
      <c r="Q31" s="1633"/>
      <c r="R31" s="1633"/>
      <c r="S31" s="1633"/>
      <c r="T31" s="1633"/>
      <c r="U31" s="1633"/>
      <c r="V31" s="1633"/>
      <c r="W31" s="1633"/>
      <c r="X31" s="1633"/>
      <c r="Y31" s="1633"/>
      <c r="Z31" s="1633"/>
      <c r="AA31" s="1633"/>
      <c r="AB31" s="1633"/>
      <c r="AC31" s="1633"/>
      <c r="AD31" s="1633"/>
      <c r="AE31" s="1633"/>
      <c r="AF31" s="1633"/>
      <c r="AG31" s="1633"/>
      <c r="AH31" s="1633"/>
      <c r="AI31" s="1633"/>
      <c r="AJ31" s="1633"/>
      <c r="AK31" s="1633"/>
      <c r="AL31" s="1633"/>
      <c r="AM31" s="1633"/>
      <c r="AN31" s="1633"/>
      <c r="AO31" s="1633"/>
      <c r="AP31" s="1633"/>
      <c r="AQ31" s="1633"/>
      <c r="AR31" s="1633"/>
      <c r="AS31" s="1633"/>
      <c r="AT31" s="1633"/>
      <c r="AU31" s="1633"/>
      <c r="AV31" s="1633"/>
      <c r="AW31" s="1633"/>
      <c r="AX31" s="1633"/>
      <c r="AY31" s="1633"/>
      <c r="AZ31" s="1633"/>
      <c r="BA31" s="1633"/>
      <c r="BB31" s="1633"/>
      <c r="BC31" s="1633"/>
      <c r="BD31" s="1633"/>
      <c r="BE31" s="1633"/>
      <c r="BF31" s="1633"/>
      <c r="BG31" s="1633"/>
      <c r="BH31" s="1633"/>
      <c r="BI31" s="1633"/>
      <c r="BJ31" s="1633"/>
      <c r="BK31" s="1633"/>
      <c r="BL31" s="1633"/>
      <c r="BM31" s="1633"/>
      <c r="BN31" s="1633"/>
      <c r="BO31" s="1633"/>
      <c r="BP31" s="1633"/>
      <c r="BQ31" s="1633"/>
      <c r="BR31" s="1633"/>
      <c r="BS31" s="1633"/>
      <c r="BT31" s="1633"/>
      <c r="BU31" s="1633"/>
      <c r="BV31" s="1633"/>
      <c r="BW31" s="1633"/>
      <c r="BX31" s="1633"/>
      <c r="BY31" s="1633"/>
      <c r="BZ31" s="1633"/>
      <c r="CA31" s="1633"/>
      <c r="CB31" s="1633"/>
      <c r="CC31" s="1633"/>
      <c r="CD31" s="1633"/>
      <c r="CE31" s="1633"/>
      <c r="CF31" s="1633"/>
      <c r="CG31" s="1633"/>
      <c r="CH31" s="1633"/>
      <c r="CI31" s="1633"/>
      <c r="CJ31" s="1633"/>
      <c r="CK31" s="1633"/>
      <c r="CL31" s="1633"/>
      <c r="CM31" s="1633"/>
      <c r="CN31" s="1633"/>
      <c r="CO31" s="1633"/>
      <c r="CP31" s="1633"/>
      <c r="CQ31" s="1633"/>
      <c r="CR31" s="1633"/>
      <c r="CS31" s="1633"/>
      <c r="CT31" s="1633"/>
      <c r="CU31" s="1633"/>
      <c r="CV31" s="1633"/>
      <c r="CW31" s="1633"/>
      <c r="CX31" s="1633"/>
      <c r="CY31" s="1633"/>
      <c r="CZ31" s="1633"/>
      <c r="DA31" s="1633"/>
      <c r="DB31" s="1633"/>
      <c r="DC31" s="1633"/>
      <c r="DD31" s="1633"/>
      <c r="DE31" s="1633"/>
      <c r="DF31" s="1633"/>
      <c r="DG31" s="1633"/>
      <c r="DH31" s="1633"/>
      <c r="DI31" s="1633"/>
      <c r="DJ31" s="1633"/>
      <c r="DK31" s="1633"/>
      <c r="DL31" s="1633"/>
      <c r="DM31" s="1633"/>
      <c r="DN31" s="1633"/>
      <c r="DO31" s="1633"/>
      <c r="DP31" s="1633"/>
      <c r="DQ31" s="1633"/>
      <c r="DR31" s="1633"/>
      <c r="DS31" s="1633"/>
      <c r="DT31" s="1633"/>
      <c r="DU31" s="1633"/>
      <c r="DV31" s="1633"/>
      <c r="DW31" s="1633"/>
      <c r="DX31" s="1633"/>
      <c r="DY31" s="1633"/>
      <c r="DZ31" s="1633"/>
      <c r="EA31" s="1633"/>
      <c r="EB31" s="1633"/>
      <c r="EC31" s="1633"/>
      <c r="ED31" s="1633"/>
      <c r="EE31" s="1633"/>
      <c r="EF31" s="1633"/>
      <c r="EG31" s="1633"/>
      <c r="EH31" s="1633"/>
      <c r="EI31" s="1633"/>
      <c r="EJ31" s="1633"/>
      <c r="EK31" s="1633"/>
      <c r="EL31" s="1633"/>
      <c r="EM31" s="1633"/>
      <c r="EN31" s="1633"/>
      <c r="EO31" s="1633"/>
      <c r="EP31" s="1633"/>
      <c r="EQ31" s="1633"/>
      <c r="ER31" s="1633"/>
      <c r="ES31" s="1633"/>
      <c r="ET31" s="1633"/>
      <c r="EU31" s="1633"/>
      <c r="EV31" s="1633"/>
      <c r="EW31" s="1633"/>
      <c r="EX31" s="1633"/>
      <c r="EY31" s="1633"/>
      <c r="EZ31" s="1633"/>
      <c r="FA31" s="1633"/>
      <c r="FB31" s="1633"/>
      <c r="FC31" s="1633"/>
      <c r="FD31" s="1633"/>
      <c r="FE31" s="1633"/>
      <c r="FF31" s="1633"/>
      <c r="FG31" s="1633"/>
      <c r="FH31" s="1633"/>
      <c r="FI31" s="1633"/>
      <c r="FJ31" s="1633"/>
      <c r="FK31" s="1633"/>
      <c r="FL31" s="1633"/>
      <c r="FM31" s="1633"/>
      <c r="FN31" s="1633"/>
      <c r="FO31" s="1633"/>
      <c r="FP31" s="1633"/>
      <c r="FQ31" s="1633"/>
      <c r="FR31" s="1633"/>
      <c r="FS31" s="1633"/>
      <c r="FT31" s="1633"/>
      <c r="FU31" s="1633"/>
      <c r="FV31" s="1633"/>
      <c r="FW31" s="1633"/>
      <c r="FX31" s="1633"/>
      <c r="FY31" s="1633"/>
      <c r="FZ31" s="1633"/>
      <c r="GA31" s="1633"/>
      <c r="GB31" s="1633"/>
      <c r="GC31" s="1633"/>
      <c r="GD31" s="1633"/>
      <c r="GE31" s="1633"/>
      <c r="GF31" s="1633"/>
      <c r="GG31" s="1633"/>
      <c r="GH31" s="1633"/>
      <c r="GI31" s="1633"/>
      <c r="GJ31" s="1633"/>
      <c r="GK31" s="1633"/>
      <c r="GL31" s="1633"/>
      <c r="GM31" s="1633"/>
      <c r="GN31" s="1633"/>
      <c r="GO31" s="1633"/>
      <c r="GP31" s="1633"/>
      <c r="GQ31" s="1633"/>
      <c r="GR31" s="1633"/>
      <c r="GS31" s="1633"/>
      <c r="GT31" s="1633"/>
      <c r="GU31" s="1633"/>
      <c r="GV31" s="1633"/>
      <c r="GW31" s="1633"/>
      <c r="GX31" s="1633"/>
      <c r="GY31" s="1633"/>
      <c r="GZ31" s="1633"/>
      <c r="HA31" s="1633"/>
      <c r="HB31" s="1633"/>
      <c r="HC31" s="1633"/>
      <c r="HD31" s="1633"/>
      <c r="HE31" s="1633"/>
      <c r="HF31" s="1633"/>
      <c r="HG31" s="1633"/>
      <c r="HH31" s="1633"/>
      <c r="HI31" s="1633"/>
      <c r="HJ31" s="1633"/>
      <c r="HK31" s="1633"/>
      <c r="HL31" s="1633"/>
      <c r="HM31" s="1633"/>
      <c r="HN31" s="1633"/>
      <c r="HO31" s="1633"/>
      <c r="HP31" s="1633"/>
      <c r="HQ31" s="1633"/>
      <c r="HR31" s="1633"/>
      <c r="HS31" s="1633"/>
      <c r="HT31" s="1633"/>
      <c r="HU31" s="1633"/>
      <c r="HV31" s="1633"/>
      <c r="HW31" s="1633"/>
      <c r="HX31" s="1633"/>
      <c r="HY31" s="1633"/>
      <c r="HZ31" s="1633"/>
      <c r="IA31" s="1633"/>
      <c r="IB31" s="1633"/>
      <c r="IC31" s="1633"/>
      <c r="ID31" s="1633"/>
      <c r="IE31" s="1633"/>
      <c r="IF31" s="1633"/>
      <c r="IG31" s="1633"/>
      <c r="IH31" s="1633"/>
      <c r="II31" s="1633"/>
      <c r="IJ31" s="1633"/>
      <c r="IK31" s="1633"/>
      <c r="IL31" s="1633"/>
      <c r="IM31" s="1633"/>
    </row>
    <row r="32" spans="1:247">
      <c r="A32" s="1627" t="s">
        <v>237</v>
      </c>
      <c r="B32" s="1628">
        <f>审定资负表!C29</f>
        <v>0</v>
      </c>
      <c r="C32" s="1628">
        <f>审定资负表!D29</f>
        <v>0</v>
      </c>
      <c r="D32" s="1629" t="str">
        <f t="shared" si="0"/>
        <v> </v>
      </c>
      <c r="E32" s="1630">
        <f t="shared" si="1"/>
        <v>0</v>
      </c>
      <c r="F32" s="1631">
        <f t="shared" si="2"/>
        <v>0</v>
      </c>
      <c r="G32" s="1634"/>
      <c r="H32" s="1633"/>
      <c r="I32" s="1633"/>
      <c r="J32" s="1633"/>
      <c r="K32" s="1633"/>
      <c r="L32" s="1633"/>
      <c r="M32" s="1633"/>
      <c r="N32" s="1633"/>
      <c r="O32" s="1633"/>
      <c r="P32" s="1633"/>
      <c r="Q32" s="1633"/>
      <c r="R32" s="1633"/>
      <c r="S32" s="1633"/>
      <c r="T32" s="1633"/>
      <c r="U32" s="1633"/>
      <c r="V32" s="1633"/>
      <c r="W32" s="1633"/>
      <c r="X32" s="1633"/>
      <c r="Y32" s="1633"/>
      <c r="Z32" s="1633"/>
      <c r="AA32" s="1633"/>
      <c r="AB32" s="1633"/>
      <c r="AC32" s="1633"/>
      <c r="AD32" s="1633"/>
      <c r="AE32" s="1633"/>
      <c r="AF32" s="1633"/>
      <c r="AG32" s="1633"/>
      <c r="AH32" s="1633"/>
      <c r="AI32" s="1633"/>
      <c r="AJ32" s="1633"/>
      <c r="AK32" s="1633"/>
      <c r="AL32" s="1633"/>
      <c r="AM32" s="1633"/>
      <c r="AN32" s="1633"/>
      <c r="AO32" s="1633"/>
      <c r="AP32" s="1633"/>
      <c r="AQ32" s="1633"/>
      <c r="AR32" s="1633"/>
      <c r="AS32" s="1633"/>
      <c r="AT32" s="1633"/>
      <c r="AU32" s="1633"/>
      <c r="AV32" s="1633"/>
      <c r="AW32" s="1633"/>
      <c r="AX32" s="1633"/>
      <c r="AY32" s="1633"/>
      <c r="AZ32" s="1633"/>
      <c r="BA32" s="1633"/>
      <c r="BB32" s="1633"/>
      <c r="BC32" s="1633"/>
      <c r="BD32" s="1633"/>
      <c r="BE32" s="1633"/>
      <c r="BF32" s="1633"/>
      <c r="BG32" s="1633"/>
      <c r="BH32" s="1633"/>
      <c r="BI32" s="1633"/>
      <c r="BJ32" s="1633"/>
      <c r="BK32" s="1633"/>
      <c r="BL32" s="1633"/>
      <c r="BM32" s="1633"/>
      <c r="BN32" s="1633"/>
      <c r="BO32" s="1633"/>
      <c r="BP32" s="1633"/>
      <c r="BQ32" s="1633"/>
      <c r="BR32" s="1633"/>
      <c r="BS32" s="1633"/>
      <c r="BT32" s="1633"/>
      <c r="BU32" s="1633"/>
      <c r="BV32" s="1633"/>
      <c r="BW32" s="1633"/>
      <c r="BX32" s="1633"/>
      <c r="BY32" s="1633"/>
      <c r="BZ32" s="1633"/>
      <c r="CA32" s="1633"/>
      <c r="CB32" s="1633"/>
      <c r="CC32" s="1633"/>
      <c r="CD32" s="1633"/>
      <c r="CE32" s="1633"/>
      <c r="CF32" s="1633"/>
      <c r="CG32" s="1633"/>
      <c r="CH32" s="1633"/>
      <c r="CI32" s="1633"/>
      <c r="CJ32" s="1633"/>
      <c r="CK32" s="1633"/>
      <c r="CL32" s="1633"/>
      <c r="CM32" s="1633"/>
      <c r="CN32" s="1633"/>
      <c r="CO32" s="1633"/>
      <c r="CP32" s="1633"/>
      <c r="CQ32" s="1633"/>
      <c r="CR32" s="1633"/>
      <c r="CS32" s="1633"/>
      <c r="CT32" s="1633"/>
      <c r="CU32" s="1633"/>
      <c r="CV32" s="1633"/>
      <c r="CW32" s="1633"/>
      <c r="CX32" s="1633"/>
      <c r="CY32" s="1633"/>
      <c r="CZ32" s="1633"/>
      <c r="DA32" s="1633"/>
      <c r="DB32" s="1633"/>
      <c r="DC32" s="1633"/>
      <c r="DD32" s="1633"/>
      <c r="DE32" s="1633"/>
      <c r="DF32" s="1633"/>
      <c r="DG32" s="1633"/>
      <c r="DH32" s="1633"/>
      <c r="DI32" s="1633"/>
      <c r="DJ32" s="1633"/>
      <c r="DK32" s="1633"/>
      <c r="DL32" s="1633"/>
      <c r="DM32" s="1633"/>
      <c r="DN32" s="1633"/>
      <c r="DO32" s="1633"/>
      <c r="DP32" s="1633"/>
      <c r="DQ32" s="1633"/>
      <c r="DR32" s="1633"/>
      <c r="DS32" s="1633"/>
      <c r="DT32" s="1633"/>
      <c r="DU32" s="1633"/>
      <c r="DV32" s="1633"/>
      <c r="DW32" s="1633"/>
      <c r="DX32" s="1633"/>
      <c r="DY32" s="1633"/>
      <c r="DZ32" s="1633"/>
      <c r="EA32" s="1633"/>
      <c r="EB32" s="1633"/>
      <c r="EC32" s="1633"/>
      <c r="ED32" s="1633"/>
      <c r="EE32" s="1633"/>
      <c r="EF32" s="1633"/>
      <c r="EG32" s="1633"/>
      <c r="EH32" s="1633"/>
      <c r="EI32" s="1633"/>
      <c r="EJ32" s="1633"/>
      <c r="EK32" s="1633"/>
      <c r="EL32" s="1633"/>
      <c r="EM32" s="1633"/>
      <c r="EN32" s="1633"/>
      <c r="EO32" s="1633"/>
      <c r="EP32" s="1633"/>
      <c r="EQ32" s="1633"/>
      <c r="ER32" s="1633"/>
      <c r="ES32" s="1633"/>
      <c r="ET32" s="1633"/>
      <c r="EU32" s="1633"/>
      <c r="EV32" s="1633"/>
      <c r="EW32" s="1633"/>
      <c r="EX32" s="1633"/>
      <c r="EY32" s="1633"/>
      <c r="EZ32" s="1633"/>
      <c r="FA32" s="1633"/>
      <c r="FB32" s="1633"/>
      <c r="FC32" s="1633"/>
      <c r="FD32" s="1633"/>
      <c r="FE32" s="1633"/>
      <c r="FF32" s="1633"/>
      <c r="FG32" s="1633"/>
      <c r="FH32" s="1633"/>
      <c r="FI32" s="1633"/>
      <c r="FJ32" s="1633"/>
      <c r="FK32" s="1633"/>
      <c r="FL32" s="1633"/>
      <c r="FM32" s="1633"/>
      <c r="FN32" s="1633"/>
      <c r="FO32" s="1633"/>
      <c r="FP32" s="1633"/>
      <c r="FQ32" s="1633"/>
      <c r="FR32" s="1633"/>
      <c r="FS32" s="1633"/>
      <c r="FT32" s="1633"/>
      <c r="FU32" s="1633"/>
      <c r="FV32" s="1633"/>
      <c r="FW32" s="1633"/>
      <c r="FX32" s="1633"/>
      <c r="FY32" s="1633"/>
      <c r="FZ32" s="1633"/>
      <c r="GA32" s="1633"/>
      <c r="GB32" s="1633"/>
      <c r="GC32" s="1633"/>
      <c r="GD32" s="1633"/>
      <c r="GE32" s="1633"/>
      <c r="GF32" s="1633"/>
      <c r="GG32" s="1633"/>
      <c r="GH32" s="1633"/>
      <c r="GI32" s="1633"/>
      <c r="GJ32" s="1633"/>
      <c r="GK32" s="1633"/>
      <c r="GL32" s="1633"/>
      <c r="GM32" s="1633"/>
      <c r="GN32" s="1633"/>
      <c r="GO32" s="1633"/>
      <c r="GP32" s="1633"/>
      <c r="GQ32" s="1633"/>
      <c r="GR32" s="1633"/>
      <c r="GS32" s="1633"/>
      <c r="GT32" s="1633"/>
      <c r="GU32" s="1633"/>
      <c r="GV32" s="1633"/>
      <c r="GW32" s="1633"/>
      <c r="GX32" s="1633"/>
      <c r="GY32" s="1633"/>
      <c r="GZ32" s="1633"/>
      <c r="HA32" s="1633"/>
      <c r="HB32" s="1633"/>
      <c r="HC32" s="1633"/>
      <c r="HD32" s="1633"/>
      <c r="HE32" s="1633"/>
      <c r="HF32" s="1633"/>
      <c r="HG32" s="1633"/>
      <c r="HH32" s="1633"/>
      <c r="HI32" s="1633"/>
      <c r="HJ32" s="1633"/>
      <c r="HK32" s="1633"/>
      <c r="HL32" s="1633"/>
      <c r="HM32" s="1633"/>
      <c r="HN32" s="1633"/>
      <c r="HO32" s="1633"/>
      <c r="HP32" s="1633"/>
      <c r="HQ32" s="1633"/>
      <c r="HR32" s="1633"/>
      <c r="HS32" s="1633"/>
      <c r="HT32" s="1633"/>
      <c r="HU32" s="1633"/>
      <c r="HV32" s="1633"/>
      <c r="HW32" s="1633"/>
      <c r="HX32" s="1633"/>
      <c r="HY32" s="1633"/>
      <c r="HZ32" s="1633"/>
      <c r="IA32" s="1633"/>
      <c r="IB32" s="1633"/>
      <c r="IC32" s="1633"/>
      <c r="ID32" s="1633"/>
      <c r="IE32" s="1633"/>
      <c r="IF32" s="1633"/>
      <c r="IG32" s="1633"/>
      <c r="IH32" s="1633"/>
      <c r="II32" s="1633"/>
      <c r="IJ32" s="1633"/>
      <c r="IK32" s="1633"/>
      <c r="IL32" s="1633"/>
      <c r="IM32" s="1633"/>
    </row>
    <row r="33" spans="1:247">
      <c r="A33" s="1627" t="s">
        <v>239</v>
      </c>
      <c r="B33" s="1628">
        <f>审定资负表!C30</f>
        <v>0</v>
      </c>
      <c r="C33" s="1628">
        <f>审定资负表!D30</f>
        <v>0</v>
      </c>
      <c r="D33" s="1629" t="str">
        <f t="shared" si="0"/>
        <v> </v>
      </c>
      <c r="E33" s="1630">
        <f t="shared" si="1"/>
        <v>0</v>
      </c>
      <c r="F33" s="1631">
        <f t="shared" si="2"/>
        <v>0</v>
      </c>
      <c r="G33" s="1634"/>
      <c r="H33" s="1633"/>
      <c r="I33" s="1633"/>
      <c r="J33" s="1633"/>
      <c r="K33" s="1633"/>
      <c r="L33" s="1633"/>
      <c r="M33" s="1633"/>
      <c r="N33" s="1633"/>
      <c r="O33" s="1633"/>
      <c r="P33" s="1633"/>
      <c r="Q33" s="1633"/>
      <c r="R33" s="1633"/>
      <c r="S33" s="1633"/>
      <c r="T33" s="1633"/>
      <c r="U33" s="1633"/>
      <c r="V33" s="1633"/>
      <c r="W33" s="1633"/>
      <c r="X33" s="1633"/>
      <c r="Y33" s="1633"/>
      <c r="Z33" s="1633"/>
      <c r="AA33" s="1633"/>
      <c r="AB33" s="1633"/>
      <c r="AC33" s="1633"/>
      <c r="AD33" s="1633"/>
      <c r="AE33" s="1633"/>
      <c r="AF33" s="1633"/>
      <c r="AG33" s="1633"/>
      <c r="AH33" s="1633"/>
      <c r="AI33" s="1633"/>
      <c r="AJ33" s="1633"/>
      <c r="AK33" s="1633"/>
      <c r="AL33" s="1633"/>
      <c r="AM33" s="1633"/>
      <c r="AN33" s="1633"/>
      <c r="AO33" s="1633"/>
      <c r="AP33" s="1633"/>
      <c r="AQ33" s="1633"/>
      <c r="AR33" s="1633"/>
      <c r="AS33" s="1633"/>
      <c r="AT33" s="1633"/>
      <c r="AU33" s="1633"/>
      <c r="AV33" s="1633"/>
      <c r="AW33" s="1633"/>
      <c r="AX33" s="1633"/>
      <c r="AY33" s="1633"/>
      <c r="AZ33" s="1633"/>
      <c r="BA33" s="1633"/>
      <c r="BB33" s="1633"/>
      <c r="BC33" s="1633"/>
      <c r="BD33" s="1633"/>
      <c r="BE33" s="1633"/>
      <c r="BF33" s="1633"/>
      <c r="BG33" s="1633"/>
      <c r="BH33" s="1633"/>
      <c r="BI33" s="1633"/>
      <c r="BJ33" s="1633"/>
      <c r="BK33" s="1633"/>
      <c r="BL33" s="1633"/>
      <c r="BM33" s="1633"/>
      <c r="BN33" s="1633"/>
      <c r="BO33" s="1633"/>
      <c r="BP33" s="1633"/>
      <c r="BQ33" s="1633"/>
      <c r="BR33" s="1633"/>
      <c r="BS33" s="1633"/>
      <c r="BT33" s="1633"/>
      <c r="BU33" s="1633"/>
      <c r="BV33" s="1633"/>
      <c r="BW33" s="1633"/>
      <c r="BX33" s="1633"/>
      <c r="BY33" s="1633"/>
      <c r="BZ33" s="1633"/>
      <c r="CA33" s="1633"/>
      <c r="CB33" s="1633"/>
      <c r="CC33" s="1633"/>
      <c r="CD33" s="1633"/>
      <c r="CE33" s="1633"/>
      <c r="CF33" s="1633"/>
      <c r="CG33" s="1633"/>
      <c r="CH33" s="1633"/>
      <c r="CI33" s="1633"/>
      <c r="CJ33" s="1633"/>
      <c r="CK33" s="1633"/>
      <c r="CL33" s="1633"/>
      <c r="CM33" s="1633"/>
      <c r="CN33" s="1633"/>
      <c r="CO33" s="1633"/>
      <c r="CP33" s="1633"/>
      <c r="CQ33" s="1633"/>
      <c r="CR33" s="1633"/>
      <c r="CS33" s="1633"/>
      <c r="CT33" s="1633"/>
      <c r="CU33" s="1633"/>
      <c r="CV33" s="1633"/>
      <c r="CW33" s="1633"/>
      <c r="CX33" s="1633"/>
      <c r="CY33" s="1633"/>
      <c r="CZ33" s="1633"/>
      <c r="DA33" s="1633"/>
      <c r="DB33" s="1633"/>
      <c r="DC33" s="1633"/>
      <c r="DD33" s="1633"/>
      <c r="DE33" s="1633"/>
      <c r="DF33" s="1633"/>
      <c r="DG33" s="1633"/>
      <c r="DH33" s="1633"/>
      <c r="DI33" s="1633"/>
      <c r="DJ33" s="1633"/>
      <c r="DK33" s="1633"/>
      <c r="DL33" s="1633"/>
      <c r="DM33" s="1633"/>
      <c r="DN33" s="1633"/>
      <c r="DO33" s="1633"/>
      <c r="DP33" s="1633"/>
      <c r="DQ33" s="1633"/>
      <c r="DR33" s="1633"/>
      <c r="DS33" s="1633"/>
      <c r="DT33" s="1633"/>
      <c r="DU33" s="1633"/>
      <c r="DV33" s="1633"/>
      <c r="DW33" s="1633"/>
      <c r="DX33" s="1633"/>
      <c r="DY33" s="1633"/>
      <c r="DZ33" s="1633"/>
      <c r="EA33" s="1633"/>
      <c r="EB33" s="1633"/>
      <c r="EC33" s="1633"/>
      <c r="ED33" s="1633"/>
      <c r="EE33" s="1633"/>
      <c r="EF33" s="1633"/>
      <c r="EG33" s="1633"/>
      <c r="EH33" s="1633"/>
      <c r="EI33" s="1633"/>
      <c r="EJ33" s="1633"/>
      <c r="EK33" s="1633"/>
      <c r="EL33" s="1633"/>
      <c r="EM33" s="1633"/>
      <c r="EN33" s="1633"/>
      <c r="EO33" s="1633"/>
      <c r="EP33" s="1633"/>
      <c r="EQ33" s="1633"/>
      <c r="ER33" s="1633"/>
      <c r="ES33" s="1633"/>
      <c r="ET33" s="1633"/>
      <c r="EU33" s="1633"/>
      <c r="EV33" s="1633"/>
      <c r="EW33" s="1633"/>
      <c r="EX33" s="1633"/>
      <c r="EY33" s="1633"/>
      <c r="EZ33" s="1633"/>
      <c r="FA33" s="1633"/>
      <c r="FB33" s="1633"/>
      <c r="FC33" s="1633"/>
      <c r="FD33" s="1633"/>
      <c r="FE33" s="1633"/>
      <c r="FF33" s="1633"/>
      <c r="FG33" s="1633"/>
      <c r="FH33" s="1633"/>
      <c r="FI33" s="1633"/>
      <c r="FJ33" s="1633"/>
      <c r="FK33" s="1633"/>
      <c r="FL33" s="1633"/>
      <c r="FM33" s="1633"/>
      <c r="FN33" s="1633"/>
      <c r="FO33" s="1633"/>
      <c r="FP33" s="1633"/>
      <c r="FQ33" s="1633"/>
      <c r="FR33" s="1633"/>
      <c r="FS33" s="1633"/>
      <c r="FT33" s="1633"/>
      <c r="FU33" s="1633"/>
      <c r="FV33" s="1633"/>
      <c r="FW33" s="1633"/>
      <c r="FX33" s="1633"/>
      <c r="FY33" s="1633"/>
      <c r="FZ33" s="1633"/>
      <c r="GA33" s="1633"/>
      <c r="GB33" s="1633"/>
      <c r="GC33" s="1633"/>
      <c r="GD33" s="1633"/>
      <c r="GE33" s="1633"/>
      <c r="GF33" s="1633"/>
      <c r="GG33" s="1633"/>
      <c r="GH33" s="1633"/>
      <c r="GI33" s="1633"/>
      <c r="GJ33" s="1633"/>
      <c r="GK33" s="1633"/>
      <c r="GL33" s="1633"/>
      <c r="GM33" s="1633"/>
      <c r="GN33" s="1633"/>
      <c r="GO33" s="1633"/>
      <c r="GP33" s="1633"/>
      <c r="GQ33" s="1633"/>
      <c r="GR33" s="1633"/>
      <c r="GS33" s="1633"/>
      <c r="GT33" s="1633"/>
      <c r="GU33" s="1633"/>
      <c r="GV33" s="1633"/>
      <c r="GW33" s="1633"/>
      <c r="GX33" s="1633"/>
      <c r="GY33" s="1633"/>
      <c r="GZ33" s="1633"/>
      <c r="HA33" s="1633"/>
      <c r="HB33" s="1633"/>
      <c r="HC33" s="1633"/>
      <c r="HD33" s="1633"/>
      <c r="HE33" s="1633"/>
      <c r="HF33" s="1633"/>
      <c r="HG33" s="1633"/>
      <c r="HH33" s="1633"/>
      <c r="HI33" s="1633"/>
      <c r="HJ33" s="1633"/>
      <c r="HK33" s="1633"/>
      <c r="HL33" s="1633"/>
      <c r="HM33" s="1633"/>
      <c r="HN33" s="1633"/>
      <c r="HO33" s="1633"/>
      <c r="HP33" s="1633"/>
      <c r="HQ33" s="1633"/>
      <c r="HR33" s="1633"/>
      <c r="HS33" s="1633"/>
      <c r="HT33" s="1633"/>
      <c r="HU33" s="1633"/>
      <c r="HV33" s="1633"/>
      <c r="HW33" s="1633"/>
      <c r="HX33" s="1633"/>
      <c r="HY33" s="1633"/>
      <c r="HZ33" s="1633"/>
      <c r="IA33" s="1633"/>
      <c r="IB33" s="1633"/>
      <c r="IC33" s="1633"/>
      <c r="ID33" s="1633"/>
      <c r="IE33" s="1633"/>
      <c r="IF33" s="1633"/>
      <c r="IG33" s="1633"/>
      <c r="IH33" s="1633"/>
      <c r="II33" s="1633"/>
      <c r="IJ33" s="1633"/>
      <c r="IK33" s="1633"/>
      <c r="IL33" s="1633"/>
      <c r="IM33" s="1633"/>
    </row>
    <row r="34" spans="1:247">
      <c r="A34" s="1627" t="s">
        <v>241</v>
      </c>
      <c r="B34" s="1628">
        <f>审定资负表!C31</f>
        <v>0</v>
      </c>
      <c r="C34" s="1628">
        <f>审定资负表!D31</f>
        <v>0</v>
      </c>
      <c r="D34" s="1629" t="str">
        <f t="shared" si="0"/>
        <v> </v>
      </c>
      <c r="E34" s="1630">
        <f t="shared" si="1"/>
        <v>0</v>
      </c>
      <c r="F34" s="1631">
        <f t="shared" si="2"/>
        <v>0</v>
      </c>
      <c r="G34" s="1634"/>
      <c r="H34" s="1633"/>
      <c r="I34" s="1633"/>
      <c r="J34" s="1633"/>
      <c r="K34" s="1633"/>
      <c r="L34" s="1633"/>
      <c r="M34" s="1633"/>
      <c r="N34" s="1633"/>
      <c r="O34" s="1633"/>
      <c r="P34" s="1633"/>
      <c r="Q34" s="1633"/>
      <c r="R34" s="1633"/>
      <c r="S34" s="1633"/>
      <c r="T34" s="1633"/>
      <c r="U34" s="1633"/>
      <c r="V34" s="1633"/>
      <c r="W34" s="1633"/>
      <c r="X34" s="1633"/>
      <c r="Y34" s="1633"/>
      <c r="Z34" s="1633"/>
      <c r="AA34" s="1633"/>
      <c r="AB34" s="1633"/>
      <c r="AC34" s="1633"/>
      <c r="AD34" s="1633"/>
      <c r="AE34" s="1633"/>
      <c r="AF34" s="1633"/>
      <c r="AG34" s="1633"/>
      <c r="AH34" s="1633"/>
      <c r="AI34" s="1633"/>
      <c r="AJ34" s="1633"/>
      <c r="AK34" s="1633"/>
      <c r="AL34" s="1633"/>
      <c r="AM34" s="1633"/>
      <c r="AN34" s="1633"/>
      <c r="AO34" s="1633"/>
      <c r="AP34" s="1633"/>
      <c r="AQ34" s="1633"/>
      <c r="AR34" s="1633"/>
      <c r="AS34" s="1633"/>
      <c r="AT34" s="1633"/>
      <c r="AU34" s="1633"/>
      <c r="AV34" s="1633"/>
      <c r="AW34" s="1633"/>
      <c r="AX34" s="1633"/>
      <c r="AY34" s="1633"/>
      <c r="AZ34" s="1633"/>
      <c r="BA34" s="1633"/>
      <c r="BB34" s="1633"/>
      <c r="BC34" s="1633"/>
      <c r="BD34" s="1633"/>
      <c r="BE34" s="1633"/>
      <c r="BF34" s="1633"/>
      <c r="BG34" s="1633"/>
      <c r="BH34" s="1633"/>
      <c r="BI34" s="1633"/>
      <c r="BJ34" s="1633"/>
      <c r="BK34" s="1633"/>
      <c r="BL34" s="1633"/>
      <c r="BM34" s="1633"/>
      <c r="BN34" s="1633"/>
      <c r="BO34" s="1633"/>
      <c r="BP34" s="1633"/>
      <c r="BQ34" s="1633"/>
      <c r="BR34" s="1633"/>
      <c r="BS34" s="1633"/>
      <c r="BT34" s="1633"/>
      <c r="BU34" s="1633"/>
      <c r="BV34" s="1633"/>
      <c r="BW34" s="1633"/>
      <c r="BX34" s="1633"/>
      <c r="BY34" s="1633"/>
      <c r="BZ34" s="1633"/>
      <c r="CA34" s="1633"/>
      <c r="CB34" s="1633"/>
      <c r="CC34" s="1633"/>
      <c r="CD34" s="1633"/>
      <c r="CE34" s="1633"/>
      <c r="CF34" s="1633"/>
      <c r="CG34" s="1633"/>
      <c r="CH34" s="1633"/>
      <c r="CI34" s="1633"/>
      <c r="CJ34" s="1633"/>
      <c r="CK34" s="1633"/>
      <c r="CL34" s="1633"/>
      <c r="CM34" s="1633"/>
      <c r="CN34" s="1633"/>
      <c r="CO34" s="1633"/>
      <c r="CP34" s="1633"/>
      <c r="CQ34" s="1633"/>
      <c r="CR34" s="1633"/>
      <c r="CS34" s="1633"/>
      <c r="CT34" s="1633"/>
      <c r="CU34" s="1633"/>
      <c r="CV34" s="1633"/>
      <c r="CW34" s="1633"/>
      <c r="CX34" s="1633"/>
      <c r="CY34" s="1633"/>
      <c r="CZ34" s="1633"/>
      <c r="DA34" s="1633"/>
      <c r="DB34" s="1633"/>
      <c r="DC34" s="1633"/>
      <c r="DD34" s="1633"/>
      <c r="DE34" s="1633"/>
      <c r="DF34" s="1633"/>
      <c r="DG34" s="1633"/>
      <c r="DH34" s="1633"/>
      <c r="DI34" s="1633"/>
      <c r="DJ34" s="1633"/>
      <c r="DK34" s="1633"/>
      <c r="DL34" s="1633"/>
      <c r="DM34" s="1633"/>
      <c r="DN34" s="1633"/>
      <c r="DO34" s="1633"/>
      <c r="DP34" s="1633"/>
      <c r="DQ34" s="1633"/>
      <c r="DR34" s="1633"/>
      <c r="DS34" s="1633"/>
      <c r="DT34" s="1633"/>
      <c r="DU34" s="1633"/>
      <c r="DV34" s="1633"/>
      <c r="DW34" s="1633"/>
      <c r="DX34" s="1633"/>
      <c r="DY34" s="1633"/>
      <c r="DZ34" s="1633"/>
      <c r="EA34" s="1633"/>
      <c r="EB34" s="1633"/>
      <c r="EC34" s="1633"/>
      <c r="ED34" s="1633"/>
      <c r="EE34" s="1633"/>
      <c r="EF34" s="1633"/>
      <c r="EG34" s="1633"/>
      <c r="EH34" s="1633"/>
      <c r="EI34" s="1633"/>
      <c r="EJ34" s="1633"/>
      <c r="EK34" s="1633"/>
      <c r="EL34" s="1633"/>
      <c r="EM34" s="1633"/>
      <c r="EN34" s="1633"/>
      <c r="EO34" s="1633"/>
      <c r="EP34" s="1633"/>
      <c r="EQ34" s="1633"/>
      <c r="ER34" s="1633"/>
      <c r="ES34" s="1633"/>
      <c r="ET34" s="1633"/>
      <c r="EU34" s="1633"/>
      <c r="EV34" s="1633"/>
      <c r="EW34" s="1633"/>
      <c r="EX34" s="1633"/>
      <c r="EY34" s="1633"/>
      <c r="EZ34" s="1633"/>
      <c r="FA34" s="1633"/>
      <c r="FB34" s="1633"/>
      <c r="FC34" s="1633"/>
      <c r="FD34" s="1633"/>
      <c r="FE34" s="1633"/>
      <c r="FF34" s="1633"/>
      <c r="FG34" s="1633"/>
      <c r="FH34" s="1633"/>
      <c r="FI34" s="1633"/>
      <c r="FJ34" s="1633"/>
      <c r="FK34" s="1633"/>
      <c r="FL34" s="1633"/>
      <c r="FM34" s="1633"/>
      <c r="FN34" s="1633"/>
      <c r="FO34" s="1633"/>
      <c r="FP34" s="1633"/>
      <c r="FQ34" s="1633"/>
      <c r="FR34" s="1633"/>
      <c r="FS34" s="1633"/>
      <c r="FT34" s="1633"/>
      <c r="FU34" s="1633"/>
      <c r="FV34" s="1633"/>
      <c r="FW34" s="1633"/>
      <c r="FX34" s="1633"/>
      <c r="FY34" s="1633"/>
      <c r="FZ34" s="1633"/>
      <c r="GA34" s="1633"/>
      <c r="GB34" s="1633"/>
      <c r="GC34" s="1633"/>
      <c r="GD34" s="1633"/>
      <c r="GE34" s="1633"/>
      <c r="GF34" s="1633"/>
      <c r="GG34" s="1633"/>
      <c r="GH34" s="1633"/>
      <c r="GI34" s="1633"/>
      <c r="GJ34" s="1633"/>
      <c r="GK34" s="1633"/>
      <c r="GL34" s="1633"/>
      <c r="GM34" s="1633"/>
      <c r="GN34" s="1633"/>
      <c r="GO34" s="1633"/>
      <c r="GP34" s="1633"/>
      <c r="GQ34" s="1633"/>
      <c r="GR34" s="1633"/>
      <c r="GS34" s="1633"/>
      <c r="GT34" s="1633"/>
      <c r="GU34" s="1633"/>
      <c r="GV34" s="1633"/>
      <c r="GW34" s="1633"/>
      <c r="GX34" s="1633"/>
      <c r="GY34" s="1633"/>
      <c r="GZ34" s="1633"/>
      <c r="HA34" s="1633"/>
      <c r="HB34" s="1633"/>
      <c r="HC34" s="1633"/>
      <c r="HD34" s="1633"/>
      <c r="HE34" s="1633"/>
      <c r="HF34" s="1633"/>
      <c r="HG34" s="1633"/>
      <c r="HH34" s="1633"/>
      <c r="HI34" s="1633"/>
      <c r="HJ34" s="1633"/>
      <c r="HK34" s="1633"/>
      <c r="HL34" s="1633"/>
      <c r="HM34" s="1633"/>
      <c r="HN34" s="1633"/>
      <c r="HO34" s="1633"/>
      <c r="HP34" s="1633"/>
      <c r="HQ34" s="1633"/>
      <c r="HR34" s="1633"/>
      <c r="HS34" s="1633"/>
      <c r="HT34" s="1633"/>
      <c r="HU34" s="1633"/>
      <c r="HV34" s="1633"/>
      <c r="HW34" s="1633"/>
      <c r="HX34" s="1633"/>
      <c r="HY34" s="1633"/>
      <c r="HZ34" s="1633"/>
      <c r="IA34" s="1633"/>
      <c r="IB34" s="1633"/>
      <c r="IC34" s="1633"/>
      <c r="ID34" s="1633"/>
      <c r="IE34" s="1633"/>
      <c r="IF34" s="1633"/>
      <c r="IG34" s="1633"/>
      <c r="IH34" s="1633"/>
      <c r="II34" s="1633"/>
      <c r="IJ34" s="1633"/>
      <c r="IK34" s="1633"/>
      <c r="IL34" s="1633"/>
      <c r="IM34" s="1633"/>
    </row>
    <row r="35" spans="1:247">
      <c r="A35" s="1627" t="s">
        <v>243</v>
      </c>
      <c r="B35" s="1628">
        <f>审定资负表!C32</f>
        <v>0</v>
      </c>
      <c r="C35" s="1628">
        <f>审定资负表!D32</f>
        <v>0</v>
      </c>
      <c r="D35" s="1629" t="str">
        <f t="shared" si="0"/>
        <v> </v>
      </c>
      <c r="E35" s="1630">
        <f t="shared" si="1"/>
        <v>0</v>
      </c>
      <c r="F35" s="1631">
        <f t="shared" si="2"/>
        <v>0</v>
      </c>
      <c r="G35" s="1634"/>
      <c r="H35" s="1633"/>
      <c r="I35" s="1633"/>
      <c r="J35" s="1633"/>
      <c r="K35" s="1633"/>
      <c r="L35" s="1633"/>
      <c r="M35" s="1633"/>
      <c r="N35" s="1633"/>
      <c r="O35" s="1633"/>
      <c r="P35" s="1633"/>
      <c r="Q35" s="1633"/>
      <c r="R35" s="1633"/>
      <c r="S35" s="1633"/>
      <c r="T35" s="1633"/>
      <c r="U35" s="1633"/>
      <c r="V35" s="1633"/>
      <c r="W35" s="1633"/>
      <c r="X35" s="1633"/>
      <c r="Y35" s="1633"/>
      <c r="Z35" s="1633"/>
      <c r="AA35" s="1633"/>
      <c r="AB35" s="1633"/>
      <c r="AC35" s="1633"/>
      <c r="AD35" s="1633"/>
      <c r="AE35" s="1633"/>
      <c r="AF35" s="1633"/>
      <c r="AG35" s="1633"/>
      <c r="AH35" s="1633"/>
      <c r="AI35" s="1633"/>
      <c r="AJ35" s="1633"/>
      <c r="AK35" s="1633"/>
      <c r="AL35" s="1633"/>
      <c r="AM35" s="1633"/>
      <c r="AN35" s="1633"/>
      <c r="AO35" s="1633"/>
      <c r="AP35" s="1633"/>
      <c r="AQ35" s="1633"/>
      <c r="AR35" s="1633"/>
      <c r="AS35" s="1633"/>
      <c r="AT35" s="1633"/>
      <c r="AU35" s="1633"/>
      <c r="AV35" s="1633"/>
      <c r="AW35" s="1633"/>
      <c r="AX35" s="1633"/>
      <c r="AY35" s="1633"/>
      <c r="AZ35" s="1633"/>
      <c r="BA35" s="1633"/>
      <c r="BB35" s="1633"/>
      <c r="BC35" s="1633"/>
      <c r="BD35" s="1633"/>
      <c r="BE35" s="1633"/>
      <c r="BF35" s="1633"/>
      <c r="BG35" s="1633"/>
      <c r="BH35" s="1633"/>
      <c r="BI35" s="1633"/>
      <c r="BJ35" s="1633"/>
      <c r="BK35" s="1633"/>
      <c r="BL35" s="1633"/>
      <c r="BM35" s="1633"/>
      <c r="BN35" s="1633"/>
      <c r="BO35" s="1633"/>
      <c r="BP35" s="1633"/>
      <c r="BQ35" s="1633"/>
      <c r="BR35" s="1633"/>
      <c r="BS35" s="1633"/>
      <c r="BT35" s="1633"/>
      <c r="BU35" s="1633"/>
      <c r="BV35" s="1633"/>
      <c r="BW35" s="1633"/>
      <c r="BX35" s="1633"/>
      <c r="BY35" s="1633"/>
      <c r="BZ35" s="1633"/>
      <c r="CA35" s="1633"/>
      <c r="CB35" s="1633"/>
      <c r="CC35" s="1633"/>
      <c r="CD35" s="1633"/>
      <c r="CE35" s="1633"/>
      <c r="CF35" s="1633"/>
      <c r="CG35" s="1633"/>
      <c r="CH35" s="1633"/>
      <c r="CI35" s="1633"/>
      <c r="CJ35" s="1633"/>
      <c r="CK35" s="1633"/>
      <c r="CL35" s="1633"/>
      <c r="CM35" s="1633"/>
      <c r="CN35" s="1633"/>
      <c r="CO35" s="1633"/>
      <c r="CP35" s="1633"/>
      <c r="CQ35" s="1633"/>
      <c r="CR35" s="1633"/>
      <c r="CS35" s="1633"/>
      <c r="CT35" s="1633"/>
      <c r="CU35" s="1633"/>
      <c r="CV35" s="1633"/>
      <c r="CW35" s="1633"/>
      <c r="CX35" s="1633"/>
      <c r="CY35" s="1633"/>
      <c r="CZ35" s="1633"/>
      <c r="DA35" s="1633"/>
      <c r="DB35" s="1633"/>
      <c r="DC35" s="1633"/>
      <c r="DD35" s="1633"/>
      <c r="DE35" s="1633"/>
      <c r="DF35" s="1633"/>
      <c r="DG35" s="1633"/>
      <c r="DH35" s="1633"/>
      <c r="DI35" s="1633"/>
      <c r="DJ35" s="1633"/>
      <c r="DK35" s="1633"/>
      <c r="DL35" s="1633"/>
      <c r="DM35" s="1633"/>
      <c r="DN35" s="1633"/>
      <c r="DO35" s="1633"/>
      <c r="DP35" s="1633"/>
      <c r="DQ35" s="1633"/>
      <c r="DR35" s="1633"/>
      <c r="DS35" s="1633"/>
      <c r="DT35" s="1633"/>
      <c r="DU35" s="1633"/>
      <c r="DV35" s="1633"/>
      <c r="DW35" s="1633"/>
      <c r="DX35" s="1633"/>
      <c r="DY35" s="1633"/>
      <c r="DZ35" s="1633"/>
      <c r="EA35" s="1633"/>
      <c r="EB35" s="1633"/>
      <c r="EC35" s="1633"/>
      <c r="ED35" s="1633"/>
      <c r="EE35" s="1633"/>
      <c r="EF35" s="1633"/>
      <c r="EG35" s="1633"/>
      <c r="EH35" s="1633"/>
      <c r="EI35" s="1633"/>
      <c r="EJ35" s="1633"/>
      <c r="EK35" s="1633"/>
      <c r="EL35" s="1633"/>
      <c r="EM35" s="1633"/>
      <c r="EN35" s="1633"/>
      <c r="EO35" s="1633"/>
      <c r="EP35" s="1633"/>
      <c r="EQ35" s="1633"/>
      <c r="ER35" s="1633"/>
      <c r="ES35" s="1633"/>
      <c r="ET35" s="1633"/>
      <c r="EU35" s="1633"/>
      <c r="EV35" s="1633"/>
      <c r="EW35" s="1633"/>
      <c r="EX35" s="1633"/>
      <c r="EY35" s="1633"/>
      <c r="EZ35" s="1633"/>
      <c r="FA35" s="1633"/>
      <c r="FB35" s="1633"/>
      <c r="FC35" s="1633"/>
      <c r="FD35" s="1633"/>
      <c r="FE35" s="1633"/>
      <c r="FF35" s="1633"/>
      <c r="FG35" s="1633"/>
      <c r="FH35" s="1633"/>
      <c r="FI35" s="1633"/>
      <c r="FJ35" s="1633"/>
      <c r="FK35" s="1633"/>
      <c r="FL35" s="1633"/>
      <c r="FM35" s="1633"/>
      <c r="FN35" s="1633"/>
      <c r="FO35" s="1633"/>
      <c r="FP35" s="1633"/>
      <c r="FQ35" s="1633"/>
      <c r="FR35" s="1633"/>
      <c r="FS35" s="1633"/>
      <c r="FT35" s="1633"/>
      <c r="FU35" s="1633"/>
      <c r="FV35" s="1633"/>
      <c r="FW35" s="1633"/>
      <c r="FX35" s="1633"/>
      <c r="FY35" s="1633"/>
      <c r="FZ35" s="1633"/>
      <c r="GA35" s="1633"/>
      <c r="GB35" s="1633"/>
      <c r="GC35" s="1633"/>
      <c r="GD35" s="1633"/>
      <c r="GE35" s="1633"/>
      <c r="GF35" s="1633"/>
      <c r="GG35" s="1633"/>
      <c r="GH35" s="1633"/>
      <c r="GI35" s="1633"/>
      <c r="GJ35" s="1633"/>
      <c r="GK35" s="1633"/>
      <c r="GL35" s="1633"/>
      <c r="GM35" s="1633"/>
      <c r="GN35" s="1633"/>
      <c r="GO35" s="1633"/>
      <c r="GP35" s="1633"/>
      <c r="GQ35" s="1633"/>
      <c r="GR35" s="1633"/>
      <c r="GS35" s="1633"/>
      <c r="GT35" s="1633"/>
      <c r="GU35" s="1633"/>
      <c r="GV35" s="1633"/>
      <c r="GW35" s="1633"/>
      <c r="GX35" s="1633"/>
      <c r="GY35" s="1633"/>
      <c r="GZ35" s="1633"/>
      <c r="HA35" s="1633"/>
      <c r="HB35" s="1633"/>
      <c r="HC35" s="1633"/>
      <c r="HD35" s="1633"/>
      <c r="HE35" s="1633"/>
      <c r="HF35" s="1633"/>
      <c r="HG35" s="1633"/>
      <c r="HH35" s="1633"/>
      <c r="HI35" s="1633"/>
      <c r="HJ35" s="1633"/>
      <c r="HK35" s="1633"/>
      <c r="HL35" s="1633"/>
      <c r="HM35" s="1633"/>
      <c r="HN35" s="1633"/>
      <c r="HO35" s="1633"/>
      <c r="HP35" s="1633"/>
      <c r="HQ35" s="1633"/>
      <c r="HR35" s="1633"/>
      <c r="HS35" s="1633"/>
      <c r="HT35" s="1633"/>
      <c r="HU35" s="1633"/>
      <c r="HV35" s="1633"/>
      <c r="HW35" s="1633"/>
      <c r="HX35" s="1633"/>
      <c r="HY35" s="1633"/>
      <c r="HZ35" s="1633"/>
      <c r="IA35" s="1633"/>
      <c r="IB35" s="1633"/>
      <c r="IC35" s="1633"/>
      <c r="ID35" s="1633"/>
      <c r="IE35" s="1633"/>
      <c r="IF35" s="1633"/>
      <c r="IG35" s="1633"/>
      <c r="IH35" s="1633"/>
      <c r="II35" s="1633"/>
      <c r="IJ35" s="1633"/>
      <c r="IK35" s="1633"/>
      <c r="IL35" s="1633"/>
      <c r="IM35" s="1633"/>
    </row>
    <row r="36" spans="1:247">
      <c r="A36" s="1627" t="s">
        <v>244</v>
      </c>
      <c r="B36" s="1628">
        <f>审定资负表!C33</f>
        <v>0</v>
      </c>
      <c r="C36" s="1628">
        <f>审定资负表!D33</f>
        <v>0</v>
      </c>
      <c r="D36" s="1629" t="str">
        <f t="shared" si="0"/>
        <v> </v>
      </c>
      <c r="E36" s="1630">
        <f t="shared" si="1"/>
        <v>0</v>
      </c>
      <c r="F36" s="1631">
        <f t="shared" si="2"/>
        <v>0</v>
      </c>
      <c r="G36" s="1634"/>
      <c r="H36" s="1633"/>
      <c r="I36" s="1633"/>
      <c r="J36" s="1633"/>
      <c r="K36" s="1633"/>
      <c r="L36" s="1633"/>
      <c r="M36" s="1633"/>
      <c r="N36" s="1633"/>
      <c r="O36" s="1633"/>
      <c r="P36" s="1633"/>
      <c r="Q36" s="1633"/>
      <c r="R36" s="1633"/>
      <c r="S36" s="1633"/>
      <c r="T36" s="1633"/>
      <c r="U36" s="1633"/>
      <c r="V36" s="1633"/>
      <c r="W36" s="1633"/>
      <c r="X36" s="1633"/>
      <c r="Y36" s="1633"/>
      <c r="Z36" s="1633"/>
      <c r="AA36" s="1633"/>
      <c r="AB36" s="1633"/>
      <c r="AC36" s="1633"/>
      <c r="AD36" s="1633"/>
      <c r="AE36" s="1633"/>
      <c r="AF36" s="1633"/>
      <c r="AG36" s="1633"/>
      <c r="AH36" s="1633"/>
      <c r="AI36" s="1633"/>
      <c r="AJ36" s="1633"/>
      <c r="AK36" s="1633"/>
      <c r="AL36" s="1633"/>
      <c r="AM36" s="1633"/>
      <c r="AN36" s="1633"/>
      <c r="AO36" s="1633"/>
      <c r="AP36" s="1633"/>
      <c r="AQ36" s="1633"/>
      <c r="AR36" s="1633"/>
      <c r="AS36" s="1633"/>
      <c r="AT36" s="1633"/>
      <c r="AU36" s="1633"/>
      <c r="AV36" s="1633"/>
      <c r="AW36" s="1633"/>
      <c r="AX36" s="1633"/>
      <c r="AY36" s="1633"/>
      <c r="AZ36" s="1633"/>
      <c r="BA36" s="1633"/>
      <c r="BB36" s="1633"/>
      <c r="BC36" s="1633"/>
      <c r="BD36" s="1633"/>
      <c r="BE36" s="1633"/>
      <c r="BF36" s="1633"/>
      <c r="BG36" s="1633"/>
      <c r="BH36" s="1633"/>
      <c r="BI36" s="1633"/>
      <c r="BJ36" s="1633"/>
      <c r="BK36" s="1633"/>
      <c r="BL36" s="1633"/>
      <c r="BM36" s="1633"/>
      <c r="BN36" s="1633"/>
      <c r="BO36" s="1633"/>
      <c r="BP36" s="1633"/>
      <c r="BQ36" s="1633"/>
      <c r="BR36" s="1633"/>
      <c r="BS36" s="1633"/>
      <c r="BT36" s="1633"/>
      <c r="BU36" s="1633"/>
      <c r="BV36" s="1633"/>
      <c r="BW36" s="1633"/>
      <c r="BX36" s="1633"/>
      <c r="BY36" s="1633"/>
      <c r="BZ36" s="1633"/>
      <c r="CA36" s="1633"/>
      <c r="CB36" s="1633"/>
      <c r="CC36" s="1633"/>
      <c r="CD36" s="1633"/>
      <c r="CE36" s="1633"/>
      <c r="CF36" s="1633"/>
      <c r="CG36" s="1633"/>
      <c r="CH36" s="1633"/>
      <c r="CI36" s="1633"/>
      <c r="CJ36" s="1633"/>
      <c r="CK36" s="1633"/>
      <c r="CL36" s="1633"/>
      <c r="CM36" s="1633"/>
      <c r="CN36" s="1633"/>
      <c r="CO36" s="1633"/>
      <c r="CP36" s="1633"/>
      <c r="CQ36" s="1633"/>
      <c r="CR36" s="1633"/>
      <c r="CS36" s="1633"/>
      <c r="CT36" s="1633"/>
      <c r="CU36" s="1633"/>
      <c r="CV36" s="1633"/>
      <c r="CW36" s="1633"/>
      <c r="CX36" s="1633"/>
      <c r="CY36" s="1633"/>
      <c r="CZ36" s="1633"/>
      <c r="DA36" s="1633"/>
      <c r="DB36" s="1633"/>
      <c r="DC36" s="1633"/>
      <c r="DD36" s="1633"/>
      <c r="DE36" s="1633"/>
      <c r="DF36" s="1633"/>
      <c r="DG36" s="1633"/>
      <c r="DH36" s="1633"/>
      <c r="DI36" s="1633"/>
      <c r="DJ36" s="1633"/>
      <c r="DK36" s="1633"/>
      <c r="DL36" s="1633"/>
      <c r="DM36" s="1633"/>
      <c r="DN36" s="1633"/>
      <c r="DO36" s="1633"/>
      <c r="DP36" s="1633"/>
      <c r="DQ36" s="1633"/>
      <c r="DR36" s="1633"/>
      <c r="DS36" s="1633"/>
      <c r="DT36" s="1633"/>
      <c r="DU36" s="1633"/>
      <c r="DV36" s="1633"/>
      <c r="DW36" s="1633"/>
      <c r="DX36" s="1633"/>
      <c r="DY36" s="1633"/>
      <c r="DZ36" s="1633"/>
      <c r="EA36" s="1633"/>
      <c r="EB36" s="1633"/>
      <c r="EC36" s="1633"/>
      <c r="ED36" s="1633"/>
      <c r="EE36" s="1633"/>
      <c r="EF36" s="1633"/>
      <c r="EG36" s="1633"/>
      <c r="EH36" s="1633"/>
      <c r="EI36" s="1633"/>
      <c r="EJ36" s="1633"/>
      <c r="EK36" s="1633"/>
      <c r="EL36" s="1633"/>
      <c r="EM36" s="1633"/>
      <c r="EN36" s="1633"/>
      <c r="EO36" s="1633"/>
      <c r="EP36" s="1633"/>
      <c r="EQ36" s="1633"/>
      <c r="ER36" s="1633"/>
      <c r="ES36" s="1633"/>
      <c r="ET36" s="1633"/>
      <c r="EU36" s="1633"/>
      <c r="EV36" s="1633"/>
      <c r="EW36" s="1633"/>
      <c r="EX36" s="1633"/>
      <c r="EY36" s="1633"/>
      <c r="EZ36" s="1633"/>
      <c r="FA36" s="1633"/>
      <c r="FB36" s="1633"/>
      <c r="FC36" s="1633"/>
      <c r="FD36" s="1633"/>
      <c r="FE36" s="1633"/>
      <c r="FF36" s="1633"/>
      <c r="FG36" s="1633"/>
      <c r="FH36" s="1633"/>
      <c r="FI36" s="1633"/>
      <c r="FJ36" s="1633"/>
      <c r="FK36" s="1633"/>
      <c r="FL36" s="1633"/>
      <c r="FM36" s="1633"/>
      <c r="FN36" s="1633"/>
      <c r="FO36" s="1633"/>
      <c r="FP36" s="1633"/>
      <c r="FQ36" s="1633"/>
      <c r="FR36" s="1633"/>
      <c r="FS36" s="1633"/>
      <c r="FT36" s="1633"/>
      <c r="FU36" s="1633"/>
      <c r="FV36" s="1633"/>
      <c r="FW36" s="1633"/>
      <c r="FX36" s="1633"/>
      <c r="FY36" s="1633"/>
      <c r="FZ36" s="1633"/>
      <c r="GA36" s="1633"/>
      <c r="GB36" s="1633"/>
      <c r="GC36" s="1633"/>
      <c r="GD36" s="1633"/>
      <c r="GE36" s="1633"/>
      <c r="GF36" s="1633"/>
      <c r="GG36" s="1633"/>
      <c r="GH36" s="1633"/>
      <c r="GI36" s="1633"/>
      <c r="GJ36" s="1633"/>
      <c r="GK36" s="1633"/>
      <c r="GL36" s="1633"/>
      <c r="GM36" s="1633"/>
      <c r="GN36" s="1633"/>
      <c r="GO36" s="1633"/>
      <c r="GP36" s="1633"/>
      <c r="GQ36" s="1633"/>
      <c r="GR36" s="1633"/>
      <c r="GS36" s="1633"/>
      <c r="GT36" s="1633"/>
      <c r="GU36" s="1633"/>
      <c r="GV36" s="1633"/>
      <c r="GW36" s="1633"/>
      <c r="GX36" s="1633"/>
      <c r="GY36" s="1633"/>
      <c r="GZ36" s="1633"/>
      <c r="HA36" s="1633"/>
      <c r="HB36" s="1633"/>
      <c r="HC36" s="1633"/>
      <c r="HD36" s="1633"/>
      <c r="HE36" s="1633"/>
      <c r="HF36" s="1633"/>
      <c r="HG36" s="1633"/>
      <c r="HH36" s="1633"/>
      <c r="HI36" s="1633"/>
      <c r="HJ36" s="1633"/>
      <c r="HK36" s="1633"/>
      <c r="HL36" s="1633"/>
      <c r="HM36" s="1633"/>
      <c r="HN36" s="1633"/>
      <c r="HO36" s="1633"/>
      <c r="HP36" s="1633"/>
      <c r="HQ36" s="1633"/>
      <c r="HR36" s="1633"/>
      <c r="HS36" s="1633"/>
      <c r="HT36" s="1633"/>
      <c r="HU36" s="1633"/>
      <c r="HV36" s="1633"/>
      <c r="HW36" s="1633"/>
      <c r="HX36" s="1633"/>
      <c r="HY36" s="1633"/>
      <c r="HZ36" s="1633"/>
      <c r="IA36" s="1633"/>
      <c r="IB36" s="1633"/>
      <c r="IC36" s="1633"/>
      <c r="ID36" s="1633"/>
      <c r="IE36" s="1633"/>
      <c r="IF36" s="1633"/>
      <c r="IG36" s="1633"/>
      <c r="IH36" s="1633"/>
      <c r="II36" s="1633"/>
      <c r="IJ36" s="1633"/>
      <c r="IK36" s="1633"/>
      <c r="IL36" s="1633"/>
      <c r="IM36" s="1633"/>
    </row>
    <row r="37" spans="1:247">
      <c r="A37" s="1627" t="s">
        <v>246</v>
      </c>
      <c r="B37" s="1628">
        <f>审定资负表!C34</f>
        <v>0</v>
      </c>
      <c r="C37" s="1628">
        <f>审定资负表!D34</f>
        <v>0</v>
      </c>
      <c r="D37" s="1629" t="str">
        <f t="shared" si="0"/>
        <v> </v>
      </c>
      <c r="E37" s="1630">
        <f t="shared" si="1"/>
        <v>0</v>
      </c>
      <c r="F37" s="1631">
        <f t="shared" si="2"/>
        <v>0</v>
      </c>
      <c r="G37" s="1634"/>
      <c r="H37" s="1633"/>
      <c r="I37" s="1633"/>
      <c r="J37" s="1633"/>
      <c r="K37" s="1633"/>
      <c r="L37" s="1633"/>
      <c r="M37" s="1633"/>
      <c r="N37" s="1633"/>
      <c r="O37" s="1633"/>
      <c r="P37" s="1633"/>
      <c r="Q37" s="1633"/>
      <c r="R37" s="1633"/>
      <c r="S37" s="1633"/>
      <c r="T37" s="1633"/>
      <c r="U37" s="1633"/>
      <c r="V37" s="1633"/>
      <c r="W37" s="1633"/>
      <c r="X37" s="1633"/>
      <c r="Y37" s="1633"/>
      <c r="Z37" s="1633"/>
      <c r="AA37" s="1633"/>
      <c r="AB37" s="1633"/>
      <c r="AC37" s="1633"/>
      <c r="AD37" s="1633"/>
      <c r="AE37" s="1633"/>
      <c r="AF37" s="1633"/>
      <c r="AG37" s="1633"/>
      <c r="AH37" s="1633"/>
      <c r="AI37" s="1633"/>
      <c r="AJ37" s="1633"/>
      <c r="AK37" s="1633"/>
      <c r="AL37" s="1633"/>
      <c r="AM37" s="1633"/>
      <c r="AN37" s="1633"/>
      <c r="AO37" s="1633"/>
      <c r="AP37" s="1633"/>
      <c r="AQ37" s="1633"/>
      <c r="AR37" s="1633"/>
      <c r="AS37" s="1633"/>
      <c r="AT37" s="1633"/>
      <c r="AU37" s="1633"/>
      <c r="AV37" s="1633"/>
      <c r="AW37" s="1633"/>
      <c r="AX37" s="1633"/>
      <c r="AY37" s="1633"/>
      <c r="AZ37" s="1633"/>
      <c r="BA37" s="1633"/>
      <c r="BB37" s="1633"/>
      <c r="BC37" s="1633"/>
      <c r="BD37" s="1633"/>
      <c r="BE37" s="1633"/>
      <c r="BF37" s="1633"/>
      <c r="BG37" s="1633"/>
      <c r="BH37" s="1633"/>
      <c r="BI37" s="1633"/>
      <c r="BJ37" s="1633"/>
      <c r="BK37" s="1633"/>
      <c r="BL37" s="1633"/>
      <c r="BM37" s="1633"/>
      <c r="BN37" s="1633"/>
      <c r="BO37" s="1633"/>
      <c r="BP37" s="1633"/>
      <c r="BQ37" s="1633"/>
      <c r="BR37" s="1633"/>
      <c r="BS37" s="1633"/>
      <c r="BT37" s="1633"/>
      <c r="BU37" s="1633"/>
      <c r="BV37" s="1633"/>
      <c r="BW37" s="1633"/>
      <c r="BX37" s="1633"/>
      <c r="BY37" s="1633"/>
      <c r="BZ37" s="1633"/>
      <c r="CA37" s="1633"/>
      <c r="CB37" s="1633"/>
      <c r="CC37" s="1633"/>
      <c r="CD37" s="1633"/>
      <c r="CE37" s="1633"/>
      <c r="CF37" s="1633"/>
      <c r="CG37" s="1633"/>
      <c r="CH37" s="1633"/>
      <c r="CI37" s="1633"/>
      <c r="CJ37" s="1633"/>
      <c r="CK37" s="1633"/>
      <c r="CL37" s="1633"/>
      <c r="CM37" s="1633"/>
      <c r="CN37" s="1633"/>
      <c r="CO37" s="1633"/>
      <c r="CP37" s="1633"/>
      <c r="CQ37" s="1633"/>
      <c r="CR37" s="1633"/>
      <c r="CS37" s="1633"/>
      <c r="CT37" s="1633"/>
      <c r="CU37" s="1633"/>
      <c r="CV37" s="1633"/>
      <c r="CW37" s="1633"/>
      <c r="CX37" s="1633"/>
      <c r="CY37" s="1633"/>
      <c r="CZ37" s="1633"/>
      <c r="DA37" s="1633"/>
      <c r="DB37" s="1633"/>
      <c r="DC37" s="1633"/>
      <c r="DD37" s="1633"/>
      <c r="DE37" s="1633"/>
      <c r="DF37" s="1633"/>
      <c r="DG37" s="1633"/>
      <c r="DH37" s="1633"/>
      <c r="DI37" s="1633"/>
      <c r="DJ37" s="1633"/>
      <c r="DK37" s="1633"/>
      <c r="DL37" s="1633"/>
      <c r="DM37" s="1633"/>
      <c r="DN37" s="1633"/>
      <c r="DO37" s="1633"/>
      <c r="DP37" s="1633"/>
      <c r="DQ37" s="1633"/>
      <c r="DR37" s="1633"/>
      <c r="DS37" s="1633"/>
      <c r="DT37" s="1633"/>
      <c r="DU37" s="1633"/>
      <c r="DV37" s="1633"/>
      <c r="DW37" s="1633"/>
      <c r="DX37" s="1633"/>
      <c r="DY37" s="1633"/>
      <c r="DZ37" s="1633"/>
      <c r="EA37" s="1633"/>
      <c r="EB37" s="1633"/>
      <c r="EC37" s="1633"/>
      <c r="ED37" s="1633"/>
      <c r="EE37" s="1633"/>
      <c r="EF37" s="1633"/>
      <c r="EG37" s="1633"/>
      <c r="EH37" s="1633"/>
      <c r="EI37" s="1633"/>
      <c r="EJ37" s="1633"/>
      <c r="EK37" s="1633"/>
      <c r="EL37" s="1633"/>
      <c r="EM37" s="1633"/>
      <c r="EN37" s="1633"/>
      <c r="EO37" s="1633"/>
      <c r="EP37" s="1633"/>
      <c r="EQ37" s="1633"/>
      <c r="ER37" s="1633"/>
      <c r="ES37" s="1633"/>
      <c r="ET37" s="1633"/>
      <c r="EU37" s="1633"/>
      <c r="EV37" s="1633"/>
      <c r="EW37" s="1633"/>
      <c r="EX37" s="1633"/>
      <c r="EY37" s="1633"/>
      <c r="EZ37" s="1633"/>
      <c r="FA37" s="1633"/>
      <c r="FB37" s="1633"/>
      <c r="FC37" s="1633"/>
      <c r="FD37" s="1633"/>
      <c r="FE37" s="1633"/>
      <c r="FF37" s="1633"/>
      <c r="FG37" s="1633"/>
      <c r="FH37" s="1633"/>
      <c r="FI37" s="1633"/>
      <c r="FJ37" s="1633"/>
      <c r="FK37" s="1633"/>
      <c r="FL37" s="1633"/>
      <c r="FM37" s="1633"/>
      <c r="FN37" s="1633"/>
      <c r="FO37" s="1633"/>
      <c r="FP37" s="1633"/>
      <c r="FQ37" s="1633"/>
      <c r="FR37" s="1633"/>
      <c r="FS37" s="1633"/>
      <c r="FT37" s="1633"/>
      <c r="FU37" s="1633"/>
      <c r="FV37" s="1633"/>
      <c r="FW37" s="1633"/>
      <c r="FX37" s="1633"/>
      <c r="FY37" s="1633"/>
      <c r="FZ37" s="1633"/>
      <c r="GA37" s="1633"/>
      <c r="GB37" s="1633"/>
      <c r="GC37" s="1633"/>
      <c r="GD37" s="1633"/>
      <c r="GE37" s="1633"/>
      <c r="GF37" s="1633"/>
      <c r="GG37" s="1633"/>
      <c r="GH37" s="1633"/>
      <c r="GI37" s="1633"/>
      <c r="GJ37" s="1633"/>
      <c r="GK37" s="1633"/>
      <c r="GL37" s="1633"/>
      <c r="GM37" s="1633"/>
      <c r="GN37" s="1633"/>
      <c r="GO37" s="1633"/>
      <c r="GP37" s="1633"/>
      <c r="GQ37" s="1633"/>
      <c r="GR37" s="1633"/>
      <c r="GS37" s="1633"/>
      <c r="GT37" s="1633"/>
      <c r="GU37" s="1633"/>
      <c r="GV37" s="1633"/>
      <c r="GW37" s="1633"/>
      <c r="GX37" s="1633"/>
      <c r="GY37" s="1633"/>
      <c r="GZ37" s="1633"/>
      <c r="HA37" s="1633"/>
      <c r="HB37" s="1633"/>
      <c r="HC37" s="1633"/>
      <c r="HD37" s="1633"/>
      <c r="HE37" s="1633"/>
      <c r="HF37" s="1633"/>
      <c r="HG37" s="1633"/>
      <c r="HH37" s="1633"/>
      <c r="HI37" s="1633"/>
      <c r="HJ37" s="1633"/>
      <c r="HK37" s="1633"/>
      <c r="HL37" s="1633"/>
      <c r="HM37" s="1633"/>
      <c r="HN37" s="1633"/>
      <c r="HO37" s="1633"/>
      <c r="HP37" s="1633"/>
      <c r="HQ37" s="1633"/>
      <c r="HR37" s="1633"/>
      <c r="HS37" s="1633"/>
      <c r="HT37" s="1633"/>
      <c r="HU37" s="1633"/>
      <c r="HV37" s="1633"/>
      <c r="HW37" s="1633"/>
      <c r="HX37" s="1633"/>
      <c r="HY37" s="1633"/>
      <c r="HZ37" s="1633"/>
      <c r="IA37" s="1633"/>
      <c r="IB37" s="1633"/>
      <c r="IC37" s="1633"/>
      <c r="ID37" s="1633"/>
      <c r="IE37" s="1633"/>
      <c r="IF37" s="1633"/>
      <c r="IG37" s="1633"/>
      <c r="IH37" s="1633"/>
      <c r="II37" s="1633"/>
      <c r="IJ37" s="1633"/>
      <c r="IK37" s="1633"/>
      <c r="IL37" s="1633"/>
      <c r="IM37" s="1633"/>
    </row>
    <row r="38" spans="1:247">
      <c r="A38" s="1627" t="s">
        <v>247</v>
      </c>
      <c r="B38" s="1628">
        <f>审定资负表!C35</f>
        <v>0</v>
      </c>
      <c r="C38" s="1628">
        <f>审定资负表!D35</f>
        <v>0</v>
      </c>
      <c r="D38" s="1629" t="str">
        <f t="shared" si="0"/>
        <v> </v>
      </c>
      <c r="E38" s="1630">
        <f t="shared" si="1"/>
        <v>0</v>
      </c>
      <c r="F38" s="1631">
        <f t="shared" si="2"/>
        <v>0</v>
      </c>
      <c r="G38" s="1634"/>
      <c r="H38" s="1633"/>
      <c r="I38" s="1633"/>
      <c r="J38" s="1633"/>
      <c r="K38" s="1633"/>
      <c r="L38" s="1633"/>
      <c r="M38" s="1633"/>
      <c r="N38" s="1633"/>
      <c r="O38" s="1633"/>
      <c r="P38" s="1633"/>
      <c r="Q38" s="1633"/>
      <c r="R38" s="1633"/>
      <c r="S38" s="1633"/>
      <c r="T38" s="1633"/>
      <c r="U38" s="1633"/>
      <c r="V38" s="1633"/>
      <c r="W38" s="1633"/>
      <c r="X38" s="1633"/>
      <c r="Y38" s="1633"/>
      <c r="Z38" s="1633"/>
      <c r="AA38" s="1633"/>
      <c r="AB38" s="1633"/>
      <c r="AC38" s="1633"/>
      <c r="AD38" s="1633"/>
      <c r="AE38" s="1633"/>
      <c r="AF38" s="1633"/>
      <c r="AG38" s="1633"/>
      <c r="AH38" s="1633"/>
      <c r="AI38" s="1633"/>
      <c r="AJ38" s="1633"/>
      <c r="AK38" s="1633"/>
      <c r="AL38" s="1633"/>
      <c r="AM38" s="1633"/>
      <c r="AN38" s="1633"/>
      <c r="AO38" s="1633"/>
      <c r="AP38" s="1633"/>
      <c r="AQ38" s="1633"/>
      <c r="AR38" s="1633"/>
      <c r="AS38" s="1633"/>
      <c r="AT38" s="1633"/>
      <c r="AU38" s="1633"/>
      <c r="AV38" s="1633"/>
      <c r="AW38" s="1633"/>
      <c r="AX38" s="1633"/>
      <c r="AY38" s="1633"/>
      <c r="AZ38" s="1633"/>
      <c r="BA38" s="1633"/>
      <c r="BB38" s="1633"/>
      <c r="BC38" s="1633"/>
      <c r="BD38" s="1633"/>
      <c r="BE38" s="1633"/>
      <c r="BF38" s="1633"/>
      <c r="BG38" s="1633"/>
      <c r="BH38" s="1633"/>
      <c r="BI38" s="1633"/>
      <c r="BJ38" s="1633"/>
      <c r="BK38" s="1633"/>
      <c r="BL38" s="1633"/>
      <c r="BM38" s="1633"/>
      <c r="BN38" s="1633"/>
      <c r="BO38" s="1633"/>
      <c r="BP38" s="1633"/>
      <c r="BQ38" s="1633"/>
      <c r="BR38" s="1633"/>
      <c r="BS38" s="1633"/>
      <c r="BT38" s="1633"/>
      <c r="BU38" s="1633"/>
      <c r="BV38" s="1633"/>
      <c r="BW38" s="1633"/>
      <c r="BX38" s="1633"/>
      <c r="BY38" s="1633"/>
      <c r="BZ38" s="1633"/>
      <c r="CA38" s="1633"/>
      <c r="CB38" s="1633"/>
      <c r="CC38" s="1633"/>
      <c r="CD38" s="1633"/>
      <c r="CE38" s="1633"/>
      <c r="CF38" s="1633"/>
      <c r="CG38" s="1633"/>
      <c r="CH38" s="1633"/>
      <c r="CI38" s="1633"/>
      <c r="CJ38" s="1633"/>
      <c r="CK38" s="1633"/>
      <c r="CL38" s="1633"/>
      <c r="CM38" s="1633"/>
      <c r="CN38" s="1633"/>
      <c r="CO38" s="1633"/>
      <c r="CP38" s="1633"/>
      <c r="CQ38" s="1633"/>
      <c r="CR38" s="1633"/>
      <c r="CS38" s="1633"/>
      <c r="CT38" s="1633"/>
      <c r="CU38" s="1633"/>
      <c r="CV38" s="1633"/>
      <c r="CW38" s="1633"/>
      <c r="CX38" s="1633"/>
      <c r="CY38" s="1633"/>
      <c r="CZ38" s="1633"/>
      <c r="DA38" s="1633"/>
      <c r="DB38" s="1633"/>
      <c r="DC38" s="1633"/>
      <c r="DD38" s="1633"/>
      <c r="DE38" s="1633"/>
      <c r="DF38" s="1633"/>
      <c r="DG38" s="1633"/>
      <c r="DH38" s="1633"/>
      <c r="DI38" s="1633"/>
      <c r="DJ38" s="1633"/>
      <c r="DK38" s="1633"/>
      <c r="DL38" s="1633"/>
      <c r="DM38" s="1633"/>
      <c r="DN38" s="1633"/>
      <c r="DO38" s="1633"/>
      <c r="DP38" s="1633"/>
      <c r="DQ38" s="1633"/>
      <c r="DR38" s="1633"/>
      <c r="DS38" s="1633"/>
      <c r="DT38" s="1633"/>
      <c r="DU38" s="1633"/>
      <c r="DV38" s="1633"/>
      <c r="DW38" s="1633"/>
      <c r="DX38" s="1633"/>
      <c r="DY38" s="1633"/>
      <c r="DZ38" s="1633"/>
      <c r="EA38" s="1633"/>
      <c r="EB38" s="1633"/>
      <c r="EC38" s="1633"/>
      <c r="ED38" s="1633"/>
      <c r="EE38" s="1633"/>
      <c r="EF38" s="1633"/>
      <c r="EG38" s="1633"/>
      <c r="EH38" s="1633"/>
      <c r="EI38" s="1633"/>
      <c r="EJ38" s="1633"/>
      <c r="EK38" s="1633"/>
      <c r="EL38" s="1633"/>
      <c r="EM38" s="1633"/>
      <c r="EN38" s="1633"/>
      <c r="EO38" s="1633"/>
      <c r="EP38" s="1633"/>
      <c r="EQ38" s="1633"/>
      <c r="ER38" s="1633"/>
      <c r="ES38" s="1633"/>
      <c r="ET38" s="1633"/>
      <c r="EU38" s="1633"/>
      <c r="EV38" s="1633"/>
      <c r="EW38" s="1633"/>
      <c r="EX38" s="1633"/>
      <c r="EY38" s="1633"/>
      <c r="EZ38" s="1633"/>
      <c r="FA38" s="1633"/>
      <c r="FB38" s="1633"/>
      <c r="FC38" s="1633"/>
      <c r="FD38" s="1633"/>
      <c r="FE38" s="1633"/>
      <c r="FF38" s="1633"/>
      <c r="FG38" s="1633"/>
      <c r="FH38" s="1633"/>
      <c r="FI38" s="1633"/>
      <c r="FJ38" s="1633"/>
      <c r="FK38" s="1633"/>
      <c r="FL38" s="1633"/>
      <c r="FM38" s="1633"/>
      <c r="FN38" s="1633"/>
      <c r="FO38" s="1633"/>
      <c r="FP38" s="1633"/>
      <c r="FQ38" s="1633"/>
      <c r="FR38" s="1633"/>
      <c r="FS38" s="1633"/>
      <c r="FT38" s="1633"/>
      <c r="FU38" s="1633"/>
      <c r="FV38" s="1633"/>
      <c r="FW38" s="1633"/>
      <c r="FX38" s="1633"/>
      <c r="FY38" s="1633"/>
      <c r="FZ38" s="1633"/>
      <c r="GA38" s="1633"/>
      <c r="GB38" s="1633"/>
      <c r="GC38" s="1633"/>
      <c r="GD38" s="1633"/>
      <c r="GE38" s="1633"/>
      <c r="GF38" s="1633"/>
      <c r="GG38" s="1633"/>
      <c r="GH38" s="1633"/>
      <c r="GI38" s="1633"/>
      <c r="GJ38" s="1633"/>
      <c r="GK38" s="1633"/>
      <c r="GL38" s="1633"/>
      <c r="GM38" s="1633"/>
      <c r="GN38" s="1633"/>
      <c r="GO38" s="1633"/>
      <c r="GP38" s="1633"/>
      <c r="GQ38" s="1633"/>
      <c r="GR38" s="1633"/>
      <c r="GS38" s="1633"/>
      <c r="GT38" s="1633"/>
      <c r="GU38" s="1633"/>
      <c r="GV38" s="1633"/>
      <c r="GW38" s="1633"/>
      <c r="GX38" s="1633"/>
      <c r="GY38" s="1633"/>
      <c r="GZ38" s="1633"/>
      <c r="HA38" s="1633"/>
      <c r="HB38" s="1633"/>
      <c r="HC38" s="1633"/>
      <c r="HD38" s="1633"/>
      <c r="HE38" s="1633"/>
      <c r="HF38" s="1633"/>
      <c r="HG38" s="1633"/>
      <c r="HH38" s="1633"/>
      <c r="HI38" s="1633"/>
      <c r="HJ38" s="1633"/>
      <c r="HK38" s="1633"/>
      <c r="HL38" s="1633"/>
      <c r="HM38" s="1633"/>
      <c r="HN38" s="1633"/>
      <c r="HO38" s="1633"/>
      <c r="HP38" s="1633"/>
      <c r="HQ38" s="1633"/>
      <c r="HR38" s="1633"/>
      <c r="HS38" s="1633"/>
      <c r="HT38" s="1633"/>
      <c r="HU38" s="1633"/>
      <c r="HV38" s="1633"/>
      <c r="HW38" s="1633"/>
      <c r="HX38" s="1633"/>
      <c r="HY38" s="1633"/>
      <c r="HZ38" s="1633"/>
      <c r="IA38" s="1633"/>
      <c r="IB38" s="1633"/>
      <c r="IC38" s="1633"/>
      <c r="ID38" s="1633"/>
      <c r="IE38" s="1633"/>
      <c r="IF38" s="1633"/>
      <c r="IG38" s="1633"/>
      <c r="IH38" s="1633"/>
      <c r="II38" s="1633"/>
      <c r="IJ38" s="1633"/>
      <c r="IK38" s="1633"/>
      <c r="IL38" s="1633"/>
      <c r="IM38" s="1633"/>
    </row>
    <row r="39" spans="1:247">
      <c r="A39" s="1627" t="s">
        <v>249</v>
      </c>
      <c r="B39" s="1628">
        <f>审定资负表!C36</f>
        <v>0</v>
      </c>
      <c r="C39" s="1628">
        <f>审定资负表!D36</f>
        <v>0</v>
      </c>
      <c r="D39" s="1629" t="str">
        <f t="shared" si="0"/>
        <v> </v>
      </c>
      <c r="E39" s="1630">
        <f t="shared" si="1"/>
        <v>0</v>
      </c>
      <c r="F39" s="1631">
        <f t="shared" si="2"/>
        <v>0</v>
      </c>
      <c r="G39" s="1634"/>
      <c r="H39" s="1633"/>
      <c r="I39" s="1633"/>
      <c r="J39" s="1633"/>
      <c r="K39" s="1633"/>
      <c r="L39" s="1633"/>
      <c r="M39" s="1633"/>
      <c r="N39" s="1633"/>
      <c r="O39" s="1633"/>
      <c r="P39" s="1633"/>
      <c r="Q39" s="1633"/>
      <c r="R39" s="1633"/>
      <c r="S39" s="1633"/>
      <c r="T39" s="1633"/>
      <c r="U39" s="1633"/>
      <c r="V39" s="1633"/>
      <c r="W39" s="1633"/>
      <c r="X39" s="1633"/>
      <c r="Y39" s="1633"/>
      <c r="Z39" s="1633"/>
      <c r="AA39" s="1633"/>
      <c r="AB39" s="1633"/>
      <c r="AC39" s="1633"/>
      <c r="AD39" s="1633"/>
      <c r="AE39" s="1633"/>
      <c r="AF39" s="1633"/>
      <c r="AG39" s="1633"/>
      <c r="AH39" s="1633"/>
      <c r="AI39" s="1633"/>
      <c r="AJ39" s="1633"/>
      <c r="AK39" s="1633"/>
      <c r="AL39" s="1633"/>
      <c r="AM39" s="1633"/>
      <c r="AN39" s="1633"/>
      <c r="AO39" s="1633"/>
      <c r="AP39" s="1633"/>
      <c r="AQ39" s="1633"/>
      <c r="AR39" s="1633"/>
      <c r="AS39" s="1633"/>
      <c r="AT39" s="1633"/>
      <c r="AU39" s="1633"/>
      <c r="AV39" s="1633"/>
      <c r="AW39" s="1633"/>
      <c r="AX39" s="1633"/>
      <c r="AY39" s="1633"/>
      <c r="AZ39" s="1633"/>
      <c r="BA39" s="1633"/>
      <c r="BB39" s="1633"/>
      <c r="BC39" s="1633"/>
      <c r="BD39" s="1633"/>
      <c r="BE39" s="1633"/>
      <c r="BF39" s="1633"/>
      <c r="BG39" s="1633"/>
      <c r="BH39" s="1633"/>
      <c r="BI39" s="1633"/>
      <c r="BJ39" s="1633"/>
      <c r="BK39" s="1633"/>
      <c r="BL39" s="1633"/>
      <c r="BM39" s="1633"/>
      <c r="BN39" s="1633"/>
      <c r="BO39" s="1633"/>
      <c r="BP39" s="1633"/>
      <c r="BQ39" s="1633"/>
      <c r="BR39" s="1633"/>
      <c r="BS39" s="1633"/>
      <c r="BT39" s="1633"/>
      <c r="BU39" s="1633"/>
      <c r="BV39" s="1633"/>
      <c r="BW39" s="1633"/>
      <c r="BX39" s="1633"/>
      <c r="BY39" s="1633"/>
      <c r="BZ39" s="1633"/>
      <c r="CA39" s="1633"/>
      <c r="CB39" s="1633"/>
      <c r="CC39" s="1633"/>
      <c r="CD39" s="1633"/>
      <c r="CE39" s="1633"/>
      <c r="CF39" s="1633"/>
      <c r="CG39" s="1633"/>
      <c r="CH39" s="1633"/>
      <c r="CI39" s="1633"/>
      <c r="CJ39" s="1633"/>
      <c r="CK39" s="1633"/>
      <c r="CL39" s="1633"/>
      <c r="CM39" s="1633"/>
      <c r="CN39" s="1633"/>
      <c r="CO39" s="1633"/>
      <c r="CP39" s="1633"/>
      <c r="CQ39" s="1633"/>
      <c r="CR39" s="1633"/>
      <c r="CS39" s="1633"/>
      <c r="CT39" s="1633"/>
      <c r="CU39" s="1633"/>
      <c r="CV39" s="1633"/>
      <c r="CW39" s="1633"/>
      <c r="CX39" s="1633"/>
      <c r="CY39" s="1633"/>
      <c r="CZ39" s="1633"/>
      <c r="DA39" s="1633"/>
      <c r="DB39" s="1633"/>
      <c r="DC39" s="1633"/>
      <c r="DD39" s="1633"/>
      <c r="DE39" s="1633"/>
      <c r="DF39" s="1633"/>
      <c r="DG39" s="1633"/>
      <c r="DH39" s="1633"/>
      <c r="DI39" s="1633"/>
      <c r="DJ39" s="1633"/>
      <c r="DK39" s="1633"/>
      <c r="DL39" s="1633"/>
      <c r="DM39" s="1633"/>
      <c r="DN39" s="1633"/>
      <c r="DO39" s="1633"/>
      <c r="DP39" s="1633"/>
      <c r="DQ39" s="1633"/>
      <c r="DR39" s="1633"/>
      <c r="DS39" s="1633"/>
      <c r="DT39" s="1633"/>
      <c r="DU39" s="1633"/>
      <c r="DV39" s="1633"/>
      <c r="DW39" s="1633"/>
      <c r="DX39" s="1633"/>
      <c r="DY39" s="1633"/>
      <c r="DZ39" s="1633"/>
      <c r="EA39" s="1633"/>
      <c r="EB39" s="1633"/>
      <c r="EC39" s="1633"/>
      <c r="ED39" s="1633"/>
      <c r="EE39" s="1633"/>
      <c r="EF39" s="1633"/>
      <c r="EG39" s="1633"/>
      <c r="EH39" s="1633"/>
      <c r="EI39" s="1633"/>
      <c r="EJ39" s="1633"/>
      <c r="EK39" s="1633"/>
      <c r="EL39" s="1633"/>
      <c r="EM39" s="1633"/>
      <c r="EN39" s="1633"/>
      <c r="EO39" s="1633"/>
      <c r="EP39" s="1633"/>
      <c r="EQ39" s="1633"/>
      <c r="ER39" s="1633"/>
      <c r="ES39" s="1633"/>
      <c r="ET39" s="1633"/>
      <c r="EU39" s="1633"/>
      <c r="EV39" s="1633"/>
      <c r="EW39" s="1633"/>
      <c r="EX39" s="1633"/>
      <c r="EY39" s="1633"/>
      <c r="EZ39" s="1633"/>
      <c r="FA39" s="1633"/>
      <c r="FB39" s="1633"/>
      <c r="FC39" s="1633"/>
      <c r="FD39" s="1633"/>
      <c r="FE39" s="1633"/>
      <c r="FF39" s="1633"/>
      <c r="FG39" s="1633"/>
      <c r="FH39" s="1633"/>
      <c r="FI39" s="1633"/>
      <c r="FJ39" s="1633"/>
      <c r="FK39" s="1633"/>
      <c r="FL39" s="1633"/>
      <c r="FM39" s="1633"/>
      <c r="FN39" s="1633"/>
      <c r="FO39" s="1633"/>
      <c r="FP39" s="1633"/>
      <c r="FQ39" s="1633"/>
      <c r="FR39" s="1633"/>
      <c r="FS39" s="1633"/>
      <c r="FT39" s="1633"/>
      <c r="FU39" s="1633"/>
      <c r="FV39" s="1633"/>
      <c r="FW39" s="1633"/>
      <c r="FX39" s="1633"/>
      <c r="FY39" s="1633"/>
      <c r="FZ39" s="1633"/>
      <c r="GA39" s="1633"/>
      <c r="GB39" s="1633"/>
      <c r="GC39" s="1633"/>
      <c r="GD39" s="1633"/>
      <c r="GE39" s="1633"/>
      <c r="GF39" s="1633"/>
      <c r="GG39" s="1633"/>
      <c r="GH39" s="1633"/>
      <c r="GI39" s="1633"/>
      <c r="GJ39" s="1633"/>
      <c r="GK39" s="1633"/>
      <c r="GL39" s="1633"/>
      <c r="GM39" s="1633"/>
      <c r="GN39" s="1633"/>
      <c r="GO39" s="1633"/>
      <c r="GP39" s="1633"/>
      <c r="GQ39" s="1633"/>
      <c r="GR39" s="1633"/>
      <c r="GS39" s="1633"/>
      <c r="GT39" s="1633"/>
      <c r="GU39" s="1633"/>
      <c r="GV39" s="1633"/>
      <c r="GW39" s="1633"/>
      <c r="GX39" s="1633"/>
      <c r="GY39" s="1633"/>
      <c r="GZ39" s="1633"/>
      <c r="HA39" s="1633"/>
      <c r="HB39" s="1633"/>
      <c r="HC39" s="1633"/>
      <c r="HD39" s="1633"/>
      <c r="HE39" s="1633"/>
      <c r="HF39" s="1633"/>
      <c r="HG39" s="1633"/>
      <c r="HH39" s="1633"/>
      <c r="HI39" s="1633"/>
      <c r="HJ39" s="1633"/>
      <c r="HK39" s="1633"/>
      <c r="HL39" s="1633"/>
      <c r="HM39" s="1633"/>
      <c r="HN39" s="1633"/>
      <c r="HO39" s="1633"/>
      <c r="HP39" s="1633"/>
      <c r="HQ39" s="1633"/>
      <c r="HR39" s="1633"/>
      <c r="HS39" s="1633"/>
      <c r="HT39" s="1633"/>
      <c r="HU39" s="1633"/>
      <c r="HV39" s="1633"/>
      <c r="HW39" s="1633"/>
      <c r="HX39" s="1633"/>
      <c r="HY39" s="1633"/>
      <c r="HZ39" s="1633"/>
      <c r="IA39" s="1633"/>
      <c r="IB39" s="1633"/>
      <c r="IC39" s="1633"/>
      <c r="ID39" s="1633"/>
      <c r="IE39" s="1633"/>
      <c r="IF39" s="1633"/>
      <c r="IG39" s="1633"/>
      <c r="IH39" s="1633"/>
      <c r="II39" s="1633"/>
      <c r="IJ39" s="1633"/>
      <c r="IK39" s="1633"/>
      <c r="IL39" s="1633"/>
      <c r="IM39" s="1633"/>
    </row>
    <row r="40" spans="1:247">
      <c r="A40" s="1627" t="s">
        <v>251</v>
      </c>
      <c r="B40" s="1628">
        <f>审定资负表!C37</f>
        <v>0</v>
      </c>
      <c r="C40" s="1628">
        <f>审定资负表!D37</f>
        <v>0</v>
      </c>
      <c r="D40" s="1629" t="str">
        <f t="shared" si="0"/>
        <v> </v>
      </c>
      <c r="E40" s="1630">
        <f t="shared" si="1"/>
        <v>0</v>
      </c>
      <c r="F40" s="1631">
        <f t="shared" si="2"/>
        <v>0</v>
      </c>
      <c r="G40" s="1634"/>
      <c r="H40" s="1633"/>
      <c r="I40" s="1633"/>
      <c r="J40" s="1633"/>
      <c r="K40" s="1633"/>
      <c r="L40" s="1633"/>
      <c r="M40" s="1633"/>
      <c r="N40" s="1633"/>
      <c r="O40" s="1633"/>
      <c r="P40" s="1633"/>
      <c r="Q40" s="1633"/>
      <c r="R40" s="1633"/>
      <c r="S40" s="1633"/>
      <c r="T40" s="1633"/>
      <c r="U40" s="1633"/>
      <c r="V40" s="1633"/>
      <c r="W40" s="1633"/>
      <c r="X40" s="1633"/>
      <c r="Y40" s="1633"/>
      <c r="Z40" s="1633"/>
      <c r="AA40" s="1633"/>
      <c r="AB40" s="1633"/>
      <c r="AC40" s="1633"/>
      <c r="AD40" s="1633"/>
      <c r="AE40" s="1633"/>
      <c r="AF40" s="1633"/>
      <c r="AG40" s="1633"/>
      <c r="AH40" s="1633"/>
      <c r="AI40" s="1633"/>
      <c r="AJ40" s="1633"/>
      <c r="AK40" s="1633"/>
      <c r="AL40" s="1633"/>
      <c r="AM40" s="1633"/>
      <c r="AN40" s="1633"/>
      <c r="AO40" s="1633"/>
      <c r="AP40" s="1633"/>
      <c r="AQ40" s="1633"/>
      <c r="AR40" s="1633"/>
      <c r="AS40" s="1633"/>
      <c r="AT40" s="1633"/>
      <c r="AU40" s="1633"/>
      <c r="AV40" s="1633"/>
      <c r="AW40" s="1633"/>
      <c r="AX40" s="1633"/>
      <c r="AY40" s="1633"/>
      <c r="AZ40" s="1633"/>
      <c r="BA40" s="1633"/>
      <c r="BB40" s="1633"/>
      <c r="BC40" s="1633"/>
      <c r="BD40" s="1633"/>
      <c r="BE40" s="1633"/>
      <c r="BF40" s="1633"/>
      <c r="BG40" s="1633"/>
      <c r="BH40" s="1633"/>
      <c r="BI40" s="1633"/>
      <c r="BJ40" s="1633"/>
      <c r="BK40" s="1633"/>
      <c r="BL40" s="1633"/>
      <c r="BM40" s="1633"/>
      <c r="BN40" s="1633"/>
      <c r="BO40" s="1633"/>
      <c r="BP40" s="1633"/>
      <c r="BQ40" s="1633"/>
      <c r="BR40" s="1633"/>
      <c r="BS40" s="1633"/>
      <c r="BT40" s="1633"/>
      <c r="BU40" s="1633"/>
      <c r="BV40" s="1633"/>
      <c r="BW40" s="1633"/>
      <c r="BX40" s="1633"/>
      <c r="BY40" s="1633"/>
      <c r="BZ40" s="1633"/>
      <c r="CA40" s="1633"/>
      <c r="CB40" s="1633"/>
      <c r="CC40" s="1633"/>
      <c r="CD40" s="1633"/>
      <c r="CE40" s="1633"/>
      <c r="CF40" s="1633"/>
      <c r="CG40" s="1633"/>
      <c r="CH40" s="1633"/>
      <c r="CI40" s="1633"/>
      <c r="CJ40" s="1633"/>
      <c r="CK40" s="1633"/>
      <c r="CL40" s="1633"/>
      <c r="CM40" s="1633"/>
      <c r="CN40" s="1633"/>
      <c r="CO40" s="1633"/>
      <c r="CP40" s="1633"/>
      <c r="CQ40" s="1633"/>
      <c r="CR40" s="1633"/>
      <c r="CS40" s="1633"/>
      <c r="CT40" s="1633"/>
      <c r="CU40" s="1633"/>
      <c r="CV40" s="1633"/>
      <c r="CW40" s="1633"/>
      <c r="CX40" s="1633"/>
      <c r="CY40" s="1633"/>
      <c r="CZ40" s="1633"/>
      <c r="DA40" s="1633"/>
      <c r="DB40" s="1633"/>
      <c r="DC40" s="1633"/>
      <c r="DD40" s="1633"/>
      <c r="DE40" s="1633"/>
      <c r="DF40" s="1633"/>
      <c r="DG40" s="1633"/>
      <c r="DH40" s="1633"/>
      <c r="DI40" s="1633"/>
      <c r="DJ40" s="1633"/>
      <c r="DK40" s="1633"/>
      <c r="DL40" s="1633"/>
      <c r="DM40" s="1633"/>
      <c r="DN40" s="1633"/>
      <c r="DO40" s="1633"/>
      <c r="DP40" s="1633"/>
      <c r="DQ40" s="1633"/>
      <c r="DR40" s="1633"/>
      <c r="DS40" s="1633"/>
      <c r="DT40" s="1633"/>
      <c r="DU40" s="1633"/>
      <c r="DV40" s="1633"/>
      <c r="DW40" s="1633"/>
      <c r="DX40" s="1633"/>
      <c r="DY40" s="1633"/>
      <c r="DZ40" s="1633"/>
      <c r="EA40" s="1633"/>
      <c r="EB40" s="1633"/>
      <c r="EC40" s="1633"/>
      <c r="ED40" s="1633"/>
      <c r="EE40" s="1633"/>
      <c r="EF40" s="1633"/>
      <c r="EG40" s="1633"/>
      <c r="EH40" s="1633"/>
      <c r="EI40" s="1633"/>
      <c r="EJ40" s="1633"/>
      <c r="EK40" s="1633"/>
      <c r="EL40" s="1633"/>
      <c r="EM40" s="1633"/>
      <c r="EN40" s="1633"/>
      <c r="EO40" s="1633"/>
      <c r="EP40" s="1633"/>
      <c r="EQ40" s="1633"/>
      <c r="ER40" s="1633"/>
      <c r="ES40" s="1633"/>
      <c r="ET40" s="1633"/>
      <c r="EU40" s="1633"/>
      <c r="EV40" s="1633"/>
      <c r="EW40" s="1633"/>
      <c r="EX40" s="1633"/>
      <c r="EY40" s="1633"/>
      <c r="EZ40" s="1633"/>
      <c r="FA40" s="1633"/>
      <c r="FB40" s="1633"/>
      <c r="FC40" s="1633"/>
      <c r="FD40" s="1633"/>
      <c r="FE40" s="1633"/>
      <c r="FF40" s="1633"/>
      <c r="FG40" s="1633"/>
      <c r="FH40" s="1633"/>
      <c r="FI40" s="1633"/>
      <c r="FJ40" s="1633"/>
      <c r="FK40" s="1633"/>
      <c r="FL40" s="1633"/>
      <c r="FM40" s="1633"/>
      <c r="FN40" s="1633"/>
      <c r="FO40" s="1633"/>
      <c r="FP40" s="1633"/>
      <c r="FQ40" s="1633"/>
      <c r="FR40" s="1633"/>
      <c r="FS40" s="1633"/>
      <c r="FT40" s="1633"/>
      <c r="FU40" s="1633"/>
      <c r="FV40" s="1633"/>
      <c r="FW40" s="1633"/>
      <c r="FX40" s="1633"/>
      <c r="FY40" s="1633"/>
      <c r="FZ40" s="1633"/>
      <c r="GA40" s="1633"/>
      <c r="GB40" s="1633"/>
      <c r="GC40" s="1633"/>
      <c r="GD40" s="1633"/>
      <c r="GE40" s="1633"/>
      <c r="GF40" s="1633"/>
      <c r="GG40" s="1633"/>
      <c r="GH40" s="1633"/>
      <c r="GI40" s="1633"/>
      <c r="GJ40" s="1633"/>
      <c r="GK40" s="1633"/>
      <c r="GL40" s="1633"/>
      <c r="GM40" s="1633"/>
      <c r="GN40" s="1633"/>
      <c r="GO40" s="1633"/>
      <c r="GP40" s="1633"/>
      <c r="GQ40" s="1633"/>
      <c r="GR40" s="1633"/>
      <c r="GS40" s="1633"/>
      <c r="GT40" s="1633"/>
      <c r="GU40" s="1633"/>
      <c r="GV40" s="1633"/>
      <c r="GW40" s="1633"/>
      <c r="GX40" s="1633"/>
      <c r="GY40" s="1633"/>
      <c r="GZ40" s="1633"/>
      <c r="HA40" s="1633"/>
      <c r="HB40" s="1633"/>
      <c r="HC40" s="1633"/>
      <c r="HD40" s="1633"/>
      <c r="HE40" s="1633"/>
      <c r="HF40" s="1633"/>
      <c r="HG40" s="1633"/>
      <c r="HH40" s="1633"/>
      <c r="HI40" s="1633"/>
      <c r="HJ40" s="1633"/>
      <c r="HK40" s="1633"/>
      <c r="HL40" s="1633"/>
      <c r="HM40" s="1633"/>
      <c r="HN40" s="1633"/>
      <c r="HO40" s="1633"/>
      <c r="HP40" s="1633"/>
      <c r="HQ40" s="1633"/>
      <c r="HR40" s="1633"/>
      <c r="HS40" s="1633"/>
      <c r="HT40" s="1633"/>
      <c r="HU40" s="1633"/>
      <c r="HV40" s="1633"/>
      <c r="HW40" s="1633"/>
      <c r="HX40" s="1633"/>
      <c r="HY40" s="1633"/>
      <c r="HZ40" s="1633"/>
      <c r="IA40" s="1633"/>
      <c r="IB40" s="1633"/>
      <c r="IC40" s="1633"/>
      <c r="ID40" s="1633"/>
      <c r="IE40" s="1633"/>
      <c r="IF40" s="1633"/>
      <c r="IG40" s="1633"/>
      <c r="IH40" s="1633"/>
      <c r="II40" s="1633"/>
      <c r="IJ40" s="1633"/>
      <c r="IK40" s="1633"/>
      <c r="IL40" s="1633"/>
      <c r="IM40" s="1633"/>
    </row>
    <row r="41" spans="1:247">
      <c r="A41" s="1627" t="s">
        <v>253</v>
      </c>
      <c r="B41" s="1628">
        <f>审定资负表!C38</f>
        <v>0</v>
      </c>
      <c r="C41" s="1628">
        <f>审定资负表!D38</f>
        <v>0</v>
      </c>
      <c r="D41" s="1629" t="str">
        <f t="shared" si="0"/>
        <v> </v>
      </c>
      <c r="E41" s="1630">
        <f t="shared" si="1"/>
        <v>0</v>
      </c>
      <c r="F41" s="1631">
        <f t="shared" si="2"/>
        <v>0</v>
      </c>
      <c r="G41" s="1634"/>
      <c r="H41" s="1633"/>
      <c r="I41" s="1633"/>
      <c r="J41" s="1633"/>
      <c r="K41" s="1633"/>
      <c r="L41" s="1633"/>
      <c r="M41" s="1633"/>
      <c r="N41" s="1633"/>
      <c r="O41" s="1633"/>
      <c r="P41" s="1633"/>
      <c r="Q41" s="1633"/>
      <c r="R41" s="1633"/>
      <c r="S41" s="1633"/>
      <c r="T41" s="1633"/>
      <c r="U41" s="1633"/>
      <c r="V41" s="1633"/>
      <c r="W41" s="1633"/>
      <c r="X41" s="1633"/>
      <c r="Y41" s="1633"/>
      <c r="Z41" s="1633"/>
      <c r="AA41" s="1633"/>
      <c r="AB41" s="1633"/>
      <c r="AC41" s="1633"/>
      <c r="AD41" s="1633"/>
      <c r="AE41" s="1633"/>
      <c r="AF41" s="1633"/>
      <c r="AG41" s="1633"/>
      <c r="AH41" s="1633"/>
      <c r="AI41" s="1633"/>
      <c r="AJ41" s="1633"/>
      <c r="AK41" s="1633"/>
      <c r="AL41" s="1633"/>
      <c r="AM41" s="1633"/>
      <c r="AN41" s="1633"/>
      <c r="AO41" s="1633"/>
      <c r="AP41" s="1633"/>
      <c r="AQ41" s="1633"/>
      <c r="AR41" s="1633"/>
      <c r="AS41" s="1633"/>
      <c r="AT41" s="1633"/>
      <c r="AU41" s="1633"/>
      <c r="AV41" s="1633"/>
      <c r="AW41" s="1633"/>
      <c r="AX41" s="1633"/>
      <c r="AY41" s="1633"/>
      <c r="AZ41" s="1633"/>
      <c r="BA41" s="1633"/>
      <c r="BB41" s="1633"/>
      <c r="BC41" s="1633"/>
      <c r="BD41" s="1633"/>
      <c r="BE41" s="1633"/>
      <c r="BF41" s="1633"/>
      <c r="BG41" s="1633"/>
      <c r="BH41" s="1633"/>
      <c r="BI41" s="1633"/>
      <c r="BJ41" s="1633"/>
      <c r="BK41" s="1633"/>
      <c r="BL41" s="1633"/>
      <c r="BM41" s="1633"/>
      <c r="BN41" s="1633"/>
      <c r="BO41" s="1633"/>
      <c r="BP41" s="1633"/>
      <c r="BQ41" s="1633"/>
      <c r="BR41" s="1633"/>
      <c r="BS41" s="1633"/>
      <c r="BT41" s="1633"/>
      <c r="BU41" s="1633"/>
      <c r="BV41" s="1633"/>
      <c r="BW41" s="1633"/>
      <c r="BX41" s="1633"/>
      <c r="BY41" s="1633"/>
      <c r="BZ41" s="1633"/>
      <c r="CA41" s="1633"/>
      <c r="CB41" s="1633"/>
      <c r="CC41" s="1633"/>
      <c r="CD41" s="1633"/>
      <c r="CE41" s="1633"/>
      <c r="CF41" s="1633"/>
      <c r="CG41" s="1633"/>
      <c r="CH41" s="1633"/>
      <c r="CI41" s="1633"/>
      <c r="CJ41" s="1633"/>
      <c r="CK41" s="1633"/>
      <c r="CL41" s="1633"/>
      <c r="CM41" s="1633"/>
      <c r="CN41" s="1633"/>
      <c r="CO41" s="1633"/>
      <c r="CP41" s="1633"/>
      <c r="CQ41" s="1633"/>
      <c r="CR41" s="1633"/>
      <c r="CS41" s="1633"/>
      <c r="CT41" s="1633"/>
      <c r="CU41" s="1633"/>
      <c r="CV41" s="1633"/>
      <c r="CW41" s="1633"/>
      <c r="CX41" s="1633"/>
      <c r="CY41" s="1633"/>
      <c r="CZ41" s="1633"/>
      <c r="DA41" s="1633"/>
      <c r="DB41" s="1633"/>
      <c r="DC41" s="1633"/>
      <c r="DD41" s="1633"/>
      <c r="DE41" s="1633"/>
      <c r="DF41" s="1633"/>
      <c r="DG41" s="1633"/>
      <c r="DH41" s="1633"/>
      <c r="DI41" s="1633"/>
      <c r="DJ41" s="1633"/>
      <c r="DK41" s="1633"/>
      <c r="DL41" s="1633"/>
      <c r="DM41" s="1633"/>
      <c r="DN41" s="1633"/>
      <c r="DO41" s="1633"/>
      <c r="DP41" s="1633"/>
      <c r="DQ41" s="1633"/>
      <c r="DR41" s="1633"/>
      <c r="DS41" s="1633"/>
      <c r="DT41" s="1633"/>
      <c r="DU41" s="1633"/>
      <c r="DV41" s="1633"/>
      <c r="DW41" s="1633"/>
      <c r="DX41" s="1633"/>
      <c r="DY41" s="1633"/>
      <c r="DZ41" s="1633"/>
      <c r="EA41" s="1633"/>
      <c r="EB41" s="1633"/>
      <c r="EC41" s="1633"/>
      <c r="ED41" s="1633"/>
      <c r="EE41" s="1633"/>
      <c r="EF41" s="1633"/>
      <c r="EG41" s="1633"/>
      <c r="EH41" s="1633"/>
      <c r="EI41" s="1633"/>
      <c r="EJ41" s="1633"/>
      <c r="EK41" s="1633"/>
      <c r="EL41" s="1633"/>
      <c r="EM41" s="1633"/>
      <c r="EN41" s="1633"/>
      <c r="EO41" s="1633"/>
      <c r="EP41" s="1633"/>
      <c r="EQ41" s="1633"/>
      <c r="ER41" s="1633"/>
      <c r="ES41" s="1633"/>
      <c r="ET41" s="1633"/>
      <c r="EU41" s="1633"/>
      <c r="EV41" s="1633"/>
      <c r="EW41" s="1633"/>
      <c r="EX41" s="1633"/>
      <c r="EY41" s="1633"/>
      <c r="EZ41" s="1633"/>
      <c r="FA41" s="1633"/>
      <c r="FB41" s="1633"/>
      <c r="FC41" s="1633"/>
      <c r="FD41" s="1633"/>
      <c r="FE41" s="1633"/>
      <c r="FF41" s="1633"/>
      <c r="FG41" s="1633"/>
      <c r="FH41" s="1633"/>
      <c r="FI41" s="1633"/>
      <c r="FJ41" s="1633"/>
      <c r="FK41" s="1633"/>
      <c r="FL41" s="1633"/>
      <c r="FM41" s="1633"/>
      <c r="FN41" s="1633"/>
      <c r="FO41" s="1633"/>
      <c r="FP41" s="1633"/>
      <c r="FQ41" s="1633"/>
      <c r="FR41" s="1633"/>
      <c r="FS41" s="1633"/>
      <c r="FT41" s="1633"/>
      <c r="FU41" s="1633"/>
      <c r="FV41" s="1633"/>
      <c r="FW41" s="1633"/>
      <c r="FX41" s="1633"/>
      <c r="FY41" s="1633"/>
      <c r="FZ41" s="1633"/>
      <c r="GA41" s="1633"/>
      <c r="GB41" s="1633"/>
      <c r="GC41" s="1633"/>
      <c r="GD41" s="1633"/>
      <c r="GE41" s="1633"/>
      <c r="GF41" s="1633"/>
      <c r="GG41" s="1633"/>
      <c r="GH41" s="1633"/>
      <c r="GI41" s="1633"/>
      <c r="GJ41" s="1633"/>
      <c r="GK41" s="1633"/>
      <c r="GL41" s="1633"/>
      <c r="GM41" s="1633"/>
      <c r="GN41" s="1633"/>
      <c r="GO41" s="1633"/>
      <c r="GP41" s="1633"/>
      <c r="GQ41" s="1633"/>
      <c r="GR41" s="1633"/>
      <c r="GS41" s="1633"/>
      <c r="GT41" s="1633"/>
      <c r="GU41" s="1633"/>
      <c r="GV41" s="1633"/>
      <c r="GW41" s="1633"/>
      <c r="GX41" s="1633"/>
      <c r="GY41" s="1633"/>
      <c r="GZ41" s="1633"/>
      <c r="HA41" s="1633"/>
      <c r="HB41" s="1633"/>
      <c r="HC41" s="1633"/>
      <c r="HD41" s="1633"/>
      <c r="HE41" s="1633"/>
      <c r="HF41" s="1633"/>
      <c r="HG41" s="1633"/>
      <c r="HH41" s="1633"/>
      <c r="HI41" s="1633"/>
      <c r="HJ41" s="1633"/>
      <c r="HK41" s="1633"/>
      <c r="HL41" s="1633"/>
      <c r="HM41" s="1633"/>
      <c r="HN41" s="1633"/>
      <c r="HO41" s="1633"/>
      <c r="HP41" s="1633"/>
      <c r="HQ41" s="1633"/>
      <c r="HR41" s="1633"/>
      <c r="HS41" s="1633"/>
      <c r="HT41" s="1633"/>
      <c r="HU41" s="1633"/>
      <c r="HV41" s="1633"/>
      <c r="HW41" s="1633"/>
      <c r="HX41" s="1633"/>
      <c r="HY41" s="1633"/>
      <c r="HZ41" s="1633"/>
      <c r="IA41" s="1633"/>
      <c r="IB41" s="1633"/>
      <c r="IC41" s="1633"/>
      <c r="ID41" s="1633"/>
      <c r="IE41" s="1633"/>
      <c r="IF41" s="1633"/>
      <c r="IG41" s="1633"/>
      <c r="IH41" s="1633"/>
      <c r="II41" s="1633"/>
      <c r="IJ41" s="1633"/>
      <c r="IK41" s="1633"/>
      <c r="IL41" s="1633"/>
      <c r="IM41" s="1633"/>
    </row>
    <row r="42" spans="1:247">
      <c r="A42" s="1627" t="s">
        <v>2007</v>
      </c>
      <c r="B42" s="1628">
        <f>审定资负表!C39</f>
        <v>0</v>
      </c>
      <c r="C42" s="1628">
        <f>审定资负表!D39</f>
        <v>0</v>
      </c>
      <c r="D42" s="1629" t="str">
        <f t="shared" si="0"/>
        <v> </v>
      </c>
      <c r="E42" s="1630">
        <f t="shared" si="1"/>
        <v>0</v>
      </c>
      <c r="F42" s="1631">
        <f t="shared" si="2"/>
        <v>0</v>
      </c>
      <c r="G42" s="1634"/>
      <c r="H42" s="1633"/>
      <c r="I42" s="1633"/>
      <c r="J42" s="1633"/>
      <c r="K42" s="1633"/>
      <c r="L42" s="1633"/>
      <c r="M42" s="1633"/>
      <c r="N42" s="1633"/>
      <c r="O42" s="1633"/>
      <c r="P42" s="1633"/>
      <c r="Q42" s="1633"/>
      <c r="R42" s="1633"/>
      <c r="S42" s="1633"/>
      <c r="T42" s="1633"/>
      <c r="U42" s="1633"/>
      <c r="V42" s="1633"/>
      <c r="W42" s="1633"/>
      <c r="X42" s="1633"/>
      <c r="Y42" s="1633"/>
      <c r="Z42" s="1633"/>
      <c r="AA42" s="1633"/>
      <c r="AB42" s="1633"/>
      <c r="AC42" s="1633"/>
      <c r="AD42" s="1633"/>
      <c r="AE42" s="1633"/>
      <c r="AF42" s="1633"/>
      <c r="AG42" s="1633"/>
      <c r="AH42" s="1633"/>
      <c r="AI42" s="1633"/>
      <c r="AJ42" s="1633"/>
      <c r="AK42" s="1633"/>
      <c r="AL42" s="1633"/>
      <c r="AM42" s="1633"/>
      <c r="AN42" s="1633"/>
      <c r="AO42" s="1633"/>
      <c r="AP42" s="1633"/>
      <c r="AQ42" s="1633"/>
      <c r="AR42" s="1633"/>
      <c r="AS42" s="1633"/>
      <c r="AT42" s="1633"/>
      <c r="AU42" s="1633"/>
      <c r="AV42" s="1633"/>
      <c r="AW42" s="1633"/>
      <c r="AX42" s="1633"/>
      <c r="AY42" s="1633"/>
      <c r="AZ42" s="1633"/>
      <c r="BA42" s="1633"/>
      <c r="BB42" s="1633"/>
      <c r="BC42" s="1633"/>
      <c r="BD42" s="1633"/>
      <c r="BE42" s="1633"/>
      <c r="BF42" s="1633"/>
      <c r="BG42" s="1633"/>
      <c r="BH42" s="1633"/>
      <c r="BI42" s="1633"/>
      <c r="BJ42" s="1633"/>
      <c r="BK42" s="1633"/>
      <c r="BL42" s="1633"/>
      <c r="BM42" s="1633"/>
      <c r="BN42" s="1633"/>
      <c r="BO42" s="1633"/>
      <c r="BP42" s="1633"/>
      <c r="BQ42" s="1633"/>
      <c r="BR42" s="1633"/>
      <c r="BS42" s="1633"/>
      <c r="BT42" s="1633"/>
      <c r="BU42" s="1633"/>
      <c r="BV42" s="1633"/>
      <c r="BW42" s="1633"/>
      <c r="BX42" s="1633"/>
      <c r="BY42" s="1633"/>
      <c r="BZ42" s="1633"/>
      <c r="CA42" s="1633"/>
      <c r="CB42" s="1633"/>
      <c r="CC42" s="1633"/>
      <c r="CD42" s="1633"/>
      <c r="CE42" s="1633"/>
      <c r="CF42" s="1633"/>
      <c r="CG42" s="1633"/>
      <c r="CH42" s="1633"/>
      <c r="CI42" s="1633"/>
      <c r="CJ42" s="1633"/>
      <c r="CK42" s="1633"/>
      <c r="CL42" s="1633"/>
      <c r="CM42" s="1633"/>
      <c r="CN42" s="1633"/>
      <c r="CO42" s="1633"/>
      <c r="CP42" s="1633"/>
      <c r="CQ42" s="1633"/>
      <c r="CR42" s="1633"/>
      <c r="CS42" s="1633"/>
      <c r="CT42" s="1633"/>
      <c r="CU42" s="1633"/>
      <c r="CV42" s="1633"/>
      <c r="CW42" s="1633"/>
      <c r="CX42" s="1633"/>
      <c r="CY42" s="1633"/>
      <c r="CZ42" s="1633"/>
      <c r="DA42" s="1633"/>
      <c r="DB42" s="1633"/>
      <c r="DC42" s="1633"/>
      <c r="DD42" s="1633"/>
      <c r="DE42" s="1633"/>
      <c r="DF42" s="1633"/>
      <c r="DG42" s="1633"/>
      <c r="DH42" s="1633"/>
      <c r="DI42" s="1633"/>
      <c r="DJ42" s="1633"/>
      <c r="DK42" s="1633"/>
      <c r="DL42" s="1633"/>
      <c r="DM42" s="1633"/>
      <c r="DN42" s="1633"/>
      <c r="DO42" s="1633"/>
      <c r="DP42" s="1633"/>
      <c r="DQ42" s="1633"/>
      <c r="DR42" s="1633"/>
      <c r="DS42" s="1633"/>
      <c r="DT42" s="1633"/>
      <c r="DU42" s="1633"/>
      <c r="DV42" s="1633"/>
      <c r="DW42" s="1633"/>
      <c r="DX42" s="1633"/>
      <c r="DY42" s="1633"/>
      <c r="DZ42" s="1633"/>
      <c r="EA42" s="1633"/>
      <c r="EB42" s="1633"/>
      <c r="EC42" s="1633"/>
      <c r="ED42" s="1633"/>
      <c r="EE42" s="1633"/>
      <c r="EF42" s="1633"/>
      <c r="EG42" s="1633"/>
      <c r="EH42" s="1633"/>
      <c r="EI42" s="1633"/>
      <c r="EJ42" s="1633"/>
      <c r="EK42" s="1633"/>
      <c r="EL42" s="1633"/>
      <c r="EM42" s="1633"/>
      <c r="EN42" s="1633"/>
      <c r="EO42" s="1633"/>
      <c r="EP42" s="1633"/>
      <c r="EQ42" s="1633"/>
      <c r="ER42" s="1633"/>
      <c r="ES42" s="1633"/>
      <c r="ET42" s="1633"/>
      <c r="EU42" s="1633"/>
      <c r="EV42" s="1633"/>
      <c r="EW42" s="1633"/>
      <c r="EX42" s="1633"/>
      <c r="EY42" s="1633"/>
      <c r="EZ42" s="1633"/>
      <c r="FA42" s="1633"/>
      <c r="FB42" s="1633"/>
      <c r="FC42" s="1633"/>
      <c r="FD42" s="1633"/>
      <c r="FE42" s="1633"/>
      <c r="FF42" s="1633"/>
      <c r="FG42" s="1633"/>
      <c r="FH42" s="1633"/>
      <c r="FI42" s="1633"/>
      <c r="FJ42" s="1633"/>
      <c r="FK42" s="1633"/>
      <c r="FL42" s="1633"/>
      <c r="FM42" s="1633"/>
      <c r="FN42" s="1633"/>
      <c r="FO42" s="1633"/>
      <c r="FP42" s="1633"/>
      <c r="FQ42" s="1633"/>
      <c r="FR42" s="1633"/>
      <c r="FS42" s="1633"/>
      <c r="FT42" s="1633"/>
      <c r="FU42" s="1633"/>
      <c r="FV42" s="1633"/>
      <c r="FW42" s="1633"/>
      <c r="FX42" s="1633"/>
      <c r="FY42" s="1633"/>
      <c r="FZ42" s="1633"/>
      <c r="GA42" s="1633"/>
      <c r="GB42" s="1633"/>
      <c r="GC42" s="1633"/>
      <c r="GD42" s="1633"/>
      <c r="GE42" s="1633"/>
      <c r="GF42" s="1633"/>
      <c r="GG42" s="1633"/>
      <c r="GH42" s="1633"/>
      <c r="GI42" s="1633"/>
      <c r="GJ42" s="1633"/>
      <c r="GK42" s="1633"/>
      <c r="GL42" s="1633"/>
      <c r="GM42" s="1633"/>
      <c r="GN42" s="1633"/>
      <c r="GO42" s="1633"/>
      <c r="GP42" s="1633"/>
      <c r="GQ42" s="1633"/>
      <c r="GR42" s="1633"/>
      <c r="GS42" s="1633"/>
      <c r="GT42" s="1633"/>
      <c r="GU42" s="1633"/>
      <c r="GV42" s="1633"/>
      <c r="GW42" s="1633"/>
      <c r="GX42" s="1633"/>
      <c r="GY42" s="1633"/>
      <c r="GZ42" s="1633"/>
      <c r="HA42" s="1633"/>
      <c r="HB42" s="1633"/>
      <c r="HC42" s="1633"/>
      <c r="HD42" s="1633"/>
      <c r="HE42" s="1633"/>
      <c r="HF42" s="1633"/>
      <c r="HG42" s="1633"/>
      <c r="HH42" s="1633"/>
      <c r="HI42" s="1633"/>
      <c r="HJ42" s="1633"/>
      <c r="HK42" s="1633"/>
      <c r="HL42" s="1633"/>
      <c r="HM42" s="1633"/>
      <c r="HN42" s="1633"/>
      <c r="HO42" s="1633"/>
      <c r="HP42" s="1633"/>
      <c r="HQ42" s="1633"/>
      <c r="HR42" s="1633"/>
      <c r="HS42" s="1633"/>
      <c r="HT42" s="1633"/>
      <c r="HU42" s="1633"/>
      <c r="HV42" s="1633"/>
      <c r="HW42" s="1633"/>
      <c r="HX42" s="1633"/>
      <c r="HY42" s="1633"/>
      <c r="HZ42" s="1633"/>
      <c r="IA42" s="1633"/>
      <c r="IB42" s="1633"/>
      <c r="IC42" s="1633"/>
      <c r="ID42" s="1633"/>
      <c r="IE42" s="1633"/>
      <c r="IF42" s="1633"/>
      <c r="IG42" s="1633"/>
      <c r="IH42" s="1633"/>
      <c r="II42" s="1633"/>
      <c r="IJ42" s="1633"/>
      <c r="IK42" s="1633"/>
      <c r="IL42" s="1633"/>
      <c r="IM42" s="1633"/>
    </row>
    <row r="43" spans="1:247">
      <c r="A43" s="1635" t="s">
        <v>256</v>
      </c>
      <c r="B43" s="1628">
        <f>审定资负表!C40</f>
        <v>0</v>
      </c>
      <c r="C43" s="1628">
        <f>审定资负表!D40</f>
        <v>0</v>
      </c>
      <c r="D43" s="1629" t="str">
        <f t="shared" si="0"/>
        <v> </v>
      </c>
      <c r="E43" s="1630">
        <f t="shared" si="1"/>
        <v>0</v>
      </c>
      <c r="F43" s="1631">
        <f t="shared" si="2"/>
        <v>0</v>
      </c>
      <c r="G43" s="1634"/>
      <c r="H43" s="1633"/>
      <c r="I43" s="1633"/>
      <c r="J43" s="1633"/>
      <c r="K43" s="1633"/>
      <c r="L43" s="1633"/>
      <c r="M43" s="1633"/>
      <c r="N43" s="1633"/>
      <c r="O43" s="1633"/>
      <c r="P43" s="1633"/>
      <c r="Q43" s="1633"/>
      <c r="R43" s="1633"/>
      <c r="S43" s="1633"/>
      <c r="T43" s="1633"/>
      <c r="U43" s="1633"/>
      <c r="V43" s="1633"/>
      <c r="W43" s="1633"/>
      <c r="X43" s="1633"/>
      <c r="Y43" s="1633"/>
      <c r="Z43" s="1633"/>
      <c r="AA43" s="1633"/>
      <c r="AB43" s="1633"/>
      <c r="AC43" s="1633"/>
      <c r="AD43" s="1633"/>
      <c r="AE43" s="1633"/>
      <c r="AF43" s="1633"/>
      <c r="AG43" s="1633"/>
      <c r="AH43" s="1633"/>
      <c r="AI43" s="1633"/>
      <c r="AJ43" s="1633"/>
      <c r="AK43" s="1633"/>
      <c r="AL43" s="1633"/>
      <c r="AM43" s="1633"/>
      <c r="AN43" s="1633"/>
      <c r="AO43" s="1633"/>
      <c r="AP43" s="1633"/>
      <c r="AQ43" s="1633"/>
      <c r="AR43" s="1633"/>
      <c r="AS43" s="1633"/>
      <c r="AT43" s="1633"/>
      <c r="AU43" s="1633"/>
      <c r="AV43" s="1633"/>
      <c r="AW43" s="1633"/>
      <c r="AX43" s="1633"/>
      <c r="AY43" s="1633"/>
      <c r="AZ43" s="1633"/>
      <c r="BA43" s="1633"/>
      <c r="BB43" s="1633"/>
      <c r="BC43" s="1633"/>
      <c r="BD43" s="1633"/>
      <c r="BE43" s="1633"/>
      <c r="BF43" s="1633"/>
      <c r="BG43" s="1633"/>
      <c r="BH43" s="1633"/>
      <c r="BI43" s="1633"/>
      <c r="BJ43" s="1633"/>
      <c r="BK43" s="1633"/>
      <c r="BL43" s="1633"/>
      <c r="BM43" s="1633"/>
      <c r="BN43" s="1633"/>
      <c r="BO43" s="1633"/>
      <c r="BP43" s="1633"/>
      <c r="BQ43" s="1633"/>
      <c r="BR43" s="1633"/>
      <c r="BS43" s="1633"/>
      <c r="BT43" s="1633"/>
      <c r="BU43" s="1633"/>
      <c r="BV43" s="1633"/>
      <c r="BW43" s="1633"/>
      <c r="BX43" s="1633"/>
      <c r="BY43" s="1633"/>
      <c r="BZ43" s="1633"/>
      <c r="CA43" s="1633"/>
      <c r="CB43" s="1633"/>
      <c r="CC43" s="1633"/>
      <c r="CD43" s="1633"/>
      <c r="CE43" s="1633"/>
      <c r="CF43" s="1633"/>
      <c r="CG43" s="1633"/>
      <c r="CH43" s="1633"/>
      <c r="CI43" s="1633"/>
      <c r="CJ43" s="1633"/>
      <c r="CK43" s="1633"/>
      <c r="CL43" s="1633"/>
      <c r="CM43" s="1633"/>
      <c r="CN43" s="1633"/>
      <c r="CO43" s="1633"/>
      <c r="CP43" s="1633"/>
      <c r="CQ43" s="1633"/>
      <c r="CR43" s="1633"/>
      <c r="CS43" s="1633"/>
      <c r="CT43" s="1633"/>
      <c r="CU43" s="1633"/>
      <c r="CV43" s="1633"/>
      <c r="CW43" s="1633"/>
      <c r="CX43" s="1633"/>
      <c r="CY43" s="1633"/>
      <c r="CZ43" s="1633"/>
      <c r="DA43" s="1633"/>
      <c r="DB43" s="1633"/>
      <c r="DC43" s="1633"/>
      <c r="DD43" s="1633"/>
      <c r="DE43" s="1633"/>
      <c r="DF43" s="1633"/>
      <c r="DG43" s="1633"/>
      <c r="DH43" s="1633"/>
      <c r="DI43" s="1633"/>
      <c r="DJ43" s="1633"/>
      <c r="DK43" s="1633"/>
      <c r="DL43" s="1633"/>
      <c r="DM43" s="1633"/>
      <c r="DN43" s="1633"/>
      <c r="DO43" s="1633"/>
      <c r="DP43" s="1633"/>
      <c r="DQ43" s="1633"/>
      <c r="DR43" s="1633"/>
      <c r="DS43" s="1633"/>
      <c r="DT43" s="1633"/>
      <c r="DU43" s="1633"/>
      <c r="DV43" s="1633"/>
      <c r="DW43" s="1633"/>
      <c r="DX43" s="1633"/>
      <c r="DY43" s="1633"/>
      <c r="DZ43" s="1633"/>
      <c r="EA43" s="1633"/>
      <c r="EB43" s="1633"/>
      <c r="EC43" s="1633"/>
      <c r="ED43" s="1633"/>
      <c r="EE43" s="1633"/>
      <c r="EF43" s="1633"/>
      <c r="EG43" s="1633"/>
      <c r="EH43" s="1633"/>
      <c r="EI43" s="1633"/>
      <c r="EJ43" s="1633"/>
      <c r="EK43" s="1633"/>
      <c r="EL43" s="1633"/>
      <c r="EM43" s="1633"/>
      <c r="EN43" s="1633"/>
      <c r="EO43" s="1633"/>
      <c r="EP43" s="1633"/>
      <c r="EQ43" s="1633"/>
      <c r="ER43" s="1633"/>
      <c r="ES43" s="1633"/>
      <c r="ET43" s="1633"/>
      <c r="EU43" s="1633"/>
      <c r="EV43" s="1633"/>
      <c r="EW43" s="1633"/>
      <c r="EX43" s="1633"/>
      <c r="EY43" s="1633"/>
      <c r="EZ43" s="1633"/>
      <c r="FA43" s="1633"/>
      <c r="FB43" s="1633"/>
      <c r="FC43" s="1633"/>
      <c r="FD43" s="1633"/>
      <c r="FE43" s="1633"/>
      <c r="FF43" s="1633"/>
      <c r="FG43" s="1633"/>
      <c r="FH43" s="1633"/>
      <c r="FI43" s="1633"/>
      <c r="FJ43" s="1633"/>
      <c r="FK43" s="1633"/>
      <c r="FL43" s="1633"/>
      <c r="FM43" s="1633"/>
      <c r="FN43" s="1633"/>
      <c r="FO43" s="1633"/>
      <c r="FP43" s="1633"/>
      <c r="FQ43" s="1633"/>
      <c r="FR43" s="1633"/>
      <c r="FS43" s="1633"/>
      <c r="FT43" s="1633"/>
      <c r="FU43" s="1633"/>
      <c r="FV43" s="1633"/>
      <c r="FW43" s="1633"/>
      <c r="FX43" s="1633"/>
      <c r="FY43" s="1633"/>
      <c r="FZ43" s="1633"/>
      <c r="GA43" s="1633"/>
      <c r="GB43" s="1633"/>
      <c r="GC43" s="1633"/>
      <c r="GD43" s="1633"/>
      <c r="GE43" s="1633"/>
      <c r="GF43" s="1633"/>
      <c r="GG43" s="1633"/>
      <c r="GH43" s="1633"/>
      <c r="GI43" s="1633"/>
      <c r="GJ43" s="1633"/>
      <c r="GK43" s="1633"/>
      <c r="GL43" s="1633"/>
      <c r="GM43" s="1633"/>
      <c r="GN43" s="1633"/>
      <c r="GO43" s="1633"/>
      <c r="GP43" s="1633"/>
      <c r="GQ43" s="1633"/>
      <c r="GR43" s="1633"/>
      <c r="GS43" s="1633"/>
      <c r="GT43" s="1633"/>
      <c r="GU43" s="1633"/>
      <c r="GV43" s="1633"/>
      <c r="GW43" s="1633"/>
      <c r="GX43" s="1633"/>
      <c r="GY43" s="1633"/>
      <c r="GZ43" s="1633"/>
      <c r="HA43" s="1633"/>
      <c r="HB43" s="1633"/>
      <c r="HC43" s="1633"/>
      <c r="HD43" s="1633"/>
      <c r="HE43" s="1633"/>
      <c r="HF43" s="1633"/>
      <c r="HG43" s="1633"/>
      <c r="HH43" s="1633"/>
      <c r="HI43" s="1633"/>
      <c r="HJ43" s="1633"/>
      <c r="HK43" s="1633"/>
      <c r="HL43" s="1633"/>
      <c r="HM43" s="1633"/>
      <c r="HN43" s="1633"/>
      <c r="HO43" s="1633"/>
      <c r="HP43" s="1633"/>
      <c r="HQ43" s="1633"/>
      <c r="HR43" s="1633"/>
      <c r="HS43" s="1633"/>
      <c r="HT43" s="1633"/>
      <c r="HU43" s="1633"/>
      <c r="HV43" s="1633"/>
      <c r="HW43" s="1633"/>
      <c r="HX43" s="1633"/>
      <c r="HY43" s="1633"/>
      <c r="HZ43" s="1633"/>
      <c r="IA43" s="1633"/>
      <c r="IB43" s="1633"/>
      <c r="IC43" s="1633"/>
      <c r="ID43" s="1633"/>
      <c r="IE43" s="1633"/>
      <c r="IF43" s="1633"/>
      <c r="IG43" s="1633"/>
      <c r="IH43" s="1633"/>
      <c r="II43" s="1633"/>
      <c r="IJ43" s="1633"/>
      <c r="IK43" s="1633"/>
      <c r="IL43" s="1633"/>
      <c r="IM43" s="1633"/>
    </row>
    <row r="44" spans="1:247">
      <c r="A44" s="1627"/>
      <c r="B44" s="1628">
        <f>审定资负表!C41</f>
        <v>0</v>
      </c>
      <c r="C44" s="1628">
        <f>审定资负表!D41</f>
        <v>0</v>
      </c>
      <c r="D44" s="1629" t="str">
        <f t="shared" si="0"/>
        <v> </v>
      </c>
      <c r="E44" s="1630">
        <f t="shared" si="1"/>
        <v>0</v>
      </c>
      <c r="F44" s="1631">
        <f t="shared" si="2"/>
        <v>0</v>
      </c>
      <c r="G44" s="1634"/>
      <c r="H44" s="1633"/>
      <c r="I44" s="1633"/>
      <c r="J44" s="1633"/>
      <c r="K44" s="1633"/>
      <c r="L44" s="1633"/>
      <c r="M44" s="1633"/>
      <c r="N44" s="1633"/>
      <c r="O44" s="1633"/>
      <c r="P44" s="1633"/>
      <c r="Q44" s="1633"/>
      <c r="R44" s="1633"/>
      <c r="S44" s="1633"/>
      <c r="T44" s="1633"/>
      <c r="U44" s="1633"/>
      <c r="V44" s="1633"/>
      <c r="W44" s="1633"/>
      <c r="X44" s="1633"/>
      <c r="Y44" s="1633"/>
      <c r="Z44" s="1633"/>
      <c r="AA44" s="1633"/>
      <c r="AB44" s="1633"/>
      <c r="AC44" s="1633"/>
      <c r="AD44" s="1633"/>
      <c r="AE44" s="1633"/>
      <c r="AF44" s="1633"/>
      <c r="AG44" s="1633"/>
      <c r="AH44" s="1633"/>
      <c r="AI44" s="1633"/>
      <c r="AJ44" s="1633"/>
      <c r="AK44" s="1633"/>
      <c r="AL44" s="1633"/>
      <c r="AM44" s="1633"/>
      <c r="AN44" s="1633"/>
      <c r="AO44" s="1633"/>
      <c r="AP44" s="1633"/>
      <c r="AQ44" s="1633"/>
      <c r="AR44" s="1633"/>
      <c r="AS44" s="1633"/>
      <c r="AT44" s="1633"/>
      <c r="AU44" s="1633"/>
      <c r="AV44" s="1633"/>
      <c r="AW44" s="1633"/>
      <c r="AX44" s="1633"/>
      <c r="AY44" s="1633"/>
      <c r="AZ44" s="1633"/>
      <c r="BA44" s="1633"/>
      <c r="BB44" s="1633"/>
      <c r="BC44" s="1633"/>
      <c r="BD44" s="1633"/>
      <c r="BE44" s="1633"/>
      <c r="BF44" s="1633"/>
      <c r="BG44" s="1633"/>
      <c r="BH44" s="1633"/>
      <c r="BI44" s="1633"/>
      <c r="BJ44" s="1633"/>
      <c r="BK44" s="1633"/>
      <c r="BL44" s="1633"/>
      <c r="BM44" s="1633"/>
      <c r="BN44" s="1633"/>
      <c r="BO44" s="1633"/>
      <c r="BP44" s="1633"/>
      <c r="BQ44" s="1633"/>
      <c r="BR44" s="1633"/>
      <c r="BS44" s="1633"/>
      <c r="BT44" s="1633"/>
      <c r="BU44" s="1633"/>
      <c r="BV44" s="1633"/>
      <c r="BW44" s="1633"/>
      <c r="BX44" s="1633"/>
      <c r="BY44" s="1633"/>
      <c r="BZ44" s="1633"/>
      <c r="CA44" s="1633"/>
      <c r="CB44" s="1633"/>
      <c r="CC44" s="1633"/>
      <c r="CD44" s="1633"/>
      <c r="CE44" s="1633"/>
      <c r="CF44" s="1633"/>
      <c r="CG44" s="1633"/>
      <c r="CH44" s="1633"/>
      <c r="CI44" s="1633"/>
      <c r="CJ44" s="1633"/>
      <c r="CK44" s="1633"/>
      <c r="CL44" s="1633"/>
      <c r="CM44" s="1633"/>
      <c r="CN44" s="1633"/>
      <c r="CO44" s="1633"/>
      <c r="CP44" s="1633"/>
      <c r="CQ44" s="1633"/>
      <c r="CR44" s="1633"/>
      <c r="CS44" s="1633"/>
      <c r="CT44" s="1633"/>
      <c r="CU44" s="1633"/>
      <c r="CV44" s="1633"/>
      <c r="CW44" s="1633"/>
      <c r="CX44" s="1633"/>
      <c r="CY44" s="1633"/>
      <c r="CZ44" s="1633"/>
      <c r="DA44" s="1633"/>
      <c r="DB44" s="1633"/>
      <c r="DC44" s="1633"/>
      <c r="DD44" s="1633"/>
      <c r="DE44" s="1633"/>
      <c r="DF44" s="1633"/>
      <c r="DG44" s="1633"/>
      <c r="DH44" s="1633"/>
      <c r="DI44" s="1633"/>
      <c r="DJ44" s="1633"/>
      <c r="DK44" s="1633"/>
      <c r="DL44" s="1633"/>
      <c r="DM44" s="1633"/>
      <c r="DN44" s="1633"/>
      <c r="DO44" s="1633"/>
      <c r="DP44" s="1633"/>
      <c r="DQ44" s="1633"/>
      <c r="DR44" s="1633"/>
      <c r="DS44" s="1633"/>
      <c r="DT44" s="1633"/>
      <c r="DU44" s="1633"/>
      <c r="DV44" s="1633"/>
      <c r="DW44" s="1633"/>
      <c r="DX44" s="1633"/>
      <c r="DY44" s="1633"/>
      <c r="DZ44" s="1633"/>
      <c r="EA44" s="1633"/>
      <c r="EB44" s="1633"/>
      <c r="EC44" s="1633"/>
      <c r="ED44" s="1633"/>
      <c r="EE44" s="1633"/>
      <c r="EF44" s="1633"/>
      <c r="EG44" s="1633"/>
      <c r="EH44" s="1633"/>
      <c r="EI44" s="1633"/>
      <c r="EJ44" s="1633"/>
      <c r="EK44" s="1633"/>
      <c r="EL44" s="1633"/>
      <c r="EM44" s="1633"/>
      <c r="EN44" s="1633"/>
      <c r="EO44" s="1633"/>
      <c r="EP44" s="1633"/>
      <c r="EQ44" s="1633"/>
      <c r="ER44" s="1633"/>
      <c r="ES44" s="1633"/>
      <c r="ET44" s="1633"/>
      <c r="EU44" s="1633"/>
      <c r="EV44" s="1633"/>
      <c r="EW44" s="1633"/>
      <c r="EX44" s="1633"/>
      <c r="EY44" s="1633"/>
      <c r="EZ44" s="1633"/>
      <c r="FA44" s="1633"/>
      <c r="FB44" s="1633"/>
      <c r="FC44" s="1633"/>
      <c r="FD44" s="1633"/>
      <c r="FE44" s="1633"/>
      <c r="FF44" s="1633"/>
      <c r="FG44" s="1633"/>
      <c r="FH44" s="1633"/>
      <c r="FI44" s="1633"/>
      <c r="FJ44" s="1633"/>
      <c r="FK44" s="1633"/>
      <c r="FL44" s="1633"/>
      <c r="FM44" s="1633"/>
      <c r="FN44" s="1633"/>
      <c r="FO44" s="1633"/>
      <c r="FP44" s="1633"/>
      <c r="FQ44" s="1633"/>
      <c r="FR44" s="1633"/>
      <c r="FS44" s="1633"/>
      <c r="FT44" s="1633"/>
      <c r="FU44" s="1633"/>
      <c r="FV44" s="1633"/>
      <c r="FW44" s="1633"/>
      <c r="FX44" s="1633"/>
      <c r="FY44" s="1633"/>
      <c r="FZ44" s="1633"/>
      <c r="GA44" s="1633"/>
      <c r="GB44" s="1633"/>
      <c r="GC44" s="1633"/>
      <c r="GD44" s="1633"/>
      <c r="GE44" s="1633"/>
      <c r="GF44" s="1633"/>
      <c r="GG44" s="1633"/>
      <c r="GH44" s="1633"/>
      <c r="GI44" s="1633"/>
      <c r="GJ44" s="1633"/>
      <c r="GK44" s="1633"/>
      <c r="GL44" s="1633"/>
      <c r="GM44" s="1633"/>
      <c r="GN44" s="1633"/>
      <c r="GO44" s="1633"/>
      <c r="GP44" s="1633"/>
      <c r="GQ44" s="1633"/>
      <c r="GR44" s="1633"/>
      <c r="GS44" s="1633"/>
      <c r="GT44" s="1633"/>
      <c r="GU44" s="1633"/>
      <c r="GV44" s="1633"/>
      <c r="GW44" s="1633"/>
      <c r="GX44" s="1633"/>
      <c r="GY44" s="1633"/>
      <c r="GZ44" s="1633"/>
      <c r="HA44" s="1633"/>
      <c r="HB44" s="1633"/>
      <c r="HC44" s="1633"/>
      <c r="HD44" s="1633"/>
      <c r="HE44" s="1633"/>
      <c r="HF44" s="1633"/>
      <c r="HG44" s="1633"/>
      <c r="HH44" s="1633"/>
      <c r="HI44" s="1633"/>
      <c r="HJ44" s="1633"/>
      <c r="HK44" s="1633"/>
      <c r="HL44" s="1633"/>
      <c r="HM44" s="1633"/>
      <c r="HN44" s="1633"/>
      <c r="HO44" s="1633"/>
      <c r="HP44" s="1633"/>
      <c r="HQ44" s="1633"/>
      <c r="HR44" s="1633"/>
      <c r="HS44" s="1633"/>
      <c r="HT44" s="1633"/>
      <c r="HU44" s="1633"/>
      <c r="HV44" s="1633"/>
      <c r="HW44" s="1633"/>
      <c r="HX44" s="1633"/>
      <c r="HY44" s="1633"/>
      <c r="HZ44" s="1633"/>
      <c r="IA44" s="1633"/>
      <c r="IB44" s="1633"/>
      <c r="IC44" s="1633"/>
      <c r="ID44" s="1633"/>
      <c r="IE44" s="1633"/>
      <c r="IF44" s="1633"/>
      <c r="IG44" s="1633"/>
      <c r="IH44" s="1633"/>
      <c r="II44" s="1633"/>
      <c r="IJ44" s="1633"/>
      <c r="IK44" s="1633"/>
      <c r="IL44" s="1633"/>
      <c r="IM44" s="1633"/>
    </row>
    <row r="45" spans="1:247">
      <c r="A45" s="1627"/>
      <c r="B45" s="1628">
        <f>审定资负表!C42</f>
        <v>0</v>
      </c>
      <c r="C45" s="1628">
        <f>审定资负表!D42</f>
        <v>0</v>
      </c>
      <c r="D45" s="1629" t="str">
        <f t="shared" si="0"/>
        <v> </v>
      </c>
      <c r="E45" s="1630">
        <f t="shared" si="1"/>
        <v>0</v>
      </c>
      <c r="F45" s="1631">
        <f t="shared" si="2"/>
        <v>0</v>
      </c>
      <c r="G45" s="1634"/>
      <c r="H45" s="1633"/>
      <c r="I45" s="1633"/>
      <c r="J45" s="1633"/>
      <c r="K45" s="1633"/>
      <c r="L45" s="1633"/>
      <c r="M45" s="1633"/>
      <c r="N45" s="1633"/>
      <c r="O45" s="1633"/>
      <c r="P45" s="1633"/>
      <c r="Q45" s="1633"/>
      <c r="R45" s="1633"/>
      <c r="S45" s="1633"/>
      <c r="T45" s="1633"/>
      <c r="U45" s="1633"/>
      <c r="V45" s="1633"/>
      <c r="W45" s="1633"/>
      <c r="X45" s="1633"/>
      <c r="Y45" s="1633"/>
      <c r="Z45" s="1633"/>
      <c r="AA45" s="1633"/>
      <c r="AB45" s="1633"/>
      <c r="AC45" s="1633"/>
      <c r="AD45" s="1633"/>
      <c r="AE45" s="1633"/>
      <c r="AF45" s="1633"/>
      <c r="AG45" s="1633"/>
      <c r="AH45" s="1633"/>
      <c r="AI45" s="1633"/>
      <c r="AJ45" s="1633"/>
      <c r="AK45" s="1633"/>
      <c r="AL45" s="1633"/>
      <c r="AM45" s="1633"/>
      <c r="AN45" s="1633"/>
      <c r="AO45" s="1633"/>
      <c r="AP45" s="1633"/>
      <c r="AQ45" s="1633"/>
      <c r="AR45" s="1633"/>
      <c r="AS45" s="1633"/>
      <c r="AT45" s="1633"/>
      <c r="AU45" s="1633"/>
      <c r="AV45" s="1633"/>
      <c r="AW45" s="1633"/>
      <c r="AX45" s="1633"/>
      <c r="AY45" s="1633"/>
      <c r="AZ45" s="1633"/>
      <c r="BA45" s="1633"/>
      <c r="BB45" s="1633"/>
      <c r="BC45" s="1633"/>
      <c r="BD45" s="1633"/>
      <c r="BE45" s="1633"/>
      <c r="BF45" s="1633"/>
      <c r="BG45" s="1633"/>
      <c r="BH45" s="1633"/>
      <c r="BI45" s="1633"/>
      <c r="BJ45" s="1633"/>
      <c r="BK45" s="1633"/>
      <c r="BL45" s="1633"/>
      <c r="BM45" s="1633"/>
      <c r="BN45" s="1633"/>
      <c r="BO45" s="1633"/>
      <c r="BP45" s="1633"/>
      <c r="BQ45" s="1633"/>
      <c r="BR45" s="1633"/>
      <c r="BS45" s="1633"/>
      <c r="BT45" s="1633"/>
      <c r="BU45" s="1633"/>
      <c r="BV45" s="1633"/>
      <c r="BW45" s="1633"/>
      <c r="BX45" s="1633"/>
      <c r="BY45" s="1633"/>
      <c r="BZ45" s="1633"/>
      <c r="CA45" s="1633"/>
      <c r="CB45" s="1633"/>
      <c r="CC45" s="1633"/>
      <c r="CD45" s="1633"/>
      <c r="CE45" s="1633"/>
      <c r="CF45" s="1633"/>
      <c r="CG45" s="1633"/>
      <c r="CH45" s="1633"/>
      <c r="CI45" s="1633"/>
      <c r="CJ45" s="1633"/>
      <c r="CK45" s="1633"/>
      <c r="CL45" s="1633"/>
      <c r="CM45" s="1633"/>
      <c r="CN45" s="1633"/>
      <c r="CO45" s="1633"/>
      <c r="CP45" s="1633"/>
      <c r="CQ45" s="1633"/>
      <c r="CR45" s="1633"/>
      <c r="CS45" s="1633"/>
      <c r="CT45" s="1633"/>
      <c r="CU45" s="1633"/>
      <c r="CV45" s="1633"/>
      <c r="CW45" s="1633"/>
      <c r="CX45" s="1633"/>
      <c r="CY45" s="1633"/>
      <c r="CZ45" s="1633"/>
      <c r="DA45" s="1633"/>
      <c r="DB45" s="1633"/>
      <c r="DC45" s="1633"/>
      <c r="DD45" s="1633"/>
      <c r="DE45" s="1633"/>
      <c r="DF45" s="1633"/>
      <c r="DG45" s="1633"/>
      <c r="DH45" s="1633"/>
      <c r="DI45" s="1633"/>
      <c r="DJ45" s="1633"/>
      <c r="DK45" s="1633"/>
      <c r="DL45" s="1633"/>
      <c r="DM45" s="1633"/>
      <c r="DN45" s="1633"/>
      <c r="DO45" s="1633"/>
      <c r="DP45" s="1633"/>
      <c r="DQ45" s="1633"/>
      <c r="DR45" s="1633"/>
      <c r="DS45" s="1633"/>
      <c r="DT45" s="1633"/>
      <c r="DU45" s="1633"/>
      <c r="DV45" s="1633"/>
      <c r="DW45" s="1633"/>
      <c r="DX45" s="1633"/>
      <c r="DY45" s="1633"/>
      <c r="DZ45" s="1633"/>
      <c r="EA45" s="1633"/>
      <c r="EB45" s="1633"/>
      <c r="EC45" s="1633"/>
      <c r="ED45" s="1633"/>
      <c r="EE45" s="1633"/>
      <c r="EF45" s="1633"/>
      <c r="EG45" s="1633"/>
      <c r="EH45" s="1633"/>
      <c r="EI45" s="1633"/>
      <c r="EJ45" s="1633"/>
      <c r="EK45" s="1633"/>
      <c r="EL45" s="1633"/>
      <c r="EM45" s="1633"/>
      <c r="EN45" s="1633"/>
      <c r="EO45" s="1633"/>
      <c r="EP45" s="1633"/>
      <c r="EQ45" s="1633"/>
      <c r="ER45" s="1633"/>
      <c r="ES45" s="1633"/>
      <c r="ET45" s="1633"/>
      <c r="EU45" s="1633"/>
      <c r="EV45" s="1633"/>
      <c r="EW45" s="1633"/>
      <c r="EX45" s="1633"/>
      <c r="EY45" s="1633"/>
      <c r="EZ45" s="1633"/>
      <c r="FA45" s="1633"/>
      <c r="FB45" s="1633"/>
      <c r="FC45" s="1633"/>
      <c r="FD45" s="1633"/>
      <c r="FE45" s="1633"/>
      <c r="FF45" s="1633"/>
      <c r="FG45" s="1633"/>
      <c r="FH45" s="1633"/>
      <c r="FI45" s="1633"/>
      <c r="FJ45" s="1633"/>
      <c r="FK45" s="1633"/>
      <c r="FL45" s="1633"/>
      <c r="FM45" s="1633"/>
      <c r="FN45" s="1633"/>
      <c r="FO45" s="1633"/>
      <c r="FP45" s="1633"/>
      <c r="FQ45" s="1633"/>
      <c r="FR45" s="1633"/>
      <c r="FS45" s="1633"/>
      <c r="FT45" s="1633"/>
      <c r="FU45" s="1633"/>
      <c r="FV45" s="1633"/>
      <c r="FW45" s="1633"/>
      <c r="FX45" s="1633"/>
      <c r="FY45" s="1633"/>
      <c r="FZ45" s="1633"/>
      <c r="GA45" s="1633"/>
      <c r="GB45" s="1633"/>
      <c r="GC45" s="1633"/>
      <c r="GD45" s="1633"/>
      <c r="GE45" s="1633"/>
      <c r="GF45" s="1633"/>
      <c r="GG45" s="1633"/>
      <c r="GH45" s="1633"/>
      <c r="GI45" s="1633"/>
      <c r="GJ45" s="1633"/>
      <c r="GK45" s="1633"/>
      <c r="GL45" s="1633"/>
      <c r="GM45" s="1633"/>
      <c r="GN45" s="1633"/>
      <c r="GO45" s="1633"/>
      <c r="GP45" s="1633"/>
      <c r="GQ45" s="1633"/>
      <c r="GR45" s="1633"/>
      <c r="GS45" s="1633"/>
      <c r="GT45" s="1633"/>
      <c r="GU45" s="1633"/>
      <c r="GV45" s="1633"/>
      <c r="GW45" s="1633"/>
      <c r="GX45" s="1633"/>
      <c r="GY45" s="1633"/>
      <c r="GZ45" s="1633"/>
      <c r="HA45" s="1633"/>
      <c r="HB45" s="1633"/>
      <c r="HC45" s="1633"/>
      <c r="HD45" s="1633"/>
      <c r="HE45" s="1633"/>
      <c r="HF45" s="1633"/>
      <c r="HG45" s="1633"/>
      <c r="HH45" s="1633"/>
      <c r="HI45" s="1633"/>
      <c r="HJ45" s="1633"/>
      <c r="HK45" s="1633"/>
      <c r="HL45" s="1633"/>
      <c r="HM45" s="1633"/>
      <c r="HN45" s="1633"/>
      <c r="HO45" s="1633"/>
      <c r="HP45" s="1633"/>
      <c r="HQ45" s="1633"/>
      <c r="HR45" s="1633"/>
      <c r="HS45" s="1633"/>
      <c r="HT45" s="1633"/>
      <c r="HU45" s="1633"/>
      <c r="HV45" s="1633"/>
      <c r="HW45" s="1633"/>
      <c r="HX45" s="1633"/>
      <c r="HY45" s="1633"/>
      <c r="HZ45" s="1633"/>
      <c r="IA45" s="1633"/>
      <c r="IB45" s="1633"/>
      <c r="IC45" s="1633"/>
      <c r="ID45" s="1633"/>
      <c r="IE45" s="1633"/>
      <c r="IF45" s="1633"/>
      <c r="IG45" s="1633"/>
      <c r="IH45" s="1633"/>
      <c r="II45" s="1633"/>
      <c r="IJ45" s="1633"/>
      <c r="IK45" s="1633"/>
      <c r="IL45" s="1633"/>
      <c r="IM45" s="1633"/>
    </row>
    <row r="46" spans="1:247">
      <c r="A46" s="1627"/>
      <c r="B46" s="1628">
        <f>审定资负表!C43</f>
        <v>0</v>
      </c>
      <c r="C46" s="1628">
        <f>审定资负表!D43</f>
        <v>0</v>
      </c>
      <c r="D46" s="1629" t="str">
        <f t="shared" si="0"/>
        <v> </v>
      </c>
      <c r="E46" s="1630">
        <f t="shared" si="1"/>
        <v>0</v>
      </c>
      <c r="F46" s="1631">
        <f t="shared" si="2"/>
        <v>0</v>
      </c>
      <c r="G46" s="1634"/>
      <c r="H46" s="1633"/>
      <c r="I46" s="1633"/>
      <c r="J46" s="1633"/>
      <c r="K46" s="1633"/>
      <c r="L46" s="1633"/>
      <c r="M46" s="1633"/>
      <c r="N46" s="1633"/>
      <c r="O46" s="1633"/>
      <c r="P46" s="1633"/>
      <c r="Q46" s="1633"/>
      <c r="R46" s="1633"/>
      <c r="S46" s="1633"/>
      <c r="T46" s="1633"/>
      <c r="U46" s="1633"/>
      <c r="V46" s="1633"/>
      <c r="W46" s="1633"/>
      <c r="X46" s="1633"/>
      <c r="Y46" s="1633"/>
      <c r="Z46" s="1633"/>
      <c r="AA46" s="1633"/>
      <c r="AB46" s="1633"/>
      <c r="AC46" s="1633"/>
      <c r="AD46" s="1633"/>
      <c r="AE46" s="1633"/>
      <c r="AF46" s="1633"/>
      <c r="AG46" s="1633"/>
      <c r="AH46" s="1633"/>
      <c r="AI46" s="1633"/>
      <c r="AJ46" s="1633"/>
      <c r="AK46" s="1633"/>
      <c r="AL46" s="1633"/>
      <c r="AM46" s="1633"/>
      <c r="AN46" s="1633"/>
      <c r="AO46" s="1633"/>
      <c r="AP46" s="1633"/>
      <c r="AQ46" s="1633"/>
      <c r="AR46" s="1633"/>
      <c r="AS46" s="1633"/>
      <c r="AT46" s="1633"/>
      <c r="AU46" s="1633"/>
      <c r="AV46" s="1633"/>
      <c r="AW46" s="1633"/>
      <c r="AX46" s="1633"/>
      <c r="AY46" s="1633"/>
      <c r="AZ46" s="1633"/>
      <c r="BA46" s="1633"/>
      <c r="BB46" s="1633"/>
      <c r="BC46" s="1633"/>
      <c r="BD46" s="1633"/>
      <c r="BE46" s="1633"/>
      <c r="BF46" s="1633"/>
      <c r="BG46" s="1633"/>
      <c r="BH46" s="1633"/>
      <c r="BI46" s="1633"/>
      <c r="BJ46" s="1633"/>
      <c r="BK46" s="1633"/>
      <c r="BL46" s="1633"/>
      <c r="BM46" s="1633"/>
      <c r="BN46" s="1633"/>
      <c r="BO46" s="1633"/>
      <c r="BP46" s="1633"/>
      <c r="BQ46" s="1633"/>
      <c r="BR46" s="1633"/>
      <c r="BS46" s="1633"/>
      <c r="BT46" s="1633"/>
      <c r="BU46" s="1633"/>
      <c r="BV46" s="1633"/>
      <c r="BW46" s="1633"/>
      <c r="BX46" s="1633"/>
      <c r="BY46" s="1633"/>
      <c r="BZ46" s="1633"/>
      <c r="CA46" s="1633"/>
      <c r="CB46" s="1633"/>
      <c r="CC46" s="1633"/>
      <c r="CD46" s="1633"/>
      <c r="CE46" s="1633"/>
      <c r="CF46" s="1633"/>
      <c r="CG46" s="1633"/>
      <c r="CH46" s="1633"/>
      <c r="CI46" s="1633"/>
      <c r="CJ46" s="1633"/>
      <c r="CK46" s="1633"/>
      <c r="CL46" s="1633"/>
      <c r="CM46" s="1633"/>
      <c r="CN46" s="1633"/>
      <c r="CO46" s="1633"/>
      <c r="CP46" s="1633"/>
      <c r="CQ46" s="1633"/>
      <c r="CR46" s="1633"/>
      <c r="CS46" s="1633"/>
      <c r="CT46" s="1633"/>
      <c r="CU46" s="1633"/>
      <c r="CV46" s="1633"/>
      <c r="CW46" s="1633"/>
      <c r="CX46" s="1633"/>
      <c r="CY46" s="1633"/>
      <c r="CZ46" s="1633"/>
      <c r="DA46" s="1633"/>
      <c r="DB46" s="1633"/>
      <c r="DC46" s="1633"/>
      <c r="DD46" s="1633"/>
      <c r="DE46" s="1633"/>
      <c r="DF46" s="1633"/>
      <c r="DG46" s="1633"/>
      <c r="DH46" s="1633"/>
      <c r="DI46" s="1633"/>
      <c r="DJ46" s="1633"/>
      <c r="DK46" s="1633"/>
      <c r="DL46" s="1633"/>
      <c r="DM46" s="1633"/>
      <c r="DN46" s="1633"/>
      <c r="DO46" s="1633"/>
      <c r="DP46" s="1633"/>
      <c r="DQ46" s="1633"/>
      <c r="DR46" s="1633"/>
      <c r="DS46" s="1633"/>
      <c r="DT46" s="1633"/>
      <c r="DU46" s="1633"/>
      <c r="DV46" s="1633"/>
      <c r="DW46" s="1633"/>
      <c r="DX46" s="1633"/>
      <c r="DY46" s="1633"/>
      <c r="DZ46" s="1633"/>
      <c r="EA46" s="1633"/>
      <c r="EB46" s="1633"/>
      <c r="EC46" s="1633"/>
      <c r="ED46" s="1633"/>
      <c r="EE46" s="1633"/>
      <c r="EF46" s="1633"/>
      <c r="EG46" s="1633"/>
      <c r="EH46" s="1633"/>
      <c r="EI46" s="1633"/>
      <c r="EJ46" s="1633"/>
      <c r="EK46" s="1633"/>
      <c r="EL46" s="1633"/>
      <c r="EM46" s="1633"/>
      <c r="EN46" s="1633"/>
      <c r="EO46" s="1633"/>
      <c r="EP46" s="1633"/>
      <c r="EQ46" s="1633"/>
      <c r="ER46" s="1633"/>
      <c r="ES46" s="1633"/>
      <c r="ET46" s="1633"/>
      <c r="EU46" s="1633"/>
      <c r="EV46" s="1633"/>
      <c r="EW46" s="1633"/>
      <c r="EX46" s="1633"/>
      <c r="EY46" s="1633"/>
      <c r="EZ46" s="1633"/>
      <c r="FA46" s="1633"/>
      <c r="FB46" s="1633"/>
      <c r="FC46" s="1633"/>
      <c r="FD46" s="1633"/>
      <c r="FE46" s="1633"/>
      <c r="FF46" s="1633"/>
      <c r="FG46" s="1633"/>
      <c r="FH46" s="1633"/>
      <c r="FI46" s="1633"/>
      <c r="FJ46" s="1633"/>
      <c r="FK46" s="1633"/>
      <c r="FL46" s="1633"/>
      <c r="FM46" s="1633"/>
      <c r="FN46" s="1633"/>
      <c r="FO46" s="1633"/>
      <c r="FP46" s="1633"/>
      <c r="FQ46" s="1633"/>
      <c r="FR46" s="1633"/>
      <c r="FS46" s="1633"/>
      <c r="FT46" s="1633"/>
      <c r="FU46" s="1633"/>
      <c r="FV46" s="1633"/>
      <c r="FW46" s="1633"/>
      <c r="FX46" s="1633"/>
      <c r="FY46" s="1633"/>
      <c r="FZ46" s="1633"/>
      <c r="GA46" s="1633"/>
      <c r="GB46" s="1633"/>
      <c r="GC46" s="1633"/>
      <c r="GD46" s="1633"/>
      <c r="GE46" s="1633"/>
      <c r="GF46" s="1633"/>
      <c r="GG46" s="1633"/>
      <c r="GH46" s="1633"/>
      <c r="GI46" s="1633"/>
      <c r="GJ46" s="1633"/>
      <c r="GK46" s="1633"/>
      <c r="GL46" s="1633"/>
      <c r="GM46" s="1633"/>
      <c r="GN46" s="1633"/>
      <c r="GO46" s="1633"/>
      <c r="GP46" s="1633"/>
      <c r="GQ46" s="1633"/>
      <c r="GR46" s="1633"/>
      <c r="GS46" s="1633"/>
      <c r="GT46" s="1633"/>
      <c r="GU46" s="1633"/>
      <c r="GV46" s="1633"/>
      <c r="GW46" s="1633"/>
      <c r="GX46" s="1633"/>
      <c r="GY46" s="1633"/>
      <c r="GZ46" s="1633"/>
      <c r="HA46" s="1633"/>
      <c r="HB46" s="1633"/>
      <c r="HC46" s="1633"/>
      <c r="HD46" s="1633"/>
      <c r="HE46" s="1633"/>
      <c r="HF46" s="1633"/>
      <c r="HG46" s="1633"/>
      <c r="HH46" s="1633"/>
      <c r="HI46" s="1633"/>
      <c r="HJ46" s="1633"/>
      <c r="HK46" s="1633"/>
      <c r="HL46" s="1633"/>
      <c r="HM46" s="1633"/>
      <c r="HN46" s="1633"/>
      <c r="HO46" s="1633"/>
      <c r="HP46" s="1633"/>
      <c r="HQ46" s="1633"/>
      <c r="HR46" s="1633"/>
      <c r="HS46" s="1633"/>
      <c r="HT46" s="1633"/>
      <c r="HU46" s="1633"/>
      <c r="HV46" s="1633"/>
      <c r="HW46" s="1633"/>
      <c r="HX46" s="1633"/>
      <c r="HY46" s="1633"/>
      <c r="HZ46" s="1633"/>
      <c r="IA46" s="1633"/>
      <c r="IB46" s="1633"/>
      <c r="IC46" s="1633"/>
      <c r="ID46" s="1633"/>
      <c r="IE46" s="1633"/>
      <c r="IF46" s="1633"/>
      <c r="IG46" s="1633"/>
      <c r="IH46" s="1633"/>
      <c r="II46" s="1633"/>
      <c r="IJ46" s="1633"/>
      <c r="IK46" s="1633"/>
      <c r="IL46" s="1633"/>
      <c r="IM46" s="1633"/>
    </row>
    <row r="47" spans="1:247">
      <c r="A47" s="1627"/>
      <c r="B47" s="1628">
        <f>审定资负表!C44</f>
        <v>0</v>
      </c>
      <c r="C47" s="1628">
        <f>审定资负表!D44</f>
        <v>0</v>
      </c>
      <c r="D47" s="1629" t="str">
        <f t="shared" si="0"/>
        <v> </v>
      </c>
      <c r="E47" s="1630">
        <f t="shared" si="1"/>
        <v>0</v>
      </c>
      <c r="F47" s="1631">
        <f t="shared" si="2"/>
        <v>0</v>
      </c>
      <c r="G47" s="1634"/>
      <c r="H47" s="1633"/>
      <c r="I47" s="1633"/>
      <c r="J47" s="1633"/>
      <c r="K47" s="1633"/>
      <c r="L47" s="1633"/>
      <c r="M47" s="1633"/>
      <c r="N47" s="1633"/>
      <c r="O47" s="1633"/>
      <c r="P47" s="1633"/>
      <c r="Q47" s="1633"/>
      <c r="R47" s="1633"/>
      <c r="S47" s="1633"/>
      <c r="T47" s="1633"/>
      <c r="U47" s="1633"/>
      <c r="V47" s="1633"/>
      <c r="W47" s="1633"/>
      <c r="X47" s="1633"/>
      <c r="Y47" s="1633"/>
      <c r="Z47" s="1633"/>
      <c r="AA47" s="1633"/>
      <c r="AB47" s="1633"/>
      <c r="AC47" s="1633"/>
      <c r="AD47" s="1633"/>
      <c r="AE47" s="1633"/>
      <c r="AF47" s="1633"/>
      <c r="AG47" s="1633"/>
      <c r="AH47" s="1633"/>
      <c r="AI47" s="1633"/>
      <c r="AJ47" s="1633"/>
      <c r="AK47" s="1633"/>
      <c r="AL47" s="1633"/>
      <c r="AM47" s="1633"/>
      <c r="AN47" s="1633"/>
      <c r="AO47" s="1633"/>
      <c r="AP47" s="1633"/>
      <c r="AQ47" s="1633"/>
      <c r="AR47" s="1633"/>
      <c r="AS47" s="1633"/>
      <c r="AT47" s="1633"/>
      <c r="AU47" s="1633"/>
      <c r="AV47" s="1633"/>
      <c r="AW47" s="1633"/>
      <c r="AX47" s="1633"/>
      <c r="AY47" s="1633"/>
      <c r="AZ47" s="1633"/>
      <c r="BA47" s="1633"/>
      <c r="BB47" s="1633"/>
      <c r="BC47" s="1633"/>
      <c r="BD47" s="1633"/>
      <c r="BE47" s="1633"/>
      <c r="BF47" s="1633"/>
      <c r="BG47" s="1633"/>
      <c r="BH47" s="1633"/>
      <c r="BI47" s="1633"/>
      <c r="BJ47" s="1633"/>
      <c r="BK47" s="1633"/>
      <c r="BL47" s="1633"/>
      <c r="BM47" s="1633"/>
      <c r="BN47" s="1633"/>
      <c r="BO47" s="1633"/>
      <c r="BP47" s="1633"/>
      <c r="BQ47" s="1633"/>
      <c r="BR47" s="1633"/>
      <c r="BS47" s="1633"/>
      <c r="BT47" s="1633"/>
      <c r="BU47" s="1633"/>
      <c r="BV47" s="1633"/>
      <c r="BW47" s="1633"/>
      <c r="BX47" s="1633"/>
      <c r="BY47" s="1633"/>
      <c r="BZ47" s="1633"/>
      <c r="CA47" s="1633"/>
      <c r="CB47" s="1633"/>
      <c r="CC47" s="1633"/>
      <c r="CD47" s="1633"/>
      <c r="CE47" s="1633"/>
      <c r="CF47" s="1633"/>
      <c r="CG47" s="1633"/>
      <c r="CH47" s="1633"/>
      <c r="CI47" s="1633"/>
      <c r="CJ47" s="1633"/>
      <c r="CK47" s="1633"/>
      <c r="CL47" s="1633"/>
      <c r="CM47" s="1633"/>
      <c r="CN47" s="1633"/>
      <c r="CO47" s="1633"/>
      <c r="CP47" s="1633"/>
      <c r="CQ47" s="1633"/>
      <c r="CR47" s="1633"/>
      <c r="CS47" s="1633"/>
      <c r="CT47" s="1633"/>
      <c r="CU47" s="1633"/>
      <c r="CV47" s="1633"/>
      <c r="CW47" s="1633"/>
      <c r="CX47" s="1633"/>
      <c r="CY47" s="1633"/>
      <c r="CZ47" s="1633"/>
      <c r="DA47" s="1633"/>
      <c r="DB47" s="1633"/>
      <c r="DC47" s="1633"/>
      <c r="DD47" s="1633"/>
      <c r="DE47" s="1633"/>
      <c r="DF47" s="1633"/>
      <c r="DG47" s="1633"/>
      <c r="DH47" s="1633"/>
      <c r="DI47" s="1633"/>
      <c r="DJ47" s="1633"/>
      <c r="DK47" s="1633"/>
      <c r="DL47" s="1633"/>
      <c r="DM47" s="1633"/>
      <c r="DN47" s="1633"/>
      <c r="DO47" s="1633"/>
      <c r="DP47" s="1633"/>
      <c r="DQ47" s="1633"/>
      <c r="DR47" s="1633"/>
      <c r="DS47" s="1633"/>
      <c r="DT47" s="1633"/>
      <c r="DU47" s="1633"/>
      <c r="DV47" s="1633"/>
      <c r="DW47" s="1633"/>
      <c r="DX47" s="1633"/>
      <c r="DY47" s="1633"/>
      <c r="DZ47" s="1633"/>
      <c r="EA47" s="1633"/>
      <c r="EB47" s="1633"/>
      <c r="EC47" s="1633"/>
      <c r="ED47" s="1633"/>
      <c r="EE47" s="1633"/>
      <c r="EF47" s="1633"/>
      <c r="EG47" s="1633"/>
      <c r="EH47" s="1633"/>
      <c r="EI47" s="1633"/>
      <c r="EJ47" s="1633"/>
      <c r="EK47" s="1633"/>
      <c r="EL47" s="1633"/>
      <c r="EM47" s="1633"/>
      <c r="EN47" s="1633"/>
      <c r="EO47" s="1633"/>
      <c r="EP47" s="1633"/>
      <c r="EQ47" s="1633"/>
      <c r="ER47" s="1633"/>
      <c r="ES47" s="1633"/>
      <c r="ET47" s="1633"/>
      <c r="EU47" s="1633"/>
      <c r="EV47" s="1633"/>
      <c r="EW47" s="1633"/>
      <c r="EX47" s="1633"/>
      <c r="EY47" s="1633"/>
      <c r="EZ47" s="1633"/>
      <c r="FA47" s="1633"/>
      <c r="FB47" s="1633"/>
      <c r="FC47" s="1633"/>
      <c r="FD47" s="1633"/>
      <c r="FE47" s="1633"/>
      <c r="FF47" s="1633"/>
      <c r="FG47" s="1633"/>
      <c r="FH47" s="1633"/>
      <c r="FI47" s="1633"/>
      <c r="FJ47" s="1633"/>
      <c r="FK47" s="1633"/>
      <c r="FL47" s="1633"/>
      <c r="FM47" s="1633"/>
      <c r="FN47" s="1633"/>
      <c r="FO47" s="1633"/>
      <c r="FP47" s="1633"/>
      <c r="FQ47" s="1633"/>
      <c r="FR47" s="1633"/>
      <c r="FS47" s="1633"/>
      <c r="FT47" s="1633"/>
      <c r="FU47" s="1633"/>
      <c r="FV47" s="1633"/>
      <c r="FW47" s="1633"/>
      <c r="FX47" s="1633"/>
      <c r="FY47" s="1633"/>
      <c r="FZ47" s="1633"/>
      <c r="GA47" s="1633"/>
      <c r="GB47" s="1633"/>
      <c r="GC47" s="1633"/>
      <c r="GD47" s="1633"/>
      <c r="GE47" s="1633"/>
      <c r="GF47" s="1633"/>
      <c r="GG47" s="1633"/>
      <c r="GH47" s="1633"/>
      <c r="GI47" s="1633"/>
      <c r="GJ47" s="1633"/>
      <c r="GK47" s="1633"/>
      <c r="GL47" s="1633"/>
      <c r="GM47" s="1633"/>
      <c r="GN47" s="1633"/>
      <c r="GO47" s="1633"/>
      <c r="GP47" s="1633"/>
      <c r="GQ47" s="1633"/>
      <c r="GR47" s="1633"/>
      <c r="GS47" s="1633"/>
      <c r="GT47" s="1633"/>
      <c r="GU47" s="1633"/>
      <c r="GV47" s="1633"/>
      <c r="GW47" s="1633"/>
      <c r="GX47" s="1633"/>
      <c r="GY47" s="1633"/>
      <c r="GZ47" s="1633"/>
      <c r="HA47" s="1633"/>
      <c r="HB47" s="1633"/>
      <c r="HC47" s="1633"/>
      <c r="HD47" s="1633"/>
      <c r="HE47" s="1633"/>
      <c r="HF47" s="1633"/>
      <c r="HG47" s="1633"/>
      <c r="HH47" s="1633"/>
      <c r="HI47" s="1633"/>
      <c r="HJ47" s="1633"/>
      <c r="HK47" s="1633"/>
      <c r="HL47" s="1633"/>
      <c r="HM47" s="1633"/>
      <c r="HN47" s="1633"/>
      <c r="HO47" s="1633"/>
      <c r="HP47" s="1633"/>
      <c r="HQ47" s="1633"/>
      <c r="HR47" s="1633"/>
      <c r="HS47" s="1633"/>
      <c r="HT47" s="1633"/>
      <c r="HU47" s="1633"/>
      <c r="HV47" s="1633"/>
      <c r="HW47" s="1633"/>
      <c r="HX47" s="1633"/>
      <c r="HY47" s="1633"/>
      <c r="HZ47" s="1633"/>
      <c r="IA47" s="1633"/>
      <c r="IB47" s="1633"/>
      <c r="IC47" s="1633"/>
      <c r="ID47" s="1633"/>
      <c r="IE47" s="1633"/>
      <c r="IF47" s="1633"/>
      <c r="IG47" s="1633"/>
      <c r="IH47" s="1633"/>
      <c r="II47" s="1633"/>
      <c r="IJ47" s="1633"/>
      <c r="IK47" s="1633"/>
      <c r="IL47" s="1633"/>
      <c r="IM47" s="1633"/>
    </row>
    <row r="48" spans="1:247">
      <c r="A48" s="1627"/>
      <c r="B48" s="1628">
        <f>审定资负表!C45</f>
        <v>0</v>
      </c>
      <c r="C48" s="1628">
        <f>审定资负表!D45</f>
        <v>0</v>
      </c>
      <c r="D48" s="1629" t="str">
        <f t="shared" si="0"/>
        <v> </v>
      </c>
      <c r="E48" s="1630">
        <f t="shared" si="1"/>
        <v>0</v>
      </c>
      <c r="F48" s="1631">
        <f t="shared" si="2"/>
        <v>0</v>
      </c>
      <c r="G48" s="1634"/>
      <c r="H48" s="1633"/>
      <c r="I48" s="1633"/>
      <c r="J48" s="1633"/>
      <c r="K48" s="1633"/>
      <c r="L48" s="1633"/>
      <c r="M48" s="1633"/>
      <c r="N48" s="1633"/>
      <c r="O48" s="1633"/>
      <c r="P48" s="1633"/>
      <c r="Q48" s="1633"/>
      <c r="R48" s="1633"/>
      <c r="S48" s="1633"/>
      <c r="T48" s="1633"/>
      <c r="U48" s="1633"/>
      <c r="V48" s="1633"/>
      <c r="W48" s="1633"/>
      <c r="X48" s="1633"/>
      <c r="Y48" s="1633"/>
      <c r="Z48" s="1633"/>
      <c r="AA48" s="1633"/>
      <c r="AB48" s="1633"/>
      <c r="AC48" s="1633"/>
      <c r="AD48" s="1633"/>
      <c r="AE48" s="1633"/>
      <c r="AF48" s="1633"/>
      <c r="AG48" s="1633"/>
      <c r="AH48" s="1633"/>
      <c r="AI48" s="1633"/>
      <c r="AJ48" s="1633"/>
      <c r="AK48" s="1633"/>
      <c r="AL48" s="1633"/>
      <c r="AM48" s="1633"/>
      <c r="AN48" s="1633"/>
      <c r="AO48" s="1633"/>
      <c r="AP48" s="1633"/>
      <c r="AQ48" s="1633"/>
      <c r="AR48" s="1633"/>
      <c r="AS48" s="1633"/>
      <c r="AT48" s="1633"/>
      <c r="AU48" s="1633"/>
      <c r="AV48" s="1633"/>
      <c r="AW48" s="1633"/>
      <c r="AX48" s="1633"/>
      <c r="AY48" s="1633"/>
      <c r="AZ48" s="1633"/>
      <c r="BA48" s="1633"/>
      <c r="BB48" s="1633"/>
      <c r="BC48" s="1633"/>
      <c r="BD48" s="1633"/>
      <c r="BE48" s="1633"/>
      <c r="BF48" s="1633"/>
      <c r="BG48" s="1633"/>
      <c r="BH48" s="1633"/>
      <c r="BI48" s="1633"/>
      <c r="BJ48" s="1633"/>
      <c r="BK48" s="1633"/>
      <c r="BL48" s="1633"/>
      <c r="BM48" s="1633"/>
      <c r="BN48" s="1633"/>
      <c r="BO48" s="1633"/>
      <c r="BP48" s="1633"/>
      <c r="BQ48" s="1633"/>
      <c r="BR48" s="1633"/>
      <c r="BS48" s="1633"/>
      <c r="BT48" s="1633"/>
      <c r="BU48" s="1633"/>
      <c r="BV48" s="1633"/>
      <c r="BW48" s="1633"/>
      <c r="BX48" s="1633"/>
      <c r="BY48" s="1633"/>
      <c r="BZ48" s="1633"/>
      <c r="CA48" s="1633"/>
      <c r="CB48" s="1633"/>
      <c r="CC48" s="1633"/>
      <c r="CD48" s="1633"/>
      <c r="CE48" s="1633"/>
      <c r="CF48" s="1633"/>
      <c r="CG48" s="1633"/>
      <c r="CH48" s="1633"/>
      <c r="CI48" s="1633"/>
      <c r="CJ48" s="1633"/>
      <c r="CK48" s="1633"/>
      <c r="CL48" s="1633"/>
      <c r="CM48" s="1633"/>
      <c r="CN48" s="1633"/>
      <c r="CO48" s="1633"/>
      <c r="CP48" s="1633"/>
      <c r="CQ48" s="1633"/>
      <c r="CR48" s="1633"/>
      <c r="CS48" s="1633"/>
      <c r="CT48" s="1633"/>
      <c r="CU48" s="1633"/>
      <c r="CV48" s="1633"/>
      <c r="CW48" s="1633"/>
      <c r="CX48" s="1633"/>
      <c r="CY48" s="1633"/>
      <c r="CZ48" s="1633"/>
      <c r="DA48" s="1633"/>
      <c r="DB48" s="1633"/>
      <c r="DC48" s="1633"/>
      <c r="DD48" s="1633"/>
      <c r="DE48" s="1633"/>
      <c r="DF48" s="1633"/>
      <c r="DG48" s="1633"/>
      <c r="DH48" s="1633"/>
      <c r="DI48" s="1633"/>
      <c r="DJ48" s="1633"/>
      <c r="DK48" s="1633"/>
      <c r="DL48" s="1633"/>
      <c r="DM48" s="1633"/>
      <c r="DN48" s="1633"/>
      <c r="DO48" s="1633"/>
      <c r="DP48" s="1633"/>
      <c r="DQ48" s="1633"/>
      <c r="DR48" s="1633"/>
      <c r="DS48" s="1633"/>
      <c r="DT48" s="1633"/>
      <c r="DU48" s="1633"/>
      <c r="DV48" s="1633"/>
      <c r="DW48" s="1633"/>
      <c r="DX48" s="1633"/>
      <c r="DY48" s="1633"/>
      <c r="DZ48" s="1633"/>
      <c r="EA48" s="1633"/>
      <c r="EB48" s="1633"/>
      <c r="EC48" s="1633"/>
      <c r="ED48" s="1633"/>
      <c r="EE48" s="1633"/>
      <c r="EF48" s="1633"/>
      <c r="EG48" s="1633"/>
      <c r="EH48" s="1633"/>
      <c r="EI48" s="1633"/>
      <c r="EJ48" s="1633"/>
      <c r="EK48" s="1633"/>
      <c r="EL48" s="1633"/>
      <c r="EM48" s="1633"/>
      <c r="EN48" s="1633"/>
      <c r="EO48" s="1633"/>
      <c r="EP48" s="1633"/>
      <c r="EQ48" s="1633"/>
      <c r="ER48" s="1633"/>
      <c r="ES48" s="1633"/>
      <c r="ET48" s="1633"/>
      <c r="EU48" s="1633"/>
      <c r="EV48" s="1633"/>
      <c r="EW48" s="1633"/>
      <c r="EX48" s="1633"/>
      <c r="EY48" s="1633"/>
      <c r="EZ48" s="1633"/>
      <c r="FA48" s="1633"/>
      <c r="FB48" s="1633"/>
      <c r="FC48" s="1633"/>
      <c r="FD48" s="1633"/>
      <c r="FE48" s="1633"/>
      <c r="FF48" s="1633"/>
      <c r="FG48" s="1633"/>
      <c r="FH48" s="1633"/>
      <c r="FI48" s="1633"/>
      <c r="FJ48" s="1633"/>
      <c r="FK48" s="1633"/>
      <c r="FL48" s="1633"/>
      <c r="FM48" s="1633"/>
      <c r="FN48" s="1633"/>
      <c r="FO48" s="1633"/>
      <c r="FP48" s="1633"/>
      <c r="FQ48" s="1633"/>
      <c r="FR48" s="1633"/>
      <c r="FS48" s="1633"/>
      <c r="FT48" s="1633"/>
      <c r="FU48" s="1633"/>
      <c r="FV48" s="1633"/>
      <c r="FW48" s="1633"/>
      <c r="FX48" s="1633"/>
      <c r="FY48" s="1633"/>
      <c r="FZ48" s="1633"/>
      <c r="GA48" s="1633"/>
      <c r="GB48" s="1633"/>
      <c r="GC48" s="1633"/>
      <c r="GD48" s="1633"/>
      <c r="GE48" s="1633"/>
      <c r="GF48" s="1633"/>
      <c r="GG48" s="1633"/>
      <c r="GH48" s="1633"/>
      <c r="GI48" s="1633"/>
      <c r="GJ48" s="1633"/>
      <c r="GK48" s="1633"/>
      <c r="GL48" s="1633"/>
      <c r="GM48" s="1633"/>
      <c r="GN48" s="1633"/>
      <c r="GO48" s="1633"/>
      <c r="GP48" s="1633"/>
      <c r="GQ48" s="1633"/>
      <c r="GR48" s="1633"/>
      <c r="GS48" s="1633"/>
      <c r="GT48" s="1633"/>
      <c r="GU48" s="1633"/>
      <c r="GV48" s="1633"/>
      <c r="GW48" s="1633"/>
      <c r="GX48" s="1633"/>
      <c r="GY48" s="1633"/>
      <c r="GZ48" s="1633"/>
      <c r="HA48" s="1633"/>
      <c r="HB48" s="1633"/>
      <c r="HC48" s="1633"/>
      <c r="HD48" s="1633"/>
      <c r="HE48" s="1633"/>
      <c r="HF48" s="1633"/>
      <c r="HG48" s="1633"/>
      <c r="HH48" s="1633"/>
      <c r="HI48" s="1633"/>
      <c r="HJ48" s="1633"/>
      <c r="HK48" s="1633"/>
      <c r="HL48" s="1633"/>
      <c r="HM48" s="1633"/>
      <c r="HN48" s="1633"/>
      <c r="HO48" s="1633"/>
      <c r="HP48" s="1633"/>
      <c r="HQ48" s="1633"/>
      <c r="HR48" s="1633"/>
      <c r="HS48" s="1633"/>
      <c r="HT48" s="1633"/>
      <c r="HU48" s="1633"/>
      <c r="HV48" s="1633"/>
      <c r="HW48" s="1633"/>
      <c r="HX48" s="1633"/>
      <c r="HY48" s="1633"/>
      <c r="HZ48" s="1633"/>
      <c r="IA48" s="1633"/>
      <c r="IB48" s="1633"/>
      <c r="IC48" s="1633"/>
      <c r="ID48" s="1633"/>
      <c r="IE48" s="1633"/>
      <c r="IF48" s="1633"/>
      <c r="IG48" s="1633"/>
      <c r="IH48" s="1633"/>
      <c r="II48" s="1633"/>
      <c r="IJ48" s="1633"/>
      <c r="IK48" s="1633"/>
      <c r="IL48" s="1633"/>
      <c r="IM48" s="1633"/>
    </row>
    <row r="49" spans="1:7">
      <c r="A49" s="1627"/>
      <c r="B49" s="1628">
        <f>审定资负表!C46</f>
        <v>0</v>
      </c>
      <c r="C49" s="1628">
        <f>审定资负表!D46</f>
        <v>0</v>
      </c>
      <c r="D49" s="1629" t="str">
        <f t="shared" si="0"/>
        <v> </v>
      </c>
      <c r="E49" s="1630">
        <f t="shared" si="1"/>
        <v>0</v>
      </c>
      <c r="F49" s="1631">
        <f t="shared" si="2"/>
        <v>0</v>
      </c>
      <c r="G49" s="1634"/>
    </row>
    <row r="50" spans="1:247">
      <c r="A50" s="1627"/>
      <c r="B50" s="1628">
        <f>审定资负表!C47</f>
        <v>0</v>
      </c>
      <c r="C50" s="1628">
        <f>审定资负表!D47</f>
        <v>0</v>
      </c>
      <c r="D50" s="1629" t="str">
        <f t="shared" si="0"/>
        <v> </v>
      </c>
      <c r="E50" s="1630">
        <f t="shared" si="1"/>
        <v>0</v>
      </c>
      <c r="F50" s="1631">
        <f t="shared" si="2"/>
        <v>0</v>
      </c>
      <c r="G50" s="1634"/>
      <c r="H50" s="1633"/>
      <c r="I50" s="1633"/>
      <c r="J50" s="1633"/>
      <c r="K50" s="1633"/>
      <c r="L50" s="1633"/>
      <c r="M50" s="1633"/>
      <c r="N50" s="1633"/>
      <c r="O50" s="1633"/>
      <c r="P50" s="1633"/>
      <c r="Q50" s="1633"/>
      <c r="R50" s="1633"/>
      <c r="S50" s="1633"/>
      <c r="T50" s="1633"/>
      <c r="U50" s="1633"/>
      <c r="V50" s="1633"/>
      <c r="W50" s="1633"/>
      <c r="X50" s="1633"/>
      <c r="Y50" s="1633"/>
      <c r="Z50" s="1633"/>
      <c r="AA50" s="1633"/>
      <c r="AB50" s="1633"/>
      <c r="AC50" s="1633"/>
      <c r="AD50" s="1633"/>
      <c r="AE50" s="1633"/>
      <c r="AF50" s="1633"/>
      <c r="AG50" s="1633"/>
      <c r="AH50" s="1633"/>
      <c r="AI50" s="1633"/>
      <c r="AJ50" s="1633"/>
      <c r="AK50" s="1633"/>
      <c r="AL50" s="1633"/>
      <c r="AM50" s="1633"/>
      <c r="AN50" s="1633"/>
      <c r="AO50" s="1633"/>
      <c r="AP50" s="1633"/>
      <c r="AQ50" s="1633"/>
      <c r="AR50" s="1633"/>
      <c r="AS50" s="1633"/>
      <c r="AT50" s="1633"/>
      <c r="AU50" s="1633"/>
      <c r="AV50" s="1633"/>
      <c r="AW50" s="1633"/>
      <c r="AX50" s="1633"/>
      <c r="AY50" s="1633"/>
      <c r="AZ50" s="1633"/>
      <c r="BA50" s="1633"/>
      <c r="BB50" s="1633"/>
      <c r="BC50" s="1633"/>
      <c r="BD50" s="1633"/>
      <c r="BE50" s="1633"/>
      <c r="BF50" s="1633"/>
      <c r="BG50" s="1633"/>
      <c r="BH50" s="1633"/>
      <c r="BI50" s="1633"/>
      <c r="BJ50" s="1633"/>
      <c r="BK50" s="1633"/>
      <c r="BL50" s="1633"/>
      <c r="BM50" s="1633"/>
      <c r="BN50" s="1633"/>
      <c r="BO50" s="1633"/>
      <c r="BP50" s="1633"/>
      <c r="BQ50" s="1633"/>
      <c r="BR50" s="1633"/>
      <c r="BS50" s="1633"/>
      <c r="BT50" s="1633"/>
      <c r="BU50" s="1633"/>
      <c r="BV50" s="1633"/>
      <c r="BW50" s="1633"/>
      <c r="BX50" s="1633"/>
      <c r="BY50" s="1633"/>
      <c r="BZ50" s="1633"/>
      <c r="CA50" s="1633"/>
      <c r="CB50" s="1633"/>
      <c r="CC50" s="1633"/>
      <c r="CD50" s="1633"/>
      <c r="CE50" s="1633"/>
      <c r="CF50" s="1633"/>
      <c r="CG50" s="1633"/>
      <c r="CH50" s="1633"/>
      <c r="CI50" s="1633"/>
      <c r="CJ50" s="1633"/>
      <c r="CK50" s="1633"/>
      <c r="CL50" s="1633"/>
      <c r="CM50" s="1633"/>
      <c r="CN50" s="1633"/>
      <c r="CO50" s="1633"/>
      <c r="CP50" s="1633"/>
      <c r="CQ50" s="1633"/>
      <c r="CR50" s="1633"/>
      <c r="CS50" s="1633"/>
      <c r="CT50" s="1633"/>
      <c r="CU50" s="1633"/>
      <c r="CV50" s="1633"/>
      <c r="CW50" s="1633"/>
      <c r="CX50" s="1633"/>
      <c r="CY50" s="1633"/>
      <c r="CZ50" s="1633"/>
      <c r="DA50" s="1633"/>
      <c r="DB50" s="1633"/>
      <c r="DC50" s="1633"/>
      <c r="DD50" s="1633"/>
      <c r="DE50" s="1633"/>
      <c r="DF50" s="1633"/>
      <c r="DG50" s="1633"/>
      <c r="DH50" s="1633"/>
      <c r="DI50" s="1633"/>
      <c r="DJ50" s="1633"/>
      <c r="DK50" s="1633"/>
      <c r="DL50" s="1633"/>
      <c r="DM50" s="1633"/>
      <c r="DN50" s="1633"/>
      <c r="DO50" s="1633"/>
      <c r="DP50" s="1633"/>
      <c r="DQ50" s="1633"/>
      <c r="DR50" s="1633"/>
      <c r="DS50" s="1633"/>
      <c r="DT50" s="1633"/>
      <c r="DU50" s="1633"/>
      <c r="DV50" s="1633"/>
      <c r="DW50" s="1633"/>
      <c r="DX50" s="1633"/>
      <c r="DY50" s="1633"/>
      <c r="DZ50" s="1633"/>
      <c r="EA50" s="1633"/>
      <c r="EB50" s="1633"/>
      <c r="EC50" s="1633"/>
      <c r="ED50" s="1633"/>
      <c r="EE50" s="1633"/>
      <c r="EF50" s="1633"/>
      <c r="EG50" s="1633"/>
      <c r="EH50" s="1633"/>
      <c r="EI50" s="1633"/>
      <c r="EJ50" s="1633"/>
      <c r="EK50" s="1633"/>
      <c r="EL50" s="1633"/>
      <c r="EM50" s="1633"/>
      <c r="EN50" s="1633"/>
      <c r="EO50" s="1633"/>
      <c r="EP50" s="1633"/>
      <c r="EQ50" s="1633"/>
      <c r="ER50" s="1633"/>
      <c r="ES50" s="1633"/>
      <c r="ET50" s="1633"/>
      <c r="EU50" s="1633"/>
      <c r="EV50" s="1633"/>
      <c r="EW50" s="1633"/>
      <c r="EX50" s="1633"/>
      <c r="EY50" s="1633"/>
      <c r="EZ50" s="1633"/>
      <c r="FA50" s="1633"/>
      <c r="FB50" s="1633"/>
      <c r="FC50" s="1633"/>
      <c r="FD50" s="1633"/>
      <c r="FE50" s="1633"/>
      <c r="FF50" s="1633"/>
      <c r="FG50" s="1633"/>
      <c r="FH50" s="1633"/>
      <c r="FI50" s="1633"/>
      <c r="FJ50" s="1633"/>
      <c r="FK50" s="1633"/>
      <c r="FL50" s="1633"/>
      <c r="FM50" s="1633"/>
      <c r="FN50" s="1633"/>
      <c r="FO50" s="1633"/>
      <c r="FP50" s="1633"/>
      <c r="FQ50" s="1633"/>
      <c r="FR50" s="1633"/>
      <c r="FS50" s="1633"/>
      <c r="FT50" s="1633"/>
      <c r="FU50" s="1633"/>
      <c r="FV50" s="1633"/>
      <c r="FW50" s="1633"/>
      <c r="FX50" s="1633"/>
      <c r="FY50" s="1633"/>
      <c r="FZ50" s="1633"/>
      <c r="GA50" s="1633"/>
      <c r="GB50" s="1633"/>
      <c r="GC50" s="1633"/>
      <c r="GD50" s="1633"/>
      <c r="GE50" s="1633"/>
      <c r="GF50" s="1633"/>
      <c r="GG50" s="1633"/>
      <c r="GH50" s="1633"/>
      <c r="GI50" s="1633"/>
      <c r="GJ50" s="1633"/>
      <c r="GK50" s="1633"/>
      <c r="GL50" s="1633"/>
      <c r="GM50" s="1633"/>
      <c r="GN50" s="1633"/>
      <c r="GO50" s="1633"/>
      <c r="GP50" s="1633"/>
      <c r="GQ50" s="1633"/>
      <c r="GR50" s="1633"/>
      <c r="GS50" s="1633"/>
      <c r="GT50" s="1633"/>
      <c r="GU50" s="1633"/>
      <c r="GV50" s="1633"/>
      <c r="GW50" s="1633"/>
      <c r="GX50" s="1633"/>
      <c r="GY50" s="1633"/>
      <c r="GZ50" s="1633"/>
      <c r="HA50" s="1633"/>
      <c r="HB50" s="1633"/>
      <c r="HC50" s="1633"/>
      <c r="HD50" s="1633"/>
      <c r="HE50" s="1633"/>
      <c r="HF50" s="1633"/>
      <c r="HG50" s="1633"/>
      <c r="HH50" s="1633"/>
      <c r="HI50" s="1633"/>
      <c r="HJ50" s="1633"/>
      <c r="HK50" s="1633"/>
      <c r="HL50" s="1633"/>
      <c r="HM50" s="1633"/>
      <c r="HN50" s="1633"/>
      <c r="HO50" s="1633"/>
      <c r="HP50" s="1633"/>
      <c r="HQ50" s="1633"/>
      <c r="HR50" s="1633"/>
      <c r="HS50" s="1633"/>
      <c r="HT50" s="1633"/>
      <c r="HU50" s="1633"/>
      <c r="HV50" s="1633"/>
      <c r="HW50" s="1633"/>
      <c r="HX50" s="1633"/>
      <c r="HY50" s="1633"/>
      <c r="HZ50" s="1633"/>
      <c r="IA50" s="1633"/>
      <c r="IB50" s="1633"/>
      <c r="IC50" s="1633"/>
      <c r="ID50" s="1633"/>
      <c r="IE50" s="1633"/>
      <c r="IF50" s="1633"/>
      <c r="IG50" s="1633"/>
      <c r="IH50" s="1633"/>
      <c r="II50" s="1633"/>
      <c r="IJ50" s="1633"/>
      <c r="IK50" s="1633"/>
      <c r="IL50" s="1633"/>
      <c r="IM50" s="1633"/>
    </row>
    <row r="51" spans="1:247">
      <c r="A51" s="1637" t="s">
        <v>263</v>
      </c>
      <c r="B51" s="1628">
        <f>审定资负表!C48</f>
        <v>56453052.95</v>
      </c>
      <c r="C51" s="1628">
        <f>审定资负表!D48</f>
        <v>0</v>
      </c>
      <c r="D51" s="1629">
        <f t="shared" si="0"/>
        <v>1</v>
      </c>
      <c r="E51" s="1630">
        <f t="shared" si="1"/>
        <v>56453052.95</v>
      </c>
      <c r="F51" s="1631">
        <f t="shared" si="2"/>
        <v>1</v>
      </c>
      <c r="G51" s="1634"/>
      <c r="H51" s="1633"/>
      <c r="I51" s="1633"/>
      <c r="J51" s="1633"/>
      <c r="K51" s="1633"/>
      <c r="L51" s="1633"/>
      <c r="M51" s="1633"/>
      <c r="N51" s="1633"/>
      <c r="O51" s="1633"/>
      <c r="P51" s="1633"/>
      <c r="Q51" s="1633"/>
      <c r="R51" s="1633"/>
      <c r="S51" s="1633"/>
      <c r="T51" s="1633"/>
      <c r="U51" s="1633"/>
      <c r="V51" s="1633"/>
      <c r="W51" s="1633"/>
      <c r="X51" s="1633"/>
      <c r="Y51" s="1633"/>
      <c r="Z51" s="1633"/>
      <c r="AA51" s="1633"/>
      <c r="AB51" s="1633"/>
      <c r="AC51" s="1633"/>
      <c r="AD51" s="1633"/>
      <c r="AE51" s="1633"/>
      <c r="AF51" s="1633"/>
      <c r="AG51" s="1633"/>
      <c r="AH51" s="1633"/>
      <c r="AI51" s="1633"/>
      <c r="AJ51" s="1633"/>
      <c r="AK51" s="1633"/>
      <c r="AL51" s="1633"/>
      <c r="AM51" s="1633"/>
      <c r="AN51" s="1633"/>
      <c r="AO51" s="1633"/>
      <c r="AP51" s="1633"/>
      <c r="AQ51" s="1633"/>
      <c r="AR51" s="1633"/>
      <c r="AS51" s="1633"/>
      <c r="AT51" s="1633"/>
      <c r="AU51" s="1633"/>
      <c r="AV51" s="1633"/>
      <c r="AW51" s="1633"/>
      <c r="AX51" s="1633"/>
      <c r="AY51" s="1633"/>
      <c r="AZ51" s="1633"/>
      <c r="BA51" s="1633"/>
      <c r="BB51" s="1633"/>
      <c r="BC51" s="1633"/>
      <c r="BD51" s="1633"/>
      <c r="BE51" s="1633"/>
      <c r="BF51" s="1633"/>
      <c r="BG51" s="1633"/>
      <c r="BH51" s="1633"/>
      <c r="BI51" s="1633"/>
      <c r="BJ51" s="1633"/>
      <c r="BK51" s="1633"/>
      <c r="BL51" s="1633"/>
      <c r="BM51" s="1633"/>
      <c r="BN51" s="1633"/>
      <c r="BO51" s="1633"/>
      <c r="BP51" s="1633"/>
      <c r="BQ51" s="1633"/>
      <c r="BR51" s="1633"/>
      <c r="BS51" s="1633"/>
      <c r="BT51" s="1633"/>
      <c r="BU51" s="1633"/>
      <c r="BV51" s="1633"/>
      <c r="BW51" s="1633"/>
      <c r="BX51" s="1633"/>
      <c r="BY51" s="1633"/>
      <c r="BZ51" s="1633"/>
      <c r="CA51" s="1633"/>
      <c r="CB51" s="1633"/>
      <c r="CC51" s="1633"/>
      <c r="CD51" s="1633"/>
      <c r="CE51" s="1633"/>
      <c r="CF51" s="1633"/>
      <c r="CG51" s="1633"/>
      <c r="CH51" s="1633"/>
      <c r="CI51" s="1633"/>
      <c r="CJ51" s="1633"/>
      <c r="CK51" s="1633"/>
      <c r="CL51" s="1633"/>
      <c r="CM51" s="1633"/>
      <c r="CN51" s="1633"/>
      <c r="CO51" s="1633"/>
      <c r="CP51" s="1633"/>
      <c r="CQ51" s="1633"/>
      <c r="CR51" s="1633"/>
      <c r="CS51" s="1633"/>
      <c r="CT51" s="1633"/>
      <c r="CU51" s="1633"/>
      <c r="CV51" s="1633"/>
      <c r="CW51" s="1633"/>
      <c r="CX51" s="1633"/>
      <c r="CY51" s="1633"/>
      <c r="CZ51" s="1633"/>
      <c r="DA51" s="1633"/>
      <c r="DB51" s="1633"/>
      <c r="DC51" s="1633"/>
      <c r="DD51" s="1633"/>
      <c r="DE51" s="1633"/>
      <c r="DF51" s="1633"/>
      <c r="DG51" s="1633"/>
      <c r="DH51" s="1633"/>
      <c r="DI51" s="1633"/>
      <c r="DJ51" s="1633"/>
      <c r="DK51" s="1633"/>
      <c r="DL51" s="1633"/>
      <c r="DM51" s="1633"/>
      <c r="DN51" s="1633"/>
      <c r="DO51" s="1633"/>
      <c r="DP51" s="1633"/>
      <c r="DQ51" s="1633"/>
      <c r="DR51" s="1633"/>
      <c r="DS51" s="1633"/>
      <c r="DT51" s="1633"/>
      <c r="DU51" s="1633"/>
      <c r="DV51" s="1633"/>
      <c r="DW51" s="1633"/>
      <c r="DX51" s="1633"/>
      <c r="DY51" s="1633"/>
      <c r="DZ51" s="1633"/>
      <c r="EA51" s="1633"/>
      <c r="EB51" s="1633"/>
      <c r="EC51" s="1633"/>
      <c r="ED51" s="1633"/>
      <c r="EE51" s="1633"/>
      <c r="EF51" s="1633"/>
      <c r="EG51" s="1633"/>
      <c r="EH51" s="1633"/>
      <c r="EI51" s="1633"/>
      <c r="EJ51" s="1633"/>
      <c r="EK51" s="1633"/>
      <c r="EL51" s="1633"/>
      <c r="EM51" s="1633"/>
      <c r="EN51" s="1633"/>
      <c r="EO51" s="1633"/>
      <c r="EP51" s="1633"/>
      <c r="EQ51" s="1633"/>
      <c r="ER51" s="1633"/>
      <c r="ES51" s="1633"/>
      <c r="ET51" s="1633"/>
      <c r="EU51" s="1633"/>
      <c r="EV51" s="1633"/>
      <c r="EW51" s="1633"/>
      <c r="EX51" s="1633"/>
      <c r="EY51" s="1633"/>
      <c r="EZ51" s="1633"/>
      <c r="FA51" s="1633"/>
      <c r="FB51" s="1633"/>
      <c r="FC51" s="1633"/>
      <c r="FD51" s="1633"/>
      <c r="FE51" s="1633"/>
      <c r="FF51" s="1633"/>
      <c r="FG51" s="1633"/>
      <c r="FH51" s="1633"/>
      <c r="FI51" s="1633"/>
      <c r="FJ51" s="1633"/>
      <c r="FK51" s="1633"/>
      <c r="FL51" s="1633"/>
      <c r="FM51" s="1633"/>
      <c r="FN51" s="1633"/>
      <c r="FO51" s="1633"/>
      <c r="FP51" s="1633"/>
      <c r="FQ51" s="1633"/>
      <c r="FR51" s="1633"/>
      <c r="FS51" s="1633"/>
      <c r="FT51" s="1633"/>
      <c r="FU51" s="1633"/>
      <c r="FV51" s="1633"/>
      <c r="FW51" s="1633"/>
      <c r="FX51" s="1633"/>
      <c r="FY51" s="1633"/>
      <c r="FZ51" s="1633"/>
      <c r="GA51" s="1633"/>
      <c r="GB51" s="1633"/>
      <c r="GC51" s="1633"/>
      <c r="GD51" s="1633"/>
      <c r="GE51" s="1633"/>
      <c r="GF51" s="1633"/>
      <c r="GG51" s="1633"/>
      <c r="GH51" s="1633"/>
      <c r="GI51" s="1633"/>
      <c r="GJ51" s="1633"/>
      <c r="GK51" s="1633"/>
      <c r="GL51" s="1633"/>
      <c r="GM51" s="1633"/>
      <c r="GN51" s="1633"/>
      <c r="GO51" s="1633"/>
      <c r="GP51" s="1633"/>
      <c r="GQ51" s="1633"/>
      <c r="GR51" s="1633"/>
      <c r="GS51" s="1633"/>
      <c r="GT51" s="1633"/>
      <c r="GU51" s="1633"/>
      <c r="GV51" s="1633"/>
      <c r="GW51" s="1633"/>
      <c r="GX51" s="1633"/>
      <c r="GY51" s="1633"/>
      <c r="GZ51" s="1633"/>
      <c r="HA51" s="1633"/>
      <c r="HB51" s="1633"/>
      <c r="HC51" s="1633"/>
      <c r="HD51" s="1633"/>
      <c r="HE51" s="1633"/>
      <c r="HF51" s="1633"/>
      <c r="HG51" s="1633"/>
      <c r="HH51" s="1633"/>
      <c r="HI51" s="1633"/>
      <c r="HJ51" s="1633"/>
      <c r="HK51" s="1633"/>
      <c r="HL51" s="1633"/>
      <c r="HM51" s="1633"/>
      <c r="HN51" s="1633"/>
      <c r="HO51" s="1633"/>
      <c r="HP51" s="1633"/>
      <c r="HQ51" s="1633"/>
      <c r="HR51" s="1633"/>
      <c r="HS51" s="1633"/>
      <c r="HT51" s="1633"/>
      <c r="HU51" s="1633"/>
      <c r="HV51" s="1633"/>
      <c r="HW51" s="1633"/>
      <c r="HX51" s="1633"/>
      <c r="HY51" s="1633"/>
      <c r="HZ51" s="1633"/>
      <c r="IA51" s="1633"/>
      <c r="IB51" s="1633"/>
      <c r="IC51" s="1633"/>
      <c r="ID51" s="1633"/>
      <c r="IE51" s="1633"/>
      <c r="IF51" s="1633"/>
      <c r="IG51" s="1633"/>
      <c r="IH51" s="1633"/>
      <c r="II51" s="1633"/>
      <c r="IJ51" s="1633"/>
      <c r="IK51" s="1633"/>
      <c r="IL51" s="1633"/>
      <c r="IM51" s="1633"/>
    </row>
    <row r="52" spans="1:247">
      <c r="A52" s="1636" t="s">
        <v>194</v>
      </c>
      <c r="B52" s="1628"/>
      <c r="C52" s="1628"/>
      <c r="D52" s="1629" t="str">
        <f t="shared" si="0"/>
        <v> </v>
      </c>
      <c r="E52" s="1630">
        <f t="shared" si="1"/>
        <v>0</v>
      </c>
      <c r="F52" s="1631">
        <f t="shared" si="2"/>
        <v>0</v>
      </c>
      <c r="G52" s="1634"/>
      <c r="H52" s="1633"/>
      <c r="I52" s="1633"/>
      <c r="J52" s="1633"/>
      <c r="K52" s="1633"/>
      <c r="L52" s="1633"/>
      <c r="M52" s="1633"/>
      <c r="N52" s="1633"/>
      <c r="O52" s="1633"/>
      <c r="P52" s="1633"/>
      <c r="Q52" s="1633"/>
      <c r="R52" s="1633"/>
      <c r="S52" s="1633"/>
      <c r="T52" s="1633"/>
      <c r="U52" s="1633"/>
      <c r="V52" s="1633"/>
      <c r="W52" s="1633"/>
      <c r="X52" s="1633"/>
      <c r="Y52" s="1633"/>
      <c r="Z52" s="1633"/>
      <c r="AA52" s="1633"/>
      <c r="AB52" s="1633"/>
      <c r="AC52" s="1633"/>
      <c r="AD52" s="1633"/>
      <c r="AE52" s="1633"/>
      <c r="AF52" s="1633"/>
      <c r="AG52" s="1633"/>
      <c r="AH52" s="1633"/>
      <c r="AI52" s="1633"/>
      <c r="AJ52" s="1633"/>
      <c r="AK52" s="1633"/>
      <c r="AL52" s="1633"/>
      <c r="AM52" s="1633"/>
      <c r="AN52" s="1633"/>
      <c r="AO52" s="1633"/>
      <c r="AP52" s="1633"/>
      <c r="AQ52" s="1633"/>
      <c r="AR52" s="1633"/>
      <c r="AS52" s="1633"/>
      <c r="AT52" s="1633"/>
      <c r="AU52" s="1633"/>
      <c r="AV52" s="1633"/>
      <c r="AW52" s="1633"/>
      <c r="AX52" s="1633"/>
      <c r="AY52" s="1633"/>
      <c r="AZ52" s="1633"/>
      <c r="BA52" s="1633"/>
      <c r="BB52" s="1633"/>
      <c r="BC52" s="1633"/>
      <c r="BD52" s="1633"/>
      <c r="BE52" s="1633"/>
      <c r="BF52" s="1633"/>
      <c r="BG52" s="1633"/>
      <c r="BH52" s="1633"/>
      <c r="BI52" s="1633"/>
      <c r="BJ52" s="1633"/>
      <c r="BK52" s="1633"/>
      <c r="BL52" s="1633"/>
      <c r="BM52" s="1633"/>
      <c r="BN52" s="1633"/>
      <c r="BO52" s="1633"/>
      <c r="BP52" s="1633"/>
      <c r="BQ52" s="1633"/>
      <c r="BR52" s="1633"/>
      <c r="BS52" s="1633"/>
      <c r="BT52" s="1633"/>
      <c r="BU52" s="1633"/>
      <c r="BV52" s="1633"/>
      <c r="BW52" s="1633"/>
      <c r="BX52" s="1633"/>
      <c r="BY52" s="1633"/>
      <c r="BZ52" s="1633"/>
      <c r="CA52" s="1633"/>
      <c r="CB52" s="1633"/>
      <c r="CC52" s="1633"/>
      <c r="CD52" s="1633"/>
      <c r="CE52" s="1633"/>
      <c r="CF52" s="1633"/>
      <c r="CG52" s="1633"/>
      <c r="CH52" s="1633"/>
      <c r="CI52" s="1633"/>
      <c r="CJ52" s="1633"/>
      <c r="CK52" s="1633"/>
      <c r="CL52" s="1633"/>
      <c r="CM52" s="1633"/>
      <c r="CN52" s="1633"/>
      <c r="CO52" s="1633"/>
      <c r="CP52" s="1633"/>
      <c r="CQ52" s="1633"/>
      <c r="CR52" s="1633"/>
      <c r="CS52" s="1633"/>
      <c r="CT52" s="1633"/>
      <c r="CU52" s="1633"/>
      <c r="CV52" s="1633"/>
      <c r="CW52" s="1633"/>
      <c r="CX52" s="1633"/>
      <c r="CY52" s="1633"/>
      <c r="CZ52" s="1633"/>
      <c r="DA52" s="1633"/>
      <c r="DB52" s="1633"/>
      <c r="DC52" s="1633"/>
      <c r="DD52" s="1633"/>
      <c r="DE52" s="1633"/>
      <c r="DF52" s="1633"/>
      <c r="DG52" s="1633"/>
      <c r="DH52" s="1633"/>
      <c r="DI52" s="1633"/>
      <c r="DJ52" s="1633"/>
      <c r="DK52" s="1633"/>
      <c r="DL52" s="1633"/>
      <c r="DM52" s="1633"/>
      <c r="DN52" s="1633"/>
      <c r="DO52" s="1633"/>
      <c r="DP52" s="1633"/>
      <c r="DQ52" s="1633"/>
      <c r="DR52" s="1633"/>
      <c r="DS52" s="1633"/>
      <c r="DT52" s="1633"/>
      <c r="DU52" s="1633"/>
      <c r="DV52" s="1633"/>
      <c r="DW52" s="1633"/>
      <c r="DX52" s="1633"/>
      <c r="DY52" s="1633"/>
      <c r="DZ52" s="1633"/>
      <c r="EA52" s="1633"/>
      <c r="EB52" s="1633"/>
      <c r="EC52" s="1633"/>
      <c r="ED52" s="1633"/>
      <c r="EE52" s="1633"/>
      <c r="EF52" s="1633"/>
      <c r="EG52" s="1633"/>
      <c r="EH52" s="1633"/>
      <c r="EI52" s="1633"/>
      <c r="EJ52" s="1633"/>
      <c r="EK52" s="1633"/>
      <c r="EL52" s="1633"/>
      <c r="EM52" s="1633"/>
      <c r="EN52" s="1633"/>
      <c r="EO52" s="1633"/>
      <c r="EP52" s="1633"/>
      <c r="EQ52" s="1633"/>
      <c r="ER52" s="1633"/>
      <c r="ES52" s="1633"/>
      <c r="ET52" s="1633"/>
      <c r="EU52" s="1633"/>
      <c r="EV52" s="1633"/>
      <c r="EW52" s="1633"/>
      <c r="EX52" s="1633"/>
      <c r="EY52" s="1633"/>
      <c r="EZ52" s="1633"/>
      <c r="FA52" s="1633"/>
      <c r="FB52" s="1633"/>
      <c r="FC52" s="1633"/>
      <c r="FD52" s="1633"/>
      <c r="FE52" s="1633"/>
      <c r="FF52" s="1633"/>
      <c r="FG52" s="1633"/>
      <c r="FH52" s="1633"/>
      <c r="FI52" s="1633"/>
      <c r="FJ52" s="1633"/>
      <c r="FK52" s="1633"/>
      <c r="FL52" s="1633"/>
      <c r="FM52" s="1633"/>
      <c r="FN52" s="1633"/>
      <c r="FO52" s="1633"/>
      <c r="FP52" s="1633"/>
      <c r="FQ52" s="1633"/>
      <c r="FR52" s="1633"/>
      <c r="FS52" s="1633"/>
      <c r="FT52" s="1633"/>
      <c r="FU52" s="1633"/>
      <c r="FV52" s="1633"/>
      <c r="FW52" s="1633"/>
      <c r="FX52" s="1633"/>
      <c r="FY52" s="1633"/>
      <c r="FZ52" s="1633"/>
      <c r="GA52" s="1633"/>
      <c r="GB52" s="1633"/>
      <c r="GC52" s="1633"/>
      <c r="GD52" s="1633"/>
      <c r="GE52" s="1633"/>
      <c r="GF52" s="1633"/>
      <c r="GG52" s="1633"/>
      <c r="GH52" s="1633"/>
      <c r="GI52" s="1633"/>
      <c r="GJ52" s="1633"/>
      <c r="GK52" s="1633"/>
      <c r="GL52" s="1633"/>
      <c r="GM52" s="1633"/>
      <c r="GN52" s="1633"/>
      <c r="GO52" s="1633"/>
      <c r="GP52" s="1633"/>
      <c r="GQ52" s="1633"/>
      <c r="GR52" s="1633"/>
      <c r="GS52" s="1633"/>
      <c r="GT52" s="1633"/>
      <c r="GU52" s="1633"/>
      <c r="GV52" s="1633"/>
      <c r="GW52" s="1633"/>
      <c r="GX52" s="1633"/>
      <c r="GY52" s="1633"/>
      <c r="GZ52" s="1633"/>
      <c r="HA52" s="1633"/>
      <c r="HB52" s="1633"/>
      <c r="HC52" s="1633"/>
      <c r="HD52" s="1633"/>
      <c r="HE52" s="1633"/>
      <c r="HF52" s="1633"/>
      <c r="HG52" s="1633"/>
      <c r="HH52" s="1633"/>
      <c r="HI52" s="1633"/>
      <c r="HJ52" s="1633"/>
      <c r="HK52" s="1633"/>
      <c r="HL52" s="1633"/>
      <c r="HM52" s="1633"/>
      <c r="HN52" s="1633"/>
      <c r="HO52" s="1633"/>
      <c r="HP52" s="1633"/>
      <c r="HQ52" s="1633"/>
      <c r="HR52" s="1633"/>
      <c r="HS52" s="1633"/>
      <c r="HT52" s="1633"/>
      <c r="HU52" s="1633"/>
      <c r="HV52" s="1633"/>
      <c r="HW52" s="1633"/>
      <c r="HX52" s="1633"/>
      <c r="HY52" s="1633"/>
      <c r="HZ52" s="1633"/>
      <c r="IA52" s="1633"/>
      <c r="IB52" s="1633"/>
      <c r="IC52" s="1633"/>
      <c r="ID52" s="1633"/>
      <c r="IE52" s="1633"/>
      <c r="IF52" s="1633"/>
      <c r="IG52" s="1633"/>
      <c r="IH52" s="1633"/>
      <c r="II52" s="1633"/>
      <c r="IJ52" s="1633"/>
      <c r="IK52" s="1633"/>
      <c r="IL52" s="1633"/>
      <c r="IM52" s="1633"/>
    </row>
    <row r="53" spans="1:247">
      <c r="A53" s="1627" t="s">
        <v>196</v>
      </c>
      <c r="B53" s="1628">
        <f>审定资负表!G7</f>
        <v>0</v>
      </c>
      <c r="C53" s="1628">
        <f>审定资负表!H7</f>
        <v>0</v>
      </c>
      <c r="D53" s="1629" t="str">
        <f t="shared" si="0"/>
        <v> </v>
      </c>
      <c r="E53" s="1630">
        <f t="shared" si="1"/>
        <v>0</v>
      </c>
      <c r="F53" s="1631">
        <f t="shared" si="2"/>
        <v>0</v>
      </c>
      <c r="G53" s="1634"/>
      <c r="H53" s="1633"/>
      <c r="I53" s="1633"/>
      <c r="J53" s="1633"/>
      <c r="K53" s="1633"/>
      <c r="L53" s="1633"/>
      <c r="M53" s="1633"/>
      <c r="N53" s="1633"/>
      <c r="O53" s="1633"/>
      <c r="P53" s="1633"/>
      <c r="Q53" s="1633"/>
      <c r="R53" s="1633"/>
      <c r="S53" s="1633"/>
      <c r="T53" s="1633"/>
      <c r="U53" s="1633"/>
      <c r="V53" s="1633"/>
      <c r="W53" s="1633"/>
      <c r="X53" s="1633"/>
      <c r="Y53" s="1633"/>
      <c r="Z53" s="1633"/>
      <c r="AA53" s="1633"/>
      <c r="AB53" s="1633"/>
      <c r="AC53" s="1633"/>
      <c r="AD53" s="1633"/>
      <c r="AE53" s="1633"/>
      <c r="AF53" s="1633"/>
      <c r="AG53" s="1633"/>
      <c r="AH53" s="1633"/>
      <c r="AI53" s="1633"/>
      <c r="AJ53" s="1633"/>
      <c r="AK53" s="1633"/>
      <c r="AL53" s="1633"/>
      <c r="AM53" s="1633"/>
      <c r="AN53" s="1633"/>
      <c r="AO53" s="1633"/>
      <c r="AP53" s="1633"/>
      <c r="AQ53" s="1633"/>
      <c r="AR53" s="1633"/>
      <c r="AS53" s="1633"/>
      <c r="AT53" s="1633"/>
      <c r="AU53" s="1633"/>
      <c r="AV53" s="1633"/>
      <c r="AW53" s="1633"/>
      <c r="AX53" s="1633"/>
      <c r="AY53" s="1633"/>
      <c r="AZ53" s="1633"/>
      <c r="BA53" s="1633"/>
      <c r="BB53" s="1633"/>
      <c r="BC53" s="1633"/>
      <c r="BD53" s="1633"/>
      <c r="BE53" s="1633"/>
      <c r="BF53" s="1633"/>
      <c r="BG53" s="1633"/>
      <c r="BH53" s="1633"/>
      <c r="BI53" s="1633"/>
      <c r="BJ53" s="1633"/>
      <c r="BK53" s="1633"/>
      <c r="BL53" s="1633"/>
      <c r="BM53" s="1633"/>
      <c r="BN53" s="1633"/>
      <c r="BO53" s="1633"/>
      <c r="BP53" s="1633"/>
      <c r="BQ53" s="1633"/>
      <c r="BR53" s="1633"/>
      <c r="BS53" s="1633"/>
      <c r="BT53" s="1633"/>
      <c r="BU53" s="1633"/>
      <c r="BV53" s="1633"/>
      <c r="BW53" s="1633"/>
      <c r="BX53" s="1633"/>
      <c r="BY53" s="1633"/>
      <c r="BZ53" s="1633"/>
      <c r="CA53" s="1633"/>
      <c r="CB53" s="1633"/>
      <c r="CC53" s="1633"/>
      <c r="CD53" s="1633"/>
      <c r="CE53" s="1633"/>
      <c r="CF53" s="1633"/>
      <c r="CG53" s="1633"/>
      <c r="CH53" s="1633"/>
      <c r="CI53" s="1633"/>
      <c r="CJ53" s="1633"/>
      <c r="CK53" s="1633"/>
      <c r="CL53" s="1633"/>
      <c r="CM53" s="1633"/>
      <c r="CN53" s="1633"/>
      <c r="CO53" s="1633"/>
      <c r="CP53" s="1633"/>
      <c r="CQ53" s="1633"/>
      <c r="CR53" s="1633"/>
      <c r="CS53" s="1633"/>
      <c r="CT53" s="1633"/>
      <c r="CU53" s="1633"/>
      <c r="CV53" s="1633"/>
      <c r="CW53" s="1633"/>
      <c r="CX53" s="1633"/>
      <c r="CY53" s="1633"/>
      <c r="CZ53" s="1633"/>
      <c r="DA53" s="1633"/>
      <c r="DB53" s="1633"/>
      <c r="DC53" s="1633"/>
      <c r="DD53" s="1633"/>
      <c r="DE53" s="1633"/>
      <c r="DF53" s="1633"/>
      <c r="DG53" s="1633"/>
      <c r="DH53" s="1633"/>
      <c r="DI53" s="1633"/>
      <c r="DJ53" s="1633"/>
      <c r="DK53" s="1633"/>
      <c r="DL53" s="1633"/>
      <c r="DM53" s="1633"/>
      <c r="DN53" s="1633"/>
      <c r="DO53" s="1633"/>
      <c r="DP53" s="1633"/>
      <c r="DQ53" s="1633"/>
      <c r="DR53" s="1633"/>
      <c r="DS53" s="1633"/>
      <c r="DT53" s="1633"/>
      <c r="DU53" s="1633"/>
      <c r="DV53" s="1633"/>
      <c r="DW53" s="1633"/>
      <c r="DX53" s="1633"/>
      <c r="DY53" s="1633"/>
      <c r="DZ53" s="1633"/>
      <c r="EA53" s="1633"/>
      <c r="EB53" s="1633"/>
      <c r="EC53" s="1633"/>
      <c r="ED53" s="1633"/>
      <c r="EE53" s="1633"/>
      <c r="EF53" s="1633"/>
      <c r="EG53" s="1633"/>
      <c r="EH53" s="1633"/>
      <c r="EI53" s="1633"/>
      <c r="EJ53" s="1633"/>
      <c r="EK53" s="1633"/>
      <c r="EL53" s="1633"/>
      <c r="EM53" s="1633"/>
      <c r="EN53" s="1633"/>
      <c r="EO53" s="1633"/>
      <c r="EP53" s="1633"/>
      <c r="EQ53" s="1633"/>
      <c r="ER53" s="1633"/>
      <c r="ES53" s="1633"/>
      <c r="ET53" s="1633"/>
      <c r="EU53" s="1633"/>
      <c r="EV53" s="1633"/>
      <c r="EW53" s="1633"/>
      <c r="EX53" s="1633"/>
      <c r="EY53" s="1633"/>
      <c r="EZ53" s="1633"/>
      <c r="FA53" s="1633"/>
      <c r="FB53" s="1633"/>
      <c r="FC53" s="1633"/>
      <c r="FD53" s="1633"/>
      <c r="FE53" s="1633"/>
      <c r="FF53" s="1633"/>
      <c r="FG53" s="1633"/>
      <c r="FH53" s="1633"/>
      <c r="FI53" s="1633"/>
      <c r="FJ53" s="1633"/>
      <c r="FK53" s="1633"/>
      <c r="FL53" s="1633"/>
      <c r="FM53" s="1633"/>
      <c r="FN53" s="1633"/>
      <c r="FO53" s="1633"/>
      <c r="FP53" s="1633"/>
      <c r="FQ53" s="1633"/>
      <c r="FR53" s="1633"/>
      <c r="FS53" s="1633"/>
      <c r="FT53" s="1633"/>
      <c r="FU53" s="1633"/>
      <c r="FV53" s="1633"/>
      <c r="FW53" s="1633"/>
      <c r="FX53" s="1633"/>
      <c r="FY53" s="1633"/>
      <c r="FZ53" s="1633"/>
      <c r="GA53" s="1633"/>
      <c r="GB53" s="1633"/>
      <c r="GC53" s="1633"/>
      <c r="GD53" s="1633"/>
      <c r="GE53" s="1633"/>
      <c r="GF53" s="1633"/>
      <c r="GG53" s="1633"/>
      <c r="GH53" s="1633"/>
      <c r="GI53" s="1633"/>
      <c r="GJ53" s="1633"/>
      <c r="GK53" s="1633"/>
      <c r="GL53" s="1633"/>
      <c r="GM53" s="1633"/>
      <c r="GN53" s="1633"/>
      <c r="GO53" s="1633"/>
      <c r="GP53" s="1633"/>
      <c r="GQ53" s="1633"/>
      <c r="GR53" s="1633"/>
      <c r="GS53" s="1633"/>
      <c r="GT53" s="1633"/>
      <c r="GU53" s="1633"/>
      <c r="GV53" s="1633"/>
      <c r="GW53" s="1633"/>
      <c r="GX53" s="1633"/>
      <c r="GY53" s="1633"/>
      <c r="GZ53" s="1633"/>
      <c r="HA53" s="1633"/>
      <c r="HB53" s="1633"/>
      <c r="HC53" s="1633"/>
      <c r="HD53" s="1633"/>
      <c r="HE53" s="1633"/>
      <c r="HF53" s="1633"/>
      <c r="HG53" s="1633"/>
      <c r="HH53" s="1633"/>
      <c r="HI53" s="1633"/>
      <c r="HJ53" s="1633"/>
      <c r="HK53" s="1633"/>
      <c r="HL53" s="1633"/>
      <c r="HM53" s="1633"/>
      <c r="HN53" s="1633"/>
      <c r="HO53" s="1633"/>
      <c r="HP53" s="1633"/>
      <c r="HQ53" s="1633"/>
      <c r="HR53" s="1633"/>
      <c r="HS53" s="1633"/>
      <c r="HT53" s="1633"/>
      <c r="HU53" s="1633"/>
      <c r="HV53" s="1633"/>
      <c r="HW53" s="1633"/>
      <c r="HX53" s="1633"/>
      <c r="HY53" s="1633"/>
      <c r="HZ53" s="1633"/>
      <c r="IA53" s="1633"/>
      <c r="IB53" s="1633"/>
      <c r="IC53" s="1633"/>
      <c r="ID53" s="1633"/>
      <c r="IE53" s="1633"/>
      <c r="IF53" s="1633"/>
      <c r="IG53" s="1633"/>
      <c r="IH53" s="1633"/>
      <c r="II53" s="1633"/>
      <c r="IJ53" s="1633"/>
      <c r="IK53" s="1633"/>
      <c r="IL53" s="1633"/>
      <c r="IM53" s="1633"/>
    </row>
    <row r="54" spans="1:247">
      <c r="A54" s="1627" t="s">
        <v>1397</v>
      </c>
      <c r="B54" s="1628">
        <f>审定资负表!G8</f>
        <v>0</v>
      </c>
      <c r="C54" s="1628">
        <f>审定资负表!H8</f>
        <v>0</v>
      </c>
      <c r="D54" s="1629" t="str">
        <f t="shared" si="0"/>
        <v> </v>
      </c>
      <c r="E54" s="1630">
        <f t="shared" si="1"/>
        <v>0</v>
      </c>
      <c r="F54" s="1631">
        <f t="shared" si="2"/>
        <v>0</v>
      </c>
      <c r="G54" s="1634"/>
      <c r="H54" s="1633"/>
      <c r="I54" s="1633"/>
      <c r="J54" s="1633"/>
      <c r="K54" s="1633"/>
      <c r="L54" s="1633"/>
      <c r="M54" s="1633"/>
      <c r="N54" s="1633"/>
      <c r="O54" s="1633"/>
      <c r="P54" s="1633"/>
      <c r="Q54" s="1633"/>
      <c r="R54" s="1633"/>
      <c r="S54" s="1633"/>
      <c r="T54" s="1633"/>
      <c r="U54" s="1633"/>
      <c r="V54" s="1633"/>
      <c r="W54" s="1633"/>
      <c r="X54" s="1633"/>
      <c r="Y54" s="1633"/>
      <c r="Z54" s="1633"/>
      <c r="AA54" s="1633"/>
      <c r="AB54" s="1633"/>
      <c r="AC54" s="1633"/>
      <c r="AD54" s="1633"/>
      <c r="AE54" s="1633"/>
      <c r="AF54" s="1633"/>
      <c r="AG54" s="1633"/>
      <c r="AH54" s="1633"/>
      <c r="AI54" s="1633"/>
      <c r="AJ54" s="1633"/>
      <c r="AK54" s="1633"/>
      <c r="AL54" s="1633"/>
      <c r="AM54" s="1633"/>
      <c r="AN54" s="1633"/>
      <c r="AO54" s="1633"/>
      <c r="AP54" s="1633"/>
      <c r="AQ54" s="1633"/>
      <c r="AR54" s="1633"/>
      <c r="AS54" s="1633"/>
      <c r="AT54" s="1633"/>
      <c r="AU54" s="1633"/>
      <c r="AV54" s="1633"/>
      <c r="AW54" s="1633"/>
      <c r="AX54" s="1633"/>
      <c r="AY54" s="1633"/>
      <c r="AZ54" s="1633"/>
      <c r="BA54" s="1633"/>
      <c r="BB54" s="1633"/>
      <c r="BC54" s="1633"/>
      <c r="BD54" s="1633"/>
      <c r="BE54" s="1633"/>
      <c r="BF54" s="1633"/>
      <c r="BG54" s="1633"/>
      <c r="BH54" s="1633"/>
      <c r="BI54" s="1633"/>
      <c r="BJ54" s="1633"/>
      <c r="BK54" s="1633"/>
      <c r="BL54" s="1633"/>
      <c r="BM54" s="1633"/>
      <c r="BN54" s="1633"/>
      <c r="BO54" s="1633"/>
      <c r="BP54" s="1633"/>
      <c r="BQ54" s="1633"/>
      <c r="BR54" s="1633"/>
      <c r="BS54" s="1633"/>
      <c r="BT54" s="1633"/>
      <c r="BU54" s="1633"/>
      <c r="BV54" s="1633"/>
      <c r="BW54" s="1633"/>
      <c r="BX54" s="1633"/>
      <c r="BY54" s="1633"/>
      <c r="BZ54" s="1633"/>
      <c r="CA54" s="1633"/>
      <c r="CB54" s="1633"/>
      <c r="CC54" s="1633"/>
      <c r="CD54" s="1633"/>
      <c r="CE54" s="1633"/>
      <c r="CF54" s="1633"/>
      <c r="CG54" s="1633"/>
      <c r="CH54" s="1633"/>
      <c r="CI54" s="1633"/>
      <c r="CJ54" s="1633"/>
      <c r="CK54" s="1633"/>
      <c r="CL54" s="1633"/>
      <c r="CM54" s="1633"/>
      <c r="CN54" s="1633"/>
      <c r="CO54" s="1633"/>
      <c r="CP54" s="1633"/>
      <c r="CQ54" s="1633"/>
      <c r="CR54" s="1633"/>
      <c r="CS54" s="1633"/>
      <c r="CT54" s="1633"/>
      <c r="CU54" s="1633"/>
      <c r="CV54" s="1633"/>
      <c r="CW54" s="1633"/>
      <c r="CX54" s="1633"/>
      <c r="CY54" s="1633"/>
      <c r="CZ54" s="1633"/>
      <c r="DA54" s="1633"/>
      <c r="DB54" s="1633"/>
      <c r="DC54" s="1633"/>
      <c r="DD54" s="1633"/>
      <c r="DE54" s="1633"/>
      <c r="DF54" s="1633"/>
      <c r="DG54" s="1633"/>
      <c r="DH54" s="1633"/>
      <c r="DI54" s="1633"/>
      <c r="DJ54" s="1633"/>
      <c r="DK54" s="1633"/>
      <c r="DL54" s="1633"/>
      <c r="DM54" s="1633"/>
      <c r="DN54" s="1633"/>
      <c r="DO54" s="1633"/>
      <c r="DP54" s="1633"/>
      <c r="DQ54" s="1633"/>
      <c r="DR54" s="1633"/>
      <c r="DS54" s="1633"/>
      <c r="DT54" s="1633"/>
      <c r="DU54" s="1633"/>
      <c r="DV54" s="1633"/>
      <c r="DW54" s="1633"/>
      <c r="DX54" s="1633"/>
      <c r="DY54" s="1633"/>
      <c r="DZ54" s="1633"/>
      <c r="EA54" s="1633"/>
      <c r="EB54" s="1633"/>
      <c r="EC54" s="1633"/>
      <c r="ED54" s="1633"/>
      <c r="EE54" s="1633"/>
      <c r="EF54" s="1633"/>
      <c r="EG54" s="1633"/>
      <c r="EH54" s="1633"/>
      <c r="EI54" s="1633"/>
      <c r="EJ54" s="1633"/>
      <c r="EK54" s="1633"/>
      <c r="EL54" s="1633"/>
      <c r="EM54" s="1633"/>
      <c r="EN54" s="1633"/>
      <c r="EO54" s="1633"/>
      <c r="EP54" s="1633"/>
      <c r="EQ54" s="1633"/>
      <c r="ER54" s="1633"/>
      <c r="ES54" s="1633"/>
      <c r="ET54" s="1633"/>
      <c r="EU54" s="1633"/>
      <c r="EV54" s="1633"/>
      <c r="EW54" s="1633"/>
      <c r="EX54" s="1633"/>
      <c r="EY54" s="1633"/>
      <c r="EZ54" s="1633"/>
      <c r="FA54" s="1633"/>
      <c r="FB54" s="1633"/>
      <c r="FC54" s="1633"/>
      <c r="FD54" s="1633"/>
      <c r="FE54" s="1633"/>
      <c r="FF54" s="1633"/>
      <c r="FG54" s="1633"/>
      <c r="FH54" s="1633"/>
      <c r="FI54" s="1633"/>
      <c r="FJ54" s="1633"/>
      <c r="FK54" s="1633"/>
      <c r="FL54" s="1633"/>
      <c r="FM54" s="1633"/>
      <c r="FN54" s="1633"/>
      <c r="FO54" s="1633"/>
      <c r="FP54" s="1633"/>
      <c r="FQ54" s="1633"/>
      <c r="FR54" s="1633"/>
      <c r="FS54" s="1633"/>
      <c r="FT54" s="1633"/>
      <c r="FU54" s="1633"/>
      <c r="FV54" s="1633"/>
      <c r="FW54" s="1633"/>
      <c r="FX54" s="1633"/>
      <c r="FY54" s="1633"/>
      <c r="FZ54" s="1633"/>
      <c r="GA54" s="1633"/>
      <c r="GB54" s="1633"/>
      <c r="GC54" s="1633"/>
      <c r="GD54" s="1633"/>
      <c r="GE54" s="1633"/>
      <c r="GF54" s="1633"/>
      <c r="GG54" s="1633"/>
      <c r="GH54" s="1633"/>
      <c r="GI54" s="1633"/>
      <c r="GJ54" s="1633"/>
      <c r="GK54" s="1633"/>
      <c r="GL54" s="1633"/>
      <c r="GM54" s="1633"/>
      <c r="GN54" s="1633"/>
      <c r="GO54" s="1633"/>
      <c r="GP54" s="1633"/>
      <c r="GQ54" s="1633"/>
      <c r="GR54" s="1633"/>
      <c r="GS54" s="1633"/>
      <c r="GT54" s="1633"/>
      <c r="GU54" s="1633"/>
      <c r="GV54" s="1633"/>
      <c r="GW54" s="1633"/>
      <c r="GX54" s="1633"/>
      <c r="GY54" s="1633"/>
      <c r="GZ54" s="1633"/>
      <c r="HA54" s="1633"/>
      <c r="HB54" s="1633"/>
      <c r="HC54" s="1633"/>
      <c r="HD54" s="1633"/>
      <c r="HE54" s="1633"/>
      <c r="HF54" s="1633"/>
      <c r="HG54" s="1633"/>
      <c r="HH54" s="1633"/>
      <c r="HI54" s="1633"/>
      <c r="HJ54" s="1633"/>
      <c r="HK54" s="1633"/>
      <c r="HL54" s="1633"/>
      <c r="HM54" s="1633"/>
      <c r="HN54" s="1633"/>
      <c r="HO54" s="1633"/>
      <c r="HP54" s="1633"/>
      <c r="HQ54" s="1633"/>
      <c r="HR54" s="1633"/>
      <c r="HS54" s="1633"/>
      <c r="HT54" s="1633"/>
      <c r="HU54" s="1633"/>
      <c r="HV54" s="1633"/>
      <c r="HW54" s="1633"/>
      <c r="HX54" s="1633"/>
      <c r="HY54" s="1633"/>
      <c r="HZ54" s="1633"/>
      <c r="IA54" s="1633"/>
      <c r="IB54" s="1633"/>
      <c r="IC54" s="1633"/>
      <c r="ID54" s="1633"/>
      <c r="IE54" s="1633"/>
      <c r="IF54" s="1633"/>
      <c r="IG54" s="1633"/>
      <c r="IH54" s="1633"/>
      <c r="II54" s="1633"/>
      <c r="IJ54" s="1633"/>
      <c r="IK54" s="1633"/>
      <c r="IL54" s="1633"/>
      <c r="IM54" s="1633"/>
    </row>
    <row r="55" spans="1:247">
      <c r="A55" s="1627" t="s">
        <v>200</v>
      </c>
      <c r="B55" s="1628">
        <f>审定资负表!G9</f>
        <v>0</v>
      </c>
      <c r="C55" s="1628">
        <f>审定资负表!H9</f>
        <v>0</v>
      </c>
      <c r="D55" s="1629" t="str">
        <f t="shared" si="0"/>
        <v> </v>
      </c>
      <c r="E55" s="1630">
        <f t="shared" si="1"/>
        <v>0</v>
      </c>
      <c r="F55" s="1631">
        <f t="shared" si="2"/>
        <v>0</v>
      </c>
      <c r="G55" s="1634"/>
      <c r="H55" s="1633"/>
      <c r="I55" s="1633"/>
      <c r="J55" s="1633"/>
      <c r="K55" s="1633"/>
      <c r="L55" s="1633"/>
      <c r="M55" s="1633"/>
      <c r="N55" s="1633"/>
      <c r="O55" s="1633"/>
      <c r="P55" s="1633"/>
      <c r="Q55" s="1633"/>
      <c r="R55" s="1633"/>
      <c r="S55" s="1633"/>
      <c r="T55" s="1633"/>
      <c r="U55" s="1633"/>
      <c r="V55" s="1633"/>
      <c r="W55" s="1633"/>
      <c r="X55" s="1633"/>
      <c r="Y55" s="1633"/>
      <c r="Z55" s="1633"/>
      <c r="AA55" s="1633"/>
      <c r="AB55" s="1633"/>
      <c r="AC55" s="1633"/>
      <c r="AD55" s="1633"/>
      <c r="AE55" s="1633"/>
      <c r="AF55" s="1633"/>
      <c r="AG55" s="1633"/>
      <c r="AH55" s="1633"/>
      <c r="AI55" s="1633"/>
      <c r="AJ55" s="1633"/>
      <c r="AK55" s="1633"/>
      <c r="AL55" s="1633"/>
      <c r="AM55" s="1633"/>
      <c r="AN55" s="1633"/>
      <c r="AO55" s="1633"/>
      <c r="AP55" s="1633"/>
      <c r="AQ55" s="1633"/>
      <c r="AR55" s="1633"/>
      <c r="AS55" s="1633"/>
      <c r="AT55" s="1633"/>
      <c r="AU55" s="1633"/>
      <c r="AV55" s="1633"/>
      <c r="AW55" s="1633"/>
      <c r="AX55" s="1633"/>
      <c r="AY55" s="1633"/>
      <c r="AZ55" s="1633"/>
      <c r="BA55" s="1633"/>
      <c r="BB55" s="1633"/>
      <c r="BC55" s="1633"/>
      <c r="BD55" s="1633"/>
      <c r="BE55" s="1633"/>
      <c r="BF55" s="1633"/>
      <c r="BG55" s="1633"/>
      <c r="BH55" s="1633"/>
      <c r="BI55" s="1633"/>
      <c r="BJ55" s="1633"/>
      <c r="BK55" s="1633"/>
      <c r="BL55" s="1633"/>
      <c r="BM55" s="1633"/>
      <c r="BN55" s="1633"/>
      <c r="BO55" s="1633"/>
      <c r="BP55" s="1633"/>
      <c r="BQ55" s="1633"/>
      <c r="BR55" s="1633"/>
      <c r="BS55" s="1633"/>
      <c r="BT55" s="1633"/>
      <c r="BU55" s="1633"/>
      <c r="BV55" s="1633"/>
      <c r="BW55" s="1633"/>
      <c r="BX55" s="1633"/>
      <c r="BY55" s="1633"/>
      <c r="BZ55" s="1633"/>
      <c r="CA55" s="1633"/>
      <c r="CB55" s="1633"/>
      <c r="CC55" s="1633"/>
      <c r="CD55" s="1633"/>
      <c r="CE55" s="1633"/>
      <c r="CF55" s="1633"/>
      <c r="CG55" s="1633"/>
      <c r="CH55" s="1633"/>
      <c r="CI55" s="1633"/>
      <c r="CJ55" s="1633"/>
      <c r="CK55" s="1633"/>
      <c r="CL55" s="1633"/>
      <c r="CM55" s="1633"/>
      <c r="CN55" s="1633"/>
      <c r="CO55" s="1633"/>
      <c r="CP55" s="1633"/>
      <c r="CQ55" s="1633"/>
      <c r="CR55" s="1633"/>
      <c r="CS55" s="1633"/>
      <c r="CT55" s="1633"/>
      <c r="CU55" s="1633"/>
      <c r="CV55" s="1633"/>
      <c r="CW55" s="1633"/>
      <c r="CX55" s="1633"/>
      <c r="CY55" s="1633"/>
      <c r="CZ55" s="1633"/>
      <c r="DA55" s="1633"/>
      <c r="DB55" s="1633"/>
      <c r="DC55" s="1633"/>
      <c r="DD55" s="1633"/>
      <c r="DE55" s="1633"/>
      <c r="DF55" s="1633"/>
      <c r="DG55" s="1633"/>
      <c r="DH55" s="1633"/>
      <c r="DI55" s="1633"/>
      <c r="DJ55" s="1633"/>
      <c r="DK55" s="1633"/>
      <c r="DL55" s="1633"/>
      <c r="DM55" s="1633"/>
      <c r="DN55" s="1633"/>
      <c r="DO55" s="1633"/>
      <c r="DP55" s="1633"/>
      <c r="DQ55" s="1633"/>
      <c r="DR55" s="1633"/>
      <c r="DS55" s="1633"/>
      <c r="DT55" s="1633"/>
      <c r="DU55" s="1633"/>
      <c r="DV55" s="1633"/>
      <c r="DW55" s="1633"/>
      <c r="DX55" s="1633"/>
      <c r="DY55" s="1633"/>
      <c r="DZ55" s="1633"/>
      <c r="EA55" s="1633"/>
      <c r="EB55" s="1633"/>
      <c r="EC55" s="1633"/>
      <c r="ED55" s="1633"/>
      <c r="EE55" s="1633"/>
      <c r="EF55" s="1633"/>
      <c r="EG55" s="1633"/>
      <c r="EH55" s="1633"/>
      <c r="EI55" s="1633"/>
      <c r="EJ55" s="1633"/>
      <c r="EK55" s="1633"/>
      <c r="EL55" s="1633"/>
      <c r="EM55" s="1633"/>
      <c r="EN55" s="1633"/>
      <c r="EO55" s="1633"/>
      <c r="EP55" s="1633"/>
      <c r="EQ55" s="1633"/>
      <c r="ER55" s="1633"/>
      <c r="ES55" s="1633"/>
      <c r="ET55" s="1633"/>
      <c r="EU55" s="1633"/>
      <c r="EV55" s="1633"/>
      <c r="EW55" s="1633"/>
      <c r="EX55" s="1633"/>
      <c r="EY55" s="1633"/>
      <c r="EZ55" s="1633"/>
      <c r="FA55" s="1633"/>
      <c r="FB55" s="1633"/>
      <c r="FC55" s="1633"/>
      <c r="FD55" s="1633"/>
      <c r="FE55" s="1633"/>
      <c r="FF55" s="1633"/>
      <c r="FG55" s="1633"/>
      <c r="FH55" s="1633"/>
      <c r="FI55" s="1633"/>
      <c r="FJ55" s="1633"/>
      <c r="FK55" s="1633"/>
      <c r="FL55" s="1633"/>
      <c r="FM55" s="1633"/>
      <c r="FN55" s="1633"/>
      <c r="FO55" s="1633"/>
      <c r="FP55" s="1633"/>
      <c r="FQ55" s="1633"/>
      <c r="FR55" s="1633"/>
      <c r="FS55" s="1633"/>
      <c r="FT55" s="1633"/>
      <c r="FU55" s="1633"/>
      <c r="FV55" s="1633"/>
      <c r="FW55" s="1633"/>
      <c r="FX55" s="1633"/>
      <c r="FY55" s="1633"/>
      <c r="FZ55" s="1633"/>
      <c r="GA55" s="1633"/>
      <c r="GB55" s="1633"/>
      <c r="GC55" s="1633"/>
      <c r="GD55" s="1633"/>
      <c r="GE55" s="1633"/>
      <c r="GF55" s="1633"/>
      <c r="GG55" s="1633"/>
      <c r="GH55" s="1633"/>
      <c r="GI55" s="1633"/>
      <c r="GJ55" s="1633"/>
      <c r="GK55" s="1633"/>
      <c r="GL55" s="1633"/>
      <c r="GM55" s="1633"/>
      <c r="GN55" s="1633"/>
      <c r="GO55" s="1633"/>
      <c r="GP55" s="1633"/>
      <c r="GQ55" s="1633"/>
      <c r="GR55" s="1633"/>
      <c r="GS55" s="1633"/>
      <c r="GT55" s="1633"/>
      <c r="GU55" s="1633"/>
      <c r="GV55" s="1633"/>
      <c r="GW55" s="1633"/>
      <c r="GX55" s="1633"/>
      <c r="GY55" s="1633"/>
      <c r="GZ55" s="1633"/>
      <c r="HA55" s="1633"/>
      <c r="HB55" s="1633"/>
      <c r="HC55" s="1633"/>
      <c r="HD55" s="1633"/>
      <c r="HE55" s="1633"/>
      <c r="HF55" s="1633"/>
      <c r="HG55" s="1633"/>
      <c r="HH55" s="1633"/>
      <c r="HI55" s="1633"/>
      <c r="HJ55" s="1633"/>
      <c r="HK55" s="1633"/>
      <c r="HL55" s="1633"/>
      <c r="HM55" s="1633"/>
      <c r="HN55" s="1633"/>
      <c r="HO55" s="1633"/>
      <c r="HP55" s="1633"/>
      <c r="HQ55" s="1633"/>
      <c r="HR55" s="1633"/>
      <c r="HS55" s="1633"/>
      <c r="HT55" s="1633"/>
      <c r="HU55" s="1633"/>
      <c r="HV55" s="1633"/>
      <c r="HW55" s="1633"/>
      <c r="HX55" s="1633"/>
      <c r="HY55" s="1633"/>
      <c r="HZ55" s="1633"/>
      <c r="IA55" s="1633"/>
      <c r="IB55" s="1633"/>
      <c r="IC55" s="1633"/>
      <c r="ID55" s="1633"/>
      <c r="IE55" s="1633"/>
      <c r="IF55" s="1633"/>
      <c r="IG55" s="1633"/>
      <c r="IH55" s="1633"/>
      <c r="II55" s="1633"/>
      <c r="IJ55" s="1633"/>
      <c r="IK55" s="1633"/>
      <c r="IL55" s="1633"/>
      <c r="IM55" s="1633"/>
    </row>
    <row r="56" spans="1:247">
      <c r="A56" s="1627" t="s">
        <v>202</v>
      </c>
      <c r="B56" s="1628">
        <f>审定资负表!G10</f>
        <v>0</v>
      </c>
      <c r="C56" s="1628">
        <f>审定资负表!H10</f>
        <v>0</v>
      </c>
      <c r="D56" s="1629" t="str">
        <f t="shared" si="0"/>
        <v> </v>
      </c>
      <c r="E56" s="1630">
        <f t="shared" si="1"/>
        <v>0</v>
      </c>
      <c r="F56" s="1631">
        <f t="shared" si="2"/>
        <v>0</v>
      </c>
      <c r="G56" s="1634"/>
      <c r="H56" s="1633"/>
      <c r="I56" s="1633"/>
      <c r="J56" s="1633"/>
      <c r="K56" s="1633"/>
      <c r="L56" s="1633"/>
      <c r="M56" s="1633"/>
      <c r="N56" s="1633"/>
      <c r="O56" s="1633"/>
      <c r="P56" s="1633"/>
      <c r="Q56" s="1633"/>
      <c r="R56" s="1633"/>
      <c r="S56" s="1633"/>
      <c r="T56" s="1633"/>
      <c r="U56" s="1633"/>
      <c r="V56" s="1633"/>
      <c r="W56" s="1633"/>
      <c r="X56" s="1633"/>
      <c r="Y56" s="1633"/>
      <c r="Z56" s="1633"/>
      <c r="AA56" s="1633"/>
      <c r="AB56" s="1633"/>
      <c r="AC56" s="1633"/>
      <c r="AD56" s="1633"/>
      <c r="AE56" s="1633"/>
      <c r="AF56" s="1633"/>
      <c r="AG56" s="1633"/>
      <c r="AH56" s="1633"/>
      <c r="AI56" s="1633"/>
      <c r="AJ56" s="1633"/>
      <c r="AK56" s="1633"/>
      <c r="AL56" s="1633"/>
      <c r="AM56" s="1633"/>
      <c r="AN56" s="1633"/>
      <c r="AO56" s="1633"/>
      <c r="AP56" s="1633"/>
      <c r="AQ56" s="1633"/>
      <c r="AR56" s="1633"/>
      <c r="AS56" s="1633"/>
      <c r="AT56" s="1633"/>
      <c r="AU56" s="1633"/>
      <c r="AV56" s="1633"/>
      <c r="AW56" s="1633"/>
      <c r="AX56" s="1633"/>
      <c r="AY56" s="1633"/>
      <c r="AZ56" s="1633"/>
      <c r="BA56" s="1633"/>
      <c r="BB56" s="1633"/>
      <c r="BC56" s="1633"/>
      <c r="BD56" s="1633"/>
      <c r="BE56" s="1633"/>
      <c r="BF56" s="1633"/>
      <c r="BG56" s="1633"/>
      <c r="BH56" s="1633"/>
      <c r="BI56" s="1633"/>
      <c r="BJ56" s="1633"/>
      <c r="BK56" s="1633"/>
      <c r="BL56" s="1633"/>
      <c r="BM56" s="1633"/>
      <c r="BN56" s="1633"/>
      <c r="BO56" s="1633"/>
      <c r="BP56" s="1633"/>
      <c r="BQ56" s="1633"/>
      <c r="BR56" s="1633"/>
      <c r="BS56" s="1633"/>
      <c r="BT56" s="1633"/>
      <c r="BU56" s="1633"/>
      <c r="BV56" s="1633"/>
      <c r="BW56" s="1633"/>
      <c r="BX56" s="1633"/>
      <c r="BY56" s="1633"/>
      <c r="BZ56" s="1633"/>
      <c r="CA56" s="1633"/>
      <c r="CB56" s="1633"/>
      <c r="CC56" s="1633"/>
      <c r="CD56" s="1633"/>
      <c r="CE56" s="1633"/>
      <c r="CF56" s="1633"/>
      <c r="CG56" s="1633"/>
      <c r="CH56" s="1633"/>
      <c r="CI56" s="1633"/>
      <c r="CJ56" s="1633"/>
      <c r="CK56" s="1633"/>
      <c r="CL56" s="1633"/>
      <c r="CM56" s="1633"/>
      <c r="CN56" s="1633"/>
      <c r="CO56" s="1633"/>
      <c r="CP56" s="1633"/>
      <c r="CQ56" s="1633"/>
      <c r="CR56" s="1633"/>
      <c r="CS56" s="1633"/>
      <c r="CT56" s="1633"/>
      <c r="CU56" s="1633"/>
      <c r="CV56" s="1633"/>
      <c r="CW56" s="1633"/>
      <c r="CX56" s="1633"/>
      <c r="CY56" s="1633"/>
      <c r="CZ56" s="1633"/>
      <c r="DA56" s="1633"/>
      <c r="DB56" s="1633"/>
      <c r="DC56" s="1633"/>
      <c r="DD56" s="1633"/>
      <c r="DE56" s="1633"/>
      <c r="DF56" s="1633"/>
      <c r="DG56" s="1633"/>
      <c r="DH56" s="1633"/>
      <c r="DI56" s="1633"/>
      <c r="DJ56" s="1633"/>
      <c r="DK56" s="1633"/>
      <c r="DL56" s="1633"/>
      <c r="DM56" s="1633"/>
      <c r="DN56" s="1633"/>
      <c r="DO56" s="1633"/>
      <c r="DP56" s="1633"/>
      <c r="DQ56" s="1633"/>
      <c r="DR56" s="1633"/>
      <c r="DS56" s="1633"/>
      <c r="DT56" s="1633"/>
      <c r="DU56" s="1633"/>
      <c r="DV56" s="1633"/>
      <c r="DW56" s="1633"/>
      <c r="DX56" s="1633"/>
      <c r="DY56" s="1633"/>
      <c r="DZ56" s="1633"/>
      <c r="EA56" s="1633"/>
      <c r="EB56" s="1633"/>
      <c r="EC56" s="1633"/>
      <c r="ED56" s="1633"/>
      <c r="EE56" s="1633"/>
      <c r="EF56" s="1633"/>
      <c r="EG56" s="1633"/>
      <c r="EH56" s="1633"/>
      <c r="EI56" s="1633"/>
      <c r="EJ56" s="1633"/>
      <c r="EK56" s="1633"/>
      <c r="EL56" s="1633"/>
      <c r="EM56" s="1633"/>
      <c r="EN56" s="1633"/>
      <c r="EO56" s="1633"/>
      <c r="EP56" s="1633"/>
      <c r="EQ56" s="1633"/>
      <c r="ER56" s="1633"/>
      <c r="ES56" s="1633"/>
      <c r="ET56" s="1633"/>
      <c r="EU56" s="1633"/>
      <c r="EV56" s="1633"/>
      <c r="EW56" s="1633"/>
      <c r="EX56" s="1633"/>
      <c r="EY56" s="1633"/>
      <c r="EZ56" s="1633"/>
      <c r="FA56" s="1633"/>
      <c r="FB56" s="1633"/>
      <c r="FC56" s="1633"/>
      <c r="FD56" s="1633"/>
      <c r="FE56" s="1633"/>
      <c r="FF56" s="1633"/>
      <c r="FG56" s="1633"/>
      <c r="FH56" s="1633"/>
      <c r="FI56" s="1633"/>
      <c r="FJ56" s="1633"/>
      <c r="FK56" s="1633"/>
      <c r="FL56" s="1633"/>
      <c r="FM56" s="1633"/>
      <c r="FN56" s="1633"/>
      <c r="FO56" s="1633"/>
      <c r="FP56" s="1633"/>
      <c r="FQ56" s="1633"/>
      <c r="FR56" s="1633"/>
      <c r="FS56" s="1633"/>
      <c r="FT56" s="1633"/>
      <c r="FU56" s="1633"/>
      <c r="FV56" s="1633"/>
      <c r="FW56" s="1633"/>
      <c r="FX56" s="1633"/>
      <c r="FY56" s="1633"/>
      <c r="FZ56" s="1633"/>
      <c r="GA56" s="1633"/>
      <c r="GB56" s="1633"/>
      <c r="GC56" s="1633"/>
      <c r="GD56" s="1633"/>
      <c r="GE56" s="1633"/>
      <c r="GF56" s="1633"/>
      <c r="GG56" s="1633"/>
      <c r="GH56" s="1633"/>
      <c r="GI56" s="1633"/>
      <c r="GJ56" s="1633"/>
      <c r="GK56" s="1633"/>
      <c r="GL56" s="1633"/>
      <c r="GM56" s="1633"/>
      <c r="GN56" s="1633"/>
      <c r="GO56" s="1633"/>
      <c r="GP56" s="1633"/>
      <c r="GQ56" s="1633"/>
      <c r="GR56" s="1633"/>
      <c r="GS56" s="1633"/>
      <c r="GT56" s="1633"/>
      <c r="GU56" s="1633"/>
      <c r="GV56" s="1633"/>
      <c r="GW56" s="1633"/>
      <c r="GX56" s="1633"/>
      <c r="GY56" s="1633"/>
      <c r="GZ56" s="1633"/>
      <c r="HA56" s="1633"/>
      <c r="HB56" s="1633"/>
      <c r="HC56" s="1633"/>
      <c r="HD56" s="1633"/>
      <c r="HE56" s="1633"/>
      <c r="HF56" s="1633"/>
      <c r="HG56" s="1633"/>
      <c r="HH56" s="1633"/>
      <c r="HI56" s="1633"/>
      <c r="HJ56" s="1633"/>
      <c r="HK56" s="1633"/>
      <c r="HL56" s="1633"/>
      <c r="HM56" s="1633"/>
      <c r="HN56" s="1633"/>
      <c r="HO56" s="1633"/>
      <c r="HP56" s="1633"/>
      <c r="HQ56" s="1633"/>
      <c r="HR56" s="1633"/>
      <c r="HS56" s="1633"/>
      <c r="HT56" s="1633"/>
      <c r="HU56" s="1633"/>
      <c r="HV56" s="1633"/>
      <c r="HW56" s="1633"/>
      <c r="HX56" s="1633"/>
      <c r="HY56" s="1633"/>
      <c r="HZ56" s="1633"/>
      <c r="IA56" s="1633"/>
      <c r="IB56" s="1633"/>
      <c r="IC56" s="1633"/>
      <c r="ID56" s="1633"/>
      <c r="IE56" s="1633"/>
      <c r="IF56" s="1633"/>
      <c r="IG56" s="1633"/>
      <c r="IH56" s="1633"/>
      <c r="II56" s="1633"/>
      <c r="IJ56" s="1633"/>
      <c r="IK56" s="1633"/>
      <c r="IL56" s="1633"/>
      <c r="IM56" s="1633"/>
    </row>
    <row r="57" spans="1:247">
      <c r="A57" s="1627" t="s">
        <v>204</v>
      </c>
      <c r="B57" s="1628">
        <f>审定资负表!G11</f>
        <v>0</v>
      </c>
      <c r="C57" s="1628">
        <f>审定资负表!H11</f>
        <v>0</v>
      </c>
      <c r="D57" s="1629" t="str">
        <f t="shared" si="0"/>
        <v> </v>
      </c>
      <c r="E57" s="1630">
        <f t="shared" si="1"/>
        <v>0</v>
      </c>
      <c r="F57" s="1631">
        <f t="shared" si="2"/>
        <v>0</v>
      </c>
      <c r="G57" s="1634"/>
      <c r="H57" s="1633"/>
      <c r="I57" s="1633"/>
      <c r="J57" s="1633"/>
      <c r="K57" s="1633"/>
      <c r="L57" s="1633"/>
      <c r="M57" s="1633"/>
      <c r="N57" s="1633"/>
      <c r="O57" s="1633"/>
      <c r="P57" s="1633"/>
      <c r="Q57" s="1633"/>
      <c r="R57" s="1633"/>
      <c r="S57" s="1633"/>
      <c r="T57" s="1633"/>
      <c r="U57" s="1633"/>
      <c r="V57" s="1633"/>
      <c r="W57" s="1633"/>
      <c r="X57" s="1633"/>
      <c r="Y57" s="1633"/>
      <c r="Z57" s="1633"/>
      <c r="AA57" s="1633"/>
      <c r="AB57" s="1633"/>
      <c r="AC57" s="1633"/>
      <c r="AD57" s="1633"/>
      <c r="AE57" s="1633"/>
      <c r="AF57" s="1633"/>
      <c r="AG57" s="1633"/>
      <c r="AH57" s="1633"/>
      <c r="AI57" s="1633"/>
      <c r="AJ57" s="1633"/>
      <c r="AK57" s="1633"/>
      <c r="AL57" s="1633"/>
      <c r="AM57" s="1633"/>
      <c r="AN57" s="1633"/>
      <c r="AO57" s="1633"/>
      <c r="AP57" s="1633"/>
      <c r="AQ57" s="1633"/>
      <c r="AR57" s="1633"/>
      <c r="AS57" s="1633"/>
      <c r="AT57" s="1633"/>
      <c r="AU57" s="1633"/>
      <c r="AV57" s="1633"/>
      <c r="AW57" s="1633"/>
      <c r="AX57" s="1633"/>
      <c r="AY57" s="1633"/>
      <c r="AZ57" s="1633"/>
      <c r="BA57" s="1633"/>
      <c r="BB57" s="1633"/>
      <c r="BC57" s="1633"/>
      <c r="BD57" s="1633"/>
      <c r="BE57" s="1633"/>
      <c r="BF57" s="1633"/>
      <c r="BG57" s="1633"/>
      <c r="BH57" s="1633"/>
      <c r="BI57" s="1633"/>
      <c r="BJ57" s="1633"/>
      <c r="BK57" s="1633"/>
      <c r="BL57" s="1633"/>
      <c r="BM57" s="1633"/>
      <c r="BN57" s="1633"/>
      <c r="BO57" s="1633"/>
      <c r="BP57" s="1633"/>
      <c r="BQ57" s="1633"/>
      <c r="BR57" s="1633"/>
      <c r="BS57" s="1633"/>
      <c r="BT57" s="1633"/>
      <c r="BU57" s="1633"/>
      <c r="BV57" s="1633"/>
      <c r="BW57" s="1633"/>
      <c r="BX57" s="1633"/>
      <c r="BY57" s="1633"/>
      <c r="BZ57" s="1633"/>
      <c r="CA57" s="1633"/>
      <c r="CB57" s="1633"/>
      <c r="CC57" s="1633"/>
      <c r="CD57" s="1633"/>
      <c r="CE57" s="1633"/>
      <c r="CF57" s="1633"/>
      <c r="CG57" s="1633"/>
      <c r="CH57" s="1633"/>
      <c r="CI57" s="1633"/>
      <c r="CJ57" s="1633"/>
      <c r="CK57" s="1633"/>
      <c r="CL57" s="1633"/>
      <c r="CM57" s="1633"/>
      <c r="CN57" s="1633"/>
      <c r="CO57" s="1633"/>
      <c r="CP57" s="1633"/>
      <c r="CQ57" s="1633"/>
      <c r="CR57" s="1633"/>
      <c r="CS57" s="1633"/>
      <c r="CT57" s="1633"/>
      <c r="CU57" s="1633"/>
      <c r="CV57" s="1633"/>
      <c r="CW57" s="1633"/>
      <c r="CX57" s="1633"/>
      <c r="CY57" s="1633"/>
      <c r="CZ57" s="1633"/>
      <c r="DA57" s="1633"/>
      <c r="DB57" s="1633"/>
      <c r="DC57" s="1633"/>
      <c r="DD57" s="1633"/>
      <c r="DE57" s="1633"/>
      <c r="DF57" s="1633"/>
      <c r="DG57" s="1633"/>
      <c r="DH57" s="1633"/>
      <c r="DI57" s="1633"/>
      <c r="DJ57" s="1633"/>
      <c r="DK57" s="1633"/>
      <c r="DL57" s="1633"/>
      <c r="DM57" s="1633"/>
      <c r="DN57" s="1633"/>
      <c r="DO57" s="1633"/>
      <c r="DP57" s="1633"/>
      <c r="DQ57" s="1633"/>
      <c r="DR57" s="1633"/>
      <c r="DS57" s="1633"/>
      <c r="DT57" s="1633"/>
      <c r="DU57" s="1633"/>
      <c r="DV57" s="1633"/>
      <c r="DW57" s="1633"/>
      <c r="DX57" s="1633"/>
      <c r="DY57" s="1633"/>
      <c r="DZ57" s="1633"/>
      <c r="EA57" s="1633"/>
      <c r="EB57" s="1633"/>
      <c r="EC57" s="1633"/>
      <c r="ED57" s="1633"/>
      <c r="EE57" s="1633"/>
      <c r="EF57" s="1633"/>
      <c r="EG57" s="1633"/>
      <c r="EH57" s="1633"/>
      <c r="EI57" s="1633"/>
      <c r="EJ57" s="1633"/>
      <c r="EK57" s="1633"/>
      <c r="EL57" s="1633"/>
      <c r="EM57" s="1633"/>
      <c r="EN57" s="1633"/>
      <c r="EO57" s="1633"/>
      <c r="EP57" s="1633"/>
      <c r="EQ57" s="1633"/>
      <c r="ER57" s="1633"/>
      <c r="ES57" s="1633"/>
      <c r="ET57" s="1633"/>
      <c r="EU57" s="1633"/>
      <c r="EV57" s="1633"/>
      <c r="EW57" s="1633"/>
      <c r="EX57" s="1633"/>
      <c r="EY57" s="1633"/>
      <c r="EZ57" s="1633"/>
      <c r="FA57" s="1633"/>
      <c r="FB57" s="1633"/>
      <c r="FC57" s="1633"/>
      <c r="FD57" s="1633"/>
      <c r="FE57" s="1633"/>
      <c r="FF57" s="1633"/>
      <c r="FG57" s="1633"/>
      <c r="FH57" s="1633"/>
      <c r="FI57" s="1633"/>
      <c r="FJ57" s="1633"/>
      <c r="FK57" s="1633"/>
      <c r="FL57" s="1633"/>
      <c r="FM57" s="1633"/>
      <c r="FN57" s="1633"/>
      <c r="FO57" s="1633"/>
      <c r="FP57" s="1633"/>
      <c r="FQ57" s="1633"/>
      <c r="FR57" s="1633"/>
      <c r="FS57" s="1633"/>
      <c r="FT57" s="1633"/>
      <c r="FU57" s="1633"/>
      <c r="FV57" s="1633"/>
      <c r="FW57" s="1633"/>
      <c r="FX57" s="1633"/>
      <c r="FY57" s="1633"/>
      <c r="FZ57" s="1633"/>
      <c r="GA57" s="1633"/>
      <c r="GB57" s="1633"/>
      <c r="GC57" s="1633"/>
      <c r="GD57" s="1633"/>
      <c r="GE57" s="1633"/>
      <c r="GF57" s="1633"/>
      <c r="GG57" s="1633"/>
      <c r="GH57" s="1633"/>
      <c r="GI57" s="1633"/>
      <c r="GJ57" s="1633"/>
      <c r="GK57" s="1633"/>
      <c r="GL57" s="1633"/>
      <c r="GM57" s="1633"/>
      <c r="GN57" s="1633"/>
      <c r="GO57" s="1633"/>
      <c r="GP57" s="1633"/>
      <c r="GQ57" s="1633"/>
      <c r="GR57" s="1633"/>
      <c r="GS57" s="1633"/>
      <c r="GT57" s="1633"/>
      <c r="GU57" s="1633"/>
      <c r="GV57" s="1633"/>
      <c r="GW57" s="1633"/>
      <c r="GX57" s="1633"/>
      <c r="GY57" s="1633"/>
      <c r="GZ57" s="1633"/>
      <c r="HA57" s="1633"/>
      <c r="HB57" s="1633"/>
      <c r="HC57" s="1633"/>
      <c r="HD57" s="1633"/>
      <c r="HE57" s="1633"/>
      <c r="HF57" s="1633"/>
      <c r="HG57" s="1633"/>
      <c r="HH57" s="1633"/>
      <c r="HI57" s="1633"/>
      <c r="HJ57" s="1633"/>
      <c r="HK57" s="1633"/>
      <c r="HL57" s="1633"/>
      <c r="HM57" s="1633"/>
      <c r="HN57" s="1633"/>
      <c r="HO57" s="1633"/>
      <c r="HP57" s="1633"/>
      <c r="HQ57" s="1633"/>
      <c r="HR57" s="1633"/>
      <c r="HS57" s="1633"/>
      <c r="HT57" s="1633"/>
      <c r="HU57" s="1633"/>
      <c r="HV57" s="1633"/>
      <c r="HW57" s="1633"/>
      <c r="HX57" s="1633"/>
      <c r="HY57" s="1633"/>
      <c r="HZ57" s="1633"/>
      <c r="IA57" s="1633"/>
      <c r="IB57" s="1633"/>
      <c r="IC57" s="1633"/>
      <c r="ID57" s="1633"/>
      <c r="IE57" s="1633"/>
      <c r="IF57" s="1633"/>
      <c r="IG57" s="1633"/>
      <c r="IH57" s="1633"/>
      <c r="II57" s="1633"/>
      <c r="IJ57" s="1633"/>
      <c r="IK57" s="1633"/>
      <c r="IL57" s="1633"/>
      <c r="IM57" s="1633"/>
    </row>
    <row r="58" spans="1:247">
      <c r="A58" s="1627" t="s">
        <v>206</v>
      </c>
      <c r="B58" s="1628">
        <f>审定资负表!G12</f>
        <v>0</v>
      </c>
      <c r="C58" s="1628">
        <f>审定资负表!H12</f>
        <v>0</v>
      </c>
      <c r="D58" s="1629" t="str">
        <f t="shared" si="0"/>
        <v> </v>
      </c>
      <c r="E58" s="1630">
        <f t="shared" si="1"/>
        <v>0</v>
      </c>
      <c r="F58" s="1631">
        <f t="shared" si="2"/>
        <v>0</v>
      </c>
      <c r="G58" s="1634"/>
      <c r="H58" s="1633"/>
      <c r="I58" s="1633"/>
      <c r="J58" s="1633"/>
      <c r="K58" s="1633"/>
      <c r="L58" s="1633"/>
      <c r="M58" s="1633"/>
      <c r="N58" s="1633"/>
      <c r="O58" s="1633"/>
      <c r="P58" s="1633"/>
      <c r="Q58" s="1633"/>
      <c r="R58" s="1633"/>
      <c r="S58" s="1633"/>
      <c r="T58" s="1633"/>
      <c r="U58" s="1633"/>
      <c r="V58" s="1633"/>
      <c r="W58" s="1633"/>
      <c r="X58" s="1633"/>
      <c r="Y58" s="1633"/>
      <c r="Z58" s="1633"/>
      <c r="AA58" s="1633"/>
      <c r="AB58" s="1633"/>
      <c r="AC58" s="1633"/>
      <c r="AD58" s="1633"/>
      <c r="AE58" s="1633"/>
      <c r="AF58" s="1633"/>
      <c r="AG58" s="1633"/>
      <c r="AH58" s="1633"/>
      <c r="AI58" s="1633"/>
      <c r="AJ58" s="1633"/>
      <c r="AK58" s="1633"/>
      <c r="AL58" s="1633"/>
      <c r="AM58" s="1633"/>
      <c r="AN58" s="1633"/>
      <c r="AO58" s="1633"/>
      <c r="AP58" s="1633"/>
      <c r="AQ58" s="1633"/>
      <c r="AR58" s="1633"/>
      <c r="AS58" s="1633"/>
      <c r="AT58" s="1633"/>
      <c r="AU58" s="1633"/>
      <c r="AV58" s="1633"/>
      <c r="AW58" s="1633"/>
      <c r="AX58" s="1633"/>
      <c r="AY58" s="1633"/>
      <c r="AZ58" s="1633"/>
      <c r="BA58" s="1633"/>
      <c r="BB58" s="1633"/>
      <c r="BC58" s="1633"/>
      <c r="BD58" s="1633"/>
      <c r="BE58" s="1633"/>
      <c r="BF58" s="1633"/>
      <c r="BG58" s="1633"/>
      <c r="BH58" s="1633"/>
      <c r="BI58" s="1633"/>
      <c r="BJ58" s="1633"/>
      <c r="BK58" s="1633"/>
      <c r="BL58" s="1633"/>
      <c r="BM58" s="1633"/>
      <c r="BN58" s="1633"/>
      <c r="BO58" s="1633"/>
      <c r="BP58" s="1633"/>
      <c r="BQ58" s="1633"/>
      <c r="BR58" s="1633"/>
      <c r="BS58" s="1633"/>
      <c r="BT58" s="1633"/>
      <c r="BU58" s="1633"/>
      <c r="BV58" s="1633"/>
      <c r="BW58" s="1633"/>
      <c r="BX58" s="1633"/>
      <c r="BY58" s="1633"/>
      <c r="BZ58" s="1633"/>
      <c r="CA58" s="1633"/>
      <c r="CB58" s="1633"/>
      <c r="CC58" s="1633"/>
      <c r="CD58" s="1633"/>
      <c r="CE58" s="1633"/>
      <c r="CF58" s="1633"/>
      <c r="CG58" s="1633"/>
      <c r="CH58" s="1633"/>
      <c r="CI58" s="1633"/>
      <c r="CJ58" s="1633"/>
      <c r="CK58" s="1633"/>
      <c r="CL58" s="1633"/>
      <c r="CM58" s="1633"/>
      <c r="CN58" s="1633"/>
      <c r="CO58" s="1633"/>
      <c r="CP58" s="1633"/>
      <c r="CQ58" s="1633"/>
      <c r="CR58" s="1633"/>
      <c r="CS58" s="1633"/>
      <c r="CT58" s="1633"/>
      <c r="CU58" s="1633"/>
      <c r="CV58" s="1633"/>
      <c r="CW58" s="1633"/>
      <c r="CX58" s="1633"/>
      <c r="CY58" s="1633"/>
      <c r="CZ58" s="1633"/>
      <c r="DA58" s="1633"/>
      <c r="DB58" s="1633"/>
      <c r="DC58" s="1633"/>
      <c r="DD58" s="1633"/>
      <c r="DE58" s="1633"/>
      <c r="DF58" s="1633"/>
      <c r="DG58" s="1633"/>
      <c r="DH58" s="1633"/>
      <c r="DI58" s="1633"/>
      <c r="DJ58" s="1633"/>
      <c r="DK58" s="1633"/>
      <c r="DL58" s="1633"/>
      <c r="DM58" s="1633"/>
      <c r="DN58" s="1633"/>
      <c r="DO58" s="1633"/>
      <c r="DP58" s="1633"/>
      <c r="DQ58" s="1633"/>
      <c r="DR58" s="1633"/>
      <c r="DS58" s="1633"/>
      <c r="DT58" s="1633"/>
      <c r="DU58" s="1633"/>
      <c r="DV58" s="1633"/>
      <c r="DW58" s="1633"/>
      <c r="DX58" s="1633"/>
      <c r="DY58" s="1633"/>
      <c r="DZ58" s="1633"/>
      <c r="EA58" s="1633"/>
      <c r="EB58" s="1633"/>
      <c r="EC58" s="1633"/>
      <c r="ED58" s="1633"/>
      <c r="EE58" s="1633"/>
      <c r="EF58" s="1633"/>
      <c r="EG58" s="1633"/>
      <c r="EH58" s="1633"/>
      <c r="EI58" s="1633"/>
      <c r="EJ58" s="1633"/>
      <c r="EK58" s="1633"/>
      <c r="EL58" s="1633"/>
      <c r="EM58" s="1633"/>
      <c r="EN58" s="1633"/>
      <c r="EO58" s="1633"/>
      <c r="EP58" s="1633"/>
      <c r="EQ58" s="1633"/>
      <c r="ER58" s="1633"/>
      <c r="ES58" s="1633"/>
      <c r="ET58" s="1633"/>
      <c r="EU58" s="1633"/>
      <c r="EV58" s="1633"/>
      <c r="EW58" s="1633"/>
      <c r="EX58" s="1633"/>
      <c r="EY58" s="1633"/>
      <c r="EZ58" s="1633"/>
      <c r="FA58" s="1633"/>
      <c r="FB58" s="1633"/>
      <c r="FC58" s="1633"/>
      <c r="FD58" s="1633"/>
      <c r="FE58" s="1633"/>
      <c r="FF58" s="1633"/>
      <c r="FG58" s="1633"/>
      <c r="FH58" s="1633"/>
      <c r="FI58" s="1633"/>
      <c r="FJ58" s="1633"/>
      <c r="FK58" s="1633"/>
      <c r="FL58" s="1633"/>
      <c r="FM58" s="1633"/>
      <c r="FN58" s="1633"/>
      <c r="FO58" s="1633"/>
      <c r="FP58" s="1633"/>
      <c r="FQ58" s="1633"/>
      <c r="FR58" s="1633"/>
      <c r="FS58" s="1633"/>
      <c r="FT58" s="1633"/>
      <c r="FU58" s="1633"/>
      <c r="FV58" s="1633"/>
      <c r="FW58" s="1633"/>
      <c r="FX58" s="1633"/>
      <c r="FY58" s="1633"/>
      <c r="FZ58" s="1633"/>
      <c r="GA58" s="1633"/>
      <c r="GB58" s="1633"/>
      <c r="GC58" s="1633"/>
      <c r="GD58" s="1633"/>
      <c r="GE58" s="1633"/>
      <c r="GF58" s="1633"/>
      <c r="GG58" s="1633"/>
      <c r="GH58" s="1633"/>
      <c r="GI58" s="1633"/>
      <c r="GJ58" s="1633"/>
      <c r="GK58" s="1633"/>
      <c r="GL58" s="1633"/>
      <c r="GM58" s="1633"/>
      <c r="GN58" s="1633"/>
      <c r="GO58" s="1633"/>
      <c r="GP58" s="1633"/>
      <c r="GQ58" s="1633"/>
      <c r="GR58" s="1633"/>
      <c r="GS58" s="1633"/>
      <c r="GT58" s="1633"/>
      <c r="GU58" s="1633"/>
      <c r="GV58" s="1633"/>
      <c r="GW58" s="1633"/>
      <c r="GX58" s="1633"/>
      <c r="GY58" s="1633"/>
      <c r="GZ58" s="1633"/>
      <c r="HA58" s="1633"/>
      <c r="HB58" s="1633"/>
      <c r="HC58" s="1633"/>
      <c r="HD58" s="1633"/>
      <c r="HE58" s="1633"/>
      <c r="HF58" s="1633"/>
      <c r="HG58" s="1633"/>
      <c r="HH58" s="1633"/>
      <c r="HI58" s="1633"/>
      <c r="HJ58" s="1633"/>
      <c r="HK58" s="1633"/>
      <c r="HL58" s="1633"/>
      <c r="HM58" s="1633"/>
      <c r="HN58" s="1633"/>
      <c r="HO58" s="1633"/>
      <c r="HP58" s="1633"/>
      <c r="HQ58" s="1633"/>
      <c r="HR58" s="1633"/>
      <c r="HS58" s="1633"/>
      <c r="HT58" s="1633"/>
      <c r="HU58" s="1633"/>
      <c r="HV58" s="1633"/>
      <c r="HW58" s="1633"/>
      <c r="HX58" s="1633"/>
      <c r="HY58" s="1633"/>
      <c r="HZ58" s="1633"/>
      <c r="IA58" s="1633"/>
      <c r="IB58" s="1633"/>
      <c r="IC58" s="1633"/>
      <c r="ID58" s="1633"/>
      <c r="IE58" s="1633"/>
      <c r="IF58" s="1633"/>
      <c r="IG58" s="1633"/>
      <c r="IH58" s="1633"/>
      <c r="II58" s="1633"/>
      <c r="IJ58" s="1633"/>
      <c r="IK58" s="1633"/>
      <c r="IL58" s="1633"/>
      <c r="IM58" s="1633"/>
    </row>
    <row r="59" spans="1:247">
      <c r="A59" s="1627" t="s">
        <v>208</v>
      </c>
      <c r="B59" s="1628">
        <f>审定资负表!G13</f>
        <v>0</v>
      </c>
      <c r="C59" s="1628">
        <f>审定资负表!H13</f>
        <v>0</v>
      </c>
      <c r="D59" s="1629" t="str">
        <f t="shared" si="0"/>
        <v> </v>
      </c>
      <c r="E59" s="1630">
        <f t="shared" si="1"/>
        <v>0</v>
      </c>
      <c r="F59" s="1631">
        <f t="shared" si="2"/>
        <v>0</v>
      </c>
      <c r="G59" s="1634"/>
      <c r="H59" s="1633"/>
      <c r="I59" s="1633"/>
      <c r="J59" s="1633"/>
      <c r="K59" s="1633"/>
      <c r="L59" s="1633"/>
      <c r="M59" s="1633"/>
      <c r="N59" s="1633"/>
      <c r="O59" s="1633"/>
      <c r="P59" s="1633"/>
      <c r="Q59" s="1633"/>
      <c r="R59" s="1633"/>
      <c r="S59" s="1633"/>
      <c r="T59" s="1633"/>
      <c r="U59" s="1633"/>
      <c r="V59" s="1633"/>
      <c r="W59" s="1633"/>
      <c r="X59" s="1633"/>
      <c r="Y59" s="1633"/>
      <c r="Z59" s="1633"/>
      <c r="AA59" s="1633"/>
      <c r="AB59" s="1633"/>
      <c r="AC59" s="1633"/>
      <c r="AD59" s="1633"/>
      <c r="AE59" s="1633"/>
      <c r="AF59" s="1633"/>
      <c r="AG59" s="1633"/>
      <c r="AH59" s="1633"/>
      <c r="AI59" s="1633"/>
      <c r="AJ59" s="1633"/>
      <c r="AK59" s="1633"/>
      <c r="AL59" s="1633"/>
      <c r="AM59" s="1633"/>
      <c r="AN59" s="1633"/>
      <c r="AO59" s="1633"/>
      <c r="AP59" s="1633"/>
      <c r="AQ59" s="1633"/>
      <c r="AR59" s="1633"/>
      <c r="AS59" s="1633"/>
      <c r="AT59" s="1633"/>
      <c r="AU59" s="1633"/>
      <c r="AV59" s="1633"/>
      <c r="AW59" s="1633"/>
      <c r="AX59" s="1633"/>
      <c r="AY59" s="1633"/>
      <c r="AZ59" s="1633"/>
      <c r="BA59" s="1633"/>
      <c r="BB59" s="1633"/>
      <c r="BC59" s="1633"/>
      <c r="BD59" s="1633"/>
      <c r="BE59" s="1633"/>
      <c r="BF59" s="1633"/>
      <c r="BG59" s="1633"/>
      <c r="BH59" s="1633"/>
      <c r="BI59" s="1633"/>
      <c r="BJ59" s="1633"/>
      <c r="BK59" s="1633"/>
      <c r="BL59" s="1633"/>
      <c r="BM59" s="1633"/>
      <c r="BN59" s="1633"/>
      <c r="BO59" s="1633"/>
      <c r="BP59" s="1633"/>
      <c r="BQ59" s="1633"/>
      <c r="BR59" s="1633"/>
      <c r="BS59" s="1633"/>
      <c r="BT59" s="1633"/>
      <c r="BU59" s="1633"/>
      <c r="BV59" s="1633"/>
      <c r="BW59" s="1633"/>
      <c r="BX59" s="1633"/>
      <c r="BY59" s="1633"/>
      <c r="BZ59" s="1633"/>
      <c r="CA59" s="1633"/>
      <c r="CB59" s="1633"/>
      <c r="CC59" s="1633"/>
      <c r="CD59" s="1633"/>
      <c r="CE59" s="1633"/>
      <c r="CF59" s="1633"/>
      <c r="CG59" s="1633"/>
      <c r="CH59" s="1633"/>
      <c r="CI59" s="1633"/>
      <c r="CJ59" s="1633"/>
      <c r="CK59" s="1633"/>
      <c r="CL59" s="1633"/>
      <c r="CM59" s="1633"/>
      <c r="CN59" s="1633"/>
      <c r="CO59" s="1633"/>
      <c r="CP59" s="1633"/>
      <c r="CQ59" s="1633"/>
      <c r="CR59" s="1633"/>
      <c r="CS59" s="1633"/>
      <c r="CT59" s="1633"/>
      <c r="CU59" s="1633"/>
      <c r="CV59" s="1633"/>
      <c r="CW59" s="1633"/>
      <c r="CX59" s="1633"/>
      <c r="CY59" s="1633"/>
      <c r="CZ59" s="1633"/>
      <c r="DA59" s="1633"/>
      <c r="DB59" s="1633"/>
      <c r="DC59" s="1633"/>
      <c r="DD59" s="1633"/>
      <c r="DE59" s="1633"/>
      <c r="DF59" s="1633"/>
      <c r="DG59" s="1633"/>
      <c r="DH59" s="1633"/>
      <c r="DI59" s="1633"/>
      <c r="DJ59" s="1633"/>
      <c r="DK59" s="1633"/>
      <c r="DL59" s="1633"/>
      <c r="DM59" s="1633"/>
      <c r="DN59" s="1633"/>
      <c r="DO59" s="1633"/>
      <c r="DP59" s="1633"/>
      <c r="DQ59" s="1633"/>
      <c r="DR59" s="1633"/>
      <c r="DS59" s="1633"/>
      <c r="DT59" s="1633"/>
      <c r="DU59" s="1633"/>
      <c r="DV59" s="1633"/>
      <c r="DW59" s="1633"/>
      <c r="DX59" s="1633"/>
      <c r="DY59" s="1633"/>
      <c r="DZ59" s="1633"/>
      <c r="EA59" s="1633"/>
      <c r="EB59" s="1633"/>
      <c r="EC59" s="1633"/>
      <c r="ED59" s="1633"/>
      <c r="EE59" s="1633"/>
      <c r="EF59" s="1633"/>
      <c r="EG59" s="1633"/>
      <c r="EH59" s="1633"/>
      <c r="EI59" s="1633"/>
      <c r="EJ59" s="1633"/>
      <c r="EK59" s="1633"/>
      <c r="EL59" s="1633"/>
      <c r="EM59" s="1633"/>
      <c r="EN59" s="1633"/>
      <c r="EO59" s="1633"/>
      <c r="EP59" s="1633"/>
      <c r="EQ59" s="1633"/>
      <c r="ER59" s="1633"/>
      <c r="ES59" s="1633"/>
      <c r="ET59" s="1633"/>
      <c r="EU59" s="1633"/>
      <c r="EV59" s="1633"/>
      <c r="EW59" s="1633"/>
      <c r="EX59" s="1633"/>
      <c r="EY59" s="1633"/>
      <c r="EZ59" s="1633"/>
      <c r="FA59" s="1633"/>
      <c r="FB59" s="1633"/>
      <c r="FC59" s="1633"/>
      <c r="FD59" s="1633"/>
      <c r="FE59" s="1633"/>
      <c r="FF59" s="1633"/>
      <c r="FG59" s="1633"/>
      <c r="FH59" s="1633"/>
      <c r="FI59" s="1633"/>
      <c r="FJ59" s="1633"/>
      <c r="FK59" s="1633"/>
      <c r="FL59" s="1633"/>
      <c r="FM59" s="1633"/>
      <c r="FN59" s="1633"/>
      <c r="FO59" s="1633"/>
      <c r="FP59" s="1633"/>
      <c r="FQ59" s="1633"/>
      <c r="FR59" s="1633"/>
      <c r="FS59" s="1633"/>
      <c r="FT59" s="1633"/>
      <c r="FU59" s="1633"/>
      <c r="FV59" s="1633"/>
      <c r="FW59" s="1633"/>
      <c r="FX59" s="1633"/>
      <c r="FY59" s="1633"/>
      <c r="FZ59" s="1633"/>
      <c r="GA59" s="1633"/>
      <c r="GB59" s="1633"/>
      <c r="GC59" s="1633"/>
      <c r="GD59" s="1633"/>
      <c r="GE59" s="1633"/>
      <c r="GF59" s="1633"/>
      <c r="GG59" s="1633"/>
      <c r="GH59" s="1633"/>
      <c r="GI59" s="1633"/>
      <c r="GJ59" s="1633"/>
      <c r="GK59" s="1633"/>
      <c r="GL59" s="1633"/>
      <c r="GM59" s="1633"/>
      <c r="GN59" s="1633"/>
      <c r="GO59" s="1633"/>
      <c r="GP59" s="1633"/>
      <c r="GQ59" s="1633"/>
      <c r="GR59" s="1633"/>
      <c r="GS59" s="1633"/>
      <c r="GT59" s="1633"/>
      <c r="GU59" s="1633"/>
      <c r="GV59" s="1633"/>
      <c r="GW59" s="1633"/>
      <c r="GX59" s="1633"/>
      <c r="GY59" s="1633"/>
      <c r="GZ59" s="1633"/>
      <c r="HA59" s="1633"/>
      <c r="HB59" s="1633"/>
      <c r="HC59" s="1633"/>
      <c r="HD59" s="1633"/>
      <c r="HE59" s="1633"/>
      <c r="HF59" s="1633"/>
      <c r="HG59" s="1633"/>
      <c r="HH59" s="1633"/>
      <c r="HI59" s="1633"/>
      <c r="HJ59" s="1633"/>
      <c r="HK59" s="1633"/>
      <c r="HL59" s="1633"/>
      <c r="HM59" s="1633"/>
      <c r="HN59" s="1633"/>
      <c r="HO59" s="1633"/>
      <c r="HP59" s="1633"/>
      <c r="HQ59" s="1633"/>
      <c r="HR59" s="1633"/>
      <c r="HS59" s="1633"/>
      <c r="HT59" s="1633"/>
      <c r="HU59" s="1633"/>
      <c r="HV59" s="1633"/>
      <c r="HW59" s="1633"/>
      <c r="HX59" s="1633"/>
      <c r="HY59" s="1633"/>
      <c r="HZ59" s="1633"/>
      <c r="IA59" s="1633"/>
      <c r="IB59" s="1633"/>
      <c r="IC59" s="1633"/>
      <c r="ID59" s="1633"/>
      <c r="IE59" s="1633"/>
      <c r="IF59" s="1633"/>
      <c r="IG59" s="1633"/>
      <c r="IH59" s="1633"/>
      <c r="II59" s="1633"/>
      <c r="IJ59" s="1633"/>
      <c r="IK59" s="1633"/>
      <c r="IL59" s="1633"/>
      <c r="IM59" s="1633"/>
    </row>
    <row r="60" spans="1:247">
      <c r="A60" s="1627" t="s">
        <v>210</v>
      </c>
      <c r="B60" s="1628">
        <f>审定资负表!G14</f>
        <v>0</v>
      </c>
      <c r="C60" s="1628">
        <f>审定资负表!H14</f>
        <v>0</v>
      </c>
      <c r="D60" s="1629" t="str">
        <f t="shared" si="0"/>
        <v> </v>
      </c>
      <c r="E60" s="1630">
        <f t="shared" si="1"/>
        <v>0</v>
      </c>
      <c r="F60" s="1631">
        <f t="shared" si="2"/>
        <v>0</v>
      </c>
      <c r="G60" s="1634"/>
      <c r="H60" s="1633"/>
      <c r="I60" s="1633"/>
      <c r="J60" s="1633"/>
      <c r="K60" s="1633"/>
      <c r="L60" s="1633"/>
      <c r="M60" s="1633"/>
      <c r="N60" s="1633"/>
      <c r="O60" s="1633"/>
      <c r="P60" s="1633"/>
      <c r="Q60" s="1633"/>
      <c r="R60" s="1633"/>
      <c r="S60" s="1633"/>
      <c r="T60" s="1633"/>
      <c r="U60" s="1633"/>
      <c r="V60" s="1633"/>
      <c r="W60" s="1633"/>
      <c r="X60" s="1633"/>
      <c r="Y60" s="1633"/>
      <c r="Z60" s="1633"/>
      <c r="AA60" s="1633"/>
      <c r="AB60" s="1633"/>
      <c r="AC60" s="1633"/>
      <c r="AD60" s="1633"/>
      <c r="AE60" s="1633"/>
      <c r="AF60" s="1633"/>
      <c r="AG60" s="1633"/>
      <c r="AH60" s="1633"/>
      <c r="AI60" s="1633"/>
      <c r="AJ60" s="1633"/>
      <c r="AK60" s="1633"/>
      <c r="AL60" s="1633"/>
      <c r="AM60" s="1633"/>
      <c r="AN60" s="1633"/>
      <c r="AO60" s="1633"/>
      <c r="AP60" s="1633"/>
      <c r="AQ60" s="1633"/>
      <c r="AR60" s="1633"/>
      <c r="AS60" s="1633"/>
      <c r="AT60" s="1633"/>
      <c r="AU60" s="1633"/>
      <c r="AV60" s="1633"/>
      <c r="AW60" s="1633"/>
      <c r="AX60" s="1633"/>
      <c r="AY60" s="1633"/>
      <c r="AZ60" s="1633"/>
      <c r="BA60" s="1633"/>
      <c r="BB60" s="1633"/>
      <c r="BC60" s="1633"/>
      <c r="BD60" s="1633"/>
      <c r="BE60" s="1633"/>
      <c r="BF60" s="1633"/>
      <c r="BG60" s="1633"/>
      <c r="BH60" s="1633"/>
      <c r="BI60" s="1633"/>
      <c r="BJ60" s="1633"/>
      <c r="BK60" s="1633"/>
      <c r="BL60" s="1633"/>
      <c r="BM60" s="1633"/>
      <c r="BN60" s="1633"/>
      <c r="BO60" s="1633"/>
      <c r="BP60" s="1633"/>
      <c r="BQ60" s="1633"/>
      <c r="BR60" s="1633"/>
      <c r="BS60" s="1633"/>
      <c r="BT60" s="1633"/>
      <c r="BU60" s="1633"/>
      <c r="BV60" s="1633"/>
      <c r="BW60" s="1633"/>
      <c r="BX60" s="1633"/>
      <c r="BY60" s="1633"/>
      <c r="BZ60" s="1633"/>
      <c r="CA60" s="1633"/>
      <c r="CB60" s="1633"/>
      <c r="CC60" s="1633"/>
      <c r="CD60" s="1633"/>
      <c r="CE60" s="1633"/>
      <c r="CF60" s="1633"/>
      <c r="CG60" s="1633"/>
      <c r="CH60" s="1633"/>
      <c r="CI60" s="1633"/>
      <c r="CJ60" s="1633"/>
      <c r="CK60" s="1633"/>
      <c r="CL60" s="1633"/>
      <c r="CM60" s="1633"/>
      <c r="CN60" s="1633"/>
      <c r="CO60" s="1633"/>
      <c r="CP60" s="1633"/>
      <c r="CQ60" s="1633"/>
      <c r="CR60" s="1633"/>
      <c r="CS60" s="1633"/>
      <c r="CT60" s="1633"/>
      <c r="CU60" s="1633"/>
      <c r="CV60" s="1633"/>
      <c r="CW60" s="1633"/>
      <c r="CX60" s="1633"/>
      <c r="CY60" s="1633"/>
      <c r="CZ60" s="1633"/>
      <c r="DA60" s="1633"/>
      <c r="DB60" s="1633"/>
      <c r="DC60" s="1633"/>
      <c r="DD60" s="1633"/>
      <c r="DE60" s="1633"/>
      <c r="DF60" s="1633"/>
      <c r="DG60" s="1633"/>
      <c r="DH60" s="1633"/>
      <c r="DI60" s="1633"/>
      <c r="DJ60" s="1633"/>
      <c r="DK60" s="1633"/>
      <c r="DL60" s="1633"/>
      <c r="DM60" s="1633"/>
      <c r="DN60" s="1633"/>
      <c r="DO60" s="1633"/>
      <c r="DP60" s="1633"/>
      <c r="DQ60" s="1633"/>
      <c r="DR60" s="1633"/>
      <c r="DS60" s="1633"/>
      <c r="DT60" s="1633"/>
      <c r="DU60" s="1633"/>
      <c r="DV60" s="1633"/>
      <c r="DW60" s="1633"/>
      <c r="DX60" s="1633"/>
      <c r="DY60" s="1633"/>
      <c r="DZ60" s="1633"/>
      <c r="EA60" s="1633"/>
      <c r="EB60" s="1633"/>
      <c r="EC60" s="1633"/>
      <c r="ED60" s="1633"/>
      <c r="EE60" s="1633"/>
      <c r="EF60" s="1633"/>
      <c r="EG60" s="1633"/>
      <c r="EH60" s="1633"/>
      <c r="EI60" s="1633"/>
      <c r="EJ60" s="1633"/>
      <c r="EK60" s="1633"/>
      <c r="EL60" s="1633"/>
      <c r="EM60" s="1633"/>
      <c r="EN60" s="1633"/>
      <c r="EO60" s="1633"/>
      <c r="EP60" s="1633"/>
      <c r="EQ60" s="1633"/>
      <c r="ER60" s="1633"/>
      <c r="ES60" s="1633"/>
      <c r="ET60" s="1633"/>
      <c r="EU60" s="1633"/>
      <c r="EV60" s="1633"/>
      <c r="EW60" s="1633"/>
      <c r="EX60" s="1633"/>
      <c r="EY60" s="1633"/>
      <c r="EZ60" s="1633"/>
      <c r="FA60" s="1633"/>
      <c r="FB60" s="1633"/>
      <c r="FC60" s="1633"/>
      <c r="FD60" s="1633"/>
      <c r="FE60" s="1633"/>
      <c r="FF60" s="1633"/>
      <c r="FG60" s="1633"/>
      <c r="FH60" s="1633"/>
      <c r="FI60" s="1633"/>
      <c r="FJ60" s="1633"/>
      <c r="FK60" s="1633"/>
      <c r="FL60" s="1633"/>
      <c r="FM60" s="1633"/>
      <c r="FN60" s="1633"/>
      <c r="FO60" s="1633"/>
      <c r="FP60" s="1633"/>
      <c r="FQ60" s="1633"/>
      <c r="FR60" s="1633"/>
      <c r="FS60" s="1633"/>
      <c r="FT60" s="1633"/>
      <c r="FU60" s="1633"/>
      <c r="FV60" s="1633"/>
      <c r="FW60" s="1633"/>
      <c r="FX60" s="1633"/>
      <c r="FY60" s="1633"/>
      <c r="FZ60" s="1633"/>
      <c r="GA60" s="1633"/>
      <c r="GB60" s="1633"/>
      <c r="GC60" s="1633"/>
      <c r="GD60" s="1633"/>
      <c r="GE60" s="1633"/>
      <c r="GF60" s="1633"/>
      <c r="GG60" s="1633"/>
      <c r="GH60" s="1633"/>
      <c r="GI60" s="1633"/>
      <c r="GJ60" s="1633"/>
      <c r="GK60" s="1633"/>
      <c r="GL60" s="1633"/>
      <c r="GM60" s="1633"/>
      <c r="GN60" s="1633"/>
      <c r="GO60" s="1633"/>
      <c r="GP60" s="1633"/>
      <c r="GQ60" s="1633"/>
      <c r="GR60" s="1633"/>
      <c r="GS60" s="1633"/>
      <c r="GT60" s="1633"/>
      <c r="GU60" s="1633"/>
      <c r="GV60" s="1633"/>
      <c r="GW60" s="1633"/>
      <c r="GX60" s="1633"/>
      <c r="GY60" s="1633"/>
      <c r="GZ60" s="1633"/>
      <c r="HA60" s="1633"/>
      <c r="HB60" s="1633"/>
      <c r="HC60" s="1633"/>
      <c r="HD60" s="1633"/>
      <c r="HE60" s="1633"/>
      <c r="HF60" s="1633"/>
      <c r="HG60" s="1633"/>
      <c r="HH60" s="1633"/>
      <c r="HI60" s="1633"/>
      <c r="HJ60" s="1633"/>
      <c r="HK60" s="1633"/>
      <c r="HL60" s="1633"/>
      <c r="HM60" s="1633"/>
      <c r="HN60" s="1633"/>
      <c r="HO60" s="1633"/>
      <c r="HP60" s="1633"/>
      <c r="HQ60" s="1633"/>
      <c r="HR60" s="1633"/>
      <c r="HS60" s="1633"/>
      <c r="HT60" s="1633"/>
      <c r="HU60" s="1633"/>
      <c r="HV60" s="1633"/>
      <c r="HW60" s="1633"/>
      <c r="HX60" s="1633"/>
      <c r="HY60" s="1633"/>
      <c r="HZ60" s="1633"/>
      <c r="IA60" s="1633"/>
      <c r="IB60" s="1633"/>
      <c r="IC60" s="1633"/>
      <c r="ID60" s="1633"/>
      <c r="IE60" s="1633"/>
      <c r="IF60" s="1633"/>
      <c r="IG60" s="1633"/>
      <c r="IH60" s="1633"/>
      <c r="II60" s="1633"/>
      <c r="IJ60" s="1633"/>
      <c r="IK60" s="1633"/>
      <c r="IL60" s="1633"/>
      <c r="IM60" s="1633"/>
    </row>
    <row r="61" spans="1:247">
      <c r="A61" s="1627" t="s">
        <v>212</v>
      </c>
      <c r="B61" s="1628">
        <f>审定资负表!G15</f>
        <v>0</v>
      </c>
      <c r="C61" s="1628">
        <f>审定资负表!H15</f>
        <v>0</v>
      </c>
      <c r="D61" s="1629" t="str">
        <f t="shared" si="0"/>
        <v> </v>
      </c>
      <c r="E61" s="1630">
        <f t="shared" si="1"/>
        <v>0</v>
      </c>
      <c r="F61" s="1631">
        <f t="shared" si="2"/>
        <v>0</v>
      </c>
      <c r="G61" s="1634"/>
      <c r="H61" s="1633"/>
      <c r="I61" s="1633"/>
      <c r="J61" s="1633"/>
      <c r="K61" s="1633"/>
      <c r="L61" s="1633"/>
      <c r="M61" s="1633"/>
      <c r="N61" s="1633"/>
      <c r="O61" s="1633"/>
      <c r="P61" s="1633"/>
      <c r="Q61" s="1633"/>
      <c r="R61" s="1633"/>
      <c r="S61" s="1633"/>
      <c r="T61" s="1633"/>
      <c r="U61" s="1633"/>
      <c r="V61" s="1633"/>
      <c r="W61" s="1633"/>
      <c r="X61" s="1633"/>
      <c r="Y61" s="1633"/>
      <c r="Z61" s="1633"/>
      <c r="AA61" s="1633"/>
      <c r="AB61" s="1633"/>
      <c r="AC61" s="1633"/>
      <c r="AD61" s="1633"/>
      <c r="AE61" s="1633"/>
      <c r="AF61" s="1633"/>
      <c r="AG61" s="1633"/>
      <c r="AH61" s="1633"/>
      <c r="AI61" s="1633"/>
      <c r="AJ61" s="1633"/>
      <c r="AK61" s="1633"/>
      <c r="AL61" s="1633"/>
      <c r="AM61" s="1633"/>
      <c r="AN61" s="1633"/>
      <c r="AO61" s="1633"/>
      <c r="AP61" s="1633"/>
      <c r="AQ61" s="1633"/>
      <c r="AR61" s="1633"/>
      <c r="AS61" s="1633"/>
      <c r="AT61" s="1633"/>
      <c r="AU61" s="1633"/>
      <c r="AV61" s="1633"/>
      <c r="AW61" s="1633"/>
      <c r="AX61" s="1633"/>
      <c r="AY61" s="1633"/>
      <c r="AZ61" s="1633"/>
      <c r="BA61" s="1633"/>
      <c r="BB61" s="1633"/>
      <c r="BC61" s="1633"/>
      <c r="BD61" s="1633"/>
      <c r="BE61" s="1633"/>
      <c r="BF61" s="1633"/>
      <c r="BG61" s="1633"/>
      <c r="BH61" s="1633"/>
      <c r="BI61" s="1633"/>
      <c r="BJ61" s="1633"/>
      <c r="BK61" s="1633"/>
      <c r="BL61" s="1633"/>
      <c r="BM61" s="1633"/>
      <c r="BN61" s="1633"/>
      <c r="BO61" s="1633"/>
      <c r="BP61" s="1633"/>
      <c r="BQ61" s="1633"/>
      <c r="BR61" s="1633"/>
      <c r="BS61" s="1633"/>
      <c r="BT61" s="1633"/>
      <c r="BU61" s="1633"/>
      <c r="BV61" s="1633"/>
      <c r="BW61" s="1633"/>
      <c r="BX61" s="1633"/>
      <c r="BY61" s="1633"/>
      <c r="BZ61" s="1633"/>
      <c r="CA61" s="1633"/>
      <c r="CB61" s="1633"/>
      <c r="CC61" s="1633"/>
      <c r="CD61" s="1633"/>
      <c r="CE61" s="1633"/>
      <c r="CF61" s="1633"/>
      <c r="CG61" s="1633"/>
      <c r="CH61" s="1633"/>
      <c r="CI61" s="1633"/>
      <c r="CJ61" s="1633"/>
      <c r="CK61" s="1633"/>
      <c r="CL61" s="1633"/>
      <c r="CM61" s="1633"/>
      <c r="CN61" s="1633"/>
      <c r="CO61" s="1633"/>
      <c r="CP61" s="1633"/>
      <c r="CQ61" s="1633"/>
      <c r="CR61" s="1633"/>
      <c r="CS61" s="1633"/>
      <c r="CT61" s="1633"/>
      <c r="CU61" s="1633"/>
      <c r="CV61" s="1633"/>
      <c r="CW61" s="1633"/>
      <c r="CX61" s="1633"/>
      <c r="CY61" s="1633"/>
      <c r="CZ61" s="1633"/>
      <c r="DA61" s="1633"/>
      <c r="DB61" s="1633"/>
      <c r="DC61" s="1633"/>
      <c r="DD61" s="1633"/>
      <c r="DE61" s="1633"/>
      <c r="DF61" s="1633"/>
      <c r="DG61" s="1633"/>
      <c r="DH61" s="1633"/>
      <c r="DI61" s="1633"/>
      <c r="DJ61" s="1633"/>
      <c r="DK61" s="1633"/>
      <c r="DL61" s="1633"/>
      <c r="DM61" s="1633"/>
      <c r="DN61" s="1633"/>
      <c r="DO61" s="1633"/>
      <c r="DP61" s="1633"/>
      <c r="DQ61" s="1633"/>
      <c r="DR61" s="1633"/>
      <c r="DS61" s="1633"/>
      <c r="DT61" s="1633"/>
      <c r="DU61" s="1633"/>
      <c r="DV61" s="1633"/>
      <c r="DW61" s="1633"/>
      <c r="DX61" s="1633"/>
      <c r="DY61" s="1633"/>
      <c r="DZ61" s="1633"/>
      <c r="EA61" s="1633"/>
      <c r="EB61" s="1633"/>
      <c r="EC61" s="1633"/>
      <c r="ED61" s="1633"/>
      <c r="EE61" s="1633"/>
      <c r="EF61" s="1633"/>
      <c r="EG61" s="1633"/>
      <c r="EH61" s="1633"/>
      <c r="EI61" s="1633"/>
      <c r="EJ61" s="1633"/>
      <c r="EK61" s="1633"/>
      <c r="EL61" s="1633"/>
      <c r="EM61" s="1633"/>
      <c r="EN61" s="1633"/>
      <c r="EO61" s="1633"/>
      <c r="EP61" s="1633"/>
      <c r="EQ61" s="1633"/>
      <c r="ER61" s="1633"/>
      <c r="ES61" s="1633"/>
      <c r="ET61" s="1633"/>
      <c r="EU61" s="1633"/>
      <c r="EV61" s="1633"/>
      <c r="EW61" s="1633"/>
      <c r="EX61" s="1633"/>
      <c r="EY61" s="1633"/>
      <c r="EZ61" s="1633"/>
      <c r="FA61" s="1633"/>
      <c r="FB61" s="1633"/>
      <c r="FC61" s="1633"/>
      <c r="FD61" s="1633"/>
      <c r="FE61" s="1633"/>
      <c r="FF61" s="1633"/>
      <c r="FG61" s="1633"/>
      <c r="FH61" s="1633"/>
      <c r="FI61" s="1633"/>
      <c r="FJ61" s="1633"/>
      <c r="FK61" s="1633"/>
      <c r="FL61" s="1633"/>
      <c r="FM61" s="1633"/>
      <c r="FN61" s="1633"/>
      <c r="FO61" s="1633"/>
      <c r="FP61" s="1633"/>
      <c r="FQ61" s="1633"/>
      <c r="FR61" s="1633"/>
      <c r="FS61" s="1633"/>
      <c r="FT61" s="1633"/>
      <c r="FU61" s="1633"/>
      <c r="FV61" s="1633"/>
      <c r="FW61" s="1633"/>
      <c r="FX61" s="1633"/>
      <c r="FY61" s="1633"/>
      <c r="FZ61" s="1633"/>
      <c r="GA61" s="1633"/>
      <c r="GB61" s="1633"/>
      <c r="GC61" s="1633"/>
      <c r="GD61" s="1633"/>
      <c r="GE61" s="1633"/>
      <c r="GF61" s="1633"/>
      <c r="GG61" s="1633"/>
      <c r="GH61" s="1633"/>
      <c r="GI61" s="1633"/>
      <c r="GJ61" s="1633"/>
      <c r="GK61" s="1633"/>
      <c r="GL61" s="1633"/>
      <c r="GM61" s="1633"/>
      <c r="GN61" s="1633"/>
      <c r="GO61" s="1633"/>
      <c r="GP61" s="1633"/>
      <c r="GQ61" s="1633"/>
      <c r="GR61" s="1633"/>
      <c r="GS61" s="1633"/>
      <c r="GT61" s="1633"/>
      <c r="GU61" s="1633"/>
      <c r="GV61" s="1633"/>
      <c r="GW61" s="1633"/>
      <c r="GX61" s="1633"/>
      <c r="GY61" s="1633"/>
      <c r="GZ61" s="1633"/>
      <c r="HA61" s="1633"/>
      <c r="HB61" s="1633"/>
      <c r="HC61" s="1633"/>
      <c r="HD61" s="1633"/>
      <c r="HE61" s="1633"/>
      <c r="HF61" s="1633"/>
      <c r="HG61" s="1633"/>
      <c r="HH61" s="1633"/>
      <c r="HI61" s="1633"/>
      <c r="HJ61" s="1633"/>
      <c r="HK61" s="1633"/>
      <c r="HL61" s="1633"/>
      <c r="HM61" s="1633"/>
      <c r="HN61" s="1633"/>
      <c r="HO61" s="1633"/>
      <c r="HP61" s="1633"/>
      <c r="HQ61" s="1633"/>
      <c r="HR61" s="1633"/>
      <c r="HS61" s="1633"/>
      <c r="HT61" s="1633"/>
      <c r="HU61" s="1633"/>
      <c r="HV61" s="1633"/>
      <c r="HW61" s="1633"/>
      <c r="HX61" s="1633"/>
      <c r="HY61" s="1633"/>
      <c r="HZ61" s="1633"/>
      <c r="IA61" s="1633"/>
      <c r="IB61" s="1633"/>
      <c r="IC61" s="1633"/>
      <c r="ID61" s="1633"/>
      <c r="IE61" s="1633"/>
      <c r="IF61" s="1633"/>
      <c r="IG61" s="1633"/>
      <c r="IH61" s="1633"/>
      <c r="II61" s="1633"/>
      <c r="IJ61" s="1633"/>
      <c r="IK61" s="1633"/>
      <c r="IL61" s="1633"/>
      <c r="IM61" s="1633"/>
    </row>
    <row r="62" spans="1:247">
      <c r="A62" s="1627" t="s">
        <v>214</v>
      </c>
      <c r="B62" s="1628">
        <f>审定资负表!G16</f>
        <v>0</v>
      </c>
      <c r="C62" s="1628">
        <f>审定资负表!H16</f>
        <v>0</v>
      </c>
      <c r="D62" s="1629" t="str">
        <f t="shared" si="0"/>
        <v> </v>
      </c>
      <c r="E62" s="1630">
        <f t="shared" si="1"/>
        <v>0</v>
      </c>
      <c r="F62" s="1631">
        <f t="shared" si="2"/>
        <v>0</v>
      </c>
      <c r="G62" s="1634"/>
      <c r="H62" s="1633"/>
      <c r="I62" s="1633"/>
      <c r="J62" s="1633"/>
      <c r="K62" s="1633"/>
      <c r="L62" s="1633"/>
      <c r="M62" s="1633"/>
      <c r="N62" s="1633"/>
      <c r="O62" s="1633"/>
      <c r="P62" s="1633"/>
      <c r="Q62" s="1633"/>
      <c r="R62" s="1633"/>
      <c r="S62" s="1633"/>
      <c r="T62" s="1633"/>
      <c r="U62" s="1633"/>
      <c r="V62" s="1633"/>
      <c r="W62" s="1633"/>
      <c r="X62" s="1633"/>
      <c r="Y62" s="1633"/>
      <c r="Z62" s="1633"/>
      <c r="AA62" s="1633"/>
      <c r="AB62" s="1633"/>
      <c r="AC62" s="1633"/>
      <c r="AD62" s="1633"/>
      <c r="AE62" s="1633"/>
      <c r="AF62" s="1633"/>
      <c r="AG62" s="1633"/>
      <c r="AH62" s="1633"/>
      <c r="AI62" s="1633"/>
      <c r="AJ62" s="1633"/>
      <c r="AK62" s="1633"/>
      <c r="AL62" s="1633"/>
      <c r="AM62" s="1633"/>
      <c r="AN62" s="1633"/>
      <c r="AO62" s="1633"/>
      <c r="AP62" s="1633"/>
      <c r="AQ62" s="1633"/>
      <c r="AR62" s="1633"/>
      <c r="AS62" s="1633"/>
      <c r="AT62" s="1633"/>
      <c r="AU62" s="1633"/>
      <c r="AV62" s="1633"/>
      <c r="AW62" s="1633"/>
      <c r="AX62" s="1633"/>
      <c r="AY62" s="1633"/>
      <c r="AZ62" s="1633"/>
      <c r="BA62" s="1633"/>
      <c r="BB62" s="1633"/>
      <c r="BC62" s="1633"/>
      <c r="BD62" s="1633"/>
      <c r="BE62" s="1633"/>
      <c r="BF62" s="1633"/>
      <c r="BG62" s="1633"/>
      <c r="BH62" s="1633"/>
      <c r="BI62" s="1633"/>
      <c r="BJ62" s="1633"/>
      <c r="BK62" s="1633"/>
      <c r="BL62" s="1633"/>
      <c r="BM62" s="1633"/>
      <c r="BN62" s="1633"/>
      <c r="BO62" s="1633"/>
      <c r="BP62" s="1633"/>
      <c r="BQ62" s="1633"/>
      <c r="BR62" s="1633"/>
      <c r="BS62" s="1633"/>
      <c r="BT62" s="1633"/>
      <c r="BU62" s="1633"/>
      <c r="BV62" s="1633"/>
      <c r="BW62" s="1633"/>
      <c r="BX62" s="1633"/>
      <c r="BY62" s="1633"/>
      <c r="BZ62" s="1633"/>
      <c r="CA62" s="1633"/>
      <c r="CB62" s="1633"/>
      <c r="CC62" s="1633"/>
      <c r="CD62" s="1633"/>
      <c r="CE62" s="1633"/>
      <c r="CF62" s="1633"/>
      <c r="CG62" s="1633"/>
      <c r="CH62" s="1633"/>
      <c r="CI62" s="1633"/>
      <c r="CJ62" s="1633"/>
      <c r="CK62" s="1633"/>
      <c r="CL62" s="1633"/>
      <c r="CM62" s="1633"/>
      <c r="CN62" s="1633"/>
      <c r="CO62" s="1633"/>
      <c r="CP62" s="1633"/>
      <c r="CQ62" s="1633"/>
      <c r="CR62" s="1633"/>
      <c r="CS62" s="1633"/>
      <c r="CT62" s="1633"/>
      <c r="CU62" s="1633"/>
      <c r="CV62" s="1633"/>
      <c r="CW62" s="1633"/>
      <c r="CX62" s="1633"/>
      <c r="CY62" s="1633"/>
      <c r="CZ62" s="1633"/>
      <c r="DA62" s="1633"/>
      <c r="DB62" s="1633"/>
      <c r="DC62" s="1633"/>
      <c r="DD62" s="1633"/>
      <c r="DE62" s="1633"/>
      <c r="DF62" s="1633"/>
      <c r="DG62" s="1633"/>
      <c r="DH62" s="1633"/>
      <c r="DI62" s="1633"/>
      <c r="DJ62" s="1633"/>
      <c r="DK62" s="1633"/>
      <c r="DL62" s="1633"/>
      <c r="DM62" s="1633"/>
      <c r="DN62" s="1633"/>
      <c r="DO62" s="1633"/>
      <c r="DP62" s="1633"/>
      <c r="DQ62" s="1633"/>
      <c r="DR62" s="1633"/>
      <c r="DS62" s="1633"/>
      <c r="DT62" s="1633"/>
      <c r="DU62" s="1633"/>
      <c r="DV62" s="1633"/>
      <c r="DW62" s="1633"/>
      <c r="DX62" s="1633"/>
      <c r="DY62" s="1633"/>
      <c r="DZ62" s="1633"/>
      <c r="EA62" s="1633"/>
      <c r="EB62" s="1633"/>
      <c r="EC62" s="1633"/>
      <c r="ED62" s="1633"/>
      <c r="EE62" s="1633"/>
      <c r="EF62" s="1633"/>
      <c r="EG62" s="1633"/>
      <c r="EH62" s="1633"/>
      <c r="EI62" s="1633"/>
      <c r="EJ62" s="1633"/>
      <c r="EK62" s="1633"/>
      <c r="EL62" s="1633"/>
      <c r="EM62" s="1633"/>
      <c r="EN62" s="1633"/>
      <c r="EO62" s="1633"/>
      <c r="EP62" s="1633"/>
      <c r="EQ62" s="1633"/>
      <c r="ER62" s="1633"/>
      <c r="ES62" s="1633"/>
      <c r="ET62" s="1633"/>
      <c r="EU62" s="1633"/>
      <c r="EV62" s="1633"/>
      <c r="EW62" s="1633"/>
      <c r="EX62" s="1633"/>
      <c r="EY62" s="1633"/>
      <c r="EZ62" s="1633"/>
      <c r="FA62" s="1633"/>
      <c r="FB62" s="1633"/>
      <c r="FC62" s="1633"/>
      <c r="FD62" s="1633"/>
      <c r="FE62" s="1633"/>
      <c r="FF62" s="1633"/>
      <c r="FG62" s="1633"/>
      <c r="FH62" s="1633"/>
      <c r="FI62" s="1633"/>
      <c r="FJ62" s="1633"/>
      <c r="FK62" s="1633"/>
      <c r="FL62" s="1633"/>
      <c r="FM62" s="1633"/>
      <c r="FN62" s="1633"/>
      <c r="FO62" s="1633"/>
      <c r="FP62" s="1633"/>
      <c r="FQ62" s="1633"/>
      <c r="FR62" s="1633"/>
      <c r="FS62" s="1633"/>
      <c r="FT62" s="1633"/>
      <c r="FU62" s="1633"/>
      <c r="FV62" s="1633"/>
      <c r="FW62" s="1633"/>
      <c r="FX62" s="1633"/>
      <c r="FY62" s="1633"/>
      <c r="FZ62" s="1633"/>
      <c r="GA62" s="1633"/>
      <c r="GB62" s="1633"/>
      <c r="GC62" s="1633"/>
      <c r="GD62" s="1633"/>
      <c r="GE62" s="1633"/>
      <c r="GF62" s="1633"/>
      <c r="GG62" s="1633"/>
      <c r="GH62" s="1633"/>
      <c r="GI62" s="1633"/>
      <c r="GJ62" s="1633"/>
      <c r="GK62" s="1633"/>
      <c r="GL62" s="1633"/>
      <c r="GM62" s="1633"/>
      <c r="GN62" s="1633"/>
      <c r="GO62" s="1633"/>
      <c r="GP62" s="1633"/>
      <c r="GQ62" s="1633"/>
      <c r="GR62" s="1633"/>
      <c r="GS62" s="1633"/>
      <c r="GT62" s="1633"/>
      <c r="GU62" s="1633"/>
      <c r="GV62" s="1633"/>
      <c r="GW62" s="1633"/>
      <c r="GX62" s="1633"/>
      <c r="GY62" s="1633"/>
      <c r="GZ62" s="1633"/>
      <c r="HA62" s="1633"/>
      <c r="HB62" s="1633"/>
      <c r="HC62" s="1633"/>
      <c r="HD62" s="1633"/>
      <c r="HE62" s="1633"/>
      <c r="HF62" s="1633"/>
      <c r="HG62" s="1633"/>
      <c r="HH62" s="1633"/>
      <c r="HI62" s="1633"/>
      <c r="HJ62" s="1633"/>
      <c r="HK62" s="1633"/>
      <c r="HL62" s="1633"/>
      <c r="HM62" s="1633"/>
      <c r="HN62" s="1633"/>
      <c r="HO62" s="1633"/>
      <c r="HP62" s="1633"/>
      <c r="HQ62" s="1633"/>
      <c r="HR62" s="1633"/>
      <c r="HS62" s="1633"/>
      <c r="HT62" s="1633"/>
      <c r="HU62" s="1633"/>
      <c r="HV62" s="1633"/>
      <c r="HW62" s="1633"/>
      <c r="HX62" s="1633"/>
      <c r="HY62" s="1633"/>
      <c r="HZ62" s="1633"/>
      <c r="IA62" s="1633"/>
      <c r="IB62" s="1633"/>
      <c r="IC62" s="1633"/>
      <c r="ID62" s="1633"/>
      <c r="IE62" s="1633"/>
      <c r="IF62" s="1633"/>
      <c r="IG62" s="1633"/>
      <c r="IH62" s="1633"/>
      <c r="II62" s="1633"/>
      <c r="IJ62" s="1633"/>
      <c r="IK62" s="1633"/>
      <c r="IL62" s="1633"/>
      <c r="IM62" s="1633"/>
    </row>
    <row r="63" spans="1:247">
      <c r="A63" s="1627" t="s">
        <v>216</v>
      </c>
      <c r="B63" s="1628">
        <f>审定资负表!G17</f>
        <v>6935621.62</v>
      </c>
      <c r="C63" s="1628">
        <f>审定资负表!H17</f>
        <v>0</v>
      </c>
      <c r="D63" s="1629">
        <f t="shared" si="0"/>
        <v>0.122856448988557</v>
      </c>
      <c r="E63" s="1630">
        <f t="shared" si="1"/>
        <v>6935621.62</v>
      </c>
      <c r="F63" s="1631">
        <f t="shared" si="2"/>
        <v>1</v>
      </c>
      <c r="G63" s="1634"/>
      <c r="H63" s="1633"/>
      <c r="I63" s="1633"/>
      <c r="J63" s="1633"/>
      <c r="K63" s="1633"/>
      <c r="L63" s="1633"/>
      <c r="M63" s="1633"/>
      <c r="N63" s="1633"/>
      <c r="O63" s="1633"/>
      <c r="P63" s="1633"/>
      <c r="Q63" s="1633"/>
      <c r="R63" s="1633"/>
      <c r="S63" s="1633"/>
      <c r="T63" s="1633"/>
      <c r="U63" s="1633"/>
      <c r="V63" s="1633"/>
      <c r="W63" s="1633"/>
      <c r="X63" s="1633"/>
      <c r="Y63" s="1633"/>
      <c r="Z63" s="1633"/>
      <c r="AA63" s="1633"/>
      <c r="AB63" s="1633"/>
      <c r="AC63" s="1633"/>
      <c r="AD63" s="1633"/>
      <c r="AE63" s="1633"/>
      <c r="AF63" s="1633"/>
      <c r="AG63" s="1633"/>
      <c r="AH63" s="1633"/>
      <c r="AI63" s="1633"/>
      <c r="AJ63" s="1633"/>
      <c r="AK63" s="1633"/>
      <c r="AL63" s="1633"/>
      <c r="AM63" s="1633"/>
      <c r="AN63" s="1633"/>
      <c r="AO63" s="1633"/>
      <c r="AP63" s="1633"/>
      <c r="AQ63" s="1633"/>
      <c r="AR63" s="1633"/>
      <c r="AS63" s="1633"/>
      <c r="AT63" s="1633"/>
      <c r="AU63" s="1633"/>
      <c r="AV63" s="1633"/>
      <c r="AW63" s="1633"/>
      <c r="AX63" s="1633"/>
      <c r="AY63" s="1633"/>
      <c r="AZ63" s="1633"/>
      <c r="BA63" s="1633"/>
      <c r="BB63" s="1633"/>
      <c r="BC63" s="1633"/>
      <c r="BD63" s="1633"/>
      <c r="BE63" s="1633"/>
      <c r="BF63" s="1633"/>
      <c r="BG63" s="1633"/>
      <c r="BH63" s="1633"/>
      <c r="BI63" s="1633"/>
      <c r="BJ63" s="1633"/>
      <c r="BK63" s="1633"/>
      <c r="BL63" s="1633"/>
      <c r="BM63" s="1633"/>
      <c r="BN63" s="1633"/>
      <c r="BO63" s="1633"/>
      <c r="BP63" s="1633"/>
      <c r="BQ63" s="1633"/>
      <c r="BR63" s="1633"/>
      <c r="BS63" s="1633"/>
      <c r="BT63" s="1633"/>
      <c r="BU63" s="1633"/>
      <c r="BV63" s="1633"/>
      <c r="BW63" s="1633"/>
      <c r="BX63" s="1633"/>
      <c r="BY63" s="1633"/>
      <c r="BZ63" s="1633"/>
      <c r="CA63" s="1633"/>
      <c r="CB63" s="1633"/>
      <c r="CC63" s="1633"/>
      <c r="CD63" s="1633"/>
      <c r="CE63" s="1633"/>
      <c r="CF63" s="1633"/>
      <c r="CG63" s="1633"/>
      <c r="CH63" s="1633"/>
      <c r="CI63" s="1633"/>
      <c r="CJ63" s="1633"/>
      <c r="CK63" s="1633"/>
      <c r="CL63" s="1633"/>
      <c r="CM63" s="1633"/>
      <c r="CN63" s="1633"/>
      <c r="CO63" s="1633"/>
      <c r="CP63" s="1633"/>
      <c r="CQ63" s="1633"/>
      <c r="CR63" s="1633"/>
      <c r="CS63" s="1633"/>
      <c r="CT63" s="1633"/>
      <c r="CU63" s="1633"/>
      <c r="CV63" s="1633"/>
      <c r="CW63" s="1633"/>
      <c r="CX63" s="1633"/>
      <c r="CY63" s="1633"/>
      <c r="CZ63" s="1633"/>
      <c r="DA63" s="1633"/>
      <c r="DB63" s="1633"/>
      <c r="DC63" s="1633"/>
      <c r="DD63" s="1633"/>
      <c r="DE63" s="1633"/>
      <c r="DF63" s="1633"/>
      <c r="DG63" s="1633"/>
      <c r="DH63" s="1633"/>
      <c r="DI63" s="1633"/>
      <c r="DJ63" s="1633"/>
      <c r="DK63" s="1633"/>
      <c r="DL63" s="1633"/>
      <c r="DM63" s="1633"/>
      <c r="DN63" s="1633"/>
      <c r="DO63" s="1633"/>
      <c r="DP63" s="1633"/>
      <c r="DQ63" s="1633"/>
      <c r="DR63" s="1633"/>
      <c r="DS63" s="1633"/>
      <c r="DT63" s="1633"/>
      <c r="DU63" s="1633"/>
      <c r="DV63" s="1633"/>
      <c r="DW63" s="1633"/>
      <c r="DX63" s="1633"/>
      <c r="DY63" s="1633"/>
      <c r="DZ63" s="1633"/>
      <c r="EA63" s="1633"/>
      <c r="EB63" s="1633"/>
      <c r="EC63" s="1633"/>
      <c r="ED63" s="1633"/>
      <c r="EE63" s="1633"/>
      <c r="EF63" s="1633"/>
      <c r="EG63" s="1633"/>
      <c r="EH63" s="1633"/>
      <c r="EI63" s="1633"/>
      <c r="EJ63" s="1633"/>
      <c r="EK63" s="1633"/>
      <c r="EL63" s="1633"/>
      <c r="EM63" s="1633"/>
      <c r="EN63" s="1633"/>
      <c r="EO63" s="1633"/>
      <c r="EP63" s="1633"/>
      <c r="EQ63" s="1633"/>
      <c r="ER63" s="1633"/>
      <c r="ES63" s="1633"/>
      <c r="ET63" s="1633"/>
      <c r="EU63" s="1633"/>
      <c r="EV63" s="1633"/>
      <c r="EW63" s="1633"/>
      <c r="EX63" s="1633"/>
      <c r="EY63" s="1633"/>
      <c r="EZ63" s="1633"/>
      <c r="FA63" s="1633"/>
      <c r="FB63" s="1633"/>
      <c r="FC63" s="1633"/>
      <c r="FD63" s="1633"/>
      <c r="FE63" s="1633"/>
      <c r="FF63" s="1633"/>
      <c r="FG63" s="1633"/>
      <c r="FH63" s="1633"/>
      <c r="FI63" s="1633"/>
      <c r="FJ63" s="1633"/>
      <c r="FK63" s="1633"/>
      <c r="FL63" s="1633"/>
      <c r="FM63" s="1633"/>
      <c r="FN63" s="1633"/>
      <c r="FO63" s="1633"/>
      <c r="FP63" s="1633"/>
      <c r="FQ63" s="1633"/>
      <c r="FR63" s="1633"/>
      <c r="FS63" s="1633"/>
      <c r="FT63" s="1633"/>
      <c r="FU63" s="1633"/>
      <c r="FV63" s="1633"/>
      <c r="FW63" s="1633"/>
      <c r="FX63" s="1633"/>
      <c r="FY63" s="1633"/>
      <c r="FZ63" s="1633"/>
      <c r="GA63" s="1633"/>
      <c r="GB63" s="1633"/>
      <c r="GC63" s="1633"/>
      <c r="GD63" s="1633"/>
      <c r="GE63" s="1633"/>
      <c r="GF63" s="1633"/>
      <c r="GG63" s="1633"/>
      <c r="GH63" s="1633"/>
      <c r="GI63" s="1633"/>
      <c r="GJ63" s="1633"/>
      <c r="GK63" s="1633"/>
      <c r="GL63" s="1633"/>
      <c r="GM63" s="1633"/>
      <c r="GN63" s="1633"/>
      <c r="GO63" s="1633"/>
      <c r="GP63" s="1633"/>
      <c r="GQ63" s="1633"/>
      <c r="GR63" s="1633"/>
      <c r="GS63" s="1633"/>
      <c r="GT63" s="1633"/>
      <c r="GU63" s="1633"/>
      <c r="GV63" s="1633"/>
      <c r="GW63" s="1633"/>
      <c r="GX63" s="1633"/>
      <c r="GY63" s="1633"/>
      <c r="GZ63" s="1633"/>
      <c r="HA63" s="1633"/>
      <c r="HB63" s="1633"/>
      <c r="HC63" s="1633"/>
      <c r="HD63" s="1633"/>
      <c r="HE63" s="1633"/>
      <c r="HF63" s="1633"/>
      <c r="HG63" s="1633"/>
      <c r="HH63" s="1633"/>
      <c r="HI63" s="1633"/>
      <c r="HJ63" s="1633"/>
      <c r="HK63" s="1633"/>
      <c r="HL63" s="1633"/>
      <c r="HM63" s="1633"/>
      <c r="HN63" s="1633"/>
      <c r="HO63" s="1633"/>
      <c r="HP63" s="1633"/>
      <c r="HQ63" s="1633"/>
      <c r="HR63" s="1633"/>
      <c r="HS63" s="1633"/>
      <c r="HT63" s="1633"/>
      <c r="HU63" s="1633"/>
      <c r="HV63" s="1633"/>
      <c r="HW63" s="1633"/>
      <c r="HX63" s="1633"/>
      <c r="HY63" s="1633"/>
      <c r="HZ63" s="1633"/>
      <c r="IA63" s="1633"/>
      <c r="IB63" s="1633"/>
      <c r="IC63" s="1633"/>
      <c r="ID63" s="1633"/>
      <c r="IE63" s="1633"/>
      <c r="IF63" s="1633"/>
      <c r="IG63" s="1633"/>
      <c r="IH63" s="1633"/>
      <c r="II63" s="1633"/>
      <c r="IJ63" s="1633"/>
      <c r="IK63" s="1633"/>
      <c r="IL63" s="1633"/>
      <c r="IM63" s="1633"/>
    </row>
    <row r="64" spans="1:7">
      <c r="A64" s="1627" t="s">
        <v>218</v>
      </c>
      <c r="B64" s="1628">
        <f>审定资负表!G18</f>
        <v>0</v>
      </c>
      <c r="C64" s="1628">
        <f>审定资负表!H18</f>
        <v>0</v>
      </c>
      <c r="D64" s="1629" t="str">
        <f t="shared" si="0"/>
        <v> </v>
      </c>
      <c r="E64" s="1630">
        <f t="shared" si="1"/>
        <v>0</v>
      </c>
      <c r="F64" s="1631">
        <f t="shared" si="2"/>
        <v>0</v>
      </c>
      <c r="G64" s="1634"/>
    </row>
    <row r="65" spans="1:7">
      <c r="A65" s="1627" t="s">
        <v>2007</v>
      </c>
      <c r="B65" s="1628">
        <f>审定资负表!G19</f>
        <v>0</v>
      </c>
      <c r="C65" s="1628">
        <f>审定资负表!H19</f>
        <v>0</v>
      </c>
      <c r="D65" s="1629" t="str">
        <f t="shared" si="0"/>
        <v> </v>
      </c>
      <c r="E65" s="1630">
        <f t="shared" si="1"/>
        <v>0</v>
      </c>
      <c r="F65" s="1631">
        <f t="shared" si="2"/>
        <v>0</v>
      </c>
      <c r="G65" s="1634"/>
    </row>
    <row r="66" spans="1:7">
      <c r="A66" s="1635" t="s">
        <v>221</v>
      </c>
      <c r="B66" s="1628">
        <f>审定资负表!G20</f>
        <v>6935621.62</v>
      </c>
      <c r="C66" s="1628">
        <f>审定资负表!H20</f>
        <v>0</v>
      </c>
      <c r="D66" s="1629">
        <f t="shared" si="0"/>
        <v>0.122856448988557</v>
      </c>
      <c r="E66" s="1630">
        <f t="shared" si="1"/>
        <v>6935621.62</v>
      </c>
      <c r="F66" s="1631">
        <f t="shared" si="2"/>
        <v>1</v>
      </c>
      <c r="G66" s="1634"/>
    </row>
    <row r="67" spans="1:7">
      <c r="A67" s="1627"/>
      <c r="B67" s="1628">
        <f>审定资负表!G21</f>
        <v>0</v>
      </c>
      <c r="C67" s="1628">
        <f>审定资负表!H21</f>
        <v>0</v>
      </c>
      <c r="D67" s="1629" t="str">
        <f t="shared" si="0"/>
        <v> </v>
      </c>
      <c r="E67" s="1630">
        <f t="shared" si="1"/>
        <v>0</v>
      </c>
      <c r="F67" s="1631">
        <f t="shared" si="2"/>
        <v>0</v>
      </c>
      <c r="G67" s="1634"/>
    </row>
    <row r="68" spans="1:7">
      <c r="A68" s="1636" t="s">
        <v>224</v>
      </c>
      <c r="B68" s="1628">
        <f>审定资负表!G22</f>
        <v>0</v>
      </c>
      <c r="C68" s="1628">
        <f>审定资负表!H22</f>
        <v>0</v>
      </c>
      <c r="D68" s="1629" t="str">
        <f t="shared" si="0"/>
        <v> </v>
      </c>
      <c r="E68" s="1630">
        <f t="shared" si="1"/>
        <v>0</v>
      </c>
      <c r="F68" s="1631">
        <f t="shared" si="2"/>
        <v>0</v>
      </c>
      <c r="G68" s="1634"/>
    </row>
    <row r="69" spans="1:7">
      <c r="A69" s="1627" t="s">
        <v>226</v>
      </c>
      <c r="B69" s="1628">
        <f>审定资负表!G23</f>
        <v>0</v>
      </c>
      <c r="C69" s="1628">
        <f>审定资负表!H23</f>
        <v>0</v>
      </c>
      <c r="D69" s="1629" t="str">
        <f t="shared" si="0"/>
        <v> </v>
      </c>
      <c r="E69" s="1630">
        <f t="shared" si="1"/>
        <v>0</v>
      </c>
      <c r="F69" s="1631">
        <f t="shared" si="2"/>
        <v>0</v>
      </c>
      <c r="G69" s="1634"/>
    </row>
    <row r="70" spans="1:7">
      <c r="A70" s="1627" t="s">
        <v>228</v>
      </c>
      <c r="B70" s="1628">
        <f>审定资负表!G24</f>
        <v>0</v>
      </c>
      <c r="C70" s="1628">
        <f>审定资负表!H24</f>
        <v>0</v>
      </c>
      <c r="D70" s="1629" t="str">
        <f t="shared" si="0"/>
        <v> </v>
      </c>
      <c r="E70" s="1630">
        <f t="shared" si="1"/>
        <v>0</v>
      </c>
      <c r="F70" s="1631">
        <f t="shared" si="2"/>
        <v>0</v>
      </c>
      <c r="G70" s="1634"/>
    </row>
    <row r="71" spans="1:7">
      <c r="A71" s="1627" t="s">
        <v>230</v>
      </c>
      <c r="B71" s="1628">
        <f>审定资负表!G25</f>
        <v>49517431.33</v>
      </c>
      <c r="C71" s="1628">
        <f>审定资负表!H25</f>
        <v>0</v>
      </c>
      <c r="D71" s="1629">
        <f t="shared" si="0"/>
        <v>0.877143551011443</v>
      </c>
      <c r="E71" s="1630">
        <f t="shared" si="1"/>
        <v>49517431.33</v>
      </c>
      <c r="F71" s="1631">
        <f t="shared" si="2"/>
        <v>1</v>
      </c>
      <c r="G71" s="1634"/>
    </row>
    <row r="72" spans="1:7">
      <c r="A72" s="1627" t="s">
        <v>232</v>
      </c>
      <c r="B72" s="1628">
        <f>审定资负表!G26</f>
        <v>0</v>
      </c>
      <c r="C72" s="1628">
        <f>审定资负表!H26</f>
        <v>0</v>
      </c>
      <c r="D72" s="1629" t="str">
        <f t="shared" si="0"/>
        <v> </v>
      </c>
      <c r="E72" s="1630">
        <f t="shared" si="1"/>
        <v>0</v>
      </c>
      <c r="F72" s="1631">
        <f t="shared" si="2"/>
        <v>0</v>
      </c>
      <c r="G72" s="1634"/>
    </row>
    <row r="73" spans="1:7">
      <c r="A73" s="1627" t="s">
        <v>234</v>
      </c>
      <c r="B73" s="1628">
        <f>审定资负表!G27</f>
        <v>0</v>
      </c>
      <c r="C73" s="1628">
        <f>审定资负表!H27</f>
        <v>0</v>
      </c>
      <c r="D73" s="1629" t="str">
        <f t="shared" si="0"/>
        <v> </v>
      </c>
      <c r="E73" s="1630">
        <f t="shared" si="1"/>
        <v>0</v>
      </c>
      <c r="F73" s="1631">
        <f t="shared" si="2"/>
        <v>0</v>
      </c>
      <c r="G73" s="1634"/>
    </row>
    <row r="74" spans="1:7">
      <c r="A74" s="1627" t="s">
        <v>236</v>
      </c>
      <c r="B74" s="1628">
        <f>审定资负表!G28</f>
        <v>0</v>
      </c>
      <c r="C74" s="1628">
        <f>审定资负表!H28</f>
        <v>0</v>
      </c>
      <c r="D74" s="1629" t="str">
        <f t="shared" si="0"/>
        <v> </v>
      </c>
      <c r="E74" s="1630">
        <f t="shared" si="1"/>
        <v>0</v>
      </c>
      <c r="F74" s="1631">
        <f t="shared" si="2"/>
        <v>0</v>
      </c>
      <c r="G74" s="1634"/>
    </row>
    <row r="75" spans="1:7">
      <c r="A75" s="1627" t="s">
        <v>238</v>
      </c>
      <c r="B75" s="1628">
        <f>审定资负表!G29</f>
        <v>0</v>
      </c>
      <c r="C75" s="1628">
        <f>审定资负表!H29</f>
        <v>0</v>
      </c>
      <c r="D75" s="1629" t="str">
        <f t="shared" ref="D75:D94" si="3">IF(B75=0," ",B75/$B$51)</f>
        <v> </v>
      </c>
      <c r="E75" s="1630">
        <f t="shared" ref="E75:E119" si="4">B75-C75</f>
        <v>0</v>
      </c>
      <c r="F75" s="1631">
        <f t="shared" ref="F75:F121" si="5">IFERROR(IF(C75=0,B75/ABS(B75),ROUND(E75/ABS(C75),4)),0)</f>
        <v>0</v>
      </c>
      <c r="G75" s="1634"/>
    </row>
    <row r="76" spans="1:7">
      <c r="A76" s="1627" t="s">
        <v>2007</v>
      </c>
      <c r="B76" s="1628">
        <f>审定资负表!G30</f>
        <v>0</v>
      </c>
      <c r="C76" s="1628">
        <f>审定资负表!H30</f>
        <v>0</v>
      </c>
      <c r="D76" s="1629" t="str">
        <f t="shared" si="3"/>
        <v> </v>
      </c>
      <c r="E76" s="1630">
        <f t="shared" si="4"/>
        <v>0</v>
      </c>
      <c r="F76" s="1631">
        <f t="shared" si="5"/>
        <v>0</v>
      </c>
      <c r="G76" s="1634"/>
    </row>
    <row r="77" spans="1:7">
      <c r="A77" s="1635" t="s">
        <v>242</v>
      </c>
      <c r="B77" s="1628">
        <f>审定资负表!G31</f>
        <v>49517431.33</v>
      </c>
      <c r="C77" s="1628">
        <f>审定资负表!H31</f>
        <v>0</v>
      </c>
      <c r="D77" s="1629">
        <f t="shared" si="3"/>
        <v>0.877143551011443</v>
      </c>
      <c r="E77" s="1630">
        <f t="shared" si="4"/>
        <v>49517431.33</v>
      </c>
      <c r="F77" s="1631">
        <f t="shared" si="5"/>
        <v>1</v>
      </c>
      <c r="G77" s="1634"/>
    </row>
    <row r="78" spans="1:7">
      <c r="A78" s="1627"/>
      <c r="B78" s="1628">
        <f>审定资负表!G32</f>
        <v>0</v>
      </c>
      <c r="C78" s="1628">
        <f>审定资负表!H32</f>
        <v>0</v>
      </c>
      <c r="D78" s="1629" t="str">
        <f t="shared" si="3"/>
        <v> </v>
      </c>
      <c r="E78" s="1630">
        <f t="shared" si="4"/>
        <v>0</v>
      </c>
      <c r="F78" s="1631">
        <f t="shared" si="5"/>
        <v>0</v>
      </c>
      <c r="G78" s="1634"/>
    </row>
    <row r="79" spans="1:7">
      <c r="A79" s="1637" t="s">
        <v>245</v>
      </c>
      <c r="B79" s="1628">
        <f>审定资负表!G33</f>
        <v>56453052.95</v>
      </c>
      <c r="C79" s="1628">
        <f>审定资负表!H33</f>
        <v>0</v>
      </c>
      <c r="D79" s="1629">
        <f t="shared" si="3"/>
        <v>1</v>
      </c>
      <c r="E79" s="1630">
        <f t="shared" si="4"/>
        <v>56453052.95</v>
      </c>
      <c r="F79" s="1631">
        <f t="shared" si="5"/>
        <v>1</v>
      </c>
      <c r="G79" s="1634"/>
    </row>
    <row r="80" spans="1:7">
      <c r="A80" s="1627"/>
      <c r="B80" s="1628">
        <f>审定资负表!G34</f>
        <v>0</v>
      </c>
      <c r="C80" s="1628">
        <f>审定资负表!H34</f>
        <v>0</v>
      </c>
      <c r="D80" s="1629" t="str">
        <f t="shared" si="3"/>
        <v> </v>
      </c>
      <c r="E80" s="1630">
        <f t="shared" si="4"/>
        <v>0</v>
      </c>
      <c r="F80" s="1631">
        <f t="shared" si="5"/>
        <v>0</v>
      </c>
      <c r="G80" s="1634"/>
    </row>
    <row r="81" spans="1:7">
      <c r="A81" s="1636" t="s">
        <v>248</v>
      </c>
      <c r="B81" s="1628">
        <f>审定资负表!G35</f>
        <v>0</v>
      </c>
      <c r="C81" s="1628">
        <f>审定资负表!H35</f>
        <v>0</v>
      </c>
      <c r="D81" s="1629" t="str">
        <f t="shared" si="3"/>
        <v> </v>
      </c>
      <c r="E81" s="1630">
        <f t="shared" si="4"/>
        <v>0</v>
      </c>
      <c r="F81" s="1631">
        <f t="shared" si="5"/>
        <v>0</v>
      </c>
      <c r="G81" s="1634"/>
    </row>
    <row r="82" spans="1:7">
      <c r="A82" s="1627" t="s">
        <v>250</v>
      </c>
      <c r="B82" s="1628">
        <f>审定资负表!G36</f>
        <v>0</v>
      </c>
      <c r="C82" s="1628">
        <f>审定资负表!H36</f>
        <v>0</v>
      </c>
      <c r="D82" s="1629" t="str">
        <f t="shared" si="3"/>
        <v> </v>
      </c>
      <c r="E82" s="1630">
        <f t="shared" si="4"/>
        <v>0</v>
      </c>
      <c r="F82" s="1631">
        <f t="shared" si="5"/>
        <v>0</v>
      </c>
      <c r="G82" s="1634"/>
    </row>
    <row r="83" spans="1:7">
      <c r="A83" s="1627" t="s">
        <v>252</v>
      </c>
      <c r="B83" s="1628">
        <f>审定资负表!G37</f>
        <v>0</v>
      </c>
      <c r="C83" s="1628">
        <f>审定资负表!H37</f>
        <v>0</v>
      </c>
      <c r="D83" s="1629" t="str">
        <f t="shared" si="3"/>
        <v> </v>
      </c>
      <c r="E83" s="1630">
        <f t="shared" si="4"/>
        <v>0</v>
      </c>
      <c r="F83" s="1631">
        <f t="shared" si="5"/>
        <v>0</v>
      </c>
      <c r="G83" s="1634"/>
    </row>
    <row r="84" spans="1:7">
      <c r="A84" s="1627" t="s">
        <v>254</v>
      </c>
      <c r="B84" s="1628">
        <f>审定资负表!G38</f>
        <v>0</v>
      </c>
      <c r="C84" s="1628">
        <f>审定资负表!H38</f>
        <v>0</v>
      </c>
      <c r="D84" s="1629" t="str">
        <f t="shared" si="3"/>
        <v> </v>
      </c>
      <c r="E84" s="1630">
        <f t="shared" si="4"/>
        <v>0</v>
      </c>
      <c r="F84" s="1631">
        <f t="shared" si="5"/>
        <v>0</v>
      </c>
      <c r="G84" s="1634"/>
    </row>
    <row r="85" spans="1:7">
      <c r="A85" s="1627" t="s">
        <v>255</v>
      </c>
      <c r="B85" s="1628">
        <f>审定资负表!G39</f>
        <v>0</v>
      </c>
      <c r="C85" s="1628">
        <f>审定资负表!H39</f>
        <v>0</v>
      </c>
      <c r="D85" s="1629" t="str">
        <f t="shared" si="3"/>
        <v> </v>
      </c>
      <c r="E85" s="1630">
        <f t="shared" si="4"/>
        <v>0</v>
      </c>
      <c r="F85" s="1631">
        <f t="shared" si="5"/>
        <v>0</v>
      </c>
      <c r="G85" s="1634"/>
    </row>
    <row r="86" spans="1:7">
      <c r="A86" s="1627" t="s">
        <v>257</v>
      </c>
      <c r="B86" s="1628">
        <f>审定资负表!G40</f>
        <v>0</v>
      </c>
      <c r="C86" s="1628">
        <f>审定资负表!H40</f>
        <v>0</v>
      </c>
      <c r="D86" s="1629" t="str">
        <f t="shared" si="3"/>
        <v> </v>
      </c>
      <c r="E86" s="1630">
        <f t="shared" si="4"/>
        <v>0</v>
      </c>
      <c r="F86" s="1631">
        <f t="shared" si="5"/>
        <v>0</v>
      </c>
      <c r="G86" s="1634"/>
    </row>
    <row r="87" spans="1:7">
      <c r="A87" s="1627" t="s">
        <v>258</v>
      </c>
      <c r="B87" s="1628">
        <f>审定资负表!G41</f>
        <v>0</v>
      </c>
      <c r="C87" s="1628">
        <f>审定资负表!H41</f>
        <v>0</v>
      </c>
      <c r="D87" s="1629" t="str">
        <f t="shared" si="3"/>
        <v> </v>
      </c>
      <c r="E87" s="1630">
        <f t="shared" si="4"/>
        <v>0</v>
      </c>
      <c r="F87" s="1631">
        <f t="shared" si="5"/>
        <v>0</v>
      </c>
      <c r="G87" s="1634"/>
    </row>
    <row r="88" spans="1:7">
      <c r="A88" s="1627" t="s">
        <v>2007</v>
      </c>
      <c r="B88" s="1628">
        <f>审定资负表!G42</f>
        <v>0</v>
      </c>
      <c r="C88" s="1628">
        <f>审定资负表!H42</f>
        <v>0</v>
      </c>
      <c r="D88" s="1629" t="str">
        <f t="shared" si="3"/>
        <v> </v>
      </c>
      <c r="E88" s="1630">
        <f t="shared" si="4"/>
        <v>0</v>
      </c>
      <c r="F88" s="1631">
        <f t="shared" si="5"/>
        <v>0</v>
      </c>
      <c r="G88" s="1634"/>
    </row>
    <row r="89" spans="1:7">
      <c r="A89" s="1635" t="s">
        <v>260</v>
      </c>
      <c r="B89" s="1628">
        <f>审定资负表!G43</f>
        <v>0</v>
      </c>
      <c r="C89" s="1628">
        <f>审定资负表!H43</f>
        <v>0</v>
      </c>
      <c r="D89" s="1629" t="str">
        <f t="shared" si="3"/>
        <v> </v>
      </c>
      <c r="E89" s="1630">
        <f t="shared" si="4"/>
        <v>0</v>
      </c>
      <c r="F89" s="1631">
        <f t="shared" si="5"/>
        <v>0</v>
      </c>
      <c r="G89" s="1634"/>
    </row>
    <row r="90" spans="1:7">
      <c r="A90" s="1627"/>
      <c r="B90" s="1628">
        <f>审定资负表!G44</f>
        <v>0</v>
      </c>
      <c r="C90" s="1628">
        <f>审定资负表!H44</f>
        <v>0</v>
      </c>
      <c r="D90" s="1629" t="str">
        <f t="shared" si="3"/>
        <v> </v>
      </c>
      <c r="E90" s="1630">
        <f t="shared" si="4"/>
        <v>0</v>
      </c>
      <c r="F90" s="1631">
        <f t="shared" si="5"/>
        <v>0</v>
      </c>
      <c r="G90" s="1634"/>
    </row>
    <row r="91" spans="1:7">
      <c r="A91" s="1627" t="s">
        <v>261</v>
      </c>
      <c r="B91" s="1628">
        <f>审定资负表!G45</f>
        <v>0</v>
      </c>
      <c r="C91" s="1628">
        <f>审定资负表!H45</f>
        <v>0</v>
      </c>
      <c r="D91" s="1629" t="str">
        <f t="shared" si="3"/>
        <v> </v>
      </c>
      <c r="E91" s="1630">
        <f t="shared" si="4"/>
        <v>0</v>
      </c>
      <c r="F91" s="1631">
        <f t="shared" si="5"/>
        <v>0</v>
      </c>
      <c r="G91" s="1634"/>
    </row>
    <row r="92" spans="1:7">
      <c r="A92" s="1637" t="s">
        <v>262</v>
      </c>
      <c r="B92" s="1628">
        <f>审定资负表!G46</f>
        <v>0</v>
      </c>
      <c r="C92" s="1628">
        <f>审定资负表!H46</f>
        <v>0</v>
      </c>
      <c r="D92" s="1629" t="str">
        <f t="shared" si="3"/>
        <v> </v>
      </c>
      <c r="E92" s="1630">
        <f t="shared" si="4"/>
        <v>0</v>
      </c>
      <c r="F92" s="1631">
        <f t="shared" si="5"/>
        <v>0</v>
      </c>
      <c r="G92" s="1634"/>
    </row>
    <row r="93" spans="1:7">
      <c r="A93" s="1627"/>
      <c r="B93" s="1628">
        <f>审定资负表!G47</f>
        <v>0</v>
      </c>
      <c r="C93" s="1628">
        <f>审定资负表!H47</f>
        <v>0</v>
      </c>
      <c r="D93" s="1629" t="str">
        <f t="shared" si="3"/>
        <v> </v>
      </c>
      <c r="E93" s="1630">
        <f t="shared" si="4"/>
        <v>0</v>
      </c>
      <c r="F93" s="1631">
        <f t="shared" si="5"/>
        <v>0</v>
      </c>
      <c r="G93" s="1634"/>
    </row>
    <row r="94" spans="1:7">
      <c r="A94" s="1637" t="s">
        <v>264</v>
      </c>
      <c r="B94" s="1628">
        <f>审定资负表!G48</f>
        <v>56453052.95</v>
      </c>
      <c r="C94" s="1628">
        <f>审定资负表!H48</f>
        <v>0</v>
      </c>
      <c r="D94" s="1629">
        <f t="shared" si="3"/>
        <v>1</v>
      </c>
      <c r="E94" s="1630">
        <f t="shared" si="4"/>
        <v>56453052.95</v>
      </c>
      <c r="F94" s="1631">
        <f t="shared" si="5"/>
        <v>1</v>
      </c>
      <c r="G94" s="1634"/>
    </row>
    <row r="95" spans="1:7">
      <c r="A95" s="1635" t="s">
        <v>76</v>
      </c>
      <c r="B95" s="1628">
        <f>审定利润表!C6</f>
        <v>0</v>
      </c>
      <c r="C95" s="1628">
        <f>审定利润表!D6</f>
        <v>0</v>
      </c>
      <c r="D95" s="1629" t="str">
        <f>IF(B95=0," ",B95/$B$95)</f>
        <v> </v>
      </c>
      <c r="E95" s="1630">
        <f t="shared" si="4"/>
        <v>0</v>
      </c>
      <c r="F95" s="1631">
        <f t="shared" si="5"/>
        <v>0</v>
      </c>
      <c r="G95" s="1634"/>
    </row>
    <row r="96" spans="1:7">
      <c r="A96" s="1627" t="s">
        <v>78</v>
      </c>
      <c r="B96" s="1628">
        <f>审定利润表!C7</f>
        <v>0</v>
      </c>
      <c r="C96" s="1628">
        <f>审定利润表!D7</f>
        <v>0</v>
      </c>
      <c r="D96" s="1629" t="str">
        <f>IF(B96=0," ",B96/$B$95)</f>
        <v> </v>
      </c>
      <c r="E96" s="1630">
        <f t="shared" si="4"/>
        <v>0</v>
      </c>
      <c r="F96" s="1631">
        <f t="shared" si="5"/>
        <v>0</v>
      </c>
      <c r="G96" s="1634"/>
    </row>
    <row r="97" spans="1:7">
      <c r="A97" s="1627" t="s">
        <v>2235</v>
      </c>
      <c r="B97" s="1628">
        <f>审定利润表!C8</f>
        <v>0</v>
      </c>
      <c r="C97" s="1628">
        <f>审定利润表!D8</f>
        <v>0</v>
      </c>
      <c r="D97" s="1629" t="str">
        <f t="shared" ref="D97:D115" si="6">IF(B97=0," ",B97/$B$95)</f>
        <v> </v>
      </c>
      <c r="E97" s="1630">
        <f t="shared" si="4"/>
        <v>0</v>
      </c>
      <c r="F97" s="1631">
        <f t="shared" si="5"/>
        <v>0</v>
      </c>
      <c r="G97" s="1634"/>
    </row>
    <row r="98" spans="1:7">
      <c r="A98" s="1627" t="s">
        <v>81</v>
      </c>
      <c r="B98" s="1628">
        <f>审定利润表!C9</f>
        <v>0</v>
      </c>
      <c r="C98" s="1628">
        <f>审定利润表!D9</f>
        <v>0</v>
      </c>
      <c r="D98" s="1629" t="str">
        <f t="shared" si="6"/>
        <v> </v>
      </c>
      <c r="E98" s="1630">
        <f t="shared" si="4"/>
        <v>0</v>
      </c>
      <c r="F98" s="1631">
        <f t="shared" si="5"/>
        <v>0</v>
      </c>
      <c r="G98" s="1634"/>
    </row>
    <row r="99" spans="1:7">
      <c r="A99" s="1627" t="s">
        <v>83</v>
      </c>
      <c r="B99" s="1628">
        <f>审定利润表!C10</f>
        <v>0</v>
      </c>
      <c r="C99" s="1628">
        <f>审定利润表!D10</f>
        <v>0</v>
      </c>
      <c r="D99" s="1629" t="str">
        <f t="shared" si="6"/>
        <v> </v>
      </c>
      <c r="E99" s="1630">
        <f t="shared" si="4"/>
        <v>0</v>
      </c>
      <c r="F99" s="1631">
        <f t="shared" si="5"/>
        <v>0</v>
      </c>
      <c r="G99" s="1634"/>
    </row>
    <row r="100" spans="1:7">
      <c r="A100" s="1627" t="s">
        <v>84</v>
      </c>
      <c r="B100" s="1628">
        <f>审定利润表!C11</f>
        <v>0</v>
      </c>
      <c r="C100" s="1628">
        <f>审定利润表!D11</f>
        <v>0</v>
      </c>
      <c r="D100" s="1629" t="str">
        <f t="shared" si="6"/>
        <v> </v>
      </c>
      <c r="E100" s="1630">
        <f t="shared" si="4"/>
        <v>0</v>
      </c>
      <c r="F100" s="1631">
        <f t="shared" si="5"/>
        <v>0</v>
      </c>
      <c r="G100" s="1634"/>
    </row>
    <row r="101" spans="1:7">
      <c r="A101" s="1627" t="s">
        <v>85</v>
      </c>
      <c r="B101" s="1628">
        <f>审定利润表!C12</f>
        <v>0</v>
      </c>
      <c r="C101" s="1628">
        <f>审定利润表!D12</f>
        <v>0</v>
      </c>
      <c r="D101" s="1629" t="str">
        <f t="shared" si="6"/>
        <v> </v>
      </c>
      <c r="E101" s="1630">
        <f t="shared" si="4"/>
        <v>0</v>
      </c>
      <c r="F101" s="1631">
        <f t="shared" si="5"/>
        <v>0</v>
      </c>
      <c r="G101" s="1634"/>
    </row>
    <row r="102" spans="1:7">
      <c r="A102" s="1627" t="s">
        <v>87</v>
      </c>
      <c r="B102" s="1628">
        <f>审定利润表!C13</f>
        <v>0</v>
      </c>
      <c r="C102" s="1628">
        <f>审定利润表!D13</f>
        <v>0</v>
      </c>
      <c r="D102" s="1629" t="str">
        <f t="shared" si="6"/>
        <v> </v>
      </c>
      <c r="E102" s="1630">
        <f t="shared" si="4"/>
        <v>0</v>
      </c>
      <c r="F102" s="1631">
        <f t="shared" si="5"/>
        <v>0</v>
      </c>
      <c r="G102" s="1634"/>
    </row>
    <row r="103" spans="1:7">
      <c r="A103" s="1627" t="s">
        <v>89</v>
      </c>
      <c r="B103" s="1628">
        <f>审定利润表!C14</f>
        <v>0</v>
      </c>
      <c r="C103" s="1628">
        <f>审定利润表!D14</f>
        <v>0</v>
      </c>
      <c r="D103" s="1629" t="str">
        <f t="shared" si="6"/>
        <v> </v>
      </c>
      <c r="E103" s="1630">
        <f t="shared" si="4"/>
        <v>0</v>
      </c>
      <c r="F103" s="1631">
        <f t="shared" si="5"/>
        <v>0</v>
      </c>
      <c r="G103" s="1634"/>
    </row>
    <row r="104" spans="1:7">
      <c r="A104" s="1627" t="s">
        <v>91</v>
      </c>
      <c r="B104" s="1628">
        <f>审定利润表!C15</f>
        <v>0</v>
      </c>
      <c r="C104" s="1628">
        <f>审定利润表!D15</f>
        <v>0</v>
      </c>
      <c r="D104" s="1629" t="str">
        <f t="shared" si="6"/>
        <v> </v>
      </c>
      <c r="E104" s="1630">
        <f t="shared" si="4"/>
        <v>0</v>
      </c>
      <c r="F104" s="1631">
        <f t="shared" si="5"/>
        <v>0</v>
      </c>
      <c r="G104" s="1634"/>
    </row>
    <row r="105" spans="1:7">
      <c r="A105" s="1627" t="s">
        <v>92</v>
      </c>
      <c r="B105" s="1628">
        <f>审定利润表!C17</f>
        <v>0</v>
      </c>
      <c r="C105" s="1628">
        <f>审定利润表!D17</f>
        <v>0</v>
      </c>
      <c r="D105" s="1629" t="str">
        <f t="shared" si="6"/>
        <v> </v>
      </c>
      <c r="E105" s="1630">
        <f t="shared" si="4"/>
        <v>0</v>
      </c>
      <c r="F105" s="1631">
        <f t="shared" si="5"/>
        <v>0</v>
      </c>
      <c r="G105" s="1634"/>
    </row>
    <row r="106" spans="1:7">
      <c r="A106" s="1627"/>
      <c r="B106" s="1628">
        <f>审定利润表!C18</f>
        <v>0</v>
      </c>
      <c r="C106" s="1628">
        <f>审定利润表!D18</f>
        <v>0</v>
      </c>
      <c r="D106" s="1629" t="str">
        <f t="shared" si="6"/>
        <v> </v>
      </c>
      <c r="E106" s="1630">
        <f t="shared" si="4"/>
        <v>0</v>
      </c>
      <c r="F106" s="1631">
        <f t="shared" si="5"/>
        <v>0</v>
      </c>
      <c r="G106" s="1634"/>
    </row>
    <row r="107" spans="1:7">
      <c r="A107" s="1635" t="s">
        <v>93</v>
      </c>
      <c r="B107" s="1628">
        <f>审定利润表!C19</f>
        <v>0</v>
      </c>
      <c r="C107" s="1628">
        <f>审定利润表!D19</f>
        <v>0</v>
      </c>
      <c r="D107" s="1629" t="str">
        <f t="shared" si="6"/>
        <v> </v>
      </c>
      <c r="E107" s="1630">
        <f t="shared" si="4"/>
        <v>0</v>
      </c>
      <c r="F107" s="1631">
        <f t="shared" si="5"/>
        <v>0</v>
      </c>
      <c r="G107" s="1634"/>
    </row>
    <row r="108" spans="1:7">
      <c r="A108" s="1627" t="s">
        <v>94</v>
      </c>
      <c r="B108" s="1628">
        <f>审定利润表!C20</f>
        <v>0</v>
      </c>
      <c r="C108" s="1628">
        <f>审定利润表!D20</f>
        <v>0</v>
      </c>
      <c r="D108" s="1629" t="str">
        <f t="shared" si="6"/>
        <v> </v>
      </c>
      <c r="E108" s="1630">
        <f t="shared" si="4"/>
        <v>0</v>
      </c>
      <c r="F108" s="1631">
        <f t="shared" si="5"/>
        <v>0</v>
      </c>
      <c r="G108" s="1634"/>
    </row>
    <row r="109" spans="1:7">
      <c r="A109" s="1627" t="s">
        <v>96</v>
      </c>
      <c r="B109" s="1628">
        <f>审定利润表!C21</f>
        <v>0</v>
      </c>
      <c r="C109" s="1628">
        <f>审定利润表!D21</f>
        <v>0</v>
      </c>
      <c r="D109" s="1629" t="str">
        <f t="shared" si="6"/>
        <v> </v>
      </c>
      <c r="E109" s="1630">
        <f t="shared" si="4"/>
        <v>0</v>
      </c>
      <c r="F109" s="1631">
        <f t="shared" si="5"/>
        <v>0</v>
      </c>
      <c r="G109" s="1634"/>
    </row>
    <row r="110" spans="1:7">
      <c r="A110" s="1627" t="s">
        <v>98</v>
      </c>
      <c r="B110" s="1628">
        <f>审定利润表!C27</f>
        <v>0</v>
      </c>
      <c r="C110" s="1628">
        <f>审定利润表!D27</f>
        <v>0</v>
      </c>
      <c r="D110" s="1629" t="str">
        <f t="shared" si="6"/>
        <v> </v>
      </c>
      <c r="E110" s="1630">
        <f t="shared" si="4"/>
        <v>0</v>
      </c>
      <c r="F110" s="1631">
        <f t="shared" si="5"/>
        <v>0</v>
      </c>
      <c r="G110" s="1634"/>
    </row>
    <row r="111" spans="1:7">
      <c r="A111" s="1627"/>
      <c r="B111" s="1628">
        <f>审定利润表!C28</f>
        <v>0</v>
      </c>
      <c r="C111" s="1628">
        <f>审定利润表!D28</f>
        <v>0</v>
      </c>
      <c r="D111" s="1629" t="str">
        <f t="shared" si="6"/>
        <v> </v>
      </c>
      <c r="E111" s="1630">
        <f t="shared" si="4"/>
        <v>0</v>
      </c>
      <c r="F111" s="1631">
        <f t="shared" si="5"/>
        <v>0</v>
      </c>
      <c r="G111" s="1634"/>
    </row>
    <row r="112" spans="1:7">
      <c r="A112" s="1635" t="s">
        <v>99</v>
      </c>
      <c r="B112" s="1628">
        <f>审定利润表!C22</f>
        <v>0</v>
      </c>
      <c r="C112" s="1628">
        <f>审定利润表!D22</f>
        <v>0</v>
      </c>
      <c r="D112" s="1629" t="str">
        <f t="shared" si="6"/>
        <v> </v>
      </c>
      <c r="E112" s="1630">
        <f t="shared" si="4"/>
        <v>0</v>
      </c>
      <c r="F112" s="1631">
        <f t="shared" si="5"/>
        <v>0</v>
      </c>
      <c r="G112" s="1634"/>
    </row>
    <row r="113" spans="1:7">
      <c r="A113" s="1627" t="s">
        <v>100</v>
      </c>
      <c r="B113" s="1628">
        <f>审定利润表!C23</f>
        <v>0</v>
      </c>
      <c r="C113" s="1628">
        <f>审定利润表!D23</f>
        <v>0</v>
      </c>
      <c r="D113" s="1629" t="str">
        <f t="shared" si="6"/>
        <v> </v>
      </c>
      <c r="E113" s="1630">
        <f t="shared" si="4"/>
        <v>0</v>
      </c>
      <c r="F113" s="1631">
        <f t="shared" si="5"/>
        <v>0</v>
      </c>
      <c r="G113" s="1634"/>
    </row>
    <row r="114" spans="1:7">
      <c r="A114" s="1627"/>
      <c r="B114" s="1628">
        <f>审定利润表!C29</f>
        <v>0</v>
      </c>
      <c r="C114" s="1628">
        <f>审定利润表!D29</f>
        <v>0</v>
      </c>
      <c r="D114" s="1629" t="str">
        <f t="shared" si="6"/>
        <v> </v>
      </c>
      <c r="E114" s="1630">
        <f t="shared" si="4"/>
        <v>0</v>
      </c>
      <c r="F114" s="1631">
        <f t="shared" si="5"/>
        <v>0</v>
      </c>
      <c r="G114" s="1634"/>
    </row>
    <row r="115" spans="1:7">
      <c r="A115" s="1635" t="s">
        <v>102</v>
      </c>
      <c r="B115" s="1628">
        <f>审定利润表!C24</f>
        <v>0</v>
      </c>
      <c r="C115" s="1628">
        <f>审定利润表!D24</f>
        <v>0</v>
      </c>
      <c r="D115" s="1629" t="str">
        <f t="shared" si="6"/>
        <v> </v>
      </c>
      <c r="E115" s="1630">
        <f t="shared" si="4"/>
        <v>0</v>
      </c>
      <c r="F115" s="1631">
        <f t="shared" si="5"/>
        <v>0</v>
      </c>
      <c r="G115" s="1634"/>
    </row>
    <row r="116" spans="1:7">
      <c r="A116" s="1627"/>
      <c r="B116" s="1628"/>
      <c r="C116" s="1628"/>
      <c r="D116" s="1629"/>
      <c r="E116" s="1630"/>
      <c r="F116" s="1631">
        <f t="shared" si="5"/>
        <v>0</v>
      </c>
      <c r="G116" s="1634"/>
    </row>
    <row r="117" spans="1:7">
      <c r="A117" s="1635" t="s">
        <v>105</v>
      </c>
      <c r="B117" s="1628"/>
      <c r="C117" s="1628"/>
      <c r="D117" s="1629"/>
      <c r="E117" s="1630">
        <f t="shared" si="4"/>
        <v>0</v>
      </c>
      <c r="F117" s="1631">
        <f t="shared" si="5"/>
        <v>0</v>
      </c>
      <c r="G117" s="1634"/>
    </row>
    <row r="118" hidden="1" spans="1:7">
      <c r="A118" s="1627" t="s">
        <v>106</v>
      </c>
      <c r="B118" s="1628"/>
      <c r="C118" s="1628"/>
      <c r="D118" s="1629"/>
      <c r="E118" s="1630">
        <f t="shared" si="4"/>
        <v>0</v>
      </c>
      <c r="F118" s="1631">
        <f t="shared" si="5"/>
        <v>0</v>
      </c>
      <c r="G118" s="1634"/>
    </row>
    <row r="119" hidden="1" spans="1:7">
      <c r="A119" s="1627" t="s">
        <v>107</v>
      </c>
      <c r="B119" s="1628"/>
      <c r="C119" s="1628"/>
      <c r="D119" s="1629"/>
      <c r="E119" s="1630">
        <f t="shared" si="4"/>
        <v>0</v>
      </c>
      <c r="F119" s="1631">
        <f t="shared" si="5"/>
        <v>0</v>
      </c>
      <c r="G119" s="1634"/>
    </row>
    <row r="120" spans="1:7">
      <c r="A120" s="1635" t="s">
        <v>2236</v>
      </c>
      <c r="B120" s="1628"/>
      <c r="C120" s="1628"/>
      <c r="D120" s="1629"/>
      <c r="E120" s="1630"/>
      <c r="F120" s="1631">
        <f t="shared" si="5"/>
        <v>0</v>
      </c>
      <c r="G120" s="1634"/>
    </row>
    <row r="121" spans="1:7">
      <c r="A121" s="1635" t="s">
        <v>2237</v>
      </c>
      <c r="B121" s="1628"/>
      <c r="C121" s="1628"/>
      <c r="D121" s="1629"/>
      <c r="E121" s="1630"/>
      <c r="F121" s="1631">
        <f t="shared" si="5"/>
        <v>0</v>
      </c>
      <c r="G121" s="1638"/>
    </row>
    <row r="122" hidden="1" spans="1:7">
      <c r="A122" s="1635" t="s">
        <v>2238</v>
      </c>
      <c r="B122" s="1628"/>
      <c r="C122" s="1628"/>
      <c r="D122" s="1629" t="str">
        <f>IF(B122=0," ",B122/$B$122)</f>
        <v> </v>
      </c>
      <c r="E122" s="1630"/>
      <c r="F122" s="1631" t="str">
        <f>IF(C122=0," ",E122/C122)</f>
        <v> </v>
      </c>
      <c r="G122" s="1639"/>
    </row>
    <row r="123" hidden="1" spans="1:7">
      <c r="A123" s="1640" t="s">
        <v>2239</v>
      </c>
      <c r="B123" s="1641"/>
      <c r="C123" s="1641"/>
      <c r="D123" s="1642" t="str">
        <f>IF(B123=0," ",B123/$B$122)</f>
        <v> </v>
      </c>
      <c r="E123" s="1641"/>
      <c r="F123" s="1643" t="str">
        <f>IF(C123=0," ",E123/C123)</f>
        <v> </v>
      </c>
      <c r="G123" s="1644"/>
    </row>
    <row r="124" ht="22.5" hidden="1" spans="1:7">
      <c r="A124" s="1601" t="s">
        <v>2240</v>
      </c>
      <c r="B124" s="1601"/>
      <c r="C124" s="1601"/>
      <c r="D124" s="1601"/>
      <c r="E124" s="1601"/>
      <c r="F124" s="1601"/>
      <c r="G124" s="1601"/>
    </row>
    <row r="125" hidden="1" spans="1:7">
      <c r="A125" s="1645" t="s">
        <v>60</v>
      </c>
      <c r="B125" s="1646" t="s">
        <v>2241</v>
      </c>
      <c r="C125" s="1647" t="s">
        <v>2242</v>
      </c>
      <c r="D125" s="1646" t="s">
        <v>23</v>
      </c>
      <c r="E125" s="1646" t="s">
        <v>20</v>
      </c>
      <c r="F125" s="1646" t="s">
        <v>2243</v>
      </c>
      <c r="G125" s="1648" t="s">
        <v>2244</v>
      </c>
    </row>
    <row r="126" hidden="1" spans="1:7">
      <c r="A126" s="1649" t="s">
        <v>2245</v>
      </c>
      <c r="B126" s="1624"/>
      <c r="C126" s="1624"/>
      <c r="D126" s="1624"/>
      <c r="E126" s="1624"/>
      <c r="F126" s="1624"/>
      <c r="G126" s="1625"/>
    </row>
    <row r="127" hidden="1" spans="1:7">
      <c r="A127" s="1650"/>
      <c r="B127" s="1651" t="s">
        <v>2246</v>
      </c>
      <c r="C127" s="1651" t="s">
        <v>2247</v>
      </c>
      <c r="D127" s="1628">
        <f>ROUND(审定资负表!C19/审定资负表!G20,4)</f>
        <v>8.1396</v>
      </c>
      <c r="E127" s="1628" t="e">
        <f>ROUND(审定资负表!D19/审定资负表!H20,4)</f>
        <v>#DIV/0!</v>
      </c>
      <c r="F127" s="1628" t="e">
        <f>D127-E127</f>
        <v>#DIV/0!</v>
      </c>
      <c r="G127" s="1652"/>
    </row>
    <row r="128" ht="22.5" hidden="1" customHeight="1" spans="1:7">
      <c r="A128" s="1650"/>
      <c r="B128" s="1651" t="s">
        <v>2248</v>
      </c>
      <c r="C128" s="1653" t="s">
        <v>2249</v>
      </c>
      <c r="D128" s="1628">
        <f>ROUND((审定资负表!C19-审定资负表!C17-审定资负表!C16-审定资负表!C15)/审定资负表!G20,4)</f>
        <v>0</v>
      </c>
      <c r="E128" s="1628" t="e">
        <f>ROUND((审定资负表!D19-审定资负表!D17-审定资负表!D16-审定资负表!D15)/审定资负表!H20,4)</f>
        <v>#DIV/0!</v>
      </c>
      <c r="F128" s="1628" t="e">
        <f t="shared" ref="F128:F147" si="7">D128-E128</f>
        <v>#DIV/0!</v>
      </c>
      <c r="G128" s="1652"/>
    </row>
    <row r="129" ht="24" hidden="1" spans="1:7">
      <c r="A129" s="1650"/>
      <c r="B129" s="1651" t="s">
        <v>2250</v>
      </c>
      <c r="C129" s="1653" t="s">
        <v>2251</v>
      </c>
      <c r="D129" s="1628">
        <f>ROUND((审定资负表!C7+审定资负表!C8)/审定资负表!G20,4)</f>
        <v>0</v>
      </c>
      <c r="E129" s="1628" t="e">
        <f>ROUND((审定资负表!D7+审定资负表!D8)/审定资负表!H20,4)</f>
        <v>#DIV/0!</v>
      </c>
      <c r="F129" s="1628" t="e">
        <f t="shared" si="7"/>
        <v>#DIV/0!</v>
      </c>
      <c r="G129" s="1652"/>
    </row>
    <row r="130" hidden="1" spans="1:7">
      <c r="A130" s="1650"/>
      <c r="B130" s="1651" t="s">
        <v>2252</v>
      </c>
      <c r="C130" s="1651" t="s">
        <v>2253</v>
      </c>
      <c r="D130" s="1628">
        <f>ROUND(审定现流表!C16/审定资负表!G20,4)</f>
        <v>0</v>
      </c>
      <c r="E130" s="1628" t="e">
        <f>ROUND(审定现流表!D16/审定资负表!H20,4)</f>
        <v>#DIV/0!</v>
      </c>
      <c r="F130" s="1628" t="e">
        <f t="shared" si="7"/>
        <v>#DIV/0!</v>
      </c>
      <c r="G130" s="1652"/>
    </row>
    <row r="131" hidden="1" spans="1:7">
      <c r="A131" s="1650" t="s">
        <v>2254</v>
      </c>
      <c r="B131" s="1651"/>
      <c r="C131" s="1651"/>
      <c r="D131" s="1628"/>
      <c r="E131" s="1628"/>
      <c r="F131" s="1628"/>
      <c r="G131" s="1652"/>
    </row>
    <row r="132" hidden="1" spans="1:7">
      <c r="A132" s="1650"/>
      <c r="B132" s="1651" t="s">
        <v>2255</v>
      </c>
      <c r="C132" s="1651" t="s">
        <v>2256</v>
      </c>
      <c r="D132" s="1629">
        <f>ROUND(审定资负表!G33/审定资负表!C48,4)</f>
        <v>1</v>
      </c>
      <c r="E132" s="1629" t="e">
        <f>ROUND(审定资负表!H33/审定资负表!D48,4)</f>
        <v>#DIV/0!</v>
      </c>
      <c r="F132" s="1628" t="e">
        <f t="shared" si="7"/>
        <v>#DIV/0!</v>
      </c>
      <c r="G132" s="1652"/>
    </row>
    <row r="133" hidden="1" spans="1:7">
      <c r="A133" s="1650"/>
      <c r="B133" s="1651" t="s">
        <v>2257</v>
      </c>
      <c r="C133" s="1651" t="s">
        <v>2258</v>
      </c>
      <c r="D133" s="1629" t="e">
        <f>ROUND(审定资负表!G33/审定资负表!G46,4)</f>
        <v>#DIV/0!</v>
      </c>
      <c r="E133" s="1629" t="e">
        <f>ROUND(审定资负表!H33/审定资负表!H46,4)</f>
        <v>#DIV/0!</v>
      </c>
      <c r="F133" s="1628" t="e">
        <f t="shared" si="7"/>
        <v>#DIV/0!</v>
      </c>
      <c r="G133" s="1652"/>
    </row>
    <row r="134" ht="24" hidden="1" spans="1:7">
      <c r="A134" s="1650"/>
      <c r="B134" s="1651" t="s">
        <v>2259</v>
      </c>
      <c r="C134" s="1653" t="s">
        <v>2260</v>
      </c>
      <c r="D134" s="1629" t="str">
        <f>IF(C2260=0,"不适用",ROUND(审定资负表!G31/(审定资负表!G31+审定资负表!G46),4))</f>
        <v>不适用</v>
      </c>
      <c r="E134" s="1629" t="str">
        <f>IF(C2274=0,"不适用",ROUND(审定资负表!H31/(审定资负表!H31+审定资负表!H46),4))</f>
        <v>不适用</v>
      </c>
      <c r="F134" s="1628" t="e">
        <f t="shared" si="7"/>
        <v>#VALUE!</v>
      </c>
      <c r="G134" s="1652"/>
    </row>
    <row r="135" hidden="1" spans="1:7">
      <c r="A135" s="1650"/>
      <c r="B135" s="1651" t="s">
        <v>2261</v>
      </c>
      <c r="C135" s="1651" t="s">
        <v>2262</v>
      </c>
      <c r="D135" s="1654" t="str">
        <f>IF(C2260=0,"不适用",ROUND((审定利润表!C22+报表附注合并用!C2312)/报表附注合并用!C2312,4))</f>
        <v>不适用</v>
      </c>
      <c r="E135" s="1654" t="str">
        <f>IF(C2274=0,"不适用",ROUND((审定利润表!D22+报表附注合并用!C2326)/报表附注合并用!C2326,4))</f>
        <v>不适用</v>
      </c>
      <c r="F135" s="1628" t="e">
        <f t="shared" si="7"/>
        <v>#VALUE!</v>
      </c>
      <c r="G135" s="1652"/>
    </row>
    <row r="136" hidden="1" spans="1:7">
      <c r="A136" s="1650"/>
      <c r="B136" s="1651" t="s">
        <v>2263</v>
      </c>
      <c r="C136" s="1651" t="s">
        <v>2264</v>
      </c>
      <c r="D136" s="1654" t="str">
        <f>IF(C2260=0,"不适用",ROUND(审定现流表!C16/报表附注合并用!C2312,4))</f>
        <v>不适用</v>
      </c>
      <c r="E136" s="1654" t="str">
        <f>IF(C2274=0,"不适用",ROUND(审定现流表!D16/报表附注合并用!C2326,4))</f>
        <v>不适用</v>
      </c>
      <c r="F136" s="1628" t="e">
        <f t="shared" si="7"/>
        <v>#VALUE!</v>
      </c>
      <c r="G136" s="1652"/>
    </row>
    <row r="137" hidden="1" spans="1:7">
      <c r="A137" s="1650"/>
      <c r="B137" s="1651" t="s">
        <v>2265</v>
      </c>
      <c r="C137" s="1651" t="s">
        <v>2266</v>
      </c>
      <c r="D137" s="1629">
        <f>ROUND(审定现流表!C16/审定资负表!G33,4)</f>
        <v>0</v>
      </c>
      <c r="E137" s="1629">
        <f>ROUND(审定现流表!D16/审定资负表!G33,4)</f>
        <v>0</v>
      </c>
      <c r="F137" s="1628">
        <f t="shared" si="7"/>
        <v>0</v>
      </c>
      <c r="G137" s="1652"/>
    </row>
    <row r="138" hidden="1" spans="1:7">
      <c r="A138" s="1650" t="s">
        <v>2267</v>
      </c>
      <c r="B138" s="1651"/>
      <c r="C138" s="1651"/>
      <c r="D138" s="1628"/>
      <c r="E138" s="1628"/>
      <c r="F138" s="1628"/>
      <c r="G138" s="1652"/>
    </row>
    <row r="139" hidden="1" spans="1:7">
      <c r="A139" s="1650"/>
      <c r="B139" s="1651" t="s">
        <v>2268</v>
      </c>
      <c r="C139" s="1651" t="s">
        <v>2269</v>
      </c>
      <c r="D139" s="1628" t="e">
        <f>ROUND(审定利润表!C6/((报表附注!F76+报表附注!F205)/2),4)</f>
        <v>#DIV/0!</v>
      </c>
      <c r="E139" s="1628" t="e">
        <f>ROUND(审定利润表!D6/((报表附注!G76+报表附注!J205)/2),4)</f>
        <v>#DIV/0!</v>
      </c>
      <c r="F139" s="1628" t="e">
        <f t="shared" si="7"/>
        <v>#DIV/0!</v>
      </c>
      <c r="G139" s="1652"/>
    </row>
    <row r="140" hidden="1" spans="1:7">
      <c r="A140" s="1650"/>
      <c r="B140" s="1651" t="s">
        <v>2270</v>
      </c>
      <c r="C140" s="1651" t="s">
        <v>2271</v>
      </c>
      <c r="D140" s="1628">
        <f>ROUND(审定利润表!C6/审定资负表!C15,4)</f>
        <v>0</v>
      </c>
      <c r="E140" s="1628" t="e">
        <f>ROUND(审定利润表!D6/审定资负表!D15,4)</f>
        <v>#DIV/0!</v>
      </c>
      <c r="F140" s="1628" t="e">
        <f t="shared" si="7"/>
        <v>#DIV/0!</v>
      </c>
      <c r="G140" s="1652"/>
    </row>
    <row r="141" hidden="1" spans="1:7">
      <c r="A141" s="1650"/>
      <c r="B141" s="1651" t="s">
        <v>2272</v>
      </c>
      <c r="C141" s="1651" t="s">
        <v>2273</v>
      </c>
      <c r="D141" s="1628">
        <f>ROUND(审定利润表!C6/审定资负表!C19,4)</f>
        <v>0</v>
      </c>
      <c r="E141" s="1628" t="e">
        <f>ROUND(审定利润表!D6/审定资负表!D19,4)</f>
        <v>#DIV/0!</v>
      </c>
      <c r="F141" s="1628" t="e">
        <f t="shared" si="7"/>
        <v>#DIV/0!</v>
      </c>
      <c r="G141" s="1652"/>
    </row>
    <row r="142" hidden="1" spans="1:7">
      <c r="A142" s="1650"/>
      <c r="B142" s="1651" t="s">
        <v>2274</v>
      </c>
      <c r="C142" s="1651" t="s">
        <v>2275</v>
      </c>
      <c r="D142" s="1628" t="e">
        <f>ROUND(审定利润表!C6/审定资负表!C40,4)</f>
        <v>#DIV/0!</v>
      </c>
      <c r="E142" s="1628" t="e">
        <f>ROUND(审定利润表!D6/审定资负表!D40,4)</f>
        <v>#DIV/0!</v>
      </c>
      <c r="F142" s="1628" t="e">
        <f t="shared" si="7"/>
        <v>#DIV/0!</v>
      </c>
      <c r="G142" s="1652"/>
    </row>
    <row r="143" hidden="1" spans="1:7">
      <c r="A143" s="1650"/>
      <c r="B143" s="1651" t="s">
        <v>2276</v>
      </c>
      <c r="C143" s="1651" t="s">
        <v>2277</v>
      </c>
      <c r="D143" s="1628">
        <f>ROUND(审定利润表!C6/审定资负表!C48,4)</f>
        <v>0</v>
      </c>
      <c r="E143" s="1628" t="e">
        <f>ROUND(审定利润表!D6/审定资负表!D48,4)</f>
        <v>#DIV/0!</v>
      </c>
      <c r="F143" s="1628" t="e">
        <f t="shared" si="7"/>
        <v>#DIV/0!</v>
      </c>
      <c r="G143" s="1652"/>
    </row>
    <row r="144" hidden="1" spans="1:7">
      <c r="A144" s="1650" t="s">
        <v>2278</v>
      </c>
      <c r="B144" s="1651"/>
      <c r="C144" s="1651"/>
      <c r="D144" s="1628"/>
      <c r="E144" s="1628"/>
      <c r="F144" s="1628"/>
      <c r="G144" s="1652"/>
    </row>
    <row r="145" hidden="1" spans="1:7">
      <c r="A145" s="1650"/>
      <c r="B145" s="1651" t="s">
        <v>2279</v>
      </c>
      <c r="C145" s="1651" t="s">
        <v>2280</v>
      </c>
      <c r="D145" s="1629" t="e">
        <f>ROUND(审定利润表!C24/审定利润表!C6,4)</f>
        <v>#DIV/0!</v>
      </c>
      <c r="E145" s="1629" t="e">
        <f>ROUND(审定利润表!D24/审定利润表!D6,4)</f>
        <v>#DIV/0!</v>
      </c>
      <c r="F145" s="1629" t="e">
        <f t="shared" si="7"/>
        <v>#DIV/0!</v>
      </c>
      <c r="G145" s="1652"/>
    </row>
    <row r="146" hidden="1" spans="1:7">
      <c r="A146" s="1650"/>
      <c r="B146" s="1651" t="s">
        <v>2281</v>
      </c>
      <c r="C146" s="1651" t="s">
        <v>2282</v>
      </c>
      <c r="D146" s="1629">
        <f>ROUND(审定利润表!C24/审定资负表!C48,4)</f>
        <v>0</v>
      </c>
      <c r="E146" s="1629" t="e">
        <f>ROUND(审定利润表!D24/审定资负表!D48,4)</f>
        <v>#DIV/0!</v>
      </c>
      <c r="F146" s="1629" t="e">
        <f t="shared" si="7"/>
        <v>#DIV/0!</v>
      </c>
      <c r="G146" s="1652"/>
    </row>
    <row r="147" hidden="1" spans="1:7">
      <c r="A147" s="1655"/>
      <c r="B147" s="1656" t="s">
        <v>2283</v>
      </c>
      <c r="C147" s="1656" t="s">
        <v>2284</v>
      </c>
      <c r="D147" s="1642" t="e">
        <f>ROUND(审定利润表!C24/审定资负表!G46,4)</f>
        <v>#DIV/0!</v>
      </c>
      <c r="E147" s="1642" t="e">
        <f>ROUND(审定利润表!D24/审定资负表!H46,4)</f>
        <v>#DIV/0!</v>
      </c>
      <c r="F147" s="1642" t="e">
        <f t="shared" si="7"/>
        <v>#DIV/0!</v>
      </c>
      <c r="G147" s="1657"/>
    </row>
    <row r="148" ht="46.5" customHeight="1" spans="1:7">
      <c r="A148" s="1658" t="s">
        <v>2285</v>
      </c>
      <c r="B148" s="1659"/>
      <c r="C148" s="1659"/>
      <c r="D148" s="1659"/>
      <c r="E148" s="1659"/>
      <c r="F148" s="1659"/>
      <c r="G148" s="1659"/>
    </row>
  </sheetData>
  <sheetProtection formatCells="0" autoFilter="0" pivotTables="0"/>
  <mergeCells count="13">
    <mergeCell ref="A3:G3"/>
    <mergeCell ref="A4:B4"/>
    <mergeCell ref="C4:D4"/>
    <mergeCell ref="E4:F4"/>
    <mergeCell ref="C5:D5"/>
    <mergeCell ref="E5:F5"/>
    <mergeCell ref="E6:G6"/>
    <mergeCell ref="A124:G124"/>
    <mergeCell ref="A148:G148"/>
    <mergeCell ref="A6:A8"/>
    <mergeCell ref="B6:B7"/>
    <mergeCell ref="C6:C7"/>
    <mergeCell ref="D6:D7"/>
  </mergeCells>
  <conditionalFormatting sqref="F10:F120">
    <cfRule type="expression" dxfId="9" priority="3">
      <formula>F10&gt;=0.3</formula>
    </cfRule>
    <cfRule type="expression" dxfId="10" priority="4">
      <formula>F10&lt;=-0.3</formula>
    </cfRule>
  </conditionalFormatting>
  <conditionalFormatting sqref="F121:F122">
    <cfRule type="expression" dxfId="9" priority="1">
      <formula>F121&gt;=0.3</formula>
    </cfRule>
    <cfRule type="expression" dxfId="10" priority="2">
      <formula>F121&lt;=-0.3</formula>
    </cfRule>
  </conditionalFormatting>
  <dataValidations count="1">
    <dataValidation type="list" allowBlank="1" showInputMessage="1" showErrorMessage="1" sqref="IW9:IW123 IW65493:IW65618 IW131029:IW131154 IW196565:IW196690 IW262101:IW262226 IW327637:IW327762 IW393173:IW393298 IW458709:IW458834 IW524245:IW524370 IW589781:IW589906 IW655317:IW655442 IW720853:IW720978 IW786389:IW786514 IW851925:IW852050 IW917461:IW917586 IW982997:IW983122 SS9:SS123 SS65493:SS65618 SS131029:SS131154 SS196565:SS196690 SS262101:SS262226 SS327637:SS327762 SS393173:SS393298 SS458709:SS458834 SS524245:SS524370 SS589781:SS589906 SS655317:SS655442 SS720853:SS720978 SS786389:SS786514 SS851925:SS852050 SS917461:SS917586 SS982997:SS983122 ACO9:ACO123 ACO65493:ACO65618 ACO131029:ACO131154 ACO196565:ACO196690 ACO262101:ACO262226 ACO327637:ACO327762 ACO393173:ACO393298 ACO458709:ACO458834 ACO524245:ACO524370 ACO589781:ACO589906 ACO655317:ACO655442 ACO720853:ACO720978 ACO786389:ACO786514 ACO851925:ACO852050 ACO917461:ACO917586 ACO982997:ACO983122 AMK9:AMK123 AMK65493:AMK65618 AMK131029:AMK131154 AMK196565:AMK196690 AMK262101:AMK262226 AMK327637:AMK327762 AMK393173:AMK393298 AMK458709:AMK458834 AMK524245:AMK524370 AMK589781:AMK589906 AMK655317:AMK655442 AMK720853:AMK720978 AMK786389:AMK786514 AMK851925:AMK852050 AMK917461:AMK917586 AMK982997:AMK983122 AWG9:AWG123 AWG65493:AWG65618 AWG131029:AWG131154 AWG196565:AWG196690 AWG262101:AWG262226 AWG327637:AWG327762 AWG393173:AWG393298 AWG458709:AWG458834 AWG524245:AWG524370 AWG589781:AWG589906 AWG655317:AWG655442 AWG720853:AWG720978 AWG786389:AWG786514 AWG851925:AWG852050 AWG917461:AWG917586 AWG982997:AWG983122 BGC9:BGC123 BGC65493:BGC65618 BGC131029:BGC131154 BGC196565:BGC196690 BGC262101:BGC262226 BGC327637:BGC327762 BGC393173:BGC393298 BGC458709:BGC458834 BGC524245:BGC524370 BGC589781:BGC589906 BGC655317:BGC655442 BGC720853:BGC720978 BGC786389:BGC786514 BGC851925:BGC852050 BGC917461:BGC917586 BGC982997:BGC983122 BPY9:BPY123 BPY65493:BPY65618 BPY131029:BPY131154 BPY196565:BPY196690 BPY262101:BPY262226 BPY327637:BPY327762 BPY393173:BPY393298 BPY458709:BPY458834 BPY524245:BPY524370 BPY589781:BPY589906 BPY655317:BPY655442 BPY720853:BPY720978 BPY786389:BPY786514 BPY851925:BPY852050 BPY917461:BPY917586 BPY982997:BPY983122 BZU9:BZU123 BZU65493:BZU65618 BZU131029:BZU131154 BZU196565:BZU196690 BZU262101:BZU262226 BZU327637:BZU327762 BZU393173:BZU393298 BZU458709:BZU458834 BZU524245:BZU524370 BZU589781:BZU589906 BZU655317:BZU655442 BZU720853:BZU720978 BZU786389:BZU786514 BZU851925:BZU852050 BZU917461:BZU917586 BZU982997:BZU983122 CJQ9:CJQ123 CJQ65493:CJQ65618 CJQ131029:CJQ131154 CJQ196565:CJQ196690 CJQ262101:CJQ262226 CJQ327637:CJQ327762 CJQ393173:CJQ393298 CJQ458709:CJQ458834 CJQ524245:CJQ524370 CJQ589781:CJQ589906 CJQ655317:CJQ655442 CJQ720853:CJQ720978 CJQ786389:CJQ786514 CJQ851925:CJQ852050 CJQ917461:CJQ917586 CJQ982997:CJQ983122 CTM9:CTM123 CTM65493:CTM65618 CTM131029:CTM131154 CTM196565:CTM196690 CTM262101:CTM262226 CTM327637:CTM327762 CTM393173:CTM393298 CTM458709:CTM458834 CTM524245:CTM524370 CTM589781:CTM589906 CTM655317:CTM655442 CTM720853:CTM720978 CTM786389:CTM786514 CTM851925:CTM852050 CTM917461:CTM917586 CTM982997:CTM983122 DDI9:DDI123 DDI65493:DDI65618 DDI131029:DDI131154 DDI196565:DDI196690 DDI262101:DDI262226 DDI327637:DDI327762 DDI393173:DDI393298 DDI458709:DDI458834 DDI524245:DDI524370 DDI589781:DDI589906 DDI655317:DDI655442 DDI720853:DDI720978 DDI786389:DDI786514 DDI851925:DDI852050 DDI917461:DDI917586 DDI982997:DDI983122 DNE9:DNE123 DNE65493:DNE65618 DNE131029:DNE131154 DNE196565:DNE196690 DNE262101:DNE262226 DNE327637:DNE327762 DNE393173:DNE393298 DNE458709:DNE458834 DNE524245:DNE524370 DNE589781:DNE589906 DNE655317:DNE655442 DNE720853:DNE720978 DNE786389:DNE786514 DNE851925:DNE852050 DNE917461:DNE917586 DNE982997:DNE983122 DXA9:DXA123 DXA65493:DXA65618 DXA131029:DXA131154 DXA196565:DXA196690 DXA262101:DXA262226 DXA327637:DXA327762 DXA393173:DXA393298 DXA458709:DXA458834 DXA524245:DXA524370 DXA589781:DXA589906 DXA655317:DXA655442 DXA720853:DXA720978 DXA786389:DXA786514 DXA851925:DXA852050 DXA917461:DXA917586 DXA982997:DXA983122 EGW9:EGW123 EGW65493:EGW65618 EGW131029:EGW131154 EGW196565:EGW196690 EGW262101:EGW262226 EGW327637:EGW327762 EGW393173:EGW393298 EGW458709:EGW458834 EGW524245:EGW524370 EGW589781:EGW589906 EGW655317:EGW655442 EGW720853:EGW720978 EGW786389:EGW786514 EGW851925:EGW852050 EGW917461:EGW917586 EGW982997:EGW983122 EQS9:EQS123 EQS65493:EQS65618 EQS131029:EQS131154 EQS196565:EQS196690 EQS262101:EQS262226 EQS327637:EQS327762 EQS393173:EQS393298 EQS458709:EQS458834 EQS524245:EQS524370 EQS589781:EQS589906 EQS655317:EQS655442 EQS720853:EQS720978 EQS786389:EQS786514 EQS851925:EQS852050 EQS917461:EQS917586 EQS982997:EQS983122 FAO9:FAO123 FAO65493:FAO65618 FAO131029:FAO131154 FAO196565:FAO196690 FAO262101:FAO262226 FAO327637:FAO327762 FAO393173:FAO393298 FAO458709:FAO458834 FAO524245:FAO524370 FAO589781:FAO589906 FAO655317:FAO655442 FAO720853:FAO720978 FAO786389:FAO786514 FAO851925:FAO852050 FAO917461:FAO917586 FAO982997:FAO983122 FKK9:FKK123 FKK65493:FKK65618 FKK131029:FKK131154 FKK196565:FKK196690 FKK262101:FKK262226 FKK327637:FKK327762 FKK393173:FKK393298 FKK458709:FKK458834 FKK524245:FKK524370 FKK589781:FKK589906 FKK655317:FKK655442 FKK720853:FKK720978 FKK786389:FKK786514 FKK851925:FKK852050 FKK917461:FKK917586 FKK982997:FKK983122 FUG9:FUG123 FUG65493:FUG65618 FUG131029:FUG131154 FUG196565:FUG196690 FUG262101:FUG262226 FUG327637:FUG327762 FUG393173:FUG393298 FUG458709:FUG458834 FUG524245:FUG524370 FUG589781:FUG589906 FUG655317:FUG655442 FUG720853:FUG720978 FUG786389:FUG786514 FUG851925:FUG852050 FUG917461:FUG917586 FUG982997:FUG983122 GEC9:GEC123 GEC65493:GEC65618 GEC131029:GEC131154 GEC196565:GEC196690 GEC262101:GEC262226 GEC327637:GEC327762 GEC393173:GEC393298 GEC458709:GEC458834 GEC524245:GEC524370 GEC589781:GEC589906 GEC655317:GEC655442 GEC720853:GEC720978 GEC786389:GEC786514 GEC851925:GEC852050 GEC917461:GEC917586 GEC982997:GEC983122 GNY9:GNY123 GNY65493:GNY65618 GNY131029:GNY131154 GNY196565:GNY196690 GNY262101:GNY262226 GNY327637:GNY327762 GNY393173:GNY393298 GNY458709:GNY458834 GNY524245:GNY524370 GNY589781:GNY589906 GNY655317:GNY655442 GNY720853:GNY720978 GNY786389:GNY786514 GNY851925:GNY852050 GNY917461:GNY917586 GNY982997:GNY983122 GXU9:GXU123 GXU65493:GXU65618 GXU131029:GXU131154 GXU196565:GXU196690 GXU262101:GXU262226 GXU327637:GXU327762 GXU393173:GXU393298 GXU458709:GXU458834 GXU524245:GXU524370 GXU589781:GXU589906 GXU655317:GXU655442 GXU720853:GXU720978 GXU786389:GXU786514 GXU851925:GXU852050 GXU917461:GXU917586 GXU982997:GXU983122 HHQ9:HHQ123 HHQ65493:HHQ65618 HHQ131029:HHQ131154 HHQ196565:HHQ196690 HHQ262101:HHQ262226 HHQ327637:HHQ327762 HHQ393173:HHQ393298 HHQ458709:HHQ458834 HHQ524245:HHQ524370 HHQ589781:HHQ589906 HHQ655317:HHQ655442 HHQ720853:HHQ720978 HHQ786389:HHQ786514 HHQ851925:HHQ852050 HHQ917461:HHQ917586 HHQ982997:HHQ983122 HRM9:HRM123 HRM65493:HRM65618 HRM131029:HRM131154 HRM196565:HRM196690 HRM262101:HRM262226 HRM327637:HRM327762 HRM393173:HRM393298 HRM458709:HRM458834 HRM524245:HRM524370 HRM589781:HRM589906 HRM655317:HRM655442 HRM720853:HRM720978 HRM786389:HRM786514 HRM851925:HRM852050 HRM917461:HRM917586 HRM982997:HRM983122 IBI9:IBI123 IBI65493:IBI65618 IBI131029:IBI131154 IBI196565:IBI196690 IBI262101:IBI262226 IBI327637:IBI327762 IBI393173:IBI393298 IBI458709:IBI458834 IBI524245:IBI524370 IBI589781:IBI589906 IBI655317:IBI655442 IBI720853:IBI720978 IBI786389:IBI786514 IBI851925:IBI852050 IBI917461:IBI917586 IBI982997:IBI983122 ILE9:ILE123 ILE65493:ILE65618 ILE131029:ILE131154 ILE196565:ILE196690 ILE262101:ILE262226 ILE327637:ILE327762 ILE393173:ILE393298 ILE458709:ILE458834 ILE524245:ILE524370 ILE589781:ILE589906 ILE655317:ILE655442 ILE720853:ILE720978 ILE786389:ILE786514 ILE851925:ILE852050 ILE917461:ILE917586 ILE982997:ILE983122 IVA9:IVA123 IVA65493:IVA65618 IVA131029:IVA131154 IVA196565:IVA196690 IVA262101:IVA262226 IVA327637:IVA327762 IVA393173:IVA393298 IVA458709:IVA458834 IVA524245:IVA524370 IVA589781:IVA589906 IVA655317:IVA655442 IVA720853:IVA720978 IVA786389:IVA786514 IVA851925:IVA852050 IVA917461:IVA917586 IVA982997:IVA983122 JEW9:JEW123 JEW65493:JEW65618 JEW131029:JEW131154 JEW196565:JEW196690 JEW262101:JEW262226 JEW327637:JEW327762 JEW393173:JEW393298 JEW458709:JEW458834 JEW524245:JEW524370 JEW589781:JEW589906 JEW655317:JEW655442 JEW720853:JEW720978 JEW786389:JEW786514 JEW851925:JEW852050 JEW917461:JEW917586 JEW982997:JEW983122 JOS9:JOS123 JOS65493:JOS65618 JOS131029:JOS131154 JOS196565:JOS196690 JOS262101:JOS262226 JOS327637:JOS327762 JOS393173:JOS393298 JOS458709:JOS458834 JOS524245:JOS524370 JOS589781:JOS589906 JOS655317:JOS655442 JOS720853:JOS720978 JOS786389:JOS786514 JOS851925:JOS852050 JOS917461:JOS917586 JOS982997:JOS983122 JYO9:JYO123 JYO65493:JYO65618 JYO131029:JYO131154 JYO196565:JYO196690 JYO262101:JYO262226 JYO327637:JYO327762 JYO393173:JYO393298 JYO458709:JYO458834 JYO524245:JYO524370 JYO589781:JYO589906 JYO655317:JYO655442 JYO720853:JYO720978 JYO786389:JYO786514 JYO851925:JYO852050 JYO917461:JYO917586 JYO982997:JYO983122 KIK9:KIK123 KIK65493:KIK65618 KIK131029:KIK131154 KIK196565:KIK196690 KIK262101:KIK262226 KIK327637:KIK327762 KIK393173:KIK393298 KIK458709:KIK458834 KIK524245:KIK524370 KIK589781:KIK589906 KIK655317:KIK655442 KIK720853:KIK720978 KIK786389:KIK786514 KIK851925:KIK852050 KIK917461:KIK917586 KIK982997:KIK983122 KSG9:KSG123 KSG65493:KSG65618 KSG131029:KSG131154 KSG196565:KSG196690 KSG262101:KSG262226 KSG327637:KSG327762 KSG393173:KSG393298 KSG458709:KSG458834 KSG524245:KSG524370 KSG589781:KSG589906 KSG655317:KSG655442 KSG720853:KSG720978 KSG786389:KSG786514 KSG851925:KSG852050 KSG917461:KSG917586 KSG982997:KSG983122 LCC9:LCC123 LCC65493:LCC65618 LCC131029:LCC131154 LCC196565:LCC196690 LCC262101:LCC262226 LCC327637:LCC327762 LCC393173:LCC393298 LCC458709:LCC458834 LCC524245:LCC524370 LCC589781:LCC589906 LCC655317:LCC655442 LCC720853:LCC720978 LCC786389:LCC786514 LCC851925:LCC852050 LCC917461:LCC917586 LCC982997:LCC983122 LLY9:LLY123 LLY65493:LLY65618 LLY131029:LLY131154 LLY196565:LLY196690 LLY262101:LLY262226 LLY327637:LLY327762 LLY393173:LLY393298 LLY458709:LLY458834 LLY524245:LLY524370 LLY589781:LLY589906 LLY655317:LLY655442 LLY720853:LLY720978 LLY786389:LLY786514 LLY851925:LLY852050 LLY917461:LLY917586 LLY982997:LLY983122 LVU9:LVU123 LVU65493:LVU65618 LVU131029:LVU131154 LVU196565:LVU196690 LVU262101:LVU262226 LVU327637:LVU327762 LVU393173:LVU393298 LVU458709:LVU458834 LVU524245:LVU524370 LVU589781:LVU589906 LVU655317:LVU655442 LVU720853:LVU720978 LVU786389:LVU786514 LVU851925:LVU852050 LVU917461:LVU917586 LVU982997:LVU983122 MFQ9:MFQ123 MFQ65493:MFQ65618 MFQ131029:MFQ131154 MFQ196565:MFQ196690 MFQ262101:MFQ262226 MFQ327637:MFQ327762 MFQ393173:MFQ393298 MFQ458709:MFQ458834 MFQ524245:MFQ524370 MFQ589781:MFQ589906 MFQ655317:MFQ655442 MFQ720853:MFQ720978 MFQ786389:MFQ786514 MFQ851925:MFQ852050 MFQ917461:MFQ917586 MFQ982997:MFQ983122 MPM9:MPM123 MPM65493:MPM65618 MPM131029:MPM131154 MPM196565:MPM196690 MPM262101:MPM262226 MPM327637:MPM327762 MPM393173:MPM393298 MPM458709:MPM458834 MPM524245:MPM524370 MPM589781:MPM589906 MPM655317:MPM655442 MPM720853:MPM720978 MPM786389:MPM786514 MPM851925:MPM852050 MPM917461:MPM917586 MPM982997:MPM983122 MZI9:MZI123 MZI65493:MZI65618 MZI131029:MZI131154 MZI196565:MZI196690 MZI262101:MZI262226 MZI327637:MZI327762 MZI393173:MZI393298 MZI458709:MZI458834 MZI524245:MZI524370 MZI589781:MZI589906 MZI655317:MZI655442 MZI720853:MZI720978 MZI786389:MZI786514 MZI851925:MZI852050 MZI917461:MZI917586 MZI982997:MZI983122 NJE9:NJE123 NJE65493:NJE65618 NJE131029:NJE131154 NJE196565:NJE196690 NJE262101:NJE262226 NJE327637:NJE327762 NJE393173:NJE393298 NJE458709:NJE458834 NJE524245:NJE524370 NJE589781:NJE589906 NJE655317:NJE655442 NJE720853:NJE720978 NJE786389:NJE786514 NJE851925:NJE852050 NJE917461:NJE917586 NJE982997:NJE983122 NTA9:NTA123 NTA65493:NTA65618 NTA131029:NTA131154 NTA196565:NTA196690 NTA262101:NTA262226 NTA327637:NTA327762 NTA393173:NTA393298 NTA458709:NTA458834 NTA524245:NTA524370 NTA589781:NTA589906 NTA655317:NTA655442 NTA720853:NTA720978 NTA786389:NTA786514 NTA851925:NTA852050 NTA917461:NTA917586 NTA982997:NTA983122 OCW9:OCW123 OCW65493:OCW65618 OCW131029:OCW131154 OCW196565:OCW196690 OCW262101:OCW262226 OCW327637:OCW327762 OCW393173:OCW393298 OCW458709:OCW458834 OCW524245:OCW524370 OCW589781:OCW589906 OCW655317:OCW655442 OCW720853:OCW720978 OCW786389:OCW786514 OCW851925:OCW852050 OCW917461:OCW917586 OCW982997:OCW983122 OMS9:OMS123 OMS65493:OMS65618 OMS131029:OMS131154 OMS196565:OMS196690 OMS262101:OMS262226 OMS327637:OMS327762 OMS393173:OMS393298 OMS458709:OMS458834 OMS524245:OMS524370 OMS589781:OMS589906 OMS655317:OMS655442 OMS720853:OMS720978 OMS786389:OMS786514 OMS851925:OMS852050 OMS917461:OMS917586 OMS982997:OMS983122 OWO9:OWO123 OWO65493:OWO65618 OWO131029:OWO131154 OWO196565:OWO196690 OWO262101:OWO262226 OWO327637:OWO327762 OWO393173:OWO393298 OWO458709:OWO458834 OWO524245:OWO524370 OWO589781:OWO589906 OWO655317:OWO655442 OWO720853:OWO720978 OWO786389:OWO786514 OWO851925:OWO852050 OWO917461:OWO917586 OWO982997:OWO983122 PGK9:PGK123 PGK65493:PGK65618 PGK131029:PGK131154 PGK196565:PGK196690 PGK262101:PGK262226 PGK327637:PGK327762 PGK393173:PGK393298 PGK458709:PGK458834 PGK524245:PGK524370 PGK589781:PGK589906 PGK655317:PGK655442 PGK720853:PGK720978 PGK786389:PGK786514 PGK851925:PGK852050 PGK917461:PGK917586 PGK982997:PGK983122 PQG9:PQG123 PQG65493:PQG65618 PQG131029:PQG131154 PQG196565:PQG196690 PQG262101:PQG262226 PQG327637:PQG327762 PQG393173:PQG393298 PQG458709:PQG458834 PQG524245:PQG524370 PQG589781:PQG589906 PQG655317:PQG655442 PQG720853:PQG720978 PQG786389:PQG786514 PQG851925:PQG852050 PQG917461:PQG917586 PQG982997:PQG983122 QAC9:QAC123 QAC65493:QAC65618 QAC131029:QAC131154 QAC196565:QAC196690 QAC262101:QAC262226 QAC327637:QAC327762 QAC393173:QAC393298 QAC458709:QAC458834 QAC524245:QAC524370 QAC589781:QAC589906 QAC655317:QAC655442 QAC720853:QAC720978 QAC786389:QAC786514 QAC851925:QAC852050 QAC917461:QAC917586 QAC982997:QAC983122 QJY9:QJY123 QJY65493:QJY65618 QJY131029:QJY131154 QJY196565:QJY196690 QJY262101:QJY262226 QJY327637:QJY327762 QJY393173:QJY393298 QJY458709:QJY458834 QJY524245:QJY524370 QJY589781:QJY589906 QJY655317:QJY655442 QJY720853:QJY720978 QJY786389:QJY786514 QJY851925:QJY852050 QJY917461:QJY917586 QJY982997:QJY983122 QTU9:QTU123 QTU65493:QTU65618 QTU131029:QTU131154 QTU196565:QTU196690 QTU262101:QTU262226 QTU327637:QTU327762 QTU393173:QTU393298 QTU458709:QTU458834 QTU524245:QTU524370 QTU589781:QTU589906 QTU655317:QTU655442 QTU720853:QTU720978 QTU786389:QTU786514 QTU851925:QTU852050 QTU917461:QTU917586 QTU982997:QTU983122 RDQ9:RDQ123 RDQ65493:RDQ65618 RDQ131029:RDQ131154 RDQ196565:RDQ196690 RDQ262101:RDQ262226 RDQ327637:RDQ327762 RDQ393173:RDQ393298 RDQ458709:RDQ458834 RDQ524245:RDQ524370 RDQ589781:RDQ589906 RDQ655317:RDQ655442 RDQ720853:RDQ720978 RDQ786389:RDQ786514 RDQ851925:RDQ852050 RDQ917461:RDQ917586 RDQ982997:RDQ983122 RNM9:RNM123 RNM65493:RNM65618 RNM131029:RNM131154 RNM196565:RNM196690 RNM262101:RNM262226 RNM327637:RNM327762 RNM393173:RNM393298 RNM458709:RNM458834 RNM524245:RNM524370 RNM589781:RNM589906 RNM655317:RNM655442 RNM720853:RNM720978 RNM786389:RNM786514 RNM851925:RNM852050 RNM917461:RNM917586 RNM982997:RNM983122 RXI9:RXI123 RXI65493:RXI65618 RXI131029:RXI131154 RXI196565:RXI196690 RXI262101:RXI262226 RXI327637:RXI327762 RXI393173:RXI393298 RXI458709:RXI458834 RXI524245:RXI524370 RXI589781:RXI589906 RXI655317:RXI655442 RXI720853:RXI720978 RXI786389:RXI786514 RXI851925:RXI852050 RXI917461:RXI917586 RXI982997:RXI983122 SHE9:SHE123 SHE65493:SHE65618 SHE131029:SHE131154 SHE196565:SHE196690 SHE262101:SHE262226 SHE327637:SHE327762 SHE393173:SHE393298 SHE458709:SHE458834 SHE524245:SHE524370 SHE589781:SHE589906 SHE655317:SHE655442 SHE720853:SHE720978 SHE786389:SHE786514 SHE851925:SHE852050 SHE917461:SHE917586 SHE982997:SHE983122 SRA9:SRA123 SRA65493:SRA65618 SRA131029:SRA131154 SRA196565:SRA196690 SRA262101:SRA262226 SRA327637:SRA327762 SRA393173:SRA393298 SRA458709:SRA458834 SRA524245:SRA524370 SRA589781:SRA589906 SRA655317:SRA655442 SRA720853:SRA720978 SRA786389:SRA786514 SRA851925:SRA852050 SRA917461:SRA917586 SRA982997:SRA983122 TAW9:TAW123 TAW65493:TAW65618 TAW131029:TAW131154 TAW196565:TAW196690 TAW262101:TAW262226 TAW327637:TAW327762 TAW393173:TAW393298 TAW458709:TAW458834 TAW524245:TAW524370 TAW589781:TAW589906 TAW655317:TAW655442 TAW720853:TAW720978 TAW786389:TAW786514 TAW851925:TAW852050 TAW917461:TAW917586 TAW982997:TAW983122 TKS9:TKS123 TKS65493:TKS65618 TKS131029:TKS131154 TKS196565:TKS196690 TKS262101:TKS262226 TKS327637:TKS327762 TKS393173:TKS393298 TKS458709:TKS458834 TKS524245:TKS524370 TKS589781:TKS589906 TKS655317:TKS655442 TKS720853:TKS720978 TKS786389:TKS786514 TKS851925:TKS852050 TKS917461:TKS917586 TKS982997:TKS983122 TUO9:TUO123 TUO65493:TUO65618 TUO131029:TUO131154 TUO196565:TUO196690 TUO262101:TUO262226 TUO327637:TUO327762 TUO393173:TUO393298 TUO458709:TUO458834 TUO524245:TUO524370 TUO589781:TUO589906 TUO655317:TUO655442 TUO720853:TUO720978 TUO786389:TUO786514 TUO851925:TUO852050 TUO917461:TUO917586 TUO982997:TUO983122 UEK9:UEK123 UEK65493:UEK65618 UEK131029:UEK131154 UEK196565:UEK196690 UEK262101:UEK262226 UEK327637:UEK327762 UEK393173:UEK393298 UEK458709:UEK458834 UEK524245:UEK524370 UEK589781:UEK589906 UEK655317:UEK655442 UEK720853:UEK720978 UEK786389:UEK786514 UEK851925:UEK852050 UEK917461:UEK917586 UEK982997:UEK983122 UOG9:UOG123 UOG65493:UOG65618 UOG131029:UOG131154 UOG196565:UOG196690 UOG262101:UOG262226 UOG327637:UOG327762 UOG393173:UOG393298 UOG458709:UOG458834 UOG524245:UOG524370 UOG589781:UOG589906 UOG655317:UOG655442 UOG720853:UOG720978 UOG786389:UOG786514 UOG851925:UOG852050 UOG917461:UOG917586 UOG982997:UOG983122 UYC9:UYC123 UYC65493:UYC65618 UYC131029:UYC131154 UYC196565:UYC196690 UYC262101:UYC262226 UYC327637:UYC327762 UYC393173:UYC393298 UYC458709:UYC458834 UYC524245:UYC524370 UYC589781:UYC589906 UYC655317:UYC655442 UYC720853:UYC720978 UYC786389:UYC786514 UYC851925:UYC852050 UYC917461:UYC917586 UYC982997:UYC983122 VHY9:VHY123 VHY65493:VHY65618 VHY131029:VHY131154 VHY196565:VHY196690 VHY262101:VHY262226 VHY327637:VHY327762 VHY393173:VHY393298 VHY458709:VHY458834 VHY524245:VHY524370 VHY589781:VHY589906 VHY655317:VHY655442 VHY720853:VHY720978 VHY786389:VHY786514 VHY851925:VHY852050 VHY917461:VHY917586 VHY982997:VHY983122 VRU9:VRU123 VRU65493:VRU65618 VRU131029:VRU131154 VRU196565:VRU196690 VRU262101:VRU262226 VRU327637:VRU327762 VRU393173:VRU393298 VRU458709:VRU458834 VRU524245:VRU524370 VRU589781:VRU589906 VRU655317:VRU655442 VRU720853:VRU720978 VRU786389:VRU786514 VRU851925:VRU852050 VRU917461:VRU917586 VRU982997:VRU983122 WBQ9:WBQ123 WBQ65493:WBQ65618 WBQ131029:WBQ131154 WBQ196565:WBQ196690 WBQ262101:WBQ262226 WBQ327637:WBQ327762 WBQ393173:WBQ393298 WBQ458709:WBQ458834 WBQ524245:WBQ524370 WBQ589781:WBQ589906 WBQ655317:WBQ655442 WBQ720853:WBQ720978 WBQ786389:WBQ786514 WBQ851925:WBQ852050 WBQ917461:WBQ917586 WBQ982997:WBQ983122 WLM9:WLM123 WLM65493:WLM65618 WLM131029:WLM131154 WLM196565:WLM196690 WLM262101:WLM262226 WLM327637:WLM327762 WLM393173:WLM393298 WLM458709:WLM458834 WLM524245:WLM524370 WLM589781:WLM589906 WLM655317:WLM655442 WLM720853:WLM720978 WLM786389:WLM786514 WLM851925:WLM852050 WLM917461:WLM917586 WLM982997:WLM983122 WVI9:WVI123 WVI65493:WVI65618 WVI131029:WVI131154 WVI196565:WVI196690 WVI262101:WVI262226 WVI327637:WVI327762 WVI393173:WVI393298 WVI458709:WVI458834 WVI524245:WVI524370 WVI589781:WVI589906 WVI655317:WVI655442 WVI720853:WVI720978 WVI786389:WVI786514 WVI851925:WVI852050 WVI917461:WVI917586 WVI982997:WVI983122">
      <formula1>"是,否"</formula1>
    </dataValidation>
  </dataValidations>
  <pageMargins left="0.708661417322835" right="0.393700787401575" top="0.748031496062992" bottom="0.748031496062992" header="0.31496062992126" footer="0.31496062992126"/>
  <pageSetup paperSize="9" scale="95" orientation="portrait"/>
  <headerFooter/>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outlinePr summaryBelow="0"/>
  </sheetPr>
  <dimension ref="A1:Y4157"/>
  <sheetViews>
    <sheetView topLeftCell="B1" workbookViewId="0">
      <pane xSplit="4" ySplit="1" topLeftCell="F2499" activePane="bottomRight" state="frozen"/>
      <selection/>
      <selection pane="topRight"/>
      <selection pane="bottomLeft"/>
      <selection pane="bottomRight" activeCell="F2507" sqref="F2507"/>
    </sheetView>
  </sheetViews>
  <sheetFormatPr defaultColWidth="9" defaultRowHeight="13.5"/>
  <cols>
    <col min="1" max="1" width="3.875" style="85" hidden="1" customWidth="1"/>
    <col min="2" max="2" width="9.5" style="421" hidden="1" customWidth="1"/>
    <col min="3" max="3" width="10.875" style="422" hidden="1" customWidth="1"/>
    <col min="4" max="4" width="9.75" style="423" hidden="1" customWidth="1"/>
    <col min="5" max="5" width="37.5" style="85" customWidth="1"/>
    <col min="6" max="6" width="20.75" style="85" customWidth="1"/>
    <col min="7" max="7" width="19.125" style="85" customWidth="1"/>
    <col min="8" max="8" width="21.75" style="85" customWidth="1"/>
    <col min="9" max="9" width="18.375" style="85" customWidth="1"/>
    <col min="10" max="10" width="17.75" style="85" customWidth="1"/>
    <col min="11" max="11" width="21.25" style="85" customWidth="1"/>
    <col min="12" max="12" width="16.875" style="85" customWidth="1"/>
    <col min="13" max="13" width="15.375" style="85" customWidth="1"/>
    <col min="14" max="14" width="14.875" style="85" customWidth="1"/>
    <col min="15" max="15" width="15.5" style="85" customWidth="1"/>
    <col min="16" max="16" width="10.625" style="85" customWidth="1"/>
    <col min="17" max="17" width="12.875" style="85" customWidth="1"/>
    <col min="18" max="18" width="12.625" style="85" customWidth="1"/>
    <col min="19" max="19" width="13.5" style="85" customWidth="1"/>
    <col min="20" max="20" width="11.375" style="85" customWidth="1"/>
    <col min="21" max="23" width="9" style="85"/>
    <col min="24" max="24" width="9" style="420"/>
    <col min="25" max="16384" width="9" style="85"/>
  </cols>
  <sheetData>
    <row r="1" ht="16.5" spans="1:24">
      <c r="A1" s="85" t="s">
        <v>2286</v>
      </c>
      <c r="B1" s="421" t="s">
        <v>2287</v>
      </c>
      <c r="C1" s="424" t="s">
        <v>2288</v>
      </c>
      <c r="D1" s="423" t="s">
        <v>2289</v>
      </c>
      <c r="E1" s="65" t="s">
        <v>2290</v>
      </c>
      <c r="F1" s="425" t="s">
        <v>2288</v>
      </c>
      <c r="G1" s="426" t="str">
        <f>参数表!C3</f>
        <v>石嘴山市深阳蓝光市政工程有限公司</v>
      </c>
      <c r="H1" s="427" t="s">
        <v>2035</v>
      </c>
      <c r="I1" s="427" t="s">
        <v>2033</v>
      </c>
      <c r="J1" s="427" t="s">
        <v>2291</v>
      </c>
      <c r="K1" s="427" t="s">
        <v>2292</v>
      </c>
      <c r="L1" s="427" t="s">
        <v>2293</v>
      </c>
      <c r="M1" s="488" t="s">
        <v>2294</v>
      </c>
      <c r="N1" s="489"/>
      <c r="O1" s="489"/>
      <c r="P1" s="489"/>
      <c r="Q1" s="489"/>
      <c r="X1" s="501" t="b">
        <f>EXACT(A1,E1)</f>
        <v>1</v>
      </c>
    </row>
    <row r="2" s="395" customFormat="1" outlineLevel="2" spans="1:24">
      <c r="A2" s="395" t="s">
        <v>60</v>
      </c>
      <c r="B2" s="428" t="s">
        <v>2295</v>
      </c>
      <c r="C2" s="429" t="str">
        <f t="shared" ref="C2:C16" si="0">$G$1</f>
        <v>石嘴山市深阳蓝光市政工程有限公司</v>
      </c>
      <c r="D2" s="430" t="s">
        <v>2296</v>
      </c>
      <c r="E2" s="431" t="s">
        <v>60</v>
      </c>
      <c r="F2" s="432" t="s">
        <v>315</v>
      </c>
      <c r="G2" s="432"/>
      <c r="H2" s="432"/>
      <c r="I2" s="432" t="s">
        <v>1579</v>
      </c>
      <c r="J2" s="432"/>
      <c r="K2" s="432"/>
      <c r="L2" s="490" t="s">
        <v>515</v>
      </c>
      <c r="M2" s="490" t="s">
        <v>670</v>
      </c>
      <c r="N2" s="491" t="s">
        <v>2297</v>
      </c>
      <c r="O2" s="491"/>
      <c r="P2" s="491"/>
      <c r="Q2" s="491"/>
      <c r="X2" s="501" t="b">
        <f t="shared" ref="X2:X71" si="1">EXACT(A2,E2)</f>
        <v>1</v>
      </c>
    </row>
    <row r="3" s="395" customFormat="1" outlineLevel="2" spans="2:24">
      <c r="B3" s="428" t="s">
        <v>2295</v>
      </c>
      <c r="C3" s="429" t="str">
        <f t="shared" si="0"/>
        <v>石嘴山市深阳蓝光市政工程有限公司</v>
      </c>
      <c r="D3" s="430" t="s">
        <v>2296</v>
      </c>
      <c r="E3" s="433"/>
      <c r="F3" s="432" t="s">
        <v>317</v>
      </c>
      <c r="G3" s="432" t="s">
        <v>318</v>
      </c>
      <c r="H3" s="432" t="s">
        <v>319</v>
      </c>
      <c r="I3" s="432" t="s">
        <v>317</v>
      </c>
      <c r="J3" s="432" t="s">
        <v>318</v>
      </c>
      <c r="K3" s="432" t="s">
        <v>319</v>
      </c>
      <c r="L3" s="492" t="s">
        <v>2298</v>
      </c>
      <c r="M3" s="493"/>
      <c r="X3" s="501" t="b">
        <f t="shared" si="1"/>
        <v>1</v>
      </c>
    </row>
    <row r="4" s="395" customFormat="1" outlineLevel="2" spans="1:24">
      <c r="A4" s="395" t="s">
        <v>320</v>
      </c>
      <c r="B4" s="428" t="s">
        <v>2295</v>
      </c>
      <c r="C4" s="429" t="str">
        <f t="shared" si="0"/>
        <v>石嘴山市深阳蓝光市政工程有限公司</v>
      </c>
      <c r="D4" s="430" t="s">
        <v>2296</v>
      </c>
      <c r="E4" s="434" t="s">
        <v>320</v>
      </c>
      <c r="F4" s="147"/>
      <c r="G4" s="147"/>
      <c r="H4" s="435">
        <f>ROUND(SUM(H5:H9),2)</f>
        <v>0</v>
      </c>
      <c r="I4" s="147"/>
      <c r="J4" s="147"/>
      <c r="K4" s="435">
        <f>SUM(K5:K9)</f>
        <v>0</v>
      </c>
      <c r="L4" s="435">
        <f>SUM(L5:L9)</f>
        <v>0</v>
      </c>
      <c r="M4" s="435">
        <f>SUM(M5:M9)</f>
        <v>0</v>
      </c>
      <c r="X4" s="501" t="b">
        <f t="shared" si="1"/>
        <v>1</v>
      </c>
    </row>
    <row r="5" s="395" customFormat="1" outlineLevel="2" spans="1:24">
      <c r="A5" s="395" t="s">
        <v>322</v>
      </c>
      <c r="B5" s="428" t="s">
        <v>2295</v>
      </c>
      <c r="C5" s="429" t="str">
        <f t="shared" si="0"/>
        <v>石嘴山市深阳蓝光市政工程有限公司</v>
      </c>
      <c r="D5" s="430" t="s">
        <v>2296</v>
      </c>
      <c r="E5" s="436" t="s">
        <v>322</v>
      </c>
      <c r="F5" s="133"/>
      <c r="G5" s="437">
        <f>G11</f>
        <v>0</v>
      </c>
      <c r="H5" s="435">
        <f>ROUND(F5*G5+L5,2)</f>
        <v>0</v>
      </c>
      <c r="I5" s="494">
        <f>报表附注合并期初用!E52</f>
        <v>0</v>
      </c>
      <c r="J5" s="495" t="e">
        <f>ROUND(K5/I5,5)</f>
        <v>#DIV/0!</v>
      </c>
      <c r="K5" s="435">
        <f>报表附注合并期初用!E75</f>
        <v>0</v>
      </c>
      <c r="L5" s="496"/>
      <c r="M5" s="496"/>
      <c r="X5" s="501" t="b">
        <f t="shared" si="1"/>
        <v>1</v>
      </c>
    </row>
    <row r="6" s="395" customFormat="1" outlineLevel="2" spans="1:24">
      <c r="A6" s="395" t="s">
        <v>1559</v>
      </c>
      <c r="B6" s="428" t="s">
        <v>2295</v>
      </c>
      <c r="C6" s="429" t="str">
        <f t="shared" si="0"/>
        <v>石嘴山市深阳蓝光市政工程有限公司</v>
      </c>
      <c r="D6" s="430" t="s">
        <v>2296</v>
      </c>
      <c r="E6" s="436" t="s">
        <v>1559</v>
      </c>
      <c r="F6" s="133"/>
      <c r="G6" s="437">
        <f>G12</f>
        <v>0</v>
      </c>
      <c r="H6" s="435">
        <f>ROUND(F6*G6+L6,2)</f>
        <v>0</v>
      </c>
      <c r="I6" s="494">
        <f>报表附注合并期初用!E53</f>
        <v>0</v>
      </c>
      <c r="J6" s="495" t="e">
        <f>ROUND(K6/I6,5)</f>
        <v>#DIV/0!</v>
      </c>
      <c r="K6" s="435">
        <f>报表附注合并期初用!E76</f>
        <v>0</v>
      </c>
      <c r="L6" s="496"/>
      <c r="M6" s="496"/>
      <c r="X6" s="501" t="b">
        <f t="shared" si="1"/>
        <v>1</v>
      </c>
    </row>
    <row r="7" s="395" customFormat="1" outlineLevel="2" spans="1:24">
      <c r="A7" s="395" t="s">
        <v>1560</v>
      </c>
      <c r="B7" s="428" t="s">
        <v>2295</v>
      </c>
      <c r="C7" s="429" t="str">
        <f t="shared" si="0"/>
        <v>石嘴山市深阳蓝光市政工程有限公司</v>
      </c>
      <c r="D7" s="430" t="s">
        <v>2296</v>
      </c>
      <c r="E7" s="436" t="s">
        <v>1560</v>
      </c>
      <c r="F7" s="133"/>
      <c r="G7" s="437">
        <f>G13</f>
        <v>0</v>
      </c>
      <c r="H7" s="435">
        <f t="shared" ref="H7:H24" si="2">ROUND(F7*G7+L7,2)</f>
        <v>0</v>
      </c>
      <c r="I7" s="494">
        <f>报表附注合并期初用!E54</f>
        <v>0</v>
      </c>
      <c r="J7" s="495" t="e">
        <f>ROUND(K7/I7,5)</f>
        <v>#DIV/0!</v>
      </c>
      <c r="K7" s="435">
        <f>报表附注合并期初用!E77</f>
        <v>0</v>
      </c>
      <c r="L7" s="496"/>
      <c r="M7" s="496"/>
      <c r="X7" s="501" t="b">
        <f t="shared" si="1"/>
        <v>1</v>
      </c>
    </row>
    <row r="8" s="395" customFormat="1" outlineLevel="2" spans="1:24">
      <c r="A8" s="395" t="s">
        <v>1561</v>
      </c>
      <c r="B8" s="428" t="s">
        <v>2295</v>
      </c>
      <c r="C8" s="429" t="str">
        <f t="shared" si="0"/>
        <v>石嘴山市深阳蓝光市政工程有限公司</v>
      </c>
      <c r="D8" s="430" t="s">
        <v>2296</v>
      </c>
      <c r="E8" s="436" t="s">
        <v>1561</v>
      </c>
      <c r="F8" s="133"/>
      <c r="G8" s="437">
        <f>G14</f>
        <v>0</v>
      </c>
      <c r="H8" s="435">
        <f t="shared" si="2"/>
        <v>0</v>
      </c>
      <c r="I8" s="494">
        <f>报表附注合并期初用!E55</f>
        <v>0</v>
      </c>
      <c r="J8" s="495" t="e">
        <f>ROUND(K8/I8,5)</f>
        <v>#DIV/0!</v>
      </c>
      <c r="K8" s="435">
        <f>报表附注合并期初用!E78</f>
        <v>0</v>
      </c>
      <c r="L8" s="496"/>
      <c r="M8" s="496"/>
      <c r="X8" s="501" t="b">
        <f t="shared" si="1"/>
        <v>1</v>
      </c>
    </row>
    <row r="9" s="395" customFormat="1" outlineLevel="2" spans="1:24">
      <c r="A9" s="395" t="s">
        <v>1562</v>
      </c>
      <c r="B9" s="428" t="s">
        <v>2295</v>
      </c>
      <c r="C9" s="429" t="str">
        <f t="shared" si="0"/>
        <v>石嘴山市深阳蓝光市政工程有限公司</v>
      </c>
      <c r="D9" s="430" t="s">
        <v>2296</v>
      </c>
      <c r="E9" s="436" t="s">
        <v>1562</v>
      </c>
      <c r="F9" s="133"/>
      <c r="G9" s="437">
        <f>G15</f>
        <v>0</v>
      </c>
      <c r="H9" s="435">
        <f t="shared" si="2"/>
        <v>0</v>
      </c>
      <c r="I9" s="494">
        <f>报表附注合并期初用!E56</f>
        <v>0</v>
      </c>
      <c r="J9" s="495" t="e">
        <f>ROUND(K9/I9,5)</f>
        <v>#DIV/0!</v>
      </c>
      <c r="K9" s="435">
        <f>报表附注合并期初用!E79</f>
        <v>0</v>
      </c>
      <c r="L9" s="496"/>
      <c r="M9" s="496"/>
      <c r="X9" s="501" t="b">
        <f t="shared" si="1"/>
        <v>1</v>
      </c>
    </row>
    <row r="10" s="395" customFormat="1" outlineLevel="2" spans="1:24">
      <c r="A10" s="395" t="s">
        <v>332</v>
      </c>
      <c r="B10" s="428" t="s">
        <v>2295</v>
      </c>
      <c r="C10" s="429" t="str">
        <f t="shared" si="0"/>
        <v>石嘴山市深阳蓝光市政工程有限公司</v>
      </c>
      <c r="D10" s="430" t="s">
        <v>2296</v>
      </c>
      <c r="E10" s="434" t="s">
        <v>332</v>
      </c>
      <c r="F10" s="147"/>
      <c r="G10" s="438"/>
      <c r="H10" s="435">
        <f>ROUND(SUM(H11:H18),2)</f>
        <v>0</v>
      </c>
      <c r="I10" s="147"/>
      <c r="J10" s="497"/>
      <c r="K10" s="435">
        <f>ROUND(SUM(K11:K18),2)</f>
        <v>0</v>
      </c>
      <c r="L10" s="435">
        <f>SUM(L11:L18)</f>
        <v>0</v>
      </c>
      <c r="M10" s="435">
        <f>SUM(M11:M18)</f>
        <v>0</v>
      </c>
      <c r="X10" s="501" t="b">
        <f t="shared" si="1"/>
        <v>1</v>
      </c>
    </row>
    <row r="11" s="395" customFormat="1" outlineLevel="2" spans="1:24">
      <c r="A11" s="395" t="s">
        <v>322</v>
      </c>
      <c r="B11" s="428" t="s">
        <v>2295</v>
      </c>
      <c r="C11" s="429" t="str">
        <f t="shared" si="0"/>
        <v>石嘴山市深阳蓝光市政工程有限公司</v>
      </c>
      <c r="D11" s="430" t="s">
        <v>2296</v>
      </c>
      <c r="E11" s="439" t="s">
        <v>322</v>
      </c>
      <c r="F11" s="133"/>
      <c r="G11" s="440"/>
      <c r="H11" s="435">
        <f>ROUND(F11*G11+L11,2)</f>
        <v>0</v>
      </c>
      <c r="I11" s="435">
        <f>报表附注合并期初用!E58</f>
        <v>0</v>
      </c>
      <c r="J11" s="495" t="e">
        <f>ROUND(K11/I11,5)</f>
        <v>#DIV/0!</v>
      </c>
      <c r="K11" s="435">
        <f>报表附注合并期初用!E81</f>
        <v>0</v>
      </c>
      <c r="L11" s="496"/>
      <c r="M11" s="496"/>
      <c r="X11" s="501" t="b">
        <f t="shared" si="1"/>
        <v>1</v>
      </c>
    </row>
    <row r="12" s="395" customFormat="1" outlineLevel="2" spans="1:24">
      <c r="A12" s="395" t="s">
        <v>1559</v>
      </c>
      <c r="B12" s="428" t="s">
        <v>2295</v>
      </c>
      <c r="C12" s="429" t="str">
        <f t="shared" si="0"/>
        <v>石嘴山市深阳蓝光市政工程有限公司</v>
      </c>
      <c r="D12" s="430" t="s">
        <v>2296</v>
      </c>
      <c r="E12" s="439" t="s">
        <v>1559</v>
      </c>
      <c r="F12" s="133"/>
      <c r="G12" s="440"/>
      <c r="H12" s="435">
        <f>ROUND(F12*G12+L12,2)</f>
        <v>0</v>
      </c>
      <c r="I12" s="435">
        <f>报表附注合并期初用!E59</f>
        <v>0</v>
      </c>
      <c r="J12" s="495" t="e">
        <f t="shared" ref="J12:J24" si="3">ROUND(K12/I12,5)</f>
        <v>#DIV/0!</v>
      </c>
      <c r="K12" s="435">
        <f>报表附注合并期初用!E82</f>
        <v>0</v>
      </c>
      <c r="L12" s="496"/>
      <c r="M12" s="496"/>
      <c r="X12" s="501" t="b">
        <f t="shared" si="1"/>
        <v>1</v>
      </c>
    </row>
    <row r="13" s="395" customFormat="1" outlineLevel="2" spans="1:24">
      <c r="A13" s="395" t="s">
        <v>1563</v>
      </c>
      <c r="B13" s="428" t="s">
        <v>2295</v>
      </c>
      <c r="C13" s="429" t="str">
        <f t="shared" si="0"/>
        <v>石嘴山市深阳蓝光市政工程有限公司</v>
      </c>
      <c r="D13" s="430" t="s">
        <v>2296</v>
      </c>
      <c r="E13" s="439" t="s">
        <v>1563</v>
      </c>
      <c r="F13" s="133"/>
      <c r="G13" s="440"/>
      <c r="H13" s="435">
        <f t="shared" si="2"/>
        <v>0</v>
      </c>
      <c r="I13" s="435">
        <f>报表附注合并期初用!E60</f>
        <v>0</v>
      </c>
      <c r="J13" s="495" t="e">
        <f t="shared" si="3"/>
        <v>#DIV/0!</v>
      </c>
      <c r="K13" s="435">
        <f>报表附注合并期初用!E83</f>
        <v>0</v>
      </c>
      <c r="L13" s="496"/>
      <c r="M13" s="496"/>
      <c r="X13" s="501" t="b">
        <f t="shared" si="1"/>
        <v>1</v>
      </c>
    </row>
    <row r="14" s="395" customFormat="1" outlineLevel="2" spans="1:24">
      <c r="A14" s="395" t="s">
        <v>1561</v>
      </c>
      <c r="B14" s="428" t="s">
        <v>2295</v>
      </c>
      <c r="C14" s="429" t="str">
        <f t="shared" si="0"/>
        <v>石嘴山市深阳蓝光市政工程有限公司</v>
      </c>
      <c r="D14" s="430" t="s">
        <v>2296</v>
      </c>
      <c r="E14" s="439" t="s">
        <v>1561</v>
      </c>
      <c r="F14" s="133"/>
      <c r="G14" s="440"/>
      <c r="H14" s="435">
        <f t="shared" si="2"/>
        <v>0</v>
      </c>
      <c r="I14" s="435">
        <f>报表附注合并期初用!E61</f>
        <v>0</v>
      </c>
      <c r="J14" s="495" t="e">
        <f t="shared" si="3"/>
        <v>#DIV/0!</v>
      </c>
      <c r="K14" s="435">
        <f>报表附注合并期初用!E84</f>
        <v>0</v>
      </c>
      <c r="L14" s="496"/>
      <c r="M14" s="496"/>
      <c r="X14" s="501" t="b">
        <f t="shared" si="1"/>
        <v>1</v>
      </c>
    </row>
    <row r="15" s="395" customFormat="1" outlineLevel="2" spans="1:24">
      <c r="A15" s="395" t="s">
        <v>1562</v>
      </c>
      <c r="B15" s="428" t="s">
        <v>2295</v>
      </c>
      <c r="C15" s="429" t="str">
        <f t="shared" si="0"/>
        <v>石嘴山市深阳蓝光市政工程有限公司</v>
      </c>
      <c r="D15" s="430" t="s">
        <v>2296</v>
      </c>
      <c r="E15" s="439" t="s">
        <v>1562</v>
      </c>
      <c r="F15" s="133"/>
      <c r="G15" s="440"/>
      <c r="H15" s="435">
        <f t="shared" si="2"/>
        <v>0</v>
      </c>
      <c r="I15" s="435">
        <f>报表附注合并期初用!E62</f>
        <v>0</v>
      </c>
      <c r="J15" s="495" t="e">
        <f t="shared" si="3"/>
        <v>#DIV/0!</v>
      </c>
      <c r="K15" s="435">
        <f>报表附注合并期初用!E85</f>
        <v>0</v>
      </c>
      <c r="L15" s="496"/>
      <c r="M15" s="496"/>
      <c r="X15" s="501" t="b">
        <f t="shared" si="1"/>
        <v>1</v>
      </c>
    </row>
    <row r="16" s="395" customFormat="1" outlineLevel="2" spans="1:24">
      <c r="A16" s="395" t="s">
        <v>1564</v>
      </c>
      <c r="B16" s="428" t="s">
        <v>2295</v>
      </c>
      <c r="C16" s="429" t="str">
        <f t="shared" si="0"/>
        <v>石嘴山市深阳蓝光市政工程有限公司</v>
      </c>
      <c r="D16" s="430" t="s">
        <v>2296</v>
      </c>
      <c r="E16" s="436" t="s">
        <v>2299</v>
      </c>
      <c r="F16" s="133"/>
      <c r="G16" s="440"/>
      <c r="H16" s="435">
        <f t="shared" si="2"/>
        <v>0</v>
      </c>
      <c r="I16" s="435">
        <f>报表附注合并期初用!E63</f>
        <v>0</v>
      </c>
      <c r="J16" s="495" t="e">
        <f t="shared" si="3"/>
        <v>#DIV/0!</v>
      </c>
      <c r="K16" s="435">
        <f>报表附注合并期初用!E86</f>
        <v>0</v>
      </c>
      <c r="L16" s="496"/>
      <c r="M16" s="496"/>
      <c r="X16" s="501" t="b">
        <f t="shared" si="1"/>
        <v>0</v>
      </c>
    </row>
    <row r="17" s="395" customFormat="1" outlineLevel="2" spans="2:24">
      <c r="B17" s="428"/>
      <c r="C17" s="429"/>
      <c r="D17" s="430"/>
      <c r="E17" s="441" t="s">
        <v>1564</v>
      </c>
      <c r="F17" s="133"/>
      <c r="G17" s="440"/>
      <c r="H17" s="435">
        <f t="shared" si="2"/>
        <v>0</v>
      </c>
      <c r="I17" s="435">
        <f>报表附注合并期初用!E64</f>
        <v>0</v>
      </c>
      <c r="J17" s="495" t="e">
        <f t="shared" si="3"/>
        <v>#DIV/0!</v>
      </c>
      <c r="K17" s="435">
        <f>报表附注合并期初用!E87</f>
        <v>0</v>
      </c>
      <c r="L17" s="496"/>
      <c r="M17" s="496"/>
      <c r="X17" s="501"/>
    </row>
    <row r="18" s="395" customFormat="1" outlineLevel="2" spans="2:24">
      <c r="B18" s="428"/>
      <c r="C18" s="429"/>
      <c r="D18" s="430"/>
      <c r="E18" s="442" t="s">
        <v>1565</v>
      </c>
      <c r="F18" s="133"/>
      <c r="G18" s="440"/>
      <c r="H18" s="435">
        <f t="shared" si="2"/>
        <v>0</v>
      </c>
      <c r="I18" s="435">
        <f>报表附注合并期初用!E65</f>
        <v>0</v>
      </c>
      <c r="J18" s="495" t="e">
        <f t="shared" si="3"/>
        <v>#DIV/0!</v>
      </c>
      <c r="K18" s="435">
        <f>报表附注合并期初用!E88</f>
        <v>0</v>
      </c>
      <c r="L18" s="496"/>
      <c r="M18" s="496"/>
      <c r="X18" s="501"/>
    </row>
    <row r="19" s="395" customFormat="1" outlineLevel="2" spans="1:24">
      <c r="A19" s="395" t="s">
        <v>339</v>
      </c>
      <c r="B19" s="428" t="s">
        <v>2295</v>
      </c>
      <c r="C19" s="429" t="str">
        <f t="shared" ref="C19:C51" si="4">$G$1</f>
        <v>石嘴山市深阳蓝光市政工程有限公司</v>
      </c>
      <c r="D19" s="430" t="s">
        <v>2296</v>
      </c>
      <c r="E19" s="433" t="s">
        <v>339</v>
      </c>
      <c r="F19" s="147"/>
      <c r="G19" s="438"/>
      <c r="H19" s="435">
        <f>ROUND(SUM(H20:H24),2)</f>
        <v>0</v>
      </c>
      <c r="I19" s="147"/>
      <c r="J19" s="497"/>
      <c r="K19" s="435">
        <f>SUM(K20:K24)</f>
        <v>0</v>
      </c>
      <c r="L19" s="435">
        <f>SUM(L20:L24)</f>
        <v>0</v>
      </c>
      <c r="M19" s="435">
        <f>SUM(M20:M24)</f>
        <v>0</v>
      </c>
      <c r="X19" s="501" t="b">
        <f t="shared" si="1"/>
        <v>1</v>
      </c>
    </row>
    <row r="20" s="395" customFormat="1" outlineLevel="2" spans="1:24">
      <c r="A20" s="395" t="s">
        <v>322</v>
      </c>
      <c r="B20" s="428" t="s">
        <v>2295</v>
      </c>
      <c r="C20" s="429" t="str">
        <f t="shared" si="4"/>
        <v>石嘴山市深阳蓝光市政工程有限公司</v>
      </c>
      <c r="D20" s="430" t="s">
        <v>2296</v>
      </c>
      <c r="E20" s="439" t="s">
        <v>322</v>
      </c>
      <c r="F20" s="133"/>
      <c r="G20" s="437">
        <f>G11</f>
        <v>0</v>
      </c>
      <c r="H20" s="435">
        <f t="shared" si="2"/>
        <v>0</v>
      </c>
      <c r="I20" s="435">
        <f>报表附注合并期初用!E67</f>
        <v>0</v>
      </c>
      <c r="J20" s="495" t="e">
        <f t="shared" si="3"/>
        <v>#DIV/0!</v>
      </c>
      <c r="K20" s="435">
        <f>报表附注合并期初用!E90</f>
        <v>0</v>
      </c>
      <c r="L20" s="496"/>
      <c r="M20" s="496"/>
      <c r="X20" s="501" t="b">
        <f t="shared" si="1"/>
        <v>1</v>
      </c>
    </row>
    <row r="21" s="395" customFormat="1" outlineLevel="2" spans="1:24">
      <c r="A21" s="395" t="s">
        <v>1559</v>
      </c>
      <c r="B21" s="428" t="s">
        <v>2295</v>
      </c>
      <c r="C21" s="429" t="str">
        <f t="shared" si="4"/>
        <v>石嘴山市深阳蓝光市政工程有限公司</v>
      </c>
      <c r="D21" s="430" t="s">
        <v>2296</v>
      </c>
      <c r="E21" s="436" t="s">
        <v>1559</v>
      </c>
      <c r="F21" s="133"/>
      <c r="G21" s="437">
        <f>G12</f>
        <v>0</v>
      </c>
      <c r="H21" s="435">
        <f t="shared" si="2"/>
        <v>0</v>
      </c>
      <c r="I21" s="435">
        <f>报表附注合并期初用!E68</f>
        <v>0</v>
      </c>
      <c r="J21" s="495" t="e">
        <f t="shared" si="3"/>
        <v>#DIV/0!</v>
      </c>
      <c r="K21" s="435">
        <f>报表附注合并期初用!E91</f>
        <v>0</v>
      </c>
      <c r="L21" s="496"/>
      <c r="M21" s="496"/>
      <c r="X21" s="501" t="b">
        <f t="shared" si="1"/>
        <v>1</v>
      </c>
    </row>
    <row r="22" s="395" customFormat="1" outlineLevel="2" spans="1:24">
      <c r="A22" s="395" t="s">
        <v>1563</v>
      </c>
      <c r="B22" s="428" t="s">
        <v>2295</v>
      </c>
      <c r="C22" s="429" t="str">
        <f t="shared" si="4"/>
        <v>石嘴山市深阳蓝光市政工程有限公司</v>
      </c>
      <c r="D22" s="430" t="s">
        <v>2296</v>
      </c>
      <c r="E22" s="439" t="s">
        <v>2300</v>
      </c>
      <c r="F22" s="133"/>
      <c r="G22" s="437">
        <f>G13</f>
        <v>0</v>
      </c>
      <c r="H22" s="435">
        <f t="shared" si="2"/>
        <v>0</v>
      </c>
      <c r="I22" s="435">
        <f>报表附注合并期初用!E69</f>
        <v>0</v>
      </c>
      <c r="J22" s="495" t="e">
        <f t="shared" si="3"/>
        <v>#DIV/0!</v>
      </c>
      <c r="K22" s="435">
        <f>报表附注合并期初用!E92</f>
        <v>0</v>
      </c>
      <c r="L22" s="496"/>
      <c r="M22" s="496"/>
      <c r="X22" s="501" t="b">
        <f t="shared" si="1"/>
        <v>1</v>
      </c>
    </row>
    <row r="23" s="395" customFormat="1" outlineLevel="2" spans="1:24">
      <c r="A23" s="395" t="s">
        <v>1561</v>
      </c>
      <c r="B23" s="428" t="s">
        <v>2295</v>
      </c>
      <c r="C23" s="429" t="str">
        <f t="shared" si="4"/>
        <v>石嘴山市深阳蓝光市政工程有限公司</v>
      </c>
      <c r="D23" s="430" t="s">
        <v>2296</v>
      </c>
      <c r="E23" s="436" t="s">
        <v>1561</v>
      </c>
      <c r="F23" s="133"/>
      <c r="G23" s="437">
        <f>G14</f>
        <v>0</v>
      </c>
      <c r="H23" s="435">
        <f t="shared" si="2"/>
        <v>0</v>
      </c>
      <c r="I23" s="435">
        <f>报表附注合并期初用!E70</f>
        <v>0</v>
      </c>
      <c r="J23" s="495" t="e">
        <f t="shared" si="3"/>
        <v>#DIV/0!</v>
      </c>
      <c r="K23" s="435">
        <f>报表附注合并期初用!E93</f>
        <v>0</v>
      </c>
      <c r="L23" s="496"/>
      <c r="M23" s="496"/>
      <c r="X23" s="501" t="b">
        <f t="shared" si="1"/>
        <v>1</v>
      </c>
    </row>
    <row r="24" s="395" customFormat="1" outlineLevel="2" spans="1:24">
      <c r="A24" s="395" t="s">
        <v>1562</v>
      </c>
      <c r="B24" s="428" t="s">
        <v>2295</v>
      </c>
      <c r="C24" s="429" t="str">
        <f t="shared" si="4"/>
        <v>石嘴山市深阳蓝光市政工程有限公司</v>
      </c>
      <c r="D24" s="430" t="s">
        <v>2296</v>
      </c>
      <c r="E24" s="439" t="s">
        <v>1562</v>
      </c>
      <c r="F24" s="133"/>
      <c r="G24" s="437">
        <f>G15</f>
        <v>0</v>
      </c>
      <c r="H24" s="435">
        <f t="shared" si="2"/>
        <v>0</v>
      </c>
      <c r="I24" s="435">
        <f>报表附注合并期初用!E71</f>
        <v>0</v>
      </c>
      <c r="J24" s="495" t="e">
        <f t="shared" si="3"/>
        <v>#DIV/0!</v>
      </c>
      <c r="K24" s="435">
        <f>报表附注合并期初用!E94</f>
        <v>0</v>
      </c>
      <c r="L24" s="496"/>
      <c r="M24" s="496"/>
      <c r="X24" s="501" t="b">
        <f t="shared" si="1"/>
        <v>1</v>
      </c>
    </row>
    <row r="25" s="395" customFormat="1" outlineLevel="2" spans="1:24">
      <c r="A25" s="395" t="s">
        <v>1206</v>
      </c>
      <c r="B25" s="428" t="s">
        <v>2295</v>
      </c>
      <c r="C25" s="429" t="str">
        <f t="shared" si="4"/>
        <v>石嘴山市深阳蓝光市政工程有限公司</v>
      </c>
      <c r="D25" s="430" t="s">
        <v>2296</v>
      </c>
      <c r="E25" s="443" t="s">
        <v>1206</v>
      </c>
      <c r="F25" s="147"/>
      <c r="G25" s="147"/>
      <c r="H25" s="435">
        <f>H4+H10+H19</f>
        <v>0</v>
      </c>
      <c r="I25" s="147"/>
      <c r="J25" s="147"/>
      <c r="K25" s="435">
        <f>K4+K10+K19</f>
        <v>0</v>
      </c>
      <c r="L25" s="435">
        <f>L4+L10+L19</f>
        <v>0</v>
      </c>
      <c r="M25" s="435">
        <f>M4+M10+M19</f>
        <v>0</v>
      </c>
      <c r="X25" s="501" t="b">
        <f t="shared" si="1"/>
        <v>1</v>
      </c>
    </row>
    <row r="26" s="395" customFormat="1" outlineLevel="2" spans="1:24">
      <c r="A26" s="395" t="s">
        <v>1444</v>
      </c>
      <c r="B26" s="428" t="s">
        <v>2295</v>
      </c>
      <c r="C26" s="429" t="str">
        <f t="shared" si="4"/>
        <v>石嘴山市深阳蓝光市政工程有限公司</v>
      </c>
      <c r="D26" s="430" t="s">
        <v>2296</v>
      </c>
      <c r="E26" s="444" t="s">
        <v>1444</v>
      </c>
      <c r="F26" s="445"/>
      <c r="G26" s="445"/>
      <c r="H26" s="446">
        <f>审定资负表!C7</f>
        <v>0</v>
      </c>
      <c r="I26" s="445"/>
      <c r="J26" s="445"/>
      <c r="K26" s="446">
        <f>审定资负表!D7</f>
        <v>0</v>
      </c>
      <c r="X26" s="501" t="b">
        <f t="shared" si="1"/>
        <v>1</v>
      </c>
    </row>
    <row r="27" s="395" customFormat="1" outlineLevel="1" spans="1:24">
      <c r="A27" s="395" t="s">
        <v>1394</v>
      </c>
      <c r="B27" s="428" t="s">
        <v>2295</v>
      </c>
      <c r="C27" s="429" t="str">
        <f t="shared" si="4"/>
        <v>石嘴山市深阳蓝光市政工程有限公司</v>
      </c>
      <c r="D27" s="430" t="s">
        <v>2296</v>
      </c>
      <c r="E27" s="447" t="s">
        <v>1394</v>
      </c>
      <c r="F27" s="445"/>
      <c r="G27" s="87">
        <f>ROUND(H19-G41,2)</f>
        <v>0</v>
      </c>
      <c r="H27" s="87">
        <f>ROUND(H25-H26,2)</f>
        <v>0</v>
      </c>
      <c r="I27" s="445"/>
      <c r="J27" s="445"/>
      <c r="K27" s="87">
        <f>ROUND(K25-K26,2)</f>
        <v>0</v>
      </c>
      <c r="X27" s="501" t="b">
        <f t="shared" si="1"/>
        <v>1</v>
      </c>
    </row>
    <row r="28" s="395" customFormat="1" outlineLevel="2" spans="1:24">
      <c r="A28" s="395" t="s">
        <v>2301</v>
      </c>
      <c r="B28" s="428" t="s">
        <v>2295</v>
      </c>
      <c r="C28" s="429" t="str">
        <f t="shared" si="4"/>
        <v>石嘴山市深阳蓝光市政工程有限公司</v>
      </c>
      <c r="D28" s="448" t="s">
        <v>2302</v>
      </c>
      <c r="E28" s="449" t="s">
        <v>2301</v>
      </c>
      <c r="F28" s="449"/>
      <c r="G28" s="450"/>
      <c r="H28" s="451"/>
      <c r="I28" s="450"/>
      <c r="J28" s="450"/>
      <c r="K28" s="451"/>
      <c r="X28" s="501" t="b">
        <f t="shared" si="1"/>
        <v>1</v>
      </c>
    </row>
    <row r="29" s="395" customFormat="1" outlineLevel="2" spans="1:24">
      <c r="A29" s="395" t="s">
        <v>2303</v>
      </c>
      <c r="B29" s="428" t="s">
        <v>2295</v>
      </c>
      <c r="C29" s="429" t="str">
        <f t="shared" si="4"/>
        <v>石嘴山市深阳蓝光市政工程有限公司</v>
      </c>
      <c r="D29" s="448" t="s">
        <v>2302</v>
      </c>
      <c r="E29" s="452" t="s">
        <v>2303</v>
      </c>
      <c r="F29" s="453" t="s">
        <v>2304</v>
      </c>
      <c r="G29" s="453" t="s">
        <v>365</v>
      </c>
      <c r="H29" s="453" t="s">
        <v>2305</v>
      </c>
      <c r="J29" s="450"/>
      <c r="K29" s="451"/>
      <c r="X29" s="501" t="b">
        <f t="shared" si="1"/>
        <v>1</v>
      </c>
    </row>
    <row r="30" s="395" customFormat="1" outlineLevel="2" spans="2:24">
      <c r="B30" s="428" t="s">
        <v>2295</v>
      </c>
      <c r="C30" s="429" t="str">
        <f t="shared" si="4"/>
        <v>石嘴山市深阳蓝光市政工程有限公司</v>
      </c>
      <c r="D30" s="448" t="s">
        <v>2302</v>
      </c>
      <c r="E30" s="454"/>
      <c r="F30" s="454"/>
      <c r="G30" s="454"/>
      <c r="H30" s="454"/>
      <c r="J30" s="450"/>
      <c r="K30" s="451"/>
      <c r="X30" s="501" t="b">
        <f t="shared" si="1"/>
        <v>1</v>
      </c>
    </row>
    <row r="31" s="395" customFormat="1" outlineLevel="2" spans="2:24">
      <c r="B31" s="428" t="s">
        <v>2295</v>
      </c>
      <c r="C31" s="429" t="str">
        <f t="shared" si="4"/>
        <v>石嘴山市深阳蓝光市政工程有限公司</v>
      </c>
      <c r="D31" s="448" t="s">
        <v>2302</v>
      </c>
      <c r="E31" s="454"/>
      <c r="F31" s="454"/>
      <c r="G31" s="454"/>
      <c r="H31" s="454"/>
      <c r="J31" s="450"/>
      <c r="K31" s="451"/>
      <c r="X31" s="501" t="b">
        <f t="shared" si="1"/>
        <v>1</v>
      </c>
    </row>
    <row r="32" s="395" customFormat="1" outlineLevel="2" spans="2:24">
      <c r="B32" s="428" t="s">
        <v>2295</v>
      </c>
      <c r="C32" s="429" t="str">
        <f t="shared" si="4"/>
        <v>石嘴山市深阳蓝光市政工程有限公司</v>
      </c>
      <c r="D32" s="448" t="s">
        <v>2302</v>
      </c>
      <c r="E32" s="454"/>
      <c r="F32" s="454"/>
      <c r="G32" s="454"/>
      <c r="H32" s="454"/>
      <c r="J32" s="450"/>
      <c r="K32" s="451"/>
      <c r="X32" s="501" t="b">
        <f t="shared" si="1"/>
        <v>1</v>
      </c>
    </row>
    <row r="33" s="395" customFormat="1" outlineLevel="2" spans="2:24">
      <c r="B33" s="428" t="s">
        <v>2295</v>
      </c>
      <c r="C33" s="429" t="str">
        <f t="shared" si="4"/>
        <v>石嘴山市深阳蓝光市政工程有限公司</v>
      </c>
      <c r="D33" s="448" t="s">
        <v>2302</v>
      </c>
      <c r="E33" s="454"/>
      <c r="F33" s="454"/>
      <c r="G33" s="454"/>
      <c r="H33" s="454"/>
      <c r="J33" s="450"/>
      <c r="K33" s="451"/>
      <c r="X33" s="501" t="b">
        <f t="shared" si="1"/>
        <v>1</v>
      </c>
    </row>
    <row r="34" s="395" customFormat="1" outlineLevel="2" spans="2:24">
      <c r="B34" s="428" t="s">
        <v>2295</v>
      </c>
      <c r="C34" s="429" t="str">
        <f t="shared" si="4"/>
        <v>石嘴山市深阳蓝光市政工程有限公司</v>
      </c>
      <c r="D34" s="448" t="s">
        <v>2302</v>
      </c>
      <c r="E34" s="455"/>
      <c r="F34" s="454"/>
      <c r="G34" s="456"/>
      <c r="H34" s="454"/>
      <c r="J34" s="450"/>
      <c r="K34" s="451"/>
      <c r="X34" s="501" t="b">
        <f t="shared" si="1"/>
        <v>1</v>
      </c>
    </row>
    <row r="35" s="395" customFormat="1" outlineLevel="2" spans="2:24">
      <c r="B35" s="428" t="s">
        <v>2295</v>
      </c>
      <c r="C35" s="429" t="str">
        <f t="shared" si="4"/>
        <v>石嘴山市深阳蓝光市政工程有限公司</v>
      </c>
      <c r="D35" s="448" t="s">
        <v>2302</v>
      </c>
      <c r="E35" s="457" t="s">
        <v>2306</v>
      </c>
      <c r="F35" s="458"/>
      <c r="G35" s="458"/>
      <c r="H35" s="458"/>
      <c r="I35" s="498"/>
      <c r="J35" s="450"/>
      <c r="K35" s="451"/>
      <c r="X35" s="501" t="b">
        <f t="shared" si="1"/>
        <v>0</v>
      </c>
    </row>
    <row r="36" s="395" customFormat="1" outlineLevel="2" spans="2:24">
      <c r="B36" s="428" t="s">
        <v>2295</v>
      </c>
      <c r="C36" s="429" t="str">
        <f t="shared" si="4"/>
        <v>石嘴山市深阳蓝光市政工程有限公司</v>
      </c>
      <c r="D36" s="448" t="s">
        <v>2302</v>
      </c>
      <c r="E36" s="459" t="s">
        <v>60</v>
      </c>
      <c r="F36" s="460" t="s">
        <v>2307</v>
      </c>
      <c r="G36" s="460" t="s">
        <v>2308</v>
      </c>
      <c r="H36" s="460" t="s">
        <v>2309</v>
      </c>
      <c r="I36" s="460" t="s">
        <v>2310</v>
      </c>
      <c r="J36" s="450"/>
      <c r="K36" s="451"/>
      <c r="X36" s="501" t="b">
        <f t="shared" si="1"/>
        <v>0</v>
      </c>
    </row>
    <row r="37" s="395" customFormat="1" outlineLevel="2" spans="2:24">
      <c r="B37" s="428" t="s">
        <v>2295</v>
      </c>
      <c r="C37" s="429" t="str">
        <f t="shared" si="4"/>
        <v>石嘴山市深阳蓝光市政工程有限公司</v>
      </c>
      <c r="D37" s="448" t="s">
        <v>2302</v>
      </c>
      <c r="E37" s="461" t="s">
        <v>2311</v>
      </c>
      <c r="F37" s="462"/>
      <c r="G37" s="463"/>
      <c r="H37" s="462"/>
      <c r="I37" s="462"/>
      <c r="J37" s="450"/>
      <c r="K37" s="451"/>
      <c r="X37" s="501" t="b">
        <f t="shared" si="1"/>
        <v>0</v>
      </c>
    </row>
    <row r="38" s="395" customFormat="1" outlineLevel="2" spans="2:24">
      <c r="B38" s="428" t="s">
        <v>2295</v>
      </c>
      <c r="C38" s="429" t="str">
        <f t="shared" si="4"/>
        <v>石嘴山市深阳蓝光市政工程有限公司</v>
      </c>
      <c r="D38" s="448" t="s">
        <v>2302</v>
      </c>
      <c r="E38" s="461" t="s">
        <v>2312</v>
      </c>
      <c r="F38" s="454"/>
      <c r="G38" s="456"/>
      <c r="H38" s="454"/>
      <c r="I38" s="454"/>
      <c r="J38" s="450"/>
      <c r="K38" s="451"/>
      <c r="X38" s="501" t="b">
        <f t="shared" si="1"/>
        <v>0</v>
      </c>
    </row>
    <row r="39" s="395" customFormat="1" outlineLevel="2" spans="2:24">
      <c r="B39" s="428" t="s">
        <v>2295</v>
      </c>
      <c r="C39" s="429" t="str">
        <f t="shared" si="4"/>
        <v>石嘴山市深阳蓝光市政工程有限公司</v>
      </c>
      <c r="D39" s="448" t="s">
        <v>2302</v>
      </c>
      <c r="E39" s="461" t="s">
        <v>2313</v>
      </c>
      <c r="F39" s="454"/>
      <c r="G39" s="454"/>
      <c r="H39" s="456"/>
      <c r="I39" s="456"/>
      <c r="J39" s="450"/>
      <c r="K39" s="451"/>
      <c r="X39" s="501" t="b">
        <f t="shared" si="1"/>
        <v>0</v>
      </c>
    </row>
    <row r="40" s="395" customFormat="1" customHeight="1" outlineLevel="2" spans="2:24">
      <c r="B40" s="428" t="s">
        <v>2295</v>
      </c>
      <c r="C40" s="429" t="str">
        <f t="shared" si="4"/>
        <v>石嘴山市深阳蓝光市政工程有限公司</v>
      </c>
      <c r="D40" s="448"/>
      <c r="E40" s="464" t="s">
        <v>2314</v>
      </c>
      <c r="F40" s="465"/>
      <c r="G40" s="465"/>
      <c r="H40" s="465"/>
      <c r="I40" s="465"/>
      <c r="J40" s="450"/>
      <c r="K40" s="451"/>
      <c r="X40" s="501" t="b">
        <f t="shared" si="1"/>
        <v>0</v>
      </c>
    </row>
    <row r="41" s="395" customFormat="1" outlineLevel="2" spans="1:24">
      <c r="A41" s="395" t="s">
        <v>2315</v>
      </c>
      <c r="B41" s="428" t="s">
        <v>2295</v>
      </c>
      <c r="C41" s="429" t="str">
        <f t="shared" si="4"/>
        <v>石嘴山市深阳蓝光市政工程有限公司</v>
      </c>
      <c r="D41" s="448"/>
      <c r="E41" s="466"/>
      <c r="F41" s="467"/>
      <c r="G41" s="435">
        <f>SUM(G37:G40)</f>
        <v>0</v>
      </c>
      <c r="H41" s="456"/>
      <c r="I41" s="435">
        <f>SUM(I37:I40)</f>
        <v>0</v>
      </c>
      <c r="J41" s="450"/>
      <c r="K41" s="451"/>
      <c r="X41" s="501" t="b">
        <f t="shared" si="1"/>
        <v>0</v>
      </c>
    </row>
    <row r="42" s="395" customFormat="1" outlineLevel="2" spans="1:24">
      <c r="A42" s="395" t="s">
        <v>2316</v>
      </c>
      <c r="B42" s="428" t="s">
        <v>2295</v>
      </c>
      <c r="C42" s="429" t="str">
        <f t="shared" si="4"/>
        <v>石嘴山市深阳蓝光市政工程有限公司</v>
      </c>
      <c r="D42" s="448" t="s">
        <v>2317</v>
      </c>
      <c r="E42" s="449" t="s">
        <v>2316</v>
      </c>
      <c r="F42" s="468" t="s">
        <v>2318</v>
      </c>
      <c r="G42" s="449"/>
      <c r="H42" s="449"/>
      <c r="I42" s="450"/>
      <c r="J42" s="450"/>
      <c r="K42" s="451"/>
      <c r="X42" s="501" t="b">
        <f t="shared" si="1"/>
        <v>1</v>
      </c>
    </row>
    <row r="43" s="395" customFormat="1" outlineLevel="2" spans="1:24">
      <c r="A43" s="395" t="s">
        <v>2315</v>
      </c>
      <c r="B43" s="428" t="s">
        <v>2295</v>
      </c>
      <c r="C43" s="429" t="str">
        <f t="shared" si="4"/>
        <v>石嘴山市深阳蓝光市政工程有限公司</v>
      </c>
      <c r="D43" s="448" t="s">
        <v>2317</v>
      </c>
      <c r="E43" s="149" t="s">
        <v>2315</v>
      </c>
      <c r="F43" s="469"/>
      <c r="G43" s="470"/>
      <c r="H43" s="471"/>
      <c r="I43" s="450"/>
      <c r="J43" s="450"/>
      <c r="K43" s="451"/>
      <c r="X43" s="501" t="b">
        <f t="shared" si="1"/>
        <v>1</v>
      </c>
    </row>
    <row r="44" s="395" customFormat="1" outlineLevel="2" spans="1:24">
      <c r="A44" s="395" t="s">
        <v>2319</v>
      </c>
      <c r="B44" s="428" t="s">
        <v>2295</v>
      </c>
      <c r="C44" s="429" t="str">
        <f t="shared" si="4"/>
        <v>石嘴山市深阳蓝光市政工程有限公司</v>
      </c>
      <c r="D44" s="448" t="s">
        <v>2320</v>
      </c>
      <c r="E44" s="449" t="s">
        <v>2319</v>
      </c>
      <c r="F44" s="468" t="s">
        <v>2321</v>
      </c>
      <c r="G44" s="449"/>
      <c r="H44" s="449"/>
      <c r="I44" s="450"/>
      <c r="J44" s="450"/>
      <c r="K44" s="451"/>
      <c r="X44" s="501" t="b">
        <f t="shared" si="1"/>
        <v>1</v>
      </c>
    </row>
    <row r="45" s="395" customFormat="1" outlineLevel="2" spans="1:24">
      <c r="A45" s="395" t="s">
        <v>2315</v>
      </c>
      <c r="B45" s="428" t="s">
        <v>2295</v>
      </c>
      <c r="C45" s="429" t="str">
        <f t="shared" si="4"/>
        <v>石嘴山市深阳蓝光市政工程有限公司</v>
      </c>
      <c r="D45" s="448" t="s">
        <v>2320</v>
      </c>
      <c r="E45" s="149" t="s">
        <v>2315</v>
      </c>
      <c r="F45" s="469"/>
      <c r="G45" s="469"/>
      <c r="H45" s="469"/>
      <c r="I45" s="450"/>
      <c r="J45" s="450"/>
      <c r="K45" s="451"/>
      <c r="X45" s="501" t="b">
        <f t="shared" si="1"/>
        <v>1</v>
      </c>
    </row>
    <row r="46" s="395" customFormat="1" spans="1:24">
      <c r="A46" s="395" t="s">
        <v>1569</v>
      </c>
      <c r="B46" s="472" t="s">
        <v>2322</v>
      </c>
      <c r="C46" s="429" t="str">
        <f t="shared" si="4"/>
        <v>石嘴山市深阳蓝光市政工程有限公司</v>
      </c>
      <c r="D46" s="473" t="s">
        <v>2323</v>
      </c>
      <c r="E46" s="65" t="s">
        <v>2324</v>
      </c>
      <c r="H46" s="451"/>
      <c r="I46" s="450"/>
      <c r="J46" s="450"/>
      <c r="K46" s="451"/>
      <c r="L46" s="499"/>
      <c r="M46" s="499"/>
      <c r="N46" s="499"/>
      <c r="X46" s="501" t="b">
        <f t="shared" si="1"/>
        <v>1</v>
      </c>
    </row>
    <row r="47" s="396" customFormat="1" ht="15" customHeight="1" outlineLevel="2" spans="1:24">
      <c r="A47" s="396" t="s">
        <v>2325</v>
      </c>
      <c r="B47" s="472" t="s">
        <v>2322</v>
      </c>
      <c r="C47" s="429" t="str">
        <f t="shared" si="4"/>
        <v>石嘴山市深阳蓝光市政工程有限公司</v>
      </c>
      <c r="D47" s="473" t="s">
        <v>2323</v>
      </c>
      <c r="E47" s="474" t="s">
        <v>2326</v>
      </c>
      <c r="F47" s="474" t="s">
        <v>373</v>
      </c>
      <c r="G47" s="475" t="s">
        <v>1570</v>
      </c>
      <c r="I47" s="450"/>
      <c r="J47" s="450"/>
      <c r="L47" s="500"/>
      <c r="X47" s="501" t="b">
        <f t="shared" si="1"/>
        <v>1</v>
      </c>
    </row>
    <row r="48" s="396" customFormat="1" ht="15" customHeight="1" outlineLevel="2" spans="1:24">
      <c r="A48" s="396" t="s">
        <v>375</v>
      </c>
      <c r="B48" s="472" t="s">
        <v>2322</v>
      </c>
      <c r="C48" s="429" t="str">
        <f t="shared" si="4"/>
        <v>石嘴山市深阳蓝光市政工程有限公司</v>
      </c>
      <c r="D48" s="473" t="s">
        <v>2323</v>
      </c>
      <c r="E48" s="476" t="s">
        <v>1571</v>
      </c>
      <c r="F48" s="132"/>
      <c r="G48" s="477">
        <f>报表附注合并期初用!E100</f>
        <v>0</v>
      </c>
      <c r="X48" s="501" t="b">
        <f t="shared" si="1"/>
        <v>0</v>
      </c>
    </row>
    <row r="49" s="396" customFormat="1" ht="15" customHeight="1" outlineLevel="2" spans="1:24">
      <c r="A49" s="396" t="s">
        <v>377</v>
      </c>
      <c r="B49" s="472" t="s">
        <v>2322</v>
      </c>
      <c r="C49" s="429" t="str">
        <f t="shared" si="4"/>
        <v>石嘴山市深阳蓝光市政工程有限公司</v>
      </c>
      <c r="D49" s="473" t="s">
        <v>2323</v>
      </c>
      <c r="E49" s="476" t="s">
        <v>1572</v>
      </c>
      <c r="F49" s="132"/>
      <c r="G49" s="477">
        <f>报表附注合并期初用!E101</f>
        <v>0</v>
      </c>
      <c r="X49" s="501" t="b">
        <f t="shared" si="1"/>
        <v>0</v>
      </c>
    </row>
    <row r="50" s="396" customFormat="1" ht="21.75" customHeight="1" outlineLevel="2" spans="1:24">
      <c r="A50" s="396" t="s">
        <v>379</v>
      </c>
      <c r="B50" s="472" t="s">
        <v>2322</v>
      </c>
      <c r="C50" s="429" t="str">
        <f t="shared" si="4"/>
        <v>石嘴山市深阳蓝光市政工程有限公司</v>
      </c>
      <c r="D50" s="473" t="s">
        <v>2323</v>
      </c>
      <c r="E50" s="478" t="s">
        <v>1573</v>
      </c>
      <c r="F50" s="132"/>
      <c r="G50" s="477">
        <f>报表附注合并期初用!E102</f>
        <v>0</v>
      </c>
      <c r="X50" s="501" t="b">
        <f t="shared" si="1"/>
        <v>0</v>
      </c>
    </row>
    <row r="51" s="396" customFormat="1" ht="15" customHeight="1" outlineLevel="2" spans="1:24">
      <c r="A51" s="396" t="s">
        <v>381</v>
      </c>
      <c r="B51" s="472" t="s">
        <v>2322</v>
      </c>
      <c r="C51" s="429" t="str">
        <f t="shared" si="4"/>
        <v>石嘴山市深阳蓝光市政工程有限公司</v>
      </c>
      <c r="D51" s="473" t="s">
        <v>2323</v>
      </c>
      <c r="E51" s="476" t="s">
        <v>1574</v>
      </c>
      <c r="F51" s="132"/>
      <c r="G51" s="477">
        <f>报表附注合并期初用!E103</f>
        <v>0</v>
      </c>
      <c r="X51" s="501" t="b">
        <f t="shared" si="1"/>
        <v>0</v>
      </c>
    </row>
    <row r="52" s="396" customFormat="1" ht="15" customHeight="1" outlineLevel="2" spans="2:24">
      <c r="B52" s="472"/>
      <c r="C52" s="479"/>
      <c r="D52" s="473"/>
      <c r="E52" s="476" t="s">
        <v>1575</v>
      </c>
      <c r="F52" s="132"/>
      <c r="G52" s="477">
        <f>报表附注合并期初用!E104</f>
        <v>0</v>
      </c>
      <c r="X52" s="420"/>
    </row>
    <row r="53" s="396" customFormat="1" ht="15" customHeight="1" outlineLevel="2" spans="1:24">
      <c r="A53" s="396" t="s">
        <v>2327</v>
      </c>
      <c r="B53" s="472" t="s">
        <v>2322</v>
      </c>
      <c r="C53" s="429" t="str">
        <f>$G$1</f>
        <v>石嘴山市深阳蓝光市政工程有限公司</v>
      </c>
      <c r="D53" s="473" t="s">
        <v>2323</v>
      </c>
      <c r="E53" s="476" t="s">
        <v>1576</v>
      </c>
      <c r="F53" s="132"/>
      <c r="G53" s="477">
        <f>报表附注合并期初用!E105</f>
        <v>0</v>
      </c>
      <c r="X53" s="501" t="b">
        <f t="shared" si="1"/>
        <v>0</v>
      </c>
    </row>
    <row r="54" s="396" customFormat="1" ht="15" customHeight="1" outlineLevel="2" spans="1:24">
      <c r="A54" s="396" t="s">
        <v>1577</v>
      </c>
      <c r="B54" s="472" t="s">
        <v>2322</v>
      </c>
      <c r="C54" s="429" t="str">
        <f>$G$1</f>
        <v>石嘴山市深阳蓝光市政工程有限公司</v>
      </c>
      <c r="D54" s="473" t="s">
        <v>2323</v>
      </c>
      <c r="E54" s="474" t="s">
        <v>2328</v>
      </c>
      <c r="F54" s="480">
        <f>SUM(F48:F53)</f>
        <v>0</v>
      </c>
      <c r="G54" s="480">
        <f>SUM(G48:G53)</f>
        <v>0</v>
      </c>
      <c r="X54" s="501" t="b">
        <f t="shared" si="1"/>
        <v>1</v>
      </c>
    </row>
    <row r="55" s="396" customFormat="1" ht="15" customHeight="1" outlineLevel="2" spans="1:24">
      <c r="A55" s="396" t="s">
        <v>1444</v>
      </c>
      <c r="B55" s="472" t="s">
        <v>2322</v>
      </c>
      <c r="C55" s="429" t="str">
        <f>$G$1</f>
        <v>石嘴山市深阳蓝光市政工程有限公司</v>
      </c>
      <c r="D55" s="473" t="s">
        <v>2323</v>
      </c>
      <c r="E55" s="444" t="s">
        <v>1444</v>
      </c>
      <c r="F55" s="481">
        <f>审定资负表!C8</f>
        <v>0</v>
      </c>
      <c r="G55" s="481">
        <f>审定资负表!D8</f>
        <v>0</v>
      </c>
      <c r="X55" s="501" t="b">
        <f t="shared" si="1"/>
        <v>1</v>
      </c>
    </row>
    <row r="56" s="396" customFormat="1" ht="15" customHeight="1" outlineLevel="1" collapsed="1" spans="1:24">
      <c r="A56" s="396" t="s">
        <v>1394</v>
      </c>
      <c r="B56" s="472" t="s">
        <v>2322</v>
      </c>
      <c r="C56" s="429" t="str">
        <f>$G$1</f>
        <v>石嘴山市深阳蓝光市政工程有限公司</v>
      </c>
      <c r="D56" s="473" t="s">
        <v>2323</v>
      </c>
      <c r="E56" s="447" t="s">
        <v>1394</v>
      </c>
      <c r="F56" s="87">
        <f>ROUND(F54-F55,2)</f>
        <v>0</v>
      </c>
      <c r="G56" s="87">
        <f>ROUND(G54-G55,2)</f>
        <v>0</v>
      </c>
      <c r="X56" s="501" t="b">
        <f t="shared" si="1"/>
        <v>1</v>
      </c>
    </row>
    <row r="57" s="396" customFormat="1" ht="15" hidden="1" customHeight="1" outlineLevel="2" spans="2:24">
      <c r="B57" s="472"/>
      <c r="C57" s="479"/>
      <c r="D57" s="473"/>
      <c r="E57" s="482" t="s">
        <v>2329</v>
      </c>
      <c r="X57" s="420"/>
    </row>
    <row r="58" s="396" customFormat="1" ht="15" hidden="1" customHeight="1" outlineLevel="2" spans="2:24">
      <c r="B58" s="472"/>
      <c r="C58" s="479"/>
      <c r="D58" s="473"/>
      <c r="E58" s="483"/>
      <c r="F58" s="483"/>
      <c r="G58" s="483"/>
      <c r="X58" s="420"/>
    </row>
    <row r="59" s="396" customFormat="1" ht="15" hidden="1" customHeight="1" outlineLevel="2" spans="2:24">
      <c r="B59" s="472"/>
      <c r="C59" s="479"/>
      <c r="D59" s="473"/>
      <c r="E59" s="483"/>
      <c r="F59" s="483"/>
      <c r="G59" s="483"/>
      <c r="X59" s="420"/>
    </row>
    <row r="60" s="396" customFormat="1" ht="15" hidden="1" customHeight="1" outlineLevel="2" spans="1:24">
      <c r="A60" s="396" t="s">
        <v>2330</v>
      </c>
      <c r="B60" s="472" t="s">
        <v>2322</v>
      </c>
      <c r="C60" s="429" t="str">
        <f t="shared" ref="C60:C91" si="5">$G$1</f>
        <v>石嘴山市深阳蓝光市政工程有限公司</v>
      </c>
      <c r="D60" s="484" t="s">
        <v>2331</v>
      </c>
      <c r="E60" s="485" t="s">
        <v>2332</v>
      </c>
      <c r="F60" s="149"/>
      <c r="G60" s="149"/>
      <c r="H60" s="149"/>
      <c r="I60" s="149"/>
      <c r="J60" s="149"/>
      <c r="X60" s="501" t="b">
        <f t="shared" si="1"/>
        <v>1</v>
      </c>
    </row>
    <row r="61" s="396" customFormat="1" ht="25.5" hidden="1" customHeight="1" outlineLevel="2" spans="1:24">
      <c r="A61" s="396" t="s">
        <v>60</v>
      </c>
      <c r="B61" s="472" t="s">
        <v>2322</v>
      </c>
      <c r="C61" s="429" t="str">
        <f t="shared" si="5"/>
        <v>石嘴山市深阳蓝光市政工程有限公司</v>
      </c>
      <c r="D61" s="484" t="s">
        <v>2331</v>
      </c>
      <c r="E61" s="474" t="s">
        <v>60</v>
      </c>
      <c r="F61" s="474" t="s">
        <v>2333</v>
      </c>
      <c r="G61" s="474" t="s">
        <v>2016</v>
      </c>
      <c r="H61" s="149"/>
      <c r="I61" s="149"/>
      <c r="J61" s="149"/>
      <c r="X61" s="501" t="b">
        <f t="shared" si="1"/>
        <v>1</v>
      </c>
    </row>
    <row r="62" s="396" customFormat="1" hidden="1" customHeight="1" outlineLevel="2" spans="2:24">
      <c r="B62" s="472" t="s">
        <v>2322</v>
      </c>
      <c r="C62" s="429" t="str">
        <f t="shared" si="5"/>
        <v>石嘴山市深阳蓝光市政工程有限公司</v>
      </c>
      <c r="D62" s="484" t="s">
        <v>2331</v>
      </c>
      <c r="E62" s="486"/>
      <c r="F62" s="486"/>
      <c r="G62" s="486"/>
      <c r="H62" s="149"/>
      <c r="I62" s="149"/>
      <c r="J62" s="149"/>
      <c r="X62" s="501" t="b">
        <f t="shared" si="1"/>
        <v>1</v>
      </c>
    </row>
    <row r="63" s="396" customFormat="1" hidden="1" customHeight="1" outlineLevel="2" spans="2:24">
      <c r="B63" s="472" t="s">
        <v>2322</v>
      </c>
      <c r="C63" s="429" t="str">
        <f t="shared" si="5"/>
        <v>石嘴山市深阳蓝光市政工程有限公司</v>
      </c>
      <c r="D63" s="484" t="s">
        <v>2331</v>
      </c>
      <c r="E63" s="486"/>
      <c r="F63" s="486"/>
      <c r="G63" s="486"/>
      <c r="H63" s="149"/>
      <c r="I63" s="149"/>
      <c r="J63" s="149"/>
      <c r="X63" s="501" t="b">
        <f t="shared" si="1"/>
        <v>1</v>
      </c>
    </row>
    <row r="64" s="396" customFormat="1" hidden="1" customHeight="1" outlineLevel="2" spans="2:24">
      <c r="B64" s="472" t="s">
        <v>2322</v>
      </c>
      <c r="C64" s="429" t="str">
        <f t="shared" si="5"/>
        <v>石嘴山市深阳蓝光市政工程有限公司</v>
      </c>
      <c r="D64" s="484" t="s">
        <v>2331</v>
      </c>
      <c r="E64" s="487"/>
      <c r="F64" s="487"/>
      <c r="G64" s="487"/>
      <c r="H64" s="149"/>
      <c r="I64" s="149"/>
      <c r="J64" s="149"/>
      <c r="X64" s="501" t="b">
        <f t="shared" si="1"/>
        <v>1</v>
      </c>
    </row>
    <row r="65" s="396" customFormat="1" hidden="1" customHeight="1" outlineLevel="2" spans="2:24">
      <c r="B65" s="472" t="s">
        <v>2322</v>
      </c>
      <c r="C65" s="429" t="str">
        <f t="shared" si="5"/>
        <v>石嘴山市深阳蓝光市政工程有限公司</v>
      </c>
      <c r="D65" s="484" t="s">
        <v>2331</v>
      </c>
      <c r="E65" s="487"/>
      <c r="F65" s="487"/>
      <c r="G65" s="487"/>
      <c r="H65" s="149"/>
      <c r="I65" s="149"/>
      <c r="J65" s="149"/>
      <c r="X65" s="501" t="b">
        <f t="shared" si="1"/>
        <v>1</v>
      </c>
    </row>
    <row r="66" s="396" customFormat="1" hidden="1" customHeight="1" outlineLevel="2" spans="2:24">
      <c r="B66" s="472" t="s">
        <v>2322</v>
      </c>
      <c r="C66" s="429" t="str">
        <f t="shared" si="5"/>
        <v>石嘴山市深阳蓝光市政工程有限公司</v>
      </c>
      <c r="D66" s="484" t="s">
        <v>2331</v>
      </c>
      <c r="E66" s="487"/>
      <c r="F66" s="487"/>
      <c r="G66" s="487"/>
      <c r="H66" s="149"/>
      <c r="I66" s="149"/>
      <c r="J66" s="149"/>
      <c r="X66" s="501" t="b">
        <f t="shared" si="1"/>
        <v>1</v>
      </c>
    </row>
    <row r="67" s="396" customFormat="1" ht="15" hidden="1" customHeight="1" outlineLevel="2" spans="2:24">
      <c r="B67" s="472" t="s">
        <v>2322</v>
      </c>
      <c r="C67" s="429" t="str">
        <f t="shared" si="5"/>
        <v>石嘴山市深阳蓝光市政工程有限公司</v>
      </c>
      <c r="D67" s="484" t="s">
        <v>2331</v>
      </c>
      <c r="E67" s="149"/>
      <c r="F67" s="149"/>
      <c r="G67" s="149"/>
      <c r="H67" s="149"/>
      <c r="I67" s="149"/>
      <c r="J67" s="149"/>
      <c r="X67" s="501" t="b">
        <f t="shared" si="1"/>
        <v>1</v>
      </c>
    </row>
    <row r="68" s="396" customFormat="1" ht="15" hidden="1" customHeight="1" outlineLevel="2" spans="2:24">
      <c r="B68" s="472" t="s">
        <v>2322</v>
      </c>
      <c r="C68" s="429" t="str">
        <f t="shared" si="5"/>
        <v>石嘴山市深阳蓝光市政工程有限公司</v>
      </c>
      <c r="D68" s="484"/>
      <c r="E68" s="149"/>
      <c r="F68" s="149"/>
      <c r="G68" s="149"/>
      <c r="H68" s="149"/>
      <c r="I68" s="149"/>
      <c r="J68" s="149"/>
      <c r="X68" s="501" t="b">
        <f t="shared" si="1"/>
        <v>1</v>
      </c>
    </row>
    <row r="69" s="396" customFormat="1" ht="15" hidden="1" customHeight="1" outlineLevel="2" spans="1:24">
      <c r="A69" s="396" t="s">
        <v>2315</v>
      </c>
      <c r="B69" s="472" t="s">
        <v>2322</v>
      </c>
      <c r="C69" s="429" t="str">
        <f t="shared" si="5"/>
        <v>石嘴山市深阳蓝光市政工程有限公司</v>
      </c>
      <c r="D69" s="484"/>
      <c r="E69" s="149" t="s">
        <v>2334</v>
      </c>
      <c r="F69" s="502"/>
      <c r="G69" s="502"/>
      <c r="H69" s="149"/>
      <c r="I69" s="149"/>
      <c r="J69" s="149"/>
      <c r="X69" s="501" t="b">
        <f t="shared" si="1"/>
        <v>1</v>
      </c>
    </row>
    <row r="70" s="396" customFormat="1" ht="15" hidden="1" customHeight="1" outlineLevel="2" spans="2:24">
      <c r="B70" s="472" t="s">
        <v>2322</v>
      </c>
      <c r="C70" s="429" t="str">
        <f t="shared" si="5"/>
        <v>石嘴山市深阳蓝光市政工程有限公司</v>
      </c>
      <c r="D70" s="448"/>
      <c r="E70" s="149"/>
      <c r="F70" s="149"/>
      <c r="G70" s="149"/>
      <c r="H70" s="149"/>
      <c r="I70" s="149"/>
      <c r="J70" s="149"/>
      <c r="X70" s="501" t="b">
        <f t="shared" si="1"/>
        <v>1</v>
      </c>
    </row>
    <row r="71" s="396" customFormat="1" ht="15" customHeight="1" spans="1:24">
      <c r="A71" s="396" t="s">
        <v>1578</v>
      </c>
      <c r="B71" s="428" t="s">
        <v>2335</v>
      </c>
      <c r="C71" s="429" t="str">
        <f t="shared" si="5"/>
        <v>石嘴山市深阳蓝光市政工程有限公司</v>
      </c>
      <c r="D71" s="503" t="s">
        <v>2336</v>
      </c>
      <c r="E71" s="65" t="s">
        <v>2337</v>
      </c>
      <c r="F71" s="149"/>
      <c r="G71" s="149"/>
      <c r="H71" s="149"/>
      <c r="I71" s="149"/>
      <c r="J71" s="149"/>
      <c r="X71" s="501" t="b">
        <f t="shared" si="1"/>
        <v>1</v>
      </c>
    </row>
    <row r="72" s="396" customFormat="1" ht="15" customHeight="1" outlineLevel="2" spans="1:24">
      <c r="A72" s="396" t="s">
        <v>2336</v>
      </c>
      <c r="B72" s="428" t="s">
        <v>2335</v>
      </c>
      <c r="C72" s="429" t="str">
        <f t="shared" si="5"/>
        <v>石嘴山市深阳蓝光市政工程有限公司</v>
      </c>
      <c r="D72" s="504" t="s">
        <v>2338</v>
      </c>
      <c r="E72" s="505" t="s">
        <v>2339</v>
      </c>
      <c r="F72" s="506"/>
      <c r="G72" s="506"/>
      <c r="H72" s="507" t="s">
        <v>2340</v>
      </c>
      <c r="I72" s="538"/>
      <c r="J72" s="149"/>
      <c r="X72" s="501" t="b">
        <f t="shared" ref="X72:X135" si="6">EXACT(A72,E72)</f>
        <v>1</v>
      </c>
    </row>
    <row r="73" s="396" customFormat="1" ht="15" customHeight="1" outlineLevel="2" spans="1:24">
      <c r="A73" s="396" t="s">
        <v>390</v>
      </c>
      <c r="B73" s="428" t="s">
        <v>2335</v>
      </c>
      <c r="C73" s="429" t="str">
        <f t="shared" si="5"/>
        <v>石嘴山市深阳蓝光市政工程有限公司</v>
      </c>
      <c r="D73" s="504" t="s">
        <v>2338</v>
      </c>
      <c r="E73" s="508" t="s">
        <v>390</v>
      </c>
      <c r="F73" s="508" t="s">
        <v>315</v>
      </c>
      <c r="G73" s="508" t="s">
        <v>1579</v>
      </c>
      <c r="H73" s="509" t="s">
        <v>2341</v>
      </c>
      <c r="I73" s="539"/>
      <c r="J73" s="149"/>
      <c r="X73" s="501" t="b">
        <f t="shared" si="6"/>
        <v>1</v>
      </c>
    </row>
    <row r="74" s="396" customFormat="1" ht="15" customHeight="1" outlineLevel="2" spans="1:24">
      <c r="A74" s="396" t="s">
        <v>391</v>
      </c>
      <c r="B74" s="428" t="s">
        <v>2335</v>
      </c>
      <c r="C74" s="429" t="str">
        <f t="shared" si="5"/>
        <v>石嘴山市深阳蓝光市政工程有限公司</v>
      </c>
      <c r="D74" s="504" t="s">
        <v>2338</v>
      </c>
      <c r="E74" s="510" t="s">
        <v>391</v>
      </c>
      <c r="F74" s="132"/>
      <c r="G74" s="477">
        <f>报表附注合并期初用!E119</f>
        <v>0</v>
      </c>
      <c r="H74" s="511"/>
      <c r="I74" s="512"/>
      <c r="J74" s="149"/>
      <c r="X74" s="501" t="b">
        <f t="shared" si="6"/>
        <v>1</v>
      </c>
    </row>
    <row r="75" s="396" customFormat="1" ht="15" customHeight="1" outlineLevel="2" spans="1:24">
      <c r="A75" s="396" t="s">
        <v>393</v>
      </c>
      <c r="B75" s="428" t="s">
        <v>2335</v>
      </c>
      <c r="C75" s="429" t="str">
        <f t="shared" si="5"/>
        <v>石嘴山市深阳蓝光市政工程有限公司</v>
      </c>
      <c r="D75" s="504" t="s">
        <v>2338</v>
      </c>
      <c r="E75" s="510" t="s">
        <v>393</v>
      </c>
      <c r="F75" s="132"/>
      <c r="G75" s="477">
        <f>报表附注合并期初用!E120</f>
        <v>0</v>
      </c>
      <c r="H75" s="512"/>
      <c r="I75" s="512"/>
      <c r="J75" s="149"/>
      <c r="X75" s="501" t="b">
        <f t="shared" si="6"/>
        <v>1</v>
      </c>
    </row>
    <row r="76" s="396" customFormat="1" ht="15" customHeight="1" outlineLevel="2" spans="1:24">
      <c r="A76" s="396" t="s">
        <v>1580</v>
      </c>
      <c r="B76" s="428" t="s">
        <v>2335</v>
      </c>
      <c r="C76" s="429" t="str">
        <f t="shared" si="5"/>
        <v>石嘴山市深阳蓝光市政工程有限公司</v>
      </c>
      <c r="D76" s="504" t="s">
        <v>2338</v>
      </c>
      <c r="E76" s="508" t="s">
        <v>1580</v>
      </c>
      <c r="F76" s="513">
        <f>F74+F75</f>
        <v>0</v>
      </c>
      <c r="G76" s="513">
        <f>G74+G75</f>
        <v>0</v>
      </c>
      <c r="H76" s="514">
        <f>SUM(H74:H75)</f>
        <v>0</v>
      </c>
      <c r="I76" s="539"/>
      <c r="J76" s="149"/>
      <c r="X76" s="501" t="b">
        <f t="shared" si="6"/>
        <v>1</v>
      </c>
    </row>
    <row r="77" s="396" customFormat="1" ht="15" customHeight="1" outlineLevel="2" spans="1:24">
      <c r="A77" s="396" t="s">
        <v>1444</v>
      </c>
      <c r="B77" s="428" t="s">
        <v>2335</v>
      </c>
      <c r="C77" s="429" t="str">
        <f t="shared" si="5"/>
        <v>石嘴山市深阳蓝光市政工程有限公司</v>
      </c>
      <c r="D77" s="504" t="s">
        <v>2342</v>
      </c>
      <c r="E77" s="444" t="s">
        <v>1444</v>
      </c>
      <c r="F77" s="481">
        <f>审定资负表!C9</f>
        <v>0</v>
      </c>
      <c r="G77" s="481">
        <f>审定资负表!D9</f>
        <v>0</v>
      </c>
      <c r="X77" s="501" t="b">
        <f t="shared" si="6"/>
        <v>1</v>
      </c>
    </row>
    <row r="78" s="396" customFormat="1" ht="15" customHeight="1" outlineLevel="1" collapsed="1" spans="1:24">
      <c r="A78" s="396" t="s">
        <v>1394</v>
      </c>
      <c r="B78" s="428" t="s">
        <v>2335</v>
      </c>
      <c r="C78" s="429" t="str">
        <f t="shared" si="5"/>
        <v>石嘴山市深阳蓝光市政工程有限公司</v>
      </c>
      <c r="D78" s="504" t="s">
        <v>2342</v>
      </c>
      <c r="E78" s="447" t="s">
        <v>2343</v>
      </c>
      <c r="F78" s="87">
        <f>ROUND(F76-F77,2)</f>
        <v>0</v>
      </c>
      <c r="G78" s="87">
        <f>ROUND(G76-G77,2)</f>
        <v>0</v>
      </c>
      <c r="X78" s="501" t="b">
        <f t="shared" si="6"/>
        <v>1</v>
      </c>
    </row>
    <row r="79" s="396" customFormat="1" ht="15" hidden="1" customHeight="1" outlineLevel="2" spans="2:24">
      <c r="B79" s="428" t="s">
        <v>2335</v>
      </c>
      <c r="C79" s="429" t="str">
        <f t="shared" si="5"/>
        <v>石嘴山市深阳蓝光市政工程有限公司</v>
      </c>
      <c r="D79" s="504" t="s">
        <v>2342</v>
      </c>
      <c r="E79" s="515"/>
      <c r="F79" s="515"/>
      <c r="G79" s="515"/>
      <c r="H79" s="149"/>
      <c r="I79" s="149"/>
      <c r="J79" s="149"/>
      <c r="X79" s="501" t="b">
        <f t="shared" si="6"/>
        <v>1</v>
      </c>
    </row>
    <row r="80" s="396" customFormat="1" ht="15" hidden="1" customHeight="1" outlineLevel="2" spans="1:24">
      <c r="A80" s="396" t="s">
        <v>2344</v>
      </c>
      <c r="B80" s="428" t="s">
        <v>2335</v>
      </c>
      <c r="C80" s="429" t="str">
        <f t="shared" si="5"/>
        <v>石嘴山市深阳蓝光市政工程有限公司</v>
      </c>
      <c r="D80" s="516" t="s">
        <v>2345</v>
      </c>
      <c r="E80" s="506" t="s">
        <v>2346</v>
      </c>
      <c r="F80" s="506"/>
      <c r="G80" s="506"/>
      <c r="H80" s="506"/>
      <c r="I80" s="506"/>
      <c r="J80" s="149"/>
      <c r="X80" s="501" t="b">
        <f t="shared" si="6"/>
        <v>1</v>
      </c>
    </row>
    <row r="81" s="396" customFormat="1" ht="15" hidden="1" customHeight="1" outlineLevel="2" spans="1:24">
      <c r="A81" s="396" t="s">
        <v>390</v>
      </c>
      <c r="B81" s="428" t="s">
        <v>2335</v>
      </c>
      <c r="C81" s="429" t="str">
        <f t="shared" si="5"/>
        <v>石嘴山市深阳蓝光市政工程有限公司</v>
      </c>
      <c r="D81" s="516" t="s">
        <v>2345</v>
      </c>
      <c r="E81" s="508" t="s">
        <v>390</v>
      </c>
      <c r="F81" s="508" t="s">
        <v>365</v>
      </c>
      <c r="G81" s="508" t="s">
        <v>2347</v>
      </c>
      <c r="H81" s="508" t="s">
        <v>398</v>
      </c>
      <c r="I81" s="508" t="s">
        <v>643</v>
      </c>
      <c r="J81" s="508" t="s">
        <v>353</v>
      </c>
      <c r="X81" s="501" t="b">
        <f t="shared" si="6"/>
        <v>1</v>
      </c>
    </row>
    <row r="82" s="396" customFormat="1" ht="15" hidden="1" customHeight="1" outlineLevel="2" spans="1:24">
      <c r="A82" s="396" t="s">
        <v>391</v>
      </c>
      <c r="B82" s="428" t="s">
        <v>2335</v>
      </c>
      <c r="C82" s="429" t="str">
        <f t="shared" si="5"/>
        <v>石嘴山市深阳蓝光市政工程有限公司</v>
      </c>
      <c r="D82" s="516" t="s">
        <v>2348</v>
      </c>
      <c r="E82" s="510" t="s">
        <v>391</v>
      </c>
      <c r="F82" s="517">
        <f>SUM(F83:F88)</f>
        <v>0</v>
      </c>
      <c r="G82" s="518"/>
      <c r="H82" s="518"/>
      <c r="I82" s="518"/>
      <c r="J82" s="518"/>
      <c r="X82" s="501" t="b">
        <f t="shared" si="6"/>
        <v>1</v>
      </c>
    </row>
    <row r="83" s="396" customFormat="1" ht="15" hidden="1" customHeight="1" outlineLevel="2" spans="2:24">
      <c r="B83" s="428" t="s">
        <v>2335</v>
      </c>
      <c r="C83" s="429" t="str">
        <f t="shared" si="5"/>
        <v>石嘴山市深阳蓝光市政工程有限公司</v>
      </c>
      <c r="D83" s="516" t="s">
        <v>2348</v>
      </c>
      <c r="E83" s="518"/>
      <c r="F83" s="518"/>
      <c r="G83" s="518"/>
      <c r="H83" s="518"/>
      <c r="I83" s="518"/>
      <c r="J83" s="518"/>
      <c r="X83" s="501" t="b">
        <f t="shared" si="6"/>
        <v>1</v>
      </c>
    </row>
    <row r="84" s="396" customFormat="1" ht="15" hidden="1" customHeight="1" outlineLevel="2" spans="2:24">
      <c r="B84" s="428" t="s">
        <v>2335</v>
      </c>
      <c r="C84" s="429" t="str">
        <f t="shared" si="5"/>
        <v>石嘴山市深阳蓝光市政工程有限公司</v>
      </c>
      <c r="D84" s="516" t="s">
        <v>2348</v>
      </c>
      <c r="E84" s="518"/>
      <c r="F84" s="518"/>
      <c r="G84" s="518"/>
      <c r="H84" s="518"/>
      <c r="I84" s="518"/>
      <c r="J84" s="518"/>
      <c r="X84" s="501" t="b">
        <f t="shared" si="6"/>
        <v>1</v>
      </c>
    </row>
    <row r="85" s="396" customFormat="1" ht="15" hidden="1" customHeight="1" outlineLevel="2" spans="2:24">
      <c r="B85" s="428" t="s">
        <v>2335</v>
      </c>
      <c r="C85" s="429" t="str">
        <f t="shared" si="5"/>
        <v>石嘴山市深阳蓝光市政工程有限公司</v>
      </c>
      <c r="D85" s="516" t="s">
        <v>2348</v>
      </c>
      <c r="E85" s="518"/>
      <c r="F85" s="518"/>
      <c r="G85" s="518"/>
      <c r="H85" s="518"/>
      <c r="I85" s="518"/>
      <c r="J85" s="518"/>
      <c r="X85" s="501" t="b">
        <f t="shared" si="6"/>
        <v>1</v>
      </c>
    </row>
    <row r="86" s="396" customFormat="1" ht="15" hidden="1" customHeight="1" outlineLevel="2" spans="2:24">
      <c r="B86" s="428" t="s">
        <v>2335</v>
      </c>
      <c r="C86" s="429" t="str">
        <f t="shared" si="5"/>
        <v>石嘴山市深阳蓝光市政工程有限公司</v>
      </c>
      <c r="D86" s="516" t="s">
        <v>2348</v>
      </c>
      <c r="E86" s="518"/>
      <c r="F86" s="518"/>
      <c r="G86" s="518"/>
      <c r="H86" s="518"/>
      <c r="I86" s="518"/>
      <c r="J86" s="518"/>
      <c r="X86" s="501" t="b">
        <f t="shared" si="6"/>
        <v>1</v>
      </c>
    </row>
    <row r="87" s="396" customFormat="1" ht="15" hidden="1" customHeight="1" outlineLevel="2" spans="2:24">
      <c r="B87" s="428" t="s">
        <v>2335</v>
      </c>
      <c r="C87" s="429" t="str">
        <f t="shared" si="5"/>
        <v>石嘴山市深阳蓝光市政工程有限公司</v>
      </c>
      <c r="D87" s="516" t="s">
        <v>2348</v>
      </c>
      <c r="E87" s="518"/>
      <c r="F87" s="518"/>
      <c r="G87" s="518"/>
      <c r="H87" s="518"/>
      <c r="I87" s="518"/>
      <c r="J87" s="518"/>
      <c r="X87" s="501" t="b">
        <f t="shared" si="6"/>
        <v>1</v>
      </c>
    </row>
    <row r="88" s="396" customFormat="1" ht="15" hidden="1" customHeight="1" outlineLevel="2" spans="2:24">
      <c r="B88" s="428" t="s">
        <v>2335</v>
      </c>
      <c r="C88" s="429" t="str">
        <f t="shared" si="5"/>
        <v>石嘴山市深阳蓝光市政工程有限公司</v>
      </c>
      <c r="D88" s="516" t="s">
        <v>2348</v>
      </c>
      <c r="E88" s="518"/>
      <c r="F88" s="518"/>
      <c r="G88" s="518"/>
      <c r="H88" s="518"/>
      <c r="I88" s="518"/>
      <c r="J88" s="518"/>
      <c r="X88" s="501" t="b">
        <f t="shared" si="6"/>
        <v>1</v>
      </c>
    </row>
    <row r="89" s="396" customFormat="1" ht="15" hidden="1" customHeight="1" outlineLevel="2" spans="1:24">
      <c r="A89" s="396" t="s">
        <v>393</v>
      </c>
      <c r="B89" s="428" t="s">
        <v>2335</v>
      </c>
      <c r="C89" s="429" t="str">
        <f t="shared" si="5"/>
        <v>石嘴山市深阳蓝光市政工程有限公司</v>
      </c>
      <c r="D89" s="516" t="s">
        <v>2348</v>
      </c>
      <c r="E89" s="510" t="s">
        <v>393</v>
      </c>
      <c r="F89" s="517">
        <f>SUM(F90:F94)</f>
        <v>0</v>
      </c>
      <c r="G89" s="518"/>
      <c r="H89" s="518"/>
      <c r="I89" s="518"/>
      <c r="J89" s="518"/>
      <c r="X89" s="501" t="b">
        <f t="shared" si="6"/>
        <v>1</v>
      </c>
    </row>
    <row r="90" s="396" customFormat="1" ht="15" hidden="1" customHeight="1" outlineLevel="2" spans="2:24">
      <c r="B90" s="428" t="s">
        <v>2335</v>
      </c>
      <c r="C90" s="429" t="str">
        <f t="shared" si="5"/>
        <v>石嘴山市深阳蓝光市政工程有限公司</v>
      </c>
      <c r="D90" s="516" t="s">
        <v>2348</v>
      </c>
      <c r="E90" s="518"/>
      <c r="F90" s="518"/>
      <c r="G90" s="518"/>
      <c r="H90" s="518"/>
      <c r="I90" s="518"/>
      <c r="J90" s="518"/>
      <c r="X90" s="501" t="b">
        <f t="shared" si="6"/>
        <v>1</v>
      </c>
    </row>
    <row r="91" s="396" customFormat="1" ht="15" hidden="1" customHeight="1" outlineLevel="2" spans="2:24">
      <c r="B91" s="428" t="s">
        <v>2335</v>
      </c>
      <c r="C91" s="429" t="str">
        <f t="shared" si="5"/>
        <v>石嘴山市深阳蓝光市政工程有限公司</v>
      </c>
      <c r="D91" s="516" t="s">
        <v>2348</v>
      </c>
      <c r="E91" s="518"/>
      <c r="F91" s="518"/>
      <c r="G91" s="518"/>
      <c r="H91" s="518"/>
      <c r="I91" s="518"/>
      <c r="J91" s="518"/>
      <c r="X91" s="501" t="b">
        <f t="shared" si="6"/>
        <v>1</v>
      </c>
    </row>
    <row r="92" s="396" customFormat="1" ht="15" hidden="1" customHeight="1" outlineLevel="2" spans="2:24">
      <c r="B92" s="428" t="s">
        <v>2335</v>
      </c>
      <c r="C92" s="429" t="str">
        <f t="shared" ref="C92:C123" si="7">$G$1</f>
        <v>石嘴山市深阳蓝光市政工程有限公司</v>
      </c>
      <c r="D92" s="516" t="s">
        <v>2348</v>
      </c>
      <c r="E92" s="518"/>
      <c r="F92" s="518"/>
      <c r="G92" s="518"/>
      <c r="H92" s="518"/>
      <c r="I92" s="518"/>
      <c r="J92" s="518"/>
      <c r="X92" s="501" t="b">
        <f t="shared" si="6"/>
        <v>1</v>
      </c>
    </row>
    <row r="93" s="396" customFormat="1" ht="15" hidden="1" customHeight="1" outlineLevel="2" spans="2:24">
      <c r="B93" s="428" t="s">
        <v>2335</v>
      </c>
      <c r="C93" s="429" t="str">
        <f t="shared" si="7"/>
        <v>石嘴山市深阳蓝光市政工程有限公司</v>
      </c>
      <c r="D93" s="516" t="s">
        <v>2348</v>
      </c>
      <c r="E93" s="518"/>
      <c r="F93" s="518"/>
      <c r="G93" s="518"/>
      <c r="H93" s="518"/>
      <c r="I93" s="518"/>
      <c r="J93" s="518"/>
      <c r="X93" s="501" t="b">
        <f t="shared" si="6"/>
        <v>1</v>
      </c>
    </row>
    <row r="94" s="396" customFormat="1" ht="15" hidden="1" customHeight="1" outlineLevel="2" spans="2:24">
      <c r="B94" s="428" t="s">
        <v>2335</v>
      </c>
      <c r="C94" s="429" t="str">
        <f t="shared" si="7"/>
        <v>石嘴山市深阳蓝光市政工程有限公司</v>
      </c>
      <c r="D94" s="516" t="s">
        <v>2348</v>
      </c>
      <c r="E94" s="518"/>
      <c r="F94" s="518"/>
      <c r="G94" s="518"/>
      <c r="H94" s="518"/>
      <c r="I94" s="518"/>
      <c r="J94" s="518"/>
      <c r="X94" s="501" t="b">
        <f t="shared" si="6"/>
        <v>1</v>
      </c>
    </row>
    <row r="95" s="396" customFormat="1" ht="15" hidden="1" customHeight="1" outlineLevel="2" spans="1:24">
      <c r="A95" s="396" t="s">
        <v>1580</v>
      </c>
      <c r="B95" s="428" t="s">
        <v>2335</v>
      </c>
      <c r="C95" s="429" t="str">
        <f t="shared" si="7"/>
        <v>石嘴山市深阳蓝光市政工程有限公司</v>
      </c>
      <c r="D95" s="516" t="s">
        <v>2348</v>
      </c>
      <c r="E95" s="508" t="s">
        <v>1580</v>
      </c>
      <c r="F95" s="519">
        <v>0</v>
      </c>
      <c r="G95" s="518"/>
      <c r="H95" s="518"/>
      <c r="I95" s="518"/>
      <c r="J95" s="518"/>
      <c r="X95" s="501" t="b">
        <f t="shared" si="6"/>
        <v>1</v>
      </c>
    </row>
    <row r="96" s="396" customFormat="1" ht="15" hidden="1" customHeight="1" outlineLevel="2" spans="1:24">
      <c r="A96" s="396" t="s">
        <v>2349</v>
      </c>
      <c r="B96" s="428" t="s">
        <v>2335</v>
      </c>
      <c r="C96" s="429" t="str">
        <f t="shared" si="7"/>
        <v>石嘴山市深阳蓝光市政工程有限公司</v>
      </c>
      <c r="D96" s="516" t="s">
        <v>2348</v>
      </c>
      <c r="E96" s="520" t="s">
        <v>2350</v>
      </c>
      <c r="F96" s="520"/>
      <c r="G96" s="520"/>
      <c r="H96" s="520"/>
      <c r="I96" s="520"/>
      <c r="J96" s="149"/>
      <c r="X96" s="501" t="b">
        <f t="shared" si="6"/>
        <v>1</v>
      </c>
    </row>
    <row r="97" s="396" customFormat="1" ht="15" hidden="1" customHeight="1" outlineLevel="2" spans="2:24">
      <c r="B97" s="428" t="s">
        <v>2335</v>
      </c>
      <c r="C97" s="429" t="str">
        <f t="shared" si="7"/>
        <v>石嘴山市深阳蓝光市政工程有限公司</v>
      </c>
      <c r="D97" s="516" t="s">
        <v>2348</v>
      </c>
      <c r="E97" s="505"/>
      <c r="F97" s="505"/>
      <c r="G97" s="505"/>
      <c r="H97" s="505"/>
      <c r="I97" s="505"/>
      <c r="J97" s="149"/>
      <c r="X97" s="501" t="b">
        <f t="shared" si="6"/>
        <v>1</v>
      </c>
    </row>
    <row r="98" s="396" customFormat="1" ht="15" hidden="1" customHeight="1" outlineLevel="2" spans="1:24">
      <c r="A98" s="396" t="s">
        <v>2351</v>
      </c>
      <c r="B98" s="428" t="s">
        <v>2335</v>
      </c>
      <c r="C98" s="429" t="str">
        <f t="shared" si="7"/>
        <v>石嘴山市深阳蓝光市政工程有限公司</v>
      </c>
      <c r="D98" s="503" t="s">
        <v>2352</v>
      </c>
      <c r="E98" s="505" t="s">
        <v>2353</v>
      </c>
      <c r="F98" s="505"/>
      <c r="G98" s="505"/>
      <c r="H98" s="505"/>
      <c r="I98" s="505"/>
      <c r="J98" s="149"/>
      <c r="X98" s="501" t="b">
        <f t="shared" si="6"/>
        <v>1</v>
      </c>
    </row>
    <row r="99" s="396" customFormat="1" ht="15" hidden="1" customHeight="1" outlineLevel="2" spans="1:24">
      <c r="A99" s="396" t="s">
        <v>2347</v>
      </c>
      <c r="B99" s="428" t="s">
        <v>2335</v>
      </c>
      <c r="C99" s="429" t="str">
        <f t="shared" si="7"/>
        <v>石嘴山市深阳蓝光市政工程有限公司</v>
      </c>
      <c r="D99" s="503" t="s">
        <v>2352</v>
      </c>
      <c r="E99" s="128" t="s">
        <v>2347</v>
      </c>
      <c r="F99" s="128" t="s">
        <v>398</v>
      </c>
      <c r="G99" s="128" t="s">
        <v>643</v>
      </c>
      <c r="H99" s="128" t="s">
        <v>365</v>
      </c>
      <c r="I99" s="128" t="s">
        <v>353</v>
      </c>
      <c r="J99" s="149"/>
      <c r="X99" s="501" t="b">
        <f t="shared" si="6"/>
        <v>1</v>
      </c>
    </row>
    <row r="100" s="396" customFormat="1" ht="15" hidden="1" customHeight="1" outlineLevel="2" spans="1:24">
      <c r="A100" s="396" t="s">
        <v>2354</v>
      </c>
      <c r="B100" s="428" t="s">
        <v>2335</v>
      </c>
      <c r="C100" s="429" t="str">
        <f t="shared" si="7"/>
        <v>石嘴山市深阳蓝光市政工程有限公司</v>
      </c>
      <c r="D100" s="503" t="s">
        <v>2355</v>
      </c>
      <c r="E100" s="521" t="s">
        <v>2354</v>
      </c>
      <c r="F100" s="521"/>
      <c r="G100" s="521"/>
      <c r="H100" s="522">
        <f>SUM(H101:H108)</f>
        <v>0</v>
      </c>
      <c r="I100" s="521"/>
      <c r="J100" s="149"/>
      <c r="X100" s="501" t="b">
        <f t="shared" si="6"/>
        <v>1</v>
      </c>
    </row>
    <row r="101" s="396" customFormat="1" ht="15" hidden="1" customHeight="1" outlineLevel="2" spans="2:24">
      <c r="B101" s="428" t="s">
        <v>2335</v>
      </c>
      <c r="C101" s="429" t="str">
        <f t="shared" si="7"/>
        <v>石嘴山市深阳蓝光市政工程有限公司</v>
      </c>
      <c r="D101" s="503" t="s">
        <v>2355</v>
      </c>
      <c r="E101" s="518"/>
      <c r="F101" s="518"/>
      <c r="G101" s="518"/>
      <c r="H101" s="518"/>
      <c r="I101" s="518"/>
      <c r="J101" s="149"/>
      <c r="X101" s="501" t="b">
        <f t="shared" si="6"/>
        <v>1</v>
      </c>
    </row>
    <row r="102" s="396" customFormat="1" ht="15" hidden="1" customHeight="1" outlineLevel="2" spans="2:24">
      <c r="B102" s="428" t="s">
        <v>2335</v>
      </c>
      <c r="C102" s="429" t="str">
        <f t="shared" si="7"/>
        <v>石嘴山市深阳蓝光市政工程有限公司</v>
      </c>
      <c r="D102" s="503" t="s">
        <v>2355</v>
      </c>
      <c r="E102" s="518"/>
      <c r="F102" s="518"/>
      <c r="G102" s="518"/>
      <c r="H102" s="518"/>
      <c r="I102" s="518"/>
      <c r="J102" s="149"/>
      <c r="X102" s="501" t="b">
        <f t="shared" si="6"/>
        <v>1</v>
      </c>
    </row>
    <row r="103" s="396" customFormat="1" ht="15" hidden="1" customHeight="1" outlineLevel="2" spans="2:24">
      <c r="B103" s="428" t="s">
        <v>2335</v>
      </c>
      <c r="C103" s="429" t="str">
        <f t="shared" si="7"/>
        <v>石嘴山市深阳蓝光市政工程有限公司</v>
      </c>
      <c r="D103" s="503" t="s">
        <v>2355</v>
      </c>
      <c r="E103" s="518"/>
      <c r="F103" s="518"/>
      <c r="G103" s="518"/>
      <c r="H103" s="518"/>
      <c r="I103" s="518"/>
      <c r="J103" s="149"/>
      <c r="X103" s="501" t="b">
        <f t="shared" si="6"/>
        <v>1</v>
      </c>
    </row>
    <row r="104" s="396" customFormat="1" ht="15" hidden="1" customHeight="1" outlineLevel="2" spans="2:24">
      <c r="B104" s="428" t="s">
        <v>2335</v>
      </c>
      <c r="C104" s="429" t="str">
        <f t="shared" si="7"/>
        <v>石嘴山市深阳蓝光市政工程有限公司</v>
      </c>
      <c r="D104" s="503" t="s">
        <v>2355</v>
      </c>
      <c r="E104" s="518"/>
      <c r="F104" s="518"/>
      <c r="G104" s="518"/>
      <c r="H104" s="518"/>
      <c r="I104" s="518"/>
      <c r="J104" s="149"/>
      <c r="X104" s="501" t="b">
        <f t="shared" si="6"/>
        <v>1</v>
      </c>
    </row>
    <row r="105" s="396" customFormat="1" ht="15" hidden="1" customHeight="1" outlineLevel="2" spans="2:24">
      <c r="B105" s="428" t="s">
        <v>2335</v>
      </c>
      <c r="C105" s="429" t="str">
        <f t="shared" si="7"/>
        <v>石嘴山市深阳蓝光市政工程有限公司</v>
      </c>
      <c r="D105" s="503" t="s">
        <v>2355</v>
      </c>
      <c r="E105" s="518"/>
      <c r="F105" s="518"/>
      <c r="G105" s="518"/>
      <c r="H105" s="518"/>
      <c r="I105" s="518"/>
      <c r="J105" s="149"/>
      <c r="X105" s="501" t="b">
        <f t="shared" si="6"/>
        <v>1</v>
      </c>
    </row>
    <row r="106" s="396" customFormat="1" ht="15" hidden="1" customHeight="1" outlineLevel="2" spans="2:24">
      <c r="B106" s="428" t="s">
        <v>2335</v>
      </c>
      <c r="C106" s="429" t="str">
        <f t="shared" si="7"/>
        <v>石嘴山市深阳蓝光市政工程有限公司</v>
      </c>
      <c r="D106" s="503" t="s">
        <v>2355</v>
      </c>
      <c r="E106" s="518"/>
      <c r="F106" s="518"/>
      <c r="G106" s="518"/>
      <c r="H106" s="518"/>
      <c r="I106" s="518"/>
      <c r="J106" s="149"/>
      <c r="X106" s="501" t="b">
        <f t="shared" si="6"/>
        <v>1</v>
      </c>
    </row>
    <row r="107" s="396" customFormat="1" ht="15" hidden="1" customHeight="1" outlineLevel="2" spans="2:24">
      <c r="B107" s="428" t="s">
        <v>2335</v>
      </c>
      <c r="C107" s="429" t="str">
        <f t="shared" si="7"/>
        <v>石嘴山市深阳蓝光市政工程有限公司</v>
      </c>
      <c r="D107" s="503" t="s">
        <v>2355</v>
      </c>
      <c r="E107" s="518"/>
      <c r="F107" s="518"/>
      <c r="G107" s="518"/>
      <c r="H107" s="518"/>
      <c r="I107" s="518"/>
      <c r="J107" s="149"/>
      <c r="X107" s="501" t="b">
        <f t="shared" si="6"/>
        <v>1</v>
      </c>
    </row>
    <row r="108" s="396" customFormat="1" ht="15" hidden="1" customHeight="1" outlineLevel="2" spans="2:24">
      <c r="B108" s="428" t="s">
        <v>2335</v>
      </c>
      <c r="C108" s="429" t="str">
        <f t="shared" si="7"/>
        <v>石嘴山市深阳蓝光市政工程有限公司</v>
      </c>
      <c r="D108" s="503" t="s">
        <v>2355</v>
      </c>
      <c r="E108" s="518"/>
      <c r="F108" s="518"/>
      <c r="G108" s="518"/>
      <c r="H108" s="518"/>
      <c r="I108" s="518"/>
      <c r="J108" s="149"/>
      <c r="X108" s="501" t="b">
        <f t="shared" si="6"/>
        <v>1</v>
      </c>
    </row>
    <row r="109" s="396" customFormat="1" ht="15" hidden="1" customHeight="1" outlineLevel="2" spans="1:24">
      <c r="A109" s="396" t="s">
        <v>2356</v>
      </c>
      <c r="B109" s="428" t="s">
        <v>2335</v>
      </c>
      <c r="C109" s="429" t="str">
        <f t="shared" si="7"/>
        <v>石嘴山市深阳蓝光市政工程有限公司</v>
      </c>
      <c r="D109" s="503" t="s">
        <v>2355</v>
      </c>
      <c r="E109" s="523" t="s">
        <v>2356</v>
      </c>
      <c r="F109" s="521"/>
      <c r="G109" s="521"/>
      <c r="H109" s="522">
        <f>SUM(H110:H117)</f>
        <v>0</v>
      </c>
      <c r="I109" s="521"/>
      <c r="J109" s="149"/>
      <c r="X109" s="501" t="b">
        <f t="shared" si="6"/>
        <v>1</v>
      </c>
    </row>
    <row r="110" s="396" customFormat="1" ht="15" hidden="1" customHeight="1" outlineLevel="2" spans="2:24">
      <c r="B110" s="428" t="s">
        <v>2335</v>
      </c>
      <c r="C110" s="429" t="str">
        <f t="shared" si="7"/>
        <v>石嘴山市深阳蓝光市政工程有限公司</v>
      </c>
      <c r="D110" s="503" t="s">
        <v>2355</v>
      </c>
      <c r="E110" s="518"/>
      <c r="F110" s="518"/>
      <c r="G110" s="518"/>
      <c r="H110" s="518"/>
      <c r="I110" s="518"/>
      <c r="J110" s="149"/>
      <c r="X110" s="501" t="b">
        <f t="shared" si="6"/>
        <v>1</v>
      </c>
    </row>
    <row r="111" s="396" customFormat="1" ht="15" hidden="1" customHeight="1" outlineLevel="2" spans="2:24">
      <c r="B111" s="428" t="s">
        <v>2335</v>
      </c>
      <c r="C111" s="429" t="str">
        <f t="shared" si="7"/>
        <v>石嘴山市深阳蓝光市政工程有限公司</v>
      </c>
      <c r="D111" s="503" t="s">
        <v>2355</v>
      </c>
      <c r="E111" s="518"/>
      <c r="F111" s="518"/>
      <c r="G111" s="518"/>
      <c r="H111" s="518"/>
      <c r="I111" s="518"/>
      <c r="J111" s="149"/>
      <c r="X111" s="501" t="b">
        <f t="shared" si="6"/>
        <v>1</v>
      </c>
    </row>
    <row r="112" s="396" customFormat="1" ht="15" hidden="1" customHeight="1" outlineLevel="2" spans="2:24">
      <c r="B112" s="428" t="s">
        <v>2335</v>
      </c>
      <c r="C112" s="429" t="str">
        <f t="shared" si="7"/>
        <v>石嘴山市深阳蓝光市政工程有限公司</v>
      </c>
      <c r="D112" s="503" t="s">
        <v>2355</v>
      </c>
      <c r="E112" s="518"/>
      <c r="F112" s="518"/>
      <c r="G112" s="518"/>
      <c r="H112" s="518"/>
      <c r="I112" s="518"/>
      <c r="J112" s="149"/>
      <c r="X112" s="501" t="b">
        <f t="shared" si="6"/>
        <v>1</v>
      </c>
    </row>
    <row r="113" s="396" customFormat="1" ht="15" hidden="1" customHeight="1" outlineLevel="2" spans="2:24">
      <c r="B113" s="428" t="s">
        <v>2335</v>
      </c>
      <c r="C113" s="429" t="str">
        <f t="shared" si="7"/>
        <v>石嘴山市深阳蓝光市政工程有限公司</v>
      </c>
      <c r="D113" s="503" t="s">
        <v>2355</v>
      </c>
      <c r="E113" s="518"/>
      <c r="F113" s="518"/>
      <c r="G113" s="518"/>
      <c r="H113" s="518"/>
      <c r="I113" s="518"/>
      <c r="J113" s="149"/>
      <c r="X113" s="501" t="b">
        <f t="shared" si="6"/>
        <v>1</v>
      </c>
    </row>
    <row r="114" s="396" customFormat="1" ht="15" hidden="1" customHeight="1" outlineLevel="2" spans="2:24">
      <c r="B114" s="428" t="s">
        <v>2335</v>
      </c>
      <c r="C114" s="429" t="str">
        <f t="shared" si="7"/>
        <v>石嘴山市深阳蓝光市政工程有限公司</v>
      </c>
      <c r="D114" s="503" t="s">
        <v>2355</v>
      </c>
      <c r="E114" s="518"/>
      <c r="F114" s="518"/>
      <c r="G114" s="518"/>
      <c r="H114" s="518"/>
      <c r="I114" s="518"/>
      <c r="J114" s="149"/>
      <c r="X114" s="501" t="b">
        <f t="shared" si="6"/>
        <v>1</v>
      </c>
    </row>
    <row r="115" s="396" customFormat="1" ht="15" hidden="1" customHeight="1" outlineLevel="2" spans="2:24">
      <c r="B115" s="428" t="s">
        <v>2335</v>
      </c>
      <c r="C115" s="429" t="str">
        <f t="shared" si="7"/>
        <v>石嘴山市深阳蓝光市政工程有限公司</v>
      </c>
      <c r="D115" s="503" t="s">
        <v>2355</v>
      </c>
      <c r="E115" s="518"/>
      <c r="F115" s="518"/>
      <c r="G115" s="518"/>
      <c r="H115" s="518"/>
      <c r="I115" s="518"/>
      <c r="J115" s="149"/>
      <c r="X115" s="501" t="b">
        <f t="shared" si="6"/>
        <v>1</v>
      </c>
    </row>
    <row r="116" s="396" customFormat="1" ht="15" hidden="1" customHeight="1" outlineLevel="2" spans="2:24">
      <c r="B116" s="428" t="s">
        <v>2335</v>
      </c>
      <c r="C116" s="429" t="str">
        <f t="shared" si="7"/>
        <v>石嘴山市深阳蓝光市政工程有限公司</v>
      </c>
      <c r="D116" s="503" t="s">
        <v>2355</v>
      </c>
      <c r="E116" s="518"/>
      <c r="F116" s="518"/>
      <c r="G116" s="518"/>
      <c r="H116" s="518"/>
      <c r="I116" s="518"/>
      <c r="J116" s="149"/>
      <c r="X116" s="501" t="b">
        <f t="shared" si="6"/>
        <v>1</v>
      </c>
    </row>
    <row r="117" s="396" customFormat="1" ht="15" hidden="1" customHeight="1" outlineLevel="2" spans="2:24">
      <c r="B117" s="428" t="s">
        <v>2335</v>
      </c>
      <c r="C117" s="429" t="str">
        <f t="shared" si="7"/>
        <v>石嘴山市深阳蓝光市政工程有限公司</v>
      </c>
      <c r="D117" s="503" t="s">
        <v>2355</v>
      </c>
      <c r="E117" s="518"/>
      <c r="F117" s="518"/>
      <c r="G117" s="518"/>
      <c r="H117" s="518"/>
      <c r="I117" s="518"/>
      <c r="J117" s="149"/>
      <c r="X117" s="501" t="b">
        <f t="shared" si="6"/>
        <v>1</v>
      </c>
    </row>
    <row r="118" s="396" customFormat="1" ht="15" hidden="1" customHeight="1" outlineLevel="2" spans="1:24">
      <c r="A118" s="396" t="s">
        <v>1580</v>
      </c>
      <c r="B118" s="428" t="s">
        <v>2335</v>
      </c>
      <c r="C118" s="429" t="str">
        <f t="shared" si="7"/>
        <v>石嘴山市深阳蓝光市政工程有限公司</v>
      </c>
      <c r="D118" s="503" t="s">
        <v>2355</v>
      </c>
      <c r="E118" s="524" t="s">
        <v>1580</v>
      </c>
      <c r="F118" s="525"/>
      <c r="G118" s="525"/>
      <c r="H118" s="526">
        <f>H100+H109</f>
        <v>0</v>
      </c>
      <c r="I118" s="525"/>
      <c r="J118" s="149"/>
      <c r="X118" s="501" t="b">
        <f t="shared" si="6"/>
        <v>1</v>
      </c>
    </row>
    <row r="119" s="396" customFormat="1" ht="15" hidden="1" customHeight="1" outlineLevel="2" spans="1:24">
      <c r="A119" s="396" t="s">
        <v>2357</v>
      </c>
      <c r="B119" s="428" t="s">
        <v>2335</v>
      </c>
      <c r="C119" s="429" t="str">
        <f t="shared" si="7"/>
        <v>石嘴山市深阳蓝光市政工程有限公司</v>
      </c>
      <c r="D119" s="503" t="s">
        <v>2355</v>
      </c>
      <c r="E119" s="527" t="s">
        <v>2358</v>
      </c>
      <c r="F119" s="527"/>
      <c r="G119" s="527"/>
      <c r="H119" s="527"/>
      <c r="I119" s="527"/>
      <c r="J119" s="149"/>
      <c r="X119" s="501" t="b">
        <f t="shared" si="6"/>
        <v>1</v>
      </c>
    </row>
    <row r="120" s="396" customFormat="1" ht="15" hidden="1" customHeight="1" outlineLevel="2" spans="2:24">
      <c r="B120" s="428" t="s">
        <v>2335</v>
      </c>
      <c r="C120" s="429" t="str">
        <f t="shared" si="7"/>
        <v>石嘴山市深阳蓝光市政工程有限公司</v>
      </c>
      <c r="D120" s="503" t="s">
        <v>2355</v>
      </c>
      <c r="E120" s="528"/>
      <c r="F120" s="506"/>
      <c r="G120" s="506"/>
      <c r="H120" s="506"/>
      <c r="I120" s="506"/>
      <c r="J120" s="149"/>
      <c r="X120" s="501" t="b">
        <f t="shared" si="6"/>
        <v>1</v>
      </c>
    </row>
    <row r="121" s="396" customFormat="1" ht="15" hidden="1" customHeight="1" outlineLevel="2" spans="2:24">
      <c r="B121" s="428" t="s">
        <v>2335</v>
      </c>
      <c r="C121" s="429" t="str">
        <f t="shared" si="7"/>
        <v>石嘴山市深阳蓝光市政工程有限公司</v>
      </c>
      <c r="D121" s="503"/>
      <c r="E121" s="505"/>
      <c r="F121" s="505"/>
      <c r="G121" s="505"/>
      <c r="H121" s="505"/>
      <c r="I121" s="505"/>
      <c r="J121" s="149"/>
      <c r="X121" s="501" t="b">
        <f t="shared" si="6"/>
        <v>1</v>
      </c>
    </row>
    <row r="122" s="396" customFormat="1" ht="15" hidden="1" customHeight="1" outlineLevel="2" spans="1:24">
      <c r="A122" s="396" t="s">
        <v>2315</v>
      </c>
      <c r="B122" s="428" t="s">
        <v>2335</v>
      </c>
      <c r="C122" s="429" t="str">
        <f t="shared" si="7"/>
        <v>石嘴山市深阳蓝光市政工程有限公司</v>
      </c>
      <c r="D122" s="503" t="s">
        <v>2359</v>
      </c>
      <c r="E122" s="505" t="s">
        <v>2334</v>
      </c>
      <c r="F122" s="529"/>
      <c r="G122" s="529"/>
      <c r="H122" s="529"/>
      <c r="I122" s="529"/>
      <c r="J122" s="149"/>
      <c r="X122" s="501" t="b">
        <f t="shared" si="6"/>
        <v>1</v>
      </c>
    </row>
    <row r="123" s="396" customFormat="1" ht="15" hidden="1" customHeight="1" outlineLevel="2" spans="2:24">
      <c r="B123" s="428" t="s">
        <v>2335</v>
      </c>
      <c r="C123" s="429" t="str">
        <f t="shared" si="7"/>
        <v>石嘴山市深阳蓝光市政工程有限公司</v>
      </c>
      <c r="D123" s="503" t="s">
        <v>2360</v>
      </c>
      <c r="E123" s="505"/>
      <c r="F123" s="505"/>
      <c r="G123" s="505"/>
      <c r="H123" s="505"/>
      <c r="I123" s="505"/>
      <c r="J123" s="149"/>
      <c r="X123" s="501" t="b">
        <f t="shared" si="6"/>
        <v>1</v>
      </c>
    </row>
    <row r="124" s="396" customFormat="1" ht="15" customHeight="1" spans="1:24">
      <c r="A124" s="396" t="s">
        <v>2361</v>
      </c>
      <c r="B124" s="530" t="s">
        <v>2362</v>
      </c>
      <c r="C124" s="429" t="str">
        <f t="shared" ref="C124:C155" si="8">$G$1</f>
        <v>石嘴山市深阳蓝光市政工程有限公司</v>
      </c>
      <c r="D124" s="503" t="s">
        <v>2363</v>
      </c>
      <c r="E124" s="65" t="s">
        <v>2364</v>
      </c>
      <c r="F124" s="527" t="s">
        <v>2365</v>
      </c>
      <c r="G124" s="505"/>
      <c r="H124" s="505"/>
      <c r="I124" s="505"/>
      <c r="J124" s="149"/>
      <c r="X124" s="501" t="b">
        <f t="shared" si="6"/>
        <v>1</v>
      </c>
    </row>
    <row r="125" s="396" customFormat="1" ht="15" customHeight="1" outlineLevel="2" spans="1:24">
      <c r="A125" s="396" t="s">
        <v>2366</v>
      </c>
      <c r="B125" s="530" t="s">
        <v>2362</v>
      </c>
      <c r="C125" s="429" t="str">
        <f t="shared" si="8"/>
        <v>石嘴山市深阳蓝光市政工程有限公司</v>
      </c>
      <c r="D125" s="503" t="s">
        <v>2363</v>
      </c>
      <c r="E125" s="531" t="s">
        <v>2367</v>
      </c>
      <c r="F125" s="532"/>
      <c r="G125" s="505"/>
      <c r="H125" s="505"/>
      <c r="I125" s="505"/>
      <c r="J125" s="149"/>
      <c r="X125" s="501" t="b">
        <f t="shared" si="6"/>
        <v>1</v>
      </c>
    </row>
    <row r="126" s="396" customFormat="1" ht="15" customHeight="1" outlineLevel="2" spans="1:24">
      <c r="A126" s="396" t="s">
        <v>60</v>
      </c>
      <c r="B126" s="530" t="s">
        <v>2362</v>
      </c>
      <c r="C126" s="429" t="str">
        <f t="shared" si="8"/>
        <v>石嘴山市深阳蓝光市政工程有限公司</v>
      </c>
      <c r="D126" s="503" t="s">
        <v>2368</v>
      </c>
      <c r="E126" s="533" t="s">
        <v>60</v>
      </c>
      <c r="F126" s="533" t="s">
        <v>670</v>
      </c>
      <c r="G126" s="533" t="s">
        <v>671</v>
      </c>
      <c r="H126" s="533" t="s">
        <v>672</v>
      </c>
      <c r="I126" s="533" t="s">
        <v>315</v>
      </c>
      <c r="J126" s="533" t="s">
        <v>420</v>
      </c>
      <c r="K126" s="533" t="s">
        <v>2369</v>
      </c>
      <c r="X126" s="501" t="b">
        <f t="shared" si="6"/>
        <v>1</v>
      </c>
    </row>
    <row r="127" s="396" customFormat="1" ht="15" customHeight="1" outlineLevel="2" spans="1:24">
      <c r="A127" s="396" t="s">
        <v>2370</v>
      </c>
      <c r="B127" s="530" t="s">
        <v>2362</v>
      </c>
      <c r="C127" s="429" t="str">
        <f t="shared" si="8"/>
        <v>石嘴山市深阳蓝光市政工程有限公司</v>
      </c>
      <c r="D127" s="503" t="s">
        <v>2368</v>
      </c>
      <c r="E127" s="533" t="s">
        <v>2371</v>
      </c>
      <c r="F127" s="534">
        <f>SUM(F128:F137)</f>
        <v>0</v>
      </c>
      <c r="G127" s="534">
        <f>SUM(G128:G137)</f>
        <v>0</v>
      </c>
      <c r="H127" s="534">
        <f>SUM(H128:H137)</f>
        <v>0</v>
      </c>
      <c r="I127" s="540">
        <f>F127+G127-H127</f>
        <v>0</v>
      </c>
      <c r="J127" s="466"/>
      <c r="K127" s="466"/>
      <c r="X127" s="501" t="b">
        <f t="shared" si="6"/>
        <v>1</v>
      </c>
    </row>
    <row r="128" s="396" customFormat="1" ht="15" customHeight="1" outlineLevel="2" spans="2:24">
      <c r="B128" s="530" t="s">
        <v>2362</v>
      </c>
      <c r="C128" s="429" t="str">
        <f t="shared" si="8"/>
        <v>石嘴山市深阳蓝光市政工程有限公司</v>
      </c>
      <c r="D128" s="503" t="s">
        <v>2368</v>
      </c>
      <c r="E128" s="535"/>
      <c r="F128" s="536"/>
      <c r="G128" s="537"/>
      <c r="H128" s="537"/>
      <c r="I128" s="540">
        <f t="shared" ref="I128:I149" si="9">F128+G128-H128</f>
        <v>0</v>
      </c>
      <c r="J128" s="487"/>
      <c r="K128" s="536"/>
      <c r="X128" s="501" t="b">
        <f t="shared" si="6"/>
        <v>1</v>
      </c>
    </row>
    <row r="129" s="396" customFormat="1" ht="15" customHeight="1" outlineLevel="2" spans="2:24">
      <c r="B129" s="530" t="s">
        <v>2362</v>
      </c>
      <c r="C129" s="429" t="str">
        <f t="shared" si="8"/>
        <v>石嘴山市深阳蓝光市政工程有限公司</v>
      </c>
      <c r="D129" s="503" t="s">
        <v>2368</v>
      </c>
      <c r="E129" s="535"/>
      <c r="F129" s="536"/>
      <c r="G129" s="541"/>
      <c r="H129" s="537"/>
      <c r="I129" s="540">
        <f t="shared" si="9"/>
        <v>0</v>
      </c>
      <c r="J129" s="487"/>
      <c r="K129" s="536"/>
      <c r="X129" s="501" t="b">
        <f t="shared" si="6"/>
        <v>1</v>
      </c>
    </row>
    <row r="130" s="396" customFormat="1" ht="15" customHeight="1" outlineLevel="2" spans="2:24">
      <c r="B130" s="530" t="s">
        <v>2362</v>
      </c>
      <c r="C130" s="429" t="str">
        <f t="shared" si="8"/>
        <v>石嘴山市深阳蓝光市政工程有限公司</v>
      </c>
      <c r="D130" s="503" t="s">
        <v>2368</v>
      </c>
      <c r="E130" s="535"/>
      <c r="F130" s="536"/>
      <c r="G130" s="537"/>
      <c r="H130" s="537"/>
      <c r="I130" s="540">
        <f t="shared" si="9"/>
        <v>0</v>
      </c>
      <c r="J130" s="487"/>
      <c r="K130" s="536"/>
      <c r="X130" s="501" t="b">
        <f t="shared" si="6"/>
        <v>1</v>
      </c>
    </row>
    <row r="131" s="396" customFormat="1" ht="15" customHeight="1" outlineLevel="2" spans="2:24">
      <c r="B131" s="530" t="s">
        <v>2362</v>
      </c>
      <c r="C131" s="429" t="str">
        <f t="shared" si="8"/>
        <v>石嘴山市深阳蓝光市政工程有限公司</v>
      </c>
      <c r="D131" s="503" t="s">
        <v>2368</v>
      </c>
      <c r="E131" s="535"/>
      <c r="F131" s="536"/>
      <c r="G131" s="537"/>
      <c r="H131" s="537"/>
      <c r="I131" s="540">
        <f t="shared" si="9"/>
        <v>0</v>
      </c>
      <c r="J131" s="487"/>
      <c r="K131" s="536"/>
      <c r="X131" s="501" t="b">
        <f t="shared" si="6"/>
        <v>1</v>
      </c>
    </row>
    <row r="132" s="396" customFormat="1" ht="15" customHeight="1" outlineLevel="2" spans="2:24">
      <c r="B132" s="530" t="s">
        <v>2362</v>
      </c>
      <c r="C132" s="429" t="str">
        <f t="shared" si="8"/>
        <v>石嘴山市深阳蓝光市政工程有限公司</v>
      </c>
      <c r="D132" s="503" t="s">
        <v>2368</v>
      </c>
      <c r="E132" s="535"/>
      <c r="F132" s="536"/>
      <c r="G132" s="541"/>
      <c r="H132" s="537"/>
      <c r="I132" s="540">
        <f t="shared" si="9"/>
        <v>0</v>
      </c>
      <c r="J132" s="487"/>
      <c r="K132" s="536"/>
      <c r="X132" s="501" t="b">
        <f t="shared" si="6"/>
        <v>1</v>
      </c>
    </row>
    <row r="133" s="396" customFormat="1" ht="15" customHeight="1" outlineLevel="2" spans="2:24">
      <c r="B133" s="530" t="s">
        <v>2362</v>
      </c>
      <c r="C133" s="429" t="str">
        <f t="shared" si="8"/>
        <v>石嘴山市深阳蓝光市政工程有限公司</v>
      </c>
      <c r="D133" s="503" t="s">
        <v>2368</v>
      </c>
      <c r="E133" s="535"/>
      <c r="F133" s="536"/>
      <c r="G133" s="537"/>
      <c r="H133" s="537"/>
      <c r="I133" s="540">
        <f t="shared" si="9"/>
        <v>0</v>
      </c>
      <c r="J133" s="487"/>
      <c r="K133" s="536"/>
      <c r="X133" s="501" t="b">
        <f t="shared" si="6"/>
        <v>1</v>
      </c>
    </row>
    <row r="134" s="396" customFormat="1" ht="15.75" customHeight="1" outlineLevel="2" spans="2:24">
      <c r="B134" s="530" t="s">
        <v>2362</v>
      </c>
      <c r="C134" s="429" t="str">
        <f t="shared" si="8"/>
        <v>石嘴山市深阳蓝光市政工程有限公司</v>
      </c>
      <c r="D134" s="503" t="s">
        <v>2368</v>
      </c>
      <c r="E134" s="535"/>
      <c r="F134" s="536"/>
      <c r="G134" s="537"/>
      <c r="H134" s="537"/>
      <c r="I134" s="540">
        <f t="shared" si="9"/>
        <v>0</v>
      </c>
      <c r="J134" s="487"/>
      <c r="K134" s="536"/>
      <c r="X134" s="501" t="b">
        <f t="shared" si="6"/>
        <v>1</v>
      </c>
    </row>
    <row r="135" s="396" customFormat="1" ht="15" customHeight="1" outlineLevel="2" spans="2:24">
      <c r="B135" s="530" t="s">
        <v>2362</v>
      </c>
      <c r="C135" s="429" t="str">
        <f t="shared" si="8"/>
        <v>石嘴山市深阳蓝光市政工程有限公司</v>
      </c>
      <c r="D135" s="503" t="s">
        <v>2368</v>
      </c>
      <c r="E135" s="535"/>
      <c r="F135" s="536"/>
      <c r="G135" s="537"/>
      <c r="H135" s="537"/>
      <c r="I135" s="540">
        <f t="shared" si="9"/>
        <v>0</v>
      </c>
      <c r="J135" s="487"/>
      <c r="K135" s="536"/>
      <c r="X135" s="501" t="b">
        <f t="shared" si="6"/>
        <v>1</v>
      </c>
    </row>
    <row r="136" s="396" customFormat="1" ht="15" customHeight="1" outlineLevel="2" spans="2:24">
      <c r="B136" s="530" t="s">
        <v>2362</v>
      </c>
      <c r="C136" s="429" t="str">
        <f t="shared" si="8"/>
        <v>石嘴山市深阳蓝光市政工程有限公司</v>
      </c>
      <c r="D136" s="503" t="s">
        <v>2368</v>
      </c>
      <c r="E136" s="535"/>
      <c r="F136" s="536"/>
      <c r="G136" s="537"/>
      <c r="H136" s="537"/>
      <c r="I136" s="540">
        <f t="shared" si="9"/>
        <v>0</v>
      </c>
      <c r="J136" s="487"/>
      <c r="K136" s="536"/>
      <c r="X136" s="501" t="b">
        <f t="shared" ref="X136:X199" si="10">EXACT(A136,E136)</f>
        <v>1</v>
      </c>
    </row>
    <row r="137" s="396" customFormat="1" ht="15" customHeight="1" outlineLevel="2" spans="2:24">
      <c r="B137" s="530" t="s">
        <v>2362</v>
      </c>
      <c r="C137" s="429" t="str">
        <f t="shared" si="8"/>
        <v>石嘴山市深阳蓝光市政工程有限公司</v>
      </c>
      <c r="D137" s="503" t="s">
        <v>2368</v>
      </c>
      <c r="E137" s="535"/>
      <c r="F137" s="536"/>
      <c r="G137" s="537"/>
      <c r="H137" s="537"/>
      <c r="I137" s="540">
        <f t="shared" si="9"/>
        <v>0</v>
      </c>
      <c r="J137" s="487"/>
      <c r="K137" s="536"/>
      <c r="X137" s="501" t="b">
        <f t="shared" si="10"/>
        <v>1</v>
      </c>
    </row>
    <row r="138" s="396" customFormat="1" ht="15" customHeight="1" outlineLevel="2" spans="1:24">
      <c r="A138" s="396" t="s">
        <v>2372</v>
      </c>
      <c r="B138" s="530" t="s">
        <v>2362</v>
      </c>
      <c r="C138" s="429" t="str">
        <f t="shared" si="8"/>
        <v>石嘴山市深阳蓝光市政工程有限公司</v>
      </c>
      <c r="D138" s="503" t="s">
        <v>2368</v>
      </c>
      <c r="E138" s="533" t="s">
        <v>2373</v>
      </c>
      <c r="F138" s="534">
        <f>SUM(F139:F148)</f>
        <v>0</v>
      </c>
      <c r="G138" s="534">
        <f>SUM(G139:G148)</f>
        <v>0</v>
      </c>
      <c r="H138" s="534">
        <f>SUM(H139:H148)</f>
        <v>0</v>
      </c>
      <c r="I138" s="540">
        <f t="shared" si="9"/>
        <v>0</v>
      </c>
      <c r="J138" s="466"/>
      <c r="K138" s="554"/>
      <c r="X138" s="501" t="b">
        <f t="shared" si="10"/>
        <v>1</v>
      </c>
    </row>
    <row r="139" s="396" customFormat="1" ht="15" customHeight="1" outlineLevel="2" spans="2:24">
      <c r="B139" s="530" t="s">
        <v>2362</v>
      </c>
      <c r="C139" s="429" t="str">
        <f t="shared" si="8"/>
        <v>石嘴山市深阳蓝光市政工程有限公司</v>
      </c>
      <c r="D139" s="503" t="s">
        <v>2368</v>
      </c>
      <c r="E139" s="535"/>
      <c r="F139" s="536"/>
      <c r="G139" s="537"/>
      <c r="H139" s="537"/>
      <c r="I139" s="540">
        <f t="shared" si="9"/>
        <v>0</v>
      </c>
      <c r="J139" s="487"/>
      <c r="K139" s="536"/>
      <c r="X139" s="501" t="b">
        <f t="shared" si="10"/>
        <v>1</v>
      </c>
    </row>
    <row r="140" s="396" customFormat="1" ht="15" customHeight="1" outlineLevel="2" spans="2:24">
      <c r="B140" s="530" t="s">
        <v>2362</v>
      </c>
      <c r="C140" s="429" t="str">
        <f t="shared" si="8"/>
        <v>石嘴山市深阳蓝光市政工程有限公司</v>
      </c>
      <c r="D140" s="503" t="s">
        <v>2368</v>
      </c>
      <c r="E140" s="535"/>
      <c r="F140" s="536"/>
      <c r="G140" s="537"/>
      <c r="H140" s="537"/>
      <c r="I140" s="540">
        <f t="shared" si="9"/>
        <v>0</v>
      </c>
      <c r="J140" s="487"/>
      <c r="K140" s="536"/>
      <c r="X140" s="501" t="b">
        <f t="shared" si="10"/>
        <v>1</v>
      </c>
    </row>
    <row r="141" s="396" customFormat="1" ht="15" customHeight="1" outlineLevel="2" spans="2:24">
      <c r="B141" s="530" t="s">
        <v>2362</v>
      </c>
      <c r="C141" s="429" t="str">
        <f t="shared" si="8"/>
        <v>石嘴山市深阳蓝光市政工程有限公司</v>
      </c>
      <c r="D141" s="503" t="s">
        <v>2368</v>
      </c>
      <c r="E141" s="535"/>
      <c r="F141" s="536"/>
      <c r="G141" s="537"/>
      <c r="H141" s="537"/>
      <c r="I141" s="540">
        <f t="shared" si="9"/>
        <v>0</v>
      </c>
      <c r="J141" s="487"/>
      <c r="K141" s="536"/>
      <c r="X141" s="501" t="b">
        <f t="shared" si="10"/>
        <v>1</v>
      </c>
    </row>
    <row r="142" s="396" customFormat="1" ht="15" customHeight="1" outlineLevel="2" spans="2:24">
      <c r="B142" s="530" t="s">
        <v>2362</v>
      </c>
      <c r="C142" s="429" t="str">
        <f t="shared" si="8"/>
        <v>石嘴山市深阳蓝光市政工程有限公司</v>
      </c>
      <c r="D142" s="503" t="s">
        <v>2368</v>
      </c>
      <c r="E142" s="535"/>
      <c r="F142" s="536"/>
      <c r="G142" s="537"/>
      <c r="H142" s="537"/>
      <c r="I142" s="540">
        <f t="shared" si="9"/>
        <v>0</v>
      </c>
      <c r="J142" s="487"/>
      <c r="K142" s="536"/>
      <c r="X142" s="501" t="b">
        <f t="shared" si="10"/>
        <v>1</v>
      </c>
    </row>
    <row r="143" s="396" customFormat="1" ht="15" customHeight="1" outlineLevel="2" spans="2:24">
      <c r="B143" s="530" t="s">
        <v>2362</v>
      </c>
      <c r="C143" s="429" t="str">
        <f t="shared" si="8"/>
        <v>石嘴山市深阳蓝光市政工程有限公司</v>
      </c>
      <c r="D143" s="503" t="s">
        <v>2368</v>
      </c>
      <c r="E143" s="535"/>
      <c r="F143" s="536"/>
      <c r="G143" s="537"/>
      <c r="H143" s="537"/>
      <c r="I143" s="540">
        <f t="shared" si="9"/>
        <v>0</v>
      </c>
      <c r="J143" s="487"/>
      <c r="K143" s="536"/>
      <c r="X143" s="501" t="b">
        <f t="shared" si="10"/>
        <v>1</v>
      </c>
    </row>
    <row r="144" s="396" customFormat="1" ht="15" customHeight="1" outlineLevel="2" spans="2:24">
      <c r="B144" s="530" t="s">
        <v>2362</v>
      </c>
      <c r="C144" s="429" t="str">
        <f t="shared" si="8"/>
        <v>石嘴山市深阳蓝光市政工程有限公司</v>
      </c>
      <c r="D144" s="503" t="s">
        <v>2368</v>
      </c>
      <c r="E144" s="535"/>
      <c r="F144" s="536"/>
      <c r="G144" s="537"/>
      <c r="H144" s="537"/>
      <c r="I144" s="540">
        <f t="shared" si="9"/>
        <v>0</v>
      </c>
      <c r="J144" s="487"/>
      <c r="K144" s="536"/>
      <c r="X144" s="501" t="b">
        <f t="shared" si="10"/>
        <v>1</v>
      </c>
    </row>
    <row r="145" s="396" customFormat="1" ht="15" customHeight="1" outlineLevel="2" spans="2:24">
      <c r="B145" s="530" t="s">
        <v>2362</v>
      </c>
      <c r="C145" s="429" t="str">
        <f t="shared" si="8"/>
        <v>石嘴山市深阳蓝光市政工程有限公司</v>
      </c>
      <c r="D145" s="503" t="s">
        <v>2368</v>
      </c>
      <c r="E145" s="535"/>
      <c r="F145" s="536"/>
      <c r="G145" s="537"/>
      <c r="H145" s="537"/>
      <c r="I145" s="540">
        <f t="shared" si="9"/>
        <v>0</v>
      </c>
      <c r="J145" s="487"/>
      <c r="K145" s="536"/>
      <c r="X145" s="501" t="b">
        <f t="shared" si="10"/>
        <v>1</v>
      </c>
    </row>
    <row r="146" s="396" customFormat="1" ht="15" customHeight="1" outlineLevel="2" spans="2:24">
      <c r="B146" s="530" t="s">
        <v>2362</v>
      </c>
      <c r="C146" s="429" t="str">
        <f t="shared" si="8"/>
        <v>石嘴山市深阳蓝光市政工程有限公司</v>
      </c>
      <c r="D146" s="503" t="s">
        <v>2368</v>
      </c>
      <c r="E146" s="535"/>
      <c r="F146" s="536"/>
      <c r="G146" s="537"/>
      <c r="H146" s="537"/>
      <c r="I146" s="540">
        <f t="shared" si="9"/>
        <v>0</v>
      </c>
      <c r="J146" s="487"/>
      <c r="K146" s="536"/>
      <c r="X146" s="501" t="b">
        <f t="shared" si="10"/>
        <v>1</v>
      </c>
    </row>
    <row r="147" s="396" customFormat="1" ht="15" customHeight="1" outlineLevel="2" spans="2:24">
      <c r="B147" s="530" t="s">
        <v>2362</v>
      </c>
      <c r="C147" s="429" t="str">
        <f t="shared" si="8"/>
        <v>石嘴山市深阳蓝光市政工程有限公司</v>
      </c>
      <c r="D147" s="503" t="s">
        <v>2368</v>
      </c>
      <c r="E147" s="535"/>
      <c r="F147" s="536"/>
      <c r="G147" s="537"/>
      <c r="H147" s="537"/>
      <c r="I147" s="540">
        <f t="shared" si="9"/>
        <v>0</v>
      </c>
      <c r="J147" s="487"/>
      <c r="K147" s="536"/>
      <c r="X147" s="501" t="b">
        <f t="shared" si="10"/>
        <v>1</v>
      </c>
    </row>
    <row r="148" s="396" customFormat="1" ht="15" customHeight="1" outlineLevel="2" spans="2:24">
      <c r="B148" s="530" t="s">
        <v>2362</v>
      </c>
      <c r="C148" s="429" t="str">
        <f t="shared" si="8"/>
        <v>石嘴山市深阳蓝光市政工程有限公司</v>
      </c>
      <c r="D148" s="503" t="s">
        <v>2368</v>
      </c>
      <c r="E148" s="535"/>
      <c r="F148" s="536"/>
      <c r="G148" s="537"/>
      <c r="H148" s="537"/>
      <c r="I148" s="540">
        <f t="shared" si="9"/>
        <v>0</v>
      </c>
      <c r="J148" s="487"/>
      <c r="K148" s="536"/>
      <c r="X148" s="501" t="b">
        <f t="shared" si="10"/>
        <v>1</v>
      </c>
    </row>
    <row r="149" s="396" customFormat="1" ht="15" customHeight="1" outlineLevel="2" spans="1:24">
      <c r="A149" s="396" t="s">
        <v>1580</v>
      </c>
      <c r="B149" s="530" t="s">
        <v>2362</v>
      </c>
      <c r="C149" s="429" t="str">
        <f t="shared" si="8"/>
        <v>石嘴山市深阳蓝光市政工程有限公司</v>
      </c>
      <c r="D149" s="503" t="s">
        <v>2368</v>
      </c>
      <c r="E149" s="533" t="s">
        <v>1580</v>
      </c>
      <c r="F149" s="542">
        <f>F138+F127</f>
        <v>0</v>
      </c>
      <c r="G149" s="542">
        <f>G138+G127</f>
        <v>0</v>
      </c>
      <c r="H149" s="542">
        <f>H138+H127</f>
        <v>0</v>
      </c>
      <c r="I149" s="540">
        <f t="shared" si="9"/>
        <v>0</v>
      </c>
      <c r="J149" s="466"/>
      <c r="K149" s="554"/>
      <c r="X149" s="501" t="b">
        <f t="shared" si="10"/>
        <v>1</v>
      </c>
    </row>
    <row r="150" s="396" customFormat="1" ht="15" customHeight="1" outlineLevel="2" spans="1:24">
      <c r="A150" s="396" t="s">
        <v>1444</v>
      </c>
      <c r="B150" s="530" t="s">
        <v>2362</v>
      </c>
      <c r="C150" s="429" t="str">
        <f t="shared" si="8"/>
        <v>石嘴山市深阳蓝光市政工程有限公司</v>
      </c>
      <c r="D150" s="503" t="s">
        <v>2368</v>
      </c>
      <c r="E150" s="444" t="s">
        <v>1444</v>
      </c>
      <c r="F150" s="543">
        <f>审定资负表!D13</f>
        <v>0</v>
      </c>
      <c r="G150" s="505"/>
      <c r="H150" s="505"/>
      <c r="I150" s="543">
        <f>审定资负表!C13</f>
        <v>0</v>
      </c>
      <c r="J150" s="149"/>
      <c r="X150" s="501" t="b">
        <f t="shared" si="10"/>
        <v>1</v>
      </c>
    </row>
    <row r="151" s="396" customFormat="1" ht="15" customHeight="1" outlineLevel="1" spans="1:24">
      <c r="A151" s="396" t="s">
        <v>1394</v>
      </c>
      <c r="B151" s="530" t="s">
        <v>2362</v>
      </c>
      <c r="C151" s="429" t="str">
        <f t="shared" si="8"/>
        <v>石嘴山市深阳蓝光市政工程有限公司</v>
      </c>
      <c r="D151" s="503" t="s">
        <v>2368</v>
      </c>
      <c r="E151" s="447" t="s">
        <v>1394</v>
      </c>
      <c r="F151" s="87">
        <f>ROUND(F149-F150,2)</f>
        <v>0</v>
      </c>
      <c r="G151" s="505"/>
      <c r="H151" s="505"/>
      <c r="I151" s="87">
        <f>ROUND(I149-I150,2)</f>
        <v>0</v>
      </c>
      <c r="J151" s="149"/>
      <c r="X151" s="501" t="b">
        <f t="shared" si="10"/>
        <v>1</v>
      </c>
    </row>
    <row r="152" s="396" customFormat="1" ht="15" customHeight="1" outlineLevel="2" spans="2:24">
      <c r="B152" s="530" t="s">
        <v>2362</v>
      </c>
      <c r="C152" s="429" t="str">
        <f t="shared" si="8"/>
        <v>石嘴山市深阳蓝光市政工程有限公司</v>
      </c>
      <c r="D152" s="544"/>
      <c r="E152" s="506"/>
      <c r="F152" s="506"/>
      <c r="G152" s="505"/>
      <c r="H152" s="505"/>
      <c r="I152" s="505"/>
      <c r="J152" s="149"/>
      <c r="X152" s="501" t="b">
        <f t="shared" si="10"/>
        <v>1</v>
      </c>
    </row>
    <row r="153" s="396" customFormat="1" ht="15" customHeight="1" outlineLevel="2" spans="1:24">
      <c r="A153" s="396" t="s">
        <v>2315</v>
      </c>
      <c r="B153" s="530" t="s">
        <v>2362</v>
      </c>
      <c r="C153" s="429" t="str">
        <f t="shared" si="8"/>
        <v>石嘴山市深阳蓝光市政工程有限公司</v>
      </c>
      <c r="D153" s="544" t="s">
        <v>2374</v>
      </c>
      <c r="E153" s="506" t="s">
        <v>2334</v>
      </c>
      <c r="F153" s="529"/>
      <c r="G153" s="545"/>
      <c r="H153" s="545"/>
      <c r="I153" s="505"/>
      <c r="J153" s="505"/>
      <c r="K153" s="505"/>
      <c r="L153" s="505"/>
      <c r="X153" s="501" t="b">
        <f t="shared" si="10"/>
        <v>1</v>
      </c>
    </row>
    <row r="154" s="396" customFormat="1" ht="15" customHeight="1" outlineLevel="2" spans="2:24">
      <c r="B154" s="530" t="s">
        <v>2362</v>
      </c>
      <c r="C154" s="429" t="str">
        <f t="shared" si="8"/>
        <v>石嘴山市深阳蓝光市政工程有限公司</v>
      </c>
      <c r="D154" s="544" t="s">
        <v>2375</v>
      </c>
      <c r="E154" s="506"/>
      <c r="F154" s="506"/>
      <c r="G154" s="505"/>
      <c r="H154" s="505"/>
      <c r="I154" s="505"/>
      <c r="J154" s="149"/>
      <c r="X154" s="501" t="b">
        <f t="shared" si="10"/>
        <v>1</v>
      </c>
    </row>
    <row r="155" s="396" customFormat="1" ht="15" customHeight="1" spans="1:24">
      <c r="A155" s="396" t="s">
        <v>2376</v>
      </c>
      <c r="B155" s="428" t="s">
        <v>2377</v>
      </c>
      <c r="C155" s="429" t="str">
        <f t="shared" si="8"/>
        <v>石嘴山市深阳蓝光市政工程有限公司</v>
      </c>
      <c r="D155" s="544" t="s">
        <v>2366</v>
      </c>
      <c r="E155" s="65" t="s">
        <v>2378</v>
      </c>
      <c r="F155" s="527" t="s">
        <v>2365</v>
      </c>
      <c r="G155" s="505"/>
      <c r="H155" s="505"/>
      <c r="I155" s="505"/>
      <c r="J155" s="149"/>
      <c r="X155" s="501" t="b">
        <f t="shared" si="10"/>
        <v>1</v>
      </c>
    </row>
    <row r="156" s="396" customFormat="1" ht="15" customHeight="1" outlineLevel="2" spans="1:24">
      <c r="A156" s="396" t="s">
        <v>2366</v>
      </c>
      <c r="B156" s="428" t="s">
        <v>2377</v>
      </c>
      <c r="C156" s="546" t="str">
        <f t="shared" ref="C156:C187" si="11">$G$1</f>
        <v>石嘴山市深阳蓝光市政工程有限公司</v>
      </c>
      <c r="D156" s="544" t="s">
        <v>2366</v>
      </c>
      <c r="E156" s="531" t="s">
        <v>2367</v>
      </c>
      <c r="F156" s="532"/>
      <c r="G156" s="505"/>
      <c r="H156" s="505"/>
      <c r="I156" s="505"/>
      <c r="J156" s="149"/>
      <c r="X156" s="501" t="b">
        <f t="shared" si="10"/>
        <v>1</v>
      </c>
    </row>
    <row r="157" s="396" customFormat="1" ht="15" customHeight="1" outlineLevel="2" spans="1:24">
      <c r="A157" s="396" t="s">
        <v>60</v>
      </c>
      <c r="B157" s="428" t="s">
        <v>2377</v>
      </c>
      <c r="C157" s="429" t="str">
        <f t="shared" si="11"/>
        <v>石嘴山市深阳蓝光市政工程有限公司</v>
      </c>
      <c r="D157" s="544" t="s">
        <v>2366</v>
      </c>
      <c r="E157" s="533" t="s">
        <v>60</v>
      </c>
      <c r="F157" s="533" t="s">
        <v>670</v>
      </c>
      <c r="G157" s="533" t="s">
        <v>671</v>
      </c>
      <c r="H157" s="533" t="s">
        <v>672</v>
      </c>
      <c r="I157" s="533" t="s">
        <v>315</v>
      </c>
      <c r="J157" s="533" t="s">
        <v>420</v>
      </c>
      <c r="K157" s="533" t="s">
        <v>2369</v>
      </c>
      <c r="X157" s="501" t="b">
        <f t="shared" si="10"/>
        <v>1</v>
      </c>
    </row>
    <row r="158" s="396" customFormat="1" ht="15" customHeight="1" outlineLevel="2" spans="1:24">
      <c r="A158" s="396" t="s">
        <v>2379</v>
      </c>
      <c r="B158" s="428" t="s">
        <v>2377</v>
      </c>
      <c r="C158" s="429" t="str">
        <f t="shared" si="11"/>
        <v>石嘴山市深阳蓝光市政工程有限公司</v>
      </c>
      <c r="D158" s="544" t="s">
        <v>2366</v>
      </c>
      <c r="E158" s="533" t="s">
        <v>2380</v>
      </c>
      <c r="F158" s="534">
        <f>SUM(F159:F168)</f>
        <v>0</v>
      </c>
      <c r="G158" s="534">
        <f>SUM(G159:G168)</f>
        <v>0</v>
      </c>
      <c r="H158" s="534">
        <f>SUM(H159:H168)</f>
        <v>0</v>
      </c>
      <c r="I158" s="540">
        <f>F158+G158-H158</f>
        <v>0</v>
      </c>
      <c r="J158" s="466"/>
      <c r="K158" s="466"/>
      <c r="X158" s="501" t="b">
        <f t="shared" si="10"/>
        <v>1</v>
      </c>
    </row>
    <row r="159" s="396" customFormat="1" ht="15" customHeight="1" outlineLevel="2" spans="1:24">
      <c r="A159" s="396" t="s">
        <v>2381</v>
      </c>
      <c r="B159" s="428" t="s">
        <v>2377</v>
      </c>
      <c r="C159" s="429" t="str">
        <f t="shared" si="11"/>
        <v>石嘴山市深阳蓝光市政工程有限公司</v>
      </c>
      <c r="D159" s="544" t="s">
        <v>2366</v>
      </c>
      <c r="E159" s="533" t="s">
        <v>2382</v>
      </c>
      <c r="F159" s="547"/>
      <c r="G159" s="541"/>
      <c r="H159" s="541">
        <v>0</v>
      </c>
      <c r="I159" s="553">
        <f t="shared" ref="I159:I180" si="12">F159+G159-H159</f>
        <v>0</v>
      </c>
      <c r="J159" s="487"/>
      <c r="K159" s="536"/>
      <c r="X159" s="501" t="b">
        <f t="shared" si="10"/>
        <v>0</v>
      </c>
    </row>
    <row r="160" s="396" customFormat="1" ht="15" customHeight="1" outlineLevel="2" spans="1:24">
      <c r="A160" s="396" t="s">
        <v>2383</v>
      </c>
      <c r="B160" s="428" t="s">
        <v>2377</v>
      </c>
      <c r="C160" s="429" t="str">
        <f t="shared" si="11"/>
        <v>石嘴山市深阳蓝光市政工程有限公司</v>
      </c>
      <c r="D160" s="544" t="s">
        <v>2366</v>
      </c>
      <c r="E160" s="533" t="s">
        <v>2384</v>
      </c>
      <c r="F160" s="547"/>
      <c r="G160" s="541"/>
      <c r="H160" s="541">
        <v>0</v>
      </c>
      <c r="I160" s="553">
        <f t="shared" si="12"/>
        <v>0</v>
      </c>
      <c r="J160" s="487"/>
      <c r="K160" s="536"/>
      <c r="X160" s="501" t="b">
        <f t="shared" si="10"/>
        <v>0</v>
      </c>
    </row>
    <row r="161" s="396" customFormat="1" ht="15" customHeight="1" outlineLevel="2" spans="1:24">
      <c r="A161" s="396" t="s">
        <v>2385</v>
      </c>
      <c r="B161" s="428" t="s">
        <v>2377</v>
      </c>
      <c r="C161" s="429" t="str">
        <f t="shared" si="11"/>
        <v>石嘴山市深阳蓝光市政工程有限公司</v>
      </c>
      <c r="D161" s="544" t="s">
        <v>2366</v>
      </c>
      <c r="E161" s="533" t="s">
        <v>2386</v>
      </c>
      <c r="F161" s="547"/>
      <c r="G161" s="541"/>
      <c r="H161" s="541">
        <v>0</v>
      </c>
      <c r="I161" s="553">
        <f t="shared" si="12"/>
        <v>0</v>
      </c>
      <c r="J161" s="487"/>
      <c r="K161" s="536"/>
      <c r="X161" s="501" t="b">
        <f t="shared" si="10"/>
        <v>0</v>
      </c>
    </row>
    <row r="162" s="396" customFormat="1" ht="15" customHeight="1" outlineLevel="2" spans="1:24">
      <c r="A162" s="396" t="s">
        <v>2387</v>
      </c>
      <c r="B162" s="428" t="s">
        <v>2377</v>
      </c>
      <c r="C162" s="429" t="str">
        <f t="shared" si="11"/>
        <v>石嘴山市深阳蓝光市政工程有限公司</v>
      </c>
      <c r="D162" s="544" t="s">
        <v>2366</v>
      </c>
      <c r="E162" s="533" t="s">
        <v>2388</v>
      </c>
      <c r="F162" s="547"/>
      <c r="G162" s="541"/>
      <c r="H162" s="541">
        <v>0</v>
      </c>
      <c r="I162" s="553">
        <f t="shared" si="12"/>
        <v>0</v>
      </c>
      <c r="J162" s="487"/>
      <c r="K162" s="536"/>
      <c r="X162" s="501" t="b">
        <f t="shared" si="10"/>
        <v>0</v>
      </c>
    </row>
    <row r="163" s="396" customFormat="1" ht="15" customHeight="1" outlineLevel="2" spans="1:24">
      <c r="A163" s="396" t="s">
        <v>2389</v>
      </c>
      <c r="B163" s="428" t="s">
        <v>2377</v>
      </c>
      <c r="C163" s="429" t="str">
        <f t="shared" si="11"/>
        <v>石嘴山市深阳蓝光市政工程有限公司</v>
      </c>
      <c r="D163" s="544" t="s">
        <v>2366</v>
      </c>
      <c r="E163" s="533" t="s">
        <v>2390</v>
      </c>
      <c r="F163" s="547"/>
      <c r="G163" s="541"/>
      <c r="H163" s="541">
        <v>0</v>
      </c>
      <c r="I163" s="553">
        <f t="shared" si="12"/>
        <v>0</v>
      </c>
      <c r="J163" s="487"/>
      <c r="K163" s="536"/>
      <c r="X163" s="501" t="b">
        <f t="shared" si="10"/>
        <v>0</v>
      </c>
    </row>
    <row r="164" s="396" customFormat="1" ht="15" customHeight="1" outlineLevel="3" spans="1:24">
      <c r="A164" s="396" t="s">
        <v>2391</v>
      </c>
      <c r="B164" s="428" t="s">
        <v>2377</v>
      </c>
      <c r="C164" s="429" t="str">
        <f t="shared" si="11"/>
        <v>石嘴山市深阳蓝光市政工程有限公司</v>
      </c>
      <c r="D164" s="544" t="s">
        <v>2366</v>
      </c>
      <c r="E164" s="548" t="s">
        <v>2392</v>
      </c>
      <c r="F164" s="547"/>
      <c r="G164" s="541"/>
      <c r="H164" s="541">
        <v>0</v>
      </c>
      <c r="I164" s="553">
        <f t="shared" si="12"/>
        <v>0</v>
      </c>
      <c r="J164" s="487"/>
      <c r="K164" s="536"/>
      <c r="X164" s="501" t="b">
        <f t="shared" si="10"/>
        <v>0</v>
      </c>
    </row>
    <row r="165" s="396" customFormat="1" ht="15" customHeight="1" outlineLevel="3" spans="1:24">
      <c r="A165" s="396" t="s">
        <v>2393</v>
      </c>
      <c r="B165" s="428" t="s">
        <v>2377</v>
      </c>
      <c r="C165" s="429" t="str">
        <f t="shared" si="11"/>
        <v>石嘴山市深阳蓝光市政工程有限公司</v>
      </c>
      <c r="D165" s="544" t="s">
        <v>2366</v>
      </c>
      <c r="E165" s="548" t="s">
        <v>2394</v>
      </c>
      <c r="F165" s="547"/>
      <c r="G165" s="541"/>
      <c r="H165" s="541">
        <v>0</v>
      </c>
      <c r="I165" s="553">
        <f t="shared" si="12"/>
        <v>0</v>
      </c>
      <c r="J165" s="487"/>
      <c r="K165" s="536"/>
      <c r="X165" s="501" t="b">
        <f t="shared" si="10"/>
        <v>1</v>
      </c>
    </row>
    <row r="166" s="396" customFormat="1" ht="15" customHeight="1" outlineLevel="3" spans="1:24">
      <c r="A166" s="396" t="s">
        <v>2395</v>
      </c>
      <c r="B166" s="428" t="s">
        <v>2377</v>
      </c>
      <c r="C166" s="429" t="str">
        <f t="shared" si="11"/>
        <v>石嘴山市深阳蓝光市政工程有限公司</v>
      </c>
      <c r="D166" s="544" t="s">
        <v>2366</v>
      </c>
      <c r="E166" s="548" t="s">
        <v>2396</v>
      </c>
      <c r="F166" s="547"/>
      <c r="G166" s="541"/>
      <c r="H166" s="541">
        <v>0</v>
      </c>
      <c r="I166" s="553">
        <f t="shared" si="12"/>
        <v>0</v>
      </c>
      <c r="J166" s="487"/>
      <c r="K166" s="536"/>
      <c r="X166" s="501" t="b">
        <f t="shared" si="10"/>
        <v>1</v>
      </c>
    </row>
    <row r="167" s="396" customFormat="1" ht="15" customHeight="1" outlineLevel="3" spans="1:24">
      <c r="A167" s="396" t="s">
        <v>2397</v>
      </c>
      <c r="B167" s="428" t="s">
        <v>2377</v>
      </c>
      <c r="C167" s="429" t="str">
        <f t="shared" si="11"/>
        <v>石嘴山市深阳蓝光市政工程有限公司</v>
      </c>
      <c r="D167" s="544" t="s">
        <v>2366</v>
      </c>
      <c r="E167" s="548" t="s">
        <v>2398</v>
      </c>
      <c r="F167" s="547"/>
      <c r="G167" s="541"/>
      <c r="H167" s="541">
        <v>0</v>
      </c>
      <c r="I167" s="553">
        <f t="shared" si="12"/>
        <v>0</v>
      </c>
      <c r="J167" s="487"/>
      <c r="K167" s="536"/>
      <c r="X167" s="501" t="b">
        <f t="shared" si="10"/>
        <v>1</v>
      </c>
    </row>
    <row r="168" s="396" customFormat="1" ht="15" customHeight="1" outlineLevel="3" spans="1:24">
      <c r="A168" s="396" t="s">
        <v>2399</v>
      </c>
      <c r="B168" s="428" t="s">
        <v>2377</v>
      </c>
      <c r="C168" s="429" t="str">
        <f t="shared" si="11"/>
        <v>石嘴山市深阳蓝光市政工程有限公司</v>
      </c>
      <c r="D168" s="544" t="s">
        <v>2366</v>
      </c>
      <c r="E168" s="548" t="s">
        <v>2400</v>
      </c>
      <c r="F168" s="547"/>
      <c r="G168" s="541"/>
      <c r="H168" s="541">
        <v>0</v>
      </c>
      <c r="I168" s="553">
        <f t="shared" si="12"/>
        <v>0</v>
      </c>
      <c r="J168" s="487"/>
      <c r="K168" s="536"/>
      <c r="X168" s="501" t="b">
        <f t="shared" si="10"/>
        <v>1</v>
      </c>
    </row>
    <row r="169" s="396" customFormat="1" ht="15" customHeight="1" outlineLevel="2" spans="1:24">
      <c r="A169" s="396" t="s">
        <v>2401</v>
      </c>
      <c r="B169" s="428" t="s">
        <v>2377</v>
      </c>
      <c r="C169" s="429" t="str">
        <f t="shared" si="11"/>
        <v>石嘴山市深阳蓝光市政工程有限公司</v>
      </c>
      <c r="D169" s="544" t="s">
        <v>2366</v>
      </c>
      <c r="E169" s="533" t="s">
        <v>2402</v>
      </c>
      <c r="F169" s="534">
        <f>SUM(F170:F179)</f>
        <v>0</v>
      </c>
      <c r="G169" s="534">
        <f>SUM(G170:G179)</f>
        <v>0</v>
      </c>
      <c r="H169" s="534">
        <f>SUM(H170:H179)</f>
        <v>0</v>
      </c>
      <c r="I169" s="553">
        <f t="shared" si="12"/>
        <v>0</v>
      </c>
      <c r="J169" s="466"/>
      <c r="K169" s="554"/>
      <c r="X169" s="501" t="b">
        <f t="shared" si="10"/>
        <v>1</v>
      </c>
    </row>
    <row r="170" s="396" customFormat="1" ht="15" customHeight="1" outlineLevel="2" spans="1:24">
      <c r="A170" s="396" t="s">
        <v>2381</v>
      </c>
      <c r="B170" s="428" t="s">
        <v>2377</v>
      </c>
      <c r="C170" s="429" t="str">
        <f t="shared" si="11"/>
        <v>石嘴山市深阳蓝光市政工程有限公司</v>
      </c>
      <c r="D170" s="544" t="s">
        <v>2366</v>
      </c>
      <c r="E170" s="533" t="s">
        <v>2403</v>
      </c>
      <c r="F170" s="547"/>
      <c r="G170" s="541"/>
      <c r="H170" s="541"/>
      <c r="I170" s="553">
        <f t="shared" si="12"/>
        <v>0</v>
      </c>
      <c r="J170" s="487"/>
      <c r="K170" s="536"/>
      <c r="X170" s="501" t="b">
        <f t="shared" si="10"/>
        <v>0</v>
      </c>
    </row>
    <row r="171" s="396" customFormat="1" ht="15" customHeight="1" outlineLevel="2" spans="1:24">
      <c r="A171" s="396" t="s">
        <v>2383</v>
      </c>
      <c r="B171" s="428" t="s">
        <v>2377</v>
      </c>
      <c r="C171" s="429" t="str">
        <f t="shared" si="11"/>
        <v>石嘴山市深阳蓝光市政工程有限公司</v>
      </c>
      <c r="D171" s="544" t="s">
        <v>2366</v>
      </c>
      <c r="E171" s="533" t="s">
        <v>2384</v>
      </c>
      <c r="F171" s="547"/>
      <c r="G171" s="541"/>
      <c r="H171" s="541"/>
      <c r="I171" s="553">
        <f t="shared" si="12"/>
        <v>0</v>
      </c>
      <c r="J171" s="487"/>
      <c r="K171" s="536"/>
      <c r="X171" s="501" t="b">
        <f t="shared" si="10"/>
        <v>0</v>
      </c>
    </row>
    <row r="172" s="396" customFormat="1" ht="15" customHeight="1" outlineLevel="2" spans="1:24">
      <c r="A172" s="396" t="s">
        <v>2385</v>
      </c>
      <c r="B172" s="428" t="s">
        <v>2377</v>
      </c>
      <c r="C172" s="429" t="str">
        <f t="shared" si="11"/>
        <v>石嘴山市深阳蓝光市政工程有限公司</v>
      </c>
      <c r="D172" s="544" t="s">
        <v>2366</v>
      </c>
      <c r="E172" s="533" t="s">
        <v>2386</v>
      </c>
      <c r="F172" s="547"/>
      <c r="G172" s="541"/>
      <c r="H172" s="541"/>
      <c r="I172" s="553">
        <f t="shared" si="12"/>
        <v>0</v>
      </c>
      <c r="J172" s="487"/>
      <c r="K172" s="536"/>
      <c r="X172" s="501" t="b">
        <f t="shared" si="10"/>
        <v>0</v>
      </c>
    </row>
    <row r="173" s="396" customFormat="1" ht="15" customHeight="1" outlineLevel="2" spans="1:24">
      <c r="A173" s="396" t="s">
        <v>2387</v>
      </c>
      <c r="B173" s="428" t="s">
        <v>2377</v>
      </c>
      <c r="C173" s="429" t="str">
        <f t="shared" si="11"/>
        <v>石嘴山市深阳蓝光市政工程有限公司</v>
      </c>
      <c r="D173" s="544" t="s">
        <v>2366</v>
      </c>
      <c r="E173" s="533" t="s">
        <v>2388</v>
      </c>
      <c r="F173" s="547"/>
      <c r="G173" s="541"/>
      <c r="H173" s="541"/>
      <c r="I173" s="553">
        <f t="shared" si="12"/>
        <v>0</v>
      </c>
      <c r="J173" s="487"/>
      <c r="K173" s="536"/>
      <c r="X173" s="501" t="b">
        <f t="shared" si="10"/>
        <v>0</v>
      </c>
    </row>
    <row r="174" s="396" customFormat="1" ht="15" customHeight="1" outlineLevel="2" spans="1:24">
      <c r="A174" s="396" t="s">
        <v>2389</v>
      </c>
      <c r="B174" s="428" t="s">
        <v>2377</v>
      </c>
      <c r="C174" s="429" t="str">
        <f t="shared" si="11"/>
        <v>石嘴山市深阳蓝光市政工程有限公司</v>
      </c>
      <c r="D174" s="544" t="s">
        <v>2366</v>
      </c>
      <c r="E174" s="533" t="s">
        <v>2390</v>
      </c>
      <c r="F174" s="547"/>
      <c r="G174" s="541"/>
      <c r="H174" s="541"/>
      <c r="I174" s="553">
        <f t="shared" si="12"/>
        <v>0</v>
      </c>
      <c r="J174" s="487"/>
      <c r="K174" s="536"/>
      <c r="X174" s="501" t="b">
        <f t="shared" si="10"/>
        <v>0</v>
      </c>
    </row>
    <row r="175" s="396" customFormat="1" ht="15" customHeight="1" outlineLevel="3" spans="1:24">
      <c r="A175" s="396" t="s">
        <v>2391</v>
      </c>
      <c r="B175" s="428" t="s">
        <v>2377</v>
      </c>
      <c r="C175" s="429" t="str">
        <f t="shared" si="11"/>
        <v>石嘴山市深阳蓝光市政工程有限公司</v>
      </c>
      <c r="D175" s="544" t="s">
        <v>2366</v>
      </c>
      <c r="E175" s="548" t="str">
        <f>E164</f>
        <v>5理财产品计提应收利息</v>
      </c>
      <c r="F175" s="547"/>
      <c r="G175" s="541"/>
      <c r="H175" s="541"/>
      <c r="I175" s="553">
        <f t="shared" si="12"/>
        <v>0</v>
      </c>
      <c r="J175" s="487"/>
      <c r="K175" s="536"/>
      <c r="X175" s="501" t="b">
        <f t="shared" si="10"/>
        <v>0</v>
      </c>
    </row>
    <row r="176" s="396" customFormat="1" ht="15" customHeight="1" outlineLevel="3" spans="1:24">
      <c r="A176" s="396" t="s">
        <v>2393</v>
      </c>
      <c r="B176" s="428" t="s">
        <v>2377</v>
      </c>
      <c r="C176" s="429" t="str">
        <f t="shared" si="11"/>
        <v>石嘴山市深阳蓝光市政工程有限公司</v>
      </c>
      <c r="D176" s="544" t="s">
        <v>2366</v>
      </c>
      <c r="E176" s="548" t="s">
        <v>2394</v>
      </c>
      <c r="F176" s="547"/>
      <c r="G176" s="541"/>
      <c r="H176" s="541"/>
      <c r="I176" s="553">
        <f t="shared" si="12"/>
        <v>0</v>
      </c>
      <c r="J176" s="487"/>
      <c r="K176" s="536"/>
      <c r="X176" s="501" t="b">
        <f t="shared" si="10"/>
        <v>1</v>
      </c>
    </row>
    <row r="177" s="396" customFormat="1" ht="15" customHeight="1" outlineLevel="3" spans="1:24">
      <c r="A177" s="396" t="s">
        <v>2395</v>
      </c>
      <c r="B177" s="428" t="s">
        <v>2377</v>
      </c>
      <c r="C177" s="429" t="str">
        <f t="shared" si="11"/>
        <v>石嘴山市深阳蓝光市政工程有限公司</v>
      </c>
      <c r="D177" s="544" t="s">
        <v>2366</v>
      </c>
      <c r="E177" s="548" t="s">
        <v>2396</v>
      </c>
      <c r="F177" s="547"/>
      <c r="G177" s="541"/>
      <c r="H177" s="541"/>
      <c r="I177" s="553">
        <f t="shared" si="12"/>
        <v>0</v>
      </c>
      <c r="J177" s="487"/>
      <c r="K177" s="536"/>
      <c r="X177" s="501" t="b">
        <f t="shared" si="10"/>
        <v>1</v>
      </c>
    </row>
    <row r="178" s="396" customFormat="1" ht="15" customHeight="1" outlineLevel="3" spans="1:24">
      <c r="A178" s="396" t="s">
        <v>2397</v>
      </c>
      <c r="B178" s="428" t="s">
        <v>2377</v>
      </c>
      <c r="C178" s="429" t="str">
        <f t="shared" si="11"/>
        <v>石嘴山市深阳蓝光市政工程有限公司</v>
      </c>
      <c r="D178" s="544" t="s">
        <v>2366</v>
      </c>
      <c r="E178" s="548" t="s">
        <v>2398</v>
      </c>
      <c r="F178" s="547"/>
      <c r="G178" s="541"/>
      <c r="H178" s="541"/>
      <c r="I178" s="553">
        <f t="shared" si="12"/>
        <v>0</v>
      </c>
      <c r="J178" s="487"/>
      <c r="K178" s="536"/>
      <c r="X178" s="501" t="b">
        <f t="shared" si="10"/>
        <v>1</v>
      </c>
    </row>
    <row r="179" s="396" customFormat="1" ht="15" customHeight="1" outlineLevel="3" spans="1:24">
      <c r="A179" s="396" t="s">
        <v>2399</v>
      </c>
      <c r="B179" s="428" t="s">
        <v>2377</v>
      </c>
      <c r="C179" s="429" t="str">
        <f t="shared" si="11"/>
        <v>石嘴山市深阳蓝光市政工程有限公司</v>
      </c>
      <c r="D179" s="544" t="s">
        <v>2366</v>
      </c>
      <c r="E179" s="548" t="s">
        <v>2400</v>
      </c>
      <c r="F179" s="547"/>
      <c r="G179" s="541"/>
      <c r="H179" s="541"/>
      <c r="I179" s="553">
        <f t="shared" si="12"/>
        <v>0</v>
      </c>
      <c r="J179" s="487"/>
      <c r="K179" s="536"/>
      <c r="X179" s="501" t="b">
        <f t="shared" si="10"/>
        <v>1</v>
      </c>
    </row>
    <row r="180" s="396" customFormat="1" ht="15" customHeight="1" outlineLevel="2" spans="1:24">
      <c r="A180" s="396" t="s">
        <v>1580</v>
      </c>
      <c r="B180" s="428" t="s">
        <v>2377</v>
      </c>
      <c r="C180" s="429" t="str">
        <f t="shared" si="11"/>
        <v>石嘴山市深阳蓝光市政工程有限公司</v>
      </c>
      <c r="D180" s="544" t="s">
        <v>2366</v>
      </c>
      <c r="E180" s="533" t="s">
        <v>1580</v>
      </c>
      <c r="F180" s="534">
        <f>F169+F158</f>
        <v>0</v>
      </c>
      <c r="G180" s="534">
        <f>G169+G158</f>
        <v>0</v>
      </c>
      <c r="H180" s="534">
        <f>H169+H158</f>
        <v>0</v>
      </c>
      <c r="I180" s="553">
        <f t="shared" si="12"/>
        <v>0</v>
      </c>
      <c r="J180" s="466"/>
      <c r="K180" s="554"/>
      <c r="X180" s="501" t="b">
        <f t="shared" si="10"/>
        <v>1</v>
      </c>
    </row>
    <row r="181" s="396" customFormat="1" ht="15" customHeight="1" outlineLevel="2" spans="1:24">
      <c r="A181" s="396" t="s">
        <v>1444</v>
      </c>
      <c r="B181" s="428" t="s">
        <v>2377</v>
      </c>
      <c r="C181" s="429" t="str">
        <f t="shared" si="11"/>
        <v>石嘴山市深阳蓝光市政工程有限公司</v>
      </c>
      <c r="D181" s="544" t="s">
        <v>2366</v>
      </c>
      <c r="E181" s="444" t="s">
        <v>1444</v>
      </c>
      <c r="F181" s="549">
        <f>审定资负表!D12</f>
        <v>0</v>
      </c>
      <c r="G181" s="550"/>
      <c r="H181" s="550"/>
      <c r="I181" s="549">
        <f>审定资负表!C12</f>
        <v>0</v>
      </c>
      <c r="J181" s="149"/>
      <c r="X181" s="501" t="b">
        <f t="shared" si="10"/>
        <v>1</v>
      </c>
    </row>
    <row r="182" s="396" customFormat="1" ht="15" customHeight="1" outlineLevel="1" collapsed="1" spans="1:24">
      <c r="A182" s="396" t="s">
        <v>1394</v>
      </c>
      <c r="B182" s="428" t="s">
        <v>2377</v>
      </c>
      <c r="C182" s="429" t="str">
        <f t="shared" si="11"/>
        <v>石嘴山市深阳蓝光市政工程有限公司</v>
      </c>
      <c r="D182" s="544" t="s">
        <v>2366</v>
      </c>
      <c r="E182" s="447" t="s">
        <v>1394</v>
      </c>
      <c r="F182" s="87">
        <f>ROUND(F180-F181,2)</f>
        <v>0</v>
      </c>
      <c r="G182" s="550"/>
      <c r="H182" s="550"/>
      <c r="I182" s="87">
        <f>ROUND(I180-I181,2)</f>
        <v>0</v>
      </c>
      <c r="J182" s="149"/>
      <c r="X182" s="501" t="b">
        <f t="shared" si="10"/>
        <v>1</v>
      </c>
    </row>
    <row r="183" s="396" customFormat="1" ht="15" hidden="1" customHeight="1" outlineLevel="2" spans="2:24">
      <c r="B183" s="428" t="s">
        <v>2377</v>
      </c>
      <c r="C183" s="429" t="str">
        <f t="shared" si="11"/>
        <v>石嘴山市深阳蓝光市政工程有限公司</v>
      </c>
      <c r="D183" s="544" t="s">
        <v>2366</v>
      </c>
      <c r="E183" s="447"/>
      <c r="F183" s="447"/>
      <c r="G183" s="447"/>
      <c r="H183" s="447"/>
      <c r="I183" s="447"/>
      <c r="J183" s="149"/>
      <c r="X183" s="501" t="b">
        <f t="shared" si="10"/>
        <v>1</v>
      </c>
    </row>
    <row r="184" s="396" customFormat="1" ht="15" hidden="1" customHeight="1" outlineLevel="2" spans="1:24">
      <c r="A184" s="396" t="s">
        <v>2404</v>
      </c>
      <c r="B184" s="428" t="s">
        <v>2377</v>
      </c>
      <c r="C184" s="429" t="str">
        <f t="shared" si="11"/>
        <v>石嘴山市深阳蓝光市政工程有限公司</v>
      </c>
      <c r="D184" s="551" t="s">
        <v>2405</v>
      </c>
      <c r="E184" s="485" t="s">
        <v>2406</v>
      </c>
      <c r="F184" s="447"/>
      <c r="G184" s="447"/>
      <c r="H184" s="447"/>
      <c r="I184" s="447"/>
      <c r="J184" s="149"/>
      <c r="X184" s="501" t="b">
        <f t="shared" si="10"/>
        <v>1</v>
      </c>
    </row>
    <row r="185" s="396" customFormat="1" ht="15" hidden="1" customHeight="1" outlineLevel="2" spans="1:24">
      <c r="A185" s="396" t="s">
        <v>992</v>
      </c>
      <c r="B185" s="428" t="s">
        <v>2377</v>
      </c>
      <c r="C185" s="429" t="str">
        <f t="shared" si="11"/>
        <v>石嘴山市深阳蓝光市政工程有限公司</v>
      </c>
      <c r="D185" s="551" t="s">
        <v>2405</v>
      </c>
      <c r="E185" s="533" t="s">
        <v>992</v>
      </c>
      <c r="F185" s="533" t="s">
        <v>1142</v>
      </c>
      <c r="G185" s="533" t="s">
        <v>2407</v>
      </c>
      <c r="H185" s="447"/>
      <c r="I185" s="447"/>
      <c r="J185" s="447"/>
      <c r="X185" s="501" t="b">
        <f t="shared" si="10"/>
        <v>1</v>
      </c>
    </row>
    <row r="186" s="396" customFormat="1" ht="15" hidden="1" customHeight="1" outlineLevel="2" spans="2:24">
      <c r="B186" s="428" t="s">
        <v>2377</v>
      </c>
      <c r="C186" s="429" t="str">
        <f t="shared" si="11"/>
        <v>石嘴山市深阳蓝光市政工程有限公司</v>
      </c>
      <c r="D186" s="551" t="s">
        <v>2408</v>
      </c>
      <c r="E186" s="552"/>
      <c r="F186" s="552"/>
      <c r="G186" s="552"/>
      <c r="H186" s="447"/>
      <c r="I186" s="447"/>
      <c r="J186" s="447"/>
      <c r="X186" s="501" t="b">
        <f t="shared" si="10"/>
        <v>1</v>
      </c>
    </row>
    <row r="187" s="396" customFormat="1" ht="15" hidden="1" customHeight="1" outlineLevel="2" spans="2:24">
      <c r="B187" s="428" t="s">
        <v>2377</v>
      </c>
      <c r="C187" s="429" t="str">
        <f t="shared" si="11"/>
        <v>石嘴山市深阳蓝光市政工程有限公司</v>
      </c>
      <c r="D187" s="551" t="s">
        <v>2408</v>
      </c>
      <c r="E187" s="552"/>
      <c r="F187" s="552"/>
      <c r="G187" s="552"/>
      <c r="H187" s="447"/>
      <c r="I187" s="447"/>
      <c r="J187" s="447"/>
      <c r="X187" s="501" t="b">
        <f t="shared" si="10"/>
        <v>1</v>
      </c>
    </row>
    <row r="188" s="396" customFormat="1" ht="15" hidden="1" customHeight="1" outlineLevel="2" spans="2:24">
      <c r="B188" s="428" t="s">
        <v>2377</v>
      </c>
      <c r="C188" s="429" t="str">
        <f t="shared" ref="C188:C217" si="13">$G$1</f>
        <v>石嘴山市深阳蓝光市政工程有限公司</v>
      </c>
      <c r="D188" s="551" t="s">
        <v>2408</v>
      </c>
      <c r="E188" s="552"/>
      <c r="F188" s="552"/>
      <c r="G188" s="552"/>
      <c r="H188" s="447"/>
      <c r="I188" s="447"/>
      <c r="J188" s="447"/>
      <c r="X188" s="501" t="b">
        <f t="shared" si="10"/>
        <v>1</v>
      </c>
    </row>
    <row r="189" s="396" customFormat="1" ht="15" hidden="1" customHeight="1" outlineLevel="2" spans="2:24">
      <c r="B189" s="428" t="s">
        <v>2377</v>
      </c>
      <c r="C189" s="429" t="str">
        <f t="shared" si="13"/>
        <v>石嘴山市深阳蓝光市政工程有限公司</v>
      </c>
      <c r="D189" s="551" t="s">
        <v>2408</v>
      </c>
      <c r="E189" s="552"/>
      <c r="F189" s="552"/>
      <c r="G189" s="552"/>
      <c r="H189" s="447"/>
      <c r="I189" s="447"/>
      <c r="J189" s="447"/>
      <c r="X189" s="501" t="b">
        <f t="shared" si="10"/>
        <v>1</v>
      </c>
    </row>
    <row r="190" s="396" customFormat="1" ht="15" hidden="1" customHeight="1" outlineLevel="2" spans="2:24">
      <c r="B190" s="428" t="s">
        <v>2377</v>
      </c>
      <c r="C190" s="429" t="str">
        <f t="shared" si="13"/>
        <v>石嘴山市深阳蓝光市政工程有限公司</v>
      </c>
      <c r="D190" s="551" t="s">
        <v>2408</v>
      </c>
      <c r="E190" s="552"/>
      <c r="F190" s="552"/>
      <c r="G190" s="552"/>
      <c r="H190" s="447"/>
      <c r="I190" s="447"/>
      <c r="J190" s="447"/>
      <c r="X190" s="501" t="b">
        <f t="shared" si="10"/>
        <v>1</v>
      </c>
    </row>
    <row r="191" s="396" customFormat="1" ht="15" hidden="1" customHeight="1" outlineLevel="2" spans="1:24">
      <c r="A191" s="396" t="s">
        <v>1580</v>
      </c>
      <c r="B191" s="428" t="s">
        <v>2377</v>
      </c>
      <c r="C191" s="429" t="str">
        <f t="shared" si="13"/>
        <v>石嘴山市深阳蓝光市政工程有限公司</v>
      </c>
      <c r="D191" s="551" t="s">
        <v>2408</v>
      </c>
      <c r="E191" s="533" t="s">
        <v>1580</v>
      </c>
      <c r="F191" s="533"/>
      <c r="G191" s="553">
        <f>SUM(G186:G190)</f>
        <v>0</v>
      </c>
      <c r="H191" s="447"/>
      <c r="I191" s="447"/>
      <c r="J191" s="447"/>
      <c r="X191" s="501" t="b">
        <f t="shared" si="10"/>
        <v>1</v>
      </c>
    </row>
    <row r="192" s="396" customFormat="1" ht="15" hidden="1" customHeight="1" outlineLevel="2" spans="2:24">
      <c r="B192" s="428" t="s">
        <v>2377</v>
      </c>
      <c r="C192" s="429" t="str">
        <f t="shared" si="13"/>
        <v>石嘴山市深阳蓝光市政工程有限公司</v>
      </c>
      <c r="D192" s="551" t="s">
        <v>2408</v>
      </c>
      <c r="E192" s="447"/>
      <c r="F192" s="447"/>
      <c r="G192" s="447"/>
      <c r="H192" s="447"/>
      <c r="I192" s="447"/>
      <c r="J192" s="447"/>
      <c r="X192" s="501" t="b">
        <f t="shared" si="10"/>
        <v>1</v>
      </c>
    </row>
    <row r="193" s="396" customFormat="1" ht="15" hidden="1" customHeight="1" outlineLevel="2" spans="2:24">
      <c r="B193" s="428" t="s">
        <v>2377</v>
      </c>
      <c r="C193" s="429" t="str">
        <f t="shared" si="13"/>
        <v>石嘴山市深阳蓝光市政工程有限公司</v>
      </c>
      <c r="D193" s="555"/>
      <c r="E193" s="506"/>
      <c r="F193" s="556"/>
      <c r="G193" s="505"/>
      <c r="H193" s="505"/>
      <c r="I193" s="505"/>
      <c r="J193" s="149"/>
      <c r="X193" s="501" t="b">
        <f t="shared" si="10"/>
        <v>1</v>
      </c>
    </row>
    <row r="194" s="396" customFormat="1" ht="15" hidden="1" customHeight="1" outlineLevel="2" spans="1:24">
      <c r="A194" s="396" t="s">
        <v>2315</v>
      </c>
      <c r="B194" s="428" t="s">
        <v>2377</v>
      </c>
      <c r="C194" s="429" t="str">
        <f t="shared" si="13"/>
        <v>石嘴山市深阳蓝光市政工程有限公司</v>
      </c>
      <c r="D194" s="555"/>
      <c r="E194" s="506" t="s">
        <v>2334</v>
      </c>
      <c r="F194" s="557"/>
      <c r="G194" s="545"/>
      <c r="H194" s="505"/>
      <c r="I194" s="505"/>
      <c r="J194" s="149"/>
      <c r="X194" s="501" t="b">
        <f t="shared" si="10"/>
        <v>1</v>
      </c>
    </row>
    <row r="195" s="396" customFormat="1" ht="15" hidden="1" customHeight="1" outlineLevel="2" spans="2:24">
      <c r="B195" s="428" t="s">
        <v>2377</v>
      </c>
      <c r="C195" s="429" t="str">
        <f t="shared" si="13"/>
        <v>石嘴山市深阳蓝光市政工程有限公司</v>
      </c>
      <c r="D195" s="555"/>
      <c r="E195" s="149"/>
      <c r="F195" s="149"/>
      <c r="G195" s="149"/>
      <c r="H195" s="149"/>
      <c r="I195" s="149"/>
      <c r="J195" s="149"/>
      <c r="X195" s="501" t="b">
        <f t="shared" si="10"/>
        <v>1</v>
      </c>
    </row>
    <row r="196" s="397" customFormat="1" spans="1:24">
      <c r="A196" s="397" t="s">
        <v>1584</v>
      </c>
      <c r="B196" s="428" t="s">
        <v>2409</v>
      </c>
      <c r="C196" s="429" t="str">
        <f t="shared" si="13"/>
        <v>石嘴山市深阳蓝光市政工程有限公司</v>
      </c>
      <c r="D196" s="558" t="s">
        <v>2410</v>
      </c>
      <c r="E196" s="65" t="s">
        <v>2411</v>
      </c>
      <c r="F196" s="559"/>
      <c r="G196" s="560"/>
      <c r="H196" s="560"/>
      <c r="I196" s="559"/>
      <c r="J196" s="559"/>
      <c r="K196" s="559"/>
      <c r="L196" s="559"/>
      <c r="M196" s="559"/>
      <c r="N196" s="560"/>
      <c r="X196" s="501" t="b">
        <f t="shared" si="10"/>
        <v>1</v>
      </c>
    </row>
    <row r="197" s="397" customFormat="1" ht="22.5" outlineLevel="2" spans="1:24">
      <c r="A197" s="397" t="s">
        <v>2412</v>
      </c>
      <c r="B197" s="428" t="s">
        <v>2409</v>
      </c>
      <c r="C197" s="429" t="str">
        <f t="shared" si="13"/>
        <v>石嘴山市深阳蓝光市政工程有限公司</v>
      </c>
      <c r="D197" s="558" t="s">
        <v>2410</v>
      </c>
      <c r="E197" s="561" t="s">
        <v>2412</v>
      </c>
      <c r="F197" s="562" t="s">
        <v>315</v>
      </c>
      <c r="G197" s="561"/>
      <c r="H197" s="561"/>
      <c r="I197" s="561"/>
      <c r="J197" s="561" t="s">
        <v>1579</v>
      </c>
      <c r="K197" s="561"/>
      <c r="L197" s="561"/>
      <c r="M197" s="561"/>
      <c r="N197" s="588" t="s">
        <v>2413</v>
      </c>
      <c r="O197" s="589" t="s">
        <v>2414</v>
      </c>
      <c r="P197" s="590" t="s">
        <v>2415</v>
      </c>
      <c r="Q197" s="607" t="s">
        <v>2416</v>
      </c>
      <c r="R197" s="590" t="s">
        <v>2417</v>
      </c>
      <c r="S197" s="595" t="s">
        <v>2418</v>
      </c>
      <c r="T197" s="596"/>
      <c r="X197" s="501" t="b">
        <f t="shared" si="10"/>
        <v>1</v>
      </c>
    </row>
    <row r="198" s="397" customFormat="1" outlineLevel="2" spans="2:24">
      <c r="B198" s="428" t="s">
        <v>2409</v>
      </c>
      <c r="C198" s="429" t="str">
        <f t="shared" si="13"/>
        <v>石嘴山市深阳蓝光市政工程有限公司</v>
      </c>
      <c r="D198" s="558" t="s">
        <v>2410</v>
      </c>
      <c r="E198" s="561"/>
      <c r="F198" s="561" t="s">
        <v>2419</v>
      </c>
      <c r="G198" s="561" t="s">
        <v>444</v>
      </c>
      <c r="H198" s="561" t="s">
        <v>470</v>
      </c>
      <c r="I198" s="561" t="s">
        <v>2420</v>
      </c>
      <c r="J198" s="561" t="s">
        <v>2419</v>
      </c>
      <c r="K198" s="561" t="s">
        <v>444</v>
      </c>
      <c r="L198" s="561" t="s">
        <v>470</v>
      </c>
      <c r="M198" s="561" t="s">
        <v>2420</v>
      </c>
      <c r="O198" s="591"/>
      <c r="Q198" s="588"/>
      <c r="R198" s="588"/>
      <c r="S198" s="597" t="s">
        <v>2421</v>
      </c>
      <c r="T198" s="597" t="s">
        <v>2422</v>
      </c>
      <c r="X198" s="501" t="b">
        <f t="shared" si="10"/>
        <v>1</v>
      </c>
    </row>
    <row r="199" s="397" customFormat="1" outlineLevel="2" spans="1:24">
      <c r="A199" s="397" t="s">
        <v>1585</v>
      </c>
      <c r="B199" s="428" t="s">
        <v>2409</v>
      </c>
      <c r="C199" s="429" t="str">
        <f t="shared" si="13"/>
        <v>石嘴山市深阳蓝光市政工程有限公司</v>
      </c>
      <c r="D199" s="558" t="s">
        <v>2410</v>
      </c>
      <c r="E199" s="561" t="s">
        <v>2423</v>
      </c>
      <c r="F199" s="132"/>
      <c r="G199" s="563">
        <f t="shared" ref="G199:G204" si="14">IF($F$205=0,0,ROUND(F199/$F$205,4))+S199</f>
        <v>0</v>
      </c>
      <c r="H199" s="132"/>
      <c r="I199" s="563">
        <f t="shared" ref="I199:I205" si="15">IFERROR(ROUND(H199/F199,4),0)</f>
        <v>0</v>
      </c>
      <c r="J199" s="477">
        <f>报表附注合并期初用!E135</f>
        <v>0</v>
      </c>
      <c r="K199" s="563">
        <f t="shared" ref="K199:K204" si="16">IF($J$205=0,0,ROUND(J199/$J$205,4))+T199</f>
        <v>0</v>
      </c>
      <c r="L199" s="477">
        <f>报表附注合并期初用!E143</f>
        <v>0</v>
      </c>
      <c r="M199" s="563">
        <f>IFERROR(ROUND(L199/J199,4),0)</f>
        <v>0</v>
      </c>
      <c r="N199" s="592">
        <v>0.05</v>
      </c>
      <c r="O199" s="591"/>
      <c r="P199" s="593"/>
      <c r="Q199" s="608">
        <f>F199-K269</f>
        <v>0</v>
      </c>
      <c r="R199" s="609">
        <f t="shared" ref="R199:R204" si="17">ROUND(N199*Q199,2)</f>
        <v>0</v>
      </c>
      <c r="S199" s="598"/>
      <c r="T199" s="598"/>
      <c r="X199" s="501" t="b">
        <f t="shared" si="10"/>
        <v>1</v>
      </c>
    </row>
    <row r="200" s="397" customFormat="1" outlineLevel="2" spans="1:24">
      <c r="A200" s="397" t="s">
        <v>1586</v>
      </c>
      <c r="B200" s="428" t="s">
        <v>2409</v>
      </c>
      <c r="C200" s="429" t="str">
        <f t="shared" si="13"/>
        <v>石嘴山市深阳蓝光市政工程有限公司</v>
      </c>
      <c r="D200" s="558" t="s">
        <v>2410</v>
      </c>
      <c r="E200" s="561" t="s">
        <v>2424</v>
      </c>
      <c r="F200" s="132"/>
      <c r="G200" s="563">
        <f t="shared" si="14"/>
        <v>0</v>
      </c>
      <c r="H200" s="132"/>
      <c r="I200" s="563">
        <f t="shared" si="15"/>
        <v>0</v>
      </c>
      <c r="J200" s="477">
        <f>报表附注合并期初用!E136</f>
        <v>0</v>
      </c>
      <c r="K200" s="563">
        <f t="shared" si="16"/>
        <v>0</v>
      </c>
      <c r="L200" s="477">
        <f>报表附注合并期初用!E144</f>
        <v>0</v>
      </c>
      <c r="M200" s="563">
        <f t="shared" ref="M200:M205" si="18">IFERROR(ROUND(L200/J200,4),0)</f>
        <v>0</v>
      </c>
      <c r="N200" s="592">
        <v>0.1</v>
      </c>
      <c r="O200" s="594" t="str">
        <f>IF(F200&lt;=J199,"合理","1-2年账不合理")</f>
        <v>合理</v>
      </c>
      <c r="P200" s="593"/>
      <c r="Q200" s="608">
        <f>F200-L269</f>
        <v>0</v>
      </c>
      <c r="R200" s="609">
        <f t="shared" si="17"/>
        <v>0</v>
      </c>
      <c r="S200" s="598"/>
      <c r="T200" s="598"/>
      <c r="X200" s="501" t="b">
        <f t="shared" ref="X200:X498" si="19">EXACT(A200,E200)</f>
        <v>1</v>
      </c>
    </row>
    <row r="201" s="397" customFormat="1" outlineLevel="2" spans="1:24">
      <c r="A201" s="397" t="s">
        <v>1587</v>
      </c>
      <c r="B201" s="428" t="s">
        <v>2409</v>
      </c>
      <c r="C201" s="429" t="str">
        <f t="shared" si="13"/>
        <v>石嘴山市深阳蓝光市政工程有限公司</v>
      </c>
      <c r="D201" s="558" t="s">
        <v>2410</v>
      </c>
      <c r="E201" s="561" t="s">
        <v>2425</v>
      </c>
      <c r="F201" s="132"/>
      <c r="G201" s="563">
        <f t="shared" si="14"/>
        <v>0</v>
      </c>
      <c r="H201" s="132"/>
      <c r="I201" s="563">
        <f t="shared" si="15"/>
        <v>0</v>
      </c>
      <c r="J201" s="477">
        <f>报表附注合并期初用!E137</f>
        <v>0</v>
      </c>
      <c r="K201" s="563">
        <f t="shared" si="16"/>
        <v>0</v>
      </c>
      <c r="L201" s="477">
        <f>报表附注合并期初用!E145</f>
        <v>0</v>
      </c>
      <c r="M201" s="563">
        <f t="shared" si="18"/>
        <v>0</v>
      </c>
      <c r="N201" s="592">
        <v>0.3</v>
      </c>
      <c r="O201" s="594" t="str">
        <f>IF(F201&lt;=J200,"合理","2-3年账不合理")</f>
        <v>合理</v>
      </c>
      <c r="P201" s="593"/>
      <c r="Q201" s="608">
        <f>F201-M269</f>
        <v>0</v>
      </c>
      <c r="R201" s="609">
        <f t="shared" si="17"/>
        <v>0</v>
      </c>
      <c r="S201" s="598"/>
      <c r="T201" s="598"/>
      <c r="X201" s="501" t="b">
        <f t="shared" si="19"/>
        <v>1</v>
      </c>
    </row>
    <row r="202" s="397" customFormat="1" outlineLevel="2" spans="1:24">
      <c r="A202" s="397" t="s">
        <v>1588</v>
      </c>
      <c r="B202" s="428" t="s">
        <v>2409</v>
      </c>
      <c r="C202" s="429" t="str">
        <f t="shared" si="13"/>
        <v>石嘴山市深阳蓝光市政工程有限公司</v>
      </c>
      <c r="D202" s="558" t="s">
        <v>2410</v>
      </c>
      <c r="E202" s="561" t="s">
        <v>2426</v>
      </c>
      <c r="F202" s="132"/>
      <c r="G202" s="563">
        <f t="shared" si="14"/>
        <v>0</v>
      </c>
      <c r="H202" s="132"/>
      <c r="I202" s="563">
        <f t="shared" si="15"/>
        <v>0</v>
      </c>
      <c r="J202" s="477">
        <f>报表附注合并期初用!E138</f>
        <v>0</v>
      </c>
      <c r="K202" s="563">
        <f t="shared" si="16"/>
        <v>0</v>
      </c>
      <c r="L202" s="477">
        <f>报表附注合并期初用!E146</f>
        <v>0</v>
      </c>
      <c r="M202" s="563">
        <f t="shared" si="18"/>
        <v>0</v>
      </c>
      <c r="N202" s="592">
        <v>1</v>
      </c>
      <c r="O202" s="594" t="str">
        <f>IF(F202&lt;=J201+J202,"合理","3-4年账不合理")</f>
        <v>合理</v>
      </c>
      <c r="P202" s="593"/>
      <c r="Q202" s="608">
        <f>F202-N269</f>
        <v>0</v>
      </c>
      <c r="R202" s="609">
        <f t="shared" si="17"/>
        <v>0</v>
      </c>
      <c r="S202" s="598"/>
      <c r="T202" s="598"/>
      <c r="X202" s="501" t="b">
        <f t="shared" si="19"/>
        <v>1</v>
      </c>
    </row>
    <row r="203" s="397" customFormat="1" outlineLevel="2" spans="1:24">
      <c r="A203" s="397" t="s">
        <v>1589</v>
      </c>
      <c r="B203" s="428" t="s">
        <v>2409</v>
      </c>
      <c r="C203" s="429" t="str">
        <f t="shared" si="13"/>
        <v>石嘴山市深阳蓝光市政工程有限公司</v>
      </c>
      <c r="D203" s="558" t="s">
        <v>2410</v>
      </c>
      <c r="E203" s="561" t="s">
        <v>2427</v>
      </c>
      <c r="F203" s="564"/>
      <c r="G203" s="563">
        <f t="shared" si="14"/>
        <v>0</v>
      </c>
      <c r="H203" s="564"/>
      <c r="I203" s="563">
        <f t="shared" si="15"/>
        <v>0</v>
      </c>
      <c r="J203" s="477">
        <f>报表附注合并期初用!E139</f>
        <v>0</v>
      </c>
      <c r="K203" s="563">
        <f t="shared" si="16"/>
        <v>0</v>
      </c>
      <c r="L203" s="477">
        <f>报表附注合并期初用!E147</f>
        <v>0</v>
      </c>
      <c r="M203" s="563">
        <f t="shared" si="18"/>
        <v>0</v>
      </c>
      <c r="N203" s="593"/>
      <c r="O203" s="594" t="str">
        <f>IF(F203&lt;=J202,"合理","3-4年账龄不合理")</f>
        <v>合理</v>
      </c>
      <c r="P203" s="593"/>
      <c r="Q203" s="608">
        <f>F203-O269</f>
        <v>0</v>
      </c>
      <c r="R203" s="609">
        <f t="shared" si="17"/>
        <v>0</v>
      </c>
      <c r="S203" s="598"/>
      <c r="T203" s="598"/>
      <c r="X203" s="501" t="b">
        <f t="shared" si="19"/>
        <v>1</v>
      </c>
    </row>
    <row r="204" s="397" customFormat="1" outlineLevel="2" spans="1:24">
      <c r="A204" s="397" t="s">
        <v>1590</v>
      </c>
      <c r="B204" s="428" t="s">
        <v>2409</v>
      </c>
      <c r="C204" s="429" t="str">
        <f t="shared" si="13"/>
        <v>石嘴山市深阳蓝光市政工程有限公司</v>
      </c>
      <c r="D204" s="558" t="s">
        <v>2410</v>
      </c>
      <c r="E204" s="561" t="s">
        <v>2428</v>
      </c>
      <c r="F204" s="564"/>
      <c r="G204" s="563">
        <f t="shared" si="14"/>
        <v>0</v>
      </c>
      <c r="H204" s="564"/>
      <c r="I204" s="563">
        <f t="shared" si="15"/>
        <v>0</v>
      </c>
      <c r="J204" s="477">
        <f>报表附注合并期初用!E140</f>
        <v>0</v>
      </c>
      <c r="K204" s="563">
        <f t="shared" si="16"/>
        <v>0</v>
      </c>
      <c r="L204" s="477">
        <f>报表附注合并期初用!E148</f>
        <v>0</v>
      </c>
      <c r="M204" s="563">
        <f t="shared" si="18"/>
        <v>0</v>
      </c>
      <c r="N204" s="593"/>
      <c r="O204" s="594" t="str">
        <f>IF(F204&lt;=(J204+J203),"合理","5年以上账龄不合理")</f>
        <v>合理</v>
      </c>
      <c r="P204" s="593"/>
      <c r="Q204" s="608">
        <f>F204-P269</f>
        <v>0</v>
      </c>
      <c r="R204" s="609">
        <f t="shared" si="17"/>
        <v>0</v>
      </c>
      <c r="S204" s="598"/>
      <c r="T204" s="598"/>
      <c r="X204" s="501" t="b">
        <f t="shared" si="19"/>
        <v>1</v>
      </c>
    </row>
    <row r="205" s="397" customFormat="1" outlineLevel="2" spans="1:24">
      <c r="A205" s="397" t="s">
        <v>1580</v>
      </c>
      <c r="B205" s="428" t="s">
        <v>2409</v>
      </c>
      <c r="C205" s="429" t="str">
        <f t="shared" si="13"/>
        <v>石嘴山市深阳蓝光市政工程有限公司</v>
      </c>
      <c r="D205" s="558" t="s">
        <v>2410</v>
      </c>
      <c r="E205" s="561" t="s">
        <v>1580</v>
      </c>
      <c r="F205" s="565">
        <f>SUM(F199:F204)</f>
        <v>0</v>
      </c>
      <c r="G205" s="563">
        <f>SUM(G199:G204)</f>
        <v>0</v>
      </c>
      <c r="H205" s="565">
        <f>SUM(H199:H204)</f>
        <v>0</v>
      </c>
      <c r="I205" s="563">
        <f t="shared" si="15"/>
        <v>0</v>
      </c>
      <c r="J205" s="565">
        <f>SUM(J199:J204)</f>
        <v>0</v>
      </c>
      <c r="K205" s="563">
        <f>SUM(K199:K204)</f>
        <v>0</v>
      </c>
      <c r="L205" s="565">
        <f>SUM(L199:L204)</f>
        <v>0</v>
      </c>
      <c r="M205" s="563">
        <f t="shared" si="18"/>
        <v>0</v>
      </c>
      <c r="O205" s="560"/>
      <c r="Q205" s="590" t="s">
        <v>1580</v>
      </c>
      <c r="R205" s="609">
        <f>SUM(R199:R204)</f>
        <v>0</v>
      </c>
      <c r="X205" s="501" t="b">
        <f t="shared" si="19"/>
        <v>1</v>
      </c>
    </row>
    <row r="206" s="397" customFormat="1" outlineLevel="2" spans="1:24">
      <c r="A206" s="397" t="s">
        <v>1444</v>
      </c>
      <c r="B206" s="428" t="s">
        <v>2409</v>
      </c>
      <c r="C206" s="429" t="str">
        <f t="shared" si="13"/>
        <v>石嘴山市深阳蓝光市政工程有限公司</v>
      </c>
      <c r="D206" s="558" t="s">
        <v>2410</v>
      </c>
      <c r="E206" s="444" t="s">
        <v>1444</v>
      </c>
      <c r="F206" s="566">
        <f>审定资负表!C10</f>
        <v>0</v>
      </c>
      <c r="G206" s="567" t="str">
        <f>IF(OR(报表附注!G205=100%,G205=0),"相符","比例合计不等于100%，请检查")</f>
        <v>相符</v>
      </c>
      <c r="H206" s="451"/>
      <c r="I206" s="568"/>
      <c r="J206" s="566">
        <f>审定资负表!D10</f>
        <v>0</v>
      </c>
      <c r="K206" s="567" t="str">
        <f>IF(OR(报表附注!K205=100%,K205=0),"相符","比例合计不等于100%，请检查")</f>
        <v>相符</v>
      </c>
      <c r="L206" s="451"/>
      <c r="M206" s="451"/>
      <c r="N206" s="560"/>
      <c r="P206" s="590" t="s">
        <v>2429</v>
      </c>
      <c r="Q206" s="588"/>
      <c r="R206" s="610" t="str">
        <f>IF(ROUND((报表附注!H205-报表附注!H269-报表附注!R205),2)&lt;&gt;0,"差异："&amp;ROUND((报表附注!H205-报表附注!H269-报表附注!R205),2)&amp;"，不合理","合理")</f>
        <v>合理</v>
      </c>
      <c r="X206" s="501" t="b">
        <f t="shared" si="19"/>
        <v>1</v>
      </c>
    </row>
    <row r="207" s="397" customFormat="1" outlineLevel="1" spans="1:24">
      <c r="A207" s="397" t="s">
        <v>1394</v>
      </c>
      <c r="B207" s="428" t="s">
        <v>2409</v>
      </c>
      <c r="C207" s="429" t="str">
        <f t="shared" si="13"/>
        <v>石嘴山市深阳蓝光市政工程有限公司</v>
      </c>
      <c r="D207" s="558" t="s">
        <v>2410</v>
      </c>
      <c r="E207" s="447" t="s">
        <v>1394</v>
      </c>
      <c r="F207" s="87">
        <f>ROUND(F205-H205-F206,2)</f>
        <v>0</v>
      </c>
      <c r="G207" s="568"/>
      <c r="H207" s="451"/>
      <c r="I207" s="568"/>
      <c r="J207" s="87">
        <f>ROUND(J205-L205-J206,2)</f>
        <v>0</v>
      </c>
      <c r="K207" s="568"/>
      <c r="L207" s="451"/>
      <c r="M207" s="451"/>
      <c r="N207" s="560"/>
      <c r="X207" s="501" t="b">
        <f t="shared" si="19"/>
        <v>1</v>
      </c>
    </row>
    <row r="208" s="397" customFormat="1" outlineLevel="2" spans="1:24">
      <c r="A208" s="397" t="s">
        <v>2430</v>
      </c>
      <c r="B208" s="428" t="s">
        <v>2409</v>
      </c>
      <c r="C208" s="429" t="str">
        <f t="shared" si="13"/>
        <v>石嘴山市深阳蓝光市政工程有限公司</v>
      </c>
      <c r="D208" s="558" t="s">
        <v>2410</v>
      </c>
      <c r="E208" s="559" t="s">
        <v>2430</v>
      </c>
      <c r="F208" s="560"/>
      <c r="G208" s="560"/>
      <c r="H208" s="560"/>
      <c r="I208" s="560"/>
      <c r="J208" s="560"/>
      <c r="K208" s="560"/>
      <c r="L208" s="560"/>
      <c r="M208" s="560"/>
      <c r="N208" s="560"/>
      <c r="X208" s="501" t="b">
        <f t="shared" si="19"/>
        <v>1</v>
      </c>
    </row>
    <row r="209" s="397" customFormat="1" outlineLevel="2" spans="1:24">
      <c r="A209" s="397" t="s">
        <v>851</v>
      </c>
      <c r="B209" s="428" t="s">
        <v>2409</v>
      </c>
      <c r="C209" s="429" t="str">
        <f t="shared" si="13"/>
        <v>石嘴山市深阳蓝光市政工程有限公司</v>
      </c>
      <c r="D209" s="558" t="s">
        <v>2410</v>
      </c>
      <c r="E209" s="561" t="s">
        <v>851</v>
      </c>
      <c r="F209" s="561" t="s">
        <v>315</v>
      </c>
      <c r="G209" s="561"/>
      <c r="H209" s="561"/>
      <c r="I209" s="561"/>
      <c r="J209" s="561" t="s">
        <v>1579</v>
      </c>
      <c r="K209" s="561"/>
      <c r="L209" s="561"/>
      <c r="M209" s="561"/>
      <c r="N209" s="595" t="s">
        <v>2418</v>
      </c>
      <c r="O209" s="596"/>
      <c r="X209" s="501" t="b">
        <f t="shared" si="19"/>
        <v>1</v>
      </c>
    </row>
    <row r="210" s="397" customFormat="1" outlineLevel="2" spans="2:24">
      <c r="B210" s="428" t="s">
        <v>2409</v>
      </c>
      <c r="C210" s="429" t="str">
        <f t="shared" si="13"/>
        <v>石嘴山市深阳蓝光市政工程有限公司</v>
      </c>
      <c r="D210" s="558" t="s">
        <v>2410</v>
      </c>
      <c r="E210" s="561"/>
      <c r="F210" s="561" t="s">
        <v>2419</v>
      </c>
      <c r="G210" s="561" t="s">
        <v>444</v>
      </c>
      <c r="H210" s="561" t="s">
        <v>470</v>
      </c>
      <c r="I210" s="561" t="s">
        <v>2420</v>
      </c>
      <c r="J210" s="561" t="s">
        <v>2419</v>
      </c>
      <c r="K210" s="561" t="s">
        <v>444</v>
      </c>
      <c r="L210" s="561" t="s">
        <v>470</v>
      </c>
      <c r="M210" s="561" t="s">
        <v>2420</v>
      </c>
      <c r="N210" s="597" t="s">
        <v>2421</v>
      </c>
      <c r="O210" s="597" t="s">
        <v>2422</v>
      </c>
      <c r="X210" s="501" t="b">
        <f t="shared" si="19"/>
        <v>1</v>
      </c>
    </row>
    <row r="211" s="397" customFormat="1" outlineLevel="2" spans="1:24">
      <c r="A211" s="397" t="s">
        <v>461</v>
      </c>
      <c r="B211" s="428" t="s">
        <v>2409</v>
      </c>
      <c r="C211" s="429" t="str">
        <f t="shared" si="13"/>
        <v>石嘴山市深阳蓝光市政工程有限公司</v>
      </c>
      <c r="D211" s="558" t="s">
        <v>2410</v>
      </c>
      <c r="E211" s="569" t="s">
        <v>1595</v>
      </c>
      <c r="F211" s="477">
        <f>G223</f>
        <v>0</v>
      </c>
      <c r="G211" s="570">
        <f>IF($F$214=0,0,ROUND(F211/$F$214,4))+N211</f>
        <v>0</v>
      </c>
      <c r="H211" s="477">
        <f>H223</f>
        <v>0</v>
      </c>
      <c r="I211" s="563">
        <f>IFERROR(ROUND(H211/F211,4),0)</f>
        <v>0</v>
      </c>
      <c r="J211" s="477">
        <f>报表附注合并期初用!E170</f>
        <v>0</v>
      </c>
      <c r="K211" s="570">
        <f>IF($J$214=0,0,ROUND(J211/$J$214,4))+O211</f>
        <v>0</v>
      </c>
      <c r="L211" s="477">
        <f>报表附注合并期初用!E175</f>
        <v>0</v>
      </c>
      <c r="M211" s="563">
        <f>IFERROR(ROUND(L211/J211,4),0)</f>
        <v>0</v>
      </c>
      <c r="N211" s="598"/>
      <c r="O211" s="598"/>
      <c r="X211" s="501" t="b">
        <f t="shared" si="19"/>
        <v>0</v>
      </c>
    </row>
    <row r="212" s="397" customFormat="1" outlineLevel="2" spans="1:24">
      <c r="A212" s="397" t="s">
        <v>463</v>
      </c>
      <c r="B212" s="428" t="s">
        <v>2409</v>
      </c>
      <c r="C212" s="429" t="str">
        <f t="shared" si="13"/>
        <v>石嘴山市深阳蓝光市政工程有限公司</v>
      </c>
      <c r="D212" s="558" t="s">
        <v>2410</v>
      </c>
      <c r="E212" s="569" t="s">
        <v>1596</v>
      </c>
      <c r="F212" s="477">
        <f>F328</f>
        <v>0</v>
      </c>
      <c r="G212" s="570">
        <f>IF($F$214=0,0,ROUND(F212/$F$214,4))+N212</f>
        <v>0</v>
      </c>
      <c r="H212" s="477">
        <f>H328</f>
        <v>0</v>
      </c>
      <c r="I212" s="563">
        <f>IFERROR(ROUND(H212/F212,4),0)</f>
        <v>0</v>
      </c>
      <c r="J212" s="477">
        <f>报表附注合并期初用!E171</f>
        <v>0</v>
      </c>
      <c r="K212" s="570">
        <f>IF($J$214=0,0,ROUND(J212/$J$214,4))+O212</f>
        <v>0</v>
      </c>
      <c r="L212" s="477">
        <f>报表附注合并期初用!E176</f>
        <v>0</v>
      </c>
      <c r="M212" s="563">
        <f>IFERROR(ROUND(L212/J212,4),0)</f>
        <v>0</v>
      </c>
      <c r="N212" s="598"/>
      <c r="O212" s="598"/>
      <c r="X212" s="501" t="b">
        <f t="shared" si="19"/>
        <v>0</v>
      </c>
    </row>
    <row r="213" s="397" customFormat="1" outlineLevel="2" spans="1:24">
      <c r="A213" s="397" t="s">
        <v>465</v>
      </c>
      <c r="B213" s="428" t="s">
        <v>2409</v>
      </c>
      <c r="C213" s="429" t="str">
        <f t="shared" si="13"/>
        <v>石嘴山市深阳蓝光市政工程有限公司</v>
      </c>
      <c r="D213" s="558" t="s">
        <v>2410</v>
      </c>
      <c r="E213" s="569" t="s">
        <v>1597</v>
      </c>
      <c r="F213" s="477">
        <f>G247</f>
        <v>0</v>
      </c>
      <c r="G213" s="570">
        <f>IF($F$214=0,0,ROUND(F213/$F$214,4))+N213</f>
        <v>0</v>
      </c>
      <c r="H213" s="477">
        <f>H247</f>
        <v>0</v>
      </c>
      <c r="I213" s="563">
        <f>IFERROR(ROUND(H213/F213,4),0)</f>
        <v>0</v>
      </c>
      <c r="J213" s="477">
        <f>报表附注合并期初用!E172</f>
        <v>0</v>
      </c>
      <c r="K213" s="570">
        <f>IF($J$214=0,0,ROUND(J213/$J$214,4))+O213</f>
        <v>0</v>
      </c>
      <c r="L213" s="477">
        <f>报表附注合并期初用!E177</f>
        <v>0</v>
      </c>
      <c r="M213" s="563">
        <f>IFERROR(ROUND(L213/J213,4),0)</f>
        <v>0</v>
      </c>
      <c r="N213" s="598"/>
      <c r="O213" s="598"/>
      <c r="X213" s="501" t="b">
        <f t="shared" si="19"/>
        <v>0</v>
      </c>
    </row>
    <row r="214" s="397" customFormat="1" outlineLevel="2" spans="1:24">
      <c r="A214" s="397" t="s">
        <v>1580</v>
      </c>
      <c r="B214" s="428" t="s">
        <v>2409</v>
      </c>
      <c r="C214" s="429" t="str">
        <f t="shared" si="13"/>
        <v>石嘴山市深阳蓝光市政工程有限公司</v>
      </c>
      <c r="D214" s="558" t="s">
        <v>2410</v>
      </c>
      <c r="E214" s="561" t="s">
        <v>1580</v>
      </c>
      <c r="F214" s="565">
        <f>SUM(F211:F213)</f>
        <v>0</v>
      </c>
      <c r="G214" s="563">
        <f>SUM(G211:G213)</f>
        <v>0</v>
      </c>
      <c r="H214" s="565">
        <f>SUM(H211:H213)</f>
        <v>0</v>
      </c>
      <c r="I214" s="563">
        <f>IFERROR(ROUND(H214/F214,4),0)</f>
        <v>0</v>
      </c>
      <c r="J214" s="565">
        <f>SUM(J211:J213)</f>
        <v>0</v>
      </c>
      <c r="K214" s="563">
        <f>SUM(K211:K213)</f>
        <v>0</v>
      </c>
      <c r="L214" s="565">
        <f>SUM(L211:L213)</f>
        <v>0</v>
      </c>
      <c r="M214" s="563">
        <f>IFERROR(ROUND(L214/J214,4),0)</f>
        <v>0</v>
      </c>
      <c r="N214" s="560"/>
      <c r="X214" s="501" t="b">
        <f t="shared" si="19"/>
        <v>1</v>
      </c>
    </row>
    <row r="215" s="397" customFormat="1" outlineLevel="2" spans="1:24">
      <c r="A215" s="397" t="s">
        <v>2431</v>
      </c>
      <c r="B215" s="428" t="s">
        <v>2409</v>
      </c>
      <c r="C215" s="429" t="str">
        <f t="shared" si="13"/>
        <v>石嘴山市深阳蓝光市政工程有限公司</v>
      </c>
      <c r="D215" s="558" t="s">
        <v>2410</v>
      </c>
      <c r="E215" s="571" t="s">
        <v>2432</v>
      </c>
      <c r="F215" s="451"/>
      <c r="G215" s="572"/>
      <c r="H215" s="451"/>
      <c r="I215" s="599"/>
      <c r="J215" s="451"/>
      <c r="K215" s="572"/>
      <c r="L215" s="451"/>
      <c r="M215" s="599"/>
      <c r="N215" s="560"/>
      <c r="X215" s="501" t="b">
        <f t="shared" si="19"/>
        <v>0</v>
      </c>
    </row>
    <row r="216" s="397" customFormat="1" outlineLevel="2" spans="1:24">
      <c r="A216" s="397" t="s">
        <v>2315</v>
      </c>
      <c r="B216" s="428" t="s">
        <v>2409</v>
      </c>
      <c r="C216" s="429" t="str">
        <f t="shared" si="13"/>
        <v>石嘴山市深阳蓝光市政工程有限公司</v>
      </c>
      <c r="D216" s="558" t="s">
        <v>2410</v>
      </c>
      <c r="E216" s="573" t="s">
        <v>2315</v>
      </c>
      <c r="F216" s="471"/>
      <c r="G216" s="574"/>
      <c r="H216" s="471"/>
      <c r="I216" s="600"/>
      <c r="J216" s="471"/>
      <c r="K216" s="574"/>
      <c r="L216" s="471"/>
      <c r="M216" s="600"/>
      <c r="N216" s="601"/>
      <c r="O216" s="593"/>
      <c r="X216" s="501" t="b">
        <f t="shared" si="19"/>
        <v>1</v>
      </c>
    </row>
    <row r="217" s="397" customFormat="1" outlineLevel="2" spans="1:24">
      <c r="A217" s="397" t="s">
        <v>2433</v>
      </c>
      <c r="B217" s="575" t="s">
        <v>2409</v>
      </c>
      <c r="C217" s="429" t="str">
        <f t="shared" si="13"/>
        <v>石嘴山市深阳蓝光市政工程有限公司</v>
      </c>
      <c r="D217" s="576" t="s">
        <v>2410</v>
      </c>
      <c r="E217" s="577" t="s">
        <v>2433</v>
      </c>
      <c r="F217" s="87">
        <f>F205-F214</f>
        <v>0</v>
      </c>
      <c r="G217" s="567" t="str">
        <f>IF(OR(报表附注!G214=100%,G214=0),"相符","比例合计不等于100%，请检查")</f>
        <v>相符</v>
      </c>
      <c r="H217" s="87">
        <f>H205-H214</f>
        <v>0</v>
      </c>
      <c r="I217" s="568"/>
      <c r="J217" s="87">
        <f>J205-J214</f>
        <v>0</v>
      </c>
      <c r="K217" s="567" t="str">
        <f>IF(OR(报表附注!K214=100%,K214=0),"相符","比例合计不等于100%，请检查")</f>
        <v>相符</v>
      </c>
      <c r="L217" s="87">
        <f>L205-L214</f>
        <v>0</v>
      </c>
      <c r="M217" s="568"/>
      <c r="N217" s="560"/>
      <c r="X217" s="501" t="b">
        <f t="shared" si="19"/>
        <v>1</v>
      </c>
    </row>
    <row r="218" s="397" customFormat="1" outlineLevel="2" spans="2:24">
      <c r="B218" s="575"/>
      <c r="C218" s="578"/>
      <c r="D218" s="576"/>
      <c r="E218" s="577" t="s">
        <v>2434</v>
      </c>
      <c r="F218" s="87">
        <f>F211-G223</f>
        <v>0</v>
      </c>
      <c r="G218" s="568"/>
      <c r="H218" s="87">
        <f>H211-H223</f>
        <v>0</v>
      </c>
      <c r="I218" s="568"/>
      <c r="J218" s="87">
        <f>J211-G272</f>
        <v>0</v>
      </c>
      <c r="K218" s="568"/>
      <c r="L218" s="87">
        <f>L211-H272</f>
        <v>0</v>
      </c>
      <c r="M218" s="568"/>
      <c r="N218" s="560"/>
      <c r="X218" s="420"/>
    </row>
    <row r="219" s="397" customFormat="1" outlineLevel="2" spans="2:24">
      <c r="B219" s="575"/>
      <c r="C219" s="578"/>
      <c r="D219" s="576"/>
      <c r="E219" s="577" t="s">
        <v>2435</v>
      </c>
      <c r="F219" s="87">
        <f>F212-F328</f>
        <v>0</v>
      </c>
      <c r="G219" s="568"/>
      <c r="H219" s="87">
        <f>H212-H328</f>
        <v>0</v>
      </c>
      <c r="I219" s="568"/>
      <c r="J219" s="87">
        <f>J212-J328</f>
        <v>0</v>
      </c>
      <c r="K219" s="568"/>
      <c r="L219" s="87">
        <f>L212-L328</f>
        <v>0</v>
      </c>
      <c r="M219" s="568"/>
      <c r="N219" s="560"/>
      <c r="X219" s="420"/>
    </row>
    <row r="220" s="397" customFormat="1" outlineLevel="2" spans="2:24">
      <c r="B220" s="575"/>
      <c r="C220" s="578"/>
      <c r="D220" s="576"/>
      <c r="E220" s="577" t="s">
        <v>2436</v>
      </c>
      <c r="F220" s="87">
        <f>F213-G247</f>
        <v>0</v>
      </c>
      <c r="G220" s="568"/>
      <c r="H220" s="87">
        <f>H213-H247</f>
        <v>0</v>
      </c>
      <c r="I220" s="568"/>
      <c r="J220" s="87">
        <f>J213-G296</f>
        <v>0</v>
      </c>
      <c r="K220" s="568"/>
      <c r="L220" s="87">
        <f>L213-H296</f>
        <v>0</v>
      </c>
      <c r="M220" s="568"/>
      <c r="N220" s="560"/>
      <c r="X220" s="420"/>
    </row>
    <row r="221" s="397" customFormat="1" outlineLevel="2" spans="1:24">
      <c r="A221" s="397" t="s">
        <v>2437</v>
      </c>
      <c r="B221" s="575" t="s">
        <v>2409</v>
      </c>
      <c r="C221" s="429" t="str">
        <f>$G$1</f>
        <v>石嘴山市深阳蓝光市政工程有限公司</v>
      </c>
      <c r="D221" s="579" t="s">
        <v>2438</v>
      </c>
      <c r="E221" s="149" t="s">
        <v>2439</v>
      </c>
      <c r="F221" s="580"/>
      <c r="G221" s="568"/>
      <c r="H221" s="451"/>
      <c r="I221" s="568"/>
      <c r="J221" s="451"/>
      <c r="K221" s="568"/>
      <c r="L221" s="451"/>
      <c r="M221" s="568"/>
      <c r="N221" s="560"/>
      <c r="X221" s="501" t="b">
        <f t="shared" si="19"/>
        <v>0</v>
      </c>
    </row>
    <row r="222" s="397" customFormat="1" outlineLevel="2" spans="1:24">
      <c r="A222" s="397" t="s">
        <v>2036</v>
      </c>
      <c r="B222" s="575" t="s">
        <v>2409</v>
      </c>
      <c r="C222" s="429" t="str">
        <f>$G$1</f>
        <v>石嘴山市深阳蓝光市政工程有限公司</v>
      </c>
      <c r="D222" s="579" t="s">
        <v>2438</v>
      </c>
      <c r="E222" s="581" t="s">
        <v>2036</v>
      </c>
      <c r="F222" s="581" t="s">
        <v>2440</v>
      </c>
      <c r="G222" s="581" t="s">
        <v>1618</v>
      </c>
      <c r="H222" s="581" t="s">
        <v>2441</v>
      </c>
      <c r="I222" s="581" t="s">
        <v>2442</v>
      </c>
      <c r="J222" s="581" t="s">
        <v>2443</v>
      </c>
      <c r="K222" s="602" t="s">
        <v>1585</v>
      </c>
      <c r="L222" s="564" t="s">
        <v>2424</v>
      </c>
      <c r="M222" s="602" t="s">
        <v>1587</v>
      </c>
      <c r="N222" s="603" t="s">
        <v>2426</v>
      </c>
      <c r="O222" s="604" t="s">
        <v>2427</v>
      </c>
      <c r="P222" s="604" t="s">
        <v>2428</v>
      </c>
      <c r="Q222" s="604" t="s">
        <v>1556</v>
      </c>
      <c r="X222" s="501" t="b">
        <f t="shared" si="19"/>
        <v>1</v>
      </c>
    </row>
    <row r="223" s="397" customFormat="1" outlineLevel="2" spans="2:24">
      <c r="B223" s="575" t="s">
        <v>2409</v>
      </c>
      <c r="C223" s="429" t="str">
        <f>$G$1</f>
        <v>石嘴山市深阳蓝光市政工程有限公司</v>
      </c>
      <c r="D223" s="579" t="s">
        <v>2438</v>
      </c>
      <c r="E223" s="582" t="s">
        <v>2444</v>
      </c>
      <c r="F223" s="583"/>
      <c r="G223" s="584">
        <f>ROUND(SUM(G224:G246),2)</f>
        <v>0</v>
      </c>
      <c r="H223" s="584">
        <f>ROUND(SUM(H224:H246),2)</f>
        <v>0</v>
      </c>
      <c r="I223" s="605">
        <f>IFERROR(ROUND(H223/G223,4),0)</f>
        <v>0</v>
      </c>
      <c r="J223" s="606"/>
      <c r="K223" s="584">
        <f t="shared" ref="K223:P223" si="20">ROUND(SUM(K224:K246),2)</f>
        <v>0</v>
      </c>
      <c r="L223" s="584">
        <f t="shared" si="20"/>
        <v>0</v>
      </c>
      <c r="M223" s="584">
        <f t="shared" si="20"/>
        <v>0</v>
      </c>
      <c r="N223" s="584">
        <f t="shared" si="20"/>
        <v>0</v>
      </c>
      <c r="O223" s="584">
        <f t="shared" si="20"/>
        <v>0</v>
      </c>
      <c r="P223" s="584">
        <f t="shared" si="20"/>
        <v>0</v>
      </c>
      <c r="Q223" s="611" t="str">
        <f t="shared" ref="Q223:Q269" si="21">IF(ROUND(G223-K223-L223-M223-O223-P223-N223,2)=0,"正确","错误请核对")</f>
        <v>正确</v>
      </c>
      <c r="X223" s="501" t="b">
        <f t="shared" si="19"/>
        <v>0</v>
      </c>
    </row>
    <row r="224" s="397" customFormat="1" outlineLevel="2" spans="2:24">
      <c r="B224" s="575" t="s">
        <v>2409</v>
      </c>
      <c r="C224" s="429" t="str">
        <f>$G$1</f>
        <v>石嘴山市深阳蓝光市政工程有限公司</v>
      </c>
      <c r="D224" s="579" t="s">
        <v>2438</v>
      </c>
      <c r="E224" s="585"/>
      <c r="F224" s="586"/>
      <c r="G224" s="132"/>
      <c r="H224" s="454"/>
      <c r="I224" s="605">
        <f t="shared" ref="I224:I269" si="22">IFERROR(ROUND(H224/G224,4),0)</f>
        <v>0</v>
      </c>
      <c r="J224" s="587"/>
      <c r="K224" s="454"/>
      <c r="L224" s="454"/>
      <c r="M224" s="454"/>
      <c r="N224" s="454"/>
      <c r="O224" s="564"/>
      <c r="P224" s="564"/>
      <c r="Q224" s="611" t="str">
        <f t="shared" si="21"/>
        <v>正确</v>
      </c>
      <c r="X224" s="501" t="b">
        <f t="shared" si="19"/>
        <v>1</v>
      </c>
    </row>
    <row r="225" s="397" customFormat="1" outlineLevel="2" spans="2:24">
      <c r="B225" s="575"/>
      <c r="C225" s="578"/>
      <c r="D225" s="579"/>
      <c r="E225" s="585"/>
      <c r="F225" s="586"/>
      <c r="G225" s="132"/>
      <c r="H225" s="587"/>
      <c r="I225" s="605">
        <f t="shared" si="22"/>
        <v>0</v>
      </c>
      <c r="J225" s="587"/>
      <c r="K225" s="454"/>
      <c r="L225" s="454"/>
      <c r="M225" s="454"/>
      <c r="N225" s="454"/>
      <c r="O225" s="564"/>
      <c r="P225" s="564"/>
      <c r="Q225" s="611" t="str">
        <f t="shared" si="21"/>
        <v>正确</v>
      </c>
      <c r="X225" s="420"/>
    </row>
    <row r="226" s="397" customFormat="1" outlineLevel="2" spans="2:24">
      <c r="B226" s="575"/>
      <c r="C226" s="578"/>
      <c r="D226" s="579"/>
      <c r="E226" s="585"/>
      <c r="F226" s="586"/>
      <c r="G226" s="132"/>
      <c r="H226" s="587"/>
      <c r="I226" s="605">
        <f t="shared" si="22"/>
        <v>0</v>
      </c>
      <c r="J226" s="587"/>
      <c r="K226" s="454"/>
      <c r="L226" s="454"/>
      <c r="M226" s="454"/>
      <c r="N226" s="454"/>
      <c r="O226" s="564"/>
      <c r="P226" s="564"/>
      <c r="Q226" s="611" t="str">
        <f t="shared" si="21"/>
        <v>正确</v>
      </c>
      <c r="X226" s="420"/>
    </row>
    <row r="227" s="397" customFormat="1" outlineLevel="2" spans="2:24">
      <c r="B227" s="575"/>
      <c r="C227" s="578"/>
      <c r="D227" s="579"/>
      <c r="E227" s="585"/>
      <c r="F227" s="586"/>
      <c r="G227" s="132"/>
      <c r="H227" s="587"/>
      <c r="I227" s="605">
        <f t="shared" si="22"/>
        <v>0</v>
      </c>
      <c r="J227" s="587"/>
      <c r="K227" s="454"/>
      <c r="L227" s="454"/>
      <c r="M227" s="454"/>
      <c r="N227" s="454"/>
      <c r="O227" s="564"/>
      <c r="P227" s="564"/>
      <c r="Q227" s="611" t="str">
        <f t="shared" si="21"/>
        <v>正确</v>
      </c>
      <c r="X227" s="420"/>
    </row>
    <row r="228" s="397" customFormat="1" outlineLevel="2" spans="2:24">
      <c r="B228" s="575"/>
      <c r="C228" s="578"/>
      <c r="D228" s="579"/>
      <c r="E228" s="585"/>
      <c r="F228" s="586"/>
      <c r="G228" s="132"/>
      <c r="H228" s="587"/>
      <c r="I228" s="605">
        <f t="shared" si="22"/>
        <v>0</v>
      </c>
      <c r="J228" s="587"/>
      <c r="K228" s="454"/>
      <c r="L228" s="454"/>
      <c r="M228" s="454"/>
      <c r="N228" s="454"/>
      <c r="O228" s="564"/>
      <c r="P228" s="564"/>
      <c r="Q228" s="611" t="str">
        <f t="shared" si="21"/>
        <v>正确</v>
      </c>
      <c r="X228" s="420"/>
    </row>
    <row r="229" s="397" customFormat="1" outlineLevel="2" spans="2:24">
      <c r="B229" s="575" t="s">
        <v>2409</v>
      </c>
      <c r="C229" s="429" t="str">
        <f>$G$1</f>
        <v>石嘴山市深阳蓝光市政工程有限公司</v>
      </c>
      <c r="D229" s="579" t="s">
        <v>2438</v>
      </c>
      <c r="E229" s="585"/>
      <c r="F229" s="586"/>
      <c r="G229" s="132"/>
      <c r="H229" s="587"/>
      <c r="I229" s="605">
        <f t="shared" si="22"/>
        <v>0</v>
      </c>
      <c r="J229" s="587"/>
      <c r="K229" s="454"/>
      <c r="L229" s="454"/>
      <c r="M229" s="454"/>
      <c r="N229" s="454"/>
      <c r="O229" s="564"/>
      <c r="P229" s="564"/>
      <c r="Q229" s="611" t="str">
        <f t="shared" si="21"/>
        <v>正确</v>
      </c>
      <c r="X229" s="501" t="b">
        <f t="shared" si="19"/>
        <v>1</v>
      </c>
    </row>
    <row r="230" s="397" customFormat="1" outlineLevel="2" spans="2:24">
      <c r="B230" s="575"/>
      <c r="C230" s="578"/>
      <c r="D230" s="579"/>
      <c r="E230" s="585"/>
      <c r="F230" s="586"/>
      <c r="G230" s="132"/>
      <c r="H230" s="587"/>
      <c r="I230" s="605">
        <f t="shared" si="22"/>
        <v>0</v>
      </c>
      <c r="J230" s="587"/>
      <c r="K230" s="454"/>
      <c r="L230" s="454"/>
      <c r="M230" s="454"/>
      <c r="N230" s="454"/>
      <c r="O230" s="564"/>
      <c r="P230" s="564"/>
      <c r="Q230" s="611" t="str">
        <f t="shared" si="21"/>
        <v>正确</v>
      </c>
      <c r="X230" s="420"/>
    </row>
    <row r="231" s="397" customFormat="1" outlineLevel="2" spans="2:24">
      <c r="B231" s="575"/>
      <c r="C231" s="578"/>
      <c r="D231" s="579"/>
      <c r="E231" s="585"/>
      <c r="F231" s="586"/>
      <c r="G231" s="132"/>
      <c r="H231" s="587"/>
      <c r="I231" s="605">
        <f t="shared" si="22"/>
        <v>0</v>
      </c>
      <c r="J231" s="587"/>
      <c r="K231" s="454"/>
      <c r="L231" s="454"/>
      <c r="M231" s="454"/>
      <c r="N231" s="454"/>
      <c r="O231" s="564"/>
      <c r="P231" s="564"/>
      <c r="Q231" s="611" t="str">
        <f t="shared" si="21"/>
        <v>正确</v>
      </c>
      <c r="X231" s="420"/>
    </row>
    <row r="232" s="397" customFormat="1" outlineLevel="2" spans="2:24">
      <c r="B232" s="575"/>
      <c r="C232" s="578"/>
      <c r="D232" s="579"/>
      <c r="E232" s="585"/>
      <c r="F232" s="586"/>
      <c r="G232" s="132"/>
      <c r="H232" s="587"/>
      <c r="I232" s="605">
        <f t="shared" si="22"/>
        <v>0</v>
      </c>
      <c r="J232" s="587"/>
      <c r="K232" s="454"/>
      <c r="L232" s="454"/>
      <c r="M232" s="454"/>
      <c r="N232" s="454"/>
      <c r="O232" s="564"/>
      <c r="P232" s="564"/>
      <c r="Q232" s="611" t="str">
        <f t="shared" si="21"/>
        <v>正确</v>
      </c>
      <c r="X232" s="420"/>
    </row>
    <row r="233" s="397" customFormat="1" outlineLevel="2" spans="2:24">
      <c r="B233" s="575"/>
      <c r="C233" s="578"/>
      <c r="D233" s="579"/>
      <c r="E233" s="585"/>
      <c r="F233" s="586"/>
      <c r="G233" s="132"/>
      <c r="H233" s="587"/>
      <c r="I233" s="605">
        <f t="shared" si="22"/>
        <v>0</v>
      </c>
      <c r="J233" s="587"/>
      <c r="K233" s="454"/>
      <c r="L233" s="454"/>
      <c r="M233" s="454"/>
      <c r="N233" s="454"/>
      <c r="O233" s="564"/>
      <c r="P233" s="564"/>
      <c r="Q233" s="611" t="str">
        <f t="shared" si="21"/>
        <v>正确</v>
      </c>
      <c r="X233" s="420"/>
    </row>
    <row r="234" s="397" customFormat="1" outlineLevel="2" spans="2:24">
      <c r="B234" s="575"/>
      <c r="C234" s="578"/>
      <c r="D234" s="579"/>
      <c r="E234" s="585"/>
      <c r="F234" s="586"/>
      <c r="G234" s="132"/>
      <c r="H234" s="587"/>
      <c r="I234" s="605">
        <f t="shared" si="22"/>
        <v>0</v>
      </c>
      <c r="J234" s="587"/>
      <c r="K234" s="454"/>
      <c r="L234" s="454"/>
      <c r="M234" s="454"/>
      <c r="N234" s="454"/>
      <c r="O234" s="564"/>
      <c r="P234" s="564"/>
      <c r="Q234" s="611" t="str">
        <f t="shared" si="21"/>
        <v>正确</v>
      </c>
      <c r="X234" s="420"/>
    </row>
    <row r="235" s="397" customFormat="1" outlineLevel="2" spans="2:24">
      <c r="B235" s="575"/>
      <c r="C235" s="578"/>
      <c r="D235" s="579"/>
      <c r="E235" s="585"/>
      <c r="F235" s="586"/>
      <c r="G235" s="132"/>
      <c r="H235" s="587"/>
      <c r="I235" s="605">
        <f t="shared" si="22"/>
        <v>0</v>
      </c>
      <c r="J235" s="587"/>
      <c r="K235" s="454"/>
      <c r="L235" s="454"/>
      <c r="M235" s="454"/>
      <c r="N235" s="454"/>
      <c r="O235" s="564"/>
      <c r="P235" s="564"/>
      <c r="Q235" s="611" t="str">
        <f t="shared" si="21"/>
        <v>正确</v>
      </c>
      <c r="X235" s="420"/>
    </row>
    <row r="236" s="397" customFormat="1" outlineLevel="2" spans="2:24">
      <c r="B236" s="575"/>
      <c r="C236" s="578"/>
      <c r="D236" s="579"/>
      <c r="E236" s="585"/>
      <c r="F236" s="586"/>
      <c r="G236" s="132"/>
      <c r="H236" s="587"/>
      <c r="I236" s="605">
        <f t="shared" si="22"/>
        <v>0</v>
      </c>
      <c r="J236" s="587"/>
      <c r="K236" s="454"/>
      <c r="L236" s="454"/>
      <c r="M236" s="454"/>
      <c r="N236" s="454"/>
      <c r="O236" s="564"/>
      <c r="P236" s="564"/>
      <c r="Q236" s="611" t="str">
        <f t="shared" si="21"/>
        <v>正确</v>
      </c>
      <c r="X236" s="420"/>
    </row>
    <row r="237" s="397" customFormat="1" outlineLevel="2" spans="2:24">
      <c r="B237" s="575"/>
      <c r="C237" s="578"/>
      <c r="D237" s="579"/>
      <c r="E237" s="585"/>
      <c r="F237" s="586"/>
      <c r="G237" s="132"/>
      <c r="H237" s="587"/>
      <c r="I237" s="605">
        <f t="shared" si="22"/>
        <v>0</v>
      </c>
      <c r="J237" s="587"/>
      <c r="K237" s="454"/>
      <c r="L237" s="454"/>
      <c r="M237" s="454"/>
      <c r="N237" s="454"/>
      <c r="O237" s="564"/>
      <c r="P237" s="564"/>
      <c r="Q237" s="611" t="str">
        <f t="shared" si="21"/>
        <v>正确</v>
      </c>
      <c r="X237" s="420"/>
    </row>
    <row r="238" s="397" customFormat="1" outlineLevel="2" spans="2:24">
      <c r="B238" s="575"/>
      <c r="C238" s="578"/>
      <c r="D238" s="579"/>
      <c r="E238" s="585"/>
      <c r="F238" s="586"/>
      <c r="G238" s="132"/>
      <c r="H238" s="587"/>
      <c r="I238" s="605">
        <f t="shared" si="22"/>
        <v>0</v>
      </c>
      <c r="J238" s="587"/>
      <c r="K238" s="454"/>
      <c r="L238" s="454"/>
      <c r="M238" s="454"/>
      <c r="N238" s="454"/>
      <c r="O238" s="564"/>
      <c r="P238" s="564"/>
      <c r="Q238" s="611" t="str">
        <f t="shared" si="21"/>
        <v>正确</v>
      </c>
      <c r="X238" s="420"/>
    </row>
    <row r="239" s="397" customFormat="1" outlineLevel="2" spans="2:24">
      <c r="B239" s="575"/>
      <c r="C239" s="578"/>
      <c r="D239" s="579"/>
      <c r="E239" s="585"/>
      <c r="F239" s="586"/>
      <c r="G239" s="132"/>
      <c r="H239" s="587"/>
      <c r="I239" s="605">
        <f t="shared" si="22"/>
        <v>0</v>
      </c>
      <c r="J239" s="587"/>
      <c r="K239" s="454"/>
      <c r="L239" s="454"/>
      <c r="M239" s="454"/>
      <c r="N239" s="454"/>
      <c r="O239" s="564"/>
      <c r="P239" s="564"/>
      <c r="Q239" s="611" t="str">
        <f t="shared" si="21"/>
        <v>正确</v>
      </c>
      <c r="X239" s="420"/>
    </row>
    <row r="240" s="397" customFormat="1" outlineLevel="2" spans="2:24">
      <c r="B240" s="575"/>
      <c r="C240" s="578"/>
      <c r="D240" s="579"/>
      <c r="E240" s="585"/>
      <c r="F240" s="586"/>
      <c r="G240" s="132"/>
      <c r="H240" s="587"/>
      <c r="I240" s="605">
        <f t="shared" si="22"/>
        <v>0</v>
      </c>
      <c r="J240" s="587"/>
      <c r="K240" s="454"/>
      <c r="L240" s="454"/>
      <c r="M240" s="454"/>
      <c r="N240" s="454"/>
      <c r="O240" s="564"/>
      <c r="P240" s="564"/>
      <c r="Q240" s="611" t="str">
        <f t="shared" si="21"/>
        <v>正确</v>
      </c>
      <c r="X240" s="420"/>
    </row>
    <row r="241" s="397" customFormat="1" outlineLevel="2" spans="2:24">
      <c r="B241" s="575"/>
      <c r="C241" s="578"/>
      <c r="D241" s="579"/>
      <c r="E241" s="585"/>
      <c r="F241" s="586"/>
      <c r="G241" s="132"/>
      <c r="H241" s="587"/>
      <c r="I241" s="605">
        <f t="shared" si="22"/>
        <v>0</v>
      </c>
      <c r="J241" s="587"/>
      <c r="K241" s="454"/>
      <c r="L241" s="454"/>
      <c r="M241" s="454"/>
      <c r="N241" s="454"/>
      <c r="O241" s="564"/>
      <c r="P241" s="564"/>
      <c r="Q241" s="611" t="str">
        <f t="shared" si="21"/>
        <v>正确</v>
      </c>
      <c r="X241" s="420"/>
    </row>
    <row r="242" s="397" customFormat="1" outlineLevel="2" spans="2:24">
      <c r="B242" s="575"/>
      <c r="C242" s="578"/>
      <c r="D242" s="579"/>
      <c r="E242" s="585"/>
      <c r="F242" s="586"/>
      <c r="G242" s="132"/>
      <c r="H242" s="587"/>
      <c r="I242" s="605">
        <f t="shared" si="22"/>
        <v>0</v>
      </c>
      <c r="J242" s="587"/>
      <c r="K242" s="454"/>
      <c r="L242" s="454"/>
      <c r="M242" s="454"/>
      <c r="N242" s="454"/>
      <c r="O242" s="564"/>
      <c r="P242" s="564"/>
      <c r="Q242" s="611" t="str">
        <f t="shared" si="21"/>
        <v>正确</v>
      </c>
      <c r="X242" s="420"/>
    </row>
    <row r="243" s="397" customFormat="1" outlineLevel="2" spans="2:24">
      <c r="B243" s="575"/>
      <c r="C243" s="578"/>
      <c r="D243" s="579"/>
      <c r="E243" s="585"/>
      <c r="F243" s="586"/>
      <c r="G243" s="132"/>
      <c r="H243" s="587"/>
      <c r="I243" s="605">
        <f t="shared" si="22"/>
        <v>0</v>
      </c>
      <c r="J243" s="587"/>
      <c r="K243" s="454"/>
      <c r="L243" s="454"/>
      <c r="M243" s="454"/>
      <c r="N243" s="454"/>
      <c r="O243" s="564"/>
      <c r="P243" s="564"/>
      <c r="Q243" s="611" t="str">
        <f t="shared" si="21"/>
        <v>正确</v>
      </c>
      <c r="X243" s="420"/>
    </row>
    <row r="244" s="397" customFormat="1" outlineLevel="2" spans="2:24">
      <c r="B244" s="575"/>
      <c r="C244" s="578"/>
      <c r="D244" s="579"/>
      <c r="E244" s="585"/>
      <c r="F244" s="586"/>
      <c r="G244" s="132"/>
      <c r="H244" s="587"/>
      <c r="I244" s="605">
        <f t="shared" si="22"/>
        <v>0</v>
      </c>
      <c r="J244" s="587"/>
      <c r="K244" s="454"/>
      <c r="L244" s="454"/>
      <c r="M244" s="454"/>
      <c r="N244" s="454"/>
      <c r="O244" s="564"/>
      <c r="P244" s="564"/>
      <c r="Q244" s="611" t="str">
        <f t="shared" si="21"/>
        <v>正确</v>
      </c>
      <c r="X244" s="420"/>
    </row>
    <row r="245" s="397" customFormat="1" outlineLevel="2" spans="2:24">
      <c r="B245" s="575"/>
      <c r="C245" s="578"/>
      <c r="D245" s="579"/>
      <c r="E245" s="585"/>
      <c r="F245" s="586"/>
      <c r="G245" s="132"/>
      <c r="H245" s="587"/>
      <c r="I245" s="605">
        <f t="shared" si="22"/>
        <v>0</v>
      </c>
      <c r="J245" s="587"/>
      <c r="K245" s="454"/>
      <c r="L245" s="454"/>
      <c r="M245" s="454"/>
      <c r="N245" s="454"/>
      <c r="O245" s="564"/>
      <c r="P245" s="564"/>
      <c r="Q245" s="611" t="str">
        <f t="shared" si="21"/>
        <v>正确</v>
      </c>
      <c r="X245" s="420"/>
    </row>
    <row r="246" s="397" customFormat="1" outlineLevel="2" spans="2:24">
      <c r="B246" s="575"/>
      <c r="C246" s="578"/>
      <c r="D246" s="579"/>
      <c r="E246" s="585"/>
      <c r="F246" s="586"/>
      <c r="G246" s="132"/>
      <c r="H246" s="587"/>
      <c r="I246" s="605">
        <f t="shared" si="22"/>
        <v>0</v>
      </c>
      <c r="J246" s="587"/>
      <c r="K246" s="454"/>
      <c r="L246" s="454"/>
      <c r="M246" s="454"/>
      <c r="N246" s="454"/>
      <c r="O246" s="564"/>
      <c r="P246" s="564"/>
      <c r="Q246" s="611" t="str">
        <f t="shared" si="21"/>
        <v>正确</v>
      </c>
      <c r="X246" s="420"/>
    </row>
    <row r="247" s="397" customFormat="1" outlineLevel="2" spans="2:24">
      <c r="B247" s="575" t="s">
        <v>2409</v>
      </c>
      <c r="C247" s="429" t="str">
        <f>$G$1</f>
        <v>石嘴山市深阳蓝光市政工程有限公司</v>
      </c>
      <c r="D247" s="579" t="s">
        <v>2438</v>
      </c>
      <c r="E247" s="582" t="s">
        <v>2445</v>
      </c>
      <c r="F247" s="583"/>
      <c r="G247" s="584">
        <f>ROUND(SUM(G248:G268),2)</f>
        <v>0</v>
      </c>
      <c r="H247" s="584">
        <f>ROUND(SUM(H248:H268),2)</f>
        <v>0</v>
      </c>
      <c r="I247" s="605">
        <f t="shared" si="22"/>
        <v>0</v>
      </c>
      <c r="J247" s="584">
        <f t="shared" ref="J247:P247" si="23">ROUND(SUM(J248:J268),2)</f>
        <v>0</v>
      </c>
      <c r="K247" s="584">
        <f t="shared" si="23"/>
        <v>0</v>
      </c>
      <c r="L247" s="584">
        <f t="shared" si="23"/>
        <v>0</v>
      </c>
      <c r="M247" s="584">
        <f t="shared" si="23"/>
        <v>0</v>
      </c>
      <c r="N247" s="584">
        <f t="shared" si="23"/>
        <v>0</v>
      </c>
      <c r="O247" s="584">
        <f t="shared" si="23"/>
        <v>0</v>
      </c>
      <c r="P247" s="584">
        <f t="shared" si="23"/>
        <v>0</v>
      </c>
      <c r="Q247" s="611" t="str">
        <f t="shared" si="21"/>
        <v>正确</v>
      </c>
      <c r="X247" s="501" t="b">
        <f t="shared" si="19"/>
        <v>0</v>
      </c>
    </row>
    <row r="248" s="397" customFormat="1" outlineLevel="2" spans="2:24">
      <c r="B248" s="575" t="s">
        <v>2409</v>
      </c>
      <c r="C248" s="429" t="str">
        <f>$G$1</f>
        <v>石嘴山市深阳蓝光市政工程有限公司</v>
      </c>
      <c r="D248" s="579" t="s">
        <v>2438</v>
      </c>
      <c r="E248" s="585"/>
      <c r="F248" s="586"/>
      <c r="G248" s="132"/>
      <c r="H248" s="132"/>
      <c r="I248" s="605">
        <f t="shared" si="22"/>
        <v>0</v>
      </c>
      <c r="J248" s="587"/>
      <c r="K248" s="454"/>
      <c r="L248" s="454"/>
      <c r="M248" s="454"/>
      <c r="N248" s="454"/>
      <c r="O248" s="564"/>
      <c r="P248" s="564"/>
      <c r="Q248" s="611" t="str">
        <f t="shared" si="21"/>
        <v>正确</v>
      </c>
      <c r="X248" s="501" t="b">
        <f t="shared" si="19"/>
        <v>1</v>
      </c>
    </row>
    <row r="249" s="397" customFormat="1" outlineLevel="2" spans="2:24">
      <c r="B249" s="575" t="s">
        <v>2409</v>
      </c>
      <c r="C249" s="429" t="str">
        <f>$G$1</f>
        <v>石嘴山市深阳蓝光市政工程有限公司</v>
      </c>
      <c r="D249" s="579" t="s">
        <v>2438</v>
      </c>
      <c r="E249" s="585"/>
      <c r="F249" s="586"/>
      <c r="G249" s="132"/>
      <c r="H249" s="587"/>
      <c r="I249" s="605">
        <f t="shared" si="22"/>
        <v>0</v>
      </c>
      <c r="J249" s="587"/>
      <c r="K249" s="454"/>
      <c r="L249" s="454"/>
      <c r="M249" s="454"/>
      <c r="N249" s="454"/>
      <c r="O249" s="564"/>
      <c r="P249" s="564"/>
      <c r="Q249" s="611" t="str">
        <f t="shared" si="21"/>
        <v>正确</v>
      </c>
      <c r="X249" s="501" t="b">
        <f t="shared" si="19"/>
        <v>1</v>
      </c>
    </row>
    <row r="250" s="397" customFormat="1" outlineLevel="2" spans="2:24">
      <c r="B250" s="575" t="s">
        <v>2409</v>
      </c>
      <c r="C250" s="429" t="str">
        <f>$G$1</f>
        <v>石嘴山市深阳蓝光市政工程有限公司</v>
      </c>
      <c r="D250" s="579" t="s">
        <v>2446</v>
      </c>
      <c r="E250" s="585"/>
      <c r="F250" s="586"/>
      <c r="G250" s="132"/>
      <c r="H250" s="587"/>
      <c r="I250" s="605">
        <f t="shared" si="22"/>
        <v>0</v>
      </c>
      <c r="J250" s="587"/>
      <c r="K250" s="454"/>
      <c r="L250" s="454"/>
      <c r="M250" s="454"/>
      <c r="N250" s="454"/>
      <c r="O250" s="564"/>
      <c r="P250" s="564"/>
      <c r="Q250" s="611" t="str">
        <f t="shared" si="21"/>
        <v>正确</v>
      </c>
      <c r="X250" s="501" t="b">
        <f t="shared" si="19"/>
        <v>1</v>
      </c>
    </row>
    <row r="251" s="397" customFormat="1" outlineLevel="2" spans="2:24">
      <c r="B251" s="575"/>
      <c r="C251" s="578"/>
      <c r="D251" s="579"/>
      <c r="E251" s="585"/>
      <c r="F251" s="586"/>
      <c r="G251" s="132"/>
      <c r="H251" s="587"/>
      <c r="I251" s="605">
        <f t="shared" si="22"/>
        <v>0</v>
      </c>
      <c r="J251" s="587"/>
      <c r="K251" s="454"/>
      <c r="L251" s="454"/>
      <c r="M251" s="454"/>
      <c r="N251" s="454"/>
      <c r="O251" s="564"/>
      <c r="P251" s="564"/>
      <c r="Q251" s="611" t="str">
        <f t="shared" si="21"/>
        <v>正确</v>
      </c>
      <c r="X251" s="420"/>
    </row>
    <row r="252" s="397" customFormat="1" outlineLevel="2" spans="2:24">
      <c r="B252" s="575"/>
      <c r="C252" s="578"/>
      <c r="D252" s="579"/>
      <c r="E252" s="585"/>
      <c r="F252" s="586"/>
      <c r="G252" s="132"/>
      <c r="H252" s="587"/>
      <c r="I252" s="605">
        <f t="shared" si="22"/>
        <v>0</v>
      </c>
      <c r="J252" s="587"/>
      <c r="K252" s="454"/>
      <c r="L252" s="454"/>
      <c r="M252" s="454"/>
      <c r="N252" s="454"/>
      <c r="O252" s="564"/>
      <c r="P252" s="564"/>
      <c r="Q252" s="611" t="str">
        <f t="shared" si="21"/>
        <v>正确</v>
      </c>
      <c r="X252" s="420"/>
    </row>
    <row r="253" s="397" customFormat="1" outlineLevel="2" spans="2:24">
      <c r="B253" s="575"/>
      <c r="C253" s="578"/>
      <c r="D253" s="579"/>
      <c r="E253" s="585"/>
      <c r="F253" s="586"/>
      <c r="G253" s="132"/>
      <c r="H253" s="587"/>
      <c r="I253" s="605">
        <f t="shared" si="22"/>
        <v>0</v>
      </c>
      <c r="J253" s="587"/>
      <c r="K253" s="454"/>
      <c r="L253" s="454"/>
      <c r="M253" s="454"/>
      <c r="N253" s="454"/>
      <c r="O253" s="564"/>
      <c r="P253" s="564"/>
      <c r="Q253" s="611" t="str">
        <f t="shared" si="21"/>
        <v>正确</v>
      </c>
      <c r="X253" s="420"/>
    </row>
    <row r="254" s="397" customFormat="1" outlineLevel="2" spans="2:24">
      <c r="B254" s="575"/>
      <c r="C254" s="578"/>
      <c r="D254" s="579"/>
      <c r="E254" s="585"/>
      <c r="F254" s="586"/>
      <c r="G254" s="132"/>
      <c r="H254" s="587"/>
      <c r="I254" s="605">
        <f t="shared" si="22"/>
        <v>0</v>
      </c>
      <c r="J254" s="587"/>
      <c r="K254" s="454"/>
      <c r="L254" s="454"/>
      <c r="M254" s="454"/>
      <c r="N254" s="454"/>
      <c r="O254" s="564"/>
      <c r="P254" s="564"/>
      <c r="Q254" s="611" t="str">
        <f t="shared" si="21"/>
        <v>正确</v>
      </c>
      <c r="X254" s="420"/>
    </row>
    <row r="255" s="397" customFormat="1" outlineLevel="2" spans="2:24">
      <c r="B255" s="575" t="s">
        <v>2409</v>
      </c>
      <c r="C255" s="429" t="str">
        <f t="shared" ref="C255:C273" si="24">$G$1</f>
        <v>石嘴山市深阳蓝光市政工程有限公司</v>
      </c>
      <c r="D255" s="579" t="s">
        <v>2446</v>
      </c>
      <c r="E255" s="585"/>
      <c r="F255" s="586"/>
      <c r="G255" s="132"/>
      <c r="H255" s="587"/>
      <c r="I255" s="605">
        <f t="shared" si="22"/>
        <v>0</v>
      </c>
      <c r="J255" s="587"/>
      <c r="K255" s="454"/>
      <c r="L255" s="454"/>
      <c r="M255" s="454"/>
      <c r="N255" s="454"/>
      <c r="O255" s="564"/>
      <c r="P255" s="564"/>
      <c r="Q255" s="611" t="str">
        <f t="shared" si="21"/>
        <v>正确</v>
      </c>
      <c r="X255" s="501" t="b">
        <f t="shared" si="19"/>
        <v>1</v>
      </c>
    </row>
    <row r="256" s="397" customFormat="1" outlineLevel="2" spans="2:24">
      <c r="B256" s="575" t="s">
        <v>2409</v>
      </c>
      <c r="C256" s="429" t="str">
        <f t="shared" si="24"/>
        <v>石嘴山市深阳蓝光市政工程有限公司</v>
      </c>
      <c r="D256" s="579" t="s">
        <v>2446</v>
      </c>
      <c r="E256" s="585"/>
      <c r="F256" s="586"/>
      <c r="G256" s="132"/>
      <c r="H256" s="587"/>
      <c r="I256" s="605">
        <f t="shared" si="22"/>
        <v>0</v>
      </c>
      <c r="J256" s="587"/>
      <c r="K256" s="454"/>
      <c r="L256" s="454"/>
      <c r="M256" s="454"/>
      <c r="N256" s="454"/>
      <c r="O256" s="564"/>
      <c r="P256" s="564"/>
      <c r="Q256" s="611" t="str">
        <f t="shared" si="21"/>
        <v>正确</v>
      </c>
      <c r="X256" s="501" t="b">
        <f t="shared" si="19"/>
        <v>1</v>
      </c>
    </row>
    <row r="257" s="397" customFormat="1" outlineLevel="2" spans="2:24">
      <c r="B257" s="575" t="s">
        <v>2409</v>
      </c>
      <c r="C257" s="429" t="str">
        <f t="shared" si="24"/>
        <v>石嘴山市深阳蓝光市政工程有限公司</v>
      </c>
      <c r="D257" s="579" t="s">
        <v>2446</v>
      </c>
      <c r="E257" s="585"/>
      <c r="F257" s="586"/>
      <c r="G257" s="132"/>
      <c r="H257" s="587"/>
      <c r="I257" s="605">
        <f t="shared" si="22"/>
        <v>0</v>
      </c>
      <c r="J257" s="587"/>
      <c r="K257" s="454"/>
      <c r="L257" s="454"/>
      <c r="M257" s="454"/>
      <c r="N257" s="454"/>
      <c r="O257" s="564"/>
      <c r="P257" s="564"/>
      <c r="Q257" s="611" t="str">
        <f t="shared" si="21"/>
        <v>正确</v>
      </c>
      <c r="X257" s="501" t="b">
        <f t="shared" si="19"/>
        <v>1</v>
      </c>
    </row>
    <row r="258" s="397" customFormat="1" outlineLevel="2" spans="2:24">
      <c r="B258" s="575" t="s">
        <v>2409</v>
      </c>
      <c r="C258" s="429" t="str">
        <f t="shared" si="24"/>
        <v>石嘴山市深阳蓝光市政工程有限公司</v>
      </c>
      <c r="D258" s="579" t="s">
        <v>2446</v>
      </c>
      <c r="E258" s="585"/>
      <c r="F258" s="586"/>
      <c r="G258" s="132"/>
      <c r="H258" s="587"/>
      <c r="I258" s="605">
        <f t="shared" si="22"/>
        <v>0</v>
      </c>
      <c r="J258" s="587"/>
      <c r="K258" s="454"/>
      <c r="L258" s="454"/>
      <c r="M258" s="454"/>
      <c r="N258" s="454"/>
      <c r="O258" s="564"/>
      <c r="P258" s="564"/>
      <c r="Q258" s="611" t="str">
        <f t="shared" si="21"/>
        <v>正确</v>
      </c>
      <c r="X258" s="501" t="b">
        <f t="shared" si="19"/>
        <v>1</v>
      </c>
    </row>
    <row r="259" s="397" customFormat="1" outlineLevel="2" spans="2:24">
      <c r="B259" s="575" t="s">
        <v>2409</v>
      </c>
      <c r="C259" s="429" t="str">
        <f t="shared" si="24"/>
        <v>石嘴山市深阳蓝光市政工程有限公司</v>
      </c>
      <c r="D259" s="579" t="s">
        <v>2446</v>
      </c>
      <c r="E259" s="585"/>
      <c r="F259" s="586"/>
      <c r="G259" s="132"/>
      <c r="H259" s="587"/>
      <c r="I259" s="605">
        <f t="shared" si="22"/>
        <v>0</v>
      </c>
      <c r="J259" s="587"/>
      <c r="K259" s="454"/>
      <c r="L259" s="454"/>
      <c r="M259" s="454"/>
      <c r="N259" s="454"/>
      <c r="O259" s="564"/>
      <c r="P259" s="564"/>
      <c r="Q259" s="611" t="str">
        <f t="shared" si="21"/>
        <v>正确</v>
      </c>
      <c r="X259" s="501" t="b">
        <f t="shared" si="19"/>
        <v>1</v>
      </c>
    </row>
    <row r="260" s="397" customFormat="1" outlineLevel="2" spans="2:24">
      <c r="B260" s="575" t="s">
        <v>2409</v>
      </c>
      <c r="C260" s="429" t="str">
        <f t="shared" si="24"/>
        <v>石嘴山市深阳蓝光市政工程有限公司</v>
      </c>
      <c r="D260" s="579" t="s">
        <v>2446</v>
      </c>
      <c r="E260" s="585"/>
      <c r="F260" s="586"/>
      <c r="G260" s="132"/>
      <c r="H260" s="587"/>
      <c r="I260" s="605">
        <f t="shared" si="22"/>
        <v>0</v>
      </c>
      <c r="J260" s="587"/>
      <c r="K260" s="454"/>
      <c r="L260" s="454"/>
      <c r="M260" s="454"/>
      <c r="N260" s="454"/>
      <c r="O260" s="564"/>
      <c r="P260" s="564"/>
      <c r="Q260" s="611" t="str">
        <f t="shared" si="21"/>
        <v>正确</v>
      </c>
      <c r="X260" s="501" t="b">
        <f t="shared" si="19"/>
        <v>1</v>
      </c>
    </row>
    <row r="261" s="397" customFormat="1" outlineLevel="2" spans="2:24">
      <c r="B261" s="575" t="s">
        <v>2409</v>
      </c>
      <c r="C261" s="429" t="str">
        <f t="shared" si="24"/>
        <v>石嘴山市深阳蓝光市政工程有限公司</v>
      </c>
      <c r="D261" s="579" t="s">
        <v>2446</v>
      </c>
      <c r="E261" s="585"/>
      <c r="F261" s="586"/>
      <c r="G261" s="132"/>
      <c r="H261" s="587"/>
      <c r="I261" s="605">
        <f t="shared" si="22"/>
        <v>0</v>
      </c>
      <c r="J261" s="587"/>
      <c r="K261" s="454"/>
      <c r="L261" s="454"/>
      <c r="M261" s="454"/>
      <c r="N261" s="454"/>
      <c r="O261" s="564"/>
      <c r="P261" s="564"/>
      <c r="Q261" s="611" t="str">
        <f t="shared" si="21"/>
        <v>正确</v>
      </c>
      <c r="X261" s="501" t="b">
        <f t="shared" si="19"/>
        <v>1</v>
      </c>
    </row>
    <row r="262" s="397" customFormat="1" outlineLevel="2" spans="2:24">
      <c r="B262" s="575" t="s">
        <v>2409</v>
      </c>
      <c r="C262" s="429" t="str">
        <f t="shared" si="24"/>
        <v>石嘴山市深阳蓝光市政工程有限公司</v>
      </c>
      <c r="D262" s="579" t="s">
        <v>2446</v>
      </c>
      <c r="E262" s="585"/>
      <c r="F262" s="586"/>
      <c r="G262" s="132"/>
      <c r="H262" s="587"/>
      <c r="I262" s="605">
        <f t="shared" si="22"/>
        <v>0</v>
      </c>
      <c r="J262" s="587"/>
      <c r="K262" s="454"/>
      <c r="L262" s="454"/>
      <c r="M262" s="454"/>
      <c r="N262" s="454"/>
      <c r="O262" s="564"/>
      <c r="P262" s="564"/>
      <c r="Q262" s="611" t="str">
        <f t="shared" si="21"/>
        <v>正确</v>
      </c>
      <c r="X262" s="501" t="b">
        <f t="shared" si="19"/>
        <v>1</v>
      </c>
    </row>
    <row r="263" s="397" customFormat="1" outlineLevel="2" spans="2:24">
      <c r="B263" s="575" t="s">
        <v>2409</v>
      </c>
      <c r="C263" s="429" t="str">
        <f t="shared" si="24"/>
        <v>石嘴山市深阳蓝光市政工程有限公司</v>
      </c>
      <c r="D263" s="579" t="s">
        <v>2446</v>
      </c>
      <c r="E263" s="585"/>
      <c r="F263" s="586"/>
      <c r="G263" s="132"/>
      <c r="H263" s="587"/>
      <c r="I263" s="605">
        <f t="shared" si="22"/>
        <v>0</v>
      </c>
      <c r="J263" s="587"/>
      <c r="K263" s="454"/>
      <c r="L263" s="454"/>
      <c r="M263" s="454"/>
      <c r="N263" s="454"/>
      <c r="O263" s="564"/>
      <c r="P263" s="564"/>
      <c r="Q263" s="611" t="str">
        <f t="shared" si="21"/>
        <v>正确</v>
      </c>
      <c r="X263" s="501" t="b">
        <f t="shared" si="19"/>
        <v>1</v>
      </c>
    </row>
    <row r="264" s="397" customFormat="1" outlineLevel="2" spans="2:24">
      <c r="B264" s="575" t="s">
        <v>2409</v>
      </c>
      <c r="C264" s="429" t="str">
        <f t="shared" si="24"/>
        <v>石嘴山市深阳蓝光市政工程有限公司</v>
      </c>
      <c r="D264" s="579" t="s">
        <v>2446</v>
      </c>
      <c r="E264" s="585"/>
      <c r="F264" s="586"/>
      <c r="G264" s="132"/>
      <c r="H264" s="587"/>
      <c r="I264" s="605">
        <f t="shared" si="22"/>
        <v>0</v>
      </c>
      <c r="J264" s="587"/>
      <c r="K264" s="454"/>
      <c r="L264" s="454"/>
      <c r="M264" s="454"/>
      <c r="N264" s="454"/>
      <c r="O264" s="564"/>
      <c r="P264" s="564"/>
      <c r="Q264" s="611" t="str">
        <f t="shared" si="21"/>
        <v>正确</v>
      </c>
      <c r="X264" s="501" t="b">
        <f t="shared" si="19"/>
        <v>1</v>
      </c>
    </row>
    <row r="265" s="397" customFormat="1" outlineLevel="2" spans="2:24">
      <c r="B265" s="575" t="s">
        <v>2409</v>
      </c>
      <c r="C265" s="429" t="str">
        <f t="shared" si="24"/>
        <v>石嘴山市深阳蓝光市政工程有限公司</v>
      </c>
      <c r="D265" s="579" t="s">
        <v>2446</v>
      </c>
      <c r="E265" s="585"/>
      <c r="F265" s="586"/>
      <c r="G265" s="132"/>
      <c r="H265" s="587"/>
      <c r="I265" s="605">
        <f t="shared" si="22"/>
        <v>0</v>
      </c>
      <c r="J265" s="587"/>
      <c r="K265" s="454"/>
      <c r="L265" s="454"/>
      <c r="M265" s="454"/>
      <c r="N265" s="454"/>
      <c r="O265" s="564"/>
      <c r="P265" s="564"/>
      <c r="Q265" s="611" t="str">
        <f t="shared" si="21"/>
        <v>正确</v>
      </c>
      <c r="X265" s="501" t="b">
        <f t="shared" si="19"/>
        <v>1</v>
      </c>
    </row>
    <row r="266" s="397" customFormat="1" outlineLevel="2" spans="2:24">
      <c r="B266" s="575" t="s">
        <v>2409</v>
      </c>
      <c r="C266" s="429" t="str">
        <f t="shared" si="24"/>
        <v>石嘴山市深阳蓝光市政工程有限公司</v>
      </c>
      <c r="D266" s="579" t="s">
        <v>2446</v>
      </c>
      <c r="E266" s="585"/>
      <c r="F266" s="586"/>
      <c r="G266" s="132"/>
      <c r="H266" s="587"/>
      <c r="I266" s="605">
        <f t="shared" si="22"/>
        <v>0</v>
      </c>
      <c r="J266" s="587"/>
      <c r="K266" s="454"/>
      <c r="L266" s="454"/>
      <c r="M266" s="454"/>
      <c r="N266" s="454"/>
      <c r="O266" s="564"/>
      <c r="P266" s="564"/>
      <c r="Q266" s="611" t="str">
        <f t="shared" si="21"/>
        <v>正确</v>
      </c>
      <c r="X266" s="501" t="b">
        <f t="shared" si="19"/>
        <v>1</v>
      </c>
    </row>
    <row r="267" s="397" customFormat="1" outlineLevel="2" spans="2:24">
      <c r="B267" s="575" t="s">
        <v>2409</v>
      </c>
      <c r="C267" s="429" t="str">
        <f t="shared" si="24"/>
        <v>石嘴山市深阳蓝光市政工程有限公司</v>
      </c>
      <c r="D267" s="579" t="s">
        <v>2446</v>
      </c>
      <c r="E267" s="585"/>
      <c r="F267" s="586"/>
      <c r="G267" s="132"/>
      <c r="H267" s="587"/>
      <c r="I267" s="605">
        <f t="shared" si="22"/>
        <v>0</v>
      </c>
      <c r="J267" s="587"/>
      <c r="K267" s="454"/>
      <c r="L267" s="454"/>
      <c r="M267" s="454"/>
      <c r="N267" s="454"/>
      <c r="O267" s="564"/>
      <c r="P267" s="564"/>
      <c r="Q267" s="611" t="str">
        <f t="shared" si="21"/>
        <v>正确</v>
      </c>
      <c r="X267" s="501" t="b">
        <f t="shared" si="19"/>
        <v>1</v>
      </c>
    </row>
    <row r="268" s="397" customFormat="1" outlineLevel="2" spans="2:24">
      <c r="B268" s="575" t="s">
        <v>2409</v>
      </c>
      <c r="C268" s="429" t="str">
        <f t="shared" si="24"/>
        <v>石嘴山市深阳蓝光市政工程有限公司</v>
      </c>
      <c r="D268" s="579" t="s">
        <v>2446</v>
      </c>
      <c r="E268" s="585"/>
      <c r="F268" s="586"/>
      <c r="G268" s="132"/>
      <c r="H268" s="587"/>
      <c r="I268" s="605">
        <f t="shared" si="22"/>
        <v>0</v>
      </c>
      <c r="J268" s="587"/>
      <c r="K268" s="454"/>
      <c r="L268" s="454"/>
      <c r="M268" s="454"/>
      <c r="N268" s="454"/>
      <c r="O268" s="564"/>
      <c r="P268" s="564"/>
      <c r="Q268" s="611" t="str">
        <f t="shared" si="21"/>
        <v>正确</v>
      </c>
      <c r="X268" s="501" t="b">
        <f t="shared" si="19"/>
        <v>1</v>
      </c>
    </row>
    <row r="269" s="397" customFormat="1" outlineLevel="2" spans="1:24">
      <c r="A269" s="397" t="s">
        <v>1580</v>
      </c>
      <c r="B269" s="575" t="s">
        <v>2409</v>
      </c>
      <c r="C269" s="429" t="str">
        <f t="shared" si="24"/>
        <v>石嘴山市深阳蓝光市政工程有限公司</v>
      </c>
      <c r="D269" s="579" t="s">
        <v>2446</v>
      </c>
      <c r="E269" s="561" t="s">
        <v>1580</v>
      </c>
      <c r="F269" s="604"/>
      <c r="G269" s="135">
        <f>G247+G223</f>
        <v>0</v>
      </c>
      <c r="H269" s="135">
        <f>H247+H223</f>
        <v>0</v>
      </c>
      <c r="I269" s="605">
        <f t="shared" si="22"/>
        <v>0</v>
      </c>
      <c r="J269" s="602"/>
      <c r="K269" s="135">
        <f t="shared" ref="K269:P269" si="25">K247+K223</f>
        <v>0</v>
      </c>
      <c r="L269" s="135">
        <f t="shared" si="25"/>
        <v>0</v>
      </c>
      <c r="M269" s="135">
        <f t="shared" si="25"/>
        <v>0</v>
      </c>
      <c r="N269" s="135">
        <f t="shared" si="25"/>
        <v>0</v>
      </c>
      <c r="O269" s="135">
        <f t="shared" si="25"/>
        <v>0</v>
      </c>
      <c r="P269" s="135">
        <f t="shared" si="25"/>
        <v>0</v>
      </c>
      <c r="Q269" s="611" t="str">
        <f t="shared" si="21"/>
        <v>正确</v>
      </c>
      <c r="X269" s="501" t="b">
        <f t="shared" si="19"/>
        <v>1</v>
      </c>
    </row>
    <row r="270" s="397" customFormat="1" outlineLevel="2" spans="2:24">
      <c r="B270" s="575" t="s">
        <v>2409</v>
      </c>
      <c r="C270" s="429" t="str">
        <f t="shared" si="24"/>
        <v>石嘴山市深阳蓝光市政工程有限公司</v>
      </c>
      <c r="D270" s="579" t="s">
        <v>2446</v>
      </c>
      <c r="E270" s="612" t="s">
        <v>2447</v>
      </c>
      <c r="F270" s="451"/>
      <c r="G270" s="568"/>
      <c r="H270" s="451"/>
      <c r="I270" s="568"/>
      <c r="J270" s="451"/>
      <c r="K270" s="568"/>
      <c r="L270" s="451"/>
      <c r="M270" s="568"/>
      <c r="N270" s="560"/>
      <c r="X270" s="501" t="b">
        <f t="shared" si="19"/>
        <v>0</v>
      </c>
    </row>
    <row r="271" s="397" customFormat="1" outlineLevel="2" spans="1:24">
      <c r="A271" s="397" t="s">
        <v>2036</v>
      </c>
      <c r="B271" s="575" t="s">
        <v>2409</v>
      </c>
      <c r="C271" s="429" t="str">
        <f t="shared" si="24"/>
        <v>石嘴山市深阳蓝光市政工程有限公司</v>
      </c>
      <c r="D271" s="579" t="s">
        <v>2438</v>
      </c>
      <c r="E271" s="581" t="s">
        <v>2036</v>
      </c>
      <c r="F271" s="581" t="s">
        <v>2440</v>
      </c>
      <c r="G271" s="613" t="s">
        <v>1579</v>
      </c>
      <c r="H271" s="581" t="s">
        <v>2441</v>
      </c>
      <c r="I271" s="581" t="s">
        <v>2442</v>
      </c>
      <c r="J271" s="581" t="s">
        <v>2443</v>
      </c>
      <c r="K271" s="602" t="s">
        <v>1585</v>
      </c>
      <c r="L271" s="564" t="s">
        <v>2424</v>
      </c>
      <c r="M271" s="602" t="s">
        <v>1587</v>
      </c>
      <c r="N271" s="603" t="s">
        <v>2426</v>
      </c>
      <c r="O271" s="604" t="s">
        <v>2427</v>
      </c>
      <c r="P271" s="604" t="s">
        <v>2428</v>
      </c>
      <c r="Q271" s="604" t="s">
        <v>1556</v>
      </c>
      <c r="X271" s="501" t="b">
        <f t="shared" si="19"/>
        <v>1</v>
      </c>
    </row>
    <row r="272" s="397" customFormat="1" outlineLevel="2" spans="2:24">
      <c r="B272" s="575" t="s">
        <v>2409</v>
      </c>
      <c r="C272" s="429" t="str">
        <f t="shared" si="24"/>
        <v>石嘴山市深阳蓝光市政工程有限公司</v>
      </c>
      <c r="D272" s="579" t="s">
        <v>2438</v>
      </c>
      <c r="E272" s="582" t="s">
        <v>2444</v>
      </c>
      <c r="F272" s="583"/>
      <c r="G272" s="584">
        <f>ROUND(SUM(G273:G295),2)</f>
        <v>0</v>
      </c>
      <c r="H272" s="584">
        <f>ROUND(SUM(H273:H295),2)</f>
        <v>0</v>
      </c>
      <c r="I272" s="605">
        <f>IFERROR(ROUND(H272/G272,4),0)</f>
        <v>0</v>
      </c>
      <c r="J272" s="606"/>
      <c r="K272" s="584">
        <f t="shared" ref="K272:P272" si="26">ROUND(SUM(K273:K295),2)</f>
        <v>0</v>
      </c>
      <c r="L272" s="584">
        <f t="shared" si="26"/>
        <v>0</v>
      </c>
      <c r="M272" s="584">
        <f t="shared" si="26"/>
        <v>0</v>
      </c>
      <c r="N272" s="584">
        <f t="shared" si="26"/>
        <v>0</v>
      </c>
      <c r="O272" s="584">
        <f t="shared" si="26"/>
        <v>0</v>
      </c>
      <c r="P272" s="584">
        <f t="shared" si="26"/>
        <v>0</v>
      </c>
      <c r="Q272" s="611" t="str">
        <f t="shared" ref="Q272:Q318" si="27">IF(ROUND(G272-K272-L272-M272-O272-P272-N272,2)=0,"正确","错误请核对")</f>
        <v>正确</v>
      </c>
      <c r="X272" s="501" t="b">
        <f t="shared" si="19"/>
        <v>0</v>
      </c>
    </row>
    <row r="273" s="397" customFormat="1" outlineLevel="2" spans="2:24">
      <c r="B273" s="575" t="s">
        <v>2409</v>
      </c>
      <c r="C273" s="429" t="str">
        <f t="shared" si="24"/>
        <v>石嘴山市深阳蓝光市政工程有限公司</v>
      </c>
      <c r="D273" s="579" t="s">
        <v>2438</v>
      </c>
      <c r="E273" s="585"/>
      <c r="F273" s="586"/>
      <c r="G273" s="132"/>
      <c r="H273" s="587"/>
      <c r="I273" s="605">
        <f t="shared" ref="I273:I318" si="28">IFERROR(ROUND(H273/G273,4),0)</f>
        <v>0</v>
      </c>
      <c r="J273" s="587"/>
      <c r="K273" s="454"/>
      <c r="L273" s="454"/>
      <c r="M273" s="454"/>
      <c r="N273" s="454"/>
      <c r="O273" s="564"/>
      <c r="P273" s="564"/>
      <c r="Q273" s="611" t="str">
        <f t="shared" si="27"/>
        <v>正确</v>
      </c>
      <c r="X273" s="501" t="b">
        <f t="shared" si="19"/>
        <v>1</v>
      </c>
    </row>
    <row r="274" s="397" customFormat="1" outlineLevel="2" spans="2:24">
      <c r="B274" s="575"/>
      <c r="C274" s="578"/>
      <c r="D274" s="579"/>
      <c r="E274" s="585"/>
      <c r="F274" s="586"/>
      <c r="G274" s="132"/>
      <c r="H274" s="587"/>
      <c r="I274" s="605">
        <f t="shared" si="28"/>
        <v>0</v>
      </c>
      <c r="J274" s="587"/>
      <c r="K274" s="454"/>
      <c r="L274" s="454"/>
      <c r="M274" s="454"/>
      <c r="N274" s="454"/>
      <c r="O274" s="564"/>
      <c r="P274" s="564"/>
      <c r="Q274" s="611" t="str">
        <f t="shared" si="27"/>
        <v>正确</v>
      </c>
      <c r="X274" s="420"/>
    </row>
    <row r="275" s="397" customFormat="1" outlineLevel="2" spans="2:24">
      <c r="B275" s="575"/>
      <c r="C275" s="578"/>
      <c r="D275" s="579"/>
      <c r="E275" s="585"/>
      <c r="F275" s="586"/>
      <c r="G275" s="132"/>
      <c r="H275" s="587"/>
      <c r="I275" s="605">
        <f t="shared" si="28"/>
        <v>0</v>
      </c>
      <c r="J275" s="587"/>
      <c r="K275" s="454"/>
      <c r="L275" s="454"/>
      <c r="M275" s="454"/>
      <c r="N275" s="454"/>
      <c r="O275" s="564"/>
      <c r="P275" s="564"/>
      <c r="Q275" s="611" t="str">
        <f t="shared" si="27"/>
        <v>正确</v>
      </c>
      <c r="X275" s="420"/>
    </row>
    <row r="276" s="397" customFormat="1" outlineLevel="2" spans="2:24">
      <c r="B276" s="575"/>
      <c r="C276" s="578"/>
      <c r="D276" s="579"/>
      <c r="E276" s="585"/>
      <c r="F276" s="586"/>
      <c r="G276" s="132"/>
      <c r="H276" s="587"/>
      <c r="I276" s="605">
        <f t="shared" si="28"/>
        <v>0</v>
      </c>
      <c r="J276" s="587"/>
      <c r="K276" s="454"/>
      <c r="L276" s="454"/>
      <c r="M276" s="454"/>
      <c r="N276" s="454"/>
      <c r="O276" s="564"/>
      <c r="P276" s="564"/>
      <c r="Q276" s="611" t="str">
        <f t="shared" si="27"/>
        <v>正确</v>
      </c>
      <c r="X276" s="420"/>
    </row>
    <row r="277" s="397" customFormat="1" outlineLevel="2" spans="2:24">
      <c r="B277" s="575"/>
      <c r="C277" s="578"/>
      <c r="D277" s="579"/>
      <c r="E277" s="585"/>
      <c r="F277" s="586"/>
      <c r="G277" s="132"/>
      <c r="H277" s="587"/>
      <c r="I277" s="605">
        <f t="shared" si="28"/>
        <v>0</v>
      </c>
      <c r="J277" s="587"/>
      <c r="K277" s="454"/>
      <c r="L277" s="454"/>
      <c r="M277" s="454"/>
      <c r="N277" s="454"/>
      <c r="O277" s="564"/>
      <c r="P277" s="564"/>
      <c r="Q277" s="611" t="str">
        <f t="shared" si="27"/>
        <v>正确</v>
      </c>
      <c r="X277" s="420"/>
    </row>
    <row r="278" s="397" customFormat="1" outlineLevel="2" spans="2:24">
      <c r="B278" s="575" t="s">
        <v>2409</v>
      </c>
      <c r="C278" s="429" t="str">
        <f>$G$1</f>
        <v>石嘴山市深阳蓝光市政工程有限公司</v>
      </c>
      <c r="D278" s="579" t="s">
        <v>2438</v>
      </c>
      <c r="E278" s="585"/>
      <c r="F278" s="586"/>
      <c r="G278" s="132"/>
      <c r="H278" s="587"/>
      <c r="I278" s="605">
        <f t="shared" si="28"/>
        <v>0</v>
      </c>
      <c r="J278" s="587"/>
      <c r="K278" s="454"/>
      <c r="L278" s="454"/>
      <c r="M278" s="454"/>
      <c r="N278" s="454"/>
      <c r="O278" s="564"/>
      <c r="P278" s="564"/>
      <c r="Q278" s="611" t="str">
        <f t="shared" si="27"/>
        <v>正确</v>
      </c>
      <c r="X278" s="501" t="b">
        <f>EXACT(A278,E278)</f>
        <v>1</v>
      </c>
    </row>
    <row r="279" s="397" customFormat="1" outlineLevel="2" spans="2:24">
      <c r="B279" s="575"/>
      <c r="C279" s="578"/>
      <c r="D279" s="579"/>
      <c r="E279" s="585"/>
      <c r="F279" s="586"/>
      <c r="G279" s="132"/>
      <c r="H279" s="587"/>
      <c r="I279" s="605">
        <f t="shared" si="28"/>
        <v>0</v>
      </c>
      <c r="J279" s="587"/>
      <c r="K279" s="454"/>
      <c r="L279" s="454"/>
      <c r="M279" s="454"/>
      <c r="N279" s="454"/>
      <c r="O279" s="564"/>
      <c r="P279" s="564"/>
      <c r="Q279" s="611" t="str">
        <f t="shared" si="27"/>
        <v>正确</v>
      </c>
      <c r="X279" s="420"/>
    </row>
    <row r="280" s="397" customFormat="1" outlineLevel="2" spans="2:24">
      <c r="B280" s="575"/>
      <c r="C280" s="578"/>
      <c r="D280" s="579"/>
      <c r="E280" s="585"/>
      <c r="F280" s="586"/>
      <c r="G280" s="132"/>
      <c r="H280" s="587"/>
      <c r="I280" s="605">
        <f t="shared" si="28"/>
        <v>0</v>
      </c>
      <c r="J280" s="587"/>
      <c r="K280" s="454"/>
      <c r="L280" s="454"/>
      <c r="M280" s="454"/>
      <c r="N280" s="454"/>
      <c r="O280" s="564"/>
      <c r="P280" s="564"/>
      <c r="Q280" s="611" t="str">
        <f t="shared" si="27"/>
        <v>正确</v>
      </c>
      <c r="X280" s="420"/>
    </row>
    <row r="281" s="397" customFormat="1" outlineLevel="2" spans="2:24">
      <c r="B281" s="575"/>
      <c r="C281" s="578"/>
      <c r="D281" s="579"/>
      <c r="E281" s="585"/>
      <c r="F281" s="586"/>
      <c r="G281" s="132"/>
      <c r="H281" s="587"/>
      <c r="I281" s="605">
        <f t="shared" si="28"/>
        <v>0</v>
      </c>
      <c r="J281" s="587"/>
      <c r="K281" s="454"/>
      <c r="L281" s="454"/>
      <c r="M281" s="454"/>
      <c r="N281" s="454"/>
      <c r="O281" s="564"/>
      <c r="P281" s="564"/>
      <c r="Q281" s="611" t="str">
        <f t="shared" si="27"/>
        <v>正确</v>
      </c>
      <c r="X281" s="420"/>
    </row>
    <row r="282" s="397" customFormat="1" outlineLevel="2" spans="2:24">
      <c r="B282" s="575"/>
      <c r="C282" s="578"/>
      <c r="D282" s="579"/>
      <c r="E282" s="585"/>
      <c r="F282" s="586"/>
      <c r="G282" s="132"/>
      <c r="H282" s="587"/>
      <c r="I282" s="605">
        <f t="shared" si="28"/>
        <v>0</v>
      </c>
      <c r="J282" s="587"/>
      <c r="K282" s="454"/>
      <c r="L282" s="454"/>
      <c r="M282" s="454"/>
      <c r="N282" s="454"/>
      <c r="O282" s="564"/>
      <c r="P282" s="564"/>
      <c r="Q282" s="611" t="str">
        <f t="shared" si="27"/>
        <v>正确</v>
      </c>
      <c r="X282" s="420"/>
    </row>
    <row r="283" s="397" customFormat="1" outlineLevel="2" spans="2:24">
      <c r="B283" s="575"/>
      <c r="C283" s="578"/>
      <c r="D283" s="579"/>
      <c r="E283" s="585"/>
      <c r="F283" s="586"/>
      <c r="G283" s="132"/>
      <c r="H283" s="587"/>
      <c r="I283" s="605">
        <f t="shared" si="28"/>
        <v>0</v>
      </c>
      <c r="J283" s="587"/>
      <c r="K283" s="454"/>
      <c r="L283" s="454"/>
      <c r="M283" s="454"/>
      <c r="N283" s="454"/>
      <c r="O283" s="564"/>
      <c r="P283" s="564"/>
      <c r="Q283" s="611" t="str">
        <f t="shared" si="27"/>
        <v>正确</v>
      </c>
      <c r="X283" s="420"/>
    </row>
    <row r="284" s="397" customFormat="1" outlineLevel="2" spans="2:24">
      <c r="B284" s="575"/>
      <c r="C284" s="578"/>
      <c r="D284" s="579"/>
      <c r="E284" s="585"/>
      <c r="F284" s="586"/>
      <c r="G284" s="132"/>
      <c r="H284" s="587"/>
      <c r="I284" s="605">
        <f t="shared" si="28"/>
        <v>0</v>
      </c>
      <c r="J284" s="587"/>
      <c r="K284" s="454"/>
      <c r="L284" s="454"/>
      <c r="M284" s="454"/>
      <c r="N284" s="454"/>
      <c r="O284" s="564"/>
      <c r="P284" s="564"/>
      <c r="Q284" s="611" t="str">
        <f t="shared" si="27"/>
        <v>正确</v>
      </c>
      <c r="X284" s="420"/>
    </row>
    <row r="285" s="397" customFormat="1" outlineLevel="2" spans="2:24">
      <c r="B285" s="575"/>
      <c r="C285" s="578"/>
      <c r="D285" s="579"/>
      <c r="E285" s="585"/>
      <c r="F285" s="586"/>
      <c r="G285" s="132"/>
      <c r="H285" s="587"/>
      <c r="I285" s="605">
        <f t="shared" si="28"/>
        <v>0</v>
      </c>
      <c r="J285" s="587"/>
      <c r="K285" s="454"/>
      <c r="L285" s="454"/>
      <c r="M285" s="454"/>
      <c r="N285" s="454"/>
      <c r="O285" s="564"/>
      <c r="P285" s="564"/>
      <c r="Q285" s="611" t="str">
        <f t="shared" si="27"/>
        <v>正确</v>
      </c>
      <c r="X285" s="420"/>
    </row>
    <row r="286" s="397" customFormat="1" outlineLevel="2" spans="2:24">
      <c r="B286" s="575"/>
      <c r="C286" s="578"/>
      <c r="D286" s="579"/>
      <c r="E286" s="585"/>
      <c r="F286" s="586"/>
      <c r="G286" s="132"/>
      <c r="H286" s="587"/>
      <c r="I286" s="605">
        <f t="shared" si="28"/>
        <v>0</v>
      </c>
      <c r="J286" s="587"/>
      <c r="K286" s="454"/>
      <c r="L286" s="454"/>
      <c r="M286" s="454"/>
      <c r="N286" s="454"/>
      <c r="O286" s="564"/>
      <c r="P286" s="564"/>
      <c r="Q286" s="611" t="str">
        <f t="shared" si="27"/>
        <v>正确</v>
      </c>
      <c r="X286" s="420"/>
    </row>
    <row r="287" s="397" customFormat="1" outlineLevel="2" spans="2:24">
      <c r="B287" s="575"/>
      <c r="C287" s="578"/>
      <c r="D287" s="579"/>
      <c r="E287" s="585"/>
      <c r="F287" s="586"/>
      <c r="G287" s="132"/>
      <c r="H287" s="587"/>
      <c r="I287" s="605">
        <f t="shared" si="28"/>
        <v>0</v>
      </c>
      <c r="J287" s="587"/>
      <c r="K287" s="454"/>
      <c r="L287" s="454"/>
      <c r="M287" s="454"/>
      <c r="N287" s="454"/>
      <c r="O287" s="564"/>
      <c r="P287" s="564"/>
      <c r="Q287" s="611" t="str">
        <f t="shared" si="27"/>
        <v>正确</v>
      </c>
      <c r="X287" s="420"/>
    </row>
    <row r="288" s="397" customFormat="1" outlineLevel="2" spans="2:24">
      <c r="B288" s="575"/>
      <c r="C288" s="578"/>
      <c r="D288" s="579"/>
      <c r="E288" s="585"/>
      <c r="F288" s="586"/>
      <c r="G288" s="132"/>
      <c r="H288" s="587"/>
      <c r="I288" s="605">
        <f t="shared" si="28"/>
        <v>0</v>
      </c>
      <c r="J288" s="587"/>
      <c r="K288" s="454"/>
      <c r="L288" s="454"/>
      <c r="M288" s="454"/>
      <c r="N288" s="454"/>
      <c r="O288" s="564"/>
      <c r="P288" s="564"/>
      <c r="Q288" s="611" t="str">
        <f t="shared" si="27"/>
        <v>正确</v>
      </c>
      <c r="X288" s="420"/>
    </row>
    <row r="289" s="397" customFormat="1" outlineLevel="2" spans="2:24">
      <c r="B289" s="575"/>
      <c r="C289" s="578"/>
      <c r="D289" s="579"/>
      <c r="E289" s="585"/>
      <c r="F289" s="586"/>
      <c r="G289" s="132"/>
      <c r="H289" s="587"/>
      <c r="I289" s="605">
        <f t="shared" si="28"/>
        <v>0</v>
      </c>
      <c r="J289" s="587"/>
      <c r="K289" s="454"/>
      <c r="L289" s="454"/>
      <c r="M289" s="454"/>
      <c r="N289" s="454"/>
      <c r="O289" s="564"/>
      <c r="P289" s="564"/>
      <c r="Q289" s="611" t="str">
        <f t="shared" si="27"/>
        <v>正确</v>
      </c>
      <c r="X289" s="420"/>
    </row>
    <row r="290" s="397" customFormat="1" outlineLevel="2" spans="2:24">
      <c r="B290" s="575"/>
      <c r="C290" s="578"/>
      <c r="D290" s="579"/>
      <c r="E290" s="585"/>
      <c r="F290" s="586"/>
      <c r="G290" s="132"/>
      <c r="H290" s="587"/>
      <c r="I290" s="605">
        <f t="shared" si="28"/>
        <v>0</v>
      </c>
      <c r="J290" s="587"/>
      <c r="K290" s="454"/>
      <c r="L290" s="454"/>
      <c r="M290" s="454"/>
      <c r="N290" s="454"/>
      <c r="O290" s="564"/>
      <c r="P290" s="564"/>
      <c r="Q290" s="611" t="str">
        <f t="shared" si="27"/>
        <v>正确</v>
      </c>
      <c r="X290" s="420"/>
    </row>
    <row r="291" s="397" customFormat="1" outlineLevel="2" spans="2:24">
      <c r="B291" s="575"/>
      <c r="C291" s="578"/>
      <c r="D291" s="579"/>
      <c r="E291" s="585"/>
      <c r="F291" s="586"/>
      <c r="G291" s="132"/>
      <c r="H291" s="587"/>
      <c r="I291" s="605">
        <f t="shared" si="28"/>
        <v>0</v>
      </c>
      <c r="J291" s="587"/>
      <c r="K291" s="454"/>
      <c r="L291" s="454"/>
      <c r="M291" s="454"/>
      <c r="N291" s="454"/>
      <c r="O291" s="564"/>
      <c r="P291" s="564"/>
      <c r="Q291" s="611" t="str">
        <f t="shared" si="27"/>
        <v>正确</v>
      </c>
      <c r="X291" s="420"/>
    </row>
    <row r="292" s="397" customFormat="1" outlineLevel="2" spans="2:24">
      <c r="B292" s="575"/>
      <c r="C292" s="578"/>
      <c r="D292" s="579"/>
      <c r="E292" s="585"/>
      <c r="F292" s="586"/>
      <c r="G292" s="132"/>
      <c r="H292" s="587"/>
      <c r="I292" s="605">
        <f t="shared" si="28"/>
        <v>0</v>
      </c>
      <c r="J292" s="587"/>
      <c r="K292" s="454"/>
      <c r="L292" s="454"/>
      <c r="M292" s="454"/>
      <c r="N292" s="454"/>
      <c r="O292" s="564"/>
      <c r="P292" s="564"/>
      <c r="Q292" s="611" t="str">
        <f t="shared" si="27"/>
        <v>正确</v>
      </c>
      <c r="X292" s="420"/>
    </row>
    <row r="293" s="397" customFormat="1" outlineLevel="2" spans="2:24">
      <c r="B293" s="575"/>
      <c r="C293" s="578"/>
      <c r="D293" s="579"/>
      <c r="E293" s="585"/>
      <c r="F293" s="586"/>
      <c r="G293" s="132"/>
      <c r="H293" s="587"/>
      <c r="I293" s="605">
        <f t="shared" si="28"/>
        <v>0</v>
      </c>
      <c r="J293" s="587"/>
      <c r="K293" s="454"/>
      <c r="L293" s="454"/>
      <c r="M293" s="454"/>
      <c r="N293" s="454"/>
      <c r="O293" s="564"/>
      <c r="P293" s="564"/>
      <c r="Q293" s="611" t="str">
        <f t="shared" si="27"/>
        <v>正确</v>
      </c>
      <c r="X293" s="420"/>
    </row>
    <row r="294" s="397" customFormat="1" outlineLevel="2" spans="2:24">
      <c r="B294" s="575"/>
      <c r="C294" s="578"/>
      <c r="D294" s="579"/>
      <c r="E294" s="585"/>
      <c r="F294" s="586"/>
      <c r="G294" s="132"/>
      <c r="H294" s="587"/>
      <c r="I294" s="605">
        <f t="shared" si="28"/>
        <v>0</v>
      </c>
      <c r="J294" s="587"/>
      <c r="K294" s="454"/>
      <c r="L294" s="454"/>
      <c r="M294" s="454"/>
      <c r="N294" s="454"/>
      <c r="O294" s="564"/>
      <c r="P294" s="564"/>
      <c r="Q294" s="611" t="str">
        <f t="shared" si="27"/>
        <v>正确</v>
      </c>
      <c r="X294" s="420"/>
    </row>
    <row r="295" s="397" customFormat="1" outlineLevel="2" spans="2:24">
      <c r="B295" s="575"/>
      <c r="C295" s="578"/>
      <c r="D295" s="579"/>
      <c r="E295" s="585"/>
      <c r="F295" s="586"/>
      <c r="G295" s="132"/>
      <c r="H295" s="587"/>
      <c r="I295" s="605">
        <f t="shared" si="28"/>
        <v>0</v>
      </c>
      <c r="J295" s="587"/>
      <c r="K295" s="454"/>
      <c r="L295" s="454"/>
      <c r="M295" s="454"/>
      <c r="N295" s="454"/>
      <c r="O295" s="564"/>
      <c r="P295" s="564"/>
      <c r="Q295" s="611" t="str">
        <f t="shared" si="27"/>
        <v>正确</v>
      </c>
      <c r="X295" s="420"/>
    </row>
    <row r="296" s="397" customFormat="1" outlineLevel="2" spans="2:24">
      <c r="B296" s="575" t="s">
        <v>2409</v>
      </c>
      <c r="C296" s="429" t="str">
        <f>$G$1</f>
        <v>石嘴山市深阳蓝光市政工程有限公司</v>
      </c>
      <c r="D296" s="579" t="s">
        <v>2438</v>
      </c>
      <c r="E296" s="582" t="s">
        <v>2445</v>
      </c>
      <c r="F296" s="583"/>
      <c r="G296" s="584">
        <f>ROUND(SUM(G297:G317),2)</f>
        <v>0</v>
      </c>
      <c r="H296" s="584">
        <f>ROUND(SUM(H297:H317),2)</f>
        <v>0</v>
      </c>
      <c r="I296" s="605">
        <f t="shared" si="28"/>
        <v>0</v>
      </c>
      <c r="J296" s="584">
        <f t="shared" ref="J296:P296" si="29">ROUND(SUM(J297:J317),2)</f>
        <v>0</v>
      </c>
      <c r="K296" s="584">
        <f t="shared" si="29"/>
        <v>0</v>
      </c>
      <c r="L296" s="584">
        <f t="shared" si="29"/>
        <v>0</v>
      </c>
      <c r="M296" s="584">
        <f t="shared" si="29"/>
        <v>0</v>
      </c>
      <c r="N296" s="584">
        <f t="shared" si="29"/>
        <v>0</v>
      </c>
      <c r="O296" s="584">
        <f t="shared" si="29"/>
        <v>0</v>
      </c>
      <c r="P296" s="584">
        <f t="shared" si="29"/>
        <v>0</v>
      </c>
      <c r="Q296" s="611" t="str">
        <f t="shared" si="27"/>
        <v>正确</v>
      </c>
      <c r="X296" s="501" t="b">
        <f>EXACT(A296,E296)</f>
        <v>0</v>
      </c>
    </row>
    <row r="297" s="397" customFormat="1" outlineLevel="2" spans="2:24">
      <c r="B297" s="575" t="s">
        <v>2409</v>
      </c>
      <c r="C297" s="429" t="str">
        <f>$G$1</f>
        <v>石嘴山市深阳蓝光市政工程有限公司</v>
      </c>
      <c r="D297" s="579" t="s">
        <v>2438</v>
      </c>
      <c r="E297" s="585"/>
      <c r="F297" s="586"/>
      <c r="G297" s="132"/>
      <c r="H297" s="454"/>
      <c r="I297" s="605">
        <f t="shared" si="28"/>
        <v>0</v>
      </c>
      <c r="J297" s="587"/>
      <c r="K297" s="454"/>
      <c r="L297" s="454"/>
      <c r="M297" s="454"/>
      <c r="N297" s="454"/>
      <c r="O297" s="564"/>
      <c r="P297" s="564"/>
      <c r="Q297" s="611" t="str">
        <f t="shared" si="27"/>
        <v>正确</v>
      </c>
      <c r="X297" s="501" t="b">
        <f>EXACT(A297,E297)</f>
        <v>1</v>
      </c>
    </row>
    <row r="298" s="397" customFormat="1" outlineLevel="2" spans="2:24">
      <c r="B298" s="575" t="s">
        <v>2409</v>
      </c>
      <c r="C298" s="429" t="str">
        <f>$G$1</f>
        <v>石嘴山市深阳蓝光市政工程有限公司</v>
      </c>
      <c r="D298" s="579" t="s">
        <v>2438</v>
      </c>
      <c r="E298" s="585"/>
      <c r="F298" s="586"/>
      <c r="G298" s="132"/>
      <c r="H298" s="587"/>
      <c r="I298" s="605">
        <f t="shared" si="28"/>
        <v>0</v>
      </c>
      <c r="J298" s="587"/>
      <c r="K298" s="454"/>
      <c r="L298" s="454"/>
      <c r="M298" s="454"/>
      <c r="N298" s="454"/>
      <c r="O298" s="564"/>
      <c r="P298" s="564"/>
      <c r="Q298" s="611" t="str">
        <f t="shared" si="27"/>
        <v>正确</v>
      </c>
      <c r="X298" s="501" t="b">
        <f>EXACT(A298,E298)</f>
        <v>1</v>
      </c>
    </row>
    <row r="299" s="397" customFormat="1" outlineLevel="2" spans="2:24">
      <c r="B299" s="575" t="s">
        <v>2409</v>
      </c>
      <c r="C299" s="429" t="str">
        <f>$G$1</f>
        <v>石嘴山市深阳蓝光市政工程有限公司</v>
      </c>
      <c r="D299" s="579" t="s">
        <v>2446</v>
      </c>
      <c r="E299" s="585"/>
      <c r="F299" s="586"/>
      <c r="G299" s="132"/>
      <c r="H299" s="587"/>
      <c r="I299" s="605">
        <f t="shared" si="28"/>
        <v>0</v>
      </c>
      <c r="J299" s="587"/>
      <c r="K299" s="454"/>
      <c r="L299" s="454"/>
      <c r="M299" s="454"/>
      <c r="N299" s="454"/>
      <c r="O299" s="564"/>
      <c r="P299" s="564"/>
      <c r="Q299" s="611" t="str">
        <f t="shared" si="27"/>
        <v>正确</v>
      </c>
      <c r="X299" s="501" t="b">
        <f>EXACT(A299,E299)</f>
        <v>1</v>
      </c>
    </row>
    <row r="300" s="397" customFormat="1" outlineLevel="2" spans="2:24">
      <c r="B300" s="575"/>
      <c r="C300" s="578"/>
      <c r="D300" s="579"/>
      <c r="E300" s="585"/>
      <c r="F300" s="586"/>
      <c r="G300" s="132"/>
      <c r="H300" s="587"/>
      <c r="I300" s="605">
        <f t="shared" si="28"/>
        <v>0</v>
      </c>
      <c r="J300" s="587"/>
      <c r="K300" s="454"/>
      <c r="L300" s="454"/>
      <c r="M300" s="454"/>
      <c r="N300" s="454"/>
      <c r="O300" s="564"/>
      <c r="P300" s="564"/>
      <c r="Q300" s="611" t="str">
        <f t="shared" si="27"/>
        <v>正确</v>
      </c>
      <c r="X300" s="420"/>
    </row>
    <row r="301" s="397" customFormat="1" outlineLevel="2" spans="2:24">
      <c r="B301" s="575"/>
      <c r="C301" s="578"/>
      <c r="D301" s="579"/>
      <c r="E301" s="585"/>
      <c r="F301" s="586"/>
      <c r="G301" s="132"/>
      <c r="H301" s="587"/>
      <c r="I301" s="605">
        <f t="shared" si="28"/>
        <v>0</v>
      </c>
      <c r="J301" s="587"/>
      <c r="K301" s="454"/>
      <c r="L301" s="454"/>
      <c r="M301" s="454"/>
      <c r="N301" s="454"/>
      <c r="O301" s="564"/>
      <c r="P301" s="564"/>
      <c r="Q301" s="611" t="str">
        <f t="shared" si="27"/>
        <v>正确</v>
      </c>
      <c r="X301" s="420"/>
    </row>
    <row r="302" s="397" customFormat="1" outlineLevel="2" spans="2:24">
      <c r="B302" s="575"/>
      <c r="C302" s="578"/>
      <c r="D302" s="579"/>
      <c r="E302" s="585"/>
      <c r="F302" s="586"/>
      <c r="G302" s="132"/>
      <c r="H302" s="587"/>
      <c r="I302" s="605">
        <f t="shared" si="28"/>
        <v>0</v>
      </c>
      <c r="J302" s="587"/>
      <c r="K302" s="454"/>
      <c r="L302" s="454"/>
      <c r="M302" s="454"/>
      <c r="N302" s="454"/>
      <c r="O302" s="564"/>
      <c r="P302" s="564"/>
      <c r="Q302" s="611" t="str">
        <f t="shared" si="27"/>
        <v>正确</v>
      </c>
      <c r="X302" s="420"/>
    </row>
    <row r="303" s="397" customFormat="1" outlineLevel="2" spans="2:24">
      <c r="B303" s="575"/>
      <c r="C303" s="578"/>
      <c r="D303" s="579"/>
      <c r="E303" s="585"/>
      <c r="F303" s="586"/>
      <c r="G303" s="132"/>
      <c r="H303" s="587"/>
      <c r="I303" s="605">
        <f t="shared" si="28"/>
        <v>0</v>
      </c>
      <c r="J303" s="587"/>
      <c r="K303" s="454"/>
      <c r="L303" s="454"/>
      <c r="M303" s="454"/>
      <c r="N303" s="454"/>
      <c r="O303" s="564"/>
      <c r="P303" s="564"/>
      <c r="Q303" s="611" t="str">
        <f t="shared" si="27"/>
        <v>正确</v>
      </c>
      <c r="X303" s="420"/>
    </row>
    <row r="304" s="397" customFormat="1" outlineLevel="2" spans="2:24">
      <c r="B304" s="575" t="s">
        <v>2409</v>
      </c>
      <c r="C304" s="429" t="str">
        <f t="shared" ref="C304:C332" si="30">$G$1</f>
        <v>石嘴山市深阳蓝光市政工程有限公司</v>
      </c>
      <c r="D304" s="579" t="s">
        <v>2446</v>
      </c>
      <c r="E304" s="585"/>
      <c r="F304" s="586"/>
      <c r="G304" s="132"/>
      <c r="H304" s="587"/>
      <c r="I304" s="605">
        <f t="shared" si="28"/>
        <v>0</v>
      </c>
      <c r="J304" s="587"/>
      <c r="K304" s="454"/>
      <c r="L304" s="454"/>
      <c r="M304" s="454"/>
      <c r="N304" s="454"/>
      <c r="O304" s="564"/>
      <c r="P304" s="564"/>
      <c r="Q304" s="611" t="str">
        <f t="shared" si="27"/>
        <v>正确</v>
      </c>
      <c r="X304" s="501" t="b">
        <f t="shared" ref="X304:X318" si="31">EXACT(A304,E304)</f>
        <v>1</v>
      </c>
    </row>
    <row r="305" s="397" customFormat="1" outlineLevel="2" spans="2:24">
      <c r="B305" s="575" t="s">
        <v>2409</v>
      </c>
      <c r="C305" s="429" t="str">
        <f t="shared" si="30"/>
        <v>石嘴山市深阳蓝光市政工程有限公司</v>
      </c>
      <c r="D305" s="579" t="s">
        <v>2446</v>
      </c>
      <c r="E305" s="585"/>
      <c r="F305" s="586"/>
      <c r="G305" s="132"/>
      <c r="H305" s="587"/>
      <c r="I305" s="605">
        <f t="shared" si="28"/>
        <v>0</v>
      </c>
      <c r="J305" s="587"/>
      <c r="K305" s="454"/>
      <c r="L305" s="454"/>
      <c r="M305" s="454"/>
      <c r="N305" s="454"/>
      <c r="O305" s="564"/>
      <c r="P305" s="564"/>
      <c r="Q305" s="611" t="str">
        <f t="shared" si="27"/>
        <v>正确</v>
      </c>
      <c r="X305" s="501" t="b">
        <f t="shared" si="31"/>
        <v>1</v>
      </c>
    </row>
    <row r="306" s="397" customFormat="1" outlineLevel="2" spans="2:24">
      <c r="B306" s="575" t="s">
        <v>2409</v>
      </c>
      <c r="C306" s="429" t="str">
        <f t="shared" si="30"/>
        <v>石嘴山市深阳蓝光市政工程有限公司</v>
      </c>
      <c r="D306" s="579" t="s">
        <v>2446</v>
      </c>
      <c r="E306" s="585"/>
      <c r="F306" s="586"/>
      <c r="G306" s="132"/>
      <c r="H306" s="587"/>
      <c r="I306" s="605">
        <f t="shared" si="28"/>
        <v>0</v>
      </c>
      <c r="J306" s="587"/>
      <c r="K306" s="454"/>
      <c r="L306" s="454"/>
      <c r="M306" s="454"/>
      <c r="N306" s="454"/>
      <c r="O306" s="564"/>
      <c r="P306" s="564"/>
      <c r="Q306" s="611" t="str">
        <f t="shared" si="27"/>
        <v>正确</v>
      </c>
      <c r="X306" s="501" t="b">
        <f t="shared" si="31"/>
        <v>1</v>
      </c>
    </row>
    <row r="307" s="397" customFormat="1" outlineLevel="2" spans="2:24">
      <c r="B307" s="575" t="s">
        <v>2409</v>
      </c>
      <c r="C307" s="429" t="str">
        <f t="shared" si="30"/>
        <v>石嘴山市深阳蓝光市政工程有限公司</v>
      </c>
      <c r="D307" s="579" t="s">
        <v>2446</v>
      </c>
      <c r="E307" s="585"/>
      <c r="F307" s="586"/>
      <c r="G307" s="132"/>
      <c r="H307" s="587"/>
      <c r="I307" s="605">
        <f t="shared" si="28"/>
        <v>0</v>
      </c>
      <c r="J307" s="587"/>
      <c r="K307" s="454"/>
      <c r="L307" s="454"/>
      <c r="M307" s="454"/>
      <c r="N307" s="454"/>
      <c r="O307" s="564"/>
      <c r="P307" s="564"/>
      <c r="Q307" s="611" t="str">
        <f t="shared" si="27"/>
        <v>正确</v>
      </c>
      <c r="X307" s="501" t="b">
        <f t="shared" si="31"/>
        <v>1</v>
      </c>
    </row>
    <row r="308" s="397" customFormat="1" outlineLevel="2" spans="2:24">
      <c r="B308" s="575" t="s">
        <v>2409</v>
      </c>
      <c r="C308" s="429" t="str">
        <f t="shared" si="30"/>
        <v>石嘴山市深阳蓝光市政工程有限公司</v>
      </c>
      <c r="D308" s="579" t="s">
        <v>2446</v>
      </c>
      <c r="E308" s="585"/>
      <c r="F308" s="586"/>
      <c r="G308" s="132"/>
      <c r="H308" s="587"/>
      <c r="I308" s="605">
        <f t="shared" si="28"/>
        <v>0</v>
      </c>
      <c r="J308" s="587"/>
      <c r="K308" s="454"/>
      <c r="L308" s="454"/>
      <c r="M308" s="454"/>
      <c r="N308" s="454"/>
      <c r="O308" s="564"/>
      <c r="P308" s="564"/>
      <c r="Q308" s="611" t="str">
        <f t="shared" si="27"/>
        <v>正确</v>
      </c>
      <c r="X308" s="501" t="b">
        <f t="shared" si="31"/>
        <v>1</v>
      </c>
    </row>
    <row r="309" s="397" customFormat="1" outlineLevel="2" spans="2:24">
      <c r="B309" s="575" t="s">
        <v>2409</v>
      </c>
      <c r="C309" s="429" t="str">
        <f t="shared" si="30"/>
        <v>石嘴山市深阳蓝光市政工程有限公司</v>
      </c>
      <c r="D309" s="579" t="s">
        <v>2446</v>
      </c>
      <c r="E309" s="585"/>
      <c r="F309" s="586"/>
      <c r="G309" s="132"/>
      <c r="H309" s="587"/>
      <c r="I309" s="605">
        <f t="shared" si="28"/>
        <v>0</v>
      </c>
      <c r="J309" s="587"/>
      <c r="K309" s="454"/>
      <c r="L309" s="454"/>
      <c r="M309" s="454"/>
      <c r="N309" s="454"/>
      <c r="O309" s="564"/>
      <c r="P309" s="564"/>
      <c r="Q309" s="611" t="str">
        <f t="shared" si="27"/>
        <v>正确</v>
      </c>
      <c r="X309" s="501" t="b">
        <f t="shared" si="31"/>
        <v>1</v>
      </c>
    </row>
    <row r="310" s="397" customFormat="1" outlineLevel="2" spans="2:24">
      <c r="B310" s="575" t="s">
        <v>2409</v>
      </c>
      <c r="C310" s="429" t="str">
        <f t="shared" si="30"/>
        <v>石嘴山市深阳蓝光市政工程有限公司</v>
      </c>
      <c r="D310" s="579" t="s">
        <v>2446</v>
      </c>
      <c r="E310" s="585"/>
      <c r="F310" s="586"/>
      <c r="G310" s="132"/>
      <c r="H310" s="587"/>
      <c r="I310" s="605">
        <f t="shared" si="28"/>
        <v>0</v>
      </c>
      <c r="J310" s="587"/>
      <c r="K310" s="454"/>
      <c r="L310" s="454"/>
      <c r="M310" s="454"/>
      <c r="N310" s="454"/>
      <c r="O310" s="564"/>
      <c r="P310" s="564"/>
      <c r="Q310" s="611" t="str">
        <f t="shared" si="27"/>
        <v>正确</v>
      </c>
      <c r="X310" s="501" t="b">
        <f t="shared" si="31"/>
        <v>1</v>
      </c>
    </row>
    <row r="311" s="397" customFormat="1" outlineLevel="2" spans="2:24">
      <c r="B311" s="575" t="s">
        <v>2409</v>
      </c>
      <c r="C311" s="429" t="str">
        <f t="shared" si="30"/>
        <v>石嘴山市深阳蓝光市政工程有限公司</v>
      </c>
      <c r="D311" s="579" t="s">
        <v>2446</v>
      </c>
      <c r="E311" s="585"/>
      <c r="F311" s="586"/>
      <c r="G311" s="132"/>
      <c r="H311" s="587"/>
      <c r="I311" s="605">
        <f t="shared" si="28"/>
        <v>0</v>
      </c>
      <c r="J311" s="587"/>
      <c r="K311" s="454"/>
      <c r="L311" s="454"/>
      <c r="M311" s="454"/>
      <c r="N311" s="454"/>
      <c r="O311" s="564"/>
      <c r="P311" s="564"/>
      <c r="Q311" s="611" t="str">
        <f t="shared" si="27"/>
        <v>正确</v>
      </c>
      <c r="X311" s="501" t="b">
        <f t="shared" si="31"/>
        <v>1</v>
      </c>
    </row>
    <row r="312" s="397" customFormat="1" outlineLevel="2" spans="2:24">
      <c r="B312" s="575" t="s">
        <v>2409</v>
      </c>
      <c r="C312" s="429" t="str">
        <f t="shared" si="30"/>
        <v>石嘴山市深阳蓝光市政工程有限公司</v>
      </c>
      <c r="D312" s="579" t="s">
        <v>2446</v>
      </c>
      <c r="E312" s="585"/>
      <c r="F312" s="586"/>
      <c r="G312" s="132"/>
      <c r="H312" s="587"/>
      <c r="I312" s="605">
        <f t="shared" si="28"/>
        <v>0</v>
      </c>
      <c r="J312" s="587"/>
      <c r="K312" s="454"/>
      <c r="L312" s="454"/>
      <c r="M312" s="454"/>
      <c r="N312" s="454"/>
      <c r="O312" s="564"/>
      <c r="P312" s="564"/>
      <c r="Q312" s="611" t="str">
        <f t="shared" si="27"/>
        <v>正确</v>
      </c>
      <c r="X312" s="501" t="b">
        <f t="shared" si="31"/>
        <v>1</v>
      </c>
    </row>
    <row r="313" s="397" customFormat="1" outlineLevel="2" spans="2:24">
      <c r="B313" s="575" t="s">
        <v>2409</v>
      </c>
      <c r="C313" s="429" t="str">
        <f t="shared" si="30"/>
        <v>石嘴山市深阳蓝光市政工程有限公司</v>
      </c>
      <c r="D313" s="579" t="s">
        <v>2446</v>
      </c>
      <c r="E313" s="585"/>
      <c r="F313" s="586"/>
      <c r="G313" s="132"/>
      <c r="H313" s="587"/>
      <c r="I313" s="605">
        <f t="shared" si="28"/>
        <v>0</v>
      </c>
      <c r="J313" s="587"/>
      <c r="K313" s="454"/>
      <c r="L313" s="454"/>
      <c r="M313" s="454"/>
      <c r="N313" s="454"/>
      <c r="O313" s="564"/>
      <c r="P313" s="564"/>
      <c r="Q313" s="611" t="str">
        <f t="shared" si="27"/>
        <v>正确</v>
      </c>
      <c r="X313" s="501" t="b">
        <f t="shared" si="31"/>
        <v>1</v>
      </c>
    </row>
    <row r="314" s="397" customFormat="1" outlineLevel="2" spans="2:24">
      <c r="B314" s="575" t="s">
        <v>2409</v>
      </c>
      <c r="C314" s="429" t="str">
        <f t="shared" si="30"/>
        <v>石嘴山市深阳蓝光市政工程有限公司</v>
      </c>
      <c r="D314" s="579" t="s">
        <v>2446</v>
      </c>
      <c r="E314" s="585"/>
      <c r="F314" s="586"/>
      <c r="G314" s="132"/>
      <c r="H314" s="587"/>
      <c r="I314" s="605">
        <f t="shared" si="28"/>
        <v>0</v>
      </c>
      <c r="J314" s="587"/>
      <c r="K314" s="454"/>
      <c r="L314" s="454"/>
      <c r="M314" s="454"/>
      <c r="N314" s="454"/>
      <c r="O314" s="564"/>
      <c r="P314" s="564"/>
      <c r="Q314" s="611" t="str">
        <f t="shared" si="27"/>
        <v>正确</v>
      </c>
      <c r="X314" s="501" t="b">
        <f t="shared" si="31"/>
        <v>1</v>
      </c>
    </row>
    <row r="315" s="397" customFormat="1" outlineLevel="2" spans="2:24">
      <c r="B315" s="575" t="s">
        <v>2409</v>
      </c>
      <c r="C315" s="429" t="str">
        <f t="shared" si="30"/>
        <v>石嘴山市深阳蓝光市政工程有限公司</v>
      </c>
      <c r="D315" s="579" t="s">
        <v>2446</v>
      </c>
      <c r="E315" s="585"/>
      <c r="F315" s="586"/>
      <c r="G315" s="132"/>
      <c r="H315" s="587"/>
      <c r="I315" s="605">
        <f t="shared" si="28"/>
        <v>0</v>
      </c>
      <c r="J315" s="587"/>
      <c r="K315" s="454"/>
      <c r="L315" s="454"/>
      <c r="M315" s="454"/>
      <c r="N315" s="454"/>
      <c r="O315" s="564"/>
      <c r="P315" s="564"/>
      <c r="Q315" s="611" t="str">
        <f t="shared" si="27"/>
        <v>正确</v>
      </c>
      <c r="X315" s="501" t="b">
        <f t="shared" si="31"/>
        <v>1</v>
      </c>
    </row>
    <row r="316" s="397" customFormat="1" outlineLevel="2" spans="2:24">
      <c r="B316" s="575" t="s">
        <v>2409</v>
      </c>
      <c r="C316" s="429" t="str">
        <f t="shared" si="30"/>
        <v>石嘴山市深阳蓝光市政工程有限公司</v>
      </c>
      <c r="D316" s="579" t="s">
        <v>2446</v>
      </c>
      <c r="E316" s="585"/>
      <c r="F316" s="586"/>
      <c r="G316" s="132"/>
      <c r="H316" s="587"/>
      <c r="I316" s="605">
        <f t="shared" si="28"/>
        <v>0</v>
      </c>
      <c r="J316" s="587"/>
      <c r="K316" s="454"/>
      <c r="L316" s="454"/>
      <c r="M316" s="454"/>
      <c r="N316" s="454"/>
      <c r="O316" s="564"/>
      <c r="P316" s="564"/>
      <c r="Q316" s="611" t="str">
        <f t="shared" si="27"/>
        <v>正确</v>
      </c>
      <c r="X316" s="501" t="b">
        <f t="shared" si="31"/>
        <v>1</v>
      </c>
    </row>
    <row r="317" s="397" customFormat="1" outlineLevel="2" spans="2:24">
      <c r="B317" s="575" t="s">
        <v>2409</v>
      </c>
      <c r="C317" s="429" t="str">
        <f t="shared" si="30"/>
        <v>石嘴山市深阳蓝光市政工程有限公司</v>
      </c>
      <c r="D317" s="579" t="s">
        <v>2446</v>
      </c>
      <c r="E317" s="585"/>
      <c r="F317" s="586"/>
      <c r="G317" s="132"/>
      <c r="H317" s="587"/>
      <c r="I317" s="605">
        <f t="shared" si="28"/>
        <v>0</v>
      </c>
      <c r="J317" s="587"/>
      <c r="K317" s="454"/>
      <c r="L317" s="454"/>
      <c r="M317" s="454"/>
      <c r="N317" s="454"/>
      <c r="O317" s="564"/>
      <c r="P317" s="564"/>
      <c r="Q317" s="611" t="str">
        <f t="shared" si="27"/>
        <v>正确</v>
      </c>
      <c r="X317" s="501" t="b">
        <f t="shared" si="31"/>
        <v>1</v>
      </c>
    </row>
    <row r="318" s="397" customFormat="1" outlineLevel="2" spans="1:24">
      <c r="A318" s="397" t="s">
        <v>1580</v>
      </c>
      <c r="B318" s="575" t="s">
        <v>2409</v>
      </c>
      <c r="C318" s="429" t="str">
        <f t="shared" si="30"/>
        <v>石嘴山市深阳蓝光市政工程有限公司</v>
      </c>
      <c r="D318" s="579" t="s">
        <v>2446</v>
      </c>
      <c r="E318" s="561" t="s">
        <v>1580</v>
      </c>
      <c r="F318" s="604"/>
      <c r="G318" s="135">
        <f>G296+G272</f>
        <v>0</v>
      </c>
      <c r="H318" s="135">
        <f>H296+H272</f>
        <v>0</v>
      </c>
      <c r="I318" s="605">
        <f t="shared" si="28"/>
        <v>0</v>
      </c>
      <c r="J318" s="602"/>
      <c r="K318" s="135">
        <f t="shared" ref="K318:P318" si="32">K296+K272</f>
        <v>0</v>
      </c>
      <c r="L318" s="135">
        <f t="shared" si="32"/>
        <v>0</v>
      </c>
      <c r="M318" s="135">
        <f t="shared" si="32"/>
        <v>0</v>
      </c>
      <c r="N318" s="135">
        <f t="shared" si="32"/>
        <v>0</v>
      </c>
      <c r="O318" s="135">
        <f t="shared" si="32"/>
        <v>0</v>
      </c>
      <c r="P318" s="135">
        <f t="shared" si="32"/>
        <v>0</v>
      </c>
      <c r="Q318" s="611" t="str">
        <f t="shared" si="27"/>
        <v>正确</v>
      </c>
      <c r="X318" s="501" t="b">
        <f t="shared" si="31"/>
        <v>1</v>
      </c>
    </row>
    <row r="319" s="397" customFormat="1" outlineLevel="2" spans="2:24">
      <c r="B319" s="575" t="s">
        <v>2409</v>
      </c>
      <c r="C319" s="429" t="str">
        <f t="shared" si="30"/>
        <v>石嘴山市深阳蓝光市政工程有限公司</v>
      </c>
      <c r="D319" s="579" t="s">
        <v>2446</v>
      </c>
      <c r="E319" s="612" t="s">
        <v>1598</v>
      </c>
      <c r="F319" s="560"/>
      <c r="G319" s="560"/>
      <c r="H319" s="560"/>
      <c r="I319" s="560"/>
      <c r="J319" s="560"/>
      <c r="K319" s="560"/>
      <c r="L319" s="451"/>
      <c r="M319" s="568"/>
      <c r="N319" s="560"/>
      <c r="X319" s="501" t="b">
        <f t="shared" si="19"/>
        <v>0</v>
      </c>
    </row>
    <row r="320" s="397" customFormat="1" outlineLevel="2" spans="1:24">
      <c r="A320" s="397" t="s">
        <v>2412</v>
      </c>
      <c r="B320" s="575" t="s">
        <v>2409</v>
      </c>
      <c r="C320" s="429" t="str">
        <f t="shared" si="30"/>
        <v>石嘴山市深阳蓝光市政工程有限公司</v>
      </c>
      <c r="D320" s="576" t="s">
        <v>2410</v>
      </c>
      <c r="E320" s="614" t="s">
        <v>2412</v>
      </c>
      <c r="F320" s="562" t="s">
        <v>315</v>
      </c>
      <c r="G320" s="561"/>
      <c r="H320" s="561"/>
      <c r="I320" s="561"/>
      <c r="J320" s="561" t="s">
        <v>1579</v>
      </c>
      <c r="K320" s="561"/>
      <c r="L320" s="561"/>
      <c r="M320" s="561"/>
      <c r="N320" s="588" t="s">
        <v>2413</v>
      </c>
      <c r="O320" s="589" t="s">
        <v>2414</v>
      </c>
      <c r="P320" s="590" t="s">
        <v>2415</v>
      </c>
      <c r="Q320" s="595" t="s">
        <v>2418</v>
      </c>
      <c r="R320" s="596"/>
      <c r="X320" s="501" t="b">
        <f t="shared" si="19"/>
        <v>1</v>
      </c>
    </row>
    <row r="321" s="397" customFormat="1" outlineLevel="2" spans="2:24">
      <c r="B321" s="575" t="s">
        <v>2409</v>
      </c>
      <c r="C321" s="429" t="str">
        <f t="shared" si="30"/>
        <v>石嘴山市深阳蓝光市政工程有限公司</v>
      </c>
      <c r="D321" s="576" t="s">
        <v>2410</v>
      </c>
      <c r="E321" s="615"/>
      <c r="F321" s="561" t="s">
        <v>2419</v>
      </c>
      <c r="G321" s="561" t="s">
        <v>444</v>
      </c>
      <c r="H321" s="561" t="s">
        <v>470</v>
      </c>
      <c r="I321" s="561" t="s">
        <v>2420</v>
      </c>
      <c r="J321" s="561" t="s">
        <v>2419</v>
      </c>
      <c r="K321" s="561" t="s">
        <v>444</v>
      </c>
      <c r="L321" s="561" t="s">
        <v>470</v>
      </c>
      <c r="M321" s="561" t="s">
        <v>2420</v>
      </c>
      <c r="O321" s="591"/>
      <c r="Q321" s="597" t="s">
        <v>2421</v>
      </c>
      <c r="R321" s="597" t="s">
        <v>2422</v>
      </c>
      <c r="X321" s="501" t="b">
        <f t="shared" si="19"/>
        <v>1</v>
      </c>
    </row>
    <row r="322" s="397" customFormat="1" outlineLevel="2" spans="1:24">
      <c r="A322" s="397" t="s">
        <v>1585</v>
      </c>
      <c r="B322" s="575" t="s">
        <v>2409</v>
      </c>
      <c r="C322" s="429" t="str">
        <f t="shared" si="30"/>
        <v>石嘴山市深阳蓝光市政工程有限公司</v>
      </c>
      <c r="D322" s="576" t="s">
        <v>2410</v>
      </c>
      <c r="E322" s="561" t="s">
        <v>2423</v>
      </c>
      <c r="F322" s="132"/>
      <c r="G322" s="563">
        <f t="shared" ref="G322:G327" si="33">IF($F$328=0,0,ROUND(F322/$F$328,4))+Q322</f>
        <v>0</v>
      </c>
      <c r="H322" s="132"/>
      <c r="I322" s="563">
        <f t="shared" ref="I322:I328" si="34">IFERROR(ROUND(H322/F322,4),0)</f>
        <v>0</v>
      </c>
      <c r="J322" s="477">
        <f>报表附注合并期初用!E192</f>
        <v>0</v>
      </c>
      <c r="K322" s="563">
        <f t="shared" ref="K322:K327" si="35">IF($J$328=0,0,ROUND(J322/$J$328,4))+R322</f>
        <v>0</v>
      </c>
      <c r="L322" s="477">
        <f>报表附注合并期初用!E200</f>
        <v>0</v>
      </c>
      <c r="M322" s="563">
        <f>IFERROR(ROUND(L322/J322,4),0)</f>
        <v>0</v>
      </c>
      <c r="N322" s="625">
        <v>0.05</v>
      </c>
      <c r="O322" s="591"/>
      <c r="P322" s="593"/>
      <c r="Q322" s="598"/>
      <c r="R322" s="598"/>
      <c r="X322" s="501" t="b">
        <f t="shared" si="19"/>
        <v>1</v>
      </c>
    </row>
    <row r="323" s="397" customFormat="1" outlineLevel="2" spans="1:24">
      <c r="A323" s="397" t="s">
        <v>1586</v>
      </c>
      <c r="B323" s="575" t="s">
        <v>2409</v>
      </c>
      <c r="C323" s="429" t="str">
        <f t="shared" si="30"/>
        <v>石嘴山市深阳蓝光市政工程有限公司</v>
      </c>
      <c r="D323" s="576" t="s">
        <v>2410</v>
      </c>
      <c r="E323" s="561" t="s">
        <v>2424</v>
      </c>
      <c r="F323" s="132"/>
      <c r="G323" s="563">
        <f t="shared" si="33"/>
        <v>0</v>
      </c>
      <c r="H323" s="132"/>
      <c r="I323" s="563">
        <f t="shared" si="34"/>
        <v>0</v>
      </c>
      <c r="J323" s="477">
        <f>报表附注合并期初用!E193</f>
        <v>0</v>
      </c>
      <c r="K323" s="563">
        <f t="shared" si="35"/>
        <v>0</v>
      </c>
      <c r="L323" s="477">
        <f>报表附注合并期初用!E201</f>
        <v>0</v>
      </c>
      <c r="M323" s="563">
        <f t="shared" ref="M323:M328" si="36">IFERROR(ROUND(L323/J323,4),0)</f>
        <v>0</v>
      </c>
      <c r="N323" s="625">
        <v>0.1</v>
      </c>
      <c r="O323" s="594" t="str">
        <f>IF(F323&lt;=J322,"合理","1-2年账不合理")</f>
        <v>合理</v>
      </c>
      <c r="P323" s="593"/>
      <c r="Q323" s="598"/>
      <c r="R323" s="598"/>
      <c r="X323" s="501" t="b">
        <f t="shared" si="19"/>
        <v>1</v>
      </c>
    </row>
    <row r="324" s="397" customFormat="1" outlineLevel="2" spans="1:24">
      <c r="A324" s="397" t="s">
        <v>1587</v>
      </c>
      <c r="B324" s="575" t="s">
        <v>2409</v>
      </c>
      <c r="C324" s="429" t="str">
        <f t="shared" si="30"/>
        <v>石嘴山市深阳蓝光市政工程有限公司</v>
      </c>
      <c r="D324" s="576" t="s">
        <v>2410</v>
      </c>
      <c r="E324" s="561" t="s">
        <v>2425</v>
      </c>
      <c r="F324" s="132"/>
      <c r="G324" s="563">
        <f t="shared" si="33"/>
        <v>0</v>
      </c>
      <c r="H324" s="132"/>
      <c r="I324" s="563">
        <f t="shared" si="34"/>
        <v>0</v>
      </c>
      <c r="J324" s="477">
        <f>报表附注合并期初用!E194</f>
        <v>0</v>
      </c>
      <c r="K324" s="563">
        <f t="shared" si="35"/>
        <v>0</v>
      </c>
      <c r="L324" s="477">
        <f>报表附注合并期初用!E202</f>
        <v>0</v>
      </c>
      <c r="M324" s="563">
        <f t="shared" si="36"/>
        <v>0</v>
      </c>
      <c r="N324" s="625">
        <v>0.3</v>
      </c>
      <c r="O324" s="594" t="str">
        <f>IF(F324&lt;=J323,"合理","2-3年账不合理")</f>
        <v>合理</v>
      </c>
      <c r="P324" s="593"/>
      <c r="Q324" s="598"/>
      <c r="R324" s="598"/>
      <c r="X324" s="501" t="b">
        <f t="shared" si="19"/>
        <v>1</v>
      </c>
    </row>
    <row r="325" s="397" customFormat="1" outlineLevel="2" spans="1:24">
      <c r="A325" s="397" t="s">
        <v>1588</v>
      </c>
      <c r="B325" s="575" t="s">
        <v>2409</v>
      </c>
      <c r="C325" s="429" t="str">
        <f t="shared" si="30"/>
        <v>石嘴山市深阳蓝光市政工程有限公司</v>
      </c>
      <c r="D325" s="576" t="s">
        <v>2410</v>
      </c>
      <c r="E325" s="561" t="s">
        <v>2426</v>
      </c>
      <c r="F325" s="132"/>
      <c r="G325" s="563">
        <f t="shared" si="33"/>
        <v>0</v>
      </c>
      <c r="H325" s="132"/>
      <c r="I325" s="563">
        <f t="shared" si="34"/>
        <v>0</v>
      </c>
      <c r="J325" s="477">
        <f>报表附注合并期初用!E195</f>
        <v>0</v>
      </c>
      <c r="K325" s="563">
        <f t="shared" si="35"/>
        <v>0</v>
      </c>
      <c r="L325" s="477">
        <f>报表附注合并期初用!E203</f>
        <v>0</v>
      </c>
      <c r="M325" s="563">
        <f t="shared" si="36"/>
        <v>0</v>
      </c>
      <c r="N325" s="625">
        <v>1</v>
      </c>
      <c r="O325" s="594" t="str">
        <f>IF(F325&lt;=J324+J325,"合理","3-4年账不合理")</f>
        <v>合理</v>
      </c>
      <c r="P325" s="593"/>
      <c r="Q325" s="598"/>
      <c r="R325" s="598"/>
      <c r="X325" s="501" t="b">
        <f t="shared" si="19"/>
        <v>1</v>
      </c>
    </row>
    <row r="326" s="397" customFormat="1" outlineLevel="2" spans="1:24">
      <c r="A326" s="397" t="s">
        <v>1589</v>
      </c>
      <c r="B326" s="575" t="s">
        <v>2409</v>
      </c>
      <c r="C326" s="429" t="str">
        <f t="shared" si="30"/>
        <v>石嘴山市深阳蓝光市政工程有限公司</v>
      </c>
      <c r="D326" s="576" t="s">
        <v>2410</v>
      </c>
      <c r="E326" s="561" t="s">
        <v>2427</v>
      </c>
      <c r="F326" s="564"/>
      <c r="G326" s="563">
        <f t="shared" si="33"/>
        <v>0</v>
      </c>
      <c r="H326" s="564"/>
      <c r="I326" s="563">
        <f t="shared" si="34"/>
        <v>0</v>
      </c>
      <c r="J326" s="477">
        <f>报表附注合并期初用!E196</f>
        <v>0</v>
      </c>
      <c r="K326" s="563">
        <f t="shared" si="35"/>
        <v>0</v>
      </c>
      <c r="L326" s="477">
        <f>报表附注合并期初用!E204</f>
        <v>0</v>
      </c>
      <c r="M326" s="563">
        <f t="shared" si="36"/>
        <v>0</v>
      </c>
      <c r="N326" s="593"/>
      <c r="O326" s="594" t="str">
        <f>IF(F326&lt;=J325,"合理","3-4年账龄不合理")</f>
        <v>合理</v>
      </c>
      <c r="P326" s="593"/>
      <c r="Q326" s="598"/>
      <c r="R326" s="598"/>
      <c r="X326" s="501" t="b">
        <f t="shared" si="19"/>
        <v>1</v>
      </c>
    </row>
    <row r="327" s="397" customFormat="1" outlineLevel="2" spans="1:24">
      <c r="A327" s="397" t="s">
        <v>1590</v>
      </c>
      <c r="B327" s="575" t="s">
        <v>2409</v>
      </c>
      <c r="C327" s="429" t="str">
        <f t="shared" si="30"/>
        <v>石嘴山市深阳蓝光市政工程有限公司</v>
      </c>
      <c r="D327" s="576" t="s">
        <v>2410</v>
      </c>
      <c r="E327" s="561" t="s">
        <v>2428</v>
      </c>
      <c r="F327" s="564"/>
      <c r="G327" s="563">
        <f t="shared" si="33"/>
        <v>0</v>
      </c>
      <c r="H327" s="564"/>
      <c r="I327" s="563">
        <f t="shared" si="34"/>
        <v>0</v>
      </c>
      <c r="J327" s="477">
        <f>报表附注合并期初用!E197</f>
        <v>0</v>
      </c>
      <c r="K327" s="563">
        <f t="shared" si="35"/>
        <v>0</v>
      </c>
      <c r="L327" s="477">
        <f>报表附注合并期初用!E205</f>
        <v>0</v>
      </c>
      <c r="M327" s="563">
        <f t="shared" si="36"/>
        <v>0</v>
      </c>
      <c r="N327" s="593"/>
      <c r="O327" s="594" t="str">
        <f>IF(F327&lt;=(J327+J326),"合理","5年以上账龄不合理")</f>
        <v>合理</v>
      </c>
      <c r="P327" s="593"/>
      <c r="Q327" s="598"/>
      <c r="R327" s="598"/>
      <c r="X327" s="501" t="b">
        <f t="shared" si="19"/>
        <v>1</v>
      </c>
    </row>
    <row r="328" s="397" customFormat="1" outlineLevel="2" spans="1:24">
      <c r="A328" s="397" t="s">
        <v>1580</v>
      </c>
      <c r="B328" s="575" t="s">
        <v>2409</v>
      </c>
      <c r="C328" s="429" t="str">
        <f t="shared" si="30"/>
        <v>石嘴山市深阳蓝光市政工程有限公司</v>
      </c>
      <c r="D328" s="576" t="s">
        <v>2410</v>
      </c>
      <c r="E328" s="561" t="s">
        <v>1580</v>
      </c>
      <c r="F328" s="565">
        <f>SUM(F322:F327)</f>
        <v>0</v>
      </c>
      <c r="G328" s="563">
        <f>SUM(G322:G327)</f>
        <v>0</v>
      </c>
      <c r="H328" s="565">
        <f>SUM(H322:H327)</f>
        <v>0</v>
      </c>
      <c r="I328" s="563">
        <f t="shared" si="34"/>
        <v>0</v>
      </c>
      <c r="J328" s="565">
        <f>SUM(J322:J327)</f>
        <v>0</v>
      </c>
      <c r="K328" s="563">
        <f>SUM(K322:K327)</f>
        <v>0</v>
      </c>
      <c r="L328" s="565">
        <f>SUM(L322:L327)</f>
        <v>0</v>
      </c>
      <c r="M328" s="563">
        <f t="shared" si="36"/>
        <v>0</v>
      </c>
      <c r="O328" s="560"/>
      <c r="X328" s="501" t="b">
        <f t="shared" si="19"/>
        <v>1</v>
      </c>
    </row>
    <row r="329" s="397" customFormat="1" outlineLevel="2" spans="1:24">
      <c r="A329" s="397" t="s">
        <v>2448</v>
      </c>
      <c r="B329" s="575" t="s">
        <v>2409</v>
      </c>
      <c r="C329" s="429" t="str">
        <f t="shared" si="30"/>
        <v>石嘴山市深阳蓝光市政工程有限公司</v>
      </c>
      <c r="D329" s="616" t="s">
        <v>2449</v>
      </c>
      <c r="E329" s="617" t="s">
        <v>2450</v>
      </c>
      <c r="F329" s="560"/>
      <c r="G329" s="618" t="s">
        <v>2451</v>
      </c>
      <c r="H329" s="619">
        <v>1500000</v>
      </c>
      <c r="I329" s="560"/>
      <c r="J329" s="560"/>
      <c r="K329" s="560"/>
      <c r="L329" s="451"/>
      <c r="M329" s="568"/>
      <c r="N329" s="560"/>
      <c r="X329" s="501" t="b">
        <f t="shared" si="19"/>
        <v>1</v>
      </c>
    </row>
    <row r="330" s="397" customFormat="1" outlineLevel="2" spans="1:24">
      <c r="A330" s="397" t="s">
        <v>2452</v>
      </c>
      <c r="B330" s="575" t="s">
        <v>2409</v>
      </c>
      <c r="C330" s="429" t="str">
        <f t="shared" si="30"/>
        <v>石嘴山市深阳蓝光市政工程有限公司</v>
      </c>
      <c r="D330" s="616" t="s">
        <v>2449</v>
      </c>
      <c r="E330" s="620" t="s">
        <v>2453</v>
      </c>
      <c r="F330" s="451"/>
      <c r="G330" s="568"/>
      <c r="H330" s="451"/>
      <c r="I330" s="568"/>
      <c r="J330" s="451"/>
      <c r="K330" s="568"/>
      <c r="L330" s="451"/>
      <c r="M330" s="568"/>
      <c r="N330" s="560"/>
      <c r="X330" s="501" t="b">
        <f t="shared" si="19"/>
        <v>1</v>
      </c>
    </row>
    <row r="331" s="397" customFormat="1" outlineLevel="2" spans="1:24">
      <c r="A331" s="397" t="s">
        <v>2036</v>
      </c>
      <c r="B331" s="575" t="s">
        <v>2409</v>
      </c>
      <c r="C331" s="429" t="str">
        <f t="shared" si="30"/>
        <v>石嘴山市深阳蓝光市政工程有限公司</v>
      </c>
      <c r="D331" s="616" t="s">
        <v>2454</v>
      </c>
      <c r="E331" s="561" t="s">
        <v>2036</v>
      </c>
      <c r="F331" s="561" t="s">
        <v>2440</v>
      </c>
      <c r="G331" s="561" t="s">
        <v>1664</v>
      </c>
      <c r="H331" s="561" t="s">
        <v>470</v>
      </c>
      <c r="I331" s="561" t="s">
        <v>2455</v>
      </c>
      <c r="J331" s="626" t="s">
        <v>2443</v>
      </c>
      <c r="K331" s="627"/>
      <c r="L331" s="568"/>
      <c r="M331" s="568"/>
      <c r="N331" s="560"/>
      <c r="X331" s="501" t="b">
        <f t="shared" si="19"/>
        <v>1</v>
      </c>
    </row>
    <row r="332" s="397" customFormat="1" outlineLevel="2" spans="2:24">
      <c r="B332" s="575" t="s">
        <v>2409</v>
      </c>
      <c r="C332" s="429" t="str">
        <f t="shared" si="30"/>
        <v>石嘴山市深阳蓝光市政工程有限公司</v>
      </c>
      <c r="D332" s="616" t="s">
        <v>2454</v>
      </c>
      <c r="E332" s="585"/>
      <c r="F332" s="585"/>
      <c r="G332" s="456"/>
      <c r="H332" s="456"/>
      <c r="I332" s="563">
        <f>IFERROR(ROUND(H332/G332,4),0)</f>
        <v>0</v>
      </c>
      <c r="J332" s="456"/>
      <c r="K332" s="568"/>
      <c r="L332" s="568"/>
      <c r="M332" s="568"/>
      <c r="N332" s="560"/>
      <c r="X332" s="501" t="b">
        <f t="shared" si="19"/>
        <v>1</v>
      </c>
    </row>
    <row r="333" s="397" customFormat="1" outlineLevel="2" spans="2:24">
      <c r="B333" s="575"/>
      <c r="C333" s="578"/>
      <c r="D333" s="616"/>
      <c r="E333" s="585"/>
      <c r="F333" s="585"/>
      <c r="G333" s="456"/>
      <c r="H333" s="456"/>
      <c r="I333" s="563">
        <f t="shared" ref="I333:I382" si="37">IFERROR(ROUND(H333/G333,4),0)</f>
        <v>0</v>
      </c>
      <c r="J333" s="456"/>
      <c r="K333" s="568"/>
      <c r="L333" s="568"/>
      <c r="M333" s="568"/>
      <c r="N333" s="560"/>
      <c r="X333" s="420"/>
    </row>
    <row r="334" s="397" customFormat="1" outlineLevel="2" spans="2:24">
      <c r="B334" s="575"/>
      <c r="C334" s="578"/>
      <c r="D334" s="616"/>
      <c r="E334" s="585"/>
      <c r="F334" s="585"/>
      <c r="G334" s="456"/>
      <c r="H334" s="456"/>
      <c r="I334" s="563">
        <f t="shared" si="37"/>
        <v>0</v>
      </c>
      <c r="J334" s="456"/>
      <c r="K334" s="568"/>
      <c r="L334" s="568"/>
      <c r="M334" s="568"/>
      <c r="N334" s="560"/>
      <c r="X334" s="420"/>
    </row>
    <row r="335" s="397" customFormat="1" outlineLevel="2" spans="2:24">
      <c r="B335" s="575"/>
      <c r="C335" s="578"/>
      <c r="D335" s="616"/>
      <c r="E335" s="585"/>
      <c r="F335" s="585"/>
      <c r="G335" s="456"/>
      <c r="H335" s="456"/>
      <c r="I335" s="563">
        <f t="shared" si="37"/>
        <v>0</v>
      </c>
      <c r="J335" s="456"/>
      <c r="K335" s="568"/>
      <c r="L335" s="568"/>
      <c r="M335" s="568"/>
      <c r="N335" s="560"/>
      <c r="X335" s="420"/>
    </row>
    <row r="336" s="397" customFormat="1" outlineLevel="2" spans="2:24">
      <c r="B336" s="575"/>
      <c r="C336" s="578"/>
      <c r="D336" s="616"/>
      <c r="E336" s="585"/>
      <c r="F336" s="585"/>
      <c r="G336" s="456"/>
      <c r="H336" s="456"/>
      <c r="I336" s="563">
        <f t="shared" si="37"/>
        <v>0</v>
      </c>
      <c r="J336" s="456"/>
      <c r="K336" s="568"/>
      <c r="L336" s="568"/>
      <c r="M336" s="568"/>
      <c r="N336" s="560"/>
      <c r="X336" s="420"/>
    </row>
    <row r="337" s="397" customFormat="1" outlineLevel="2" spans="2:24">
      <c r="B337" s="575"/>
      <c r="C337" s="578"/>
      <c r="D337" s="616"/>
      <c r="E337" s="585"/>
      <c r="F337" s="585"/>
      <c r="G337" s="456"/>
      <c r="H337" s="456"/>
      <c r="I337" s="563">
        <f t="shared" si="37"/>
        <v>0</v>
      </c>
      <c r="J337" s="456"/>
      <c r="K337" s="568"/>
      <c r="L337" s="568"/>
      <c r="M337" s="568"/>
      <c r="N337" s="560"/>
      <c r="X337" s="420"/>
    </row>
    <row r="338" s="397" customFormat="1" outlineLevel="2" spans="2:24">
      <c r="B338" s="575"/>
      <c r="C338" s="578"/>
      <c r="D338" s="616"/>
      <c r="E338" s="585"/>
      <c r="F338" s="585"/>
      <c r="G338" s="456"/>
      <c r="H338" s="456"/>
      <c r="I338" s="563">
        <f t="shared" si="37"/>
        <v>0</v>
      </c>
      <c r="J338" s="456"/>
      <c r="K338" s="568"/>
      <c r="L338" s="568"/>
      <c r="M338" s="568"/>
      <c r="N338" s="560"/>
      <c r="X338" s="420"/>
    </row>
    <row r="339" s="397" customFormat="1" outlineLevel="2" spans="2:24">
      <c r="B339" s="575"/>
      <c r="C339" s="578"/>
      <c r="D339" s="616"/>
      <c r="E339" s="585"/>
      <c r="F339" s="585"/>
      <c r="G339" s="456"/>
      <c r="H339" s="456"/>
      <c r="I339" s="563">
        <f t="shared" si="37"/>
        <v>0</v>
      </c>
      <c r="J339" s="456"/>
      <c r="K339" s="568"/>
      <c r="L339" s="568"/>
      <c r="M339" s="568"/>
      <c r="N339" s="560"/>
      <c r="X339" s="420"/>
    </row>
    <row r="340" s="397" customFormat="1" outlineLevel="2" spans="2:24">
      <c r="B340" s="575"/>
      <c r="C340" s="578"/>
      <c r="D340" s="616"/>
      <c r="E340" s="585"/>
      <c r="F340" s="585"/>
      <c r="G340" s="456"/>
      <c r="H340" s="456"/>
      <c r="I340" s="563">
        <f t="shared" si="37"/>
        <v>0</v>
      </c>
      <c r="J340" s="456"/>
      <c r="K340" s="568"/>
      <c r="L340" s="568"/>
      <c r="M340" s="568"/>
      <c r="N340" s="560"/>
      <c r="X340" s="420"/>
    </row>
    <row r="341" s="397" customFormat="1" outlineLevel="2" spans="2:24">
      <c r="B341" s="575"/>
      <c r="C341" s="578"/>
      <c r="D341" s="616"/>
      <c r="E341" s="585"/>
      <c r="F341" s="585"/>
      <c r="G341" s="456"/>
      <c r="H341" s="456"/>
      <c r="I341" s="563">
        <f t="shared" si="37"/>
        <v>0</v>
      </c>
      <c r="J341" s="456"/>
      <c r="K341" s="568"/>
      <c r="L341" s="568"/>
      <c r="M341" s="568"/>
      <c r="N341" s="560"/>
      <c r="X341" s="420"/>
    </row>
    <row r="342" s="397" customFormat="1" outlineLevel="2" spans="2:24">
      <c r="B342" s="575"/>
      <c r="C342" s="578"/>
      <c r="D342" s="616"/>
      <c r="E342" s="585"/>
      <c r="F342" s="585"/>
      <c r="G342" s="456"/>
      <c r="H342" s="456"/>
      <c r="I342" s="563">
        <f t="shared" si="37"/>
        <v>0</v>
      </c>
      <c r="J342" s="456"/>
      <c r="K342" s="568"/>
      <c r="L342" s="568"/>
      <c r="M342" s="568"/>
      <c r="N342" s="560"/>
      <c r="X342" s="420"/>
    </row>
    <row r="343" s="397" customFormat="1" outlineLevel="2" spans="2:24">
      <c r="B343" s="575"/>
      <c r="C343" s="578"/>
      <c r="D343" s="616"/>
      <c r="E343" s="585"/>
      <c r="F343" s="585"/>
      <c r="G343" s="456"/>
      <c r="H343" s="456"/>
      <c r="I343" s="563">
        <f t="shared" si="37"/>
        <v>0</v>
      </c>
      <c r="J343" s="456"/>
      <c r="K343" s="568"/>
      <c r="L343" s="568"/>
      <c r="M343" s="568"/>
      <c r="N343" s="560"/>
      <c r="X343" s="420"/>
    </row>
    <row r="344" s="397" customFormat="1" outlineLevel="2" spans="2:24">
      <c r="B344" s="575"/>
      <c r="C344" s="578"/>
      <c r="D344" s="616"/>
      <c r="E344" s="585"/>
      <c r="F344" s="585"/>
      <c r="G344" s="456"/>
      <c r="H344" s="456"/>
      <c r="I344" s="563">
        <f t="shared" si="37"/>
        <v>0</v>
      </c>
      <c r="J344" s="456"/>
      <c r="K344" s="568"/>
      <c r="L344" s="568"/>
      <c r="M344" s="568"/>
      <c r="N344" s="560"/>
      <c r="X344" s="420"/>
    </row>
    <row r="345" s="397" customFormat="1" outlineLevel="2" spans="2:24">
      <c r="B345" s="575"/>
      <c r="C345" s="578"/>
      <c r="D345" s="616"/>
      <c r="E345" s="585"/>
      <c r="F345" s="585"/>
      <c r="G345" s="456"/>
      <c r="H345" s="456"/>
      <c r="I345" s="563">
        <f t="shared" si="37"/>
        <v>0</v>
      </c>
      <c r="J345" s="456"/>
      <c r="K345" s="568"/>
      <c r="L345" s="568"/>
      <c r="M345" s="568"/>
      <c r="N345" s="560"/>
      <c r="X345" s="420"/>
    </row>
    <row r="346" s="397" customFormat="1" outlineLevel="2" spans="2:24">
      <c r="B346" s="575"/>
      <c r="C346" s="578"/>
      <c r="D346" s="616"/>
      <c r="E346" s="585"/>
      <c r="F346" s="585"/>
      <c r="G346" s="456"/>
      <c r="H346" s="456"/>
      <c r="I346" s="563">
        <f t="shared" si="37"/>
        <v>0</v>
      </c>
      <c r="J346" s="456"/>
      <c r="K346" s="568"/>
      <c r="L346" s="568"/>
      <c r="M346" s="568"/>
      <c r="N346" s="560"/>
      <c r="X346" s="420"/>
    </row>
    <row r="347" s="397" customFormat="1" outlineLevel="2" spans="2:24">
      <c r="B347" s="575"/>
      <c r="C347" s="578"/>
      <c r="D347" s="616"/>
      <c r="E347" s="585"/>
      <c r="F347" s="585"/>
      <c r="G347" s="456"/>
      <c r="H347" s="456"/>
      <c r="I347" s="563">
        <f t="shared" si="37"/>
        <v>0</v>
      </c>
      <c r="J347" s="456"/>
      <c r="K347" s="568"/>
      <c r="L347" s="568"/>
      <c r="M347" s="568"/>
      <c r="N347" s="560"/>
      <c r="X347" s="420"/>
    </row>
    <row r="348" s="397" customFormat="1" outlineLevel="2" spans="2:24">
      <c r="B348" s="575"/>
      <c r="C348" s="578"/>
      <c r="D348" s="616"/>
      <c r="E348" s="585"/>
      <c r="F348" s="585"/>
      <c r="G348" s="456"/>
      <c r="H348" s="456"/>
      <c r="I348" s="563">
        <f t="shared" si="37"/>
        <v>0</v>
      </c>
      <c r="J348" s="456"/>
      <c r="K348" s="568"/>
      <c r="L348" s="568"/>
      <c r="M348" s="568"/>
      <c r="N348" s="560"/>
      <c r="X348" s="420"/>
    </row>
    <row r="349" s="397" customFormat="1" outlineLevel="2" spans="2:24">
      <c r="B349" s="575"/>
      <c r="C349" s="578"/>
      <c r="D349" s="616"/>
      <c r="E349" s="585"/>
      <c r="F349" s="585"/>
      <c r="G349" s="456"/>
      <c r="H349" s="456"/>
      <c r="I349" s="563">
        <f t="shared" si="37"/>
        <v>0</v>
      </c>
      <c r="J349" s="456"/>
      <c r="K349" s="568"/>
      <c r="L349" s="568"/>
      <c r="M349" s="568"/>
      <c r="N349" s="560"/>
      <c r="X349" s="420"/>
    </row>
    <row r="350" s="397" customFormat="1" outlineLevel="2" spans="2:24">
      <c r="B350" s="575"/>
      <c r="C350" s="578"/>
      <c r="D350" s="616"/>
      <c r="E350" s="585"/>
      <c r="F350" s="585"/>
      <c r="G350" s="456"/>
      <c r="H350" s="456"/>
      <c r="I350" s="563">
        <f t="shared" si="37"/>
        <v>0</v>
      </c>
      <c r="J350" s="456"/>
      <c r="K350" s="568"/>
      <c r="L350" s="568"/>
      <c r="M350" s="568"/>
      <c r="N350" s="560"/>
      <c r="X350" s="420"/>
    </row>
    <row r="351" s="397" customFormat="1" outlineLevel="2" spans="2:24">
      <c r="B351" s="575"/>
      <c r="C351" s="578"/>
      <c r="D351" s="616"/>
      <c r="E351" s="585"/>
      <c r="F351" s="585"/>
      <c r="G351" s="456"/>
      <c r="H351" s="456"/>
      <c r="I351" s="563">
        <f t="shared" si="37"/>
        <v>0</v>
      </c>
      <c r="J351" s="456"/>
      <c r="K351" s="568"/>
      <c r="L351" s="568"/>
      <c r="M351" s="568"/>
      <c r="N351" s="560"/>
      <c r="X351" s="420"/>
    </row>
    <row r="352" s="397" customFormat="1" outlineLevel="2" spans="2:24">
      <c r="B352" s="575"/>
      <c r="C352" s="578"/>
      <c r="D352" s="616"/>
      <c r="E352" s="585"/>
      <c r="F352" s="585"/>
      <c r="G352" s="456"/>
      <c r="H352" s="456"/>
      <c r="I352" s="563">
        <f t="shared" si="37"/>
        <v>0</v>
      </c>
      <c r="J352" s="456"/>
      <c r="K352" s="568"/>
      <c r="L352" s="568"/>
      <c r="M352" s="568"/>
      <c r="N352" s="560"/>
      <c r="X352" s="420"/>
    </row>
    <row r="353" s="397" customFormat="1" outlineLevel="2" spans="2:24">
      <c r="B353" s="575"/>
      <c r="C353" s="578"/>
      <c r="D353" s="616"/>
      <c r="E353" s="585"/>
      <c r="F353" s="585"/>
      <c r="G353" s="456"/>
      <c r="H353" s="456"/>
      <c r="I353" s="563">
        <f t="shared" si="37"/>
        <v>0</v>
      </c>
      <c r="J353" s="456"/>
      <c r="K353" s="568"/>
      <c r="L353" s="568"/>
      <c r="M353" s="568"/>
      <c r="N353" s="560"/>
      <c r="X353" s="420"/>
    </row>
    <row r="354" s="397" customFormat="1" outlineLevel="2" spans="2:24">
      <c r="B354" s="575"/>
      <c r="C354" s="578"/>
      <c r="D354" s="616"/>
      <c r="E354" s="585"/>
      <c r="F354" s="585"/>
      <c r="G354" s="456"/>
      <c r="H354" s="456"/>
      <c r="I354" s="563">
        <f t="shared" si="37"/>
        <v>0</v>
      </c>
      <c r="J354" s="456"/>
      <c r="K354" s="568"/>
      <c r="L354" s="568"/>
      <c r="M354" s="568"/>
      <c r="N354" s="560"/>
      <c r="X354" s="420"/>
    </row>
    <row r="355" s="397" customFormat="1" outlineLevel="2" spans="2:24">
      <c r="B355" s="575"/>
      <c r="C355" s="578"/>
      <c r="D355" s="616"/>
      <c r="E355" s="585"/>
      <c r="F355" s="585"/>
      <c r="G355" s="456"/>
      <c r="H355" s="456"/>
      <c r="I355" s="563">
        <f t="shared" si="37"/>
        <v>0</v>
      </c>
      <c r="J355" s="456"/>
      <c r="K355" s="568"/>
      <c r="L355" s="568"/>
      <c r="M355" s="568"/>
      <c r="N355" s="560"/>
      <c r="X355" s="420"/>
    </row>
    <row r="356" s="397" customFormat="1" outlineLevel="2" spans="2:24">
      <c r="B356" s="575"/>
      <c r="C356" s="578"/>
      <c r="D356" s="616"/>
      <c r="E356" s="585"/>
      <c r="F356" s="585"/>
      <c r="G356" s="456"/>
      <c r="H356" s="456"/>
      <c r="I356" s="563">
        <f t="shared" si="37"/>
        <v>0</v>
      </c>
      <c r="J356" s="456"/>
      <c r="K356" s="568"/>
      <c r="L356" s="568"/>
      <c r="M356" s="568"/>
      <c r="N356" s="560"/>
      <c r="X356" s="420"/>
    </row>
    <row r="357" s="397" customFormat="1" outlineLevel="2" spans="2:24">
      <c r="B357" s="575" t="s">
        <v>2409</v>
      </c>
      <c r="C357" s="429" t="str">
        <f t="shared" ref="C357:C420" si="38">$G$1</f>
        <v>石嘴山市深阳蓝光市政工程有限公司</v>
      </c>
      <c r="D357" s="616" t="s">
        <v>2454</v>
      </c>
      <c r="E357" s="585"/>
      <c r="F357" s="585"/>
      <c r="G357" s="456"/>
      <c r="H357" s="456"/>
      <c r="I357" s="563">
        <f t="shared" si="37"/>
        <v>0</v>
      </c>
      <c r="J357" s="456"/>
      <c r="K357" s="568"/>
      <c r="L357" s="568"/>
      <c r="M357" s="568"/>
      <c r="N357" s="560"/>
      <c r="X357" s="501" t="b">
        <f t="shared" si="19"/>
        <v>1</v>
      </c>
    </row>
    <row r="358" s="397" customFormat="1" outlineLevel="2" spans="2:24">
      <c r="B358" s="575" t="s">
        <v>2409</v>
      </c>
      <c r="C358" s="429" t="str">
        <f t="shared" si="38"/>
        <v>石嘴山市深阳蓝光市政工程有限公司</v>
      </c>
      <c r="D358" s="616" t="s">
        <v>2454</v>
      </c>
      <c r="E358" s="585"/>
      <c r="F358" s="585"/>
      <c r="G358" s="456"/>
      <c r="H358" s="456"/>
      <c r="I358" s="563">
        <f t="shared" si="37"/>
        <v>0</v>
      </c>
      <c r="J358" s="456"/>
      <c r="K358" s="568"/>
      <c r="L358" s="568"/>
      <c r="M358" s="568"/>
      <c r="N358" s="560"/>
      <c r="X358" s="501" t="b">
        <f t="shared" si="19"/>
        <v>1</v>
      </c>
    </row>
    <row r="359" s="397" customFormat="1" outlineLevel="2" spans="2:24">
      <c r="B359" s="575" t="s">
        <v>2409</v>
      </c>
      <c r="C359" s="429" t="str">
        <f t="shared" si="38"/>
        <v>石嘴山市深阳蓝光市政工程有限公司</v>
      </c>
      <c r="D359" s="616" t="s">
        <v>2454</v>
      </c>
      <c r="E359" s="585"/>
      <c r="F359" s="585"/>
      <c r="G359" s="456"/>
      <c r="H359" s="456"/>
      <c r="I359" s="563">
        <f t="shared" si="37"/>
        <v>0</v>
      </c>
      <c r="J359" s="456"/>
      <c r="K359" s="568"/>
      <c r="L359" s="568"/>
      <c r="M359" s="568"/>
      <c r="N359" s="560"/>
      <c r="X359" s="501" t="b">
        <f t="shared" si="19"/>
        <v>1</v>
      </c>
    </row>
    <row r="360" s="397" customFormat="1" outlineLevel="2" spans="2:24">
      <c r="B360" s="575" t="s">
        <v>2409</v>
      </c>
      <c r="C360" s="429" t="str">
        <f t="shared" si="38"/>
        <v>石嘴山市深阳蓝光市政工程有限公司</v>
      </c>
      <c r="D360" s="616" t="s">
        <v>2454</v>
      </c>
      <c r="E360" s="585"/>
      <c r="F360" s="585"/>
      <c r="G360" s="456"/>
      <c r="H360" s="456"/>
      <c r="I360" s="563">
        <f t="shared" si="37"/>
        <v>0</v>
      </c>
      <c r="J360" s="456"/>
      <c r="K360" s="568"/>
      <c r="L360" s="568"/>
      <c r="M360" s="568"/>
      <c r="N360" s="560"/>
      <c r="X360" s="501" t="b">
        <f t="shared" si="19"/>
        <v>1</v>
      </c>
    </row>
    <row r="361" s="397" customFormat="1" outlineLevel="2" spans="2:24">
      <c r="B361" s="575" t="s">
        <v>2409</v>
      </c>
      <c r="C361" s="429" t="str">
        <f t="shared" si="38"/>
        <v>石嘴山市深阳蓝光市政工程有限公司</v>
      </c>
      <c r="D361" s="616" t="s">
        <v>2454</v>
      </c>
      <c r="E361" s="585"/>
      <c r="F361" s="585"/>
      <c r="G361" s="456"/>
      <c r="H361" s="456"/>
      <c r="I361" s="563">
        <f t="shared" si="37"/>
        <v>0</v>
      </c>
      <c r="J361" s="456"/>
      <c r="K361" s="568"/>
      <c r="L361" s="568"/>
      <c r="M361" s="568"/>
      <c r="N361" s="560"/>
      <c r="X361" s="501" t="b">
        <f t="shared" si="19"/>
        <v>1</v>
      </c>
    </row>
    <row r="362" s="397" customFormat="1" outlineLevel="2" spans="2:24">
      <c r="B362" s="575" t="s">
        <v>2409</v>
      </c>
      <c r="C362" s="429" t="str">
        <f t="shared" si="38"/>
        <v>石嘴山市深阳蓝光市政工程有限公司</v>
      </c>
      <c r="D362" s="616" t="s">
        <v>2454</v>
      </c>
      <c r="E362" s="585"/>
      <c r="F362" s="585"/>
      <c r="G362" s="456"/>
      <c r="H362" s="456"/>
      <c r="I362" s="563">
        <f t="shared" si="37"/>
        <v>0</v>
      </c>
      <c r="J362" s="456"/>
      <c r="K362" s="568"/>
      <c r="L362" s="568"/>
      <c r="M362" s="568"/>
      <c r="N362" s="560"/>
      <c r="X362" s="501" t="b">
        <f t="shared" si="19"/>
        <v>1</v>
      </c>
    </row>
    <row r="363" s="397" customFormat="1" outlineLevel="2" spans="2:24">
      <c r="B363" s="575" t="s">
        <v>2409</v>
      </c>
      <c r="C363" s="429" t="str">
        <f t="shared" si="38"/>
        <v>石嘴山市深阳蓝光市政工程有限公司</v>
      </c>
      <c r="D363" s="616" t="s">
        <v>2454</v>
      </c>
      <c r="E363" s="585"/>
      <c r="F363" s="585"/>
      <c r="G363" s="456"/>
      <c r="H363" s="456"/>
      <c r="I363" s="563">
        <f t="shared" si="37"/>
        <v>0</v>
      </c>
      <c r="J363" s="456"/>
      <c r="K363" s="568"/>
      <c r="L363" s="568"/>
      <c r="M363" s="568"/>
      <c r="N363" s="560"/>
      <c r="X363" s="501" t="b">
        <f t="shared" si="19"/>
        <v>1</v>
      </c>
    </row>
    <row r="364" s="397" customFormat="1" outlineLevel="2" spans="2:24">
      <c r="B364" s="575" t="s">
        <v>2409</v>
      </c>
      <c r="C364" s="429" t="str">
        <f t="shared" si="38"/>
        <v>石嘴山市深阳蓝光市政工程有限公司</v>
      </c>
      <c r="D364" s="616" t="s">
        <v>2454</v>
      </c>
      <c r="E364" s="585"/>
      <c r="F364" s="585"/>
      <c r="G364" s="456"/>
      <c r="H364" s="456"/>
      <c r="I364" s="563">
        <f t="shared" si="37"/>
        <v>0</v>
      </c>
      <c r="J364" s="456"/>
      <c r="K364" s="568"/>
      <c r="L364" s="568"/>
      <c r="M364" s="568"/>
      <c r="N364" s="560"/>
      <c r="X364" s="501" t="b">
        <f t="shared" si="19"/>
        <v>1</v>
      </c>
    </row>
    <row r="365" s="397" customFormat="1" outlineLevel="2" spans="2:24">
      <c r="B365" s="575" t="s">
        <v>2409</v>
      </c>
      <c r="C365" s="429" t="str">
        <f t="shared" si="38"/>
        <v>石嘴山市深阳蓝光市政工程有限公司</v>
      </c>
      <c r="D365" s="616" t="s">
        <v>2454</v>
      </c>
      <c r="E365" s="585"/>
      <c r="F365" s="585"/>
      <c r="G365" s="456"/>
      <c r="H365" s="456"/>
      <c r="I365" s="563">
        <f t="shared" si="37"/>
        <v>0</v>
      </c>
      <c r="J365" s="456"/>
      <c r="K365" s="568"/>
      <c r="L365" s="568"/>
      <c r="M365" s="568"/>
      <c r="N365" s="560"/>
      <c r="X365" s="501" t="b">
        <f t="shared" si="19"/>
        <v>1</v>
      </c>
    </row>
    <row r="366" s="397" customFormat="1" outlineLevel="2" spans="2:24">
      <c r="B366" s="575" t="s">
        <v>2409</v>
      </c>
      <c r="C366" s="429" t="str">
        <f t="shared" si="38"/>
        <v>石嘴山市深阳蓝光市政工程有限公司</v>
      </c>
      <c r="D366" s="616" t="s">
        <v>2454</v>
      </c>
      <c r="E366" s="585"/>
      <c r="F366" s="585"/>
      <c r="G366" s="456"/>
      <c r="H366" s="456"/>
      <c r="I366" s="563">
        <f t="shared" si="37"/>
        <v>0</v>
      </c>
      <c r="J366" s="456"/>
      <c r="K366" s="568"/>
      <c r="L366" s="568"/>
      <c r="M366" s="568"/>
      <c r="N366" s="560"/>
      <c r="X366" s="501" t="b">
        <f t="shared" si="19"/>
        <v>1</v>
      </c>
    </row>
    <row r="367" s="397" customFormat="1" outlineLevel="2" spans="2:24">
      <c r="B367" s="575" t="s">
        <v>2409</v>
      </c>
      <c r="C367" s="429" t="str">
        <f t="shared" si="38"/>
        <v>石嘴山市深阳蓝光市政工程有限公司</v>
      </c>
      <c r="D367" s="616" t="s">
        <v>2454</v>
      </c>
      <c r="E367" s="585"/>
      <c r="F367" s="585"/>
      <c r="G367" s="456"/>
      <c r="H367" s="456"/>
      <c r="I367" s="563">
        <f t="shared" si="37"/>
        <v>0</v>
      </c>
      <c r="J367" s="456"/>
      <c r="K367" s="568"/>
      <c r="L367" s="568"/>
      <c r="M367" s="568"/>
      <c r="N367" s="560"/>
      <c r="X367" s="501" t="b">
        <f t="shared" si="19"/>
        <v>1</v>
      </c>
    </row>
    <row r="368" s="397" customFormat="1" outlineLevel="2" spans="2:24">
      <c r="B368" s="575" t="s">
        <v>2409</v>
      </c>
      <c r="C368" s="429" t="str">
        <f t="shared" si="38"/>
        <v>石嘴山市深阳蓝光市政工程有限公司</v>
      </c>
      <c r="D368" s="616" t="s">
        <v>2454</v>
      </c>
      <c r="E368" s="585"/>
      <c r="F368" s="585"/>
      <c r="G368" s="456"/>
      <c r="H368" s="456"/>
      <c r="I368" s="563">
        <f t="shared" si="37"/>
        <v>0</v>
      </c>
      <c r="J368" s="456"/>
      <c r="K368" s="568"/>
      <c r="L368" s="568"/>
      <c r="M368" s="568"/>
      <c r="N368" s="560"/>
      <c r="X368" s="501" t="b">
        <f t="shared" si="19"/>
        <v>1</v>
      </c>
    </row>
    <row r="369" s="397" customFormat="1" outlineLevel="2" spans="2:24">
      <c r="B369" s="575" t="s">
        <v>2409</v>
      </c>
      <c r="C369" s="429" t="str">
        <f t="shared" si="38"/>
        <v>石嘴山市深阳蓝光市政工程有限公司</v>
      </c>
      <c r="D369" s="616" t="s">
        <v>2454</v>
      </c>
      <c r="E369" s="585"/>
      <c r="F369" s="585"/>
      <c r="G369" s="456"/>
      <c r="H369" s="456"/>
      <c r="I369" s="563">
        <f t="shared" si="37"/>
        <v>0</v>
      </c>
      <c r="J369" s="456"/>
      <c r="K369" s="568"/>
      <c r="L369" s="568"/>
      <c r="M369" s="568"/>
      <c r="N369" s="560"/>
      <c r="X369" s="501" t="b">
        <f t="shared" si="19"/>
        <v>1</v>
      </c>
    </row>
    <row r="370" s="397" customFormat="1" outlineLevel="2" spans="2:24">
      <c r="B370" s="575" t="s">
        <v>2409</v>
      </c>
      <c r="C370" s="429" t="str">
        <f t="shared" si="38"/>
        <v>石嘴山市深阳蓝光市政工程有限公司</v>
      </c>
      <c r="D370" s="616" t="s">
        <v>2454</v>
      </c>
      <c r="E370" s="585"/>
      <c r="F370" s="585"/>
      <c r="G370" s="456"/>
      <c r="H370" s="456"/>
      <c r="I370" s="563">
        <f t="shared" si="37"/>
        <v>0</v>
      </c>
      <c r="J370" s="456"/>
      <c r="K370" s="568"/>
      <c r="L370" s="568"/>
      <c r="M370" s="568"/>
      <c r="N370" s="560"/>
      <c r="X370" s="501" t="b">
        <f t="shared" si="19"/>
        <v>1</v>
      </c>
    </row>
    <row r="371" s="397" customFormat="1" outlineLevel="2" spans="2:24">
      <c r="B371" s="575" t="s">
        <v>2409</v>
      </c>
      <c r="C371" s="429" t="str">
        <f t="shared" si="38"/>
        <v>石嘴山市深阳蓝光市政工程有限公司</v>
      </c>
      <c r="D371" s="616" t="s">
        <v>2454</v>
      </c>
      <c r="E371" s="585"/>
      <c r="F371" s="585"/>
      <c r="G371" s="456"/>
      <c r="H371" s="456"/>
      <c r="I371" s="563">
        <f t="shared" si="37"/>
        <v>0</v>
      </c>
      <c r="J371" s="456"/>
      <c r="K371" s="568"/>
      <c r="L371" s="568"/>
      <c r="M371" s="568"/>
      <c r="N371" s="560"/>
      <c r="X371" s="501" t="b">
        <f t="shared" si="19"/>
        <v>1</v>
      </c>
    </row>
    <row r="372" s="397" customFormat="1" outlineLevel="2" spans="2:24">
      <c r="B372" s="575" t="s">
        <v>2409</v>
      </c>
      <c r="C372" s="429" t="str">
        <f t="shared" si="38"/>
        <v>石嘴山市深阳蓝光市政工程有限公司</v>
      </c>
      <c r="D372" s="616" t="s">
        <v>2454</v>
      </c>
      <c r="E372" s="585"/>
      <c r="F372" s="585"/>
      <c r="G372" s="456"/>
      <c r="H372" s="456"/>
      <c r="I372" s="563">
        <f t="shared" si="37"/>
        <v>0</v>
      </c>
      <c r="J372" s="456"/>
      <c r="K372" s="568"/>
      <c r="L372" s="568"/>
      <c r="M372" s="568"/>
      <c r="N372" s="560"/>
      <c r="X372" s="501" t="b">
        <f t="shared" si="19"/>
        <v>1</v>
      </c>
    </row>
    <row r="373" s="397" customFormat="1" outlineLevel="2" spans="2:24">
      <c r="B373" s="575" t="s">
        <v>2409</v>
      </c>
      <c r="C373" s="429" t="str">
        <f t="shared" si="38"/>
        <v>石嘴山市深阳蓝光市政工程有限公司</v>
      </c>
      <c r="D373" s="616" t="s">
        <v>2454</v>
      </c>
      <c r="E373" s="585"/>
      <c r="F373" s="585"/>
      <c r="G373" s="456"/>
      <c r="H373" s="456"/>
      <c r="I373" s="563">
        <f t="shared" si="37"/>
        <v>0</v>
      </c>
      <c r="J373" s="456"/>
      <c r="K373" s="568"/>
      <c r="L373" s="568"/>
      <c r="M373" s="568"/>
      <c r="N373" s="560"/>
      <c r="X373" s="501" t="b">
        <f t="shared" si="19"/>
        <v>1</v>
      </c>
    </row>
    <row r="374" s="397" customFormat="1" outlineLevel="2" spans="2:24">
      <c r="B374" s="575" t="s">
        <v>2409</v>
      </c>
      <c r="C374" s="429" t="str">
        <f t="shared" si="38"/>
        <v>石嘴山市深阳蓝光市政工程有限公司</v>
      </c>
      <c r="D374" s="616" t="s">
        <v>2454</v>
      </c>
      <c r="E374" s="585"/>
      <c r="F374" s="585"/>
      <c r="G374" s="456"/>
      <c r="H374" s="456"/>
      <c r="I374" s="563">
        <f t="shared" si="37"/>
        <v>0</v>
      </c>
      <c r="J374" s="456"/>
      <c r="K374" s="568"/>
      <c r="L374" s="568"/>
      <c r="M374" s="568"/>
      <c r="N374" s="560"/>
      <c r="X374" s="501" t="b">
        <f t="shared" si="19"/>
        <v>1</v>
      </c>
    </row>
    <row r="375" s="397" customFormat="1" outlineLevel="2" spans="2:24">
      <c r="B375" s="575" t="s">
        <v>2409</v>
      </c>
      <c r="C375" s="429" t="str">
        <f t="shared" si="38"/>
        <v>石嘴山市深阳蓝光市政工程有限公司</v>
      </c>
      <c r="D375" s="616" t="s">
        <v>2454</v>
      </c>
      <c r="E375" s="585"/>
      <c r="F375" s="585"/>
      <c r="G375" s="456"/>
      <c r="H375" s="456"/>
      <c r="I375" s="563">
        <f t="shared" si="37"/>
        <v>0</v>
      </c>
      <c r="J375" s="456"/>
      <c r="K375" s="568"/>
      <c r="L375" s="568"/>
      <c r="M375" s="568"/>
      <c r="N375" s="560"/>
      <c r="X375" s="501" t="b">
        <f t="shared" si="19"/>
        <v>1</v>
      </c>
    </row>
    <row r="376" s="397" customFormat="1" outlineLevel="2" spans="2:24">
      <c r="B376" s="575" t="s">
        <v>2409</v>
      </c>
      <c r="C376" s="429" t="str">
        <f t="shared" si="38"/>
        <v>石嘴山市深阳蓝光市政工程有限公司</v>
      </c>
      <c r="D376" s="616" t="s">
        <v>2454</v>
      </c>
      <c r="E376" s="585"/>
      <c r="F376" s="585"/>
      <c r="G376" s="456"/>
      <c r="H376" s="456"/>
      <c r="I376" s="563">
        <f t="shared" si="37"/>
        <v>0</v>
      </c>
      <c r="J376" s="456"/>
      <c r="K376" s="568"/>
      <c r="L376" s="568"/>
      <c r="M376" s="568"/>
      <c r="N376" s="560"/>
      <c r="X376" s="501" t="b">
        <f t="shared" si="19"/>
        <v>1</v>
      </c>
    </row>
    <row r="377" s="397" customFormat="1" outlineLevel="2" spans="2:24">
      <c r="B377" s="575" t="s">
        <v>2409</v>
      </c>
      <c r="C377" s="429" t="str">
        <f t="shared" si="38"/>
        <v>石嘴山市深阳蓝光市政工程有限公司</v>
      </c>
      <c r="D377" s="616" t="s">
        <v>2454</v>
      </c>
      <c r="E377" s="585"/>
      <c r="F377" s="585"/>
      <c r="G377" s="456"/>
      <c r="H377" s="456"/>
      <c r="I377" s="563">
        <f t="shared" si="37"/>
        <v>0</v>
      </c>
      <c r="J377" s="456"/>
      <c r="K377" s="568"/>
      <c r="L377" s="568"/>
      <c r="M377" s="568"/>
      <c r="N377" s="560"/>
      <c r="X377" s="501" t="b">
        <f t="shared" si="19"/>
        <v>1</v>
      </c>
    </row>
    <row r="378" s="397" customFormat="1" outlineLevel="2" spans="2:24">
      <c r="B378" s="575" t="s">
        <v>2409</v>
      </c>
      <c r="C378" s="429" t="str">
        <f t="shared" si="38"/>
        <v>石嘴山市深阳蓝光市政工程有限公司</v>
      </c>
      <c r="D378" s="616" t="s">
        <v>2454</v>
      </c>
      <c r="E378" s="585"/>
      <c r="F378" s="585"/>
      <c r="G378" s="456"/>
      <c r="H378" s="456"/>
      <c r="I378" s="563">
        <f t="shared" si="37"/>
        <v>0</v>
      </c>
      <c r="J378" s="456"/>
      <c r="K378" s="568"/>
      <c r="L378" s="568"/>
      <c r="M378" s="568"/>
      <c r="N378" s="560"/>
      <c r="X378" s="501" t="b">
        <f t="shared" si="19"/>
        <v>1</v>
      </c>
    </row>
    <row r="379" s="397" customFormat="1" outlineLevel="2" spans="2:24">
      <c r="B379" s="575" t="s">
        <v>2409</v>
      </c>
      <c r="C379" s="429" t="str">
        <f t="shared" si="38"/>
        <v>石嘴山市深阳蓝光市政工程有限公司</v>
      </c>
      <c r="D379" s="616" t="s">
        <v>2454</v>
      </c>
      <c r="E379" s="585"/>
      <c r="F379" s="585"/>
      <c r="G379" s="456"/>
      <c r="H379" s="456"/>
      <c r="I379" s="563">
        <f t="shared" si="37"/>
        <v>0</v>
      </c>
      <c r="J379" s="456"/>
      <c r="K379" s="568"/>
      <c r="L379" s="568"/>
      <c r="M379" s="568"/>
      <c r="N379" s="560"/>
      <c r="X379" s="501" t="b">
        <f t="shared" si="19"/>
        <v>1</v>
      </c>
    </row>
    <row r="380" s="397" customFormat="1" outlineLevel="2" spans="2:24">
      <c r="B380" s="575" t="s">
        <v>2409</v>
      </c>
      <c r="C380" s="429" t="str">
        <f t="shared" si="38"/>
        <v>石嘴山市深阳蓝光市政工程有限公司</v>
      </c>
      <c r="D380" s="616" t="s">
        <v>2454</v>
      </c>
      <c r="E380" s="585"/>
      <c r="F380" s="585"/>
      <c r="G380" s="456"/>
      <c r="H380" s="456"/>
      <c r="I380" s="563">
        <f t="shared" si="37"/>
        <v>0</v>
      </c>
      <c r="J380" s="456"/>
      <c r="K380" s="568"/>
      <c r="L380" s="568"/>
      <c r="M380" s="568"/>
      <c r="N380" s="560"/>
      <c r="X380" s="501" t="b">
        <f t="shared" si="19"/>
        <v>1</v>
      </c>
    </row>
    <row r="381" s="397" customFormat="1" outlineLevel="2" spans="2:24">
      <c r="B381" s="575" t="s">
        <v>2409</v>
      </c>
      <c r="C381" s="429" t="str">
        <f t="shared" si="38"/>
        <v>石嘴山市深阳蓝光市政工程有限公司</v>
      </c>
      <c r="D381" s="616" t="s">
        <v>2454</v>
      </c>
      <c r="E381" s="585"/>
      <c r="F381" s="585"/>
      <c r="G381" s="456"/>
      <c r="H381" s="456"/>
      <c r="I381" s="563">
        <f t="shared" si="37"/>
        <v>0</v>
      </c>
      <c r="J381" s="456"/>
      <c r="K381" s="568"/>
      <c r="L381" s="568"/>
      <c r="M381" s="568"/>
      <c r="N381" s="560"/>
      <c r="X381" s="501" t="b">
        <f t="shared" si="19"/>
        <v>1</v>
      </c>
    </row>
    <row r="382" s="397" customFormat="1" outlineLevel="2" spans="1:24">
      <c r="A382" s="397" t="s">
        <v>1580</v>
      </c>
      <c r="B382" s="575" t="s">
        <v>2409</v>
      </c>
      <c r="C382" s="429" t="str">
        <f t="shared" si="38"/>
        <v>石嘴山市深阳蓝光市政工程有限公司</v>
      </c>
      <c r="D382" s="616" t="s">
        <v>2454</v>
      </c>
      <c r="E382" s="561" t="s">
        <v>1580</v>
      </c>
      <c r="F382" s="561"/>
      <c r="G382" s="565">
        <f>SUM(G332:G381)</f>
        <v>0</v>
      </c>
      <c r="H382" s="565">
        <f>SUM(H332:H381)</f>
        <v>0</v>
      </c>
      <c r="I382" s="563">
        <f t="shared" si="37"/>
        <v>0</v>
      </c>
      <c r="J382" s="564"/>
      <c r="K382" s="568"/>
      <c r="L382" s="568"/>
      <c r="M382" s="568"/>
      <c r="N382" s="560"/>
      <c r="X382" s="501" t="b">
        <f t="shared" si="19"/>
        <v>1</v>
      </c>
    </row>
    <row r="383" s="397" customFormat="1" outlineLevel="2" spans="1:24">
      <c r="A383" s="397" t="s">
        <v>2456</v>
      </c>
      <c r="B383" s="575" t="s">
        <v>2409</v>
      </c>
      <c r="C383" s="429" t="str">
        <f t="shared" si="38"/>
        <v>石嘴山市深阳蓝光市政工程有限公司</v>
      </c>
      <c r="D383" s="616" t="s">
        <v>2454</v>
      </c>
      <c r="E383" s="621" t="s">
        <v>2456</v>
      </c>
      <c r="F383" s="621"/>
      <c r="G383" s="622"/>
      <c r="H383" s="623"/>
      <c r="I383" s="451"/>
      <c r="J383" s="568"/>
      <c r="K383" s="451"/>
      <c r="L383" s="568"/>
      <c r="M383" s="566">
        <f>L211-L382</f>
        <v>0</v>
      </c>
      <c r="N383" s="568"/>
      <c r="O383" s="560"/>
      <c r="X383" s="501" t="b">
        <f t="shared" si="19"/>
        <v>1</v>
      </c>
    </row>
    <row r="384" s="397" customFormat="1" outlineLevel="2" spans="1:24">
      <c r="A384" s="397" t="s">
        <v>2457</v>
      </c>
      <c r="B384" s="575" t="s">
        <v>2409</v>
      </c>
      <c r="C384" s="429" t="str">
        <f t="shared" si="38"/>
        <v>石嘴山市深阳蓝光市政工程有限公司</v>
      </c>
      <c r="D384" s="616" t="s">
        <v>2454</v>
      </c>
      <c r="E384" s="624" t="s">
        <v>2458</v>
      </c>
      <c r="F384" s="451"/>
      <c r="G384" s="568"/>
      <c r="H384" s="451"/>
      <c r="I384" s="568"/>
      <c r="J384" s="451"/>
      <c r="K384" s="568"/>
      <c r="L384" s="451"/>
      <c r="M384" s="568"/>
      <c r="N384" s="560"/>
      <c r="X384" s="501" t="b">
        <f t="shared" si="19"/>
        <v>0</v>
      </c>
    </row>
    <row r="385" s="397" customFormat="1" outlineLevel="2" spans="1:24">
      <c r="A385" s="397" t="s">
        <v>2315</v>
      </c>
      <c r="B385" s="575" t="s">
        <v>2409</v>
      </c>
      <c r="C385" s="429" t="str">
        <f t="shared" si="38"/>
        <v>石嘴山市深阳蓝光市政工程有限公司</v>
      </c>
      <c r="D385" s="616" t="s">
        <v>2454</v>
      </c>
      <c r="E385" s="628" t="s">
        <v>2315</v>
      </c>
      <c r="F385" s="471"/>
      <c r="G385" s="629"/>
      <c r="H385" s="471"/>
      <c r="I385" s="629"/>
      <c r="J385" s="471"/>
      <c r="K385" s="568"/>
      <c r="L385" s="451"/>
      <c r="M385" s="568"/>
      <c r="N385" s="560"/>
      <c r="X385" s="501" t="b">
        <f t="shared" si="19"/>
        <v>1</v>
      </c>
    </row>
    <row r="386" s="397" customFormat="1" outlineLevel="2" spans="2:24">
      <c r="B386" s="575" t="s">
        <v>2409</v>
      </c>
      <c r="C386" s="429" t="str">
        <f t="shared" si="38"/>
        <v>石嘴山市深阳蓝光市政工程有限公司</v>
      </c>
      <c r="D386" s="616" t="s">
        <v>2454</v>
      </c>
      <c r="E386" s="560"/>
      <c r="F386" s="560"/>
      <c r="G386" s="560"/>
      <c r="H386" s="560"/>
      <c r="I386" s="560"/>
      <c r="J386" s="560"/>
      <c r="K386" s="560"/>
      <c r="L386" s="451"/>
      <c r="M386" s="568"/>
      <c r="N386" s="560"/>
      <c r="X386" s="501" t="b">
        <f t="shared" si="19"/>
        <v>1</v>
      </c>
    </row>
    <row r="387" s="397" customFormat="1" outlineLevel="2" spans="1:24">
      <c r="A387" s="397" t="s">
        <v>2459</v>
      </c>
      <c r="B387" s="575" t="s">
        <v>2409</v>
      </c>
      <c r="C387" s="429" t="str">
        <f t="shared" si="38"/>
        <v>石嘴山市深阳蓝光市政工程有限公司</v>
      </c>
      <c r="D387" s="616" t="s">
        <v>2460</v>
      </c>
      <c r="E387" s="630" t="s">
        <v>2461</v>
      </c>
      <c r="F387" s="560"/>
      <c r="G387" s="560"/>
      <c r="H387" s="560"/>
      <c r="I387" s="645" t="s">
        <v>2462</v>
      </c>
      <c r="J387" s="645"/>
      <c r="K387" s="560"/>
      <c r="L387" s="451"/>
      <c r="M387" s="568"/>
      <c r="N387" s="560"/>
      <c r="X387" s="501" t="b">
        <f t="shared" si="19"/>
        <v>1</v>
      </c>
    </row>
    <row r="388" s="397" customFormat="1" outlineLevel="2" spans="1:24">
      <c r="A388" s="397" t="s">
        <v>2463</v>
      </c>
      <c r="B388" s="575" t="s">
        <v>2409</v>
      </c>
      <c r="C388" s="429" t="str">
        <f t="shared" si="38"/>
        <v>石嘴山市深阳蓝光市政工程有限公司</v>
      </c>
      <c r="D388" s="616" t="s">
        <v>2460</v>
      </c>
      <c r="E388" s="631" t="s">
        <v>2463</v>
      </c>
      <c r="F388" s="632" t="s">
        <v>2440</v>
      </c>
      <c r="G388" s="632" t="s">
        <v>2464</v>
      </c>
      <c r="H388" s="632" t="s">
        <v>2465</v>
      </c>
      <c r="I388" s="632" t="s">
        <v>2466</v>
      </c>
      <c r="J388" s="632" t="s">
        <v>2467</v>
      </c>
      <c r="K388" s="560"/>
      <c r="L388" s="451"/>
      <c r="M388" s="568"/>
      <c r="N388" s="560"/>
      <c r="X388" s="501" t="b">
        <f t="shared" si="19"/>
        <v>1</v>
      </c>
    </row>
    <row r="389" s="397" customFormat="1" outlineLevel="2" spans="2:24">
      <c r="B389" s="575" t="s">
        <v>2409</v>
      </c>
      <c r="C389" s="429" t="str">
        <f t="shared" si="38"/>
        <v>石嘴山市深阳蓝光市政工程有限公司</v>
      </c>
      <c r="D389" s="616" t="s">
        <v>2460</v>
      </c>
      <c r="E389" s="631"/>
      <c r="F389" s="631"/>
      <c r="G389" s="631"/>
      <c r="H389" s="631"/>
      <c r="I389" s="631"/>
      <c r="J389" s="631"/>
      <c r="K389" s="560"/>
      <c r="L389" s="451"/>
      <c r="M389" s="568"/>
      <c r="N389" s="560"/>
      <c r="X389" s="501" t="b">
        <f t="shared" si="19"/>
        <v>1</v>
      </c>
    </row>
    <row r="390" s="397" customFormat="1" outlineLevel="2" spans="1:24">
      <c r="A390" s="397" t="s">
        <v>2468</v>
      </c>
      <c r="B390" s="575" t="s">
        <v>2409</v>
      </c>
      <c r="C390" s="429" t="str">
        <f t="shared" si="38"/>
        <v>石嘴山市深阳蓝光市政工程有限公司</v>
      </c>
      <c r="D390" s="616" t="s">
        <v>2469</v>
      </c>
      <c r="E390" s="633" t="s">
        <v>2468</v>
      </c>
      <c r="F390" s="634"/>
      <c r="G390" s="633"/>
      <c r="H390" s="633"/>
      <c r="I390" s="88">
        <f>SUM(I391:I396)</f>
        <v>0</v>
      </c>
      <c r="J390" s="88">
        <f>SUM(J391:J396)</f>
        <v>0</v>
      </c>
      <c r="K390" s="560"/>
      <c r="L390" s="451"/>
      <c r="M390" s="568"/>
      <c r="N390" s="560"/>
      <c r="X390" s="501" t="b">
        <f t="shared" si="19"/>
        <v>1</v>
      </c>
    </row>
    <row r="391" s="397" customFormat="1" outlineLevel="2" spans="2:24">
      <c r="B391" s="575" t="s">
        <v>2409</v>
      </c>
      <c r="C391" s="429" t="str">
        <f t="shared" si="38"/>
        <v>石嘴山市深阳蓝光市政工程有限公司</v>
      </c>
      <c r="D391" s="616" t="s">
        <v>2469</v>
      </c>
      <c r="E391" s="635"/>
      <c r="F391" s="635"/>
      <c r="G391" s="635"/>
      <c r="H391" s="635"/>
      <c r="I391" s="635"/>
      <c r="J391" s="635"/>
      <c r="K391" s="560"/>
      <c r="L391" s="451"/>
      <c r="M391" s="568"/>
      <c r="N391" s="560"/>
      <c r="X391" s="501" t="b">
        <f t="shared" si="19"/>
        <v>1</v>
      </c>
    </row>
    <row r="392" s="397" customFormat="1" outlineLevel="2" spans="2:24">
      <c r="B392" s="575" t="s">
        <v>2409</v>
      </c>
      <c r="C392" s="429" t="str">
        <f t="shared" si="38"/>
        <v>石嘴山市深阳蓝光市政工程有限公司</v>
      </c>
      <c r="D392" s="616" t="s">
        <v>2469</v>
      </c>
      <c r="E392" s="635"/>
      <c r="F392" s="635"/>
      <c r="G392" s="635"/>
      <c r="H392" s="635"/>
      <c r="I392" s="635"/>
      <c r="J392" s="635"/>
      <c r="K392" s="560"/>
      <c r="L392" s="451"/>
      <c r="M392" s="568"/>
      <c r="N392" s="560"/>
      <c r="X392" s="501" t="b">
        <f t="shared" si="19"/>
        <v>1</v>
      </c>
    </row>
    <row r="393" s="397" customFormat="1" outlineLevel="2" spans="2:24">
      <c r="B393" s="575" t="s">
        <v>2409</v>
      </c>
      <c r="C393" s="429" t="str">
        <f t="shared" si="38"/>
        <v>石嘴山市深阳蓝光市政工程有限公司</v>
      </c>
      <c r="D393" s="616" t="s">
        <v>2469</v>
      </c>
      <c r="E393" s="635"/>
      <c r="F393" s="635"/>
      <c r="G393" s="635"/>
      <c r="H393" s="635"/>
      <c r="I393" s="635"/>
      <c r="J393" s="635"/>
      <c r="K393" s="560"/>
      <c r="L393" s="451"/>
      <c r="M393" s="568"/>
      <c r="N393" s="560"/>
      <c r="X393" s="501" t="b">
        <f t="shared" si="19"/>
        <v>1</v>
      </c>
    </row>
    <row r="394" s="397" customFormat="1" outlineLevel="2" spans="2:24">
      <c r="B394" s="575" t="s">
        <v>2409</v>
      </c>
      <c r="C394" s="429" t="str">
        <f t="shared" si="38"/>
        <v>石嘴山市深阳蓝光市政工程有限公司</v>
      </c>
      <c r="D394" s="616" t="s">
        <v>2469</v>
      </c>
      <c r="E394" s="635"/>
      <c r="F394" s="635"/>
      <c r="G394" s="635"/>
      <c r="H394" s="635"/>
      <c r="I394" s="635"/>
      <c r="J394" s="635"/>
      <c r="K394" s="560"/>
      <c r="L394" s="451"/>
      <c r="M394" s="568"/>
      <c r="N394" s="560"/>
      <c r="X394" s="501" t="b">
        <f t="shared" si="19"/>
        <v>1</v>
      </c>
    </row>
    <row r="395" s="397" customFormat="1" outlineLevel="2" spans="2:24">
      <c r="B395" s="575" t="s">
        <v>2409</v>
      </c>
      <c r="C395" s="429" t="str">
        <f t="shared" si="38"/>
        <v>石嘴山市深阳蓝光市政工程有限公司</v>
      </c>
      <c r="D395" s="616" t="s">
        <v>2469</v>
      </c>
      <c r="E395" s="635"/>
      <c r="F395" s="635"/>
      <c r="G395" s="635"/>
      <c r="H395" s="635"/>
      <c r="I395" s="635"/>
      <c r="J395" s="635"/>
      <c r="K395" s="560"/>
      <c r="L395" s="451"/>
      <c r="M395" s="568"/>
      <c r="N395" s="560"/>
      <c r="X395" s="501" t="b">
        <f t="shared" si="19"/>
        <v>1</v>
      </c>
    </row>
    <row r="396" s="397" customFormat="1" outlineLevel="2" spans="2:24">
      <c r="B396" s="575" t="s">
        <v>2409</v>
      </c>
      <c r="C396" s="429" t="str">
        <f t="shared" si="38"/>
        <v>石嘴山市深阳蓝光市政工程有限公司</v>
      </c>
      <c r="D396" s="616" t="s">
        <v>2469</v>
      </c>
      <c r="E396" s="635"/>
      <c r="F396" s="635"/>
      <c r="G396" s="635"/>
      <c r="H396" s="635"/>
      <c r="I396" s="635"/>
      <c r="J396" s="635"/>
      <c r="K396" s="560"/>
      <c r="L396" s="451"/>
      <c r="M396" s="568"/>
      <c r="N396" s="560"/>
      <c r="X396" s="501" t="b">
        <f t="shared" si="19"/>
        <v>1</v>
      </c>
    </row>
    <row r="397" s="397" customFormat="1" outlineLevel="2" spans="1:24">
      <c r="A397" s="397" t="s">
        <v>2470</v>
      </c>
      <c r="B397" s="575" t="s">
        <v>2409</v>
      </c>
      <c r="C397" s="429" t="str">
        <f t="shared" si="38"/>
        <v>石嘴山市深阳蓝光市政工程有限公司</v>
      </c>
      <c r="D397" s="616" t="s">
        <v>2469</v>
      </c>
      <c r="E397" s="633" t="s">
        <v>2470</v>
      </c>
      <c r="F397" s="634"/>
      <c r="G397" s="633"/>
      <c r="H397" s="633"/>
      <c r="I397" s="88">
        <f>SUM(I398:I403)</f>
        <v>0</v>
      </c>
      <c r="J397" s="88">
        <f>SUM(J398:J403)</f>
        <v>0</v>
      </c>
      <c r="K397" s="560"/>
      <c r="L397" s="451"/>
      <c r="M397" s="568"/>
      <c r="N397" s="560"/>
      <c r="X397" s="501" t="b">
        <f t="shared" si="19"/>
        <v>1</v>
      </c>
    </row>
    <row r="398" s="397" customFormat="1" outlineLevel="2" spans="2:24">
      <c r="B398" s="575" t="s">
        <v>2409</v>
      </c>
      <c r="C398" s="429" t="str">
        <f t="shared" si="38"/>
        <v>石嘴山市深阳蓝光市政工程有限公司</v>
      </c>
      <c r="D398" s="616" t="s">
        <v>2469</v>
      </c>
      <c r="E398" s="635"/>
      <c r="F398" s="635"/>
      <c r="G398" s="635"/>
      <c r="H398" s="635"/>
      <c r="I398" s="635"/>
      <c r="J398" s="635"/>
      <c r="K398" s="560"/>
      <c r="L398" s="451"/>
      <c r="M398" s="568"/>
      <c r="N398" s="560"/>
      <c r="X398" s="501" t="b">
        <f t="shared" si="19"/>
        <v>1</v>
      </c>
    </row>
    <row r="399" s="397" customFormat="1" outlineLevel="2" spans="2:24">
      <c r="B399" s="575" t="s">
        <v>2409</v>
      </c>
      <c r="C399" s="429" t="str">
        <f t="shared" si="38"/>
        <v>石嘴山市深阳蓝光市政工程有限公司</v>
      </c>
      <c r="D399" s="616" t="s">
        <v>2469</v>
      </c>
      <c r="E399" s="635"/>
      <c r="F399" s="635"/>
      <c r="G399" s="635"/>
      <c r="H399" s="635"/>
      <c r="I399" s="635"/>
      <c r="J399" s="635"/>
      <c r="K399" s="560"/>
      <c r="L399" s="451"/>
      <c r="M399" s="568"/>
      <c r="N399" s="560"/>
      <c r="X399" s="501" t="b">
        <f t="shared" si="19"/>
        <v>1</v>
      </c>
    </row>
    <row r="400" s="397" customFormat="1" outlineLevel="2" spans="2:24">
      <c r="B400" s="575" t="s">
        <v>2409</v>
      </c>
      <c r="C400" s="429" t="str">
        <f t="shared" si="38"/>
        <v>石嘴山市深阳蓝光市政工程有限公司</v>
      </c>
      <c r="D400" s="616" t="s">
        <v>2469</v>
      </c>
      <c r="E400" s="635"/>
      <c r="F400" s="635"/>
      <c r="G400" s="635"/>
      <c r="H400" s="635"/>
      <c r="I400" s="635"/>
      <c r="J400" s="635"/>
      <c r="K400" s="560"/>
      <c r="L400" s="451"/>
      <c r="M400" s="568"/>
      <c r="N400" s="560"/>
      <c r="X400" s="501" t="b">
        <f t="shared" si="19"/>
        <v>1</v>
      </c>
    </row>
    <row r="401" s="397" customFormat="1" outlineLevel="2" spans="2:24">
      <c r="B401" s="575" t="s">
        <v>2409</v>
      </c>
      <c r="C401" s="429" t="str">
        <f t="shared" si="38"/>
        <v>石嘴山市深阳蓝光市政工程有限公司</v>
      </c>
      <c r="D401" s="616" t="s">
        <v>2469</v>
      </c>
      <c r="E401" s="635"/>
      <c r="F401" s="635"/>
      <c r="G401" s="635"/>
      <c r="H401" s="635"/>
      <c r="I401" s="635"/>
      <c r="J401" s="635"/>
      <c r="K401" s="560"/>
      <c r="L401" s="451"/>
      <c r="M401" s="568"/>
      <c r="N401" s="560"/>
      <c r="X401" s="501" t="b">
        <f t="shared" si="19"/>
        <v>1</v>
      </c>
    </row>
    <row r="402" s="397" customFormat="1" outlineLevel="2" spans="2:24">
      <c r="B402" s="575" t="s">
        <v>2409</v>
      </c>
      <c r="C402" s="429" t="str">
        <f t="shared" si="38"/>
        <v>石嘴山市深阳蓝光市政工程有限公司</v>
      </c>
      <c r="D402" s="616" t="s">
        <v>2469</v>
      </c>
      <c r="E402" s="635"/>
      <c r="F402" s="635"/>
      <c r="G402" s="635"/>
      <c r="H402" s="635"/>
      <c r="I402" s="635"/>
      <c r="J402" s="635"/>
      <c r="K402" s="560"/>
      <c r="L402" s="451"/>
      <c r="M402" s="568"/>
      <c r="N402" s="560"/>
      <c r="X402" s="501" t="b">
        <f t="shared" si="19"/>
        <v>1</v>
      </c>
    </row>
    <row r="403" s="397" customFormat="1" outlineLevel="2" spans="2:24">
      <c r="B403" s="575" t="s">
        <v>2409</v>
      </c>
      <c r="C403" s="429" t="str">
        <f t="shared" si="38"/>
        <v>石嘴山市深阳蓝光市政工程有限公司</v>
      </c>
      <c r="D403" s="616" t="s">
        <v>2469</v>
      </c>
      <c r="E403" s="635"/>
      <c r="F403" s="635"/>
      <c r="G403" s="635"/>
      <c r="H403" s="635"/>
      <c r="I403" s="635"/>
      <c r="J403" s="635"/>
      <c r="K403" s="560"/>
      <c r="L403" s="451"/>
      <c r="M403" s="568"/>
      <c r="N403" s="560"/>
      <c r="X403" s="501" t="b">
        <f t="shared" si="19"/>
        <v>1</v>
      </c>
    </row>
    <row r="404" s="397" customFormat="1" outlineLevel="2" spans="1:24">
      <c r="A404" s="397" t="s">
        <v>2471</v>
      </c>
      <c r="B404" s="575" t="s">
        <v>2409</v>
      </c>
      <c r="C404" s="429" t="str">
        <f t="shared" si="38"/>
        <v>石嘴山市深阳蓝光市政工程有限公司</v>
      </c>
      <c r="D404" s="616" t="s">
        <v>2469</v>
      </c>
      <c r="E404" s="633" t="s">
        <v>2471</v>
      </c>
      <c r="F404" s="636">
        <f>SUM(F405:F409)</f>
        <v>0</v>
      </c>
      <c r="G404" s="633"/>
      <c r="H404" s="633"/>
      <c r="I404" s="88">
        <f>SUM(I405:I409)</f>
        <v>0</v>
      </c>
      <c r="J404" s="88">
        <f>SUM(J405:J409)</f>
        <v>0</v>
      </c>
      <c r="K404" s="560"/>
      <c r="L404" s="451"/>
      <c r="M404" s="568"/>
      <c r="N404" s="560"/>
      <c r="X404" s="501" t="b">
        <f t="shared" si="19"/>
        <v>1</v>
      </c>
    </row>
    <row r="405" s="397" customFormat="1" outlineLevel="2" spans="2:24">
      <c r="B405" s="575" t="s">
        <v>2409</v>
      </c>
      <c r="C405" s="429" t="str">
        <f t="shared" si="38"/>
        <v>石嘴山市深阳蓝光市政工程有限公司</v>
      </c>
      <c r="D405" s="616" t="s">
        <v>2469</v>
      </c>
      <c r="E405" s="635"/>
      <c r="F405" s="635"/>
      <c r="G405" s="635"/>
      <c r="H405" s="635"/>
      <c r="I405" s="635"/>
      <c r="J405" s="635"/>
      <c r="K405" s="560"/>
      <c r="L405" s="451"/>
      <c r="M405" s="568"/>
      <c r="N405" s="560"/>
      <c r="X405" s="501" t="b">
        <f t="shared" si="19"/>
        <v>1</v>
      </c>
    </row>
    <row r="406" s="397" customFormat="1" outlineLevel="2" spans="2:24">
      <c r="B406" s="575" t="s">
        <v>2409</v>
      </c>
      <c r="C406" s="429" t="str">
        <f t="shared" si="38"/>
        <v>石嘴山市深阳蓝光市政工程有限公司</v>
      </c>
      <c r="D406" s="616" t="s">
        <v>2469</v>
      </c>
      <c r="E406" s="635"/>
      <c r="F406" s="635"/>
      <c r="G406" s="635"/>
      <c r="H406" s="635"/>
      <c r="I406" s="635"/>
      <c r="J406" s="635"/>
      <c r="K406" s="560"/>
      <c r="L406" s="451"/>
      <c r="M406" s="568"/>
      <c r="N406" s="560"/>
      <c r="X406" s="501" t="b">
        <f t="shared" si="19"/>
        <v>1</v>
      </c>
    </row>
    <row r="407" s="397" customFormat="1" outlineLevel="2" spans="2:24">
      <c r="B407" s="575" t="s">
        <v>2409</v>
      </c>
      <c r="C407" s="429" t="str">
        <f t="shared" si="38"/>
        <v>石嘴山市深阳蓝光市政工程有限公司</v>
      </c>
      <c r="D407" s="616" t="s">
        <v>2469</v>
      </c>
      <c r="E407" s="635"/>
      <c r="F407" s="635"/>
      <c r="G407" s="635"/>
      <c r="H407" s="635"/>
      <c r="I407" s="635"/>
      <c r="J407" s="635"/>
      <c r="K407" s="560"/>
      <c r="L407" s="451"/>
      <c r="M407" s="568"/>
      <c r="N407" s="560"/>
      <c r="X407" s="501" t="b">
        <f t="shared" si="19"/>
        <v>1</v>
      </c>
    </row>
    <row r="408" s="397" customFormat="1" outlineLevel="2" spans="2:24">
      <c r="B408" s="575" t="s">
        <v>2409</v>
      </c>
      <c r="C408" s="429" t="str">
        <f t="shared" si="38"/>
        <v>石嘴山市深阳蓝光市政工程有限公司</v>
      </c>
      <c r="D408" s="616" t="s">
        <v>2469</v>
      </c>
      <c r="E408" s="635"/>
      <c r="F408" s="635"/>
      <c r="G408" s="635"/>
      <c r="H408" s="635"/>
      <c r="I408" s="635"/>
      <c r="J408" s="635"/>
      <c r="K408" s="560"/>
      <c r="L408" s="451"/>
      <c r="M408" s="568"/>
      <c r="N408" s="560"/>
      <c r="X408" s="501" t="b">
        <f t="shared" si="19"/>
        <v>1</v>
      </c>
    </row>
    <row r="409" s="397" customFormat="1" outlineLevel="2" spans="2:24">
      <c r="B409" s="575" t="s">
        <v>2409</v>
      </c>
      <c r="C409" s="429" t="str">
        <f t="shared" si="38"/>
        <v>石嘴山市深阳蓝光市政工程有限公司</v>
      </c>
      <c r="D409" s="616" t="s">
        <v>2469</v>
      </c>
      <c r="E409" s="635"/>
      <c r="F409" s="635"/>
      <c r="G409" s="635" t="s">
        <v>2472</v>
      </c>
      <c r="H409" s="635"/>
      <c r="I409" s="635"/>
      <c r="J409" s="635"/>
      <c r="K409" s="560"/>
      <c r="L409" s="451"/>
      <c r="M409" s="568"/>
      <c r="N409" s="560"/>
      <c r="X409" s="501" t="b">
        <f t="shared" si="19"/>
        <v>1</v>
      </c>
    </row>
    <row r="410" s="397" customFormat="1" ht="56.25" outlineLevel="2" spans="2:24">
      <c r="B410" s="575" t="s">
        <v>2409</v>
      </c>
      <c r="C410" s="429" t="str">
        <f t="shared" si="38"/>
        <v>石嘴山市深阳蓝光市政工程有限公司</v>
      </c>
      <c r="D410" s="616" t="s">
        <v>2469</v>
      </c>
      <c r="E410" s="637" t="s">
        <v>2473</v>
      </c>
      <c r="F410" s="638"/>
      <c r="G410" s="638"/>
      <c r="H410" s="638"/>
      <c r="I410" s="560"/>
      <c r="J410" s="560"/>
      <c r="K410" s="560"/>
      <c r="L410" s="451"/>
      <c r="M410" s="568"/>
      <c r="N410" s="560"/>
      <c r="X410" s="501" t="b">
        <f t="shared" si="19"/>
        <v>0</v>
      </c>
    </row>
    <row r="411" s="397" customFormat="1" outlineLevel="2" spans="2:24">
      <c r="B411" s="575" t="s">
        <v>2409</v>
      </c>
      <c r="C411" s="429" t="str">
        <f t="shared" si="38"/>
        <v>石嘴山市深阳蓝光市政工程有限公司</v>
      </c>
      <c r="D411" s="616" t="s">
        <v>2469</v>
      </c>
      <c r="E411" s="560"/>
      <c r="F411" s="560"/>
      <c r="G411" s="560"/>
      <c r="H411" s="560"/>
      <c r="I411" s="560"/>
      <c r="J411" s="560"/>
      <c r="K411" s="560"/>
      <c r="L411" s="451"/>
      <c r="M411" s="568"/>
      <c r="N411" s="560"/>
      <c r="X411" s="501" t="b">
        <f t="shared" si="19"/>
        <v>1</v>
      </c>
    </row>
    <row r="412" s="397" customFormat="1" outlineLevel="2" spans="1:24">
      <c r="A412" s="397" t="s">
        <v>2474</v>
      </c>
      <c r="B412" s="575" t="s">
        <v>2409</v>
      </c>
      <c r="C412" s="429" t="str">
        <f t="shared" si="38"/>
        <v>石嘴山市深阳蓝光市政工程有限公司</v>
      </c>
      <c r="D412" s="616" t="s">
        <v>2475</v>
      </c>
      <c r="E412" s="630" t="s">
        <v>2476</v>
      </c>
      <c r="F412" s="560"/>
      <c r="G412" s="560"/>
      <c r="H412" s="560"/>
      <c r="J412" s="645" t="s">
        <v>2462</v>
      </c>
      <c r="K412" s="560"/>
      <c r="L412" s="451"/>
      <c r="M412" s="568"/>
      <c r="N412" s="560"/>
      <c r="X412" s="501" t="b">
        <f t="shared" si="19"/>
        <v>1</v>
      </c>
    </row>
    <row r="413" s="397" customFormat="1" outlineLevel="2" spans="1:24">
      <c r="A413" s="397" t="s">
        <v>2477</v>
      </c>
      <c r="B413" s="575" t="s">
        <v>2409</v>
      </c>
      <c r="C413" s="429" t="str">
        <f t="shared" si="38"/>
        <v>石嘴山市深阳蓝光市政工程有限公司</v>
      </c>
      <c r="D413" s="616" t="s">
        <v>2475</v>
      </c>
      <c r="E413" s="633" t="s">
        <v>2477</v>
      </c>
      <c r="F413" s="633" t="s">
        <v>365</v>
      </c>
      <c r="G413" s="633" t="s">
        <v>2478</v>
      </c>
      <c r="H413" s="633" t="s">
        <v>2479</v>
      </c>
      <c r="I413" s="633" t="s">
        <v>2480</v>
      </c>
      <c r="J413" s="627"/>
      <c r="K413" s="560"/>
      <c r="L413" s="451"/>
      <c r="M413" s="568"/>
      <c r="N413" s="560"/>
      <c r="X413" s="501" t="b">
        <f t="shared" si="19"/>
        <v>1</v>
      </c>
    </row>
    <row r="414" s="397" customFormat="1" outlineLevel="2" spans="2:24">
      <c r="B414" s="575" t="s">
        <v>2409</v>
      </c>
      <c r="C414" s="429" t="str">
        <f t="shared" si="38"/>
        <v>石嘴山市深阳蓝光市政工程有限公司</v>
      </c>
      <c r="D414" s="616" t="s">
        <v>2481</v>
      </c>
      <c r="E414" s="635"/>
      <c r="F414" s="635"/>
      <c r="G414" s="635"/>
      <c r="H414" s="635"/>
      <c r="I414" s="635"/>
      <c r="J414" s="560"/>
      <c r="K414" s="560"/>
      <c r="L414" s="451"/>
      <c r="M414" s="568"/>
      <c r="N414" s="560"/>
      <c r="X414" s="501" t="b">
        <f t="shared" si="19"/>
        <v>1</v>
      </c>
    </row>
    <row r="415" s="397" customFormat="1" outlineLevel="2" spans="2:24">
      <c r="B415" s="575" t="s">
        <v>2409</v>
      </c>
      <c r="C415" s="429" t="str">
        <f t="shared" si="38"/>
        <v>石嘴山市深阳蓝光市政工程有限公司</v>
      </c>
      <c r="D415" s="616" t="s">
        <v>2481</v>
      </c>
      <c r="E415" s="635"/>
      <c r="F415" s="635"/>
      <c r="G415" s="635"/>
      <c r="H415" s="635"/>
      <c r="I415" s="635"/>
      <c r="J415" s="560"/>
      <c r="K415" s="560"/>
      <c r="L415" s="451"/>
      <c r="M415" s="568"/>
      <c r="N415" s="560"/>
      <c r="X415" s="501" t="b">
        <f t="shared" si="19"/>
        <v>1</v>
      </c>
    </row>
    <row r="416" s="397" customFormat="1" outlineLevel="2" spans="2:24">
      <c r="B416" s="575" t="s">
        <v>2409</v>
      </c>
      <c r="C416" s="429" t="str">
        <f t="shared" si="38"/>
        <v>石嘴山市深阳蓝光市政工程有限公司</v>
      </c>
      <c r="D416" s="616" t="s">
        <v>2481</v>
      </c>
      <c r="E416" s="635"/>
      <c r="F416" s="635"/>
      <c r="G416" s="635"/>
      <c r="H416" s="635"/>
      <c r="I416" s="635"/>
      <c r="J416" s="560"/>
      <c r="K416" s="560"/>
      <c r="L416" s="451"/>
      <c r="M416" s="568"/>
      <c r="N416" s="560"/>
      <c r="X416" s="501" t="b">
        <f t="shared" si="19"/>
        <v>1</v>
      </c>
    </row>
    <row r="417" s="397" customFormat="1" outlineLevel="2" spans="2:24">
      <c r="B417" s="575" t="s">
        <v>2409</v>
      </c>
      <c r="C417" s="429" t="str">
        <f t="shared" si="38"/>
        <v>石嘴山市深阳蓝光市政工程有限公司</v>
      </c>
      <c r="D417" s="616" t="s">
        <v>2481</v>
      </c>
      <c r="E417" s="635"/>
      <c r="F417" s="635"/>
      <c r="G417" s="635"/>
      <c r="H417" s="635"/>
      <c r="I417" s="635"/>
      <c r="J417" s="560"/>
      <c r="K417" s="560"/>
      <c r="L417" s="451"/>
      <c r="M417" s="568"/>
      <c r="N417" s="560"/>
      <c r="X417" s="501" t="b">
        <f t="shared" si="19"/>
        <v>1</v>
      </c>
    </row>
    <row r="418" s="397" customFormat="1" outlineLevel="2" spans="2:24">
      <c r="B418" s="575" t="s">
        <v>2409</v>
      </c>
      <c r="C418" s="429" t="str">
        <f t="shared" si="38"/>
        <v>石嘴山市深阳蓝光市政工程有限公司</v>
      </c>
      <c r="D418" s="616" t="s">
        <v>2481</v>
      </c>
      <c r="E418" s="635"/>
      <c r="F418" s="635"/>
      <c r="G418" s="635"/>
      <c r="H418" s="635"/>
      <c r="I418" s="635"/>
      <c r="J418" s="560"/>
      <c r="K418" s="560"/>
      <c r="L418" s="451"/>
      <c r="M418" s="568"/>
      <c r="N418" s="560"/>
      <c r="X418" s="501" t="b">
        <f t="shared" si="19"/>
        <v>1</v>
      </c>
    </row>
    <row r="419" s="397" customFormat="1" outlineLevel="2" spans="2:24">
      <c r="B419" s="575" t="s">
        <v>2409</v>
      </c>
      <c r="C419" s="429" t="str">
        <f t="shared" si="38"/>
        <v>石嘴山市深阳蓝光市政工程有限公司</v>
      </c>
      <c r="D419" s="616" t="s">
        <v>2481</v>
      </c>
      <c r="E419" s="635"/>
      <c r="F419" s="635"/>
      <c r="G419" s="635"/>
      <c r="H419" s="635"/>
      <c r="I419" s="635"/>
      <c r="J419" s="560"/>
      <c r="K419" s="560"/>
      <c r="L419" s="451"/>
      <c r="M419" s="568"/>
      <c r="N419" s="560"/>
      <c r="X419" s="501" t="b">
        <f t="shared" si="19"/>
        <v>1</v>
      </c>
    </row>
    <row r="420" s="397" customFormat="1" outlineLevel="2" spans="2:24">
      <c r="B420" s="575" t="s">
        <v>2409</v>
      </c>
      <c r="C420" s="429" t="str">
        <f t="shared" si="38"/>
        <v>石嘴山市深阳蓝光市政工程有限公司</v>
      </c>
      <c r="D420" s="616" t="s">
        <v>2481</v>
      </c>
      <c r="E420" s="635"/>
      <c r="F420" s="635"/>
      <c r="G420" s="635"/>
      <c r="H420" s="635"/>
      <c r="I420" s="635"/>
      <c r="J420" s="560"/>
      <c r="K420" s="560"/>
      <c r="L420" s="451"/>
      <c r="M420" s="568"/>
      <c r="N420" s="560"/>
      <c r="X420" s="501" t="b">
        <f t="shared" si="19"/>
        <v>1</v>
      </c>
    </row>
    <row r="421" s="397" customFormat="1" outlineLevel="2" spans="2:24">
      <c r="B421" s="575" t="s">
        <v>2409</v>
      </c>
      <c r="C421" s="429" t="str">
        <f t="shared" ref="C421:C484" si="39">$G$1</f>
        <v>石嘴山市深阳蓝光市政工程有限公司</v>
      </c>
      <c r="D421" s="616" t="s">
        <v>2481</v>
      </c>
      <c r="E421" s="635"/>
      <c r="F421" s="635"/>
      <c r="G421" s="635"/>
      <c r="H421" s="635"/>
      <c r="I421" s="635"/>
      <c r="J421" s="560"/>
      <c r="K421" s="560"/>
      <c r="L421" s="451"/>
      <c r="M421" s="568"/>
      <c r="N421" s="560"/>
      <c r="X421" s="501" t="b">
        <f t="shared" si="19"/>
        <v>1</v>
      </c>
    </row>
    <row r="422" s="397" customFormat="1" outlineLevel="2" spans="2:24">
      <c r="B422" s="575" t="s">
        <v>2409</v>
      </c>
      <c r="C422" s="429" t="str">
        <f t="shared" si="39"/>
        <v>石嘴山市深阳蓝光市政工程有限公司</v>
      </c>
      <c r="D422" s="616" t="s">
        <v>2481</v>
      </c>
      <c r="E422" s="635"/>
      <c r="F422" s="635"/>
      <c r="G422" s="635"/>
      <c r="H422" s="635"/>
      <c r="I422" s="635"/>
      <c r="J422" s="560"/>
      <c r="K422" s="560"/>
      <c r="L422" s="451"/>
      <c r="M422" s="568"/>
      <c r="N422" s="560"/>
      <c r="X422" s="501" t="b">
        <f t="shared" si="19"/>
        <v>1</v>
      </c>
    </row>
    <row r="423" s="397" customFormat="1" outlineLevel="2" spans="2:24">
      <c r="B423" s="575" t="s">
        <v>2409</v>
      </c>
      <c r="C423" s="429" t="str">
        <f t="shared" si="39"/>
        <v>石嘴山市深阳蓝光市政工程有限公司</v>
      </c>
      <c r="D423" s="616" t="s">
        <v>2481</v>
      </c>
      <c r="E423" s="635"/>
      <c r="F423" s="635"/>
      <c r="G423" s="635"/>
      <c r="H423" s="635"/>
      <c r="I423" s="635"/>
      <c r="J423" s="560"/>
      <c r="K423" s="560"/>
      <c r="L423" s="451"/>
      <c r="M423" s="568"/>
      <c r="N423" s="560"/>
      <c r="X423" s="501" t="b">
        <f t="shared" si="19"/>
        <v>1</v>
      </c>
    </row>
    <row r="424" s="397" customFormat="1" outlineLevel="2" spans="2:24">
      <c r="B424" s="575" t="s">
        <v>2409</v>
      </c>
      <c r="C424" s="429" t="str">
        <f t="shared" si="39"/>
        <v>石嘴山市深阳蓝光市政工程有限公司</v>
      </c>
      <c r="D424" s="616" t="s">
        <v>2481</v>
      </c>
      <c r="E424" s="635"/>
      <c r="F424" s="635"/>
      <c r="G424" s="635"/>
      <c r="H424" s="635"/>
      <c r="I424" s="635"/>
      <c r="J424" s="560"/>
      <c r="K424" s="560"/>
      <c r="L424" s="451"/>
      <c r="M424" s="568"/>
      <c r="N424" s="560"/>
      <c r="X424" s="501" t="b">
        <f t="shared" si="19"/>
        <v>1</v>
      </c>
    </row>
    <row r="425" s="397" customFormat="1" outlineLevel="2" spans="2:24">
      <c r="B425" s="575" t="s">
        <v>2409</v>
      </c>
      <c r="C425" s="429" t="str">
        <f t="shared" si="39"/>
        <v>石嘴山市深阳蓝光市政工程有限公司</v>
      </c>
      <c r="D425" s="616" t="s">
        <v>2481</v>
      </c>
      <c r="E425" s="635"/>
      <c r="F425" s="635"/>
      <c r="G425" s="635"/>
      <c r="H425" s="635"/>
      <c r="I425" s="635"/>
      <c r="J425" s="643"/>
      <c r="K425" s="560"/>
      <c r="L425" s="451"/>
      <c r="M425" s="568"/>
      <c r="N425" s="560"/>
      <c r="X425" s="501" t="b">
        <f t="shared" si="19"/>
        <v>1</v>
      </c>
    </row>
    <row r="426" s="397" customFormat="1" outlineLevel="2" spans="2:24">
      <c r="B426" s="575" t="s">
        <v>2409</v>
      </c>
      <c r="C426" s="429" t="str">
        <f t="shared" si="39"/>
        <v>石嘴山市深阳蓝光市政工程有限公司</v>
      </c>
      <c r="D426" s="616" t="s">
        <v>2481</v>
      </c>
      <c r="E426" s="635"/>
      <c r="F426" s="635"/>
      <c r="G426" s="635"/>
      <c r="H426" s="635"/>
      <c r="I426" s="635"/>
      <c r="J426" s="560"/>
      <c r="K426" s="560"/>
      <c r="L426" s="451"/>
      <c r="M426" s="568"/>
      <c r="N426" s="560"/>
      <c r="X426" s="501" t="b">
        <f t="shared" si="19"/>
        <v>1</v>
      </c>
    </row>
    <row r="427" s="397" customFormat="1" outlineLevel="2" spans="2:24">
      <c r="B427" s="575" t="s">
        <v>2409</v>
      </c>
      <c r="C427" s="429" t="str">
        <f t="shared" si="39"/>
        <v>石嘴山市深阳蓝光市政工程有限公司</v>
      </c>
      <c r="D427" s="616" t="s">
        <v>2481</v>
      </c>
      <c r="E427" s="635"/>
      <c r="F427" s="635"/>
      <c r="G427" s="635"/>
      <c r="H427" s="635"/>
      <c r="I427" s="635"/>
      <c r="J427" s="560"/>
      <c r="K427" s="560"/>
      <c r="L427" s="451"/>
      <c r="M427" s="568"/>
      <c r="N427" s="560"/>
      <c r="X427" s="501" t="b">
        <f t="shared" si="19"/>
        <v>1</v>
      </c>
    </row>
    <row r="428" s="397" customFormat="1" outlineLevel="2" spans="2:24">
      <c r="B428" s="575" t="s">
        <v>2409</v>
      </c>
      <c r="C428" s="429" t="str">
        <f t="shared" si="39"/>
        <v>石嘴山市深阳蓝光市政工程有限公司</v>
      </c>
      <c r="D428" s="616" t="s">
        <v>2481</v>
      </c>
      <c r="E428" s="635"/>
      <c r="F428" s="635"/>
      <c r="G428" s="635"/>
      <c r="H428" s="635"/>
      <c r="I428" s="635"/>
      <c r="J428" s="560"/>
      <c r="K428" s="560"/>
      <c r="L428" s="451"/>
      <c r="M428" s="568"/>
      <c r="N428" s="560"/>
      <c r="X428" s="501" t="b">
        <f t="shared" si="19"/>
        <v>1</v>
      </c>
    </row>
    <row r="429" s="397" customFormat="1" outlineLevel="2" spans="2:24">
      <c r="B429" s="575" t="s">
        <v>2409</v>
      </c>
      <c r="C429" s="429" t="str">
        <f t="shared" si="39"/>
        <v>石嘴山市深阳蓝光市政工程有限公司</v>
      </c>
      <c r="D429" s="616" t="s">
        <v>2481</v>
      </c>
      <c r="E429" s="635"/>
      <c r="F429" s="635"/>
      <c r="G429" s="635"/>
      <c r="H429" s="635"/>
      <c r="I429" s="635"/>
      <c r="J429" s="560"/>
      <c r="K429" s="643"/>
      <c r="L429" s="451"/>
      <c r="M429" s="568"/>
      <c r="N429" s="560"/>
      <c r="X429" s="501" t="b">
        <f t="shared" si="19"/>
        <v>1</v>
      </c>
    </row>
    <row r="430" s="397" customFormat="1" outlineLevel="2" spans="1:24">
      <c r="A430" s="397" t="s">
        <v>2482</v>
      </c>
      <c r="B430" s="575" t="s">
        <v>2409</v>
      </c>
      <c r="C430" s="429" t="str">
        <f t="shared" si="39"/>
        <v>石嘴山市深阳蓝光市政工程有限公司</v>
      </c>
      <c r="D430" s="616" t="s">
        <v>2481</v>
      </c>
      <c r="E430" s="633" t="s">
        <v>2483</v>
      </c>
      <c r="F430" s="135">
        <f>SUM(F414:F429)</f>
        <v>0</v>
      </c>
      <c r="G430" s="639"/>
      <c r="H430" s="633"/>
      <c r="I430" s="633"/>
      <c r="J430" s="560"/>
      <c r="K430" s="560"/>
      <c r="L430" s="451"/>
      <c r="M430" s="568"/>
      <c r="N430" s="560"/>
      <c r="X430" s="501" t="b">
        <f t="shared" si="19"/>
        <v>1</v>
      </c>
    </row>
    <row r="431" s="397" customFormat="1" outlineLevel="2" spans="2:24">
      <c r="B431" s="575" t="s">
        <v>2409</v>
      </c>
      <c r="C431" s="429" t="str">
        <f t="shared" si="39"/>
        <v>石嘴山市深阳蓝光市政工程有限公司</v>
      </c>
      <c r="D431" s="616" t="s">
        <v>2481</v>
      </c>
      <c r="E431" s="640"/>
      <c r="F431" s="560"/>
      <c r="G431" s="560"/>
      <c r="H431" s="560"/>
      <c r="I431" s="560"/>
      <c r="J431" s="560"/>
      <c r="K431" s="560"/>
      <c r="L431" s="451"/>
      <c r="M431" s="568"/>
      <c r="N431" s="560"/>
      <c r="X431" s="501" t="b">
        <f t="shared" si="19"/>
        <v>1</v>
      </c>
    </row>
    <row r="432" s="397" customFormat="1" outlineLevel="2" spans="1:24">
      <c r="A432" s="397" t="s">
        <v>2484</v>
      </c>
      <c r="B432" s="575" t="s">
        <v>2409</v>
      </c>
      <c r="C432" s="429" t="str">
        <f t="shared" si="39"/>
        <v>石嘴山市深阳蓝光市政工程有限公司</v>
      </c>
      <c r="D432" s="616" t="s">
        <v>2485</v>
      </c>
      <c r="E432" s="624" t="s">
        <v>2486</v>
      </c>
      <c r="F432" s="560"/>
      <c r="G432" s="560"/>
      <c r="H432" s="560"/>
      <c r="I432" s="560"/>
      <c r="J432" s="560"/>
      <c r="K432" s="560"/>
      <c r="L432" s="451"/>
      <c r="M432" s="568"/>
      <c r="N432" s="560"/>
      <c r="X432" s="501" t="b">
        <f t="shared" si="19"/>
        <v>0</v>
      </c>
    </row>
    <row r="433" s="397" customFormat="1" outlineLevel="2" spans="2:24">
      <c r="B433" s="428" t="s">
        <v>2409</v>
      </c>
      <c r="C433" s="429" t="str">
        <f t="shared" si="39"/>
        <v>石嘴山市深阳蓝光市政工程有限公司</v>
      </c>
      <c r="D433" s="641" t="s">
        <v>2485</v>
      </c>
      <c r="E433" s="149"/>
      <c r="F433" s="560"/>
      <c r="G433" s="560"/>
      <c r="H433" s="560"/>
      <c r="I433" s="560"/>
      <c r="J433" s="645" t="s">
        <v>2462</v>
      </c>
      <c r="K433" s="643" t="s">
        <v>2418</v>
      </c>
      <c r="L433" s="451"/>
      <c r="M433" s="568"/>
      <c r="N433" s="560"/>
      <c r="X433" s="501" t="b">
        <f t="shared" si="19"/>
        <v>1</v>
      </c>
    </row>
    <row r="434" s="397" customFormat="1" outlineLevel="2" spans="1:24">
      <c r="A434" s="397" t="s">
        <v>2036</v>
      </c>
      <c r="B434" s="428" t="s">
        <v>2409</v>
      </c>
      <c r="C434" s="429" t="str">
        <f t="shared" si="39"/>
        <v>石嘴山市深阳蓝光市政工程有限公司</v>
      </c>
      <c r="D434" s="641" t="s">
        <v>2487</v>
      </c>
      <c r="E434" s="561" t="s">
        <v>2036</v>
      </c>
      <c r="F434" s="561" t="s">
        <v>2488</v>
      </c>
      <c r="G434" s="561" t="s">
        <v>365</v>
      </c>
      <c r="H434" s="561" t="s">
        <v>2489</v>
      </c>
      <c r="I434" s="562" t="s">
        <v>2490</v>
      </c>
      <c r="J434" s="646" t="s">
        <v>495</v>
      </c>
      <c r="K434" s="597" t="s">
        <v>2491</v>
      </c>
      <c r="L434" s="560"/>
      <c r="M434" s="451"/>
      <c r="N434" s="568"/>
      <c r="O434" s="560"/>
      <c r="X434" s="501" t="b">
        <f t="shared" si="19"/>
        <v>1</v>
      </c>
    </row>
    <row r="435" s="397" customFormat="1" outlineLevel="2" spans="2:24">
      <c r="B435" s="428" t="s">
        <v>2409</v>
      </c>
      <c r="C435" s="429" t="str">
        <f t="shared" si="39"/>
        <v>石嘴山市深阳蓝光市政工程有限公司</v>
      </c>
      <c r="D435" s="641" t="s">
        <v>2487</v>
      </c>
      <c r="E435" s="642"/>
      <c r="F435" s="642"/>
      <c r="G435" s="642"/>
      <c r="H435" s="642"/>
      <c r="I435" s="647">
        <f>IF($F$205=0,0,ROUND(G435/$F$205,4))+K435</f>
        <v>0</v>
      </c>
      <c r="J435" s="642"/>
      <c r="K435" s="598"/>
      <c r="L435" s="560"/>
      <c r="M435" s="451"/>
      <c r="N435" s="568"/>
      <c r="O435" s="560"/>
      <c r="X435" s="501" t="b">
        <f t="shared" si="19"/>
        <v>1</v>
      </c>
    </row>
    <row r="436" s="397" customFormat="1" outlineLevel="2" spans="2:24">
      <c r="B436" s="428" t="s">
        <v>2409</v>
      </c>
      <c r="C436" s="429" t="str">
        <f t="shared" si="39"/>
        <v>石嘴山市深阳蓝光市政工程有限公司</v>
      </c>
      <c r="D436" s="641" t="s">
        <v>2487</v>
      </c>
      <c r="E436" s="642"/>
      <c r="F436" s="642"/>
      <c r="G436" s="642"/>
      <c r="H436" s="642"/>
      <c r="I436" s="647">
        <f>IF($F$205=0,0,ROUND(G436/$F$205,4))+K436</f>
        <v>0</v>
      </c>
      <c r="J436" s="642"/>
      <c r="K436" s="598"/>
      <c r="L436" s="560"/>
      <c r="M436" s="451"/>
      <c r="N436" s="568"/>
      <c r="O436" s="560"/>
      <c r="X436" s="501" t="b">
        <f t="shared" si="19"/>
        <v>1</v>
      </c>
    </row>
    <row r="437" s="397" customFormat="1" outlineLevel="2" spans="2:24">
      <c r="B437" s="428" t="s">
        <v>2409</v>
      </c>
      <c r="C437" s="429" t="str">
        <f t="shared" si="39"/>
        <v>石嘴山市深阳蓝光市政工程有限公司</v>
      </c>
      <c r="D437" s="641" t="s">
        <v>2487</v>
      </c>
      <c r="E437" s="642"/>
      <c r="F437" s="642"/>
      <c r="G437" s="642"/>
      <c r="H437" s="642"/>
      <c r="I437" s="647">
        <f>IF($F$205=0,0,ROUND(G437/$F$205,4))+K437</f>
        <v>0</v>
      </c>
      <c r="J437" s="642"/>
      <c r="K437" s="598"/>
      <c r="L437" s="560"/>
      <c r="M437" s="451"/>
      <c r="N437" s="568"/>
      <c r="O437" s="560"/>
      <c r="X437" s="501" t="b">
        <f t="shared" si="19"/>
        <v>1</v>
      </c>
    </row>
    <row r="438" s="397" customFormat="1" outlineLevel="2" spans="2:24">
      <c r="B438" s="428" t="s">
        <v>2409</v>
      </c>
      <c r="C438" s="429" t="str">
        <f t="shared" si="39"/>
        <v>石嘴山市深阳蓝光市政工程有限公司</v>
      </c>
      <c r="D438" s="641" t="s">
        <v>2487</v>
      </c>
      <c r="E438" s="642"/>
      <c r="F438" s="642"/>
      <c r="G438" s="642"/>
      <c r="H438" s="642"/>
      <c r="I438" s="647">
        <f>IF($F$205=0,0,ROUND(G438/$F$205,4))+K438</f>
        <v>0</v>
      </c>
      <c r="J438" s="642"/>
      <c r="K438" s="598"/>
      <c r="L438" s="560"/>
      <c r="M438" s="451"/>
      <c r="N438" s="568"/>
      <c r="O438" s="560"/>
      <c r="X438" s="501" t="b">
        <f t="shared" si="19"/>
        <v>1</v>
      </c>
    </row>
    <row r="439" s="397" customFormat="1" outlineLevel="2" spans="2:24">
      <c r="B439" s="428" t="s">
        <v>2409</v>
      </c>
      <c r="C439" s="429" t="str">
        <f t="shared" si="39"/>
        <v>石嘴山市深阳蓝光市政工程有限公司</v>
      </c>
      <c r="D439" s="641" t="s">
        <v>2487</v>
      </c>
      <c r="E439" s="642"/>
      <c r="F439" s="642"/>
      <c r="G439" s="642"/>
      <c r="H439" s="642"/>
      <c r="I439" s="647">
        <f>IF($F$205=0,0,ROUND(G439/$F$205,4))+K439</f>
        <v>0</v>
      </c>
      <c r="J439" s="642"/>
      <c r="K439" s="598"/>
      <c r="L439" s="560"/>
      <c r="M439" s="451"/>
      <c r="N439" s="568"/>
      <c r="O439" s="560"/>
      <c r="X439" s="501" t="b">
        <f t="shared" si="19"/>
        <v>1</v>
      </c>
    </row>
    <row r="440" s="397" customFormat="1" outlineLevel="2" spans="1:24">
      <c r="A440" s="397" t="s">
        <v>1580</v>
      </c>
      <c r="B440" s="428" t="s">
        <v>2409</v>
      </c>
      <c r="C440" s="429" t="str">
        <f t="shared" si="39"/>
        <v>石嘴山市深阳蓝光市政工程有限公司</v>
      </c>
      <c r="D440" s="641" t="s">
        <v>2487</v>
      </c>
      <c r="E440" s="561" t="s">
        <v>1580</v>
      </c>
      <c r="F440" s="561"/>
      <c r="G440" s="534">
        <f>SUM(G435:G439)</f>
        <v>0</v>
      </c>
      <c r="H440" s="603"/>
      <c r="I440" s="647">
        <f>IF($F$205=0,0,ROUND(G440/$F$205,4))</f>
        <v>0</v>
      </c>
      <c r="J440" s="603"/>
      <c r="K440" s="603"/>
      <c r="L440" s="560"/>
      <c r="M440" s="451"/>
      <c r="N440" s="568"/>
      <c r="O440" s="560"/>
      <c r="X440" s="501" t="b">
        <f t="shared" si="19"/>
        <v>1</v>
      </c>
    </row>
    <row r="441" s="397" customFormat="1" outlineLevel="2" spans="2:24">
      <c r="B441" s="428" t="s">
        <v>2409</v>
      </c>
      <c r="C441" s="429" t="str">
        <f t="shared" si="39"/>
        <v>石嘴山市深阳蓝光市政工程有限公司</v>
      </c>
      <c r="D441" s="641" t="s">
        <v>2487</v>
      </c>
      <c r="E441" s="559"/>
      <c r="F441" s="560"/>
      <c r="G441" s="560"/>
      <c r="H441" s="643" t="s">
        <v>2492</v>
      </c>
      <c r="I441" s="648">
        <f>SUM(I435:I439)-I440</f>
        <v>0</v>
      </c>
      <c r="J441" s="560"/>
      <c r="K441" s="560"/>
      <c r="L441" s="451"/>
      <c r="M441" s="568"/>
      <c r="N441" s="560"/>
      <c r="X441" s="501" t="b">
        <f t="shared" si="19"/>
        <v>1</v>
      </c>
    </row>
    <row r="442" s="397" customFormat="1" ht="11.25" customHeight="1" outlineLevel="2" spans="2:24">
      <c r="B442" s="575" t="s">
        <v>2409</v>
      </c>
      <c r="C442" s="429" t="str">
        <f t="shared" si="39"/>
        <v>石嘴山市深阳蓝光市政工程有限公司</v>
      </c>
      <c r="D442" s="616" t="s">
        <v>2487</v>
      </c>
      <c r="F442" s="560"/>
      <c r="G442" s="560"/>
      <c r="H442" s="560"/>
      <c r="I442" s="560"/>
      <c r="J442" s="560"/>
      <c r="K442" s="560"/>
      <c r="L442" s="451"/>
      <c r="M442" s="568"/>
      <c r="N442" s="560"/>
      <c r="X442" s="501" t="b">
        <f t="shared" si="19"/>
        <v>1</v>
      </c>
    </row>
    <row r="443" s="397" customFormat="1" outlineLevel="2" spans="1:24">
      <c r="A443" s="397" t="s">
        <v>2493</v>
      </c>
      <c r="B443" s="575" t="s">
        <v>2409</v>
      </c>
      <c r="C443" s="429" t="str">
        <f t="shared" si="39"/>
        <v>石嘴山市深阳蓝光市政工程有限公司</v>
      </c>
      <c r="D443" s="616" t="s">
        <v>2494</v>
      </c>
      <c r="E443" s="149" t="s">
        <v>2495</v>
      </c>
      <c r="F443" s="560"/>
      <c r="G443" s="560"/>
      <c r="H443" s="560"/>
      <c r="I443" s="560"/>
      <c r="J443" s="560"/>
      <c r="K443" s="560"/>
      <c r="L443" s="451"/>
      <c r="M443" s="568"/>
      <c r="N443" s="560"/>
      <c r="X443" s="501" t="b">
        <f t="shared" si="19"/>
        <v>1</v>
      </c>
    </row>
    <row r="444" s="397" customFormat="1" outlineLevel="2" spans="1:24">
      <c r="A444" s="397" t="s">
        <v>2036</v>
      </c>
      <c r="B444" s="575" t="s">
        <v>2409</v>
      </c>
      <c r="C444" s="429" t="str">
        <f t="shared" si="39"/>
        <v>石嘴山市深阳蓝光市政工程有限公司</v>
      </c>
      <c r="D444" s="616" t="s">
        <v>2494</v>
      </c>
      <c r="E444" s="561" t="s">
        <v>2036</v>
      </c>
      <c r="F444" s="561" t="s">
        <v>2496</v>
      </c>
      <c r="G444" s="561" t="s">
        <v>2497</v>
      </c>
      <c r="H444" s="561" t="s">
        <v>2498</v>
      </c>
      <c r="I444" s="561" t="s">
        <v>2497</v>
      </c>
      <c r="J444" s="560"/>
      <c r="K444" s="560"/>
      <c r="L444" s="451"/>
      <c r="M444" s="568"/>
      <c r="N444" s="560"/>
      <c r="X444" s="501" t="b">
        <f t="shared" si="19"/>
        <v>1</v>
      </c>
    </row>
    <row r="445" s="397" customFormat="1" outlineLevel="2" spans="2:24">
      <c r="B445" s="575" t="s">
        <v>2409</v>
      </c>
      <c r="C445" s="429" t="str">
        <f t="shared" si="39"/>
        <v>石嘴山市深阳蓝光市政工程有限公司</v>
      </c>
      <c r="D445" s="616" t="s">
        <v>2499</v>
      </c>
      <c r="E445" s="487"/>
      <c r="F445" s="644"/>
      <c r="G445" s="644"/>
      <c r="H445" s="644"/>
      <c r="I445" s="644"/>
      <c r="J445" s="560"/>
      <c r="K445" s="560"/>
      <c r="L445" s="451"/>
      <c r="M445" s="568"/>
      <c r="N445" s="560"/>
      <c r="X445" s="501" t="b">
        <f t="shared" si="19"/>
        <v>1</v>
      </c>
    </row>
    <row r="446" s="397" customFormat="1" outlineLevel="2" spans="2:24">
      <c r="B446" s="575" t="s">
        <v>2409</v>
      </c>
      <c r="C446" s="429" t="str">
        <f t="shared" si="39"/>
        <v>石嘴山市深阳蓝光市政工程有限公司</v>
      </c>
      <c r="D446" s="616" t="s">
        <v>2499</v>
      </c>
      <c r="E446" s="487"/>
      <c r="F446" s="547"/>
      <c r="G446" s="547"/>
      <c r="H446" s="547"/>
      <c r="I446" s="547"/>
      <c r="J446" s="560"/>
      <c r="K446" s="560"/>
      <c r="L446" s="451"/>
      <c r="M446" s="568"/>
      <c r="N446" s="560"/>
      <c r="X446" s="501" t="b">
        <f t="shared" si="19"/>
        <v>1</v>
      </c>
    </row>
    <row r="447" s="397" customFormat="1" outlineLevel="2" spans="2:24">
      <c r="B447" s="575" t="s">
        <v>2409</v>
      </c>
      <c r="C447" s="429" t="str">
        <f t="shared" si="39"/>
        <v>石嘴山市深阳蓝光市政工程有限公司</v>
      </c>
      <c r="D447" s="616" t="s">
        <v>2499</v>
      </c>
      <c r="E447" s="487"/>
      <c r="F447" s="547"/>
      <c r="G447" s="547"/>
      <c r="H447" s="547"/>
      <c r="I447" s="547"/>
      <c r="J447" s="560"/>
      <c r="K447" s="560"/>
      <c r="L447" s="451"/>
      <c r="M447" s="568"/>
      <c r="N447" s="560"/>
      <c r="X447" s="501" t="b">
        <f t="shared" si="19"/>
        <v>1</v>
      </c>
    </row>
    <row r="448" s="397" customFormat="1" outlineLevel="2" spans="2:24">
      <c r="B448" s="575" t="s">
        <v>2409</v>
      </c>
      <c r="C448" s="429" t="str">
        <f t="shared" si="39"/>
        <v>石嘴山市深阳蓝光市政工程有限公司</v>
      </c>
      <c r="D448" s="616" t="s">
        <v>2499</v>
      </c>
      <c r="E448" s="487"/>
      <c r="F448" s="547"/>
      <c r="G448" s="547"/>
      <c r="H448" s="547"/>
      <c r="I448" s="547"/>
      <c r="J448" s="560"/>
      <c r="K448" s="560"/>
      <c r="L448" s="451"/>
      <c r="M448" s="568"/>
      <c r="N448" s="560"/>
      <c r="X448" s="501" t="b">
        <f t="shared" si="19"/>
        <v>1</v>
      </c>
    </row>
    <row r="449" s="397" customFormat="1" outlineLevel="2" spans="2:24">
      <c r="B449" s="575" t="s">
        <v>2409</v>
      </c>
      <c r="C449" s="429" t="str">
        <f t="shared" si="39"/>
        <v>石嘴山市深阳蓝光市政工程有限公司</v>
      </c>
      <c r="D449" s="616" t="s">
        <v>2499</v>
      </c>
      <c r="E449" s="487"/>
      <c r="F449" s="547"/>
      <c r="G449" s="547"/>
      <c r="H449" s="547"/>
      <c r="I449" s="547"/>
      <c r="J449" s="560"/>
      <c r="K449" s="560"/>
      <c r="L449" s="451"/>
      <c r="M449" s="568"/>
      <c r="N449" s="560"/>
      <c r="X449" s="501" t="b">
        <f t="shared" si="19"/>
        <v>1</v>
      </c>
    </row>
    <row r="450" s="397" customFormat="1" outlineLevel="2" spans="2:24">
      <c r="B450" s="575" t="s">
        <v>2409</v>
      </c>
      <c r="C450" s="429" t="str">
        <f t="shared" si="39"/>
        <v>石嘴山市深阳蓝光市政工程有限公司</v>
      </c>
      <c r="D450" s="616" t="s">
        <v>2499</v>
      </c>
      <c r="E450" s="487"/>
      <c r="F450" s="547"/>
      <c r="G450" s="547"/>
      <c r="H450" s="547"/>
      <c r="I450" s="547"/>
      <c r="J450" s="560"/>
      <c r="K450" s="560"/>
      <c r="L450" s="451"/>
      <c r="M450" s="568"/>
      <c r="N450" s="560"/>
      <c r="X450" s="501" t="b">
        <f t="shared" si="19"/>
        <v>1</v>
      </c>
    </row>
    <row r="451" s="397" customFormat="1" outlineLevel="2" spans="2:24">
      <c r="B451" s="575" t="s">
        <v>2409</v>
      </c>
      <c r="C451" s="429" t="str">
        <f t="shared" si="39"/>
        <v>石嘴山市深阳蓝光市政工程有限公司</v>
      </c>
      <c r="D451" s="616" t="s">
        <v>2499</v>
      </c>
      <c r="E451" s="487"/>
      <c r="F451" s="547"/>
      <c r="G451" s="547"/>
      <c r="H451" s="547"/>
      <c r="I451" s="547"/>
      <c r="J451" s="560"/>
      <c r="K451" s="560"/>
      <c r="L451" s="451"/>
      <c r="M451" s="568"/>
      <c r="N451" s="560"/>
      <c r="X451" s="501" t="b">
        <f t="shared" si="19"/>
        <v>1</v>
      </c>
    </row>
    <row r="452" s="397" customFormat="1" outlineLevel="2" spans="2:24">
      <c r="B452" s="575" t="s">
        <v>2409</v>
      </c>
      <c r="C452" s="429" t="str">
        <f t="shared" si="39"/>
        <v>石嘴山市深阳蓝光市政工程有限公司</v>
      </c>
      <c r="D452" s="616" t="s">
        <v>2499</v>
      </c>
      <c r="E452" s="487"/>
      <c r="F452" s="547"/>
      <c r="G452" s="547"/>
      <c r="H452" s="547"/>
      <c r="I452" s="547"/>
      <c r="J452" s="560"/>
      <c r="K452" s="560"/>
      <c r="L452" s="451"/>
      <c r="M452" s="568"/>
      <c r="N452" s="560"/>
      <c r="X452" s="501" t="b">
        <f t="shared" si="19"/>
        <v>1</v>
      </c>
    </row>
    <row r="453" s="397" customFormat="1" outlineLevel="2" spans="2:24">
      <c r="B453" s="575" t="s">
        <v>2409</v>
      </c>
      <c r="C453" s="429" t="str">
        <f t="shared" si="39"/>
        <v>石嘴山市深阳蓝光市政工程有限公司</v>
      </c>
      <c r="D453" s="616" t="s">
        <v>2499</v>
      </c>
      <c r="E453" s="487"/>
      <c r="F453" s="547"/>
      <c r="G453" s="547"/>
      <c r="H453" s="547"/>
      <c r="I453" s="547"/>
      <c r="J453" s="560"/>
      <c r="K453" s="560"/>
      <c r="L453" s="451"/>
      <c r="M453" s="568"/>
      <c r="N453" s="560"/>
      <c r="X453" s="501" t="b">
        <f t="shared" si="19"/>
        <v>1</v>
      </c>
    </row>
    <row r="454" s="397" customFormat="1" outlineLevel="2" spans="1:24">
      <c r="A454" s="397" t="s">
        <v>1580</v>
      </c>
      <c r="B454" s="575" t="s">
        <v>2409</v>
      </c>
      <c r="C454" s="429" t="str">
        <f t="shared" si="39"/>
        <v>石嘴山市深阳蓝光市政工程有限公司</v>
      </c>
      <c r="D454" s="616" t="s">
        <v>2499</v>
      </c>
      <c r="E454" s="649" t="s">
        <v>1580</v>
      </c>
      <c r="F454" s="534">
        <f>SUM(F445:F453)</f>
        <v>0</v>
      </c>
      <c r="G454" s="534">
        <f>SUM(G445:G453)</f>
        <v>0</v>
      </c>
      <c r="H454" s="534">
        <f>SUM(H445:H453)</f>
        <v>0</v>
      </c>
      <c r="I454" s="534">
        <f>SUM(I445:I453)</f>
        <v>0</v>
      </c>
      <c r="J454" s="560"/>
      <c r="K454" s="560"/>
      <c r="L454" s="451"/>
      <c r="M454" s="568"/>
      <c r="N454" s="560"/>
      <c r="X454" s="501" t="b">
        <f t="shared" si="19"/>
        <v>1</v>
      </c>
    </row>
    <row r="455" s="397" customFormat="1" outlineLevel="2" spans="1:24">
      <c r="A455" s="397" t="s">
        <v>2500</v>
      </c>
      <c r="B455" s="575" t="s">
        <v>2409</v>
      </c>
      <c r="C455" s="429" t="str">
        <f t="shared" si="39"/>
        <v>石嘴山市深阳蓝光市政工程有限公司</v>
      </c>
      <c r="D455" s="616" t="s">
        <v>2499</v>
      </c>
      <c r="E455" s="650" t="s">
        <v>2500</v>
      </c>
      <c r="F455" s="650" t="s">
        <v>2315</v>
      </c>
      <c r="G455" s="601"/>
      <c r="H455" s="601"/>
      <c r="I455" s="601"/>
      <c r="J455" s="560"/>
      <c r="K455" s="560"/>
      <c r="L455" s="451"/>
      <c r="M455" s="568"/>
      <c r="N455" s="560"/>
      <c r="X455" s="501" t="b">
        <f t="shared" si="19"/>
        <v>1</v>
      </c>
    </row>
    <row r="456" s="397" customFormat="1" outlineLevel="2" spans="1:24">
      <c r="A456" s="397" t="s">
        <v>2501</v>
      </c>
      <c r="B456" s="575" t="s">
        <v>2409</v>
      </c>
      <c r="C456" s="429" t="str">
        <f t="shared" si="39"/>
        <v>石嘴山市深阳蓝光市政工程有限公司</v>
      </c>
      <c r="D456" s="616" t="s">
        <v>2502</v>
      </c>
      <c r="E456" s="149" t="s">
        <v>2503</v>
      </c>
      <c r="F456" s="560"/>
      <c r="G456" s="560"/>
      <c r="H456" s="560"/>
      <c r="I456" s="560"/>
      <c r="J456" s="560"/>
      <c r="K456" s="560"/>
      <c r="L456" s="451"/>
      <c r="M456" s="568"/>
      <c r="N456" s="560"/>
      <c r="X456" s="501" t="b">
        <f t="shared" si="19"/>
        <v>1</v>
      </c>
    </row>
    <row r="457" s="397" customFormat="1" outlineLevel="2" spans="2:24">
      <c r="B457" s="575" t="s">
        <v>2409</v>
      </c>
      <c r="C457" s="429" t="str">
        <f t="shared" si="39"/>
        <v>石嘴山市深阳蓝光市政工程有限公司</v>
      </c>
      <c r="D457" s="616" t="s">
        <v>2502</v>
      </c>
      <c r="E457" s="149"/>
      <c r="F457" s="560"/>
      <c r="G457" s="560"/>
      <c r="H457" s="560"/>
      <c r="I457" s="561" t="s">
        <v>2418</v>
      </c>
      <c r="J457" s="560"/>
      <c r="K457" s="560"/>
      <c r="L457" s="451"/>
      <c r="M457" s="568"/>
      <c r="N457" s="560"/>
      <c r="X457" s="501" t="b">
        <f t="shared" si="19"/>
        <v>1</v>
      </c>
    </row>
    <row r="458" s="397" customFormat="1" outlineLevel="2" spans="1:24">
      <c r="A458" s="397" t="s">
        <v>2036</v>
      </c>
      <c r="B458" s="575" t="s">
        <v>2409</v>
      </c>
      <c r="C458" s="429" t="str">
        <f t="shared" si="39"/>
        <v>石嘴山市深阳蓝光市政工程有限公司</v>
      </c>
      <c r="D458" s="616" t="s">
        <v>2502</v>
      </c>
      <c r="E458" s="561" t="s">
        <v>2036</v>
      </c>
      <c r="F458" s="561" t="s">
        <v>2488</v>
      </c>
      <c r="G458" s="561" t="s">
        <v>365</v>
      </c>
      <c r="H458" s="561" t="s">
        <v>2504</v>
      </c>
      <c r="I458" s="561" t="s">
        <v>2491</v>
      </c>
      <c r="J458" s="560"/>
      <c r="K458" s="560"/>
      <c r="L458" s="451"/>
      <c r="M458" s="568"/>
      <c r="N458" s="560"/>
      <c r="X458" s="501" t="b">
        <f t="shared" si="19"/>
        <v>1</v>
      </c>
    </row>
    <row r="459" s="397" customFormat="1" outlineLevel="2" spans="2:24">
      <c r="B459" s="575" t="s">
        <v>2409</v>
      </c>
      <c r="C459" s="429" t="str">
        <f t="shared" si="39"/>
        <v>石嘴山市深阳蓝光市政工程有限公司</v>
      </c>
      <c r="D459" s="616" t="s">
        <v>2505</v>
      </c>
      <c r="E459" s="651"/>
      <c r="F459" s="651"/>
      <c r="G459" s="652"/>
      <c r="H459" s="653">
        <f>IF($F$205=0,0,ROUND(G459/$F$205,4))+I459</f>
        <v>0</v>
      </c>
      <c r="I459" s="598"/>
      <c r="J459" s="560"/>
      <c r="K459" s="560"/>
      <c r="L459" s="451"/>
      <c r="M459" s="568"/>
      <c r="N459" s="560"/>
      <c r="X459" s="501" t="b">
        <f t="shared" si="19"/>
        <v>1</v>
      </c>
    </row>
    <row r="460" s="397" customFormat="1" outlineLevel="2" spans="2:24">
      <c r="B460" s="575" t="s">
        <v>2409</v>
      </c>
      <c r="C460" s="429" t="str">
        <f t="shared" si="39"/>
        <v>石嘴山市深阳蓝光市政工程有限公司</v>
      </c>
      <c r="D460" s="616" t="s">
        <v>2505</v>
      </c>
      <c r="E460" s="487"/>
      <c r="F460" s="642"/>
      <c r="G460" s="547"/>
      <c r="H460" s="653">
        <f t="shared" ref="H460:H467" si="40">IF($F$205=0,0,ROUND(G460/$F$205,4))+I460</f>
        <v>0</v>
      </c>
      <c r="I460" s="598"/>
      <c r="J460" s="560"/>
      <c r="K460" s="560"/>
      <c r="L460" s="451"/>
      <c r="M460" s="568"/>
      <c r="N460" s="560"/>
      <c r="X460" s="501" t="b">
        <f t="shared" si="19"/>
        <v>1</v>
      </c>
    </row>
    <row r="461" s="397" customFormat="1" outlineLevel="2" spans="2:24">
      <c r="B461" s="575" t="s">
        <v>2409</v>
      </c>
      <c r="C461" s="429" t="str">
        <f t="shared" si="39"/>
        <v>石嘴山市深阳蓝光市政工程有限公司</v>
      </c>
      <c r="D461" s="616" t="s">
        <v>2505</v>
      </c>
      <c r="E461" s="487"/>
      <c r="F461" s="642"/>
      <c r="G461" s="547"/>
      <c r="H461" s="653">
        <f t="shared" si="40"/>
        <v>0</v>
      </c>
      <c r="I461" s="598"/>
      <c r="J461" s="560"/>
      <c r="K461" s="560"/>
      <c r="L461" s="451"/>
      <c r="M461" s="568"/>
      <c r="N461" s="560"/>
      <c r="X461" s="501" t="b">
        <f t="shared" si="19"/>
        <v>1</v>
      </c>
    </row>
    <row r="462" s="397" customFormat="1" outlineLevel="2" spans="2:24">
      <c r="B462" s="575" t="s">
        <v>2409</v>
      </c>
      <c r="C462" s="429" t="str">
        <f t="shared" si="39"/>
        <v>石嘴山市深阳蓝光市政工程有限公司</v>
      </c>
      <c r="D462" s="616" t="s">
        <v>2505</v>
      </c>
      <c r="E462" s="487"/>
      <c r="F462" s="642"/>
      <c r="G462" s="547"/>
      <c r="H462" s="653">
        <f t="shared" si="40"/>
        <v>0</v>
      </c>
      <c r="I462" s="598"/>
      <c r="J462" s="560"/>
      <c r="K462" s="560"/>
      <c r="L462" s="451"/>
      <c r="M462" s="568"/>
      <c r="N462" s="560"/>
      <c r="X462" s="501" t="b">
        <f t="shared" si="19"/>
        <v>1</v>
      </c>
    </row>
    <row r="463" s="397" customFormat="1" outlineLevel="2" spans="2:24">
      <c r="B463" s="575" t="s">
        <v>2409</v>
      </c>
      <c r="C463" s="429" t="str">
        <f t="shared" si="39"/>
        <v>石嘴山市深阳蓝光市政工程有限公司</v>
      </c>
      <c r="D463" s="616" t="s">
        <v>2505</v>
      </c>
      <c r="E463" s="487"/>
      <c r="F463" s="642"/>
      <c r="G463" s="547"/>
      <c r="H463" s="653">
        <f t="shared" si="40"/>
        <v>0</v>
      </c>
      <c r="I463" s="598"/>
      <c r="J463" s="560"/>
      <c r="K463" s="560"/>
      <c r="L463" s="451"/>
      <c r="M463" s="568"/>
      <c r="N463" s="560"/>
      <c r="X463" s="501" t="b">
        <f t="shared" si="19"/>
        <v>1</v>
      </c>
    </row>
    <row r="464" s="397" customFormat="1" outlineLevel="2" spans="2:24">
      <c r="B464" s="575" t="s">
        <v>2409</v>
      </c>
      <c r="C464" s="429" t="str">
        <f t="shared" si="39"/>
        <v>石嘴山市深阳蓝光市政工程有限公司</v>
      </c>
      <c r="D464" s="616" t="s">
        <v>2505</v>
      </c>
      <c r="E464" s="487"/>
      <c r="F464" s="642"/>
      <c r="G464" s="547"/>
      <c r="H464" s="653">
        <f t="shared" si="40"/>
        <v>0</v>
      </c>
      <c r="I464" s="598"/>
      <c r="J464" s="560"/>
      <c r="K464" s="560"/>
      <c r="L464" s="451"/>
      <c r="M464" s="568"/>
      <c r="N464" s="560"/>
      <c r="X464" s="501" t="b">
        <f t="shared" si="19"/>
        <v>1</v>
      </c>
    </row>
    <row r="465" s="397" customFormat="1" outlineLevel="2" spans="2:24">
      <c r="B465" s="575" t="s">
        <v>2409</v>
      </c>
      <c r="C465" s="429" t="str">
        <f t="shared" si="39"/>
        <v>石嘴山市深阳蓝光市政工程有限公司</v>
      </c>
      <c r="D465" s="616" t="s">
        <v>2505</v>
      </c>
      <c r="E465" s="487"/>
      <c r="F465" s="642"/>
      <c r="G465" s="547"/>
      <c r="H465" s="653">
        <f t="shared" si="40"/>
        <v>0</v>
      </c>
      <c r="I465" s="598"/>
      <c r="J465" s="560"/>
      <c r="K465" s="560"/>
      <c r="L465" s="451"/>
      <c r="M465" s="568"/>
      <c r="N465" s="560"/>
      <c r="X465" s="501" t="b">
        <f t="shared" si="19"/>
        <v>1</v>
      </c>
    </row>
    <row r="466" s="397" customFormat="1" outlineLevel="2" spans="2:24">
      <c r="B466" s="575" t="s">
        <v>2409</v>
      </c>
      <c r="C466" s="429" t="str">
        <f t="shared" si="39"/>
        <v>石嘴山市深阳蓝光市政工程有限公司</v>
      </c>
      <c r="D466" s="616" t="s">
        <v>2505</v>
      </c>
      <c r="E466" s="487"/>
      <c r="F466" s="642"/>
      <c r="G466" s="547"/>
      <c r="H466" s="653">
        <f t="shared" si="40"/>
        <v>0</v>
      </c>
      <c r="I466" s="598"/>
      <c r="J466" s="560"/>
      <c r="K466" s="560"/>
      <c r="L466" s="451"/>
      <c r="M466" s="568"/>
      <c r="N466" s="560"/>
      <c r="X466" s="501" t="b">
        <f t="shared" si="19"/>
        <v>1</v>
      </c>
    </row>
    <row r="467" s="397" customFormat="1" outlineLevel="2" spans="2:24">
      <c r="B467" s="575" t="s">
        <v>2409</v>
      </c>
      <c r="C467" s="429" t="str">
        <f t="shared" si="39"/>
        <v>石嘴山市深阳蓝光市政工程有限公司</v>
      </c>
      <c r="D467" s="616" t="s">
        <v>2505</v>
      </c>
      <c r="E467" s="487"/>
      <c r="F467" s="642"/>
      <c r="G467" s="547"/>
      <c r="H467" s="653">
        <f t="shared" si="40"/>
        <v>0</v>
      </c>
      <c r="I467" s="598"/>
      <c r="J467" s="560"/>
      <c r="K467" s="560"/>
      <c r="L467" s="451"/>
      <c r="M467" s="568"/>
      <c r="N467" s="560"/>
      <c r="X467" s="501" t="b">
        <f t="shared" si="19"/>
        <v>1</v>
      </c>
    </row>
    <row r="468" s="397" customFormat="1" outlineLevel="2" spans="1:24">
      <c r="A468" s="397" t="s">
        <v>1580</v>
      </c>
      <c r="B468" s="575" t="s">
        <v>2409</v>
      </c>
      <c r="C468" s="429" t="str">
        <f t="shared" si="39"/>
        <v>石嘴山市深阳蓝光市政工程有限公司</v>
      </c>
      <c r="D468" s="616" t="s">
        <v>2505</v>
      </c>
      <c r="E468" s="649" t="s">
        <v>1580</v>
      </c>
      <c r="F468" s="603"/>
      <c r="G468" s="534">
        <f>SUM(G459:G467)</f>
        <v>0</v>
      </c>
      <c r="H468" s="653">
        <f>IF($F$205=0,0,ROUND(G468/$F$205,4))</f>
        <v>0</v>
      </c>
      <c r="I468" s="560"/>
      <c r="J468" s="560"/>
      <c r="K468" s="560"/>
      <c r="L468" s="451"/>
      <c r="M468" s="568"/>
      <c r="N468" s="560"/>
      <c r="X468" s="501" t="b">
        <f t="shared" si="19"/>
        <v>1</v>
      </c>
    </row>
    <row r="469" s="397" customFormat="1" outlineLevel="2" spans="2:24">
      <c r="B469" s="575" t="s">
        <v>2409</v>
      </c>
      <c r="C469" s="429" t="str">
        <f t="shared" si="39"/>
        <v>石嘴山市深阳蓝光市政工程有限公司</v>
      </c>
      <c r="D469" s="616" t="s">
        <v>2505</v>
      </c>
      <c r="E469" s="654"/>
      <c r="F469" s="559"/>
      <c r="G469" s="655" t="s">
        <v>2506</v>
      </c>
      <c r="H469" s="656">
        <f>SUM(H459:H467)-H468</f>
        <v>0</v>
      </c>
      <c r="I469" s="560"/>
      <c r="J469" s="560"/>
      <c r="K469" s="560"/>
      <c r="L469" s="451"/>
      <c r="M469" s="568"/>
      <c r="N469" s="560"/>
      <c r="X469" s="501" t="b">
        <f t="shared" si="19"/>
        <v>1</v>
      </c>
    </row>
    <row r="470" s="397" customFormat="1" outlineLevel="2" spans="1:24">
      <c r="A470" s="397" t="s">
        <v>2507</v>
      </c>
      <c r="B470" s="575" t="s">
        <v>2409</v>
      </c>
      <c r="C470" s="429" t="str">
        <f t="shared" si="39"/>
        <v>石嘴山市深阳蓝光市政工程有限公司</v>
      </c>
      <c r="D470" s="576" t="s">
        <v>2507</v>
      </c>
      <c r="E470" s="149" t="s">
        <v>2508</v>
      </c>
      <c r="F470" s="560"/>
      <c r="G470" s="560"/>
      <c r="H470" s="560"/>
      <c r="I470" s="560"/>
      <c r="J470" s="560"/>
      <c r="K470" s="560"/>
      <c r="L470" s="451"/>
      <c r="M470" s="568"/>
      <c r="N470" s="560"/>
      <c r="X470" s="501" t="b">
        <f t="shared" si="19"/>
        <v>1</v>
      </c>
    </row>
    <row r="471" s="397" customFormat="1" outlineLevel="2" spans="1:24">
      <c r="A471" s="397" t="s">
        <v>60</v>
      </c>
      <c r="B471" s="575" t="s">
        <v>2409</v>
      </c>
      <c r="C471" s="429" t="str">
        <f t="shared" si="39"/>
        <v>石嘴山市深阳蓝光市政工程有限公司</v>
      </c>
      <c r="D471" s="576" t="s">
        <v>2507</v>
      </c>
      <c r="E471" s="657" t="s">
        <v>60</v>
      </c>
      <c r="F471" s="657" t="s">
        <v>2509</v>
      </c>
      <c r="G471" s="561" t="s">
        <v>2510</v>
      </c>
      <c r="H471" s="560"/>
      <c r="I471" s="560"/>
      <c r="J471" s="560"/>
      <c r="K471" s="560"/>
      <c r="L471" s="451"/>
      <c r="M471" s="568"/>
      <c r="N471" s="560"/>
      <c r="X471" s="501" t="b">
        <f t="shared" si="19"/>
        <v>1</v>
      </c>
    </row>
    <row r="472" s="397" customFormat="1" outlineLevel="2" spans="2:24">
      <c r="B472" s="575" t="s">
        <v>2409</v>
      </c>
      <c r="C472" s="429" t="str">
        <f t="shared" si="39"/>
        <v>石嘴山市深阳蓝光市政工程有限公司</v>
      </c>
      <c r="D472" s="576" t="s">
        <v>2507</v>
      </c>
      <c r="E472" s="487"/>
      <c r="F472" s="642"/>
      <c r="G472" s="642"/>
      <c r="H472" s="560"/>
      <c r="I472" s="560"/>
      <c r="J472" s="560"/>
      <c r="K472" s="560"/>
      <c r="L472" s="451"/>
      <c r="M472" s="568"/>
      <c r="N472" s="560"/>
      <c r="X472" s="501" t="b">
        <f t="shared" si="19"/>
        <v>1</v>
      </c>
    </row>
    <row r="473" s="397" customFormat="1" outlineLevel="2" spans="2:24">
      <c r="B473" s="575" t="s">
        <v>2409</v>
      </c>
      <c r="C473" s="429" t="str">
        <f t="shared" si="39"/>
        <v>石嘴山市深阳蓝光市政工程有限公司</v>
      </c>
      <c r="D473" s="576" t="s">
        <v>2507</v>
      </c>
      <c r="E473" s="487"/>
      <c r="F473" s="642"/>
      <c r="G473" s="642"/>
      <c r="H473" s="560"/>
      <c r="I473" s="560"/>
      <c r="J473" s="560"/>
      <c r="K473" s="560"/>
      <c r="L473" s="451"/>
      <c r="M473" s="568"/>
      <c r="N473" s="560"/>
      <c r="X473" s="501" t="b">
        <f t="shared" si="19"/>
        <v>1</v>
      </c>
    </row>
    <row r="474" s="397" customFormat="1" outlineLevel="2" spans="2:24">
      <c r="B474" s="575" t="s">
        <v>2409</v>
      </c>
      <c r="C474" s="429" t="str">
        <f t="shared" si="39"/>
        <v>石嘴山市深阳蓝光市政工程有限公司</v>
      </c>
      <c r="D474" s="576" t="s">
        <v>2507</v>
      </c>
      <c r="E474" s="487"/>
      <c r="F474" s="642"/>
      <c r="G474" s="642"/>
      <c r="H474" s="560"/>
      <c r="I474" s="560"/>
      <c r="J474" s="560"/>
      <c r="K474" s="560"/>
      <c r="L474" s="451"/>
      <c r="M474" s="568"/>
      <c r="N474" s="560"/>
      <c r="X474" s="501" t="b">
        <f t="shared" si="19"/>
        <v>1</v>
      </c>
    </row>
    <row r="475" s="397" customFormat="1" outlineLevel="2" spans="2:24">
      <c r="B475" s="575" t="s">
        <v>2409</v>
      </c>
      <c r="C475" s="429" t="str">
        <f t="shared" si="39"/>
        <v>石嘴山市深阳蓝光市政工程有限公司</v>
      </c>
      <c r="D475" s="576" t="s">
        <v>2507</v>
      </c>
      <c r="E475" s="487"/>
      <c r="F475" s="642"/>
      <c r="G475" s="642"/>
      <c r="H475" s="560"/>
      <c r="I475" s="560"/>
      <c r="J475" s="560"/>
      <c r="K475" s="560"/>
      <c r="L475" s="451"/>
      <c r="M475" s="568"/>
      <c r="N475" s="560"/>
      <c r="X475" s="501" t="b">
        <f t="shared" si="19"/>
        <v>1</v>
      </c>
    </row>
    <row r="476" s="397" customFormat="1" outlineLevel="2" spans="2:24">
      <c r="B476" s="575" t="s">
        <v>2409</v>
      </c>
      <c r="C476" s="429" t="str">
        <f t="shared" si="39"/>
        <v>石嘴山市深阳蓝光市政工程有限公司</v>
      </c>
      <c r="D476" s="576" t="s">
        <v>2507</v>
      </c>
      <c r="E476" s="487"/>
      <c r="F476" s="642"/>
      <c r="G476" s="642"/>
      <c r="H476" s="560"/>
      <c r="I476" s="560"/>
      <c r="J476" s="560"/>
      <c r="K476" s="560"/>
      <c r="L476" s="451"/>
      <c r="M476" s="568"/>
      <c r="N476" s="560"/>
      <c r="X476" s="501" t="b">
        <f t="shared" si="19"/>
        <v>1</v>
      </c>
    </row>
    <row r="477" s="397" customFormat="1" outlineLevel="2" spans="2:24">
      <c r="B477" s="575" t="s">
        <v>2409</v>
      </c>
      <c r="C477" s="429" t="str">
        <f t="shared" si="39"/>
        <v>石嘴山市深阳蓝光市政工程有限公司</v>
      </c>
      <c r="D477" s="576" t="s">
        <v>2507</v>
      </c>
      <c r="E477" s="487"/>
      <c r="F477" s="642"/>
      <c r="G477" s="642"/>
      <c r="H477" s="560"/>
      <c r="I477" s="560"/>
      <c r="J477" s="560"/>
      <c r="K477" s="560"/>
      <c r="L477" s="451"/>
      <c r="M477" s="568"/>
      <c r="N477" s="560"/>
      <c r="X477" s="501" t="b">
        <f t="shared" si="19"/>
        <v>1</v>
      </c>
    </row>
    <row r="478" s="397" customFormat="1" outlineLevel="2" spans="1:24">
      <c r="A478" s="397" t="s">
        <v>1580</v>
      </c>
      <c r="B478" s="575" t="s">
        <v>2409</v>
      </c>
      <c r="C478" s="429" t="str">
        <f t="shared" si="39"/>
        <v>石嘴山市深阳蓝光市政工程有限公司</v>
      </c>
      <c r="D478" s="576" t="s">
        <v>2507</v>
      </c>
      <c r="E478" s="649" t="s">
        <v>1580</v>
      </c>
      <c r="F478" s="534">
        <f>SUM(F472:F477)</f>
        <v>0</v>
      </c>
      <c r="G478" s="534">
        <f>SUM(G472:G477)</f>
        <v>0</v>
      </c>
      <c r="H478" s="560"/>
      <c r="I478" s="560"/>
      <c r="J478" s="560"/>
      <c r="K478" s="560"/>
      <c r="L478" s="451"/>
      <c r="M478" s="568"/>
      <c r="N478" s="560"/>
      <c r="X478" s="501" t="b">
        <f t="shared" si="19"/>
        <v>1</v>
      </c>
    </row>
    <row r="479" s="397" customFormat="1" outlineLevel="2" spans="2:24">
      <c r="B479" s="575" t="s">
        <v>2409</v>
      </c>
      <c r="C479" s="429" t="str">
        <f t="shared" si="39"/>
        <v>石嘴山市深阳蓝光市政工程有限公司</v>
      </c>
      <c r="D479" s="576" t="s">
        <v>2507</v>
      </c>
      <c r="E479" s="658"/>
      <c r="F479" s="559"/>
      <c r="G479" s="559"/>
      <c r="H479" s="560"/>
      <c r="I479" s="560"/>
      <c r="J479" s="560"/>
      <c r="K479" s="560"/>
      <c r="L479" s="451"/>
      <c r="M479" s="568"/>
      <c r="N479" s="560"/>
      <c r="X479" s="501" t="b">
        <f t="shared" si="19"/>
        <v>1</v>
      </c>
    </row>
    <row r="480" s="397" customFormat="1" outlineLevel="2" spans="1:24">
      <c r="A480" s="397" t="s">
        <v>2511</v>
      </c>
      <c r="B480" s="575" t="s">
        <v>2409</v>
      </c>
      <c r="C480" s="429" t="str">
        <f t="shared" si="39"/>
        <v>石嘴山市深阳蓝光市政工程有限公司</v>
      </c>
      <c r="D480" s="576" t="s">
        <v>2511</v>
      </c>
      <c r="E480" s="149" t="s">
        <v>2512</v>
      </c>
      <c r="F480" s="560"/>
      <c r="G480" s="560"/>
      <c r="H480" s="560"/>
      <c r="I480" s="560"/>
      <c r="J480" s="560"/>
      <c r="K480" s="560"/>
      <c r="L480" s="451"/>
      <c r="M480" s="568"/>
      <c r="N480" s="560"/>
      <c r="X480" s="501" t="b">
        <f t="shared" si="19"/>
        <v>1</v>
      </c>
    </row>
    <row r="481" s="397" customFormat="1" outlineLevel="2" spans="1:24">
      <c r="A481" s="397" t="s">
        <v>60</v>
      </c>
      <c r="B481" s="575" t="s">
        <v>2409</v>
      </c>
      <c r="C481" s="429" t="str">
        <f t="shared" si="39"/>
        <v>石嘴山市深阳蓝光市政工程有限公司</v>
      </c>
      <c r="D481" s="616" t="s">
        <v>2513</v>
      </c>
      <c r="E481" s="561" t="s">
        <v>60</v>
      </c>
      <c r="F481" s="561" t="s">
        <v>2407</v>
      </c>
      <c r="G481" s="560"/>
      <c r="H481" s="560"/>
      <c r="I481" s="560"/>
      <c r="J481" s="560"/>
      <c r="K481" s="560"/>
      <c r="L481" s="451"/>
      <c r="M481" s="568"/>
      <c r="N481" s="560"/>
      <c r="X481" s="501" t="b">
        <f t="shared" si="19"/>
        <v>1</v>
      </c>
    </row>
    <row r="482" s="397" customFormat="1" outlineLevel="2" spans="1:24">
      <c r="A482" s="397" t="s">
        <v>2514</v>
      </c>
      <c r="B482" s="575" t="s">
        <v>2409</v>
      </c>
      <c r="C482" s="429" t="str">
        <f t="shared" si="39"/>
        <v>石嘴山市深阳蓝光市政工程有限公司</v>
      </c>
      <c r="D482" s="576" t="s">
        <v>2511</v>
      </c>
      <c r="E482" s="659" t="s">
        <v>2514</v>
      </c>
      <c r="F482" s="660"/>
      <c r="G482" s="560"/>
      <c r="H482" s="560"/>
      <c r="I482" s="560"/>
      <c r="J482" s="560"/>
      <c r="K482" s="560"/>
      <c r="L482" s="451"/>
      <c r="M482" s="568"/>
      <c r="N482" s="560"/>
      <c r="X482" s="501" t="b">
        <f t="shared" si="19"/>
        <v>1</v>
      </c>
    </row>
    <row r="483" s="397" customFormat="1" outlineLevel="2" spans="2:24">
      <c r="B483" s="575" t="s">
        <v>2409</v>
      </c>
      <c r="C483" s="429" t="str">
        <f t="shared" si="39"/>
        <v>石嘴山市深阳蓝光市政工程有限公司</v>
      </c>
      <c r="D483" s="616" t="s">
        <v>2515</v>
      </c>
      <c r="E483" s="487"/>
      <c r="F483" s="547"/>
      <c r="G483" s="560"/>
      <c r="H483" s="560"/>
      <c r="I483" s="560"/>
      <c r="J483" s="560"/>
      <c r="K483" s="560"/>
      <c r="L483" s="451"/>
      <c r="M483" s="568"/>
      <c r="N483" s="560"/>
      <c r="X483" s="501" t="b">
        <f t="shared" si="19"/>
        <v>1</v>
      </c>
    </row>
    <row r="484" s="397" customFormat="1" outlineLevel="2" spans="2:24">
      <c r="B484" s="575" t="s">
        <v>2409</v>
      </c>
      <c r="C484" s="429" t="str">
        <f t="shared" si="39"/>
        <v>石嘴山市深阳蓝光市政工程有限公司</v>
      </c>
      <c r="D484" s="576" t="s">
        <v>2511</v>
      </c>
      <c r="E484" s="487"/>
      <c r="F484" s="547"/>
      <c r="G484" s="560"/>
      <c r="H484" s="560"/>
      <c r="I484" s="560"/>
      <c r="J484" s="560"/>
      <c r="K484" s="560"/>
      <c r="L484" s="451"/>
      <c r="M484" s="568"/>
      <c r="N484" s="560"/>
      <c r="X484" s="501" t="b">
        <f t="shared" si="19"/>
        <v>1</v>
      </c>
    </row>
    <row r="485" s="397" customFormat="1" outlineLevel="2" spans="2:24">
      <c r="B485" s="575" t="s">
        <v>2409</v>
      </c>
      <c r="C485" s="429" t="str">
        <f t="shared" ref="C485:C548" si="41">$G$1</f>
        <v>石嘴山市深阳蓝光市政工程有限公司</v>
      </c>
      <c r="D485" s="616" t="s">
        <v>2515</v>
      </c>
      <c r="E485" s="487"/>
      <c r="F485" s="547"/>
      <c r="G485" s="560"/>
      <c r="H485" s="560"/>
      <c r="I485" s="560"/>
      <c r="J485" s="560"/>
      <c r="K485" s="560"/>
      <c r="L485" s="451"/>
      <c r="M485" s="568"/>
      <c r="N485" s="560"/>
      <c r="X485" s="501" t="b">
        <f t="shared" si="19"/>
        <v>1</v>
      </c>
    </row>
    <row r="486" s="397" customFormat="1" outlineLevel="2" spans="2:24">
      <c r="B486" s="575" t="s">
        <v>2409</v>
      </c>
      <c r="C486" s="429" t="str">
        <f t="shared" si="41"/>
        <v>石嘴山市深阳蓝光市政工程有限公司</v>
      </c>
      <c r="D486" s="576" t="s">
        <v>2511</v>
      </c>
      <c r="E486" s="487"/>
      <c r="F486" s="547"/>
      <c r="G486" s="560"/>
      <c r="H486" s="560"/>
      <c r="I486" s="560"/>
      <c r="J486" s="560"/>
      <c r="K486" s="560"/>
      <c r="L486" s="451"/>
      <c r="M486" s="568"/>
      <c r="N486" s="560"/>
      <c r="X486" s="501" t="b">
        <f t="shared" si="19"/>
        <v>1</v>
      </c>
    </row>
    <row r="487" s="397" customFormat="1" outlineLevel="2" spans="2:24">
      <c r="B487" s="575" t="s">
        <v>2409</v>
      </c>
      <c r="C487" s="429" t="str">
        <f t="shared" si="41"/>
        <v>石嘴山市深阳蓝光市政工程有限公司</v>
      </c>
      <c r="D487" s="616" t="s">
        <v>2515</v>
      </c>
      <c r="E487" s="487"/>
      <c r="F487" s="547"/>
      <c r="G487" s="560"/>
      <c r="H487" s="560"/>
      <c r="I487" s="560"/>
      <c r="J487" s="560"/>
      <c r="K487" s="560"/>
      <c r="L487" s="451"/>
      <c r="M487" s="568"/>
      <c r="N487" s="560"/>
      <c r="X487" s="501" t="b">
        <f t="shared" si="19"/>
        <v>1</v>
      </c>
    </row>
    <row r="488" s="397" customFormat="1" outlineLevel="2" spans="1:24">
      <c r="A488" s="397" t="s">
        <v>2516</v>
      </c>
      <c r="B488" s="575" t="s">
        <v>2409</v>
      </c>
      <c r="C488" s="429" t="str">
        <f t="shared" si="41"/>
        <v>石嘴山市深阳蓝光市政工程有限公司</v>
      </c>
      <c r="D488" s="576" t="s">
        <v>2511</v>
      </c>
      <c r="E488" s="466" t="s">
        <v>2516</v>
      </c>
      <c r="F488" s="534">
        <f>SUM(F482:F487)</f>
        <v>0</v>
      </c>
      <c r="G488" s="560"/>
      <c r="H488" s="560"/>
      <c r="I488" s="560"/>
      <c r="J488" s="560"/>
      <c r="K488" s="560"/>
      <c r="L488" s="451"/>
      <c r="M488" s="568"/>
      <c r="N488" s="560"/>
      <c r="X488" s="501" t="b">
        <f t="shared" si="19"/>
        <v>1</v>
      </c>
    </row>
    <row r="489" s="397" customFormat="1" outlineLevel="2" spans="1:24">
      <c r="A489" s="397" t="s">
        <v>2517</v>
      </c>
      <c r="B489" s="575" t="s">
        <v>2409</v>
      </c>
      <c r="C489" s="429" t="str">
        <f t="shared" si="41"/>
        <v>石嘴山市深阳蓝光市政工程有限公司</v>
      </c>
      <c r="D489" s="616" t="s">
        <v>2515</v>
      </c>
      <c r="E489" s="466" t="s">
        <v>2517</v>
      </c>
      <c r="F489" s="661"/>
      <c r="G489" s="560"/>
      <c r="H489" s="560"/>
      <c r="I489" s="560"/>
      <c r="J489" s="560"/>
      <c r="K489" s="560"/>
      <c r="L489" s="451"/>
      <c r="M489" s="568"/>
      <c r="N489" s="560"/>
      <c r="X489" s="501" t="b">
        <f t="shared" si="19"/>
        <v>1</v>
      </c>
    </row>
    <row r="490" s="397" customFormat="1" outlineLevel="2" spans="2:24">
      <c r="B490" s="575" t="s">
        <v>2409</v>
      </c>
      <c r="C490" s="429" t="str">
        <f t="shared" si="41"/>
        <v>石嘴山市深阳蓝光市政工程有限公司</v>
      </c>
      <c r="D490" s="576" t="s">
        <v>2511</v>
      </c>
      <c r="E490" s="487"/>
      <c r="F490" s="547"/>
      <c r="G490" s="560"/>
      <c r="H490" s="560"/>
      <c r="I490" s="560"/>
      <c r="J490" s="560"/>
      <c r="K490" s="560"/>
      <c r="L490" s="451"/>
      <c r="M490" s="568"/>
      <c r="N490" s="560"/>
      <c r="X490" s="501" t="b">
        <f t="shared" si="19"/>
        <v>1</v>
      </c>
    </row>
    <row r="491" s="397" customFormat="1" outlineLevel="2" spans="2:24">
      <c r="B491" s="575" t="s">
        <v>2409</v>
      </c>
      <c r="C491" s="429" t="str">
        <f t="shared" si="41"/>
        <v>石嘴山市深阳蓝光市政工程有限公司</v>
      </c>
      <c r="D491" s="616" t="s">
        <v>2515</v>
      </c>
      <c r="E491" s="487"/>
      <c r="F491" s="547"/>
      <c r="G491" s="560"/>
      <c r="H491" s="560"/>
      <c r="I491" s="560"/>
      <c r="J491" s="560"/>
      <c r="K491" s="560"/>
      <c r="L491" s="451"/>
      <c r="M491" s="568"/>
      <c r="N491" s="560"/>
      <c r="X491" s="501" t="b">
        <f t="shared" si="19"/>
        <v>1</v>
      </c>
    </row>
    <row r="492" s="397" customFormat="1" outlineLevel="2" spans="2:24">
      <c r="B492" s="575" t="s">
        <v>2409</v>
      </c>
      <c r="C492" s="429" t="str">
        <f t="shared" si="41"/>
        <v>石嘴山市深阳蓝光市政工程有限公司</v>
      </c>
      <c r="D492" s="576" t="s">
        <v>2511</v>
      </c>
      <c r="E492" s="487"/>
      <c r="F492" s="547"/>
      <c r="G492" s="560"/>
      <c r="H492" s="560"/>
      <c r="I492" s="560"/>
      <c r="J492" s="560"/>
      <c r="K492" s="560"/>
      <c r="L492" s="451"/>
      <c r="M492" s="568"/>
      <c r="N492" s="560"/>
      <c r="X492" s="501" t="b">
        <f t="shared" si="19"/>
        <v>1</v>
      </c>
    </row>
    <row r="493" s="397" customFormat="1" outlineLevel="2" spans="2:24">
      <c r="B493" s="575" t="s">
        <v>2409</v>
      </c>
      <c r="C493" s="429" t="str">
        <f t="shared" si="41"/>
        <v>石嘴山市深阳蓝光市政工程有限公司</v>
      </c>
      <c r="D493" s="616" t="s">
        <v>2515</v>
      </c>
      <c r="E493" s="487"/>
      <c r="F493" s="547"/>
      <c r="G493" s="560"/>
      <c r="H493" s="560"/>
      <c r="I493" s="560"/>
      <c r="J493" s="560"/>
      <c r="K493" s="560"/>
      <c r="L493" s="451"/>
      <c r="M493" s="568"/>
      <c r="N493" s="560"/>
      <c r="X493" s="501" t="b">
        <f t="shared" si="19"/>
        <v>1</v>
      </c>
    </row>
    <row r="494" s="397" customFormat="1" outlineLevel="2" spans="2:24">
      <c r="B494" s="575" t="s">
        <v>2409</v>
      </c>
      <c r="C494" s="429" t="str">
        <f t="shared" si="41"/>
        <v>石嘴山市深阳蓝光市政工程有限公司</v>
      </c>
      <c r="D494" s="576" t="s">
        <v>2511</v>
      </c>
      <c r="E494" s="487"/>
      <c r="F494" s="547"/>
      <c r="G494" s="560"/>
      <c r="H494" s="560"/>
      <c r="I494" s="560"/>
      <c r="J494" s="560"/>
      <c r="K494" s="560"/>
      <c r="L494" s="451"/>
      <c r="M494" s="568"/>
      <c r="N494" s="560"/>
      <c r="X494" s="501" t="b">
        <f t="shared" si="19"/>
        <v>1</v>
      </c>
    </row>
    <row r="495" s="397" customFormat="1" outlineLevel="2" spans="1:24">
      <c r="A495" s="397" t="s">
        <v>2518</v>
      </c>
      <c r="B495" s="575" t="s">
        <v>2409</v>
      </c>
      <c r="C495" s="429" t="str">
        <f t="shared" si="41"/>
        <v>石嘴山市深阳蓝光市政工程有限公司</v>
      </c>
      <c r="D495" s="616" t="s">
        <v>2515</v>
      </c>
      <c r="E495" s="466" t="s">
        <v>2518</v>
      </c>
      <c r="F495" s="534">
        <f>SUM(F490:F494)</f>
        <v>0</v>
      </c>
      <c r="G495" s="560"/>
      <c r="H495" s="560"/>
      <c r="I495" s="560"/>
      <c r="J495" s="560"/>
      <c r="K495" s="560"/>
      <c r="L495" s="451"/>
      <c r="M495" s="568"/>
      <c r="N495" s="560"/>
      <c r="X495" s="501" t="b">
        <f t="shared" si="19"/>
        <v>1</v>
      </c>
    </row>
    <row r="496" s="397" customFormat="1" outlineLevel="2" spans="2:24">
      <c r="B496" s="575" t="s">
        <v>2409</v>
      </c>
      <c r="C496" s="429" t="str">
        <f t="shared" si="41"/>
        <v>石嘴山市深阳蓝光市政工程有限公司</v>
      </c>
      <c r="D496" s="576" t="s">
        <v>2511</v>
      </c>
      <c r="E496" s="149"/>
      <c r="F496" s="560"/>
      <c r="G496" s="560"/>
      <c r="H496" s="560"/>
      <c r="I496" s="560"/>
      <c r="J496" s="560"/>
      <c r="K496" s="560"/>
      <c r="L496" s="451"/>
      <c r="M496" s="568"/>
      <c r="N496" s="560"/>
      <c r="X496" s="501" t="b">
        <f t="shared" si="19"/>
        <v>1</v>
      </c>
    </row>
    <row r="497" s="397" customFormat="1" outlineLevel="2" spans="2:24">
      <c r="B497" s="575" t="s">
        <v>2409</v>
      </c>
      <c r="C497" s="429" t="str">
        <f t="shared" si="41"/>
        <v>石嘴山市深阳蓝光市政工程有限公司</v>
      </c>
      <c r="D497" s="616"/>
      <c r="E497" s="149"/>
      <c r="F497" s="560"/>
      <c r="G497" s="560"/>
      <c r="H497" s="560"/>
      <c r="I497" s="560"/>
      <c r="J497" s="560"/>
      <c r="K497" s="560"/>
      <c r="L497" s="451"/>
      <c r="M497" s="568"/>
      <c r="N497" s="560"/>
      <c r="X497" s="501" t="b">
        <f t="shared" si="19"/>
        <v>1</v>
      </c>
    </row>
    <row r="498" s="397" customFormat="1" outlineLevel="2" spans="1:24">
      <c r="A498" s="397" t="s">
        <v>2315</v>
      </c>
      <c r="B498" s="428" t="s">
        <v>2409</v>
      </c>
      <c r="C498" s="429" t="str">
        <f t="shared" si="41"/>
        <v>石嘴山市深阳蓝光市政工程有限公司</v>
      </c>
      <c r="D498" s="641"/>
      <c r="E498" s="149" t="s">
        <v>2315</v>
      </c>
      <c r="F498" s="601"/>
      <c r="G498" s="560"/>
      <c r="H498" s="560"/>
      <c r="I498" s="560"/>
      <c r="J498" s="560"/>
      <c r="K498" s="560"/>
      <c r="L498" s="451"/>
      <c r="M498" s="568"/>
      <c r="N498" s="560"/>
      <c r="X498" s="501" t="b">
        <f t="shared" si="19"/>
        <v>1</v>
      </c>
    </row>
    <row r="499" s="397" customFormat="1" outlineLevel="2" spans="2:24">
      <c r="B499" s="428" t="s">
        <v>2409</v>
      </c>
      <c r="C499" s="429" t="str">
        <f t="shared" si="41"/>
        <v>石嘴山市深阳蓝光市政工程有限公司</v>
      </c>
      <c r="D499" s="641"/>
      <c r="E499" s="149"/>
      <c r="F499" s="560"/>
      <c r="G499" s="560"/>
      <c r="H499" s="560"/>
      <c r="I499" s="560"/>
      <c r="J499" s="560"/>
      <c r="K499" s="560"/>
      <c r="L499" s="451"/>
      <c r="M499" s="568"/>
      <c r="N499" s="560"/>
      <c r="X499" s="501" t="b">
        <f t="shared" ref="X499:X562" si="42">EXACT(A499,E499)</f>
        <v>1</v>
      </c>
    </row>
    <row r="500" s="398" customFormat="1" spans="1:24">
      <c r="A500" s="398" t="s">
        <v>1599</v>
      </c>
      <c r="B500" s="428" t="s">
        <v>2519</v>
      </c>
      <c r="C500" s="546" t="str">
        <f t="shared" si="41"/>
        <v>石嘴山市深阳蓝光市政工程有限公司</v>
      </c>
      <c r="D500" s="662" t="s">
        <v>2520</v>
      </c>
      <c r="E500" s="65" t="s">
        <v>2521</v>
      </c>
      <c r="F500" s="663"/>
      <c r="G500" s="663"/>
      <c r="H500" s="663"/>
      <c r="I500" s="663"/>
      <c r="J500" s="676"/>
      <c r="K500" s="676"/>
      <c r="L500" s="595" t="s">
        <v>2418</v>
      </c>
      <c r="M500" s="596"/>
      <c r="N500" s="676"/>
      <c r="O500" s="676"/>
      <c r="X500" s="501" t="b">
        <f t="shared" si="42"/>
        <v>1</v>
      </c>
    </row>
    <row r="501" s="398" customFormat="1" outlineLevel="2" spans="1:24">
      <c r="A501" s="398" t="s">
        <v>2412</v>
      </c>
      <c r="B501" s="428" t="s">
        <v>2519</v>
      </c>
      <c r="C501" s="429" t="str">
        <f t="shared" si="41"/>
        <v>石嘴山市深阳蓝光市政工程有限公司</v>
      </c>
      <c r="D501" s="662" t="s">
        <v>2520</v>
      </c>
      <c r="E501" s="664" t="s">
        <v>2412</v>
      </c>
      <c r="F501" s="664" t="s">
        <v>315</v>
      </c>
      <c r="G501" s="664" t="s">
        <v>2522</v>
      </c>
      <c r="H501" s="664" t="s">
        <v>1579</v>
      </c>
      <c r="I501" s="664" t="s">
        <v>2522</v>
      </c>
      <c r="J501" s="677" t="s">
        <v>2523</v>
      </c>
      <c r="K501" s="678" t="s">
        <v>2524</v>
      </c>
      <c r="L501" s="597" t="s">
        <v>2421</v>
      </c>
      <c r="M501" s="597" t="s">
        <v>2422</v>
      </c>
      <c r="N501" s="679"/>
      <c r="O501" s="679"/>
      <c r="X501" s="501" t="b">
        <f t="shared" si="42"/>
        <v>1</v>
      </c>
    </row>
    <row r="502" s="398" customFormat="1" outlineLevel="2" spans="1:24">
      <c r="A502" s="398" t="s">
        <v>1600</v>
      </c>
      <c r="B502" s="428" t="s">
        <v>2519</v>
      </c>
      <c r="C502" s="429" t="str">
        <f t="shared" si="41"/>
        <v>石嘴山市深阳蓝光市政工程有限公司</v>
      </c>
      <c r="D502" s="662" t="s">
        <v>2520</v>
      </c>
      <c r="E502" s="665" t="s">
        <v>2525</v>
      </c>
      <c r="F502" s="132"/>
      <c r="G502" s="666">
        <f>IF($F$506=0,0,ROUND(F502/$F$506,4))+L502</f>
        <v>0</v>
      </c>
      <c r="H502" s="477">
        <f>报表附注合并期初用!E226</f>
        <v>0</v>
      </c>
      <c r="I502" s="666">
        <f>IF($H$506=0,0,ROUND(H502/$H$506,4))+M502</f>
        <v>0</v>
      </c>
      <c r="J502" s="680"/>
      <c r="K502" s="681"/>
      <c r="L502" s="598"/>
      <c r="M502" s="598"/>
      <c r="N502" s="676"/>
      <c r="O502" s="676"/>
      <c r="X502" s="501" t="b">
        <f t="shared" si="42"/>
        <v>1</v>
      </c>
    </row>
    <row r="503" s="398" customFormat="1" outlineLevel="2" spans="1:24">
      <c r="A503" s="398" t="s">
        <v>1601</v>
      </c>
      <c r="B503" s="428" t="s">
        <v>2519</v>
      </c>
      <c r="C503" s="429" t="str">
        <f t="shared" si="41"/>
        <v>石嘴山市深阳蓝光市政工程有限公司</v>
      </c>
      <c r="D503" s="662" t="s">
        <v>2520</v>
      </c>
      <c r="E503" s="665" t="s">
        <v>2526</v>
      </c>
      <c r="F503" s="132"/>
      <c r="G503" s="666">
        <f>IF($F$506=0,0,ROUND(F503/$F$506,4))+L503</f>
        <v>0</v>
      </c>
      <c r="H503" s="477">
        <f>报表附注合并期初用!E227</f>
        <v>0</v>
      </c>
      <c r="I503" s="666">
        <f>IF($H$506=0,0,ROUND(H503/$H$506,4))+M503</f>
        <v>0</v>
      </c>
      <c r="J503" s="682" t="str">
        <f>IF(F503&lt;=H502,"合理","1-2年账不合理")</f>
        <v>合理</v>
      </c>
      <c r="K503" s="683"/>
      <c r="L503" s="598"/>
      <c r="M503" s="598"/>
      <c r="N503" s="676"/>
      <c r="O503" s="676"/>
      <c r="X503" s="501" t="b">
        <f t="shared" si="42"/>
        <v>1</v>
      </c>
    </row>
    <row r="504" s="398" customFormat="1" outlineLevel="2" spans="1:24">
      <c r="A504" s="398" t="s">
        <v>1602</v>
      </c>
      <c r="B504" s="428" t="s">
        <v>2519</v>
      </c>
      <c r="C504" s="429" t="str">
        <f t="shared" si="41"/>
        <v>石嘴山市深阳蓝光市政工程有限公司</v>
      </c>
      <c r="D504" s="662" t="s">
        <v>2520</v>
      </c>
      <c r="E504" s="665" t="s">
        <v>2527</v>
      </c>
      <c r="F504" s="132"/>
      <c r="G504" s="666">
        <f>IF($F$506=0,0,ROUND(F504/$F$506,4))+L504</f>
        <v>0</v>
      </c>
      <c r="H504" s="477">
        <f>报表附注合并期初用!E228</f>
        <v>0</v>
      </c>
      <c r="I504" s="666">
        <f>IF($H$506=0,0,ROUND(H504/$H$506,4))+M504</f>
        <v>0</v>
      </c>
      <c r="J504" s="682" t="str">
        <f>IF(F504&lt;=H503,"合理","2-3年账不合理")</f>
        <v>合理</v>
      </c>
      <c r="K504" s="683"/>
      <c r="L504" s="598"/>
      <c r="M504" s="598"/>
      <c r="N504" s="676"/>
      <c r="O504" s="676"/>
      <c r="X504" s="501" t="b">
        <f t="shared" si="42"/>
        <v>1</v>
      </c>
    </row>
    <row r="505" s="398" customFormat="1" outlineLevel="2" spans="1:24">
      <c r="A505" s="398" t="s">
        <v>1603</v>
      </c>
      <c r="B505" s="428" t="s">
        <v>2519</v>
      </c>
      <c r="C505" s="429" t="str">
        <f t="shared" si="41"/>
        <v>石嘴山市深阳蓝光市政工程有限公司</v>
      </c>
      <c r="D505" s="662" t="s">
        <v>2520</v>
      </c>
      <c r="E505" s="665" t="s">
        <v>2528</v>
      </c>
      <c r="F505" s="132"/>
      <c r="G505" s="666">
        <f>IF($F$506=0,0,ROUND(F505/$F$506,4))+L505</f>
        <v>0</v>
      </c>
      <c r="H505" s="477">
        <f>报表附注合并期初用!E229</f>
        <v>0</v>
      </c>
      <c r="I505" s="666">
        <f>IF($H$506=0,0,ROUND(H505/$H$506,4))+M505</f>
        <v>0</v>
      </c>
      <c r="J505" s="682" t="str">
        <f>IF(F505&lt;=(H504+H505),"合理","3年以上账龄不合理")</f>
        <v>合理</v>
      </c>
      <c r="K505" s="683"/>
      <c r="L505" s="598"/>
      <c r="M505" s="598"/>
      <c r="N505" s="676"/>
      <c r="O505" s="676"/>
      <c r="X505" s="501" t="b">
        <f t="shared" si="42"/>
        <v>1</v>
      </c>
    </row>
    <row r="506" s="398" customFormat="1" outlineLevel="2" spans="1:24">
      <c r="A506" s="398" t="s">
        <v>1580</v>
      </c>
      <c r="B506" s="428" t="s">
        <v>2519</v>
      </c>
      <c r="C506" s="429" t="str">
        <f t="shared" si="41"/>
        <v>石嘴山市深阳蓝光市政工程有限公司</v>
      </c>
      <c r="D506" s="662" t="s">
        <v>2520</v>
      </c>
      <c r="E506" s="664" t="s">
        <v>1580</v>
      </c>
      <c r="F506" s="667">
        <f>SUM(F502:F505)</f>
        <v>0</v>
      </c>
      <c r="G506" s="563">
        <f>ROUND(SUM(G502:G505),4)</f>
        <v>0</v>
      </c>
      <c r="H506" s="668">
        <f>SUM(H502:H505)</f>
        <v>0</v>
      </c>
      <c r="I506" s="563">
        <f>ROUND(SUM(I502:I505),4)</f>
        <v>0</v>
      </c>
      <c r="J506" s="676"/>
      <c r="K506" s="676"/>
      <c r="L506" s="676"/>
      <c r="M506" s="676"/>
      <c r="N506" s="676"/>
      <c r="O506" s="676"/>
      <c r="X506" s="501" t="b">
        <f t="shared" si="42"/>
        <v>1</v>
      </c>
    </row>
    <row r="507" s="398" customFormat="1" outlineLevel="2" spans="1:24">
      <c r="A507" s="398" t="s">
        <v>1444</v>
      </c>
      <c r="B507" s="428" t="s">
        <v>2519</v>
      </c>
      <c r="C507" s="429" t="str">
        <f t="shared" si="41"/>
        <v>石嘴山市深阳蓝光市政工程有限公司</v>
      </c>
      <c r="D507" s="662" t="s">
        <v>2520</v>
      </c>
      <c r="E507" s="669" t="s">
        <v>1444</v>
      </c>
      <c r="F507" s="670">
        <f>审定资负表!C11</f>
        <v>0</v>
      </c>
      <c r="G507" s="567" t="str">
        <f>IF(OR(报表附注!G506=100%,G506=0),"相符","比例合计不等于100%，请检查")</f>
        <v>相符</v>
      </c>
      <c r="H507" s="671">
        <f>审定资负表!D11</f>
        <v>0</v>
      </c>
      <c r="I507" s="567" t="str">
        <f>IF(OR(报表附注!I506=100%,I506=0),"相符","比例合计不等于100%，请检查")</f>
        <v>相符</v>
      </c>
      <c r="J507" s="676"/>
      <c r="K507" s="676"/>
      <c r="L507" s="676"/>
      <c r="M507" s="676"/>
      <c r="N507" s="676"/>
      <c r="O507" s="676"/>
      <c r="X507" s="501" t="b">
        <f t="shared" si="42"/>
        <v>1</v>
      </c>
    </row>
    <row r="508" s="398" customFormat="1" outlineLevel="1" spans="1:24">
      <c r="A508" s="398" t="s">
        <v>1394</v>
      </c>
      <c r="B508" s="428" t="s">
        <v>2519</v>
      </c>
      <c r="C508" s="429" t="str">
        <f t="shared" si="41"/>
        <v>石嘴山市深阳蓝光市政工程有限公司</v>
      </c>
      <c r="D508" s="662" t="s">
        <v>2520</v>
      </c>
      <c r="E508" s="669" t="s">
        <v>1394</v>
      </c>
      <c r="F508" s="87">
        <f>ROUND(F506-F507,2)</f>
        <v>0</v>
      </c>
      <c r="G508" s="672"/>
      <c r="H508" s="87">
        <f>ROUND(H506-H507,2)</f>
        <v>0</v>
      </c>
      <c r="I508" s="672"/>
      <c r="J508" s="676"/>
      <c r="K508" s="676"/>
      <c r="L508" s="676"/>
      <c r="M508" s="676"/>
      <c r="N508" s="676"/>
      <c r="O508" s="676"/>
      <c r="X508" s="501" t="b">
        <f t="shared" si="42"/>
        <v>1</v>
      </c>
    </row>
    <row r="509" s="398" customFormat="1" outlineLevel="2" spans="2:24">
      <c r="B509" s="428" t="s">
        <v>2519</v>
      </c>
      <c r="C509" s="429" t="str">
        <f t="shared" si="41"/>
        <v>石嘴山市深阳蓝光市政工程有限公司</v>
      </c>
      <c r="D509" s="662" t="s">
        <v>2520</v>
      </c>
      <c r="E509" s="663"/>
      <c r="F509" s="663"/>
      <c r="G509" s="663"/>
      <c r="H509" s="663"/>
      <c r="I509" s="663"/>
      <c r="J509" s="676"/>
      <c r="K509" s="676"/>
      <c r="L509" s="676"/>
      <c r="M509" s="676"/>
      <c r="N509" s="676"/>
      <c r="O509" s="676"/>
      <c r="X509" s="501" t="b">
        <f t="shared" si="42"/>
        <v>1</v>
      </c>
    </row>
    <row r="510" s="398" customFormat="1" outlineLevel="2" spans="1:24">
      <c r="A510" s="398" t="s">
        <v>2529</v>
      </c>
      <c r="B510" s="428" t="s">
        <v>2519</v>
      </c>
      <c r="C510" s="429" t="str">
        <f t="shared" si="41"/>
        <v>石嘴山市深阳蓝光市政工程有限公司</v>
      </c>
      <c r="D510" s="662" t="s">
        <v>2530</v>
      </c>
      <c r="E510" s="663" t="s">
        <v>2531</v>
      </c>
      <c r="F510" s="663"/>
      <c r="G510" s="663"/>
      <c r="H510" s="663"/>
      <c r="I510" s="663"/>
      <c r="J510" s="645" t="s">
        <v>2462</v>
      </c>
      <c r="K510" s="676"/>
      <c r="L510" s="676"/>
      <c r="M510" s="676"/>
      <c r="N510" s="676"/>
      <c r="O510" s="676"/>
      <c r="X510" s="501" t="b">
        <f t="shared" si="42"/>
        <v>0</v>
      </c>
    </row>
    <row r="511" s="398" customFormat="1" outlineLevel="2" spans="1:24">
      <c r="A511" s="398" t="s">
        <v>2532</v>
      </c>
      <c r="B511" s="428" t="s">
        <v>2519</v>
      </c>
      <c r="C511" s="429" t="str">
        <f t="shared" si="41"/>
        <v>石嘴山市深阳蓝光市政工程有限公司</v>
      </c>
      <c r="D511" s="673" t="s">
        <v>2530</v>
      </c>
      <c r="E511" s="664" t="s">
        <v>2532</v>
      </c>
      <c r="F511" s="664" t="s">
        <v>2440</v>
      </c>
      <c r="G511" s="664" t="s">
        <v>365</v>
      </c>
      <c r="H511" s="664" t="s">
        <v>2412</v>
      </c>
      <c r="I511" s="664" t="s">
        <v>2533</v>
      </c>
      <c r="J511" s="627"/>
      <c r="K511" s="676"/>
      <c r="L511" s="676"/>
      <c r="M511" s="676"/>
      <c r="N511" s="676"/>
      <c r="O511" s="676"/>
      <c r="X511" s="501" t="b">
        <f t="shared" si="42"/>
        <v>1</v>
      </c>
    </row>
    <row r="512" s="398" customFormat="1" outlineLevel="2" spans="2:24">
      <c r="B512" s="428" t="s">
        <v>2519</v>
      </c>
      <c r="C512" s="429" t="str">
        <f t="shared" si="41"/>
        <v>石嘴山市深阳蓝光市政工程有限公司</v>
      </c>
      <c r="D512" s="662" t="s">
        <v>2534</v>
      </c>
      <c r="E512" s="674"/>
      <c r="F512" s="674"/>
      <c r="G512" s="675"/>
      <c r="H512" s="674"/>
      <c r="I512" s="674"/>
      <c r="J512" s="676"/>
      <c r="K512" s="676"/>
      <c r="L512" s="676"/>
      <c r="M512" s="676"/>
      <c r="N512" s="676"/>
      <c r="O512" s="676"/>
      <c r="X512" s="501" t="b">
        <f t="shared" si="42"/>
        <v>1</v>
      </c>
    </row>
    <row r="513" s="398" customFormat="1" outlineLevel="2" spans="2:24">
      <c r="B513" s="428" t="s">
        <v>2519</v>
      </c>
      <c r="C513" s="429" t="str">
        <f t="shared" si="41"/>
        <v>石嘴山市深阳蓝光市政工程有限公司</v>
      </c>
      <c r="D513" s="662" t="s">
        <v>2534</v>
      </c>
      <c r="E513" s="674"/>
      <c r="F513" s="674"/>
      <c r="G513" s="675"/>
      <c r="H513" s="674"/>
      <c r="I513" s="674"/>
      <c r="J513" s="676"/>
      <c r="K513" s="676"/>
      <c r="L513" s="676"/>
      <c r="M513" s="676"/>
      <c r="N513" s="676"/>
      <c r="O513" s="676"/>
      <c r="X513" s="501" t="b">
        <f t="shared" si="42"/>
        <v>1</v>
      </c>
    </row>
    <row r="514" s="398" customFormat="1" outlineLevel="2" spans="2:24">
      <c r="B514" s="428" t="s">
        <v>2519</v>
      </c>
      <c r="C514" s="429" t="str">
        <f t="shared" si="41"/>
        <v>石嘴山市深阳蓝光市政工程有限公司</v>
      </c>
      <c r="D514" s="662" t="s">
        <v>2534</v>
      </c>
      <c r="E514" s="674"/>
      <c r="F514" s="674"/>
      <c r="G514" s="675"/>
      <c r="H514" s="674"/>
      <c r="I514" s="674"/>
      <c r="J514" s="676"/>
      <c r="K514" s="676"/>
      <c r="L514" s="676"/>
      <c r="M514" s="676"/>
      <c r="N514" s="676"/>
      <c r="O514" s="676"/>
      <c r="X514" s="501" t="b">
        <f t="shared" si="42"/>
        <v>1</v>
      </c>
    </row>
    <row r="515" s="398" customFormat="1" outlineLevel="2" spans="2:24">
      <c r="B515" s="428" t="s">
        <v>2519</v>
      </c>
      <c r="C515" s="429" t="str">
        <f t="shared" si="41"/>
        <v>石嘴山市深阳蓝光市政工程有限公司</v>
      </c>
      <c r="D515" s="662" t="s">
        <v>2534</v>
      </c>
      <c r="E515" s="674"/>
      <c r="F515" s="674"/>
      <c r="G515" s="675"/>
      <c r="H515" s="674"/>
      <c r="I515" s="674"/>
      <c r="J515" s="676"/>
      <c r="K515" s="676"/>
      <c r="L515" s="676"/>
      <c r="M515" s="676"/>
      <c r="N515" s="676"/>
      <c r="O515" s="676"/>
      <c r="X515" s="501" t="b">
        <f t="shared" si="42"/>
        <v>1</v>
      </c>
    </row>
    <row r="516" s="398" customFormat="1" outlineLevel="2" spans="2:24">
      <c r="B516" s="428" t="s">
        <v>2519</v>
      </c>
      <c r="C516" s="429" t="str">
        <f t="shared" si="41"/>
        <v>石嘴山市深阳蓝光市政工程有限公司</v>
      </c>
      <c r="D516" s="662" t="s">
        <v>2534</v>
      </c>
      <c r="E516" s="674"/>
      <c r="F516" s="674"/>
      <c r="G516" s="675"/>
      <c r="H516" s="674"/>
      <c r="I516" s="674"/>
      <c r="J516" s="676"/>
      <c r="K516" s="676"/>
      <c r="L516" s="676"/>
      <c r="M516" s="676"/>
      <c r="N516" s="676"/>
      <c r="O516" s="676"/>
      <c r="X516" s="501" t="b">
        <f t="shared" si="42"/>
        <v>1</v>
      </c>
    </row>
    <row r="517" s="398" customFormat="1" outlineLevel="2" spans="2:24">
      <c r="B517" s="428" t="s">
        <v>2519</v>
      </c>
      <c r="C517" s="429" t="str">
        <f t="shared" si="41"/>
        <v>石嘴山市深阳蓝光市政工程有限公司</v>
      </c>
      <c r="D517" s="662" t="s">
        <v>2534</v>
      </c>
      <c r="E517" s="674"/>
      <c r="F517" s="674"/>
      <c r="G517" s="675"/>
      <c r="H517" s="674"/>
      <c r="I517" s="674"/>
      <c r="J517" s="676"/>
      <c r="K517" s="676"/>
      <c r="L517" s="676"/>
      <c r="M517" s="676"/>
      <c r="N517" s="676"/>
      <c r="O517" s="676"/>
      <c r="X517" s="501" t="b">
        <f t="shared" si="42"/>
        <v>1</v>
      </c>
    </row>
    <row r="518" s="398" customFormat="1" outlineLevel="2" spans="2:24">
      <c r="B518" s="428" t="s">
        <v>2519</v>
      </c>
      <c r="C518" s="429" t="str">
        <f t="shared" si="41"/>
        <v>石嘴山市深阳蓝光市政工程有限公司</v>
      </c>
      <c r="D518" s="662" t="s">
        <v>2534</v>
      </c>
      <c r="E518" s="674"/>
      <c r="F518" s="674"/>
      <c r="G518" s="675"/>
      <c r="H518" s="674"/>
      <c r="I518" s="674"/>
      <c r="J518" s="676"/>
      <c r="K518" s="676"/>
      <c r="L518" s="676"/>
      <c r="M518" s="676"/>
      <c r="N518" s="676"/>
      <c r="O518" s="676"/>
      <c r="X518" s="501" t="b">
        <f t="shared" si="42"/>
        <v>1</v>
      </c>
    </row>
    <row r="519" s="398" customFormat="1" outlineLevel="2" spans="2:24">
      <c r="B519" s="428" t="s">
        <v>2519</v>
      </c>
      <c r="C519" s="429" t="str">
        <f t="shared" si="41"/>
        <v>石嘴山市深阳蓝光市政工程有限公司</v>
      </c>
      <c r="D519" s="662" t="s">
        <v>2534</v>
      </c>
      <c r="E519" s="674"/>
      <c r="F519" s="674"/>
      <c r="G519" s="675"/>
      <c r="H519" s="674"/>
      <c r="I519" s="674"/>
      <c r="J519" s="676"/>
      <c r="K519" s="676"/>
      <c r="L519" s="676"/>
      <c r="M519" s="676"/>
      <c r="N519" s="676"/>
      <c r="O519" s="676"/>
      <c r="X519" s="501" t="b">
        <f t="shared" si="42"/>
        <v>1</v>
      </c>
    </row>
    <row r="520" s="398" customFormat="1" outlineLevel="2" spans="2:24">
      <c r="B520" s="428" t="s">
        <v>2519</v>
      </c>
      <c r="C520" s="429" t="str">
        <f t="shared" si="41"/>
        <v>石嘴山市深阳蓝光市政工程有限公司</v>
      </c>
      <c r="D520" s="662" t="s">
        <v>2534</v>
      </c>
      <c r="E520" s="674"/>
      <c r="F520" s="674"/>
      <c r="G520" s="675"/>
      <c r="H520" s="674"/>
      <c r="I520" s="674"/>
      <c r="J520" s="676"/>
      <c r="K520" s="676"/>
      <c r="L520" s="676"/>
      <c r="M520" s="676"/>
      <c r="N520" s="676"/>
      <c r="O520" s="676"/>
      <c r="X520" s="501" t="b">
        <f t="shared" si="42"/>
        <v>1</v>
      </c>
    </row>
    <row r="521" s="398" customFormat="1" outlineLevel="2" spans="2:24">
      <c r="B521" s="428" t="s">
        <v>2519</v>
      </c>
      <c r="C521" s="429" t="str">
        <f t="shared" si="41"/>
        <v>石嘴山市深阳蓝光市政工程有限公司</v>
      </c>
      <c r="D521" s="662" t="s">
        <v>2534</v>
      </c>
      <c r="E521" s="674"/>
      <c r="F521" s="674"/>
      <c r="G521" s="675"/>
      <c r="H521" s="674"/>
      <c r="I521" s="674"/>
      <c r="J521" s="676"/>
      <c r="K521" s="676"/>
      <c r="L521" s="676"/>
      <c r="M521" s="676"/>
      <c r="N521" s="676"/>
      <c r="O521" s="676"/>
      <c r="X521" s="501" t="b">
        <f t="shared" si="42"/>
        <v>1</v>
      </c>
    </row>
    <row r="522" s="398" customFormat="1" outlineLevel="2" spans="2:24">
      <c r="B522" s="428" t="s">
        <v>2519</v>
      </c>
      <c r="C522" s="429" t="str">
        <f t="shared" si="41"/>
        <v>石嘴山市深阳蓝光市政工程有限公司</v>
      </c>
      <c r="D522" s="673" t="s">
        <v>2534</v>
      </c>
      <c r="E522" s="674"/>
      <c r="F522" s="674"/>
      <c r="G522" s="675"/>
      <c r="H522" s="674"/>
      <c r="I522" s="674"/>
      <c r="J522" s="676"/>
      <c r="K522" s="676"/>
      <c r="L522" s="676"/>
      <c r="M522" s="676"/>
      <c r="N522" s="676"/>
      <c r="O522" s="676"/>
      <c r="X522" s="501" t="b">
        <f t="shared" si="42"/>
        <v>1</v>
      </c>
    </row>
    <row r="523" s="398" customFormat="1" outlineLevel="2" spans="2:24">
      <c r="B523" s="428" t="s">
        <v>2519</v>
      </c>
      <c r="C523" s="429" t="str">
        <f t="shared" si="41"/>
        <v>石嘴山市深阳蓝光市政工程有限公司</v>
      </c>
      <c r="D523" s="662" t="s">
        <v>2534</v>
      </c>
      <c r="E523" s="674"/>
      <c r="F523" s="674"/>
      <c r="G523" s="675"/>
      <c r="H523" s="674"/>
      <c r="I523" s="674"/>
      <c r="J523" s="676"/>
      <c r="K523" s="676"/>
      <c r="L523" s="676"/>
      <c r="M523" s="676"/>
      <c r="N523" s="676"/>
      <c r="O523" s="676"/>
      <c r="X523" s="501" t="b">
        <f t="shared" si="42"/>
        <v>1</v>
      </c>
    </row>
    <row r="524" s="398" customFormat="1" outlineLevel="2" spans="2:24">
      <c r="B524" s="428" t="s">
        <v>2519</v>
      </c>
      <c r="C524" s="429" t="str">
        <f t="shared" si="41"/>
        <v>石嘴山市深阳蓝光市政工程有限公司</v>
      </c>
      <c r="D524" s="673" t="s">
        <v>2534</v>
      </c>
      <c r="E524" s="674"/>
      <c r="F524" s="674"/>
      <c r="G524" s="675"/>
      <c r="H524" s="674"/>
      <c r="I524" s="674"/>
      <c r="J524" s="676"/>
      <c r="K524" s="676"/>
      <c r="L524" s="676"/>
      <c r="M524" s="676"/>
      <c r="N524" s="676"/>
      <c r="O524" s="676"/>
      <c r="X524" s="501" t="b">
        <f t="shared" si="42"/>
        <v>1</v>
      </c>
    </row>
    <row r="525" s="398" customFormat="1" outlineLevel="2" spans="2:24">
      <c r="B525" s="428" t="s">
        <v>2519</v>
      </c>
      <c r="C525" s="429" t="str">
        <f t="shared" si="41"/>
        <v>石嘴山市深阳蓝光市政工程有限公司</v>
      </c>
      <c r="D525" s="662" t="s">
        <v>2534</v>
      </c>
      <c r="E525" s="674"/>
      <c r="F525" s="674"/>
      <c r="G525" s="675"/>
      <c r="H525" s="674"/>
      <c r="I525" s="674"/>
      <c r="J525" s="676"/>
      <c r="K525" s="676"/>
      <c r="L525" s="676"/>
      <c r="M525" s="676"/>
      <c r="N525" s="676"/>
      <c r="O525" s="676"/>
      <c r="X525" s="501" t="b">
        <f t="shared" si="42"/>
        <v>1</v>
      </c>
    </row>
    <row r="526" s="398" customFormat="1" outlineLevel="2" spans="2:24">
      <c r="B526" s="428" t="s">
        <v>2519</v>
      </c>
      <c r="C526" s="429" t="str">
        <f t="shared" si="41"/>
        <v>石嘴山市深阳蓝光市政工程有限公司</v>
      </c>
      <c r="D526" s="673" t="s">
        <v>2534</v>
      </c>
      <c r="E526" s="674"/>
      <c r="F526" s="674"/>
      <c r="G526" s="675"/>
      <c r="H526" s="674"/>
      <c r="I526" s="674"/>
      <c r="J526" s="676"/>
      <c r="K526" s="676"/>
      <c r="L526" s="676"/>
      <c r="M526" s="676"/>
      <c r="N526" s="676"/>
      <c r="O526" s="676"/>
      <c r="X526" s="501" t="b">
        <f t="shared" si="42"/>
        <v>1</v>
      </c>
    </row>
    <row r="527" s="398" customFormat="1" outlineLevel="2" spans="2:24">
      <c r="B527" s="428" t="s">
        <v>2519</v>
      </c>
      <c r="C527" s="429" t="str">
        <f t="shared" si="41"/>
        <v>石嘴山市深阳蓝光市政工程有限公司</v>
      </c>
      <c r="D527" s="662" t="s">
        <v>2534</v>
      </c>
      <c r="E527" s="674"/>
      <c r="F527" s="674"/>
      <c r="G527" s="675"/>
      <c r="H527" s="674"/>
      <c r="I527" s="674"/>
      <c r="J527" s="676"/>
      <c r="K527" s="676"/>
      <c r="L527" s="676"/>
      <c r="M527" s="676"/>
      <c r="N527" s="676"/>
      <c r="O527" s="676"/>
      <c r="X527" s="501" t="b">
        <f t="shared" si="42"/>
        <v>1</v>
      </c>
    </row>
    <row r="528" s="398" customFormat="1" outlineLevel="2" spans="2:24">
      <c r="B528" s="428" t="s">
        <v>2519</v>
      </c>
      <c r="C528" s="429" t="str">
        <f t="shared" si="41"/>
        <v>石嘴山市深阳蓝光市政工程有限公司</v>
      </c>
      <c r="D528" s="673" t="s">
        <v>2534</v>
      </c>
      <c r="E528" s="674"/>
      <c r="F528" s="674"/>
      <c r="G528" s="675"/>
      <c r="H528" s="674"/>
      <c r="I528" s="674"/>
      <c r="J528" s="676"/>
      <c r="K528" s="676"/>
      <c r="L528" s="676"/>
      <c r="M528" s="676"/>
      <c r="N528" s="676"/>
      <c r="O528" s="676"/>
      <c r="X528" s="501" t="b">
        <f t="shared" si="42"/>
        <v>1</v>
      </c>
    </row>
    <row r="529" s="398" customFormat="1" outlineLevel="2" spans="2:24">
      <c r="B529" s="428" t="s">
        <v>2519</v>
      </c>
      <c r="C529" s="429" t="str">
        <f t="shared" si="41"/>
        <v>石嘴山市深阳蓝光市政工程有限公司</v>
      </c>
      <c r="D529" s="662" t="s">
        <v>2534</v>
      </c>
      <c r="E529" s="674"/>
      <c r="F529" s="674"/>
      <c r="G529" s="675"/>
      <c r="H529" s="674"/>
      <c r="I529" s="674"/>
      <c r="J529" s="676"/>
      <c r="K529" s="676"/>
      <c r="L529" s="676"/>
      <c r="M529" s="676"/>
      <c r="N529" s="676"/>
      <c r="O529" s="676"/>
      <c r="X529" s="501" t="b">
        <f t="shared" si="42"/>
        <v>1</v>
      </c>
    </row>
    <row r="530" s="398" customFormat="1" outlineLevel="2" spans="1:24">
      <c r="A530" s="398" t="s">
        <v>1580</v>
      </c>
      <c r="B530" s="428" t="s">
        <v>2519</v>
      </c>
      <c r="C530" s="429" t="str">
        <f t="shared" si="41"/>
        <v>石嘴山市深阳蓝光市政工程有限公司</v>
      </c>
      <c r="D530" s="673" t="s">
        <v>2534</v>
      </c>
      <c r="E530" s="684" t="s">
        <v>1580</v>
      </c>
      <c r="F530" s="685"/>
      <c r="G530" s="686">
        <f>SUM(G512:G529)</f>
        <v>0</v>
      </c>
      <c r="H530" s="685"/>
      <c r="I530" s="685"/>
      <c r="J530" s="676"/>
      <c r="K530" s="676"/>
      <c r="L530" s="676"/>
      <c r="M530" s="676"/>
      <c r="N530" s="676"/>
      <c r="O530" s="676"/>
      <c r="X530" s="501" t="b">
        <f t="shared" si="42"/>
        <v>1</v>
      </c>
    </row>
    <row r="531" s="398" customFormat="1" outlineLevel="2" spans="2:24">
      <c r="B531" s="428" t="s">
        <v>2519</v>
      </c>
      <c r="C531" s="429" t="str">
        <f t="shared" si="41"/>
        <v>石嘴山市深阳蓝光市政工程有限公司</v>
      </c>
      <c r="D531" s="662" t="s">
        <v>2534</v>
      </c>
      <c r="E531" s="687"/>
      <c r="F531" s="687"/>
      <c r="G531" s="688"/>
      <c r="H531" s="687"/>
      <c r="I531" s="687"/>
      <c r="J531" s="676"/>
      <c r="K531" s="676"/>
      <c r="L531" s="676"/>
      <c r="M531" s="676"/>
      <c r="N531" s="676"/>
      <c r="O531" s="676"/>
      <c r="X531" s="501" t="b">
        <f t="shared" si="42"/>
        <v>1</v>
      </c>
    </row>
    <row r="532" s="398" customFormat="1" customHeight="1" outlineLevel="2" spans="1:24">
      <c r="A532" s="398" t="s">
        <v>2535</v>
      </c>
      <c r="B532" s="428" t="s">
        <v>2519</v>
      </c>
      <c r="C532" s="429" t="str">
        <f t="shared" si="41"/>
        <v>石嘴山市深阳蓝光市政工程有限公司</v>
      </c>
      <c r="D532" s="673" t="s">
        <v>2535</v>
      </c>
      <c r="E532" s="663" t="s">
        <v>2536</v>
      </c>
      <c r="F532" s="663"/>
      <c r="G532" s="663"/>
      <c r="H532" s="663"/>
      <c r="I532" s="663"/>
      <c r="J532" s="663"/>
      <c r="K532" s="663"/>
      <c r="L532" s="663"/>
      <c r="M532" s="676"/>
      <c r="N532" s="676"/>
      <c r="O532" s="676"/>
      <c r="X532" s="501" t="b">
        <f t="shared" si="42"/>
        <v>1</v>
      </c>
    </row>
    <row r="533" s="398" customFormat="1" customHeight="1" outlineLevel="2" spans="1:24">
      <c r="A533" s="398" t="s">
        <v>2036</v>
      </c>
      <c r="B533" s="428" t="s">
        <v>2519</v>
      </c>
      <c r="C533" s="429" t="str">
        <f t="shared" si="41"/>
        <v>石嘴山市深阳蓝光市政工程有限公司</v>
      </c>
      <c r="D533" s="673" t="s">
        <v>2535</v>
      </c>
      <c r="E533" s="561" t="s">
        <v>2036</v>
      </c>
      <c r="F533" s="561" t="s">
        <v>2496</v>
      </c>
      <c r="G533" s="561" t="s">
        <v>2497</v>
      </c>
      <c r="H533" s="561" t="s">
        <v>2498</v>
      </c>
      <c r="I533" s="561" t="s">
        <v>2497</v>
      </c>
      <c r="J533" s="663"/>
      <c r="K533" s="663"/>
      <c r="L533" s="663"/>
      <c r="M533" s="676"/>
      <c r="N533" s="676"/>
      <c r="O533" s="676"/>
      <c r="X533" s="501" t="b">
        <f t="shared" si="42"/>
        <v>1</v>
      </c>
    </row>
    <row r="534" s="398" customFormat="1" customHeight="1" outlineLevel="2" spans="2:24">
      <c r="B534" s="428" t="s">
        <v>2519</v>
      </c>
      <c r="C534" s="429" t="str">
        <f t="shared" si="41"/>
        <v>石嘴山市深阳蓝光市政工程有限公司</v>
      </c>
      <c r="D534" s="673" t="s">
        <v>2535</v>
      </c>
      <c r="E534" s="487"/>
      <c r="F534" s="487"/>
      <c r="G534" s="487"/>
      <c r="H534" s="487"/>
      <c r="I534" s="487"/>
      <c r="J534" s="663"/>
      <c r="K534" s="663"/>
      <c r="L534" s="663"/>
      <c r="M534" s="676"/>
      <c r="N534" s="676"/>
      <c r="O534" s="676"/>
      <c r="X534" s="501" t="b">
        <f t="shared" si="42"/>
        <v>1</v>
      </c>
    </row>
    <row r="535" s="398" customFormat="1" customHeight="1" outlineLevel="2" spans="2:24">
      <c r="B535" s="428" t="s">
        <v>2519</v>
      </c>
      <c r="C535" s="429" t="str">
        <f t="shared" si="41"/>
        <v>石嘴山市深阳蓝光市政工程有限公司</v>
      </c>
      <c r="D535" s="673" t="s">
        <v>2535</v>
      </c>
      <c r="E535" s="487"/>
      <c r="F535" s="642"/>
      <c r="G535" s="642"/>
      <c r="H535" s="642"/>
      <c r="I535" s="642"/>
      <c r="J535" s="663"/>
      <c r="K535" s="663"/>
      <c r="L535" s="663"/>
      <c r="M535" s="676"/>
      <c r="N535" s="676"/>
      <c r="O535" s="676"/>
      <c r="X535" s="501" t="b">
        <f t="shared" si="42"/>
        <v>1</v>
      </c>
    </row>
    <row r="536" s="398" customFormat="1" customHeight="1" outlineLevel="2" spans="2:24">
      <c r="B536" s="428" t="s">
        <v>2519</v>
      </c>
      <c r="C536" s="429" t="str">
        <f t="shared" si="41"/>
        <v>石嘴山市深阳蓝光市政工程有限公司</v>
      </c>
      <c r="D536" s="673" t="s">
        <v>2535</v>
      </c>
      <c r="E536" s="487"/>
      <c r="F536" s="642"/>
      <c r="G536" s="642"/>
      <c r="H536" s="642"/>
      <c r="I536" s="642"/>
      <c r="J536" s="663"/>
      <c r="K536" s="663"/>
      <c r="L536" s="663"/>
      <c r="M536" s="676"/>
      <c r="N536" s="676"/>
      <c r="O536" s="676"/>
      <c r="X536" s="501" t="b">
        <f t="shared" si="42"/>
        <v>1</v>
      </c>
    </row>
    <row r="537" s="398" customFormat="1" customHeight="1" outlineLevel="2" spans="2:24">
      <c r="B537" s="428" t="s">
        <v>2519</v>
      </c>
      <c r="C537" s="429" t="str">
        <f t="shared" si="41"/>
        <v>石嘴山市深阳蓝光市政工程有限公司</v>
      </c>
      <c r="D537" s="673" t="s">
        <v>2535</v>
      </c>
      <c r="E537" s="487"/>
      <c r="F537" s="642"/>
      <c r="G537" s="642"/>
      <c r="H537" s="642"/>
      <c r="I537" s="642"/>
      <c r="J537" s="663"/>
      <c r="K537" s="663"/>
      <c r="L537" s="663"/>
      <c r="M537" s="676"/>
      <c r="N537" s="676"/>
      <c r="O537" s="676"/>
      <c r="X537" s="501" t="b">
        <f t="shared" si="42"/>
        <v>1</v>
      </c>
    </row>
    <row r="538" s="398" customFormat="1" customHeight="1" outlineLevel="2" spans="2:24">
      <c r="B538" s="428" t="s">
        <v>2519</v>
      </c>
      <c r="C538" s="429" t="str">
        <f t="shared" si="41"/>
        <v>石嘴山市深阳蓝光市政工程有限公司</v>
      </c>
      <c r="D538" s="673" t="s">
        <v>2535</v>
      </c>
      <c r="E538" s="487"/>
      <c r="F538" s="642"/>
      <c r="G538" s="642"/>
      <c r="H538" s="642"/>
      <c r="I538" s="642"/>
      <c r="J538" s="663"/>
      <c r="K538" s="663"/>
      <c r="L538" s="663"/>
      <c r="M538" s="676"/>
      <c r="N538" s="676"/>
      <c r="O538" s="676"/>
      <c r="X538" s="501" t="b">
        <f t="shared" si="42"/>
        <v>1</v>
      </c>
    </row>
    <row r="539" s="398" customFormat="1" outlineLevel="2" spans="2:24">
      <c r="B539" s="428" t="s">
        <v>2519</v>
      </c>
      <c r="C539" s="429" t="str">
        <f t="shared" si="41"/>
        <v>石嘴山市深阳蓝光市政工程有限公司</v>
      </c>
      <c r="D539" s="673" t="s">
        <v>2535</v>
      </c>
      <c r="E539" s="487"/>
      <c r="F539" s="642"/>
      <c r="G539" s="642"/>
      <c r="H539" s="642"/>
      <c r="I539" s="642"/>
      <c r="J539" s="676"/>
      <c r="K539" s="676"/>
      <c r="L539" s="676"/>
      <c r="M539" s="676"/>
      <c r="N539" s="676"/>
      <c r="O539" s="676"/>
      <c r="X539" s="501" t="b">
        <f t="shared" si="42"/>
        <v>1</v>
      </c>
    </row>
    <row r="540" s="398" customFormat="1" outlineLevel="2" spans="2:24">
      <c r="B540" s="428" t="s">
        <v>2519</v>
      </c>
      <c r="C540" s="429" t="str">
        <f t="shared" si="41"/>
        <v>石嘴山市深阳蓝光市政工程有限公司</v>
      </c>
      <c r="D540" s="673" t="s">
        <v>2535</v>
      </c>
      <c r="E540" s="487"/>
      <c r="F540" s="642"/>
      <c r="G540" s="642"/>
      <c r="H540" s="642"/>
      <c r="I540" s="642"/>
      <c r="J540" s="676"/>
      <c r="K540" s="676"/>
      <c r="L540" s="676"/>
      <c r="M540" s="676"/>
      <c r="N540" s="676"/>
      <c r="O540" s="676"/>
      <c r="X540" s="501" t="b">
        <f t="shared" si="42"/>
        <v>1</v>
      </c>
    </row>
    <row r="541" s="398" customFormat="1" outlineLevel="2" spans="2:24">
      <c r="B541" s="428" t="s">
        <v>2519</v>
      </c>
      <c r="C541" s="429" t="str">
        <f t="shared" si="41"/>
        <v>石嘴山市深阳蓝光市政工程有限公司</v>
      </c>
      <c r="D541" s="673" t="s">
        <v>2535</v>
      </c>
      <c r="E541" s="487"/>
      <c r="F541" s="642"/>
      <c r="G541" s="642"/>
      <c r="H541" s="642"/>
      <c r="I541" s="642"/>
      <c r="J541" s="679"/>
      <c r="K541" s="679"/>
      <c r="L541" s="679"/>
      <c r="M541" s="676"/>
      <c r="N541" s="676"/>
      <c r="O541" s="676"/>
      <c r="X541" s="501" t="b">
        <f t="shared" si="42"/>
        <v>1</v>
      </c>
    </row>
    <row r="542" s="398" customFormat="1" outlineLevel="2" spans="2:24">
      <c r="B542" s="428" t="s">
        <v>2519</v>
      </c>
      <c r="C542" s="429" t="str">
        <f t="shared" si="41"/>
        <v>石嘴山市深阳蓝光市政工程有限公司</v>
      </c>
      <c r="D542" s="673" t="s">
        <v>2535</v>
      </c>
      <c r="E542" s="487"/>
      <c r="F542" s="642"/>
      <c r="G542" s="642"/>
      <c r="H542" s="642"/>
      <c r="I542" s="642"/>
      <c r="J542" s="676"/>
      <c r="K542" s="676"/>
      <c r="L542" s="676"/>
      <c r="M542" s="676"/>
      <c r="N542" s="676"/>
      <c r="O542" s="676"/>
      <c r="X542" s="501" t="b">
        <f t="shared" si="42"/>
        <v>1</v>
      </c>
    </row>
    <row r="543" s="398" customFormat="1" outlineLevel="2" spans="2:24">
      <c r="B543" s="428" t="s">
        <v>2519</v>
      </c>
      <c r="C543" s="429" t="str">
        <f t="shared" si="41"/>
        <v>石嘴山市深阳蓝光市政工程有限公司</v>
      </c>
      <c r="D543" s="673" t="s">
        <v>2535</v>
      </c>
      <c r="E543" s="487"/>
      <c r="F543" s="642"/>
      <c r="G543" s="642"/>
      <c r="H543" s="642"/>
      <c r="I543" s="642"/>
      <c r="J543" s="676"/>
      <c r="K543" s="676"/>
      <c r="L543" s="676"/>
      <c r="M543" s="676"/>
      <c r="N543" s="676"/>
      <c r="O543" s="676"/>
      <c r="X543" s="501" t="b">
        <f t="shared" si="42"/>
        <v>1</v>
      </c>
    </row>
    <row r="544" s="398" customFormat="1" outlineLevel="2" spans="1:24">
      <c r="A544" s="398" t="s">
        <v>2537</v>
      </c>
      <c r="B544" s="428" t="s">
        <v>2519</v>
      </c>
      <c r="C544" s="429" t="str">
        <f t="shared" si="41"/>
        <v>石嘴山市深阳蓝光市政工程有限公司</v>
      </c>
      <c r="D544" s="673" t="s">
        <v>2535</v>
      </c>
      <c r="E544" s="689" t="s">
        <v>2537</v>
      </c>
      <c r="F544" s="663"/>
      <c r="G544" s="663"/>
      <c r="H544" s="663"/>
      <c r="I544" s="663"/>
      <c r="J544" s="676"/>
      <c r="K544" s="676"/>
      <c r="L544" s="676"/>
      <c r="M544" s="676"/>
      <c r="N544" s="676"/>
      <c r="O544" s="676"/>
      <c r="X544" s="501" t="b">
        <f t="shared" si="42"/>
        <v>1</v>
      </c>
    </row>
    <row r="545" s="398" customFormat="1" outlineLevel="2" spans="1:24">
      <c r="A545" s="398" t="s">
        <v>2315</v>
      </c>
      <c r="B545" s="428" t="s">
        <v>2519</v>
      </c>
      <c r="C545" s="429" t="str">
        <f t="shared" si="41"/>
        <v>石嘴山市深阳蓝光市政工程有限公司</v>
      </c>
      <c r="D545" s="673" t="s">
        <v>2535</v>
      </c>
      <c r="E545" s="663" t="s">
        <v>2315</v>
      </c>
      <c r="F545" s="690"/>
      <c r="G545" s="690"/>
      <c r="H545" s="690"/>
      <c r="I545" s="690"/>
      <c r="J545" s="676"/>
      <c r="K545" s="676"/>
      <c r="L545" s="676"/>
      <c r="M545" s="676"/>
      <c r="N545" s="676"/>
      <c r="O545" s="676"/>
      <c r="X545" s="501" t="b">
        <f t="shared" si="42"/>
        <v>1</v>
      </c>
    </row>
    <row r="546" s="398" customFormat="1" outlineLevel="2" spans="2:24">
      <c r="B546" s="428" t="s">
        <v>2519</v>
      </c>
      <c r="C546" s="429" t="str">
        <f t="shared" si="41"/>
        <v>石嘴山市深阳蓝光市政工程有限公司</v>
      </c>
      <c r="D546" s="673" t="s">
        <v>2535</v>
      </c>
      <c r="E546" s="663"/>
      <c r="F546" s="663"/>
      <c r="G546" s="663"/>
      <c r="H546" s="663"/>
      <c r="I546" s="663"/>
      <c r="J546" s="676"/>
      <c r="K546" s="676"/>
      <c r="L546" s="676"/>
      <c r="M546" s="676"/>
      <c r="N546" s="676"/>
      <c r="O546" s="676"/>
      <c r="X546" s="501" t="b">
        <f t="shared" si="42"/>
        <v>1</v>
      </c>
    </row>
    <row r="547" s="398" customFormat="1" outlineLevel="2" spans="1:24">
      <c r="A547" s="398" t="s">
        <v>2538</v>
      </c>
      <c r="B547" s="428" t="s">
        <v>2519</v>
      </c>
      <c r="C547" s="429" t="str">
        <f t="shared" si="41"/>
        <v>石嘴山市深阳蓝光市政工程有限公司</v>
      </c>
      <c r="D547" s="662" t="s">
        <v>2539</v>
      </c>
      <c r="E547" s="663" t="s">
        <v>2540</v>
      </c>
      <c r="F547" s="663"/>
      <c r="G547" s="663"/>
      <c r="H547" s="663"/>
      <c r="I547" s="663"/>
      <c r="J547" s="676"/>
      <c r="K547" s="676"/>
      <c r="L547" s="676"/>
      <c r="M547" s="676"/>
      <c r="N547" s="676"/>
      <c r="O547" s="676"/>
      <c r="X547" s="501" t="b">
        <f t="shared" si="42"/>
        <v>1</v>
      </c>
    </row>
    <row r="548" s="397" customFormat="1" outlineLevel="2" spans="2:24">
      <c r="B548" s="428" t="s">
        <v>2519</v>
      </c>
      <c r="C548" s="429" t="str">
        <f t="shared" si="41"/>
        <v>石嘴山市深阳蓝光市政工程有限公司</v>
      </c>
      <c r="D548" s="641" t="s">
        <v>2539</v>
      </c>
      <c r="E548" s="149"/>
      <c r="F548" s="560"/>
      <c r="G548" s="560"/>
      <c r="H548" s="560"/>
      <c r="I548" s="560"/>
      <c r="K548" s="645" t="s">
        <v>2462</v>
      </c>
      <c r="L548" s="595" t="s">
        <v>2418</v>
      </c>
      <c r="M548" s="568"/>
      <c r="N548" s="560"/>
      <c r="X548" s="501" t="b">
        <f t="shared" si="42"/>
        <v>1</v>
      </c>
    </row>
    <row r="549" s="397" customFormat="1" outlineLevel="2" spans="1:24">
      <c r="A549" s="397" t="s">
        <v>2036</v>
      </c>
      <c r="B549" s="428" t="s">
        <v>2519</v>
      </c>
      <c r="C549" s="429" t="str">
        <f t="shared" ref="C549:C584" si="43">$G$1</f>
        <v>石嘴山市深阳蓝光市政工程有限公司</v>
      </c>
      <c r="D549" s="662" t="s">
        <v>2541</v>
      </c>
      <c r="E549" s="561" t="s">
        <v>2036</v>
      </c>
      <c r="F549" s="561" t="s">
        <v>2488</v>
      </c>
      <c r="G549" s="561" t="s">
        <v>365</v>
      </c>
      <c r="H549" s="561" t="s">
        <v>2542</v>
      </c>
      <c r="I549" s="561" t="s">
        <v>2543</v>
      </c>
      <c r="J549" s="561" t="s">
        <v>2533</v>
      </c>
      <c r="K549" s="561" t="s">
        <v>495</v>
      </c>
      <c r="L549" s="597" t="s">
        <v>2421</v>
      </c>
      <c r="M549" s="560"/>
      <c r="N549" s="451"/>
      <c r="O549" s="568"/>
      <c r="P549" s="560"/>
      <c r="X549" s="501" t="b">
        <f t="shared" si="42"/>
        <v>1</v>
      </c>
    </row>
    <row r="550" s="397" customFormat="1" outlineLevel="2" spans="2:24">
      <c r="B550" s="428" t="s">
        <v>2519</v>
      </c>
      <c r="C550" s="429" t="str">
        <f t="shared" si="43"/>
        <v>石嘴山市深阳蓝光市政工程有限公司</v>
      </c>
      <c r="D550" s="641" t="s">
        <v>2541</v>
      </c>
      <c r="E550" s="642"/>
      <c r="F550" s="642"/>
      <c r="G550" s="642"/>
      <c r="H550" s="642"/>
      <c r="I550" s="653">
        <f t="shared" ref="I550:I555" si="44">IF($F$506=0,0,ROUND(G550/$F$506,4))</f>
        <v>0</v>
      </c>
      <c r="J550" s="704"/>
      <c r="K550" s="642"/>
      <c r="L550" s="598"/>
      <c r="M550" s="560"/>
      <c r="N550" s="451"/>
      <c r="O550" s="568"/>
      <c r="P550" s="560"/>
      <c r="X550" s="501" t="b">
        <f t="shared" si="42"/>
        <v>1</v>
      </c>
    </row>
    <row r="551" s="397" customFormat="1" outlineLevel="2" spans="2:24">
      <c r="B551" s="428" t="s">
        <v>2519</v>
      </c>
      <c r="C551" s="429" t="str">
        <f t="shared" si="43"/>
        <v>石嘴山市深阳蓝光市政工程有限公司</v>
      </c>
      <c r="D551" s="662" t="s">
        <v>2541</v>
      </c>
      <c r="E551" s="642"/>
      <c r="F551" s="642"/>
      <c r="G551" s="642"/>
      <c r="H551" s="642"/>
      <c r="I551" s="653">
        <f t="shared" si="44"/>
        <v>0</v>
      </c>
      <c r="J551" s="704"/>
      <c r="K551" s="642"/>
      <c r="L551" s="598"/>
      <c r="M551" s="560"/>
      <c r="N551" s="451"/>
      <c r="O551" s="568"/>
      <c r="P551" s="560"/>
      <c r="X551" s="501" t="b">
        <f t="shared" si="42"/>
        <v>1</v>
      </c>
    </row>
    <row r="552" s="397" customFormat="1" outlineLevel="2" spans="2:24">
      <c r="B552" s="428" t="s">
        <v>2519</v>
      </c>
      <c r="C552" s="429" t="str">
        <f t="shared" si="43"/>
        <v>石嘴山市深阳蓝光市政工程有限公司</v>
      </c>
      <c r="D552" s="641" t="s">
        <v>2541</v>
      </c>
      <c r="E552" s="642"/>
      <c r="F552" s="642"/>
      <c r="G552" s="642"/>
      <c r="H552" s="642"/>
      <c r="I552" s="653">
        <f t="shared" si="44"/>
        <v>0</v>
      </c>
      <c r="J552" s="704"/>
      <c r="K552" s="642"/>
      <c r="L552" s="598"/>
      <c r="M552" s="560"/>
      <c r="N552" s="451"/>
      <c r="O552" s="568"/>
      <c r="P552" s="560"/>
      <c r="X552" s="501" t="b">
        <f t="shared" si="42"/>
        <v>1</v>
      </c>
    </row>
    <row r="553" s="397" customFormat="1" outlineLevel="2" spans="2:24">
      <c r="B553" s="428" t="s">
        <v>2519</v>
      </c>
      <c r="C553" s="429" t="str">
        <f t="shared" si="43"/>
        <v>石嘴山市深阳蓝光市政工程有限公司</v>
      </c>
      <c r="D553" s="662" t="s">
        <v>2541</v>
      </c>
      <c r="E553" s="642"/>
      <c r="F553" s="642"/>
      <c r="G553" s="642"/>
      <c r="H553" s="642"/>
      <c r="I553" s="653">
        <f t="shared" si="44"/>
        <v>0</v>
      </c>
      <c r="J553" s="704"/>
      <c r="K553" s="642"/>
      <c r="L553" s="598"/>
      <c r="M553" s="560"/>
      <c r="N553" s="451"/>
      <c r="O553" s="568"/>
      <c r="P553" s="560"/>
      <c r="X553" s="501" t="b">
        <f t="shared" si="42"/>
        <v>1</v>
      </c>
    </row>
    <row r="554" s="397" customFormat="1" outlineLevel="2" spans="2:24">
      <c r="B554" s="428" t="s">
        <v>2519</v>
      </c>
      <c r="C554" s="429" t="str">
        <f t="shared" si="43"/>
        <v>石嘴山市深阳蓝光市政工程有限公司</v>
      </c>
      <c r="D554" s="641" t="s">
        <v>2541</v>
      </c>
      <c r="E554" s="642"/>
      <c r="F554" s="642"/>
      <c r="G554" s="642"/>
      <c r="H554" s="642"/>
      <c r="I554" s="653">
        <f t="shared" si="44"/>
        <v>0</v>
      </c>
      <c r="J554" s="704"/>
      <c r="K554" s="642"/>
      <c r="L554" s="598"/>
      <c r="M554" s="560"/>
      <c r="N554" s="451"/>
      <c r="O554" s="568"/>
      <c r="P554" s="560"/>
      <c r="X554" s="501" t="b">
        <f t="shared" si="42"/>
        <v>1</v>
      </c>
    </row>
    <row r="555" s="397" customFormat="1" outlineLevel="2" spans="1:24">
      <c r="A555" s="397" t="s">
        <v>1580</v>
      </c>
      <c r="B555" s="428" t="s">
        <v>2519</v>
      </c>
      <c r="C555" s="429" t="str">
        <f t="shared" si="43"/>
        <v>石嘴山市深阳蓝光市政工程有限公司</v>
      </c>
      <c r="D555" s="662" t="s">
        <v>2541</v>
      </c>
      <c r="E555" s="561" t="s">
        <v>1580</v>
      </c>
      <c r="F555" s="561"/>
      <c r="G555" s="534">
        <f>SUM(G550:G554)</f>
        <v>0</v>
      </c>
      <c r="H555" s="603"/>
      <c r="I555" s="653">
        <f t="shared" si="44"/>
        <v>0</v>
      </c>
      <c r="J555" s="705"/>
      <c r="K555" s="603"/>
      <c r="L555" s="560"/>
      <c r="M555" s="560"/>
      <c r="N555" s="451"/>
      <c r="O555" s="568"/>
      <c r="P555" s="560"/>
      <c r="X555" s="501" t="b">
        <f t="shared" si="42"/>
        <v>1</v>
      </c>
    </row>
    <row r="556" s="398" customFormat="1" outlineLevel="2" spans="2:24">
      <c r="B556" s="428" t="s">
        <v>2519</v>
      </c>
      <c r="C556" s="429" t="str">
        <f t="shared" si="43"/>
        <v>石嘴山市深阳蓝光市政工程有限公司</v>
      </c>
      <c r="D556" s="641" t="s">
        <v>2541</v>
      </c>
      <c r="E556" s="663"/>
      <c r="F556" s="663"/>
      <c r="G556" s="663"/>
      <c r="H556" s="691" t="s">
        <v>2506</v>
      </c>
      <c r="I556" s="656">
        <f>SUM(I550:I554)-I555</f>
        <v>0</v>
      </c>
      <c r="J556" s="676"/>
      <c r="K556" s="676"/>
      <c r="L556" s="676"/>
      <c r="M556" s="676"/>
      <c r="N556" s="676"/>
      <c r="O556" s="676"/>
      <c r="X556" s="501" t="b">
        <f t="shared" si="42"/>
        <v>1</v>
      </c>
    </row>
    <row r="557" s="398" customFormat="1" outlineLevel="2" spans="1:24">
      <c r="A557" s="398" t="s">
        <v>2544</v>
      </c>
      <c r="B557" s="428" t="s">
        <v>2519</v>
      </c>
      <c r="C557" s="429" t="str">
        <f t="shared" si="43"/>
        <v>石嘴山市深阳蓝光市政工程有限公司</v>
      </c>
      <c r="D557" s="673" t="s">
        <v>2544</v>
      </c>
      <c r="E557" s="663" t="s">
        <v>2545</v>
      </c>
      <c r="F557" s="663"/>
      <c r="G557" s="663"/>
      <c r="H557" s="663"/>
      <c r="I557" s="663"/>
      <c r="J557" s="676"/>
      <c r="K557" s="676"/>
      <c r="L557" s="676"/>
      <c r="M557" s="676"/>
      <c r="N557" s="676"/>
      <c r="O557" s="676"/>
      <c r="X557" s="501" t="b">
        <f t="shared" si="42"/>
        <v>1</v>
      </c>
    </row>
    <row r="558" s="398" customFormat="1" outlineLevel="2" spans="1:24">
      <c r="A558" s="398" t="s">
        <v>2315</v>
      </c>
      <c r="B558" s="428" t="s">
        <v>2519</v>
      </c>
      <c r="C558" s="429" t="str">
        <f t="shared" si="43"/>
        <v>石嘴山市深阳蓝光市政工程有限公司</v>
      </c>
      <c r="D558" s="673" t="s">
        <v>2546</v>
      </c>
      <c r="E558" s="663" t="s">
        <v>2315</v>
      </c>
      <c r="F558" s="690"/>
      <c r="G558" s="690"/>
      <c r="H558" s="690"/>
      <c r="I558" s="690"/>
      <c r="J558" s="706"/>
      <c r="K558" s="706"/>
      <c r="L558" s="676"/>
      <c r="M558" s="676"/>
      <c r="N558" s="676"/>
      <c r="O558" s="676"/>
      <c r="X558" s="501" t="b">
        <f t="shared" si="42"/>
        <v>1</v>
      </c>
    </row>
    <row r="559" s="398" customFormat="1" outlineLevel="2" spans="1:24">
      <c r="A559" s="398" t="s">
        <v>2547</v>
      </c>
      <c r="B559" s="428" t="s">
        <v>2519</v>
      </c>
      <c r="C559" s="429" t="str">
        <f t="shared" si="43"/>
        <v>石嘴山市深阳蓝光市政工程有限公司</v>
      </c>
      <c r="D559" s="662" t="s">
        <v>2547</v>
      </c>
      <c r="E559" s="663" t="s">
        <v>2548</v>
      </c>
      <c r="F559" s="663"/>
      <c r="G559" s="663"/>
      <c r="H559" s="663"/>
      <c r="I559" s="663"/>
      <c r="J559" s="676"/>
      <c r="K559" s="676"/>
      <c r="L559" s="676"/>
      <c r="M559" s="676"/>
      <c r="N559" s="676"/>
      <c r="O559" s="676"/>
      <c r="X559" s="501" t="b">
        <f t="shared" si="42"/>
        <v>1</v>
      </c>
    </row>
    <row r="560" s="398" customFormat="1" outlineLevel="2" spans="1:24">
      <c r="A560" s="398" t="s">
        <v>2315</v>
      </c>
      <c r="B560" s="428" t="s">
        <v>2519</v>
      </c>
      <c r="C560" s="429" t="str">
        <f t="shared" si="43"/>
        <v>石嘴山市深阳蓝光市政工程有限公司</v>
      </c>
      <c r="D560" s="662" t="s">
        <v>2547</v>
      </c>
      <c r="E560" s="663" t="s">
        <v>2315</v>
      </c>
      <c r="F560" s="690"/>
      <c r="G560" s="690"/>
      <c r="H560" s="690"/>
      <c r="I560" s="690"/>
      <c r="J560" s="706"/>
      <c r="K560" s="706"/>
      <c r="L560" s="676"/>
      <c r="M560" s="676"/>
      <c r="N560" s="676"/>
      <c r="O560" s="676"/>
      <c r="X560" s="501" t="b">
        <f t="shared" si="42"/>
        <v>1</v>
      </c>
    </row>
    <row r="561" s="398" customFormat="1" outlineLevel="2" spans="2:24">
      <c r="B561" s="428" t="s">
        <v>2519</v>
      </c>
      <c r="C561" s="429" t="str">
        <f t="shared" si="43"/>
        <v>石嘴山市深阳蓝光市政工程有限公司</v>
      </c>
      <c r="D561" s="662" t="s">
        <v>2547</v>
      </c>
      <c r="E561" s="669"/>
      <c r="F561" s="692"/>
      <c r="G561" s="672"/>
      <c r="H561" s="693"/>
      <c r="I561" s="672"/>
      <c r="J561" s="676"/>
      <c r="K561" s="676"/>
      <c r="L561" s="676"/>
      <c r="M561" s="676"/>
      <c r="N561" s="676"/>
      <c r="O561" s="676"/>
      <c r="X561" s="501" t="b">
        <f t="shared" si="42"/>
        <v>1</v>
      </c>
    </row>
    <row r="562" s="399" customFormat="1" spans="1:24">
      <c r="A562" s="399" t="s">
        <v>1604</v>
      </c>
      <c r="B562" s="428" t="s">
        <v>2549</v>
      </c>
      <c r="C562" s="429" t="str">
        <f t="shared" si="43"/>
        <v>石嘴山市深阳蓝光市政工程有限公司</v>
      </c>
      <c r="D562" s="694" t="s">
        <v>2550</v>
      </c>
      <c r="E562" s="65" t="s">
        <v>2551</v>
      </c>
      <c r="F562" s="695"/>
      <c r="G562" s="695"/>
      <c r="H562" s="695"/>
      <c r="I562" s="695"/>
      <c r="J562" s="695"/>
      <c r="K562" s="695"/>
      <c r="L562" s="695"/>
      <c r="M562" s="695"/>
      <c r="X562" s="501" t="b">
        <f t="shared" si="42"/>
        <v>1</v>
      </c>
    </row>
    <row r="563" s="399" customFormat="1" ht="22.5" outlineLevel="2" spans="1:24">
      <c r="A563" s="399" t="s">
        <v>442</v>
      </c>
      <c r="B563" s="428" t="s">
        <v>2549</v>
      </c>
      <c r="C563" s="429" t="str">
        <f t="shared" si="43"/>
        <v>石嘴山市深阳蓝光市政工程有限公司</v>
      </c>
      <c r="D563" s="694" t="s">
        <v>2550</v>
      </c>
      <c r="E563" s="696" t="s">
        <v>442</v>
      </c>
      <c r="F563" s="696" t="s">
        <v>315</v>
      </c>
      <c r="G563" s="696"/>
      <c r="H563" s="696"/>
      <c r="I563" s="696"/>
      <c r="J563" s="696" t="s">
        <v>1579</v>
      </c>
      <c r="K563" s="696"/>
      <c r="L563" s="696"/>
      <c r="M563" s="696"/>
      <c r="N563" s="707" t="s">
        <v>2413</v>
      </c>
      <c r="O563" s="708" t="s">
        <v>2414</v>
      </c>
      <c r="P563" s="709" t="s">
        <v>2415</v>
      </c>
      <c r="Q563" s="713" t="s">
        <v>2416</v>
      </c>
      <c r="R563" s="709" t="s">
        <v>2417</v>
      </c>
      <c r="S563" s="595" t="s">
        <v>2418</v>
      </c>
      <c r="T563" s="596"/>
      <c r="X563" s="501" t="b">
        <f t="shared" ref="X563:X591" si="45">EXACT(A563,E563)</f>
        <v>1</v>
      </c>
    </row>
    <row r="564" s="399" customFormat="1" outlineLevel="2" spans="2:24">
      <c r="B564" s="428" t="s">
        <v>2549</v>
      </c>
      <c r="C564" s="429" t="str">
        <f t="shared" si="43"/>
        <v>石嘴山市深阳蓝光市政工程有限公司</v>
      </c>
      <c r="D564" s="694" t="s">
        <v>2550</v>
      </c>
      <c r="E564" s="696"/>
      <c r="F564" s="696" t="s">
        <v>2419</v>
      </c>
      <c r="G564" s="696" t="s">
        <v>444</v>
      </c>
      <c r="H564" s="696" t="s">
        <v>470</v>
      </c>
      <c r="I564" s="696" t="s">
        <v>2420</v>
      </c>
      <c r="J564" s="696" t="s">
        <v>2419</v>
      </c>
      <c r="K564" s="696" t="s">
        <v>444</v>
      </c>
      <c r="L564" s="696" t="s">
        <v>470</v>
      </c>
      <c r="M564" s="696" t="s">
        <v>2420</v>
      </c>
      <c r="N564" s="710"/>
      <c r="O564" s="711"/>
      <c r="P564" s="710"/>
      <c r="Q564" s="714"/>
      <c r="R564" s="710"/>
      <c r="S564" s="597" t="s">
        <v>2421</v>
      </c>
      <c r="T564" s="597" t="s">
        <v>2422</v>
      </c>
      <c r="X564" s="501" t="b">
        <f t="shared" si="45"/>
        <v>1</v>
      </c>
    </row>
    <row r="565" s="399" customFormat="1" outlineLevel="2" spans="1:24">
      <c r="A565" s="399" t="s">
        <v>1585</v>
      </c>
      <c r="B565" s="428" t="s">
        <v>2549</v>
      </c>
      <c r="C565" s="429" t="str">
        <f t="shared" si="43"/>
        <v>石嘴山市深阳蓝光市政工程有限公司</v>
      </c>
      <c r="D565" s="694" t="s">
        <v>2550</v>
      </c>
      <c r="E565" s="697" t="s">
        <v>2423</v>
      </c>
      <c r="F565" s="132"/>
      <c r="G565" s="563">
        <f t="shared" ref="G565:G570" si="46">IF($F$571=0,0,ROUND(F565/$F$571,4))+S565</f>
        <v>0</v>
      </c>
      <c r="H565" s="132"/>
      <c r="I565" s="563">
        <f>IFERROR(ROUND(H565/F565,4),0)</f>
        <v>0</v>
      </c>
      <c r="J565" s="477">
        <f>报表附注合并期初用!E240</f>
        <v>0</v>
      </c>
      <c r="K565" s="563">
        <f t="shared" ref="K565:K570" si="47">IF($J$571=0,0,ROUND(J565/$J$571,4))</f>
        <v>0</v>
      </c>
      <c r="L565" s="477">
        <f>报表附注合并期初用!E248</f>
        <v>0</v>
      </c>
      <c r="M565" s="563">
        <f>IFERROR(ROUND(L565/J565,4),0)</f>
        <v>0</v>
      </c>
      <c r="N565" s="625">
        <v>0.05</v>
      </c>
      <c r="O565" s="591"/>
      <c r="P565" s="593"/>
      <c r="Q565" s="608">
        <f>F565-K636</f>
        <v>0</v>
      </c>
      <c r="R565" s="609">
        <f t="shared" ref="R565:R570" si="48">ROUND(N565*Q565,2)</f>
        <v>0</v>
      </c>
      <c r="S565" s="598"/>
      <c r="T565" s="598"/>
      <c r="X565" s="501" t="b">
        <f t="shared" si="45"/>
        <v>1</v>
      </c>
    </row>
    <row r="566" s="399" customFormat="1" outlineLevel="2" spans="1:24">
      <c r="A566" s="399" t="s">
        <v>1586</v>
      </c>
      <c r="B566" s="428" t="s">
        <v>2549</v>
      </c>
      <c r="C566" s="429" t="str">
        <f t="shared" si="43"/>
        <v>石嘴山市深阳蓝光市政工程有限公司</v>
      </c>
      <c r="D566" s="694" t="s">
        <v>2550</v>
      </c>
      <c r="E566" s="697" t="s">
        <v>2424</v>
      </c>
      <c r="F566" s="132"/>
      <c r="G566" s="563">
        <f t="shared" si="46"/>
        <v>0</v>
      </c>
      <c r="H566" s="132"/>
      <c r="I566" s="563">
        <f t="shared" ref="I566:I571" si="49">IFERROR(ROUND(H566/F566,4),0)</f>
        <v>0</v>
      </c>
      <c r="J566" s="477">
        <f>报表附注合并期初用!E241</f>
        <v>0</v>
      </c>
      <c r="K566" s="563">
        <f t="shared" si="47"/>
        <v>0</v>
      </c>
      <c r="L566" s="477">
        <f>报表附注合并期初用!E249</f>
        <v>0</v>
      </c>
      <c r="M566" s="563">
        <f t="shared" ref="M566:M571" si="50">IFERROR(ROUND(L566/J566,4),0)</f>
        <v>0</v>
      </c>
      <c r="N566" s="625">
        <v>0.1</v>
      </c>
      <c r="O566" s="594" t="str">
        <f>IF(F566&lt;=J565,"合理","1-2年账不合理")</f>
        <v>合理</v>
      </c>
      <c r="P566" s="593"/>
      <c r="Q566" s="608">
        <f>F566-L636</f>
        <v>0</v>
      </c>
      <c r="R566" s="609">
        <f t="shared" si="48"/>
        <v>0</v>
      </c>
      <c r="S566" s="598"/>
      <c r="T566" s="598"/>
      <c r="X566" s="501" t="b">
        <f t="shared" si="45"/>
        <v>1</v>
      </c>
    </row>
    <row r="567" s="399" customFormat="1" outlineLevel="2" spans="1:24">
      <c r="A567" s="399" t="s">
        <v>1587</v>
      </c>
      <c r="B567" s="428" t="s">
        <v>2549</v>
      </c>
      <c r="C567" s="429" t="str">
        <f t="shared" si="43"/>
        <v>石嘴山市深阳蓝光市政工程有限公司</v>
      </c>
      <c r="D567" s="694" t="s">
        <v>2550</v>
      </c>
      <c r="E567" s="697" t="s">
        <v>2425</v>
      </c>
      <c r="F567" s="132"/>
      <c r="G567" s="563">
        <f t="shared" si="46"/>
        <v>0</v>
      </c>
      <c r="H567" s="132"/>
      <c r="I567" s="563">
        <f t="shared" si="49"/>
        <v>0</v>
      </c>
      <c r="J567" s="477">
        <f>报表附注合并期初用!E242</f>
        <v>0</v>
      </c>
      <c r="K567" s="563">
        <f t="shared" si="47"/>
        <v>0</v>
      </c>
      <c r="L567" s="477">
        <f>报表附注合并期初用!E250</f>
        <v>0</v>
      </c>
      <c r="M567" s="563">
        <f t="shared" si="50"/>
        <v>0</v>
      </c>
      <c r="N567" s="625">
        <v>0.3</v>
      </c>
      <c r="O567" s="594" t="str">
        <f>IF(F567&lt;=J566,"合理","2-3年账不合理")</f>
        <v>合理</v>
      </c>
      <c r="P567" s="593"/>
      <c r="Q567" s="608">
        <f>F567-M636</f>
        <v>0</v>
      </c>
      <c r="R567" s="609">
        <f t="shared" si="48"/>
        <v>0</v>
      </c>
      <c r="S567" s="598"/>
      <c r="T567" s="598"/>
      <c r="X567" s="501" t="b">
        <f t="shared" si="45"/>
        <v>1</v>
      </c>
    </row>
    <row r="568" s="399" customFormat="1" outlineLevel="2" spans="1:24">
      <c r="A568" s="399" t="s">
        <v>1588</v>
      </c>
      <c r="B568" s="428" t="s">
        <v>2549</v>
      </c>
      <c r="C568" s="429" t="str">
        <f t="shared" si="43"/>
        <v>石嘴山市深阳蓝光市政工程有限公司</v>
      </c>
      <c r="D568" s="694" t="s">
        <v>2550</v>
      </c>
      <c r="E568" s="697" t="s">
        <v>2426</v>
      </c>
      <c r="F568" s="132"/>
      <c r="G568" s="563">
        <f t="shared" si="46"/>
        <v>0</v>
      </c>
      <c r="H568" s="132"/>
      <c r="I568" s="563">
        <f t="shared" si="49"/>
        <v>0</v>
      </c>
      <c r="J568" s="477">
        <f>报表附注合并期初用!E243</f>
        <v>0</v>
      </c>
      <c r="K568" s="563">
        <f t="shared" si="47"/>
        <v>0</v>
      </c>
      <c r="L568" s="477">
        <f>报表附注合并期初用!E251</f>
        <v>0</v>
      </c>
      <c r="M568" s="563">
        <f t="shared" si="50"/>
        <v>0</v>
      </c>
      <c r="N568" s="625">
        <v>1</v>
      </c>
      <c r="O568" s="594" t="str">
        <f>IF(F568&lt;=J567+J568,"合理","3-4年账不合理")</f>
        <v>合理</v>
      </c>
      <c r="P568" s="593"/>
      <c r="Q568" s="608">
        <f>F568-N636</f>
        <v>0</v>
      </c>
      <c r="R568" s="609">
        <f t="shared" si="48"/>
        <v>0</v>
      </c>
      <c r="S568" s="598"/>
      <c r="T568" s="598"/>
      <c r="X568" s="501" t="b">
        <f t="shared" si="45"/>
        <v>1</v>
      </c>
    </row>
    <row r="569" s="399" customFormat="1" outlineLevel="2" spans="1:24">
      <c r="A569" s="399" t="s">
        <v>1589</v>
      </c>
      <c r="B569" s="428" t="s">
        <v>2549</v>
      </c>
      <c r="C569" s="429" t="str">
        <f t="shared" si="43"/>
        <v>石嘴山市深阳蓝光市政工程有限公司</v>
      </c>
      <c r="D569" s="694" t="s">
        <v>2550</v>
      </c>
      <c r="E569" s="697" t="s">
        <v>2427</v>
      </c>
      <c r="F569" s="698"/>
      <c r="G569" s="563">
        <f t="shared" si="46"/>
        <v>0</v>
      </c>
      <c r="H569" s="698"/>
      <c r="I569" s="563">
        <f t="shared" si="49"/>
        <v>0</v>
      </c>
      <c r="J569" s="477">
        <f>报表附注合并期初用!E244</f>
        <v>0</v>
      </c>
      <c r="K569" s="563">
        <f t="shared" si="47"/>
        <v>0</v>
      </c>
      <c r="L569" s="477">
        <f>报表附注合并期初用!E252</f>
        <v>0</v>
      </c>
      <c r="M569" s="563">
        <f t="shared" si="50"/>
        <v>0</v>
      </c>
      <c r="N569" s="593"/>
      <c r="O569" s="594" t="str">
        <f>IF(F569&lt;=J568,"合理","3-4年账龄不合理")</f>
        <v>合理</v>
      </c>
      <c r="P569" s="593"/>
      <c r="Q569" s="608">
        <f>F569-O636</f>
        <v>0</v>
      </c>
      <c r="R569" s="609">
        <f t="shared" si="48"/>
        <v>0</v>
      </c>
      <c r="S569" s="598"/>
      <c r="T569" s="598"/>
      <c r="X569" s="501" t="b">
        <f t="shared" si="45"/>
        <v>1</v>
      </c>
    </row>
    <row r="570" s="399" customFormat="1" outlineLevel="2" spans="1:24">
      <c r="A570" s="399" t="s">
        <v>1590</v>
      </c>
      <c r="B570" s="428" t="s">
        <v>2549</v>
      </c>
      <c r="C570" s="429" t="str">
        <f t="shared" si="43"/>
        <v>石嘴山市深阳蓝光市政工程有限公司</v>
      </c>
      <c r="D570" s="694" t="s">
        <v>2550</v>
      </c>
      <c r="E570" s="697" t="s">
        <v>2428</v>
      </c>
      <c r="F570" s="698"/>
      <c r="G570" s="563">
        <f t="shared" si="46"/>
        <v>0</v>
      </c>
      <c r="H570" s="698"/>
      <c r="I570" s="563">
        <f t="shared" si="49"/>
        <v>0</v>
      </c>
      <c r="J570" s="477">
        <f>报表附注合并期初用!E245</f>
        <v>0</v>
      </c>
      <c r="K570" s="563">
        <f t="shared" si="47"/>
        <v>0</v>
      </c>
      <c r="L570" s="477">
        <f>报表附注合并期初用!E253</f>
        <v>0</v>
      </c>
      <c r="M570" s="563">
        <f t="shared" si="50"/>
        <v>0</v>
      </c>
      <c r="N570" s="593"/>
      <c r="O570" s="594" t="str">
        <f>IF(F570&lt;=(J570+J569),"合理","5年以上账龄不合理")</f>
        <v>合理</v>
      </c>
      <c r="P570" s="593"/>
      <c r="Q570" s="608">
        <f>F570-P636</f>
        <v>0</v>
      </c>
      <c r="R570" s="609">
        <f t="shared" si="48"/>
        <v>0</v>
      </c>
      <c r="S570" s="598"/>
      <c r="T570" s="598"/>
      <c r="X570" s="501" t="b">
        <f t="shared" si="45"/>
        <v>1</v>
      </c>
    </row>
    <row r="571" s="399" customFormat="1" outlineLevel="2" spans="1:24">
      <c r="A571" s="399" t="s">
        <v>1580</v>
      </c>
      <c r="B571" s="428" t="s">
        <v>2549</v>
      </c>
      <c r="C571" s="429" t="str">
        <f t="shared" si="43"/>
        <v>石嘴山市深阳蓝光市政工程有限公司</v>
      </c>
      <c r="D571" s="694" t="s">
        <v>2550</v>
      </c>
      <c r="E571" s="696" t="s">
        <v>1580</v>
      </c>
      <c r="F571" s="699">
        <f t="shared" ref="F571:L571" si="51">SUM(F565:F570)</f>
        <v>0</v>
      </c>
      <c r="G571" s="563">
        <f t="shared" si="51"/>
        <v>0</v>
      </c>
      <c r="H571" s="565">
        <f t="shared" si="51"/>
        <v>0</v>
      </c>
      <c r="I571" s="563">
        <f t="shared" si="49"/>
        <v>0</v>
      </c>
      <c r="J571" s="565">
        <f t="shared" si="51"/>
        <v>0</v>
      </c>
      <c r="K571" s="563">
        <f t="shared" si="51"/>
        <v>0</v>
      </c>
      <c r="L571" s="565">
        <f t="shared" si="51"/>
        <v>0</v>
      </c>
      <c r="M571" s="563">
        <f t="shared" si="50"/>
        <v>0</v>
      </c>
      <c r="N571" s="397"/>
      <c r="O571" s="560"/>
      <c r="P571" s="397"/>
      <c r="Q571" s="590" t="s">
        <v>1580</v>
      </c>
      <c r="R571" s="609">
        <f>SUM(R565:R570)</f>
        <v>0</v>
      </c>
      <c r="X571" s="501" t="b">
        <f t="shared" si="45"/>
        <v>1</v>
      </c>
    </row>
    <row r="572" s="399" customFormat="1" outlineLevel="2" spans="1:24">
      <c r="A572" s="399" t="s">
        <v>1444</v>
      </c>
      <c r="B572" s="428" t="s">
        <v>2549</v>
      </c>
      <c r="C572" s="429" t="str">
        <f t="shared" si="43"/>
        <v>石嘴山市深阳蓝光市政工程有限公司</v>
      </c>
      <c r="D572" s="694" t="s">
        <v>2550</v>
      </c>
      <c r="E572" s="669" t="s">
        <v>1444</v>
      </c>
      <c r="F572" s="700">
        <f>审定资负表!C14</f>
        <v>0</v>
      </c>
      <c r="G572" s="567" t="str">
        <f>IF(OR(报表附注!G571=100%,G571=0),"相符","比例合计不等于100%，请检查")</f>
        <v>相符</v>
      </c>
      <c r="H572" s="451"/>
      <c r="I572" s="568"/>
      <c r="J572" s="566">
        <f>审定资负表!D14</f>
        <v>0</v>
      </c>
      <c r="K572" s="567" t="str">
        <f>IF(OR(报表附注!K571=100%,K571=0),"相符","比例合计不等于100%，请检查")</f>
        <v>相符</v>
      </c>
      <c r="L572" s="451"/>
      <c r="M572" s="568"/>
      <c r="P572" s="590" t="s">
        <v>2429</v>
      </c>
      <c r="Q572" s="588"/>
      <c r="R572" s="610" t="str">
        <f>IF((报表附注!H571-H636-报表附注!R571)&lt;&gt;0,"差异："&amp;(报表附注!H571-H636-报表附注!R571)&amp;"，不合理","合理")</f>
        <v>合理</v>
      </c>
      <c r="X572" s="501" t="b">
        <f t="shared" si="45"/>
        <v>1</v>
      </c>
    </row>
    <row r="573" s="399" customFormat="1" outlineLevel="1" spans="1:24">
      <c r="A573" s="399" t="s">
        <v>1394</v>
      </c>
      <c r="B573" s="428" t="s">
        <v>2549</v>
      </c>
      <c r="C573" s="429" t="str">
        <f t="shared" si="43"/>
        <v>石嘴山市深阳蓝光市政工程有限公司</v>
      </c>
      <c r="D573" s="694" t="s">
        <v>2550</v>
      </c>
      <c r="E573" s="669" t="s">
        <v>1394</v>
      </c>
      <c r="F573" s="87">
        <f>ROUND(F571-H571-F572,2)</f>
        <v>0</v>
      </c>
      <c r="G573" s="672"/>
      <c r="H573" s="451"/>
      <c r="I573" s="568"/>
      <c r="J573" s="87">
        <f>ROUND(J571-L571-J572,2)</f>
        <v>0</v>
      </c>
      <c r="K573" s="672"/>
      <c r="L573" s="451"/>
      <c r="M573" s="568"/>
      <c r="X573" s="501" t="b">
        <f t="shared" si="45"/>
        <v>1</v>
      </c>
    </row>
    <row r="574" s="399" customFormat="1" outlineLevel="2" spans="1:24">
      <c r="A574" s="399" t="s">
        <v>2430</v>
      </c>
      <c r="B574" s="428" t="s">
        <v>2549</v>
      </c>
      <c r="C574" s="429" t="str">
        <f t="shared" si="43"/>
        <v>石嘴山市深阳蓝光市政工程有限公司</v>
      </c>
      <c r="D574" s="701" t="s">
        <v>2430</v>
      </c>
      <c r="E574" s="702" t="s">
        <v>2430</v>
      </c>
      <c r="F574" s="703"/>
      <c r="G574" s="703"/>
      <c r="H574" s="703"/>
      <c r="I574" s="703"/>
      <c r="J574" s="703"/>
      <c r="K574" s="703"/>
      <c r="L574" s="703"/>
      <c r="M574" s="703"/>
      <c r="X574" s="501" t="b">
        <f t="shared" si="45"/>
        <v>1</v>
      </c>
    </row>
    <row r="575" s="399" customFormat="1" outlineLevel="2" spans="1:24">
      <c r="A575" s="399" t="s">
        <v>851</v>
      </c>
      <c r="B575" s="428" t="s">
        <v>2549</v>
      </c>
      <c r="C575" s="429" t="str">
        <f t="shared" si="43"/>
        <v>石嘴山市深阳蓝光市政工程有限公司</v>
      </c>
      <c r="D575" s="701" t="s">
        <v>2430</v>
      </c>
      <c r="E575" s="696" t="s">
        <v>851</v>
      </c>
      <c r="F575" s="696" t="s">
        <v>315</v>
      </c>
      <c r="G575" s="696"/>
      <c r="H575" s="696"/>
      <c r="I575" s="696"/>
      <c r="J575" s="696" t="s">
        <v>1579</v>
      </c>
      <c r="K575" s="696"/>
      <c r="L575" s="696"/>
      <c r="M575" s="696"/>
      <c r="X575" s="501" t="b">
        <f t="shared" si="45"/>
        <v>1</v>
      </c>
    </row>
    <row r="576" s="399" customFormat="1" customHeight="1" outlineLevel="2" spans="2:24">
      <c r="B576" s="428" t="s">
        <v>2549</v>
      </c>
      <c r="C576" s="429" t="str">
        <f t="shared" si="43"/>
        <v>石嘴山市深阳蓝光市政工程有限公司</v>
      </c>
      <c r="D576" s="701" t="s">
        <v>2430</v>
      </c>
      <c r="E576" s="696"/>
      <c r="F576" s="696" t="s">
        <v>365</v>
      </c>
      <c r="G576" s="696" t="s">
        <v>2552</v>
      </c>
      <c r="H576" s="696" t="s">
        <v>470</v>
      </c>
      <c r="I576" s="712" t="s">
        <v>2553</v>
      </c>
      <c r="J576" s="696" t="s">
        <v>365</v>
      </c>
      <c r="K576" s="696" t="s">
        <v>2552</v>
      </c>
      <c r="L576" s="696" t="s">
        <v>470</v>
      </c>
      <c r="M576" s="696" t="s">
        <v>2554</v>
      </c>
      <c r="N576" s="595" t="s">
        <v>2418</v>
      </c>
      <c r="O576" s="596"/>
      <c r="X576" s="501" t="b">
        <f t="shared" si="45"/>
        <v>1</v>
      </c>
    </row>
    <row r="577" s="399" customFormat="1" outlineLevel="2" spans="2:24">
      <c r="B577" s="428" t="s">
        <v>2549</v>
      </c>
      <c r="C577" s="429" t="str">
        <f t="shared" si="43"/>
        <v>石嘴山市深阳蓝光市政工程有限公司</v>
      </c>
      <c r="D577" s="701" t="s">
        <v>2430</v>
      </c>
      <c r="E577" s="696"/>
      <c r="F577" s="696"/>
      <c r="G577" s="696"/>
      <c r="H577" s="696"/>
      <c r="I577" s="696"/>
      <c r="J577" s="696"/>
      <c r="K577" s="696"/>
      <c r="L577" s="696"/>
      <c r="M577" s="696"/>
      <c r="N577" s="597" t="s">
        <v>2421</v>
      </c>
      <c r="O577" s="597" t="s">
        <v>2422</v>
      </c>
      <c r="X577" s="501" t="b">
        <f t="shared" si="45"/>
        <v>1</v>
      </c>
    </row>
    <row r="578" s="399" customFormat="1" outlineLevel="2" spans="1:24">
      <c r="A578" s="399" t="s">
        <v>461</v>
      </c>
      <c r="B578" s="428" t="s">
        <v>2549</v>
      </c>
      <c r="C578" s="429" t="str">
        <f t="shared" si="43"/>
        <v>石嘴山市深阳蓝光市政工程有限公司</v>
      </c>
      <c r="D578" s="701" t="s">
        <v>2430</v>
      </c>
      <c r="E578" s="715" t="s">
        <v>2555</v>
      </c>
      <c r="F578" s="477">
        <f>G590</f>
        <v>0</v>
      </c>
      <c r="G578" s="570">
        <f>IFERROR(ROUND(F578/$F$581,4),0)+N578</f>
        <v>0</v>
      </c>
      <c r="H578" s="477">
        <f>H590</f>
        <v>0</v>
      </c>
      <c r="I578" s="726">
        <f>IFERROR(ROUND(H578/F578,4),0)</f>
        <v>0</v>
      </c>
      <c r="J578" s="477">
        <f>报表附注合并期初用!E273</f>
        <v>0</v>
      </c>
      <c r="K578" s="570">
        <f>IFERROR(ROUND(J578/$J$581,4),0)+O578</f>
        <v>0</v>
      </c>
      <c r="L578" s="477">
        <f>报表附注合并期初用!E278</f>
        <v>0</v>
      </c>
      <c r="M578" s="726">
        <f>IFERROR(ROUND(L578/J578,4),0)</f>
        <v>0</v>
      </c>
      <c r="N578" s="598"/>
      <c r="O578" s="598"/>
      <c r="X578" s="501" t="b">
        <f t="shared" si="45"/>
        <v>0</v>
      </c>
    </row>
    <row r="579" s="399" customFormat="1" outlineLevel="2" spans="1:24">
      <c r="A579" s="399" t="s">
        <v>463</v>
      </c>
      <c r="B579" s="428" t="s">
        <v>2549</v>
      </c>
      <c r="C579" s="429" t="str">
        <f t="shared" si="43"/>
        <v>石嘴山市深阳蓝光市政工程有限公司</v>
      </c>
      <c r="D579" s="701" t="s">
        <v>2430</v>
      </c>
      <c r="E579" s="716" t="s">
        <v>2556</v>
      </c>
      <c r="F579" s="477">
        <f>F695</f>
        <v>0</v>
      </c>
      <c r="G579" s="570">
        <f>IFERROR(ROUND(F579/$F$581,4),0)+N579</f>
        <v>0</v>
      </c>
      <c r="H579" s="477">
        <f>H695</f>
        <v>0</v>
      </c>
      <c r="I579" s="726">
        <f>IFERROR(ROUND(H579/F579,4),0)</f>
        <v>0</v>
      </c>
      <c r="J579" s="477">
        <f>报表附注合并期初用!E274</f>
        <v>0</v>
      </c>
      <c r="K579" s="570">
        <f>IFERROR(ROUND(J579/$J$581,4),0)+O579</f>
        <v>0</v>
      </c>
      <c r="L579" s="477">
        <f>报表附注合并期初用!E279</f>
        <v>0</v>
      </c>
      <c r="M579" s="726">
        <f>IFERROR(ROUND(L579/J579,4),0)</f>
        <v>0</v>
      </c>
      <c r="N579" s="598"/>
      <c r="O579" s="598"/>
      <c r="X579" s="501" t="b">
        <f t="shared" si="45"/>
        <v>0</v>
      </c>
    </row>
    <row r="580" s="399" customFormat="1" outlineLevel="2" spans="1:24">
      <c r="A580" s="399" t="s">
        <v>465</v>
      </c>
      <c r="B580" s="428" t="s">
        <v>2549</v>
      </c>
      <c r="C580" s="429" t="str">
        <f t="shared" si="43"/>
        <v>石嘴山市深阳蓝光市政工程有限公司</v>
      </c>
      <c r="D580" s="701" t="s">
        <v>2430</v>
      </c>
      <c r="E580" s="716" t="s">
        <v>2557</v>
      </c>
      <c r="F580" s="477">
        <f>G614</f>
        <v>0</v>
      </c>
      <c r="G580" s="570">
        <f>IFERROR(ROUND(F580/$F$581,4),0)+N580</f>
        <v>0</v>
      </c>
      <c r="H580" s="477">
        <f>H614</f>
        <v>0</v>
      </c>
      <c r="I580" s="726">
        <f>IFERROR(ROUND(H580/F580,4),0)</f>
        <v>0</v>
      </c>
      <c r="J580" s="477">
        <f>报表附注合并期初用!E275</f>
        <v>0</v>
      </c>
      <c r="K580" s="570">
        <f>IFERROR(ROUND(J580/$J$581,4),0)+O580</f>
        <v>0</v>
      </c>
      <c r="L580" s="477">
        <f>报表附注合并期初用!E280</f>
        <v>0</v>
      </c>
      <c r="M580" s="726">
        <f>IFERROR(ROUND(L580/J580,4),0)</f>
        <v>0</v>
      </c>
      <c r="N580" s="598"/>
      <c r="O580" s="598"/>
      <c r="X580" s="501" t="b">
        <f t="shared" si="45"/>
        <v>0</v>
      </c>
    </row>
    <row r="581" s="399" customFormat="1" outlineLevel="2" spans="1:24">
      <c r="A581" s="399" t="s">
        <v>1580</v>
      </c>
      <c r="B581" s="428" t="s">
        <v>2549</v>
      </c>
      <c r="C581" s="429" t="str">
        <f t="shared" si="43"/>
        <v>石嘴山市深阳蓝光市政工程有限公司</v>
      </c>
      <c r="D581" s="701" t="s">
        <v>2430</v>
      </c>
      <c r="E581" s="696" t="s">
        <v>1580</v>
      </c>
      <c r="F581" s="565">
        <f>SUM(F578:F580)</f>
        <v>0</v>
      </c>
      <c r="G581" s="563">
        <f>SUM(G578:G580)</f>
        <v>0</v>
      </c>
      <c r="H581" s="565">
        <f>SUM(H578:H580)</f>
        <v>0</v>
      </c>
      <c r="I581" s="726">
        <f>IFERROR(ROUND(H581/F581,4),0)</f>
        <v>0</v>
      </c>
      <c r="J581" s="565">
        <f>SUM(J578:J580)</f>
        <v>0</v>
      </c>
      <c r="K581" s="563">
        <f>SUM(K578:K580)</f>
        <v>0</v>
      </c>
      <c r="L581" s="565">
        <f>SUM(L578:L580)</f>
        <v>0</v>
      </c>
      <c r="M581" s="726">
        <f>IFERROR(ROUND(L581/J581,4),0)</f>
        <v>0</v>
      </c>
      <c r="X581" s="501" t="b">
        <f t="shared" si="45"/>
        <v>1</v>
      </c>
    </row>
    <row r="582" s="399" customFormat="1" outlineLevel="2" spans="1:24">
      <c r="A582" s="399" t="s">
        <v>2431</v>
      </c>
      <c r="B582" s="428" t="s">
        <v>2549</v>
      </c>
      <c r="C582" s="429" t="str">
        <f t="shared" si="43"/>
        <v>石嘴山市深阳蓝光市政工程有限公司</v>
      </c>
      <c r="D582" s="701" t="s">
        <v>2430</v>
      </c>
      <c r="E582" s="717" t="s">
        <v>2431</v>
      </c>
      <c r="F582" s="718"/>
      <c r="G582" s="718"/>
      <c r="H582" s="718"/>
      <c r="I582" s="718"/>
      <c r="J582" s="718"/>
      <c r="K582" s="718"/>
      <c r="L582" s="718"/>
      <c r="M582" s="718"/>
      <c r="X582" s="501" t="b">
        <f t="shared" si="45"/>
        <v>1</v>
      </c>
    </row>
    <row r="583" s="399" customFormat="1" outlineLevel="2" spans="1:24">
      <c r="A583" s="399" t="s">
        <v>2315</v>
      </c>
      <c r="B583" s="428" t="s">
        <v>2549</v>
      </c>
      <c r="C583" s="429" t="str">
        <f t="shared" si="43"/>
        <v>石嘴山市深阳蓝光市政工程有限公司</v>
      </c>
      <c r="D583" s="701" t="s">
        <v>2430</v>
      </c>
      <c r="E583" s="718" t="s">
        <v>2315</v>
      </c>
      <c r="F583" s="471"/>
      <c r="G583" s="629"/>
      <c r="H583" s="719"/>
      <c r="I583" s="719"/>
      <c r="J583" s="719"/>
      <c r="K583" s="719"/>
      <c r="L583" s="719"/>
      <c r="M583" s="719"/>
      <c r="X583" s="501" t="b">
        <f t="shared" si="45"/>
        <v>1</v>
      </c>
    </row>
    <row r="584" s="397" customFormat="1" outlineLevel="2" spans="1:24">
      <c r="A584" s="397" t="s">
        <v>2558</v>
      </c>
      <c r="B584" s="428" t="s">
        <v>2549</v>
      </c>
      <c r="C584" s="429" t="str">
        <f t="shared" si="43"/>
        <v>石嘴山市深阳蓝光市政工程有限公司</v>
      </c>
      <c r="D584" s="701" t="s">
        <v>2430</v>
      </c>
      <c r="E584" s="720" t="s">
        <v>2558</v>
      </c>
      <c r="F584" s="721">
        <f>F571-F581</f>
        <v>0</v>
      </c>
      <c r="G584" s="567" t="str">
        <f>IF(OR(G581=100%,G581=0),"相符","比例合计不等于100%，请检查")</f>
        <v>相符</v>
      </c>
      <c r="H584" s="721">
        <f>H571-H581</f>
        <v>0</v>
      </c>
      <c r="I584" s="568"/>
      <c r="J584" s="721">
        <f>J571-J581</f>
        <v>0</v>
      </c>
      <c r="K584" s="567" t="str">
        <f>IF(OR(K581=100%,K581=0),"相符","比例合计不等于100%，请检查")</f>
        <v>相符</v>
      </c>
      <c r="L584" s="721">
        <f>L571-L581</f>
        <v>0</v>
      </c>
      <c r="M584" s="568"/>
      <c r="N584" s="560"/>
      <c r="X584" s="501" t="b">
        <f t="shared" si="45"/>
        <v>1</v>
      </c>
    </row>
    <row r="585" s="397" customFormat="1" ht="12.75" customHeight="1" outlineLevel="2" spans="2:24">
      <c r="B585" s="428"/>
      <c r="C585" s="479"/>
      <c r="D585" s="701"/>
      <c r="E585" s="720" t="s">
        <v>2559</v>
      </c>
      <c r="F585" s="721">
        <f>F578-G590</f>
        <v>0</v>
      </c>
      <c r="G585" s="568"/>
      <c r="H585" s="721">
        <f>H578-H590</f>
        <v>0</v>
      </c>
      <c r="I585" s="568"/>
      <c r="J585" s="721">
        <f>J578-G639</f>
        <v>0</v>
      </c>
      <c r="K585" s="568"/>
      <c r="L585" s="721">
        <f>L578-H639</f>
        <v>0</v>
      </c>
      <c r="M585" s="568"/>
      <c r="N585" s="560"/>
      <c r="X585" s="420"/>
    </row>
    <row r="586" s="397" customFormat="1" outlineLevel="2" spans="2:24">
      <c r="B586" s="428"/>
      <c r="C586" s="479"/>
      <c r="D586" s="701"/>
      <c r="E586" s="720" t="s">
        <v>2560</v>
      </c>
      <c r="F586" s="721">
        <f>F579-F695</f>
        <v>0</v>
      </c>
      <c r="G586" s="568"/>
      <c r="H586" s="721">
        <f>H579-H695</f>
        <v>0</v>
      </c>
      <c r="I586" s="568"/>
      <c r="J586" s="721">
        <f>J579-J695</f>
        <v>0</v>
      </c>
      <c r="K586" s="568"/>
      <c r="L586" s="721">
        <f>L579-L695</f>
        <v>0</v>
      </c>
      <c r="M586" s="568"/>
      <c r="N586" s="560"/>
      <c r="X586" s="420"/>
    </row>
    <row r="587" s="397" customFormat="1" outlineLevel="2" spans="2:24">
      <c r="B587" s="428"/>
      <c r="C587" s="479"/>
      <c r="D587" s="701"/>
      <c r="E587" s="720" t="s">
        <v>2561</v>
      </c>
      <c r="F587" s="721">
        <f>F580-G614</f>
        <v>0</v>
      </c>
      <c r="G587" s="568"/>
      <c r="H587" s="721">
        <f>H580-H614</f>
        <v>0</v>
      </c>
      <c r="I587" s="568"/>
      <c r="J587" s="721">
        <f>J580-G663</f>
        <v>0</v>
      </c>
      <c r="K587" s="568"/>
      <c r="L587" s="721">
        <f>L580-H663</f>
        <v>0</v>
      </c>
      <c r="M587" s="568"/>
      <c r="N587" s="560"/>
      <c r="X587" s="420"/>
    </row>
    <row r="588" s="397" customFormat="1" outlineLevel="2" spans="1:24">
      <c r="A588" s="397" t="s">
        <v>2437</v>
      </c>
      <c r="B588" s="428" t="s">
        <v>2409</v>
      </c>
      <c r="C588" s="429" t="str">
        <f>$G$1</f>
        <v>石嘴山市深阳蓝光市政工程有限公司</v>
      </c>
      <c r="D588" s="722" t="s">
        <v>2438</v>
      </c>
      <c r="E588" s="149" t="s">
        <v>2562</v>
      </c>
      <c r="F588" s="580"/>
      <c r="G588" s="568"/>
      <c r="H588" s="451"/>
      <c r="I588" s="568"/>
      <c r="J588" s="451"/>
      <c r="K588" s="568"/>
      <c r="L588" s="451"/>
      <c r="M588" s="568"/>
      <c r="N588" s="560"/>
      <c r="X588" s="501" t="b">
        <f t="shared" si="45"/>
        <v>0</v>
      </c>
    </row>
    <row r="589" s="397" customFormat="1" outlineLevel="2" spans="1:24">
      <c r="A589" s="397" t="s">
        <v>2036</v>
      </c>
      <c r="B589" s="428" t="s">
        <v>2409</v>
      </c>
      <c r="C589" s="429" t="str">
        <f>$G$1</f>
        <v>石嘴山市深阳蓝光市政工程有限公司</v>
      </c>
      <c r="D589" s="722" t="s">
        <v>2438</v>
      </c>
      <c r="E589" s="581" t="s">
        <v>2036</v>
      </c>
      <c r="F589" s="581" t="s">
        <v>2440</v>
      </c>
      <c r="G589" s="581" t="s">
        <v>1618</v>
      </c>
      <c r="H589" s="581" t="s">
        <v>2441</v>
      </c>
      <c r="I589" s="581" t="s">
        <v>2442</v>
      </c>
      <c r="J589" s="581" t="s">
        <v>2443</v>
      </c>
      <c r="K589" s="602" t="s">
        <v>1585</v>
      </c>
      <c r="L589" s="564" t="s">
        <v>2424</v>
      </c>
      <c r="M589" s="602" t="s">
        <v>1587</v>
      </c>
      <c r="N589" s="603" t="s">
        <v>2426</v>
      </c>
      <c r="O589" s="604" t="s">
        <v>2427</v>
      </c>
      <c r="P589" s="604" t="s">
        <v>2428</v>
      </c>
      <c r="Q589" s="604" t="s">
        <v>1556</v>
      </c>
      <c r="X589" s="501" t="b">
        <f t="shared" si="45"/>
        <v>1</v>
      </c>
    </row>
    <row r="590" s="397" customFormat="1" outlineLevel="2" spans="2:24">
      <c r="B590" s="428" t="s">
        <v>2409</v>
      </c>
      <c r="C590" s="429" t="str">
        <f>$G$1</f>
        <v>石嘴山市深阳蓝光市政工程有限公司</v>
      </c>
      <c r="D590" s="722" t="s">
        <v>2438</v>
      </c>
      <c r="E590" s="582" t="s">
        <v>2563</v>
      </c>
      <c r="F590" s="583"/>
      <c r="G590" s="584">
        <f>ROUND(SUM(G591:G613),2)</f>
        <v>0</v>
      </c>
      <c r="H590" s="584">
        <f>ROUND(SUM(H591:H613),2)</f>
        <v>0</v>
      </c>
      <c r="I590" s="605">
        <f>IFERROR(ROUND(H590/G590,4),0)</f>
        <v>0</v>
      </c>
      <c r="J590" s="606"/>
      <c r="K590" s="584">
        <f t="shared" ref="K590:P590" si="52">ROUND(SUM(K591:K613),2)</f>
        <v>0</v>
      </c>
      <c r="L590" s="584">
        <f t="shared" si="52"/>
        <v>0</v>
      </c>
      <c r="M590" s="584">
        <f t="shared" si="52"/>
        <v>0</v>
      </c>
      <c r="N590" s="584">
        <f t="shared" si="52"/>
        <v>0</v>
      </c>
      <c r="O590" s="584">
        <f t="shared" si="52"/>
        <v>0</v>
      </c>
      <c r="P590" s="584">
        <f t="shared" si="52"/>
        <v>0</v>
      </c>
      <c r="Q590" s="611" t="str">
        <f t="shared" ref="Q590:Q636" si="53">IF(ROUND(G590-K590-L590-M590-O590-P590-N590,2)=0,"正确","错误请核对")</f>
        <v>正确</v>
      </c>
      <c r="X590" s="501" t="b">
        <f t="shared" si="45"/>
        <v>0</v>
      </c>
    </row>
    <row r="591" s="397" customFormat="1" outlineLevel="2" spans="2:24">
      <c r="B591" s="428" t="s">
        <v>2409</v>
      </c>
      <c r="C591" s="429" t="str">
        <f>$G$1</f>
        <v>石嘴山市深阳蓝光市政工程有限公司</v>
      </c>
      <c r="D591" s="722" t="s">
        <v>2438</v>
      </c>
      <c r="E591" s="585"/>
      <c r="F591" s="586"/>
      <c r="G591" s="132"/>
      <c r="H591" s="454"/>
      <c r="I591" s="605">
        <f t="shared" ref="I591:I636" si="54">IFERROR(ROUND(H591/G591,4),0)</f>
        <v>0</v>
      </c>
      <c r="J591" s="587"/>
      <c r="K591" s="454"/>
      <c r="L591" s="454"/>
      <c r="M591" s="454"/>
      <c r="N591" s="454"/>
      <c r="O591" s="564"/>
      <c r="P591" s="564"/>
      <c r="Q591" s="611" t="str">
        <f t="shared" si="53"/>
        <v>正确</v>
      </c>
      <c r="X591" s="501" t="b">
        <f t="shared" si="45"/>
        <v>1</v>
      </c>
    </row>
    <row r="592" s="397" customFormat="1" outlineLevel="2" spans="2:24">
      <c r="B592" s="428"/>
      <c r="C592" s="479"/>
      <c r="D592" s="722"/>
      <c r="E592" s="585"/>
      <c r="F592" s="586"/>
      <c r="G592" s="132"/>
      <c r="H592" s="587"/>
      <c r="I592" s="605">
        <f t="shared" si="54"/>
        <v>0</v>
      </c>
      <c r="J592" s="587"/>
      <c r="K592" s="454"/>
      <c r="L592" s="454"/>
      <c r="M592" s="454"/>
      <c r="N592" s="454"/>
      <c r="O592" s="564"/>
      <c r="P592" s="564"/>
      <c r="Q592" s="611" t="str">
        <f t="shared" si="53"/>
        <v>正确</v>
      </c>
      <c r="X592" s="420"/>
    </row>
    <row r="593" s="397" customFormat="1" outlineLevel="2" spans="2:24">
      <c r="B593" s="428"/>
      <c r="C593" s="479"/>
      <c r="D593" s="722"/>
      <c r="E593" s="585"/>
      <c r="F593" s="586"/>
      <c r="G593" s="132"/>
      <c r="H593" s="587"/>
      <c r="I593" s="605">
        <f t="shared" si="54"/>
        <v>0</v>
      </c>
      <c r="J593" s="587"/>
      <c r="K593" s="454"/>
      <c r="L593" s="454"/>
      <c r="M593" s="454"/>
      <c r="N593" s="454"/>
      <c r="O593" s="564"/>
      <c r="P593" s="564"/>
      <c r="Q593" s="611" t="str">
        <f t="shared" si="53"/>
        <v>正确</v>
      </c>
      <c r="X593" s="420"/>
    </row>
    <row r="594" s="397" customFormat="1" outlineLevel="2" spans="2:24">
      <c r="B594" s="428"/>
      <c r="C594" s="479"/>
      <c r="D594" s="722"/>
      <c r="E594" s="585"/>
      <c r="F594" s="586"/>
      <c r="G594" s="132"/>
      <c r="H594" s="587"/>
      <c r="I594" s="605">
        <f t="shared" si="54"/>
        <v>0</v>
      </c>
      <c r="J594" s="587"/>
      <c r="K594" s="454"/>
      <c r="L594" s="454"/>
      <c r="M594" s="454"/>
      <c r="N594" s="454"/>
      <c r="O594" s="564"/>
      <c r="P594" s="564"/>
      <c r="Q594" s="611" t="str">
        <f t="shared" si="53"/>
        <v>正确</v>
      </c>
      <c r="X594" s="420"/>
    </row>
    <row r="595" s="397" customFormat="1" outlineLevel="2" spans="2:24">
      <c r="B595" s="428"/>
      <c r="C595" s="479"/>
      <c r="D595" s="722"/>
      <c r="E595" s="585"/>
      <c r="F595" s="586"/>
      <c r="G595" s="132"/>
      <c r="H595" s="587"/>
      <c r="I595" s="605">
        <f t="shared" si="54"/>
        <v>0</v>
      </c>
      <c r="J595" s="587"/>
      <c r="K595" s="454"/>
      <c r="L595" s="454"/>
      <c r="M595" s="454"/>
      <c r="N595" s="454"/>
      <c r="O595" s="564"/>
      <c r="P595" s="564"/>
      <c r="Q595" s="611" t="str">
        <f t="shared" si="53"/>
        <v>正确</v>
      </c>
      <c r="X595" s="420"/>
    </row>
    <row r="596" s="397" customFormat="1" outlineLevel="2" spans="2:24">
      <c r="B596" s="428" t="s">
        <v>2409</v>
      </c>
      <c r="C596" s="429" t="str">
        <f>$G$1</f>
        <v>石嘴山市深阳蓝光市政工程有限公司</v>
      </c>
      <c r="D596" s="722" t="s">
        <v>2438</v>
      </c>
      <c r="E596" s="585"/>
      <c r="F596" s="586"/>
      <c r="G596" s="132"/>
      <c r="H596" s="587"/>
      <c r="I596" s="605">
        <f t="shared" si="54"/>
        <v>0</v>
      </c>
      <c r="J596" s="587"/>
      <c r="K596" s="454"/>
      <c r="L596" s="454"/>
      <c r="M596" s="454"/>
      <c r="N596" s="454"/>
      <c r="O596" s="564"/>
      <c r="P596" s="564"/>
      <c r="Q596" s="611" t="str">
        <f t="shared" si="53"/>
        <v>正确</v>
      </c>
      <c r="X596" s="501" t="b">
        <f>EXACT(A596,E596)</f>
        <v>1</v>
      </c>
    </row>
    <row r="597" s="397" customFormat="1" outlineLevel="2" spans="2:24">
      <c r="B597" s="428"/>
      <c r="C597" s="479"/>
      <c r="D597" s="722"/>
      <c r="E597" s="585"/>
      <c r="F597" s="586"/>
      <c r="G597" s="132"/>
      <c r="H597" s="587"/>
      <c r="I597" s="605">
        <f t="shared" si="54"/>
        <v>0</v>
      </c>
      <c r="J597" s="587"/>
      <c r="K597" s="454"/>
      <c r="L597" s="454"/>
      <c r="M597" s="454"/>
      <c r="N597" s="454"/>
      <c r="O597" s="564"/>
      <c r="P597" s="564"/>
      <c r="Q597" s="611" t="str">
        <f t="shared" si="53"/>
        <v>正确</v>
      </c>
      <c r="X597" s="420"/>
    </row>
    <row r="598" s="397" customFormat="1" outlineLevel="2" spans="2:24">
      <c r="B598" s="428"/>
      <c r="C598" s="479"/>
      <c r="D598" s="722"/>
      <c r="E598" s="585"/>
      <c r="F598" s="586"/>
      <c r="G598" s="132"/>
      <c r="H598" s="587"/>
      <c r="I598" s="605">
        <f t="shared" si="54"/>
        <v>0</v>
      </c>
      <c r="J598" s="587"/>
      <c r="K598" s="454"/>
      <c r="L598" s="454"/>
      <c r="M598" s="454"/>
      <c r="N598" s="454"/>
      <c r="O598" s="564"/>
      <c r="P598" s="564"/>
      <c r="Q598" s="611" t="str">
        <f t="shared" si="53"/>
        <v>正确</v>
      </c>
      <c r="X598" s="420"/>
    </row>
    <row r="599" s="397" customFormat="1" outlineLevel="2" spans="2:24">
      <c r="B599" s="428"/>
      <c r="C599" s="479"/>
      <c r="D599" s="722"/>
      <c r="E599" s="585"/>
      <c r="F599" s="586"/>
      <c r="G599" s="132"/>
      <c r="H599" s="587"/>
      <c r="I599" s="605">
        <f t="shared" si="54"/>
        <v>0</v>
      </c>
      <c r="J599" s="587"/>
      <c r="K599" s="454"/>
      <c r="L599" s="454"/>
      <c r="M599" s="454"/>
      <c r="N599" s="454"/>
      <c r="O599" s="564"/>
      <c r="P599" s="564"/>
      <c r="Q599" s="611" t="str">
        <f t="shared" si="53"/>
        <v>正确</v>
      </c>
      <c r="X599" s="420"/>
    </row>
    <row r="600" s="397" customFormat="1" outlineLevel="2" spans="2:24">
      <c r="B600" s="428"/>
      <c r="C600" s="479"/>
      <c r="D600" s="722"/>
      <c r="E600" s="585"/>
      <c r="F600" s="586"/>
      <c r="G600" s="132"/>
      <c r="H600" s="587"/>
      <c r="I600" s="605">
        <f t="shared" si="54"/>
        <v>0</v>
      </c>
      <c r="J600" s="587"/>
      <c r="K600" s="454"/>
      <c r="L600" s="454"/>
      <c r="M600" s="454"/>
      <c r="N600" s="454"/>
      <c r="O600" s="564"/>
      <c r="P600" s="564"/>
      <c r="Q600" s="611" t="str">
        <f t="shared" si="53"/>
        <v>正确</v>
      </c>
      <c r="X600" s="420"/>
    </row>
    <row r="601" s="397" customFormat="1" outlineLevel="2" spans="2:24">
      <c r="B601" s="428"/>
      <c r="C601" s="479"/>
      <c r="D601" s="722"/>
      <c r="E601" s="585"/>
      <c r="F601" s="586"/>
      <c r="G601" s="132"/>
      <c r="H601" s="587"/>
      <c r="I601" s="605">
        <f t="shared" si="54"/>
        <v>0</v>
      </c>
      <c r="J601" s="587"/>
      <c r="K601" s="454"/>
      <c r="L601" s="454"/>
      <c r="M601" s="454"/>
      <c r="N601" s="454"/>
      <c r="O601" s="564"/>
      <c r="P601" s="564"/>
      <c r="Q601" s="611" t="str">
        <f t="shared" si="53"/>
        <v>正确</v>
      </c>
      <c r="X601" s="420"/>
    </row>
    <row r="602" s="397" customFormat="1" outlineLevel="2" spans="2:24">
      <c r="B602" s="428"/>
      <c r="C602" s="479"/>
      <c r="D602" s="722"/>
      <c r="E602" s="585"/>
      <c r="F602" s="586"/>
      <c r="G602" s="132"/>
      <c r="H602" s="587"/>
      <c r="I602" s="605">
        <f t="shared" si="54"/>
        <v>0</v>
      </c>
      <c r="J602" s="587"/>
      <c r="K602" s="454"/>
      <c r="L602" s="454"/>
      <c r="M602" s="454"/>
      <c r="N602" s="454"/>
      <c r="O602" s="564"/>
      <c r="P602" s="564"/>
      <c r="Q602" s="611" t="str">
        <f t="shared" si="53"/>
        <v>正确</v>
      </c>
      <c r="X602" s="420"/>
    </row>
    <row r="603" s="397" customFormat="1" outlineLevel="2" spans="2:24">
      <c r="B603" s="428"/>
      <c r="C603" s="479"/>
      <c r="D603" s="722"/>
      <c r="E603" s="585"/>
      <c r="F603" s="586"/>
      <c r="G603" s="132"/>
      <c r="H603" s="587"/>
      <c r="I603" s="605">
        <f t="shared" si="54"/>
        <v>0</v>
      </c>
      <c r="J603" s="587"/>
      <c r="K603" s="454"/>
      <c r="L603" s="454"/>
      <c r="M603" s="454"/>
      <c r="N603" s="454"/>
      <c r="O603" s="564"/>
      <c r="P603" s="564"/>
      <c r="Q603" s="611" t="str">
        <f t="shared" si="53"/>
        <v>正确</v>
      </c>
      <c r="X603" s="420"/>
    </row>
    <row r="604" s="397" customFormat="1" outlineLevel="2" spans="2:24">
      <c r="B604" s="428"/>
      <c r="C604" s="479"/>
      <c r="D604" s="722"/>
      <c r="E604" s="585"/>
      <c r="F604" s="586"/>
      <c r="G604" s="132"/>
      <c r="H604" s="587"/>
      <c r="I604" s="605">
        <f t="shared" si="54"/>
        <v>0</v>
      </c>
      <c r="J604" s="587"/>
      <c r="K604" s="454"/>
      <c r="L604" s="454"/>
      <c r="M604" s="454"/>
      <c r="N604" s="454"/>
      <c r="O604" s="564"/>
      <c r="P604" s="564"/>
      <c r="Q604" s="611" t="str">
        <f t="shared" si="53"/>
        <v>正确</v>
      </c>
      <c r="X604" s="420"/>
    </row>
    <row r="605" s="397" customFormat="1" outlineLevel="2" spans="2:24">
      <c r="B605" s="428"/>
      <c r="C605" s="479"/>
      <c r="D605" s="722"/>
      <c r="E605" s="585"/>
      <c r="F605" s="586"/>
      <c r="G605" s="132"/>
      <c r="H605" s="587"/>
      <c r="I605" s="605">
        <f t="shared" si="54"/>
        <v>0</v>
      </c>
      <c r="J605" s="587"/>
      <c r="K605" s="454"/>
      <c r="L605" s="454"/>
      <c r="M605" s="454"/>
      <c r="N605" s="454"/>
      <c r="O605" s="564"/>
      <c r="P605" s="564"/>
      <c r="Q605" s="611" t="str">
        <f t="shared" si="53"/>
        <v>正确</v>
      </c>
      <c r="X605" s="420"/>
    </row>
    <row r="606" s="397" customFormat="1" outlineLevel="2" spans="2:24">
      <c r="B606" s="428"/>
      <c r="C606" s="479"/>
      <c r="D606" s="722"/>
      <c r="E606" s="585"/>
      <c r="F606" s="586"/>
      <c r="G606" s="132"/>
      <c r="H606" s="587"/>
      <c r="I606" s="605">
        <f t="shared" si="54"/>
        <v>0</v>
      </c>
      <c r="J606" s="587"/>
      <c r="K606" s="454"/>
      <c r="L606" s="454"/>
      <c r="M606" s="454"/>
      <c r="N606" s="454"/>
      <c r="O606" s="564"/>
      <c r="P606" s="564"/>
      <c r="Q606" s="611" t="str">
        <f t="shared" si="53"/>
        <v>正确</v>
      </c>
      <c r="X606" s="420"/>
    </row>
    <row r="607" s="397" customFormat="1" outlineLevel="2" spans="2:24">
      <c r="B607" s="428"/>
      <c r="C607" s="479"/>
      <c r="D607" s="722"/>
      <c r="E607" s="585"/>
      <c r="F607" s="586"/>
      <c r="G607" s="132"/>
      <c r="H607" s="587"/>
      <c r="I607" s="605">
        <f t="shared" si="54"/>
        <v>0</v>
      </c>
      <c r="J607" s="587"/>
      <c r="K607" s="454"/>
      <c r="L607" s="454"/>
      <c r="M607" s="454"/>
      <c r="N607" s="454"/>
      <c r="O607" s="564"/>
      <c r="P607" s="564"/>
      <c r="Q607" s="611" t="str">
        <f t="shared" si="53"/>
        <v>正确</v>
      </c>
      <c r="X607" s="420"/>
    </row>
    <row r="608" s="397" customFormat="1" outlineLevel="2" spans="2:24">
      <c r="B608" s="428"/>
      <c r="C608" s="479"/>
      <c r="D608" s="722"/>
      <c r="E608" s="585"/>
      <c r="F608" s="586"/>
      <c r="G608" s="132"/>
      <c r="H608" s="587"/>
      <c r="I608" s="605">
        <f t="shared" si="54"/>
        <v>0</v>
      </c>
      <c r="J608" s="587"/>
      <c r="K608" s="454"/>
      <c r="L608" s="454"/>
      <c r="M608" s="454"/>
      <c r="N608" s="454"/>
      <c r="O608" s="564"/>
      <c r="P608" s="564"/>
      <c r="Q608" s="611" t="str">
        <f t="shared" si="53"/>
        <v>正确</v>
      </c>
      <c r="X608" s="420"/>
    </row>
    <row r="609" s="397" customFormat="1" outlineLevel="2" spans="2:24">
      <c r="B609" s="428"/>
      <c r="C609" s="479"/>
      <c r="D609" s="722"/>
      <c r="E609" s="585"/>
      <c r="F609" s="586"/>
      <c r="G609" s="132"/>
      <c r="H609" s="587"/>
      <c r="I609" s="605">
        <f t="shared" si="54"/>
        <v>0</v>
      </c>
      <c r="J609" s="587"/>
      <c r="K609" s="454"/>
      <c r="L609" s="454"/>
      <c r="M609" s="454"/>
      <c r="N609" s="454"/>
      <c r="O609" s="564"/>
      <c r="P609" s="564"/>
      <c r="Q609" s="611" t="str">
        <f t="shared" si="53"/>
        <v>正确</v>
      </c>
      <c r="X609" s="420"/>
    </row>
    <row r="610" s="397" customFormat="1" outlineLevel="2" spans="2:24">
      <c r="B610" s="428"/>
      <c r="C610" s="479"/>
      <c r="D610" s="722"/>
      <c r="E610" s="585"/>
      <c r="F610" s="586"/>
      <c r="G610" s="132"/>
      <c r="H610" s="587"/>
      <c r="I610" s="605">
        <f t="shared" si="54"/>
        <v>0</v>
      </c>
      <c r="J610" s="587"/>
      <c r="K610" s="454"/>
      <c r="L610" s="454"/>
      <c r="M610" s="454"/>
      <c r="N610" s="454"/>
      <c r="O610" s="564"/>
      <c r="P610" s="564"/>
      <c r="Q610" s="611" t="str">
        <f t="shared" si="53"/>
        <v>正确</v>
      </c>
      <c r="X610" s="420"/>
    </row>
    <row r="611" s="397" customFormat="1" outlineLevel="2" spans="2:24">
      <c r="B611" s="428"/>
      <c r="C611" s="479"/>
      <c r="D611" s="722"/>
      <c r="E611" s="585"/>
      <c r="F611" s="586"/>
      <c r="G611" s="132"/>
      <c r="H611" s="587"/>
      <c r="I611" s="605">
        <f t="shared" si="54"/>
        <v>0</v>
      </c>
      <c r="J611" s="587"/>
      <c r="K611" s="454"/>
      <c r="L611" s="454"/>
      <c r="M611" s="454"/>
      <c r="N611" s="454"/>
      <c r="O611" s="564"/>
      <c r="P611" s="564"/>
      <c r="Q611" s="611" t="str">
        <f t="shared" si="53"/>
        <v>正确</v>
      </c>
      <c r="X611" s="420"/>
    </row>
    <row r="612" s="397" customFormat="1" outlineLevel="2" spans="2:24">
      <c r="B612" s="428"/>
      <c r="C612" s="479"/>
      <c r="D612" s="722"/>
      <c r="E612" s="585"/>
      <c r="F612" s="586"/>
      <c r="G612" s="132"/>
      <c r="H612" s="587"/>
      <c r="I612" s="605">
        <f t="shared" si="54"/>
        <v>0</v>
      </c>
      <c r="J612" s="587"/>
      <c r="K612" s="454"/>
      <c r="L612" s="454"/>
      <c r="M612" s="454"/>
      <c r="N612" s="454"/>
      <c r="O612" s="564"/>
      <c r="P612" s="564"/>
      <c r="Q612" s="611" t="str">
        <f t="shared" si="53"/>
        <v>正确</v>
      </c>
      <c r="X612" s="420"/>
    </row>
    <row r="613" s="397" customFormat="1" outlineLevel="2" spans="2:24">
      <c r="B613" s="428"/>
      <c r="C613" s="479"/>
      <c r="D613" s="722"/>
      <c r="E613" s="585"/>
      <c r="F613" s="586"/>
      <c r="G613" s="132"/>
      <c r="H613" s="587"/>
      <c r="I613" s="605">
        <f t="shared" si="54"/>
        <v>0</v>
      </c>
      <c r="J613" s="587"/>
      <c r="K613" s="454"/>
      <c r="L613" s="454"/>
      <c r="M613" s="454"/>
      <c r="N613" s="454"/>
      <c r="O613" s="564"/>
      <c r="P613" s="564"/>
      <c r="Q613" s="611" t="str">
        <f t="shared" si="53"/>
        <v>正确</v>
      </c>
      <c r="X613" s="420"/>
    </row>
    <row r="614" s="397" customFormat="1" outlineLevel="2" spans="2:24">
      <c r="B614" s="428" t="s">
        <v>2409</v>
      </c>
      <c r="C614" s="429" t="str">
        <f>$G$1</f>
        <v>石嘴山市深阳蓝光市政工程有限公司</v>
      </c>
      <c r="D614" s="722" t="s">
        <v>2438</v>
      </c>
      <c r="E614" s="723" t="s">
        <v>2564</v>
      </c>
      <c r="F614" s="583"/>
      <c r="G614" s="584">
        <f>ROUND(SUM(G615:G635),2)</f>
        <v>0</v>
      </c>
      <c r="H614" s="724">
        <f>ROUND(SUM(H615:H635),2)</f>
        <v>0</v>
      </c>
      <c r="I614" s="605">
        <f t="shared" si="54"/>
        <v>0</v>
      </c>
      <c r="J614" s="584">
        <f t="shared" ref="J614:P614" si="55">ROUND(SUM(J615:J635),2)</f>
        <v>0</v>
      </c>
      <c r="K614" s="584">
        <f t="shared" si="55"/>
        <v>0</v>
      </c>
      <c r="L614" s="584">
        <f t="shared" si="55"/>
        <v>0</v>
      </c>
      <c r="M614" s="584">
        <f t="shared" si="55"/>
        <v>0</v>
      </c>
      <c r="N614" s="584">
        <f t="shared" si="55"/>
        <v>0</v>
      </c>
      <c r="O614" s="584">
        <f t="shared" si="55"/>
        <v>0</v>
      </c>
      <c r="P614" s="584">
        <f t="shared" si="55"/>
        <v>0</v>
      </c>
      <c r="Q614" s="611" t="str">
        <f t="shared" si="53"/>
        <v>正确</v>
      </c>
      <c r="X614" s="501" t="b">
        <f>EXACT(A614,E614)</f>
        <v>0</v>
      </c>
    </row>
    <row r="615" s="397" customFormat="1" outlineLevel="2" spans="2:24">
      <c r="B615" s="428" t="s">
        <v>2409</v>
      </c>
      <c r="C615" s="429" t="str">
        <f>$G$1</f>
        <v>石嘴山市深阳蓝光市政工程有限公司</v>
      </c>
      <c r="D615" s="722" t="s">
        <v>2438</v>
      </c>
      <c r="E615" s="585"/>
      <c r="F615" s="586"/>
      <c r="G615" s="132"/>
      <c r="H615" s="587"/>
      <c r="I615" s="605">
        <f t="shared" si="54"/>
        <v>0</v>
      </c>
      <c r="J615" s="587"/>
      <c r="K615" s="454"/>
      <c r="L615" s="454"/>
      <c r="M615" s="454"/>
      <c r="N615" s="454"/>
      <c r="O615" s="564"/>
      <c r="P615" s="564"/>
      <c r="Q615" s="611" t="str">
        <f t="shared" si="53"/>
        <v>正确</v>
      </c>
      <c r="X615" s="501" t="b">
        <f>EXACT(A615,E615)</f>
        <v>1</v>
      </c>
    </row>
    <row r="616" s="397" customFormat="1" outlineLevel="2" spans="2:24">
      <c r="B616" s="428" t="s">
        <v>2409</v>
      </c>
      <c r="C616" s="429" t="str">
        <f>$G$1</f>
        <v>石嘴山市深阳蓝光市政工程有限公司</v>
      </c>
      <c r="D616" s="722" t="s">
        <v>2438</v>
      </c>
      <c r="E616" s="585"/>
      <c r="F616" s="586"/>
      <c r="G616" s="132"/>
      <c r="H616" s="587"/>
      <c r="I616" s="605">
        <f t="shared" si="54"/>
        <v>0</v>
      </c>
      <c r="J616" s="587"/>
      <c r="K616" s="454"/>
      <c r="L616" s="454"/>
      <c r="M616" s="454"/>
      <c r="N616" s="454"/>
      <c r="O616" s="564"/>
      <c r="P616" s="564"/>
      <c r="Q616" s="611" t="str">
        <f t="shared" si="53"/>
        <v>正确</v>
      </c>
      <c r="X616" s="501" t="b">
        <f>EXACT(A616,E616)</f>
        <v>1</v>
      </c>
    </row>
    <row r="617" s="397" customFormat="1" outlineLevel="2" spans="2:24">
      <c r="B617" s="428" t="s">
        <v>2409</v>
      </c>
      <c r="C617" s="429" t="str">
        <f>$G$1</f>
        <v>石嘴山市深阳蓝光市政工程有限公司</v>
      </c>
      <c r="D617" s="722" t="s">
        <v>2446</v>
      </c>
      <c r="E617" s="585"/>
      <c r="F617" s="586"/>
      <c r="G617" s="132"/>
      <c r="H617" s="587"/>
      <c r="I617" s="605">
        <f t="shared" si="54"/>
        <v>0</v>
      </c>
      <c r="J617" s="587"/>
      <c r="K617" s="454"/>
      <c r="L617" s="454"/>
      <c r="M617" s="454"/>
      <c r="N617" s="454"/>
      <c r="O617" s="564"/>
      <c r="P617" s="564"/>
      <c r="Q617" s="611" t="str">
        <f t="shared" si="53"/>
        <v>正确</v>
      </c>
      <c r="X617" s="501" t="b">
        <f>EXACT(A617,E617)</f>
        <v>1</v>
      </c>
    </row>
    <row r="618" s="397" customFormat="1" outlineLevel="2" spans="2:24">
      <c r="B618" s="428"/>
      <c r="C618" s="479"/>
      <c r="D618" s="722"/>
      <c r="E618" s="585"/>
      <c r="F618" s="586"/>
      <c r="G618" s="132"/>
      <c r="H618" s="587"/>
      <c r="I618" s="605">
        <f t="shared" si="54"/>
        <v>0</v>
      </c>
      <c r="J618" s="587"/>
      <c r="K618" s="454"/>
      <c r="L618" s="454"/>
      <c r="M618" s="454"/>
      <c r="N618" s="454"/>
      <c r="O618" s="564"/>
      <c r="P618" s="564"/>
      <c r="Q618" s="611" t="str">
        <f t="shared" si="53"/>
        <v>正确</v>
      </c>
      <c r="X618" s="420"/>
    </row>
    <row r="619" s="397" customFormat="1" outlineLevel="2" spans="2:24">
      <c r="B619" s="428"/>
      <c r="C619" s="479"/>
      <c r="D619" s="722"/>
      <c r="E619" s="585"/>
      <c r="F619" s="586"/>
      <c r="G619" s="132"/>
      <c r="H619" s="587"/>
      <c r="I619" s="605">
        <f t="shared" si="54"/>
        <v>0</v>
      </c>
      <c r="J619" s="587"/>
      <c r="K619" s="454"/>
      <c r="L619" s="454"/>
      <c r="M619" s="454"/>
      <c r="N619" s="454"/>
      <c r="O619" s="564"/>
      <c r="P619" s="564"/>
      <c r="Q619" s="611" t="str">
        <f t="shared" si="53"/>
        <v>正确</v>
      </c>
      <c r="X619" s="420"/>
    </row>
    <row r="620" s="397" customFormat="1" outlineLevel="2" spans="2:24">
      <c r="B620" s="428"/>
      <c r="C620" s="479"/>
      <c r="D620" s="722"/>
      <c r="E620" s="585"/>
      <c r="F620" s="586"/>
      <c r="G620" s="132"/>
      <c r="H620" s="587"/>
      <c r="I620" s="605">
        <f t="shared" si="54"/>
        <v>0</v>
      </c>
      <c r="J620" s="587"/>
      <c r="K620" s="454"/>
      <c r="L620" s="454"/>
      <c r="M620" s="454"/>
      <c r="N620" s="454"/>
      <c r="O620" s="564"/>
      <c r="P620" s="564"/>
      <c r="Q620" s="611" t="str">
        <f t="shared" si="53"/>
        <v>正确</v>
      </c>
      <c r="X620" s="420"/>
    </row>
    <row r="621" s="397" customFormat="1" outlineLevel="2" spans="2:24">
      <c r="B621" s="428"/>
      <c r="C621" s="479"/>
      <c r="D621" s="722"/>
      <c r="E621" s="585"/>
      <c r="F621" s="586"/>
      <c r="G621" s="132"/>
      <c r="H621" s="587"/>
      <c r="I621" s="605">
        <f t="shared" si="54"/>
        <v>0</v>
      </c>
      <c r="J621" s="587"/>
      <c r="K621" s="454"/>
      <c r="L621" s="454"/>
      <c r="M621" s="454"/>
      <c r="N621" s="454"/>
      <c r="O621" s="564"/>
      <c r="P621" s="564"/>
      <c r="Q621" s="611" t="str">
        <f t="shared" si="53"/>
        <v>正确</v>
      </c>
      <c r="X621" s="420"/>
    </row>
    <row r="622" s="397" customFormat="1" outlineLevel="2" spans="2:24">
      <c r="B622" s="428" t="s">
        <v>2409</v>
      </c>
      <c r="C622" s="429" t="str">
        <f t="shared" ref="C622:C640" si="56">$G$1</f>
        <v>石嘴山市深阳蓝光市政工程有限公司</v>
      </c>
      <c r="D622" s="722" t="s">
        <v>2446</v>
      </c>
      <c r="E622" s="585"/>
      <c r="F622" s="586"/>
      <c r="G622" s="132"/>
      <c r="H622" s="587"/>
      <c r="I622" s="605">
        <f t="shared" si="54"/>
        <v>0</v>
      </c>
      <c r="J622" s="587"/>
      <c r="K622" s="454"/>
      <c r="L622" s="454"/>
      <c r="M622" s="454"/>
      <c r="N622" s="454"/>
      <c r="O622" s="564"/>
      <c r="P622" s="564"/>
      <c r="Q622" s="611" t="str">
        <f t="shared" si="53"/>
        <v>正确</v>
      </c>
      <c r="X622" s="501" t="b">
        <f t="shared" ref="X622:X640" si="57">EXACT(A622,E622)</f>
        <v>1</v>
      </c>
    </row>
    <row r="623" s="397" customFormat="1" outlineLevel="2" spans="2:24">
      <c r="B623" s="428" t="s">
        <v>2409</v>
      </c>
      <c r="C623" s="429" t="str">
        <f t="shared" si="56"/>
        <v>石嘴山市深阳蓝光市政工程有限公司</v>
      </c>
      <c r="D623" s="722" t="s">
        <v>2446</v>
      </c>
      <c r="E623" s="585"/>
      <c r="F623" s="586"/>
      <c r="G623" s="132"/>
      <c r="H623" s="587"/>
      <c r="I623" s="605">
        <f t="shared" si="54"/>
        <v>0</v>
      </c>
      <c r="J623" s="587"/>
      <c r="K623" s="454"/>
      <c r="L623" s="454"/>
      <c r="M623" s="454"/>
      <c r="N623" s="454"/>
      <c r="O623" s="564"/>
      <c r="P623" s="564"/>
      <c r="Q623" s="611" t="str">
        <f t="shared" si="53"/>
        <v>正确</v>
      </c>
      <c r="X623" s="501" t="b">
        <f t="shared" si="57"/>
        <v>1</v>
      </c>
    </row>
    <row r="624" s="397" customFormat="1" outlineLevel="2" spans="2:24">
      <c r="B624" s="428" t="s">
        <v>2409</v>
      </c>
      <c r="C624" s="429" t="str">
        <f t="shared" si="56"/>
        <v>石嘴山市深阳蓝光市政工程有限公司</v>
      </c>
      <c r="D624" s="722" t="s">
        <v>2446</v>
      </c>
      <c r="E624" s="585"/>
      <c r="F624" s="586"/>
      <c r="G624" s="132"/>
      <c r="H624" s="587"/>
      <c r="I624" s="605">
        <f t="shared" si="54"/>
        <v>0</v>
      </c>
      <c r="J624" s="587"/>
      <c r="K624" s="454"/>
      <c r="L624" s="454"/>
      <c r="M624" s="454"/>
      <c r="N624" s="454"/>
      <c r="O624" s="564"/>
      <c r="P624" s="564"/>
      <c r="Q624" s="611" t="str">
        <f t="shared" si="53"/>
        <v>正确</v>
      </c>
      <c r="X624" s="501" t="b">
        <f t="shared" si="57"/>
        <v>1</v>
      </c>
    </row>
    <row r="625" s="397" customFormat="1" outlineLevel="2" spans="2:24">
      <c r="B625" s="428" t="s">
        <v>2409</v>
      </c>
      <c r="C625" s="429" t="str">
        <f t="shared" si="56"/>
        <v>石嘴山市深阳蓝光市政工程有限公司</v>
      </c>
      <c r="D625" s="722" t="s">
        <v>2446</v>
      </c>
      <c r="E625" s="585"/>
      <c r="F625" s="586"/>
      <c r="G625" s="132"/>
      <c r="H625" s="587"/>
      <c r="I625" s="605">
        <f t="shared" si="54"/>
        <v>0</v>
      </c>
      <c r="J625" s="587"/>
      <c r="K625" s="454"/>
      <c r="L625" s="454"/>
      <c r="M625" s="454"/>
      <c r="N625" s="454"/>
      <c r="O625" s="564"/>
      <c r="P625" s="564"/>
      <c r="Q625" s="611" t="str">
        <f t="shared" si="53"/>
        <v>正确</v>
      </c>
      <c r="X625" s="501" t="b">
        <f t="shared" si="57"/>
        <v>1</v>
      </c>
    </row>
    <row r="626" s="397" customFormat="1" outlineLevel="2" spans="2:24">
      <c r="B626" s="428" t="s">
        <v>2409</v>
      </c>
      <c r="C626" s="429" t="str">
        <f t="shared" si="56"/>
        <v>石嘴山市深阳蓝光市政工程有限公司</v>
      </c>
      <c r="D626" s="722" t="s">
        <v>2446</v>
      </c>
      <c r="E626" s="585"/>
      <c r="F626" s="586"/>
      <c r="G626" s="132"/>
      <c r="H626" s="587"/>
      <c r="I626" s="605">
        <f t="shared" si="54"/>
        <v>0</v>
      </c>
      <c r="J626" s="587"/>
      <c r="K626" s="454"/>
      <c r="L626" s="454"/>
      <c r="M626" s="454"/>
      <c r="N626" s="454"/>
      <c r="O626" s="564"/>
      <c r="P626" s="564"/>
      <c r="Q626" s="611" t="str">
        <f t="shared" si="53"/>
        <v>正确</v>
      </c>
      <c r="X626" s="501" t="b">
        <f t="shared" si="57"/>
        <v>1</v>
      </c>
    </row>
    <row r="627" s="397" customFormat="1" outlineLevel="2" spans="2:24">
      <c r="B627" s="428" t="s">
        <v>2409</v>
      </c>
      <c r="C627" s="429" t="str">
        <f t="shared" si="56"/>
        <v>石嘴山市深阳蓝光市政工程有限公司</v>
      </c>
      <c r="D627" s="722" t="s">
        <v>2446</v>
      </c>
      <c r="E627" s="585"/>
      <c r="F627" s="586"/>
      <c r="G627" s="132"/>
      <c r="H627" s="587"/>
      <c r="I627" s="605">
        <f t="shared" si="54"/>
        <v>0</v>
      </c>
      <c r="J627" s="587"/>
      <c r="K627" s="454"/>
      <c r="L627" s="454"/>
      <c r="M627" s="454"/>
      <c r="N627" s="454"/>
      <c r="O627" s="564"/>
      <c r="P627" s="564"/>
      <c r="Q627" s="611" t="str">
        <f t="shared" si="53"/>
        <v>正确</v>
      </c>
      <c r="X627" s="501" t="b">
        <f t="shared" si="57"/>
        <v>1</v>
      </c>
    </row>
    <row r="628" s="397" customFormat="1" outlineLevel="2" spans="2:24">
      <c r="B628" s="428" t="s">
        <v>2409</v>
      </c>
      <c r="C628" s="429" t="str">
        <f t="shared" si="56"/>
        <v>石嘴山市深阳蓝光市政工程有限公司</v>
      </c>
      <c r="D628" s="722" t="s">
        <v>2446</v>
      </c>
      <c r="E628" s="585"/>
      <c r="F628" s="586"/>
      <c r="G628" s="132"/>
      <c r="H628" s="587"/>
      <c r="I628" s="605">
        <f t="shared" si="54"/>
        <v>0</v>
      </c>
      <c r="J628" s="587"/>
      <c r="K628" s="454"/>
      <c r="L628" s="454"/>
      <c r="M628" s="454"/>
      <c r="N628" s="454"/>
      <c r="O628" s="564"/>
      <c r="P628" s="564"/>
      <c r="Q628" s="611" t="str">
        <f t="shared" si="53"/>
        <v>正确</v>
      </c>
      <c r="X628" s="501" t="b">
        <f t="shared" si="57"/>
        <v>1</v>
      </c>
    </row>
    <row r="629" s="397" customFormat="1" outlineLevel="2" spans="2:24">
      <c r="B629" s="428" t="s">
        <v>2409</v>
      </c>
      <c r="C629" s="429" t="str">
        <f t="shared" si="56"/>
        <v>石嘴山市深阳蓝光市政工程有限公司</v>
      </c>
      <c r="D629" s="722" t="s">
        <v>2446</v>
      </c>
      <c r="E629" s="585"/>
      <c r="F629" s="586"/>
      <c r="G629" s="132"/>
      <c r="H629" s="587"/>
      <c r="I629" s="605">
        <f t="shared" si="54"/>
        <v>0</v>
      </c>
      <c r="J629" s="587"/>
      <c r="K629" s="454"/>
      <c r="L629" s="454"/>
      <c r="M629" s="454"/>
      <c r="N629" s="454"/>
      <c r="O629" s="564"/>
      <c r="P629" s="564"/>
      <c r="Q629" s="611" t="str">
        <f t="shared" si="53"/>
        <v>正确</v>
      </c>
      <c r="X629" s="501" t="b">
        <f t="shared" si="57"/>
        <v>1</v>
      </c>
    </row>
    <row r="630" s="397" customFormat="1" outlineLevel="2" spans="2:24">
      <c r="B630" s="428" t="s">
        <v>2409</v>
      </c>
      <c r="C630" s="429" t="str">
        <f t="shared" si="56"/>
        <v>石嘴山市深阳蓝光市政工程有限公司</v>
      </c>
      <c r="D630" s="722" t="s">
        <v>2446</v>
      </c>
      <c r="E630" s="585"/>
      <c r="F630" s="586"/>
      <c r="G630" s="132"/>
      <c r="H630" s="587"/>
      <c r="I630" s="605">
        <f t="shared" si="54"/>
        <v>0</v>
      </c>
      <c r="J630" s="587"/>
      <c r="K630" s="454"/>
      <c r="L630" s="454"/>
      <c r="M630" s="454"/>
      <c r="N630" s="454"/>
      <c r="O630" s="564"/>
      <c r="P630" s="564"/>
      <c r="Q630" s="611" t="str">
        <f t="shared" si="53"/>
        <v>正确</v>
      </c>
      <c r="X630" s="501" t="b">
        <f t="shared" si="57"/>
        <v>1</v>
      </c>
    </row>
    <row r="631" s="397" customFormat="1" outlineLevel="2" spans="2:24">
      <c r="B631" s="428" t="s">
        <v>2409</v>
      </c>
      <c r="C631" s="429" t="str">
        <f t="shared" si="56"/>
        <v>石嘴山市深阳蓝光市政工程有限公司</v>
      </c>
      <c r="D631" s="722" t="s">
        <v>2446</v>
      </c>
      <c r="E631" s="585"/>
      <c r="F631" s="586"/>
      <c r="G631" s="132"/>
      <c r="H631" s="587"/>
      <c r="I631" s="605">
        <f t="shared" si="54"/>
        <v>0</v>
      </c>
      <c r="J631" s="587"/>
      <c r="K631" s="454"/>
      <c r="L631" s="454"/>
      <c r="M631" s="454"/>
      <c r="N631" s="454"/>
      <c r="O631" s="564"/>
      <c r="P631" s="564"/>
      <c r="Q631" s="611" t="str">
        <f t="shared" si="53"/>
        <v>正确</v>
      </c>
      <c r="X631" s="501" t="b">
        <f t="shared" si="57"/>
        <v>1</v>
      </c>
    </row>
    <row r="632" s="397" customFormat="1" outlineLevel="2" spans="2:24">
      <c r="B632" s="428" t="s">
        <v>2409</v>
      </c>
      <c r="C632" s="429" t="str">
        <f t="shared" si="56"/>
        <v>石嘴山市深阳蓝光市政工程有限公司</v>
      </c>
      <c r="D632" s="722" t="s">
        <v>2446</v>
      </c>
      <c r="E632" s="585"/>
      <c r="F632" s="586"/>
      <c r="G632" s="132"/>
      <c r="H632" s="587"/>
      <c r="I632" s="605">
        <f t="shared" si="54"/>
        <v>0</v>
      </c>
      <c r="J632" s="587"/>
      <c r="K632" s="454"/>
      <c r="L632" s="454"/>
      <c r="M632" s="454"/>
      <c r="N632" s="454"/>
      <c r="O632" s="564"/>
      <c r="P632" s="564"/>
      <c r="Q632" s="611" t="str">
        <f t="shared" si="53"/>
        <v>正确</v>
      </c>
      <c r="X632" s="501" t="b">
        <f t="shared" si="57"/>
        <v>1</v>
      </c>
    </row>
    <row r="633" s="397" customFormat="1" outlineLevel="2" spans="2:24">
      <c r="B633" s="428" t="s">
        <v>2409</v>
      </c>
      <c r="C633" s="429" t="str">
        <f t="shared" si="56"/>
        <v>石嘴山市深阳蓝光市政工程有限公司</v>
      </c>
      <c r="D633" s="722" t="s">
        <v>2446</v>
      </c>
      <c r="E633" s="585"/>
      <c r="F633" s="586"/>
      <c r="G633" s="132"/>
      <c r="H633" s="587"/>
      <c r="I633" s="605">
        <f t="shared" si="54"/>
        <v>0</v>
      </c>
      <c r="J633" s="587"/>
      <c r="K633" s="454"/>
      <c r="L633" s="454"/>
      <c r="M633" s="454"/>
      <c r="N633" s="454"/>
      <c r="O633" s="564"/>
      <c r="P633" s="564"/>
      <c r="Q633" s="611" t="str">
        <f t="shared" si="53"/>
        <v>正确</v>
      </c>
      <c r="X633" s="501" t="b">
        <f t="shared" si="57"/>
        <v>1</v>
      </c>
    </row>
    <row r="634" s="397" customFormat="1" outlineLevel="2" spans="2:24">
      <c r="B634" s="428" t="s">
        <v>2409</v>
      </c>
      <c r="C634" s="429" t="str">
        <f t="shared" si="56"/>
        <v>石嘴山市深阳蓝光市政工程有限公司</v>
      </c>
      <c r="D634" s="722" t="s">
        <v>2446</v>
      </c>
      <c r="E634" s="585"/>
      <c r="F634" s="586"/>
      <c r="G634" s="132"/>
      <c r="H634" s="587"/>
      <c r="I634" s="605">
        <f t="shared" si="54"/>
        <v>0</v>
      </c>
      <c r="J634" s="587"/>
      <c r="K634" s="454"/>
      <c r="L634" s="454"/>
      <c r="M634" s="454"/>
      <c r="N634" s="454"/>
      <c r="O634" s="564"/>
      <c r="P634" s="564"/>
      <c r="Q634" s="611" t="str">
        <f t="shared" si="53"/>
        <v>正确</v>
      </c>
      <c r="X634" s="501" t="b">
        <f t="shared" si="57"/>
        <v>1</v>
      </c>
    </row>
    <row r="635" s="397" customFormat="1" outlineLevel="2" spans="2:24">
      <c r="B635" s="428" t="s">
        <v>2409</v>
      </c>
      <c r="C635" s="429" t="str">
        <f t="shared" si="56"/>
        <v>石嘴山市深阳蓝光市政工程有限公司</v>
      </c>
      <c r="D635" s="722" t="s">
        <v>2446</v>
      </c>
      <c r="E635" s="585"/>
      <c r="F635" s="586"/>
      <c r="G635" s="132"/>
      <c r="H635" s="587"/>
      <c r="I635" s="605">
        <f t="shared" si="54"/>
        <v>0</v>
      </c>
      <c r="J635" s="587"/>
      <c r="K635" s="454"/>
      <c r="L635" s="454"/>
      <c r="M635" s="454"/>
      <c r="N635" s="454"/>
      <c r="O635" s="564"/>
      <c r="P635" s="564"/>
      <c r="Q635" s="611" t="str">
        <f t="shared" si="53"/>
        <v>正确</v>
      </c>
      <c r="X635" s="501" t="b">
        <f t="shared" si="57"/>
        <v>1</v>
      </c>
    </row>
    <row r="636" s="397" customFormat="1" outlineLevel="2" spans="1:24">
      <c r="A636" s="397" t="s">
        <v>1580</v>
      </c>
      <c r="B636" s="428" t="s">
        <v>2409</v>
      </c>
      <c r="C636" s="429" t="str">
        <f t="shared" si="56"/>
        <v>石嘴山市深阳蓝光市政工程有限公司</v>
      </c>
      <c r="D636" s="722" t="s">
        <v>2446</v>
      </c>
      <c r="E636" s="561" t="s">
        <v>1580</v>
      </c>
      <c r="F636" s="604"/>
      <c r="G636" s="135">
        <f>G614+G590</f>
        <v>0</v>
      </c>
      <c r="H636" s="725">
        <f>H614+H590</f>
        <v>0</v>
      </c>
      <c r="I636" s="605">
        <f t="shared" si="54"/>
        <v>0</v>
      </c>
      <c r="J636" s="602"/>
      <c r="K636" s="135">
        <f t="shared" ref="K636:P636" si="58">K614+K590</f>
        <v>0</v>
      </c>
      <c r="L636" s="135">
        <f t="shared" si="58"/>
        <v>0</v>
      </c>
      <c r="M636" s="135">
        <f t="shared" si="58"/>
        <v>0</v>
      </c>
      <c r="N636" s="135">
        <f t="shared" si="58"/>
        <v>0</v>
      </c>
      <c r="O636" s="135">
        <f t="shared" si="58"/>
        <v>0</v>
      </c>
      <c r="P636" s="135">
        <f t="shared" si="58"/>
        <v>0</v>
      </c>
      <c r="Q636" s="611" t="str">
        <f t="shared" si="53"/>
        <v>正确</v>
      </c>
      <c r="X636" s="501" t="b">
        <f t="shared" si="57"/>
        <v>1</v>
      </c>
    </row>
    <row r="637" s="397" customFormat="1" outlineLevel="2" spans="2:24">
      <c r="B637" s="428" t="s">
        <v>2409</v>
      </c>
      <c r="C637" s="429" t="str">
        <f t="shared" si="56"/>
        <v>石嘴山市深阳蓝光市政工程有限公司</v>
      </c>
      <c r="D637" s="722" t="s">
        <v>2446</v>
      </c>
      <c r="E637" s="612" t="s">
        <v>2565</v>
      </c>
      <c r="F637" s="451"/>
      <c r="G637" s="568"/>
      <c r="H637" s="451"/>
      <c r="I637" s="568"/>
      <c r="J637" s="451"/>
      <c r="K637" s="568"/>
      <c r="L637" s="451"/>
      <c r="M637" s="568"/>
      <c r="N637" s="560"/>
      <c r="X637" s="501" t="b">
        <f t="shared" si="57"/>
        <v>0</v>
      </c>
    </row>
    <row r="638" s="397" customFormat="1" outlineLevel="2" spans="1:24">
      <c r="A638" s="397" t="s">
        <v>2036</v>
      </c>
      <c r="B638" s="428" t="s">
        <v>2409</v>
      </c>
      <c r="C638" s="429" t="str">
        <f t="shared" si="56"/>
        <v>石嘴山市深阳蓝光市政工程有限公司</v>
      </c>
      <c r="D638" s="722" t="s">
        <v>2438</v>
      </c>
      <c r="E638" s="581" t="s">
        <v>2036</v>
      </c>
      <c r="F638" s="581" t="s">
        <v>2440</v>
      </c>
      <c r="G638" s="613" t="s">
        <v>1579</v>
      </c>
      <c r="H638" s="581" t="s">
        <v>2441</v>
      </c>
      <c r="I638" s="581" t="s">
        <v>2442</v>
      </c>
      <c r="J638" s="581" t="s">
        <v>2443</v>
      </c>
      <c r="K638" s="602" t="s">
        <v>1585</v>
      </c>
      <c r="L638" s="564" t="s">
        <v>2424</v>
      </c>
      <c r="M638" s="602" t="s">
        <v>1587</v>
      </c>
      <c r="N638" s="603" t="s">
        <v>2426</v>
      </c>
      <c r="O638" s="604" t="s">
        <v>2427</v>
      </c>
      <c r="P638" s="604" t="s">
        <v>2428</v>
      </c>
      <c r="Q638" s="604" t="s">
        <v>1556</v>
      </c>
      <c r="X638" s="501" t="b">
        <f t="shared" si="57"/>
        <v>1</v>
      </c>
    </row>
    <row r="639" s="397" customFormat="1" outlineLevel="2" spans="2:24">
      <c r="B639" s="428" t="s">
        <v>2409</v>
      </c>
      <c r="C639" s="429" t="str">
        <f t="shared" si="56"/>
        <v>石嘴山市深阳蓝光市政工程有限公司</v>
      </c>
      <c r="D639" s="722" t="s">
        <v>2438</v>
      </c>
      <c r="E639" s="582" t="s">
        <v>2563</v>
      </c>
      <c r="F639" s="583"/>
      <c r="G639" s="584">
        <f>ROUND(SUM(G640:G662),2)</f>
        <v>0</v>
      </c>
      <c r="H639" s="584">
        <f>ROUND(SUM(H640:H662),2)</f>
        <v>0</v>
      </c>
      <c r="I639" s="605">
        <f>IFERROR(ROUND(H639/G639,4),0)</f>
        <v>0</v>
      </c>
      <c r="J639" s="606"/>
      <c r="K639" s="584">
        <f t="shared" ref="K639:P639" si="59">ROUND(SUM(K640:K662),2)</f>
        <v>0</v>
      </c>
      <c r="L639" s="584">
        <f t="shared" si="59"/>
        <v>0</v>
      </c>
      <c r="M639" s="584">
        <f t="shared" si="59"/>
        <v>0</v>
      </c>
      <c r="N639" s="584">
        <f t="shared" si="59"/>
        <v>0</v>
      </c>
      <c r="O639" s="584">
        <f t="shared" si="59"/>
        <v>0</v>
      </c>
      <c r="P639" s="584">
        <f t="shared" si="59"/>
        <v>0</v>
      </c>
      <c r="Q639" s="611" t="str">
        <f t="shared" ref="Q639:Q685" si="60">IF(ROUND(G639-K639-L639-M639-O639-P639-N639,2)=0,"正确","错误请核对")</f>
        <v>正确</v>
      </c>
      <c r="X639" s="501" t="b">
        <f t="shared" si="57"/>
        <v>0</v>
      </c>
    </row>
    <row r="640" s="397" customFormat="1" outlineLevel="2" spans="2:24">
      <c r="B640" s="428" t="s">
        <v>2409</v>
      </c>
      <c r="C640" s="429" t="str">
        <f t="shared" si="56"/>
        <v>石嘴山市深阳蓝光市政工程有限公司</v>
      </c>
      <c r="D640" s="722" t="s">
        <v>2438</v>
      </c>
      <c r="E640" s="585"/>
      <c r="F640" s="586"/>
      <c r="G640" s="132"/>
      <c r="H640" s="587"/>
      <c r="I640" s="605">
        <f t="shared" ref="I640:I685" si="61">IFERROR(ROUND(H640/G640,4),0)</f>
        <v>0</v>
      </c>
      <c r="J640" s="587"/>
      <c r="K640" s="454"/>
      <c r="L640" s="454"/>
      <c r="M640" s="454"/>
      <c r="N640" s="454"/>
      <c r="O640" s="564"/>
      <c r="P640" s="564"/>
      <c r="Q640" s="611" t="str">
        <f t="shared" si="60"/>
        <v>正确</v>
      </c>
      <c r="X640" s="501" t="b">
        <f t="shared" si="57"/>
        <v>1</v>
      </c>
    </row>
    <row r="641" s="397" customFormat="1" outlineLevel="2" spans="2:24">
      <c r="B641" s="428"/>
      <c r="C641" s="479"/>
      <c r="D641" s="722"/>
      <c r="E641" s="585"/>
      <c r="F641" s="586"/>
      <c r="G641" s="132"/>
      <c r="H641" s="587"/>
      <c r="I641" s="605">
        <f t="shared" si="61"/>
        <v>0</v>
      </c>
      <c r="J641" s="587"/>
      <c r="K641" s="454"/>
      <c r="L641" s="454"/>
      <c r="M641" s="454"/>
      <c r="N641" s="454"/>
      <c r="O641" s="564"/>
      <c r="P641" s="564"/>
      <c r="Q641" s="611" t="str">
        <f t="shared" si="60"/>
        <v>正确</v>
      </c>
      <c r="X641" s="420"/>
    </row>
    <row r="642" s="397" customFormat="1" outlineLevel="2" spans="2:24">
      <c r="B642" s="428"/>
      <c r="C642" s="479"/>
      <c r="D642" s="722"/>
      <c r="E642" s="585"/>
      <c r="F642" s="586"/>
      <c r="G642" s="132"/>
      <c r="H642" s="587"/>
      <c r="I642" s="605">
        <f t="shared" si="61"/>
        <v>0</v>
      </c>
      <c r="J642" s="587"/>
      <c r="K642" s="454"/>
      <c r="L642" s="454"/>
      <c r="M642" s="454"/>
      <c r="N642" s="454"/>
      <c r="O642" s="564"/>
      <c r="P642" s="564"/>
      <c r="Q642" s="611" t="str">
        <f t="shared" si="60"/>
        <v>正确</v>
      </c>
      <c r="X642" s="420"/>
    </row>
    <row r="643" s="397" customFormat="1" outlineLevel="2" spans="2:24">
      <c r="B643" s="428"/>
      <c r="C643" s="479"/>
      <c r="D643" s="722"/>
      <c r="E643" s="585"/>
      <c r="F643" s="586"/>
      <c r="G643" s="132"/>
      <c r="H643" s="587"/>
      <c r="I643" s="605">
        <f t="shared" si="61"/>
        <v>0</v>
      </c>
      <c r="J643" s="587"/>
      <c r="K643" s="454"/>
      <c r="L643" s="454"/>
      <c r="M643" s="454"/>
      <c r="N643" s="454"/>
      <c r="O643" s="564"/>
      <c r="P643" s="564"/>
      <c r="Q643" s="611" t="str">
        <f t="shared" si="60"/>
        <v>正确</v>
      </c>
      <c r="X643" s="420"/>
    </row>
    <row r="644" s="397" customFormat="1" outlineLevel="2" spans="2:24">
      <c r="B644" s="428"/>
      <c r="C644" s="479"/>
      <c r="D644" s="722"/>
      <c r="E644" s="585"/>
      <c r="F644" s="586"/>
      <c r="G644" s="132"/>
      <c r="H644" s="587"/>
      <c r="I644" s="605">
        <f t="shared" si="61"/>
        <v>0</v>
      </c>
      <c r="J644" s="587"/>
      <c r="K644" s="454"/>
      <c r="L644" s="454"/>
      <c r="M644" s="454"/>
      <c r="N644" s="454"/>
      <c r="O644" s="564"/>
      <c r="P644" s="564"/>
      <c r="Q644" s="611" t="str">
        <f t="shared" si="60"/>
        <v>正确</v>
      </c>
      <c r="X644" s="420"/>
    </row>
    <row r="645" s="397" customFormat="1" outlineLevel="2" spans="2:24">
      <c r="B645" s="428" t="s">
        <v>2409</v>
      </c>
      <c r="C645" s="429" t="str">
        <f>$G$1</f>
        <v>石嘴山市深阳蓝光市政工程有限公司</v>
      </c>
      <c r="D645" s="722" t="s">
        <v>2438</v>
      </c>
      <c r="E645" s="585"/>
      <c r="F645" s="586"/>
      <c r="G645" s="132"/>
      <c r="H645" s="587"/>
      <c r="I645" s="605">
        <f t="shared" si="61"/>
        <v>0</v>
      </c>
      <c r="J645" s="587"/>
      <c r="K645" s="454"/>
      <c r="L645" s="454"/>
      <c r="M645" s="454"/>
      <c r="N645" s="454"/>
      <c r="O645" s="564"/>
      <c r="P645" s="564"/>
      <c r="Q645" s="611" t="str">
        <f t="shared" si="60"/>
        <v>正确</v>
      </c>
      <c r="X645" s="501" t="b">
        <f>EXACT(A645,E645)</f>
        <v>1</v>
      </c>
    </row>
    <row r="646" s="397" customFormat="1" outlineLevel="2" spans="2:24">
      <c r="B646" s="428"/>
      <c r="C646" s="479"/>
      <c r="D646" s="722"/>
      <c r="E646" s="585"/>
      <c r="F646" s="586"/>
      <c r="G646" s="132"/>
      <c r="H646" s="587"/>
      <c r="I646" s="605">
        <f t="shared" si="61"/>
        <v>0</v>
      </c>
      <c r="J646" s="587"/>
      <c r="K646" s="454"/>
      <c r="L646" s="454"/>
      <c r="M646" s="454"/>
      <c r="N646" s="454"/>
      <c r="O646" s="564"/>
      <c r="P646" s="564"/>
      <c r="Q646" s="611" t="str">
        <f t="shared" si="60"/>
        <v>正确</v>
      </c>
      <c r="X646" s="420"/>
    </row>
    <row r="647" s="397" customFormat="1" outlineLevel="2" spans="2:24">
      <c r="B647" s="428"/>
      <c r="C647" s="479"/>
      <c r="D647" s="722"/>
      <c r="E647" s="585"/>
      <c r="F647" s="586"/>
      <c r="G647" s="132"/>
      <c r="H647" s="587"/>
      <c r="I647" s="605">
        <f t="shared" si="61"/>
        <v>0</v>
      </c>
      <c r="J647" s="587"/>
      <c r="K647" s="454"/>
      <c r="L647" s="454"/>
      <c r="M647" s="454"/>
      <c r="N647" s="454"/>
      <c r="O647" s="564"/>
      <c r="P647" s="564"/>
      <c r="Q647" s="611" t="str">
        <f t="shared" si="60"/>
        <v>正确</v>
      </c>
      <c r="X647" s="420"/>
    </row>
    <row r="648" s="397" customFormat="1" outlineLevel="2" spans="2:24">
      <c r="B648" s="428"/>
      <c r="C648" s="479"/>
      <c r="D648" s="722"/>
      <c r="E648" s="585"/>
      <c r="F648" s="586"/>
      <c r="G648" s="132"/>
      <c r="H648" s="587"/>
      <c r="I648" s="605">
        <f t="shared" si="61"/>
        <v>0</v>
      </c>
      <c r="J648" s="587"/>
      <c r="K648" s="454"/>
      <c r="L648" s="454"/>
      <c r="M648" s="454"/>
      <c r="N648" s="454"/>
      <c r="O648" s="564"/>
      <c r="P648" s="564"/>
      <c r="Q648" s="611" t="str">
        <f t="shared" si="60"/>
        <v>正确</v>
      </c>
      <c r="X648" s="420"/>
    </row>
    <row r="649" s="397" customFormat="1" outlineLevel="2" spans="2:24">
      <c r="B649" s="428"/>
      <c r="C649" s="479"/>
      <c r="D649" s="722"/>
      <c r="E649" s="585"/>
      <c r="F649" s="586"/>
      <c r="G649" s="132"/>
      <c r="H649" s="587"/>
      <c r="I649" s="605">
        <f t="shared" si="61"/>
        <v>0</v>
      </c>
      <c r="J649" s="587"/>
      <c r="K649" s="454"/>
      <c r="L649" s="454"/>
      <c r="M649" s="454"/>
      <c r="N649" s="454"/>
      <c r="O649" s="564"/>
      <c r="P649" s="564"/>
      <c r="Q649" s="611" t="str">
        <f t="shared" si="60"/>
        <v>正确</v>
      </c>
      <c r="X649" s="420"/>
    </row>
    <row r="650" s="397" customFormat="1" outlineLevel="2" spans="2:24">
      <c r="B650" s="428"/>
      <c r="C650" s="479"/>
      <c r="D650" s="722"/>
      <c r="E650" s="585"/>
      <c r="F650" s="586"/>
      <c r="G650" s="132"/>
      <c r="H650" s="587"/>
      <c r="I650" s="605">
        <f t="shared" si="61"/>
        <v>0</v>
      </c>
      <c r="J650" s="587"/>
      <c r="K650" s="454"/>
      <c r="L650" s="454"/>
      <c r="M650" s="454"/>
      <c r="N650" s="454"/>
      <c r="O650" s="564"/>
      <c r="P650" s="564"/>
      <c r="Q650" s="611" t="str">
        <f t="shared" si="60"/>
        <v>正确</v>
      </c>
      <c r="X650" s="420"/>
    </row>
    <row r="651" s="397" customFormat="1" outlineLevel="2" spans="2:24">
      <c r="B651" s="428"/>
      <c r="C651" s="479"/>
      <c r="D651" s="722"/>
      <c r="E651" s="585"/>
      <c r="F651" s="586"/>
      <c r="G651" s="132"/>
      <c r="H651" s="587"/>
      <c r="I651" s="605">
        <f t="shared" si="61"/>
        <v>0</v>
      </c>
      <c r="J651" s="587"/>
      <c r="K651" s="454"/>
      <c r="L651" s="454"/>
      <c r="M651" s="454"/>
      <c r="N651" s="454"/>
      <c r="O651" s="564"/>
      <c r="P651" s="564"/>
      <c r="Q651" s="611" t="str">
        <f t="shared" si="60"/>
        <v>正确</v>
      </c>
      <c r="X651" s="420"/>
    </row>
    <row r="652" s="397" customFormat="1" outlineLevel="2" spans="2:24">
      <c r="B652" s="428"/>
      <c r="C652" s="479"/>
      <c r="D652" s="722"/>
      <c r="E652" s="585"/>
      <c r="F652" s="586"/>
      <c r="G652" s="132"/>
      <c r="H652" s="587"/>
      <c r="I652" s="605">
        <f t="shared" si="61"/>
        <v>0</v>
      </c>
      <c r="J652" s="587"/>
      <c r="K652" s="454"/>
      <c r="L652" s="454"/>
      <c r="M652" s="454"/>
      <c r="N652" s="454"/>
      <c r="O652" s="564"/>
      <c r="P652" s="564"/>
      <c r="Q652" s="611" t="str">
        <f t="shared" si="60"/>
        <v>正确</v>
      </c>
      <c r="X652" s="420"/>
    </row>
    <row r="653" s="397" customFormat="1" outlineLevel="2" spans="2:24">
      <c r="B653" s="428"/>
      <c r="C653" s="479"/>
      <c r="D653" s="722"/>
      <c r="E653" s="585"/>
      <c r="F653" s="586"/>
      <c r="G653" s="132"/>
      <c r="H653" s="587"/>
      <c r="I653" s="605">
        <f t="shared" si="61"/>
        <v>0</v>
      </c>
      <c r="J653" s="587"/>
      <c r="K653" s="454"/>
      <c r="L653" s="454"/>
      <c r="M653" s="454"/>
      <c r="N653" s="454"/>
      <c r="O653" s="564"/>
      <c r="P653" s="564"/>
      <c r="Q653" s="611" t="str">
        <f t="shared" si="60"/>
        <v>正确</v>
      </c>
      <c r="X653" s="420"/>
    </row>
    <row r="654" s="397" customFormat="1" outlineLevel="2" spans="2:24">
      <c r="B654" s="428"/>
      <c r="C654" s="479"/>
      <c r="D654" s="722"/>
      <c r="E654" s="585"/>
      <c r="F654" s="586"/>
      <c r="G654" s="132"/>
      <c r="H654" s="587"/>
      <c r="I654" s="605">
        <f t="shared" si="61"/>
        <v>0</v>
      </c>
      <c r="J654" s="587"/>
      <c r="K654" s="454"/>
      <c r="L654" s="454"/>
      <c r="M654" s="454"/>
      <c r="N654" s="454"/>
      <c r="O654" s="564"/>
      <c r="P654" s="564"/>
      <c r="Q654" s="611" t="str">
        <f t="shared" si="60"/>
        <v>正确</v>
      </c>
      <c r="X654" s="420"/>
    </row>
    <row r="655" s="397" customFormat="1" outlineLevel="2" spans="2:24">
      <c r="B655" s="428"/>
      <c r="C655" s="479"/>
      <c r="D655" s="722"/>
      <c r="E655" s="585"/>
      <c r="F655" s="586"/>
      <c r="G655" s="132"/>
      <c r="H655" s="587"/>
      <c r="I655" s="605">
        <f t="shared" si="61"/>
        <v>0</v>
      </c>
      <c r="J655" s="587"/>
      <c r="K655" s="454"/>
      <c r="L655" s="454"/>
      <c r="M655" s="454"/>
      <c r="N655" s="454"/>
      <c r="O655" s="564"/>
      <c r="P655" s="564"/>
      <c r="Q655" s="611" t="str">
        <f t="shared" si="60"/>
        <v>正确</v>
      </c>
      <c r="X655" s="420"/>
    </row>
    <row r="656" s="397" customFormat="1" outlineLevel="2" spans="2:24">
      <c r="B656" s="428"/>
      <c r="C656" s="479"/>
      <c r="D656" s="722"/>
      <c r="E656" s="585"/>
      <c r="F656" s="586"/>
      <c r="G656" s="132"/>
      <c r="H656" s="587"/>
      <c r="I656" s="605">
        <f t="shared" si="61"/>
        <v>0</v>
      </c>
      <c r="J656" s="587"/>
      <c r="K656" s="454"/>
      <c r="L656" s="454"/>
      <c r="M656" s="454"/>
      <c r="N656" s="454"/>
      <c r="O656" s="564"/>
      <c r="P656" s="564"/>
      <c r="Q656" s="611" t="str">
        <f t="shared" si="60"/>
        <v>正确</v>
      </c>
      <c r="X656" s="420"/>
    </row>
    <row r="657" s="397" customFormat="1" outlineLevel="2" spans="2:24">
      <c r="B657" s="428"/>
      <c r="C657" s="479"/>
      <c r="D657" s="722"/>
      <c r="E657" s="585"/>
      <c r="F657" s="586"/>
      <c r="G657" s="132"/>
      <c r="H657" s="587"/>
      <c r="I657" s="605">
        <f t="shared" si="61"/>
        <v>0</v>
      </c>
      <c r="J657" s="587"/>
      <c r="K657" s="454"/>
      <c r="L657" s="454"/>
      <c r="M657" s="454"/>
      <c r="N657" s="454"/>
      <c r="O657" s="564"/>
      <c r="P657" s="564"/>
      <c r="Q657" s="611" t="str">
        <f t="shared" si="60"/>
        <v>正确</v>
      </c>
      <c r="X657" s="420"/>
    </row>
    <row r="658" s="397" customFormat="1" outlineLevel="2" spans="2:24">
      <c r="B658" s="428"/>
      <c r="C658" s="479"/>
      <c r="D658" s="722"/>
      <c r="E658" s="585"/>
      <c r="F658" s="586"/>
      <c r="G658" s="132"/>
      <c r="H658" s="587"/>
      <c r="I658" s="605">
        <f t="shared" si="61"/>
        <v>0</v>
      </c>
      <c r="J658" s="587"/>
      <c r="K658" s="454"/>
      <c r="L658" s="454"/>
      <c r="M658" s="454"/>
      <c r="N658" s="454"/>
      <c r="O658" s="564"/>
      <c r="P658" s="564"/>
      <c r="Q658" s="611" t="str">
        <f t="shared" si="60"/>
        <v>正确</v>
      </c>
      <c r="X658" s="420"/>
    </row>
    <row r="659" s="397" customFormat="1" outlineLevel="2" spans="2:24">
      <c r="B659" s="428"/>
      <c r="C659" s="479"/>
      <c r="D659" s="722"/>
      <c r="E659" s="585"/>
      <c r="F659" s="586"/>
      <c r="G659" s="132"/>
      <c r="H659" s="587"/>
      <c r="I659" s="605">
        <f t="shared" si="61"/>
        <v>0</v>
      </c>
      <c r="J659" s="587"/>
      <c r="K659" s="454"/>
      <c r="L659" s="454"/>
      <c r="M659" s="454"/>
      <c r="N659" s="454"/>
      <c r="O659" s="564"/>
      <c r="P659" s="564"/>
      <c r="Q659" s="611" t="str">
        <f t="shared" si="60"/>
        <v>正确</v>
      </c>
      <c r="X659" s="420"/>
    </row>
    <row r="660" s="397" customFormat="1" outlineLevel="2" spans="2:24">
      <c r="B660" s="428"/>
      <c r="C660" s="479"/>
      <c r="D660" s="722"/>
      <c r="E660" s="585"/>
      <c r="F660" s="586"/>
      <c r="G660" s="132"/>
      <c r="H660" s="587"/>
      <c r="I660" s="605">
        <f t="shared" si="61"/>
        <v>0</v>
      </c>
      <c r="J660" s="587"/>
      <c r="K660" s="454"/>
      <c r="L660" s="454"/>
      <c r="M660" s="454"/>
      <c r="N660" s="454"/>
      <c r="O660" s="564"/>
      <c r="P660" s="564"/>
      <c r="Q660" s="611" t="str">
        <f t="shared" si="60"/>
        <v>正确</v>
      </c>
      <c r="X660" s="420"/>
    </row>
    <row r="661" s="397" customFormat="1" outlineLevel="2" spans="2:24">
      <c r="B661" s="428"/>
      <c r="C661" s="479"/>
      <c r="D661" s="722"/>
      <c r="E661" s="585"/>
      <c r="F661" s="586"/>
      <c r="G661" s="132"/>
      <c r="H661" s="587"/>
      <c r="I661" s="605">
        <f t="shared" si="61"/>
        <v>0</v>
      </c>
      <c r="J661" s="587"/>
      <c r="K661" s="454"/>
      <c r="L661" s="454"/>
      <c r="M661" s="454"/>
      <c r="N661" s="454"/>
      <c r="O661" s="564"/>
      <c r="P661" s="564"/>
      <c r="Q661" s="611" t="str">
        <f t="shared" si="60"/>
        <v>正确</v>
      </c>
      <c r="X661" s="420"/>
    </row>
    <row r="662" s="397" customFormat="1" outlineLevel="2" spans="2:24">
      <c r="B662" s="428"/>
      <c r="C662" s="479"/>
      <c r="D662" s="722"/>
      <c r="E662" s="585"/>
      <c r="F662" s="586"/>
      <c r="G662" s="132"/>
      <c r="H662" s="587"/>
      <c r="I662" s="605">
        <f t="shared" si="61"/>
        <v>0</v>
      </c>
      <c r="J662" s="587"/>
      <c r="K662" s="454"/>
      <c r="L662" s="454"/>
      <c r="M662" s="454"/>
      <c r="N662" s="454"/>
      <c r="O662" s="564"/>
      <c r="P662" s="564"/>
      <c r="Q662" s="611" t="str">
        <f t="shared" si="60"/>
        <v>正确</v>
      </c>
      <c r="X662" s="420"/>
    </row>
    <row r="663" s="397" customFormat="1" outlineLevel="2" spans="2:24">
      <c r="B663" s="428" t="s">
        <v>2409</v>
      </c>
      <c r="C663" s="429" t="str">
        <f>$G$1</f>
        <v>石嘴山市深阳蓝光市政工程有限公司</v>
      </c>
      <c r="D663" s="722" t="s">
        <v>2438</v>
      </c>
      <c r="E663" s="723" t="s">
        <v>2564</v>
      </c>
      <c r="F663" s="583"/>
      <c r="G663" s="584">
        <f>ROUND(SUM(G664:G684),2)</f>
        <v>0</v>
      </c>
      <c r="H663" s="584">
        <f>ROUND(SUM(H664:H684),2)</f>
        <v>0</v>
      </c>
      <c r="I663" s="605">
        <f t="shared" si="61"/>
        <v>0</v>
      </c>
      <c r="J663" s="584">
        <f t="shared" ref="J663:P663" si="62">ROUND(SUM(J664:J684),2)</f>
        <v>0</v>
      </c>
      <c r="K663" s="584">
        <f t="shared" si="62"/>
        <v>0</v>
      </c>
      <c r="L663" s="584">
        <f t="shared" si="62"/>
        <v>0</v>
      </c>
      <c r="M663" s="584">
        <f t="shared" si="62"/>
        <v>0</v>
      </c>
      <c r="N663" s="584">
        <f t="shared" si="62"/>
        <v>0</v>
      </c>
      <c r="O663" s="584">
        <f t="shared" si="62"/>
        <v>0</v>
      </c>
      <c r="P663" s="584">
        <f t="shared" si="62"/>
        <v>0</v>
      </c>
      <c r="Q663" s="611" t="str">
        <f t="shared" si="60"/>
        <v>正确</v>
      </c>
      <c r="X663" s="501" t="b">
        <f>EXACT(A663,E663)</f>
        <v>0</v>
      </c>
    </row>
    <row r="664" s="397" customFormat="1" outlineLevel="2" spans="2:24">
      <c r="B664" s="428" t="s">
        <v>2409</v>
      </c>
      <c r="C664" s="429" t="str">
        <f>$G$1</f>
        <v>石嘴山市深阳蓝光市政工程有限公司</v>
      </c>
      <c r="D664" s="722" t="s">
        <v>2438</v>
      </c>
      <c r="E664" s="585"/>
      <c r="F664" s="586"/>
      <c r="G664" s="132"/>
      <c r="H664" s="587"/>
      <c r="I664" s="605">
        <f t="shared" si="61"/>
        <v>0</v>
      </c>
      <c r="J664" s="587"/>
      <c r="K664" s="454"/>
      <c r="L664" s="454"/>
      <c r="M664" s="454"/>
      <c r="N664" s="454"/>
      <c r="O664" s="564"/>
      <c r="P664" s="564"/>
      <c r="Q664" s="611" t="str">
        <f t="shared" si="60"/>
        <v>正确</v>
      </c>
      <c r="X664" s="501" t="b">
        <f>EXACT(A664,E664)</f>
        <v>1</v>
      </c>
    </row>
    <row r="665" s="397" customFormat="1" outlineLevel="2" spans="2:24">
      <c r="B665" s="428" t="s">
        <v>2409</v>
      </c>
      <c r="C665" s="429" t="str">
        <f>$G$1</f>
        <v>石嘴山市深阳蓝光市政工程有限公司</v>
      </c>
      <c r="D665" s="722" t="s">
        <v>2438</v>
      </c>
      <c r="E665" s="585"/>
      <c r="F665" s="586"/>
      <c r="G665" s="132"/>
      <c r="H665" s="587"/>
      <c r="I665" s="605">
        <f t="shared" si="61"/>
        <v>0</v>
      </c>
      <c r="J665" s="587"/>
      <c r="K665" s="454"/>
      <c r="L665" s="454"/>
      <c r="M665" s="454"/>
      <c r="N665" s="454"/>
      <c r="O665" s="564"/>
      <c r="P665" s="564"/>
      <c r="Q665" s="611" t="str">
        <f t="shared" si="60"/>
        <v>正确</v>
      </c>
      <c r="X665" s="501" t="b">
        <f>EXACT(A665,E665)</f>
        <v>1</v>
      </c>
    </row>
    <row r="666" s="397" customFormat="1" outlineLevel="2" spans="2:24">
      <c r="B666" s="428" t="s">
        <v>2409</v>
      </c>
      <c r="C666" s="429" t="str">
        <f>$G$1</f>
        <v>石嘴山市深阳蓝光市政工程有限公司</v>
      </c>
      <c r="D666" s="722" t="s">
        <v>2446</v>
      </c>
      <c r="E666" s="585"/>
      <c r="F666" s="586"/>
      <c r="G666" s="132"/>
      <c r="H666" s="587"/>
      <c r="I666" s="605">
        <f t="shared" si="61"/>
        <v>0</v>
      </c>
      <c r="J666" s="587"/>
      <c r="K666" s="454"/>
      <c r="L666" s="454"/>
      <c r="M666" s="454"/>
      <c r="N666" s="454"/>
      <c r="O666" s="564"/>
      <c r="P666" s="564"/>
      <c r="Q666" s="611" t="str">
        <f t="shared" si="60"/>
        <v>正确</v>
      </c>
      <c r="X666" s="501" t="b">
        <f>EXACT(A666,E666)</f>
        <v>1</v>
      </c>
    </row>
    <row r="667" s="397" customFormat="1" outlineLevel="2" spans="2:24">
      <c r="B667" s="428"/>
      <c r="C667" s="479"/>
      <c r="D667" s="722"/>
      <c r="E667" s="585"/>
      <c r="F667" s="586"/>
      <c r="G667" s="132"/>
      <c r="H667" s="587"/>
      <c r="I667" s="605">
        <f t="shared" si="61"/>
        <v>0</v>
      </c>
      <c r="J667" s="587"/>
      <c r="K667" s="454"/>
      <c r="L667" s="454"/>
      <c r="M667" s="454"/>
      <c r="N667" s="454"/>
      <c r="O667" s="564"/>
      <c r="P667" s="564"/>
      <c r="Q667" s="611" t="str">
        <f t="shared" si="60"/>
        <v>正确</v>
      </c>
      <c r="X667" s="420"/>
    </row>
    <row r="668" s="397" customFormat="1" outlineLevel="2" spans="2:24">
      <c r="B668" s="428"/>
      <c r="C668" s="479"/>
      <c r="D668" s="722"/>
      <c r="E668" s="585"/>
      <c r="F668" s="586"/>
      <c r="G668" s="132"/>
      <c r="H668" s="587"/>
      <c r="I668" s="605">
        <f t="shared" si="61"/>
        <v>0</v>
      </c>
      <c r="J668" s="587"/>
      <c r="K668" s="454"/>
      <c r="L668" s="454"/>
      <c r="M668" s="454"/>
      <c r="N668" s="454"/>
      <c r="O668" s="564"/>
      <c r="P668" s="564"/>
      <c r="Q668" s="611" t="str">
        <f t="shared" si="60"/>
        <v>正确</v>
      </c>
      <c r="X668" s="420"/>
    </row>
    <row r="669" s="397" customFormat="1" outlineLevel="2" spans="2:24">
      <c r="B669" s="428"/>
      <c r="C669" s="479"/>
      <c r="D669" s="722"/>
      <c r="E669" s="585"/>
      <c r="F669" s="586"/>
      <c r="G669" s="132"/>
      <c r="H669" s="587"/>
      <c r="I669" s="605">
        <f t="shared" si="61"/>
        <v>0</v>
      </c>
      <c r="J669" s="587"/>
      <c r="K669" s="454"/>
      <c r="L669" s="454"/>
      <c r="M669" s="454"/>
      <c r="N669" s="454"/>
      <c r="O669" s="564"/>
      <c r="P669" s="564"/>
      <c r="Q669" s="611" t="str">
        <f t="shared" si="60"/>
        <v>正确</v>
      </c>
      <c r="X669" s="420"/>
    </row>
    <row r="670" s="397" customFormat="1" outlineLevel="2" spans="2:24">
      <c r="B670" s="428"/>
      <c r="C670" s="479"/>
      <c r="D670" s="722"/>
      <c r="E670" s="585"/>
      <c r="F670" s="586"/>
      <c r="G670" s="132"/>
      <c r="H670" s="587"/>
      <c r="I670" s="605">
        <f t="shared" si="61"/>
        <v>0</v>
      </c>
      <c r="J670" s="587"/>
      <c r="K670" s="454"/>
      <c r="L670" s="454"/>
      <c r="M670" s="454"/>
      <c r="N670" s="454"/>
      <c r="O670" s="564"/>
      <c r="P670" s="564"/>
      <c r="Q670" s="611" t="str">
        <f t="shared" si="60"/>
        <v>正确</v>
      </c>
      <c r="X670" s="420"/>
    </row>
    <row r="671" s="397" customFormat="1" outlineLevel="2" spans="2:24">
      <c r="B671" s="428" t="s">
        <v>2409</v>
      </c>
      <c r="C671" s="429" t="str">
        <f t="shared" ref="C671:C701" si="63">$G$1</f>
        <v>石嘴山市深阳蓝光市政工程有限公司</v>
      </c>
      <c r="D671" s="722" t="s">
        <v>2446</v>
      </c>
      <c r="E671" s="585"/>
      <c r="F671" s="586"/>
      <c r="G671" s="132"/>
      <c r="H671" s="587"/>
      <c r="I671" s="605">
        <f t="shared" si="61"/>
        <v>0</v>
      </c>
      <c r="J671" s="587"/>
      <c r="K671" s="454"/>
      <c r="L671" s="454"/>
      <c r="M671" s="454"/>
      <c r="N671" s="454"/>
      <c r="O671" s="564"/>
      <c r="P671" s="564"/>
      <c r="Q671" s="611" t="str">
        <f t="shared" si="60"/>
        <v>正确</v>
      </c>
      <c r="X671" s="501" t="b">
        <f t="shared" ref="X671:X734" si="64">EXACT(A671,E671)</f>
        <v>1</v>
      </c>
    </row>
    <row r="672" s="397" customFormat="1" outlineLevel="2" spans="2:24">
      <c r="B672" s="428" t="s">
        <v>2409</v>
      </c>
      <c r="C672" s="429" t="str">
        <f t="shared" si="63"/>
        <v>石嘴山市深阳蓝光市政工程有限公司</v>
      </c>
      <c r="D672" s="722" t="s">
        <v>2446</v>
      </c>
      <c r="E672" s="585"/>
      <c r="F672" s="586"/>
      <c r="G672" s="132"/>
      <c r="H672" s="587"/>
      <c r="I672" s="605">
        <f t="shared" si="61"/>
        <v>0</v>
      </c>
      <c r="J672" s="587"/>
      <c r="K672" s="454"/>
      <c r="L672" s="454"/>
      <c r="M672" s="454"/>
      <c r="N672" s="454"/>
      <c r="O672" s="564"/>
      <c r="P672" s="564"/>
      <c r="Q672" s="611" t="str">
        <f t="shared" si="60"/>
        <v>正确</v>
      </c>
      <c r="X672" s="501" t="b">
        <f t="shared" si="64"/>
        <v>1</v>
      </c>
    </row>
    <row r="673" s="397" customFormat="1" outlineLevel="2" spans="2:24">
      <c r="B673" s="428" t="s">
        <v>2409</v>
      </c>
      <c r="C673" s="429" t="str">
        <f t="shared" si="63"/>
        <v>石嘴山市深阳蓝光市政工程有限公司</v>
      </c>
      <c r="D673" s="722" t="s">
        <v>2446</v>
      </c>
      <c r="E673" s="585"/>
      <c r="F673" s="586"/>
      <c r="G673" s="132"/>
      <c r="H673" s="587"/>
      <c r="I673" s="605">
        <f t="shared" si="61"/>
        <v>0</v>
      </c>
      <c r="J673" s="587"/>
      <c r="K673" s="454"/>
      <c r="L673" s="454"/>
      <c r="M673" s="454"/>
      <c r="N673" s="454"/>
      <c r="O673" s="564"/>
      <c r="P673" s="564"/>
      <c r="Q673" s="611" t="str">
        <f t="shared" si="60"/>
        <v>正确</v>
      </c>
      <c r="X673" s="501" t="b">
        <f t="shared" si="64"/>
        <v>1</v>
      </c>
    </row>
    <row r="674" s="397" customFormat="1" outlineLevel="2" spans="2:24">
      <c r="B674" s="428" t="s">
        <v>2409</v>
      </c>
      <c r="C674" s="429" t="str">
        <f t="shared" si="63"/>
        <v>石嘴山市深阳蓝光市政工程有限公司</v>
      </c>
      <c r="D674" s="722" t="s">
        <v>2446</v>
      </c>
      <c r="E674" s="585"/>
      <c r="F674" s="586"/>
      <c r="G674" s="132"/>
      <c r="H674" s="587"/>
      <c r="I674" s="605">
        <f t="shared" si="61"/>
        <v>0</v>
      </c>
      <c r="J674" s="587"/>
      <c r="K674" s="454"/>
      <c r="L674" s="454"/>
      <c r="M674" s="454"/>
      <c r="N674" s="454"/>
      <c r="O674" s="564"/>
      <c r="P674" s="564"/>
      <c r="Q674" s="611" t="str">
        <f t="shared" si="60"/>
        <v>正确</v>
      </c>
      <c r="X674" s="501" t="b">
        <f t="shared" si="64"/>
        <v>1</v>
      </c>
    </row>
    <row r="675" s="397" customFormat="1" outlineLevel="2" spans="2:24">
      <c r="B675" s="428" t="s">
        <v>2409</v>
      </c>
      <c r="C675" s="429" t="str">
        <f t="shared" si="63"/>
        <v>石嘴山市深阳蓝光市政工程有限公司</v>
      </c>
      <c r="D675" s="722" t="s">
        <v>2446</v>
      </c>
      <c r="E675" s="585"/>
      <c r="F675" s="586"/>
      <c r="G675" s="132"/>
      <c r="H675" s="587"/>
      <c r="I675" s="605">
        <f t="shared" si="61"/>
        <v>0</v>
      </c>
      <c r="J675" s="587"/>
      <c r="K675" s="454"/>
      <c r="L675" s="454"/>
      <c r="M675" s="454"/>
      <c r="N675" s="454"/>
      <c r="O675" s="564"/>
      <c r="P675" s="564"/>
      <c r="Q675" s="611" t="str">
        <f t="shared" si="60"/>
        <v>正确</v>
      </c>
      <c r="X675" s="501" t="b">
        <f t="shared" si="64"/>
        <v>1</v>
      </c>
    </row>
    <row r="676" s="397" customFormat="1" outlineLevel="2" spans="2:24">
      <c r="B676" s="428" t="s">
        <v>2409</v>
      </c>
      <c r="C676" s="429" t="str">
        <f t="shared" si="63"/>
        <v>石嘴山市深阳蓝光市政工程有限公司</v>
      </c>
      <c r="D676" s="722" t="s">
        <v>2446</v>
      </c>
      <c r="E676" s="585"/>
      <c r="F676" s="586"/>
      <c r="G676" s="132"/>
      <c r="H676" s="587"/>
      <c r="I676" s="605">
        <f t="shared" si="61"/>
        <v>0</v>
      </c>
      <c r="J676" s="587"/>
      <c r="K676" s="454"/>
      <c r="L676" s="454"/>
      <c r="M676" s="454"/>
      <c r="N676" s="454"/>
      <c r="O676" s="564"/>
      <c r="P676" s="564"/>
      <c r="Q676" s="611" t="str">
        <f t="shared" si="60"/>
        <v>正确</v>
      </c>
      <c r="X676" s="501" t="b">
        <f t="shared" si="64"/>
        <v>1</v>
      </c>
    </row>
    <row r="677" s="397" customFormat="1" outlineLevel="2" spans="2:24">
      <c r="B677" s="428" t="s">
        <v>2409</v>
      </c>
      <c r="C677" s="429" t="str">
        <f t="shared" si="63"/>
        <v>石嘴山市深阳蓝光市政工程有限公司</v>
      </c>
      <c r="D677" s="722" t="s">
        <v>2446</v>
      </c>
      <c r="E677" s="585"/>
      <c r="F677" s="586"/>
      <c r="G677" s="132"/>
      <c r="H677" s="587"/>
      <c r="I677" s="605">
        <f t="shared" si="61"/>
        <v>0</v>
      </c>
      <c r="J677" s="587"/>
      <c r="K677" s="454"/>
      <c r="L677" s="454"/>
      <c r="M677" s="454"/>
      <c r="N677" s="454"/>
      <c r="O677" s="564"/>
      <c r="P677" s="564"/>
      <c r="Q677" s="611" t="str">
        <f t="shared" si="60"/>
        <v>正确</v>
      </c>
      <c r="X677" s="501" t="b">
        <f t="shared" si="64"/>
        <v>1</v>
      </c>
    </row>
    <row r="678" s="397" customFormat="1" outlineLevel="2" spans="2:24">
      <c r="B678" s="428" t="s">
        <v>2409</v>
      </c>
      <c r="C678" s="429" t="str">
        <f t="shared" si="63"/>
        <v>石嘴山市深阳蓝光市政工程有限公司</v>
      </c>
      <c r="D678" s="722" t="s">
        <v>2446</v>
      </c>
      <c r="E678" s="585"/>
      <c r="F678" s="586"/>
      <c r="G678" s="132"/>
      <c r="H678" s="587"/>
      <c r="I678" s="605">
        <f t="shared" si="61"/>
        <v>0</v>
      </c>
      <c r="J678" s="587"/>
      <c r="K678" s="454"/>
      <c r="L678" s="454"/>
      <c r="M678" s="454"/>
      <c r="N678" s="454"/>
      <c r="O678" s="564"/>
      <c r="P678" s="564"/>
      <c r="Q678" s="611" t="str">
        <f t="shared" si="60"/>
        <v>正确</v>
      </c>
      <c r="X678" s="501" t="b">
        <f t="shared" si="64"/>
        <v>1</v>
      </c>
    </row>
    <row r="679" s="397" customFormat="1" outlineLevel="2" spans="2:24">
      <c r="B679" s="428" t="s">
        <v>2409</v>
      </c>
      <c r="C679" s="429" t="str">
        <f t="shared" si="63"/>
        <v>石嘴山市深阳蓝光市政工程有限公司</v>
      </c>
      <c r="D679" s="722" t="s">
        <v>2446</v>
      </c>
      <c r="E679" s="585"/>
      <c r="F679" s="586"/>
      <c r="G679" s="132"/>
      <c r="H679" s="587"/>
      <c r="I679" s="605">
        <f t="shared" si="61"/>
        <v>0</v>
      </c>
      <c r="J679" s="587"/>
      <c r="K679" s="454"/>
      <c r="L679" s="454"/>
      <c r="M679" s="454"/>
      <c r="N679" s="454"/>
      <c r="O679" s="564"/>
      <c r="P679" s="564"/>
      <c r="Q679" s="611" t="str">
        <f t="shared" si="60"/>
        <v>正确</v>
      </c>
      <c r="X679" s="501" t="b">
        <f t="shared" si="64"/>
        <v>1</v>
      </c>
    </row>
    <row r="680" s="397" customFormat="1" outlineLevel="2" spans="2:24">
      <c r="B680" s="428" t="s">
        <v>2409</v>
      </c>
      <c r="C680" s="429" t="str">
        <f t="shared" si="63"/>
        <v>石嘴山市深阳蓝光市政工程有限公司</v>
      </c>
      <c r="D680" s="722" t="s">
        <v>2446</v>
      </c>
      <c r="E680" s="585"/>
      <c r="F680" s="586"/>
      <c r="G680" s="132"/>
      <c r="H680" s="587"/>
      <c r="I680" s="605">
        <f t="shared" si="61"/>
        <v>0</v>
      </c>
      <c r="J680" s="587"/>
      <c r="K680" s="454"/>
      <c r="L680" s="454"/>
      <c r="M680" s="454"/>
      <c r="N680" s="454"/>
      <c r="O680" s="564"/>
      <c r="P680" s="564"/>
      <c r="Q680" s="611" t="str">
        <f t="shared" si="60"/>
        <v>正确</v>
      </c>
      <c r="X680" s="501" t="b">
        <f t="shared" si="64"/>
        <v>1</v>
      </c>
    </row>
    <row r="681" s="397" customFormat="1" outlineLevel="2" spans="2:24">
      <c r="B681" s="428" t="s">
        <v>2409</v>
      </c>
      <c r="C681" s="429" t="str">
        <f t="shared" si="63"/>
        <v>石嘴山市深阳蓝光市政工程有限公司</v>
      </c>
      <c r="D681" s="722" t="s">
        <v>2446</v>
      </c>
      <c r="E681" s="585"/>
      <c r="F681" s="586"/>
      <c r="G681" s="132"/>
      <c r="H681" s="587"/>
      <c r="I681" s="605">
        <f t="shared" si="61"/>
        <v>0</v>
      </c>
      <c r="J681" s="587"/>
      <c r="K681" s="454"/>
      <c r="L681" s="454"/>
      <c r="M681" s="454"/>
      <c r="N681" s="454"/>
      <c r="O681" s="564"/>
      <c r="P681" s="564"/>
      <c r="Q681" s="611" t="str">
        <f t="shared" si="60"/>
        <v>正确</v>
      </c>
      <c r="X681" s="501" t="b">
        <f t="shared" si="64"/>
        <v>1</v>
      </c>
    </row>
    <row r="682" s="397" customFormat="1" outlineLevel="2" spans="2:24">
      <c r="B682" s="428" t="s">
        <v>2409</v>
      </c>
      <c r="C682" s="429" t="str">
        <f t="shared" si="63"/>
        <v>石嘴山市深阳蓝光市政工程有限公司</v>
      </c>
      <c r="D682" s="722" t="s">
        <v>2446</v>
      </c>
      <c r="E682" s="585"/>
      <c r="F682" s="586"/>
      <c r="G682" s="132"/>
      <c r="H682" s="587"/>
      <c r="I682" s="605">
        <f t="shared" si="61"/>
        <v>0</v>
      </c>
      <c r="J682" s="587"/>
      <c r="K682" s="454"/>
      <c r="L682" s="454"/>
      <c r="M682" s="454"/>
      <c r="N682" s="454"/>
      <c r="O682" s="564"/>
      <c r="P682" s="564"/>
      <c r="Q682" s="611" t="str">
        <f t="shared" si="60"/>
        <v>正确</v>
      </c>
      <c r="X682" s="501" t="b">
        <f t="shared" si="64"/>
        <v>1</v>
      </c>
    </row>
    <row r="683" s="397" customFormat="1" outlineLevel="2" spans="2:24">
      <c r="B683" s="428" t="s">
        <v>2409</v>
      </c>
      <c r="C683" s="429" t="str">
        <f t="shared" si="63"/>
        <v>石嘴山市深阳蓝光市政工程有限公司</v>
      </c>
      <c r="D683" s="722" t="s">
        <v>2446</v>
      </c>
      <c r="E683" s="585"/>
      <c r="F683" s="586"/>
      <c r="G683" s="132"/>
      <c r="H683" s="587"/>
      <c r="I683" s="605">
        <f t="shared" si="61"/>
        <v>0</v>
      </c>
      <c r="J683" s="587"/>
      <c r="K683" s="454"/>
      <c r="L683" s="454"/>
      <c r="M683" s="454"/>
      <c r="N683" s="454"/>
      <c r="O683" s="564"/>
      <c r="P683" s="564"/>
      <c r="Q683" s="611" t="str">
        <f t="shared" si="60"/>
        <v>正确</v>
      </c>
      <c r="X683" s="501" t="b">
        <f t="shared" si="64"/>
        <v>1</v>
      </c>
    </row>
    <row r="684" s="397" customFormat="1" outlineLevel="2" spans="2:24">
      <c r="B684" s="428" t="s">
        <v>2409</v>
      </c>
      <c r="C684" s="429" t="str">
        <f t="shared" si="63"/>
        <v>石嘴山市深阳蓝光市政工程有限公司</v>
      </c>
      <c r="D684" s="722" t="s">
        <v>2446</v>
      </c>
      <c r="E684" s="585"/>
      <c r="F684" s="586"/>
      <c r="G684" s="132"/>
      <c r="H684" s="587"/>
      <c r="I684" s="605">
        <f t="shared" si="61"/>
        <v>0</v>
      </c>
      <c r="J684" s="587"/>
      <c r="K684" s="454"/>
      <c r="L684" s="454"/>
      <c r="M684" s="454"/>
      <c r="N684" s="454"/>
      <c r="O684" s="564"/>
      <c r="P684" s="564"/>
      <c r="Q684" s="611" t="str">
        <f t="shared" si="60"/>
        <v>正确</v>
      </c>
      <c r="X684" s="501" t="b">
        <f t="shared" si="64"/>
        <v>1</v>
      </c>
    </row>
    <row r="685" s="397" customFormat="1" outlineLevel="2" spans="1:24">
      <c r="A685" s="397" t="s">
        <v>1580</v>
      </c>
      <c r="B685" s="428" t="s">
        <v>2409</v>
      </c>
      <c r="C685" s="429" t="str">
        <f t="shared" si="63"/>
        <v>石嘴山市深阳蓝光市政工程有限公司</v>
      </c>
      <c r="D685" s="722" t="s">
        <v>2446</v>
      </c>
      <c r="E685" s="561" t="s">
        <v>1580</v>
      </c>
      <c r="F685" s="604"/>
      <c r="G685" s="135">
        <f>G663+G639</f>
        <v>0</v>
      </c>
      <c r="H685" s="135">
        <f>H663+H639</f>
        <v>0</v>
      </c>
      <c r="I685" s="605">
        <f t="shared" si="61"/>
        <v>0</v>
      </c>
      <c r="J685" s="602"/>
      <c r="K685" s="135">
        <f t="shared" ref="K685:P685" si="65">K663+K639</f>
        <v>0</v>
      </c>
      <c r="L685" s="135">
        <f t="shared" si="65"/>
        <v>0</v>
      </c>
      <c r="M685" s="135">
        <f t="shared" si="65"/>
        <v>0</v>
      </c>
      <c r="N685" s="135">
        <f t="shared" si="65"/>
        <v>0</v>
      </c>
      <c r="O685" s="135">
        <f t="shared" si="65"/>
        <v>0</v>
      </c>
      <c r="P685" s="135">
        <f t="shared" si="65"/>
        <v>0</v>
      </c>
      <c r="Q685" s="611" t="str">
        <f t="shared" si="60"/>
        <v>正确</v>
      </c>
      <c r="X685" s="501" t="b">
        <f t="shared" si="64"/>
        <v>1</v>
      </c>
    </row>
    <row r="686" s="397" customFormat="1" outlineLevel="2" spans="2:24">
      <c r="B686" s="428" t="s">
        <v>2409</v>
      </c>
      <c r="C686" s="429" t="str">
        <f t="shared" si="63"/>
        <v>石嘴山市深阳蓝光市政工程有限公司</v>
      </c>
      <c r="D686" s="722" t="s">
        <v>2446</v>
      </c>
      <c r="E686" s="612" t="s">
        <v>2566</v>
      </c>
      <c r="F686" s="560"/>
      <c r="G686" s="560"/>
      <c r="H686" s="560"/>
      <c r="I686" s="560"/>
      <c r="J686" s="560"/>
      <c r="K686" s="560"/>
      <c r="L686" s="451"/>
      <c r="M686" s="568"/>
      <c r="N686" s="560"/>
      <c r="X686" s="501" t="b">
        <f t="shared" si="64"/>
        <v>0</v>
      </c>
    </row>
    <row r="687" s="397" customFormat="1" outlineLevel="2" spans="1:24">
      <c r="A687" s="397" t="s">
        <v>2412</v>
      </c>
      <c r="B687" s="428" t="s">
        <v>2409</v>
      </c>
      <c r="C687" s="429" t="str">
        <f t="shared" si="63"/>
        <v>石嘴山市深阳蓝光市政工程有限公司</v>
      </c>
      <c r="D687" s="558" t="s">
        <v>2410</v>
      </c>
      <c r="E687" s="614" t="s">
        <v>2412</v>
      </c>
      <c r="F687" s="562" t="s">
        <v>315</v>
      </c>
      <c r="G687" s="561"/>
      <c r="H687" s="561"/>
      <c r="I687" s="561"/>
      <c r="J687" s="561" t="s">
        <v>1579</v>
      </c>
      <c r="K687" s="561"/>
      <c r="L687" s="561"/>
      <c r="M687" s="561"/>
      <c r="N687" s="588" t="s">
        <v>2413</v>
      </c>
      <c r="O687" s="589" t="s">
        <v>2414</v>
      </c>
      <c r="P687" s="590" t="s">
        <v>2415</v>
      </c>
      <c r="Q687" s="595" t="s">
        <v>2418</v>
      </c>
      <c r="R687" s="596"/>
      <c r="X687" s="501" t="b">
        <f t="shared" si="64"/>
        <v>1</v>
      </c>
    </row>
    <row r="688" s="397" customFormat="1" outlineLevel="2" spans="2:24">
      <c r="B688" s="428" t="s">
        <v>2409</v>
      </c>
      <c r="C688" s="429" t="str">
        <f t="shared" si="63"/>
        <v>石嘴山市深阳蓝光市政工程有限公司</v>
      </c>
      <c r="D688" s="558" t="s">
        <v>2410</v>
      </c>
      <c r="E688" s="615"/>
      <c r="F688" s="561" t="s">
        <v>2419</v>
      </c>
      <c r="G688" s="561" t="s">
        <v>444</v>
      </c>
      <c r="H688" s="561" t="s">
        <v>470</v>
      </c>
      <c r="I688" s="561" t="s">
        <v>2420</v>
      </c>
      <c r="J688" s="561" t="s">
        <v>2419</v>
      </c>
      <c r="K688" s="561" t="s">
        <v>444</v>
      </c>
      <c r="L688" s="561" t="s">
        <v>470</v>
      </c>
      <c r="M688" s="561" t="s">
        <v>2420</v>
      </c>
      <c r="O688" s="591"/>
      <c r="Q688" s="597" t="s">
        <v>2421</v>
      </c>
      <c r="R688" s="597" t="s">
        <v>2422</v>
      </c>
      <c r="X688" s="501" t="b">
        <f t="shared" si="64"/>
        <v>1</v>
      </c>
    </row>
    <row r="689" s="397" customFormat="1" outlineLevel="2" spans="1:24">
      <c r="A689" s="397" t="s">
        <v>1585</v>
      </c>
      <c r="B689" s="428" t="s">
        <v>2409</v>
      </c>
      <c r="C689" s="429" t="str">
        <f t="shared" si="63"/>
        <v>石嘴山市深阳蓝光市政工程有限公司</v>
      </c>
      <c r="D689" s="558" t="s">
        <v>2410</v>
      </c>
      <c r="E689" s="561" t="s">
        <v>2423</v>
      </c>
      <c r="F689" s="132"/>
      <c r="G689" s="563">
        <f t="shared" ref="G689:G694" si="66">IF($F$695=0,0,ROUND(F689/$F$695,4))+Q689</f>
        <v>0</v>
      </c>
      <c r="H689" s="132"/>
      <c r="I689" s="563">
        <f t="shared" ref="I689:I695" si="67">IFERROR(ROUND(H689/F689,4),0)</f>
        <v>0</v>
      </c>
      <c r="J689" s="477">
        <f>报表附注合并期初用!E295</f>
        <v>0</v>
      </c>
      <c r="K689" s="563">
        <f t="shared" ref="K689:K694" si="68">IF($J$695=0,0,ROUND(J689/$J$695,4))+R689</f>
        <v>0</v>
      </c>
      <c r="L689" s="477">
        <f>报表附注合并期初用!E303</f>
        <v>0</v>
      </c>
      <c r="M689" s="563">
        <f>IFERROR(ROUND(L689/J689,4),0)</f>
        <v>0</v>
      </c>
      <c r="N689" s="625">
        <v>0.05</v>
      </c>
      <c r="O689" s="591"/>
      <c r="P689" s="593"/>
      <c r="Q689" s="598"/>
      <c r="R689" s="598"/>
      <c r="X689" s="501" t="b">
        <f t="shared" si="64"/>
        <v>1</v>
      </c>
    </row>
    <row r="690" s="397" customFormat="1" outlineLevel="2" spans="1:24">
      <c r="A690" s="397" t="s">
        <v>1586</v>
      </c>
      <c r="B690" s="428" t="s">
        <v>2409</v>
      </c>
      <c r="C690" s="429" t="str">
        <f t="shared" si="63"/>
        <v>石嘴山市深阳蓝光市政工程有限公司</v>
      </c>
      <c r="D690" s="558" t="s">
        <v>2410</v>
      </c>
      <c r="E690" s="561" t="s">
        <v>2424</v>
      </c>
      <c r="F690" s="132"/>
      <c r="G690" s="563">
        <f t="shared" si="66"/>
        <v>0</v>
      </c>
      <c r="H690" s="132"/>
      <c r="I690" s="563">
        <f t="shared" si="67"/>
        <v>0</v>
      </c>
      <c r="J690" s="477">
        <f>报表附注合并期初用!E296</f>
        <v>0</v>
      </c>
      <c r="K690" s="563">
        <f t="shared" si="68"/>
        <v>0</v>
      </c>
      <c r="L690" s="477">
        <f>报表附注合并期初用!E304</f>
        <v>0</v>
      </c>
      <c r="M690" s="563">
        <f t="shared" ref="M690:M695" si="69">IFERROR(ROUND(L690/J690,4),0)</f>
        <v>0</v>
      </c>
      <c r="N690" s="625">
        <v>0.1</v>
      </c>
      <c r="O690" s="594" t="str">
        <f>IF(F690&lt;=J689,"合理","1-2年账不合理")</f>
        <v>合理</v>
      </c>
      <c r="P690" s="593"/>
      <c r="Q690" s="598"/>
      <c r="R690" s="598"/>
      <c r="X690" s="501" t="b">
        <f t="shared" si="64"/>
        <v>1</v>
      </c>
    </row>
    <row r="691" s="397" customFormat="1" outlineLevel="2" spans="1:24">
      <c r="A691" s="397" t="s">
        <v>1587</v>
      </c>
      <c r="B691" s="428" t="s">
        <v>2409</v>
      </c>
      <c r="C691" s="429" t="str">
        <f t="shared" si="63"/>
        <v>石嘴山市深阳蓝光市政工程有限公司</v>
      </c>
      <c r="D691" s="558" t="s">
        <v>2410</v>
      </c>
      <c r="E691" s="561" t="s">
        <v>2425</v>
      </c>
      <c r="F691" s="132"/>
      <c r="G691" s="563">
        <f t="shared" si="66"/>
        <v>0</v>
      </c>
      <c r="H691" s="132"/>
      <c r="I691" s="563">
        <f t="shared" si="67"/>
        <v>0</v>
      </c>
      <c r="J691" s="477">
        <f>报表附注合并期初用!E297</f>
        <v>0</v>
      </c>
      <c r="K691" s="563">
        <f t="shared" si="68"/>
        <v>0</v>
      </c>
      <c r="L691" s="477">
        <f>报表附注合并期初用!E305</f>
        <v>0</v>
      </c>
      <c r="M691" s="563">
        <f t="shared" si="69"/>
        <v>0</v>
      </c>
      <c r="N691" s="625">
        <v>0.3</v>
      </c>
      <c r="O691" s="594" t="str">
        <f>IF(F691&lt;=J690,"合理","2-3年账不合理")</f>
        <v>合理</v>
      </c>
      <c r="P691" s="593"/>
      <c r="Q691" s="598"/>
      <c r="R691" s="598"/>
      <c r="X691" s="501" t="b">
        <f t="shared" si="64"/>
        <v>1</v>
      </c>
    </row>
    <row r="692" s="397" customFormat="1" outlineLevel="2" spans="1:24">
      <c r="A692" s="397" t="s">
        <v>1588</v>
      </c>
      <c r="B692" s="428" t="s">
        <v>2409</v>
      </c>
      <c r="C692" s="429" t="str">
        <f t="shared" si="63"/>
        <v>石嘴山市深阳蓝光市政工程有限公司</v>
      </c>
      <c r="D692" s="558" t="s">
        <v>2410</v>
      </c>
      <c r="E692" s="561" t="s">
        <v>2426</v>
      </c>
      <c r="F692" s="132"/>
      <c r="G692" s="563">
        <f t="shared" si="66"/>
        <v>0</v>
      </c>
      <c r="H692" s="132"/>
      <c r="I692" s="563">
        <f t="shared" si="67"/>
        <v>0</v>
      </c>
      <c r="J692" s="477">
        <f>报表附注合并期初用!E298</f>
        <v>0</v>
      </c>
      <c r="K692" s="563">
        <f t="shared" si="68"/>
        <v>0</v>
      </c>
      <c r="L692" s="477">
        <f>报表附注合并期初用!E306</f>
        <v>0</v>
      </c>
      <c r="M692" s="563">
        <f t="shared" si="69"/>
        <v>0</v>
      </c>
      <c r="N692" s="625">
        <v>1</v>
      </c>
      <c r="O692" s="594" t="str">
        <f>IF(F692&lt;=J691+J692,"合理","3-4年账不合理")</f>
        <v>合理</v>
      </c>
      <c r="P692" s="593"/>
      <c r="Q692" s="598"/>
      <c r="R692" s="598"/>
      <c r="X692" s="501" t="b">
        <f t="shared" si="64"/>
        <v>1</v>
      </c>
    </row>
    <row r="693" s="397" customFormat="1" outlineLevel="2" spans="1:24">
      <c r="A693" s="397" t="s">
        <v>1589</v>
      </c>
      <c r="B693" s="428" t="s">
        <v>2409</v>
      </c>
      <c r="C693" s="429" t="str">
        <f t="shared" si="63"/>
        <v>石嘴山市深阳蓝光市政工程有限公司</v>
      </c>
      <c r="D693" s="558" t="s">
        <v>2410</v>
      </c>
      <c r="E693" s="561" t="s">
        <v>2427</v>
      </c>
      <c r="F693" s="698"/>
      <c r="G693" s="563">
        <f t="shared" si="66"/>
        <v>0</v>
      </c>
      <c r="H693" s="698"/>
      <c r="I693" s="563">
        <f t="shared" si="67"/>
        <v>0</v>
      </c>
      <c r="J693" s="477">
        <f>报表附注合并期初用!E299</f>
        <v>0</v>
      </c>
      <c r="K693" s="563">
        <f t="shared" si="68"/>
        <v>0</v>
      </c>
      <c r="L693" s="477">
        <f>报表附注合并期初用!E307</f>
        <v>0</v>
      </c>
      <c r="M693" s="563">
        <f t="shared" si="69"/>
        <v>0</v>
      </c>
      <c r="N693" s="593"/>
      <c r="O693" s="594" t="str">
        <f>IF(F693&lt;=J692,"合理","3-4年账龄不合理")</f>
        <v>合理</v>
      </c>
      <c r="P693" s="593"/>
      <c r="Q693" s="598"/>
      <c r="R693" s="598"/>
      <c r="X693" s="501" t="b">
        <f t="shared" si="64"/>
        <v>1</v>
      </c>
    </row>
    <row r="694" s="397" customFormat="1" outlineLevel="2" spans="1:24">
      <c r="A694" s="397" t="s">
        <v>1590</v>
      </c>
      <c r="B694" s="428" t="s">
        <v>2409</v>
      </c>
      <c r="C694" s="429" t="str">
        <f t="shared" si="63"/>
        <v>石嘴山市深阳蓝光市政工程有限公司</v>
      </c>
      <c r="D694" s="558" t="s">
        <v>2410</v>
      </c>
      <c r="E694" s="561" t="s">
        <v>2428</v>
      </c>
      <c r="F694" s="698"/>
      <c r="G694" s="563">
        <f t="shared" si="66"/>
        <v>0</v>
      </c>
      <c r="H694" s="698"/>
      <c r="I694" s="563">
        <f t="shared" si="67"/>
        <v>0</v>
      </c>
      <c r="J694" s="477">
        <f>报表附注合并期初用!E300</f>
        <v>0</v>
      </c>
      <c r="K694" s="563">
        <f t="shared" si="68"/>
        <v>0</v>
      </c>
      <c r="L694" s="477">
        <f>报表附注合并期初用!E308</f>
        <v>0</v>
      </c>
      <c r="M694" s="563">
        <f t="shared" si="69"/>
        <v>0</v>
      </c>
      <c r="N694" s="593"/>
      <c r="O694" s="594" t="str">
        <f>IF(F694&lt;=(J694+J693),"合理","5年以上账龄不合理")</f>
        <v>合理</v>
      </c>
      <c r="P694" s="593"/>
      <c r="Q694" s="598"/>
      <c r="R694" s="598"/>
      <c r="X694" s="501" t="b">
        <f t="shared" si="64"/>
        <v>1</v>
      </c>
    </row>
    <row r="695" s="397" customFormat="1" outlineLevel="2" spans="1:24">
      <c r="A695" s="397" t="s">
        <v>1580</v>
      </c>
      <c r="B695" s="428" t="s">
        <v>2409</v>
      </c>
      <c r="C695" s="429" t="str">
        <f t="shared" si="63"/>
        <v>石嘴山市深阳蓝光市政工程有限公司</v>
      </c>
      <c r="D695" s="558" t="s">
        <v>2410</v>
      </c>
      <c r="E695" s="561" t="s">
        <v>1580</v>
      </c>
      <c r="F695" s="565">
        <f>SUM(F689:F694)</f>
        <v>0</v>
      </c>
      <c r="G695" s="563">
        <f>SUM(G689:G694)</f>
        <v>0</v>
      </c>
      <c r="H695" s="565">
        <f>SUM(H689:H694)</f>
        <v>0</v>
      </c>
      <c r="I695" s="563">
        <f t="shared" si="67"/>
        <v>0</v>
      </c>
      <c r="J695" s="565">
        <f>SUM(J689:J694)</f>
        <v>0</v>
      </c>
      <c r="K695" s="563">
        <f>SUM(K689:K694)</f>
        <v>0</v>
      </c>
      <c r="L695" s="565">
        <f>SUM(L689:L694)</f>
        <v>0</v>
      </c>
      <c r="M695" s="563">
        <f t="shared" si="69"/>
        <v>0</v>
      </c>
      <c r="O695" s="560"/>
      <c r="X695" s="501" t="b">
        <f t="shared" si="64"/>
        <v>1</v>
      </c>
    </row>
    <row r="696" s="397" customFormat="1" outlineLevel="2" spans="2:24">
      <c r="B696" s="428" t="s">
        <v>2549</v>
      </c>
      <c r="C696" s="429" t="str">
        <f t="shared" si="63"/>
        <v>石嘴山市深阳蓝光市政工程有限公司</v>
      </c>
      <c r="D696" s="558" t="s">
        <v>2567</v>
      </c>
      <c r="E696" s="727"/>
      <c r="F696" s="727"/>
      <c r="G696" s="727"/>
      <c r="H696" s="703"/>
      <c r="I696" s="703"/>
      <c r="J696" s="703"/>
      <c r="K696" s="703"/>
      <c r="L696" s="703"/>
      <c r="M696" s="703"/>
      <c r="N696" s="560"/>
      <c r="X696" s="501" t="b">
        <f t="shared" si="64"/>
        <v>1</v>
      </c>
    </row>
    <row r="697" s="397" customFormat="1" outlineLevel="2" spans="1:24">
      <c r="A697" s="397" t="s">
        <v>2568</v>
      </c>
      <c r="B697" s="428" t="s">
        <v>2549</v>
      </c>
      <c r="C697" s="429" t="str">
        <f t="shared" si="63"/>
        <v>石嘴山市深阳蓝光市政工程有限公司</v>
      </c>
      <c r="D697" s="694" t="s">
        <v>2569</v>
      </c>
      <c r="E697" s="617" t="s">
        <v>2570</v>
      </c>
      <c r="F697" s="727"/>
      <c r="G697" s="727"/>
      <c r="H697" s="703"/>
      <c r="I697" s="703"/>
      <c r="J697" s="703"/>
      <c r="K697" s="703"/>
      <c r="L697" s="703"/>
      <c r="M697" s="703"/>
      <c r="N697" s="560"/>
      <c r="X697" s="501" t="b">
        <f t="shared" si="64"/>
        <v>1</v>
      </c>
    </row>
    <row r="698" s="397" customFormat="1" outlineLevel="2" spans="2:24">
      <c r="B698" s="428" t="s">
        <v>2549</v>
      </c>
      <c r="C698" s="429" t="str">
        <f t="shared" si="63"/>
        <v>石嘴山市深阳蓝光市政工程有限公司</v>
      </c>
      <c r="D698" s="694" t="s">
        <v>2569</v>
      </c>
      <c r="E698" s="727"/>
      <c r="F698" s="728" t="s">
        <v>2571</v>
      </c>
      <c r="G698" s="729">
        <v>1500000</v>
      </c>
      <c r="H698" s="703"/>
      <c r="I698" s="703"/>
      <c r="J698" s="703"/>
      <c r="K698" s="703"/>
      <c r="L698" s="703"/>
      <c r="M698" s="703"/>
      <c r="N698" s="560"/>
      <c r="X698" s="501" t="b">
        <f t="shared" si="64"/>
        <v>1</v>
      </c>
    </row>
    <row r="699" s="397" customFormat="1" outlineLevel="2" spans="1:24">
      <c r="A699" s="397" t="s">
        <v>2036</v>
      </c>
      <c r="B699" s="428" t="s">
        <v>2549</v>
      </c>
      <c r="C699" s="429" t="str">
        <f t="shared" si="63"/>
        <v>石嘴山市深阳蓝光市政工程有限公司</v>
      </c>
      <c r="D699" s="694" t="s">
        <v>2572</v>
      </c>
      <c r="E699" s="561" t="s">
        <v>2036</v>
      </c>
      <c r="F699" s="561" t="s">
        <v>2440</v>
      </c>
      <c r="G699" s="561" t="s">
        <v>1664</v>
      </c>
      <c r="H699" s="561" t="s">
        <v>470</v>
      </c>
      <c r="I699" s="561" t="s">
        <v>2455</v>
      </c>
      <c r="J699" s="626" t="s">
        <v>2443</v>
      </c>
      <c r="K699" s="627" t="s">
        <v>2573</v>
      </c>
      <c r="L699" s="703"/>
      <c r="M699" s="703"/>
      <c r="N699" s="560"/>
      <c r="X699" s="501" t="b">
        <f t="shared" si="64"/>
        <v>1</v>
      </c>
    </row>
    <row r="700" s="397" customFormat="1" outlineLevel="2" spans="2:24">
      <c r="B700" s="428" t="s">
        <v>2549</v>
      </c>
      <c r="C700" s="429" t="str">
        <f t="shared" si="63"/>
        <v>石嘴山市深阳蓝光市政工程有限公司</v>
      </c>
      <c r="D700" s="694" t="s">
        <v>2572</v>
      </c>
      <c r="E700" s="585"/>
      <c r="F700" s="585"/>
      <c r="G700" s="456"/>
      <c r="H700" s="132"/>
      <c r="I700" s="563">
        <f>IFERROR(ROUND(H700/G700,4),0)</f>
        <v>0</v>
      </c>
      <c r="J700" s="456"/>
      <c r="K700" s="568"/>
      <c r="L700" s="703"/>
      <c r="M700" s="703"/>
      <c r="N700" s="560"/>
      <c r="X700" s="501" t="b">
        <f t="shared" si="64"/>
        <v>1</v>
      </c>
    </row>
    <row r="701" s="397" customFormat="1" outlineLevel="2" spans="2:24">
      <c r="B701" s="428" t="s">
        <v>2549</v>
      </c>
      <c r="C701" s="429" t="str">
        <f t="shared" si="63"/>
        <v>石嘴山市深阳蓝光市政工程有限公司</v>
      </c>
      <c r="D701" s="694" t="s">
        <v>2572</v>
      </c>
      <c r="E701" s="585"/>
      <c r="F701" s="585"/>
      <c r="G701" s="456"/>
      <c r="H701" s="132"/>
      <c r="I701" s="563">
        <f t="shared" ref="I701:I726" si="70">IFERROR(ROUND(H701/G701,4),0)</f>
        <v>0</v>
      </c>
      <c r="J701" s="456"/>
      <c r="K701" s="568"/>
      <c r="L701" s="703"/>
      <c r="M701" s="703"/>
      <c r="N701" s="560"/>
      <c r="X701" s="501" t="b">
        <f t="shared" si="64"/>
        <v>1</v>
      </c>
    </row>
    <row r="702" s="397" customFormat="1" outlineLevel="2" spans="2:24">
      <c r="B702" s="428"/>
      <c r="C702" s="479"/>
      <c r="D702" s="694"/>
      <c r="E702" s="585"/>
      <c r="F702" s="585"/>
      <c r="G702" s="456"/>
      <c r="H702" s="132"/>
      <c r="I702" s="563">
        <f t="shared" si="70"/>
        <v>0</v>
      </c>
      <c r="J702" s="456"/>
      <c r="K702" s="568"/>
      <c r="L702" s="703"/>
      <c r="M702" s="703"/>
      <c r="N702" s="560"/>
      <c r="X702" s="420"/>
    </row>
    <row r="703" s="397" customFormat="1" outlineLevel="2" spans="2:24">
      <c r="B703" s="428"/>
      <c r="C703" s="479"/>
      <c r="D703" s="694"/>
      <c r="E703" s="585"/>
      <c r="F703" s="585"/>
      <c r="G703" s="456"/>
      <c r="H703" s="132"/>
      <c r="I703" s="563">
        <f t="shared" si="70"/>
        <v>0</v>
      </c>
      <c r="J703" s="456"/>
      <c r="K703" s="568"/>
      <c r="L703" s="703"/>
      <c r="M703" s="703"/>
      <c r="N703" s="560"/>
      <c r="X703" s="420"/>
    </row>
    <row r="704" s="397" customFormat="1" outlineLevel="2" spans="2:24">
      <c r="B704" s="428"/>
      <c r="C704" s="479"/>
      <c r="D704" s="694"/>
      <c r="E704" s="585"/>
      <c r="F704" s="585"/>
      <c r="G704" s="456"/>
      <c r="H704" s="132"/>
      <c r="I704" s="563">
        <f t="shared" si="70"/>
        <v>0</v>
      </c>
      <c r="J704" s="456"/>
      <c r="K704" s="568"/>
      <c r="L704" s="703"/>
      <c r="M704" s="703"/>
      <c r="N704" s="560"/>
      <c r="X704" s="420"/>
    </row>
    <row r="705" s="397" customFormat="1" outlineLevel="2" spans="2:24">
      <c r="B705" s="428"/>
      <c r="C705" s="479"/>
      <c r="D705" s="694"/>
      <c r="E705" s="585"/>
      <c r="F705" s="585"/>
      <c r="G705" s="456"/>
      <c r="H705" s="132"/>
      <c r="I705" s="563">
        <f t="shared" si="70"/>
        <v>0</v>
      </c>
      <c r="J705" s="456"/>
      <c r="K705" s="568"/>
      <c r="L705" s="703"/>
      <c r="M705" s="703"/>
      <c r="N705" s="560"/>
      <c r="X705" s="420"/>
    </row>
    <row r="706" s="397" customFormat="1" outlineLevel="2" spans="2:24">
      <c r="B706" s="428"/>
      <c r="C706" s="479"/>
      <c r="D706" s="694"/>
      <c r="E706" s="585"/>
      <c r="F706" s="585"/>
      <c r="G706" s="456"/>
      <c r="H706" s="132"/>
      <c r="I706" s="563">
        <f t="shared" si="70"/>
        <v>0</v>
      </c>
      <c r="J706" s="456"/>
      <c r="K706" s="568"/>
      <c r="L706" s="703"/>
      <c r="M706" s="703"/>
      <c r="N706" s="560"/>
      <c r="X706" s="420"/>
    </row>
    <row r="707" s="397" customFormat="1" outlineLevel="2" spans="2:24">
      <c r="B707" s="428"/>
      <c r="C707" s="479"/>
      <c r="D707" s="694"/>
      <c r="E707" s="585"/>
      <c r="F707" s="585"/>
      <c r="G707" s="456"/>
      <c r="H707" s="132"/>
      <c r="I707" s="563">
        <f t="shared" si="70"/>
        <v>0</v>
      </c>
      <c r="J707" s="456"/>
      <c r="K707" s="568"/>
      <c r="L707" s="703"/>
      <c r="M707" s="703"/>
      <c r="N707" s="560"/>
      <c r="X707" s="420"/>
    </row>
    <row r="708" s="397" customFormat="1" outlineLevel="2" spans="2:24">
      <c r="B708" s="428"/>
      <c r="C708" s="479"/>
      <c r="D708" s="694"/>
      <c r="E708" s="585"/>
      <c r="F708" s="585"/>
      <c r="G708" s="456"/>
      <c r="H708" s="132"/>
      <c r="I708" s="563">
        <f t="shared" si="70"/>
        <v>0</v>
      </c>
      <c r="J708" s="456"/>
      <c r="K708" s="568"/>
      <c r="L708" s="703"/>
      <c r="M708" s="703"/>
      <c r="N708" s="560"/>
      <c r="X708" s="420"/>
    </row>
    <row r="709" s="397" customFormat="1" outlineLevel="2" spans="2:24">
      <c r="B709" s="428"/>
      <c r="C709" s="479"/>
      <c r="D709" s="694"/>
      <c r="E709" s="585"/>
      <c r="F709" s="585"/>
      <c r="G709" s="456"/>
      <c r="H709" s="132"/>
      <c r="I709" s="563">
        <f t="shared" si="70"/>
        <v>0</v>
      </c>
      <c r="J709" s="456"/>
      <c r="K709" s="568"/>
      <c r="L709" s="703"/>
      <c r="M709" s="703"/>
      <c r="N709" s="560"/>
      <c r="X709" s="420"/>
    </row>
    <row r="710" s="397" customFormat="1" outlineLevel="2" spans="2:24">
      <c r="B710" s="428" t="s">
        <v>2549</v>
      </c>
      <c r="C710" s="429" t="str">
        <f t="shared" ref="C710:C773" si="71">$G$1</f>
        <v>石嘴山市深阳蓝光市政工程有限公司</v>
      </c>
      <c r="D710" s="694" t="s">
        <v>2572</v>
      </c>
      <c r="E710" s="585"/>
      <c r="F710" s="585"/>
      <c r="G710" s="456"/>
      <c r="H710" s="132"/>
      <c r="I710" s="563">
        <f t="shared" si="70"/>
        <v>0</v>
      </c>
      <c r="J710" s="456"/>
      <c r="K710" s="568"/>
      <c r="L710" s="703"/>
      <c r="M710" s="703"/>
      <c r="N710" s="560"/>
      <c r="X710" s="501" t="b">
        <f t="shared" si="64"/>
        <v>1</v>
      </c>
    </row>
    <row r="711" s="397" customFormat="1" outlineLevel="2" spans="2:24">
      <c r="B711" s="428" t="s">
        <v>2549</v>
      </c>
      <c r="C711" s="429" t="str">
        <f t="shared" si="71"/>
        <v>石嘴山市深阳蓝光市政工程有限公司</v>
      </c>
      <c r="D711" s="694" t="s">
        <v>2572</v>
      </c>
      <c r="E711" s="730"/>
      <c r="F711" s="731"/>
      <c r="G711" s="731"/>
      <c r="H711" s="732"/>
      <c r="I711" s="563">
        <f t="shared" si="70"/>
        <v>0</v>
      </c>
      <c r="J711" s="743"/>
      <c r="K711" s="703"/>
      <c r="L711" s="703"/>
      <c r="M711" s="703"/>
      <c r="N711" s="560"/>
      <c r="X711" s="501" t="b">
        <f t="shared" si="64"/>
        <v>1</v>
      </c>
    </row>
    <row r="712" s="397" customFormat="1" outlineLevel="2" spans="2:24">
      <c r="B712" s="428" t="s">
        <v>2549</v>
      </c>
      <c r="C712" s="429" t="str">
        <f t="shared" si="71"/>
        <v>石嘴山市深阳蓝光市政工程有限公司</v>
      </c>
      <c r="D712" s="694" t="s">
        <v>2572</v>
      </c>
      <c r="E712" s="730"/>
      <c r="F712" s="731"/>
      <c r="G712" s="731"/>
      <c r="H712" s="732"/>
      <c r="I712" s="563">
        <f t="shared" si="70"/>
        <v>0</v>
      </c>
      <c r="J712" s="743"/>
      <c r="K712" s="703"/>
      <c r="L712" s="703"/>
      <c r="M712" s="703"/>
      <c r="N712" s="560"/>
      <c r="X712" s="501" t="b">
        <f t="shared" si="64"/>
        <v>1</v>
      </c>
    </row>
    <row r="713" s="397" customFormat="1" outlineLevel="2" spans="2:24">
      <c r="B713" s="428" t="s">
        <v>2549</v>
      </c>
      <c r="C713" s="429" t="str">
        <f t="shared" si="71"/>
        <v>石嘴山市深阳蓝光市政工程有限公司</v>
      </c>
      <c r="D713" s="694" t="s">
        <v>2572</v>
      </c>
      <c r="E713" s="730"/>
      <c r="F713" s="731"/>
      <c r="G713" s="731"/>
      <c r="H713" s="732"/>
      <c r="I713" s="563">
        <f t="shared" si="70"/>
        <v>0</v>
      </c>
      <c r="J713" s="743"/>
      <c r="K713" s="703"/>
      <c r="L713" s="703"/>
      <c r="M713" s="703"/>
      <c r="N713" s="560"/>
      <c r="X713" s="501" t="b">
        <f t="shared" si="64"/>
        <v>1</v>
      </c>
    </row>
    <row r="714" s="397" customFormat="1" outlineLevel="2" spans="2:24">
      <c r="B714" s="428" t="s">
        <v>2549</v>
      </c>
      <c r="C714" s="429" t="str">
        <f t="shared" si="71"/>
        <v>石嘴山市深阳蓝光市政工程有限公司</v>
      </c>
      <c r="D714" s="694" t="s">
        <v>2572</v>
      </c>
      <c r="E714" s="730"/>
      <c r="F714" s="731"/>
      <c r="G714" s="731"/>
      <c r="H714" s="732"/>
      <c r="I714" s="563">
        <f t="shared" si="70"/>
        <v>0</v>
      </c>
      <c r="J714" s="743"/>
      <c r="K714" s="703"/>
      <c r="L714" s="703"/>
      <c r="M714" s="703"/>
      <c r="N714" s="560"/>
      <c r="X714" s="501" t="b">
        <f t="shared" si="64"/>
        <v>1</v>
      </c>
    </row>
    <row r="715" s="397" customFormat="1" outlineLevel="2" spans="2:24">
      <c r="B715" s="428" t="s">
        <v>2549</v>
      </c>
      <c r="C715" s="429" t="str">
        <f t="shared" si="71"/>
        <v>石嘴山市深阳蓝光市政工程有限公司</v>
      </c>
      <c r="D715" s="694" t="s">
        <v>2572</v>
      </c>
      <c r="E715" s="730"/>
      <c r="F715" s="731"/>
      <c r="G715" s="731"/>
      <c r="H715" s="732"/>
      <c r="I715" s="563">
        <f t="shared" si="70"/>
        <v>0</v>
      </c>
      <c r="J715" s="743"/>
      <c r="K715" s="703"/>
      <c r="L715" s="703"/>
      <c r="M715" s="703"/>
      <c r="N715" s="560"/>
      <c r="X715" s="501" t="b">
        <f t="shared" si="64"/>
        <v>1</v>
      </c>
    </row>
    <row r="716" s="397" customFormat="1" outlineLevel="2" spans="2:24">
      <c r="B716" s="428" t="s">
        <v>2549</v>
      </c>
      <c r="C716" s="429" t="str">
        <f t="shared" si="71"/>
        <v>石嘴山市深阳蓝光市政工程有限公司</v>
      </c>
      <c r="D716" s="694" t="s">
        <v>2572</v>
      </c>
      <c r="E716" s="730"/>
      <c r="F716" s="731"/>
      <c r="G716" s="731"/>
      <c r="H716" s="732"/>
      <c r="I716" s="563">
        <f t="shared" si="70"/>
        <v>0</v>
      </c>
      <c r="J716" s="743"/>
      <c r="K716" s="703"/>
      <c r="L716" s="703"/>
      <c r="M716" s="703"/>
      <c r="N716" s="560"/>
      <c r="X716" s="501" t="b">
        <f t="shared" si="64"/>
        <v>1</v>
      </c>
    </row>
    <row r="717" s="397" customFormat="1" outlineLevel="2" spans="2:24">
      <c r="B717" s="428" t="s">
        <v>2549</v>
      </c>
      <c r="C717" s="429" t="str">
        <f t="shared" si="71"/>
        <v>石嘴山市深阳蓝光市政工程有限公司</v>
      </c>
      <c r="D717" s="694" t="s">
        <v>2572</v>
      </c>
      <c r="E717" s="730"/>
      <c r="F717" s="731"/>
      <c r="G717" s="731"/>
      <c r="H717" s="732"/>
      <c r="I717" s="563">
        <f t="shared" si="70"/>
        <v>0</v>
      </c>
      <c r="J717" s="743"/>
      <c r="K717" s="703"/>
      <c r="L717" s="703"/>
      <c r="M717" s="703"/>
      <c r="N717" s="560"/>
      <c r="X717" s="501" t="b">
        <f t="shared" si="64"/>
        <v>1</v>
      </c>
    </row>
    <row r="718" s="397" customFormat="1" outlineLevel="2" spans="2:24">
      <c r="B718" s="428" t="s">
        <v>2549</v>
      </c>
      <c r="C718" s="429" t="str">
        <f t="shared" si="71"/>
        <v>石嘴山市深阳蓝光市政工程有限公司</v>
      </c>
      <c r="D718" s="694" t="s">
        <v>2572</v>
      </c>
      <c r="E718" s="730"/>
      <c r="F718" s="731"/>
      <c r="G718" s="731"/>
      <c r="H718" s="732"/>
      <c r="I718" s="563">
        <f t="shared" si="70"/>
        <v>0</v>
      </c>
      <c r="J718" s="743"/>
      <c r="K718" s="703"/>
      <c r="L718" s="703"/>
      <c r="M718" s="703"/>
      <c r="N718" s="560"/>
      <c r="X718" s="501" t="b">
        <f t="shared" si="64"/>
        <v>1</v>
      </c>
    </row>
    <row r="719" s="397" customFormat="1" outlineLevel="2" spans="2:24">
      <c r="B719" s="428" t="s">
        <v>2549</v>
      </c>
      <c r="C719" s="429" t="str">
        <f t="shared" si="71"/>
        <v>石嘴山市深阳蓝光市政工程有限公司</v>
      </c>
      <c r="D719" s="694" t="s">
        <v>2572</v>
      </c>
      <c r="E719" s="730"/>
      <c r="F719" s="731"/>
      <c r="G719" s="731"/>
      <c r="H719" s="732"/>
      <c r="I719" s="563">
        <f t="shared" si="70"/>
        <v>0</v>
      </c>
      <c r="J719" s="743"/>
      <c r="K719" s="703"/>
      <c r="L719" s="703"/>
      <c r="M719" s="703"/>
      <c r="N719" s="560"/>
      <c r="X719" s="501" t="b">
        <f t="shared" si="64"/>
        <v>1</v>
      </c>
    </row>
    <row r="720" s="397" customFormat="1" outlineLevel="2" spans="2:24">
      <c r="B720" s="428" t="s">
        <v>2549</v>
      </c>
      <c r="C720" s="429" t="str">
        <f t="shared" si="71"/>
        <v>石嘴山市深阳蓝光市政工程有限公司</v>
      </c>
      <c r="D720" s="694" t="s">
        <v>2572</v>
      </c>
      <c r="E720" s="730"/>
      <c r="F720" s="731"/>
      <c r="G720" s="731"/>
      <c r="H720" s="732"/>
      <c r="I720" s="563">
        <f t="shared" si="70"/>
        <v>0</v>
      </c>
      <c r="J720" s="743"/>
      <c r="K720" s="703"/>
      <c r="L720" s="703"/>
      <c r="M720" s="703"/>
      <c r="N720" s="560"/>
      <c r="X720" s="501" t="b">
        <f t="shared" si="64"/>
        <v>1</v>
      </c>
    </row>
    <row r="721" s="397" customFormat="1" outlineLevel="2" spans="2:24">
      <c r="B721" s="428" t="s">
        <v>2549</v>
      </c>
      <c r="C721" s="429" t="str">
        <f t="shared" si="71"/>
        <v>石嘴山市深阳蓝光市政工程有限公司</v>
      </c>
      <c r="D721" s="694" t="s">
        <v>2572</v>
      </c>
      <c r="E721" s="730"/>
      <c r="F721" s="731"/>
      <c r="G721" s="731"/>
      <c r="H721" s="732"/>
      <c r="I721" s="563">
        <f t="shared" si="70"/>
        <v>0</v>
      </c>
      <c r="J721" s="743"/>
      <c r="K721" s="703"/>
      <c r="L721" s="703"/>
      <c r="M721" s="703"/>
      <c r="N721" s="560"/>
      <c r="X721" s="501" t="b">
        <f t="shared" si="64"/>
        <v>1</v>
      </c>
    </row>
    <row r="722" s="397" customFormat="1" outlineLevel="2" spans="2:24">
      <c r="B722" s="428" t="s">
        <v>2549</v>
      </c>
      <c r="C722" s="429" t="str">
        <f t="shared" si="71"/>
        <v>石嘴山市深阳蓝光市政工程有限公司</v>
      </c>
      <c r="D722" s="694" t="s">
        <v>2572</v>
      </c>
      <c r="E722" s="730"/>
      <c r="F722" s="731"/>
      <c r="G722" s="731"/>
      <c r="H722" s="732"/>
      <c r="I722" s="563">
        <f t="shared" si="70"/>
        <v>0</v>
      </c>
      <c r="J722" s="743"/>
      <c r="K722" s="703"/>
      <c r="L722" s="703"/>
      <c r="M722" s="703"/>
      <c r="N722" s="560"/>
      <c r="X722" s="501" t="b">
        <f t="shared" si="64"/>
        <v>1</v>
      </c>
    </row>
    <row r="723" s="397" customFormat="1" outlineLevel="2" spans="2:24">
      <c r="B723" s="428" t="s">
        <v>2549</v>
      </c>
      <c r="C723" s="429" t="str">
        <f t="shared" si="71"/>
        <v>石嘴山市深阳蓝光市政工程有限公司</v>
      </c>
      <c r="D723" s="694" t="s">
        <v>2572</v>
      </c>
      <c r="E723" s="730"/>
      <c r="F723" s="731"/>
      <c r="G723" s="731"/>
      <c r="H723" s="732"/>
      <c r="I723" s="563">
        <f t="shared" si="70"/>
        <v>0</v>
      </c>
      <c r="J723" s="743"/>
      <c r="K723" s="703"/>
      <c r="L723" s="703"/>
      <c r="M723" s="703"/>
      <c r="N723" s="560"/>
      <c r="X723" s="501" t="b">
        <f t="shared" si="64"/>
        <v>1</v>
      </c>
    </row>
    <row r="724" s="397" customFormat="1" outlineLevel="2" spans="2:24">
      <c r="B724" s="428" t="s">
        <v>2549</v>
      </c>
      <c r="C724" s="429" t="str">
        <f t="shared" si="71"/>
        <v>石嘴山市深阳蓝光市政工程有限公司</v>
      </c>
      <c r="D724" s="694" t="s">
        <v>2572</v>
      </c>
      <c r="E724" s="730"/>
      <c r="F724" s="731"/>
      <c r="G724" s="731"/>
      <c r="H724" s="732"/>
      <c r="I724" s="563">
        <f t="shared" si="70"/>
        <v>0</v>
      </c>
      <c r="J724" s="743"/>
      <c r="K724" s="703"/>
      <c r="L724" s="703"/>
      <c r="M724" s="703"/>
      <c r="N724" s="560"/>
      <c r="X724" s="501" t="b">
        <f t="shared" si="64"/>
        <v>1</v>
      </c>
    </row>
    <row r="725" s="397" customFormat="1" outlineLevel="2" spans="2:24">
      <c r="B725" s="428" t="s">
        <v>2549</v>
      </c>
      <c r="C725" s="429" t="str">
        <f t="shared" si="71"/>
        <v>石嘴山市深阳蓝光市政工程有限公司</v>
      </c>
      <c r="D725" s="694" t="s">
        <v>2572</v>
      </c>
      <c r="E725" s="730"/>
      <c r="F725" s="731"/>
      <c r="G725" s="731"/>
      <c r="H725" s="732"/>
      <c r="I725" s="563">
        <f t="shared" si="70"/>
        <v>0</v>
      </c>
      <c r="J725" s="743"/>
      <c r="K725" s="703"/>
      <c r="L725" s="703"/>
      <c r="M725" s="703"/>
      <c r="N725" s="560"/>
      <c r="X725" s="501" t="b">
        <f t="shared" si="64"/>
        <v>1</v>
      </c>
    </row>
    <row r="726" s="397" customFormat="1" outlineLevel="2" spans="1:24">
      <c r="A726" s="397" t="s">
        <v>1580</v>
      </c>
      <c r="B726" s="428" t="s">
        <v>2549</v>
      </c>
      <c r="C726" s="429" t="str">
        <f t="shared" si="71"/>
        <v>石嘴山市深阳蓝光市政工程有限公司</v>
      </c>
      <c r="D726" s="694" t="s">
        <v>2572</v>
      </c>
      <c r="E726" s="733" t="s">
        <v>1580</v>
      </c>
      <c r="F726" s="733"/>
      <c r="G726" s="734">
        <f>SUM(G700:G725)</f>
        <v>0</v>
      </c>
      <c r="H726" s="135">
        <f>SUM(H700:H725)</f>
        <v>0</v>
      </c>
      <c r="I726" s="563">
        <f t="shared" si="70"/>
        <v>0</v>
      </c>
      <c r="J726" s="744"/>
      <c r="K726" s="703"/>
      <c r="L726" s="703"/>
      <c r="M726" s="703"/>
      <c r="N726" s="560"/>
      <c r="X726" s="501" t="b">
        <f t="shared" si="64"/>
        <v>1</v>
      </c>
    </row>
    <row r="727" s="397" customFormat="1" outlineLevel="2" spans="1:24">
      <c r="A727" s="397" t="s">
        <v>2456</v>
      </c>
      <c r="B727" s="428" t="s">
        <v>2549</v>
      </c>
      <c r="C727" s="429" t="str">
        <f t="shared" si="71"/>
        <v>石嘴山市深阳蓝光市政工程有限公司</v>
      </c>
      <c r="D727" s="694" t="s">
        <v>2572</v>
      </c>
      <c r="E727" s="621" t="s">
        <v>2456</v>
      </c>
      <c r="F727" s="735"/>
      <c r="G727" s="721">
        <f>G726-F578</f>
        <v>0</v>
      </c>
      <c r="H727" s="721">
        <f>H726-H578</f>
        <v>0</v>
      </c>
      <c r="I727" s="599"/>
      <c r="J727" s="745"/>
      <c r="K727" s="703"/>
      <c r="L727" s="703"/>
      <c r="M727" s="703"/>
      <c r="N727" s="560"/>
      <c r="X727" s="501" t="b">
        <f t="shared" si="64"/>
        <v>1</v>
      </c>
    </row>
    <row r="728" s="397" customFormat="1" outlineLevel="2" spans="2:24">
      <c r="B728" s="428" t="s">
        <v>2549</v>
      </c>
      <c r="C728" s="429" t="str">
        <f t="shared" si="71"/>
        <v>石嘴山市深阳蓝光市政工程有限公司</v>
      </c>
      <c r="D728" s="694" t="s">
        <v>2572</v>
      </c>
      <c r="E728" s="621"/>
      <c r="F728" s="735"/>
      <c r="G728" s="735"/>
      <c r="H728" s="735"/>
      <c r="I728" s="599"/>
      <c r="J728" s="745"/>
      <c r="K728" s="703"/>
      <c r="L728" s="703"/>
      <c r="M728" s="703"/>
      <c r="N728" s="560"/>
      <c r="X728" s="501" t="b">
        <f t="shared" si="64"/>
        <v>1</v>
      </c>
    </row>
    <row r="729" s="397" customFormat="1" outlineLevel="2" spans="2:24">
      <c r="B729" s="428" t="s">
        <v>2549</v>
      </c>
      <c r="C729" s="429" t="str">
        <f t="shared" si="71"/>
        <v>石嘴山市深阳蓝光市政工程有限公司</v>
      </c>
      <c r="D729" s="694" t="s">
        <v>2572</v>
      </c>
      <c r="E729" s="703"/>
      <c r="F729" s="703"/>
      <c r="G729" s="703"/>
      <c r="H729" s="703"/>
      <c r="I729" s="703"/>
      <c r="J729" s="703"/>
      <c r="K729" s="703"/>
      <c r="L729" s="703"/>
      <c r="M729" s="703"/>
      <c r="N729" s="560"/>
      <c r="X729" s="501" t="b">
        <f t="shared" si="64"/>
        <v>1</v>
      </c>
    </row>
    <row r="730" s="397" customFormat="1" customHeight="1" outlineLevel="2" spans="1:24">
      <c r="A730" s="397" t="s">
        <v>2574</v>
      </c>
      <c r="B730" s="428" t="s">
        <v>2549</v>
      </c>
      <c r="C730" s="429" t="str">
        <f t="shared" si="71"/>
        <v>石嘴山市深阳蓝光市政工程有限公司</v>
      </c>
      <c r="D730" s="694" t="s">
        <v>2574</v>
      </c>
      <c r="E730" s="736" t="s">
        <v>2575</v>
      </c>
      <c r="F730" s="737"/>
      <c r="G730" s="737"/>
      <c r="H730" s="737"/>
      <c r="I730" s="737"/>
      <c r="J730" s="737"/>
      <c r="K730" s="703"/>
      <c r="L730" s="703"/>
      <c r="M730" s="703"/>
      <c r="N730" s="560"/>
      <c r="X730" s="501" t="b">
        <f t="shared" si="64"/>
        <v>0</v>
      </c>
    </row>
    <row r="731" s="397" customFormat="1" outlineLevel="2" spans="1:24">
      <c r="A731" s="397" t="s">
        <v>2463</v>
      </c>
      <c r="B731" s="428" t="s">
        <v>2549</v>
      </c>
      <c r="C731" s="429" t="str">
        <f t="shared" si="71"/>
        <v>石嘴山市深阳蓝光市政工程有限公司</v>
      </c>
      <c r="D731" s="694" t="s">
        <v>2574</v>
      </c>
      <c r="E731" s="631" t="s">
        <v>2463</v>
      </c>
      <c r="F731" s="632" t="s">
        <v>2440</v>
      </c>
      <c r="G731" s="632" t="s">
        <v>2464</v>
      </c>
      <c r="H731" s="632" t="s">
        <v>2465</v>
      </c>
      <c r="I731" s="632" t="s">
        <v>2466</v>
      </c>
      <c r="J731" s="632" t="s">
        <v>2467</v>
      </c>
      <c r="K731" s="703"/>
      <c r="L731" s="703"/>
      <c r="M731" s="703"/>
      <c r="N731" s="560"/>
      <c r="X731" s="501" t="b">
        <f t="shared" si="64"/>
        <v>1</v>
      </c>
    </row>
    <row r="732" s="397" customFormat="1" outlineLevel="2" spans="2:24">
      <c r="B732" s="428" t="s">
        <v>2549</v>
      </c>
      <c r="C732" s="429" t="str">
        <f t="shared" si="71"/>
        <v>石嘴山市深阳蓝光市政工程有限公司</v>
      </c>
      <c r="D732" s="694" t="s">
        <v>2574</v>
      </c>
      <c r="E732" s="631"/>
      <c r="F732" s="631"/>
      <c r="G732" s="631"/>
      <c r="H732" s="631"/>
      <c r="I732" s="631"/>
      <c r="J732" s="631"/>
      <c r="K732" s="703"/>
      <c r="L732" s="703"/>
      <c r="M732" s="703"/>
      <c r="N732" s="560"/>
      <c r="X732" s="501" t="b">
        <f t="shared" si="64"/>
        <v>1</v>
      </c>
    </row>
    <row r="733" s="397" customFormat="1" outlineLevel="2" spans="1:24">
      <c r="A733" s="397" t="s">
        <v>2468</v>
      </c>
      <c r="B733" s="428" t="s">
        <v>2549</v>
      </c>
      <c r="C733" s="429" t="str">
        <f t="shared" si="71"/>
        <v>石嘴山市深阳蓝光市政工程有限公司</v>
      </c>
      <c r="D733" s="694" t="s">
        <v>2574</v>
      </c>
      <c r="E733" s="633" t="s">
        <v>2468</v>
      </c>
      <c r="F733" s="634"/>
      <c r="G733" s="633"/>
      <c r="H733" s="633"/>
      <c r="I733" s="88">
        <f>SUM(I734:I739)</f>
        <v>0</v>
      </c>
      <c r="J733" s="88">
        <f>SUM(J734:J739)</f>
        <v>0</v>
      </c>
      <c r="K733" s="703"/>
      <c r="L733" s="703"/>
      <c r="M733" s="703"/>
      <c r="N733" s="560"/>
      <c r="X733" s="501" t="b">
        <f t="shared" si="64"/>
        <v>1</v>
      </c>
    </row>
    <row r="734" s="397" customFormat="1" outlineLevel="2" spans="1:24">
      <c r="A734" s="397">
        <v>1</v>
      </c>
      <c r="B734" s="428" t="s">
        <v>2549</v>
      </c>
      <c r="C734" s="429" t="str">
        <f t="shared" si="71"/>
        <v>石嘴山市深阳蓝光市政工程有限公司</v>
      </c>
      <c r="D734" s="694" t="s">
        <v>2574</v>
      </c>
      <c r="E734" s="635"/>
      <c r="F734" s="635"/>
      <c r="G734" s="635"/>
      <c r="H734" s="635"/>
      <c r="I734" s="635"/>
      <c r="J734" s="635"/>
      <c r="K734" s="703"/>
      <c r="L734" s="703"/>
      <c r="M734" s="703"/>
      <c r="N734" s="560"/>
      <c r="X734" s="501" t="b">
        <f t="shared" si="64"/>
        <v>0</v>
      </c>
    </row>
    <row r="735" s="397" customFormat="1" outlineLevel="2" spans="1:24">
      <c r="A735" s="397">
        <v>2</v>
      </c>
      <c r="B735" s="428" t="s">
        <v>2549</v>
      </c>
      <c r="C735" s="429" t="str">
        <f t="shared" si="71"/>
        <v>石嘴山市深阳蓝光市政工程有限公司</v>
      </c>
      <c r="D735" s="694" t="s">
        <v>2574</v>
      </c>
      <c r="E735" s="635"/>
      <c r="F735" s="635"/>
      <c r="G735" s="635"/>
      <c r="H735" s="635"/>
      <c r="I735" s="635"/>
      <c r="J735" s="635"/>
      <c r="K735" s="703"/>
      <c r="L735" s="703"/>
      <c r="M735" s="703"/>
      <c r="N735" s="560"/>
      <c r="X735" s="501" t="b">
        <f t="shared" ref="X735:X989" si="72">EXACT(A735,E735)</f>
        <v>0</v>
      </c>
    </row>
    <row r="736" s="397" customFormat="1" outlineLevel="2" spans="2:24">
      <c r="B736" s="428" t="s">
        <v>2549</v>
      </c>
      <c r="C736" s="429" t="str">
        <f t="shared" si="71"/>
        <v>石嘴山市深阳蓝光市政工程有限公司</v>
      </c>
      <c r="D736" s="694" t="s">
        <v>2574</v>
      </c>
      <c r="E736" s="635"/>
      <c r="F736" s="635"/>
      <c r="G736" s="635"/>
      <c r="H736" s="635"/>
      <c r="I736" s="635"/>
      <c r="J736" s="635"/>
      <c r="K736" s="703"/>
      <c r="L736" s="703"/>
      <c r="M736" s="703"/>
      <c r="N736" s="560"/>
      <c r="X736" s="501" t="b">
        <f t="shared" si="72"/>
        <v>1</v>
      </c>
    </row>
    <row r="737" s="397" customFormat="1" outlineLevel="2" spans="2:24">
      <c r="B737" s="428" t="s">
        <v>2549</v>
      </c>
      <c r="C737" s="429" t="str">
        <f t="shared" si="71"/>
        <v>石嘴山市深阳蓝光市政工程有限公司</v>
      </c>
      <c r="D737" s="694" t="s">
        <v>2574</v>
      </c>
      <c r="E737" s="635"/>
      <c r="F737" s="635"/>
      <c r="G737" s="635"/>
      <c r="H737" s="635"/>
      <c r="I737" s="635"/>
      <c r="J737" s="635"/>
      <c r="K737" s="703"/>
      <c r="L737" s="703"/>
      <c r="M737" s="703"/>
      <c r="N737" s="560"/>
      <c r="X737" s="501" t="b">
        <f t="shared" si="72"/>
        <v>1</v>
      </c>
    </row>
    <row r="738" s="397" customFormat="1" outlineLevel="2" spans="2:24">
      <c r="B738" s="428" t="s">
        <v>2549</v>
      </c>
      <c r="C738" s="429" t="str">
        <f t="shared" si="71"/>
        <v>石嘴山市深阳蓝光市政工程有限公司</v>
      </c>
      <c r="D738" s="694" t="s">
        <v>2574</v>
      </c>
      <c r="E738" s="635"/>
      <c r="F738" s="635"/>
      <c r="G738" s="635"/>
      <c r="H738" s="635"/>
      <c r="I738" s="635"/>
      <c r="J738" s="635"/>
      <c r="K738" s="703"/>
      <c r="L738" s="703"/>
      <c r="M738" s="703"/>
      <c r="N738" s="560"/>
      <c r="X738" s="501" t="b">
        <f t="shared" si="72"/>
        <v>1</v>
      </c>
    </row>
    <row r="739" s="397" customFormat="1" outlineLevel="2" spans="2:24">
      <c r="B739" s="428" t="s">
        <v>2549</v>
      </c>
      <c r="C739" s="429" t="str">
        <f t="shared" si="71"/>
        <v>石嘴山市深阳蓝光市政工程有限公司</v>
      </c>
      <c r="D739" s="694" t="s">
        <v>2574</v>
      </c>
      <c r="E739" s="635"/>
      <c r="F739" s="635"/>
      <c r="G739" s="635"/>
      <c r="H739" s="635"/>
      <c r="I739" s="635"/>
      <c r="J739" s="635"/>
      <c r="K739" s="703"/>
      <c r="L739" s="703"/>
      <c r="M739" s="703"/>
      <c r="N739" s="560"/>
      <c r="X739" s="501" t="b">
        <f t="shared" si="72"/>
        <v>1</v>
      </c>
    </row>
    <row r="740" s="397" customFormat="1" outlineLevel="2" spans="1:24">
      <c r="A740" s="397" t="s">
        <v>2470</v>
      </c>
      <c r="B740" s="428" t="s">
        <v>2549</v>
      </c>
      <c r="C740" s="429" t="str">
        <f t="shared" si="71"/>
        <v>石嘴山市深阳蓝光市政工程有限公司</v>
      </c>
      <c r="D740" s="694" t="s">
        <v>2574</v>
      </c>
      <c r="E740" s="633" t="s">
        <v>2470</v>
      </c>
      <c r="F740" s="634"/>
      <c r="G740" s="633"/>
      <c r="H740" s="633"/>
      <c r="I740" s="88">
        <f>SUM(I741:I746)</f>
        <v>0</v>
      </c>
      <c r="J740" s="88">
        <f>SUM(J741:J746)</f>
        <v>0</v>
      </c>
      <c r="K740" s="703"/>
      <c r="L740" s="703"/>
      <c r="M740" s="703"/>
      <c r="N740" s="560"/>
      <c r="X740" s="501" t="b">
        <f t="shared" si="72"/>
        <v>1</v>
      </c>
    </row>
    <row r="741" s="397" customFormat="1" outlineLevel="2" spans="1:24">
      <c r="A741" s="397">
        <v>1</v>
      </c>
      <c r="B741" s="428" t="s">
        <v>2549</v>
      </c>
      <c r="C741" s="429" t="str">
        <f t="shared" si="71"/>
        <v>石嘴山市深阳蓝光市政工程有限公司</v>
      </c>
      <c r="D741" s="694" t="s">
        <v>2574</v>
      </c>
      <c r="E741" s="635"/>
      <c r="F741" s="635"/>
      <c r="G741" s="635"/>
      <c r="H741" s="635"/>
      <c r="I741" s="635"/>
      <c r="J741" s="635"/>
      <c r="K741" s="703"/>
      <c r="L741" s="703"/>
      <c r="M741" s="703"/>
      <c r="N741" s="560"/>
      <c r="X741" s="501" t="b">
        <f t="shared" si="72"/>
        <v>0</v>
      </c>
    </row>
    <row r="742" s="397" customFormat="1" outlineLevel="2" spans="1:24">
      <c r="A742" s="397">
        <v>2</v>
      </c>
      <c r="B742" s="428" t="s">
        <v>2549</v>
      </c>
      <c r="C742" s="429" t="str">
        <f t="shared" si="71"/>
        <v>石嘴山市深阳蓝光市政工程有限公司</v>
      </c>
      <c r="D742" s="694" t="s">
        <v>2574</v>
      </c>
      <c r="E742" s="635"/>
      <c r="F742" s="635"/>
      <c r="G742" s="635"/>
      <c r="H742" s="635"/>
      <c r="I742" s="635"/>
      <c r="J742" s="635"/>
      <c r="K742" s="703"/>
      <c r="L742" s="703"/>
      <c r="M742" s="703"/>
      <c r="N742" s="560"/>
      <c r="X742" s="501" t="b">
        <f t="shared" si="72"/>
        <v>0</v>
      </c>
    </row>
    <row r="743" s="397" customFormat="1" outlineLevel="2" spans="2:24">
      <c r="B743" s="428" t="s">
        <v>2549</v>
      </c>
      <c r="C743" s="429" t="str">
        <f t="shared" si="71"/>
        <v>石嘴山市深阳蓝光市政工程有限公司</v>
      </c>
      <c r="D743" s="694" t="s">
        <v>2574</v>
      </c>
      <c r="E743" s="635"/>
      <c r="F743" s="635"/>
      <c r="G743" s="635"/>
      <c r="H743" s="635"/>
      <c r="I743" s="635"/>
      <c r="J743" s="635"/>
      <c r="K743" s="703"/>
      <c r="L743" s="703"/>
      <c r="M743" s="703"/>
      <c r="N743" s="560"/>
      <c r="X743" s="501" t="b">
        <f t="shared" si="72"/>
        <v>1</v>
      </c>
    </row>
    <row r="744" s="397" customFormat="1" outlineLevel="2" spans="2:24">
      <c r="B744" s="428" t="s">
        <v>2549</v>
      </c>
      <c r="C744" s="429" t="str">
        <f t="shared" si="71"/>
        <v>石嘴山市深阳蓝光市政工程有限公司</v>
      </c>
      <c r="D744" s="694" t="s">
        <v>2574</v>
      </c>
      <c r="E744" s="635"/>
      <c r="F744" s="635"/>
      <c r="G744" s="635"/>
      <c r="H744" s="635"/>
      <c r="I744" s="635"/>
      <c r="J744" s="635"/>
      <c r="K744" s="703"/>
      <c r="L744" s="703"/>
      <c r="M744" s="703"/>
      <c r="N744" s="560"/>
      <c r="X744" s="501" t="b">
        <f t="shared" si="72"/>
        <v>1</v>
      </c>
    </row>
    <row r="745" s="397" customFormat="1" outlineLevel="2" spans="2:24">
      <c r="B745" s="428" t="s">
        <v>2549</v>
      </c>
      <c r="C745" s="429" t="str">
        <f t="shared" si="71"/>
        <v>石嘴山市深阳蓝光市政工程有限公司</v>
      </c>
      <c r="D745" s="694" t="s">
        <v>2574</v>
      </c>
      <c r="E745" s="635"/>
      <c r="F745" s="635"/>
      <c r="G745" s="635"/>
      <c r="H745" s="635"/>
      <c r="I745" s="635"/>
      <c r="J745" s="635"/>
      <c r="K745" s="703"/>
      <c r="L745" s="703"/>
      <c r="M745" s="703"/>
      <c r="N745" s="560"/>
      <c r="X745" s="501" t="b">
        <f t="shared" si="72"/>
        <v>1</v>
      </c>
    </row>
    <row r="746" s="397" customFormat="1" outlineLevel="2" spans="2:24">
      <c r="B746" s="428" t="s">
        <v>2549</v>
      </c>
      <c r="C746" s="429" t="str">
        <f t="shared" si="71"/>
        <v>石嘴山市深阳蓝光市政工程有限公司</v>
      </c>
      <c r="D746" s="694" t="s">
        <v>2574</v>
      </c>
      <c r="E746" s="635"/>
      <c r="F746" s="635"/>
      <c r="G746" s="635"/>
      <c r="H746" s="635"/>
      <c r="I746" s="635"/>
      <c r="J746" s="635"/>
      <c r="K746" s="703"/>
      <c r="L746" s="703"/>
      <c r="M746" s="703"/>
      <c r="N746" s="560"/>
      <c r="X746" s="501" t="b">
        <f t="shared" si="72"/>
        <v>1</v>
      </c>
    </row>
    <row r="747" s="397" customFormat="1" outlineLevel="2" spans="1:24">
      <c r="A747" s="397" t="s">
        <v>2471</v>
      </c>
      <c r="B747" s="428" t="s">
        <v>2549</v>
      </c>
      <c r="C747" s="429" t="str">
        <f t="shared" si="71"/>
        <v>石嘴山市深阳蓝光市政工程有限公司</v>
      </c>
      <c r="D747" s="694" t="s">
        <v>2574</v>
      </c>
      <c r="E747" s="633" t="s">
        <v>2471</v>
      </c>
      <c r="F747" s="636">
        <f>SUM(F748:F752)</f>
        <v>0</v>
      </c>
      <c r="G747" s="633"/>
      <c r="H747" s="633"/>
      <c r="I747" s="88">
        <f>SUM(I748:I752)</f>
        <v>0</v>
      </c>
      <c r="J747" s="88">
        <f>SUM(J748:J752)</f>
        <v>0</v>
      </c>
      <c r="K747" s="703"/>
      <c r="L747" s="703"/>
      <c r="M747" s="703"/>
      <c r="N747" s="560"/>
      <c r="X747" s="501" t="b">
        <f t="shared" si="72"/>
        <v>1</v>
      </c>
    </row>
    <row r="748" s="397" customFormat="1" outlineLevel="2" spans="1:24">
      <c r="A748" s="397">
        <v>1</v>
      </c>
      <c r="B748" s="428" t="s">
        <v>2549</v>
      </c>
      <c r="C748" s="429" t="str">
        <f t="shared" si="71"/>
        <v>石嘴山市深阳蓝光市政工程有限公司</v>
      </c>
      <c r="D748" s="694" t="s">
        <v>2574</v>
      </c>
      <c r="E748" s="635"/>
      <c r="F748" s="635"/>
      <c r="G748" s="635"/>
      <c r="H748" s="635"/>
      <c r="I748" s="635"/>
      <c r="J748" s="635"/>
      <c r="K748" s="703"/>
      <c r="L748" s="703"/>
      <c r="M748" s="703"/>
      <c r="N748" s="560"/>
      <c r="X748" s="501" t="b">
        <f t="shared" si="72"/>
        <v>0</v>
      </c>
    </row>
    <row r="749" s="397" customFormat="1" outlineLevel="2" spans="1:24">
      <c r="A749" s="397">
        <v>2</v>
      </c>
      <c r="B749" s="428" t="s">
        <v>2549</v>
      </c>
      <c r="C749" s="429" t="str">
        <f t="shared" si="71"/>
        <v>石嘴山市深阳蓝光市政工程有限公司</v>
      </c>
      <c r="D749" s="694" t="s">
        <v>2574</v>
      </c>
      <c r="E749" s="635"/>
      <c r="F749" s="635"/>
      <c r="G749" s="635"/>
      <c r="H749" s="635"/>
      <c r="I749" s="635"/>
      <c r="J749" s="635"/>
      <c r="K749" s="703"/>
      <c r="L749" s="703"/>
      <c r="M749" s="703"/>
      <c r="N749" s="560"/>
      <c r="X749" s="501" t="b">
        <f t="shared" si="72"/>
        <v>0</v>
      </c>
    </row>
    <row r="750" s="397" customFormat="1" outlineLevel="2" spans="2:24">
      <c r="B750" s="428" t="s">
        <v>2549</v>
      </c>
      <c r="C750" s="429" t="str">
        <f t="shared" si="71"/>
        <v>石嘴山市深阳蓝光市政工程有限公司</v>
      </c>
      <c r="D750" s="694" t="s">
        <v>2574</v>
      </c>
      <c r="E750" s="635"/>
      <c r="F750" s="635"/>
      <c r="G750" s="635"/>
      <c r="H750" s="635"/>
      <c r="I750" s="635"/>
      <c r="J750" s="635"/>
      <c r="K750" s="703"/>
      <c r="L750" s="703"/>
      <c r="M750" s="703"/>
      <c r="N750" s="560"/>
      <c r="X750" s="501" t="b">
        <f t="shared" si="72"/>
        <v>1</v>
      </c>
    </row>
    <row r="751" s="397" customFormat="1" outlineLevel="2" spans="2:24">
      <c r="B751" s="428" t="s">
        <v>2549</v>
      </c>
      <c r="C751" s="429" t="str">
        <f t="shared" si="71"/>
        <v>石嘴山市深阳蓝光市政工程有限公司</v>
      </c>
      <c r="D751" s="694" t="s">
        <v>2574</v>
      </c>
      <c r="E751" s="635"/>
      <c r="F751" s="635"/>
      <c r="G751" s="635"/>
      <c r="H751" s="635"/>
      <c r="I751" s="635"/>
      <c r="J751" s="635"/>
      <c r="K751" s="703"/>
      <c r="L751" s="703"/>
      <c r="M751" s="703"/>
      <c r="N751" s="560"/>
      <c r="X751" s="501" t="b">
        <f t="shared" si="72"/>
        <v>1</v>
      </c>
    </row>
    <row r="752" s="397" customFormat="1" outlineLevel="2" spans="2:24">
      <c r="B752" s="428" t="s">
        <v>2549</v>
      </c>
      <c r="C752" s="429" t="str">
        <f t="shared" si="71"/>
        <v>石嘴山市深阳蓝光市政工程有限公司</v>
      </c>
      <c r="D752" s="694" t="s">
        <v>2574</v>
      </c>
      <c r="E752" s="635"/>
      <c r="F752" s="635"/>
      <c r="G752" s="635" t="s">
        <v>2472</v>
      </c>
      <c r="H752" s="635"/>
      <c r="I752" s="635"/>
      <c r="J752" s="635"/>
      <c r="K752" s="703"/>
      <c r="L752" s="703"/>
      <c r="M752" s="703"/>
      <c r="N752" s="560"/>
      <c r="X752" s="501" t="b">
        <f t="shared" si="72"/>
        <v>1</v>
      </c>
    </row>
    <row r="753" s="397" customFormat="1" ht="56.25" outlineLevel="2" spans="2:24">
      <c r="B753" s="428" t="s">
        <v>2549</v>
      </c>
      <c r="C753" s="429" t="str">
        <f t="shared" si="71"/>
        <v>石嘴山市深阳蓝光市政工程有限公司</v>
      </c>
      <c r="D753" s="694" t="s">
        <v>2574</v>
      </c>
      <c r="E753" s="637" t="s">
        <v>2473</v>
      </c>
      <c r="F753" s="638"/>
      <c r="G753" s="638"/>
      <c r="H753" s="638"/>
      <c r="I753" s="560"/>
      <c r="J753" s="560"/>
      <c r="K753" s="703"/>
      <c r="L753" s="703"/>
      <c r="M753" s="703"/>
      <c r="N753" s="560"/>
      <c r="X753" s="501" t="b">
        <f t="shared" si="72"/>
        <v>0</v>
      </c>
    </row>
    <row r="754" s="397" customFormat="1" outlineLevel="2" spans="2:24">
      <c r="B754" s="428" t="s">
        <v>2549</v>
      </c>
      <c r="C754" s="429" t="str">
        <f t="shared" si="71"/>
        <v>石嘴山市深阳蓝光市政工程有限公司</v>
      </c>
      <c r="D754" s="694" t="s">
        <v>2574</v>
      </c>
      <c r="E754" s="738"/>
      <c r="F754" s="703"/>
      <c r="G754" s="703"/>
      <c r="H754" s="703"/>
      <c r="I754" s="703"/>
      <c r="J754" s="703"/>
      <c r="K754" s="703"/>
      <c r="L754" s="703"/>
      <c r="M754" s="703"/>
      <c r="N754" s="560"/>
      <c r="X754" s="501" t="b">
        <f t="shared" si="72"/>
        <v>1</v>
      </c>
    </row>
    <row r="755" s="397" customFormat="1" outlineLevel="2" spans="1:24">
      <c r="A755" s="397" t="s">
        <v>2576</v>
      </c>
      <c r="B755" s="428" t="s">
        <v>2549</v>
      </c>
      <c r="C755" s="429" t="str">
        <f t="shared" si="71"/>
        <v>石嘴山市深阳蓝光市政工程有限公司</v>
      </c>
      <c r="D755" s="694" t="s">
        <v>2577</v>
      </c>
      <c r="E755" s="702" t="s">
        <v>2578</v>
      </c>
      <c r="F755" s="703"/>
      <c r="G755" s="703"/>
      <c r="H755" s="703"/>
      <c r="J755" s="645" t="s">
        <v>2462</v>
      </c>
      <c r="K755" s="703"/>
      <c r="L755" s="703"/>
      <c r="M755" s="703"/>
      <c r="N755" s="560"/>
      <c r="X755" s="501" t="b">
        <f t="shared" si="72"/>
        <v>0</v>
      </c>
    </row>
    <row r="756" s="397" customFormat="1" outlineLevel="2" spans="1:24">
      <c r="A756" s="397" t="s">
        <v>2477</v>
      </c>
      <c r="B756" s="428" t="s">
        <v>2549</v>
      </c>
      <c r="C756" s="429" t="str">
        <f t="shared" si="71"/>
        <v>石嘴山市深阳蓝光市政工程有限公司</v>
      </c>
      <c r="D756" s="694" t="s">
        <v>2577</v>
      </c>
      <c r="E756" s="696" t="s">
        <v>2477</v>
      </c>
      <c r="F756" s="696" t="s">
        <v>365</v>
      </c>
      <c r="G756" s="696" t="s">
        <v>2478</v>
      </c>
      <c r="H756" s="696" t="s">
        <v>2579</v>
      </c>
      <c r="I756" s="696" t="s">
        <v>2480</v>
      </c>
      <c r="J756" s="627"/>
      <c r="K756" s="703"/>
      <c r="L756" s="703"/>
      <c r="M756" s="703"/>
      <c r="N756" s="560"/>
      <c r="X756" s="501" t="b">
        <f t="shared" si="72"/>
        <v>1</v>
      </c>
    </row>
    <row r="757" s="397" customFormat="1" outlineLevel="2" spans="2:24">
      <c r="B757" s="428" t="s">
        <v>2549</v>
      </c>
      <c r="C757" s="429" t="str">
        <f t="shared" si="71"/>
        <v>石嘴山市深阳蓝光市政工程有限公司</v>
      </c>
      <c r="D757" s="694" t="s">
        <v>2580</v>
      </c>
      <c r="E757" s="739"/>
      <c r="F757" s="740"/>
      <c r="G757" s="740"/>
      <c r="H757" s="740"/>
      <c r="I757" s="740"/>
      <c r="J757" s="703"/>
      <c r="K757" s="703"/>
      <c r="L757" s="703"/>
      <c r="M757" s="703"/>
      <c r="N757" s="560"/>
      <c r="X757" s="501" t="b">
        <f t="shared" si="72"/>
        <v>1</v>
      </c>
    </row>
    <row r="758" s="397" customFormat="1" outlineLevel="2" spans="2:24">
      <c r="B758" s="428" t="s">
        <v>2549</v>
      </c>
      <c r="C758" s="429" t="str">
        <f t="shared" si="71"/>
        <v>石嘴山市深阳蓝光市政工程有限公司</v>
      </c>
      <c r="D758" s="694" t="s">
        <v>2580</v>
      </c>
      <c r="E758" s="739"/>
      <c r="F758" s="740"/>
      <c r="G758" s="740"/>
      <c r="H758" s="740"/>
      <c r="I758" s="740"/>
      <c r="J758" s="703"/>
      <c r="K758" s="703"/>
      <c r="L758" s="703"/>
      <c r="M758" s="703"/>
      <c r="N758" s="560"/>
      <c r="X758" s="501" t="b">
        <f t="shared" si="72"/>
        <v>1</v>
      </c>
    </row>
    <row r="759" s="397" customFormat="1" outlineLevel="2" spans="2:24">
      <c r="B759" s="428" t="s">
        <v>2549</v>
      </c>
      <c r="C759" s="429" t="str">
        <f t="shared" si="71"/>
        <v>石嘴山市深阳蓝光市政工程有限公司</v>
      </c>
      <c r="D759" s="694" t="s">
        <v>2580</v>
      </c>
      <c r="E759" s="739"/>
      <c r="F759" s="740"/>
      <c r="G759" s="740"/>
      <c r="H759" s="740"/>
      <c r="I759" s="740"/>
      <c r="J759" s="746"/>
      <c r="K759" s="703"/>
      <c r="L759" s="703"/>
      <c r="M759" s="703"/>
      <c r="N759" s="560"/>
      <c r="X759" s="501" t="b">
        <f t="shared" si="72"/>
        <v>1</v>
      </c>
    </row>
    <row r="760" s="397" customFormat="1" outlineLevel="2" spans="2:24">
      <c r="B760" s="428" t="s">
        <v>2549</v>
      </c>
      <c r="C760" s="429" t="str">
        <f t="shared" si="71"/>
        <v>石嘴山市深阳蓝光市政工程有限公司</v>
      </c>
      <c r="D760" s="694" t="s">
        <v>2580</v>
      </c>
      <c r="E760" s="739"/>
      <c r="F760" s="740"/>
      <c r="G760" s="740"/>
      <c r="H760" s="740"/>
      <c r="I760" s="740"/>
      <c r="J760" s="703"/>
      <c r="K760" s="703"/>
      <c r="L760" s="703"/>
      <c r="M760" s="703"/>
      <c r="N760" s="560"/>
      <c r="X760" s="501" t="b">
        <f t="shared" si="72"/>
        <v>1</v>
      </c>
    </row>
    <row r="761" s="397" customFormat="1" outlineLevel="2" spans="2:24">
      <c r="B761" s="428" t="s">
        <v>2549</v>
      </c>
      <c r="C761" s="429" t="str">
        <f t="shared" si="71"/>
        <v>石嘴山市深阳蓝光市政工程有限公司</v>
      </c>
      <c r="D761" s="694" t="s">
        <v>2580</v>
      </c>
      <c r="E761" s="585"/>
      <c r="F761" s="456"/>
      <c r="G761" s="587"/>
      <c r="H761" s="456"/>
      <c r="I761" s="740"/>
      <c r="J761" s="451"/>
      <c r="K761" s="568"/>
      <c r="L761" s="747"/>
      <c r="M761" s="568"/>
      <c r="N761" s="560"/>
      <c r="X761" s="501" t="b">
        <f t="shared" si="72"/>
        <v>1</v>
      </c>
    </row>
    <row r="762" s="397" customFormat="1" outlineLevel="2" spans="2:24">
      <c r="B762" s="428" t="s">
        <v>2549</v>
      </c>
      <c r="C762" s="429" t="str">
        <f t="shared" si="71"/>
        <v>石嘴山市深阳蓝光市政工程有限公司</v>
      </c>
      <c r="D762" s="694" t="s">
        <v>2580</v>
      </c>
      <c r="E762" s="585"/>
      <c r="F762" s="456"/>
      <c r="G762" s="587"/>
      <c r="H762" s="456"/>
      <c r="I762" s="740"/>
      <c r="J762" s="451"/>
      <c r="K762" s="568"/>
      <c r="L762" s="747"/>
      <c r="M762" s="568"/>
      <c r="N762" s="560"/>
      <c r="X762" s="501" t="b">
        <f t="shared" si="72"/>
        <v>1</v>
      </c>
    </row>
    <row r="763" s="397" customFormat="1" outlineLevel="2" spans="2:24">
      <c r="B763" s="428" t="s">
        <v>2549</v>
      </c>
      <c r="C763" s="429" t="str">
        <f t="shared" si="71"/>
        <v>石嘴山市深阳蓝光市政工程有限公司</v>
      </c>
      <c r="D763" s="694" t="s">
        <v>2580</v>
      </c>
      <c r="E763" s="585"/>
      <c r="F763" s="456"/>
      <c r="G763" s="587"/>
      <c r="H763" s="456"/>
      <c r="I763" s="740"/>
      <c r="J763" s="451"/>
      <c r="K763" s="568"/>
      <c r="L763" s="747"/>
      <c r="M763" s="568"/>
      <c r="N763" s="560"/>
      <c r="X763" s="501" t="b">
        <f t="shared" si="72"/>
        <v>1</v>
      </c>
    </row>
    <row r="764" s="397" customFormat="1" outlineLevel="2" spans="2:24">
      <c r="B764" s="428" t="s">
        <v>2549</v>
      </c>
      <c r="C764" s="429" t="str">
        <f t="shared" si="71"/>
        <v>石嘴山市深阳蓝光市政工程有限公司</v>
      </c>
      <c r="D764" s="694" t="s">
        <v>2580</v>
      </c>
      <c r="E764" s="585"/>
      <c r="F764" s="456"/>
      <c r="G764" s="587"/>
      <c r="H764" s="456"/>
      <c r="I764" s="740"/>
      <c r="J764" s="451"/>
      <c r="K764" s="568"/>
      <c r="L764" s="747"/>
      <c r="M764" s="568"/>
      <c r="N764" s="560"/>
      <c r="X764" s="501" t="b">
        <f t="shared" si="72"/>
        <v>1</v>
      </c>
    </row>
    <row r="765" s="397" customFormat="1" outlineLevel="2" spans="1:24">
      <c r="A765" s="397" t="s">
        <v>1580</v>
      </c>
      <c r="B765" s="428" t="s">
        <v>2549</v>
      </c>
      <c r="C765" s="429" t="str">
        <f t="shared" si="71"/>
        <v>石嘴山市深阳蓝光市政工程有限公司</v>
      </c>
      <c r="D765" s="694" t="s">
        <v>2580</v>
      </c>
      <c r="E765" s="741" t="s">
        <v>1580</v>
      </c>
      <c r="F765" s="135">
        <f>SUM(F757:F764)</f>
        <v>0</v>
      </c>
      <c r="G765" s="742"/>
      <c r="H765" s="153"/>
      <c r="I765" s="741"/>
      <c r="J765" s="451"/>
      <c r="K765" s="568"/>
      <c r="L765" s="747"/>
      <c r="M765" s="568"/>
      <c r="N765" s="560"/>
      <c r="X765" s="501" t="b">
        <f t="shared" si="72"/>
        <v>1</v>
      </c>
    </row>
    <row r="766" s="397" customFormat="1" outlineLevel="2" spans="2:24">
      <c r="B766" s="428" t="s">
        <v>2549</v>
      </c>
      <c r="C766" s="429" t="str">
        <f t="shared" si="71"/>
        <v>石嘴山市深阳蓝光市政工程有限公司</v>
      </c>
      <c r="D766" s="694" t="s">
        <v>2580</v>
      </c>
      <c r="E766" s="621"/>
      <c r="F766" s="451"/>
      <c r="G766" s="568"/>
      <c r="H766" s="451"/>
      <c r="I766" s="568"/>
      <c r="J766" s="451"/>
      <c r="K766" s="568"/>
      <c r="L766" s="747"/>
      <c r="M766" s="568"/>
      <c r="N766" s="560"/>
      <c r="X766" s="501" t="b">
        <f t="shared" si="72"/>
        <v>1</v>
      </c>
    </row>
    <row r="767" s="397" customFormat="1" outlineLevel="2" spans="1:24">
      <c r="A767" s="397" t="s">
        <v>2581</v>
      </c>
      <c r="B767" s="428" t="s">
        <v>2549</v>
      </c>
      <c r="C767" s="429" t="str">
        <f t="shared" si="71"/>
        <v>石嘴山市深阳蓝光市政工程有限公司</v>
      </c>
      <c r="D767" s="722" t="s">
        <v>2582</v>
      </c>
      <c r="E767" s="624" t="s">
        <v>2583</v>
      </c>
      <c r="F767" s="451"/>
      <c r="G767" s="568"/>
      <c r="H767" s="451"/>
      <c r="I767" s="568"/>
      <c r="J767" s="451"/>
      <c r="K767" s="568"/>
      <c r="L767" s="747"/>
      <c r="M767" s="568"/>
      <c r="N767" s="560"/>
      <c r="X767" s="501" t="b">
        <f t="shared" si="72"/>
        <v>0</v>
      </c>
    </row>
    <row r="768" s="397" customFormat="1" outlineLevel="2" spans="2:24">
      <c r="B768" s="428" t="s">
        <v>2549</v>
      </c>
      <c r="C768" s="429" t="str">
        <f t="shared" si="71"/>
        <v>石嘴山市深阳蓝光市政工程有限公司</v>
      </c>
      <c r="D768" s="722" t="s">
        <v>2582</v>
      </c>
      <c r="E768" s="149"/>
      <c r="F768" s="149"/>
      <c r="G768" s="451"/>
      <c r="H768" s="568"/>
      <c r="I768" s="451"/>
      <c r="J768" s="568"/>
      <c r="K768" s="595" t="s">
        <v>2418</v>
      </c>
      <c r="L768" s="568"/>
      <c r="M768" s="747"/>
      <c r="N768" s="568"/>
      <c r="O768" s="560"/>
      <c r="X768" s="501" t="b">
        <f t="shared" si="72"/>
        <v>1</v>
      </c>
    </row>
    <row r="769" s="397" customFormat="1" outlineLevel="2" spans="1:24">
      <c r="A769" s="397" t="s">
        <v>2036</v>
      </c>
      <c r="B769" s="428" t="s">
        <v>2549</v>
      </c>
      <c r="C769" s="429" t="str">
        <f t="shared" si="71"/>
        <v>石嘴山市深阳蓝光市政工程有限公司</v>
      </c>
      <c r="D769" s="722" t="s">
        <v>2584</v>
      </c>
      <c r="E769" s="561" t="s">
        <v>2036</v>
      </c>
      <c r="F769" s="561" t="s">
        <v>2488</v>
      </c>
      <c r="G769" s="561" t="s">
        <v>365</v>
      </c>
      <c r="H769" s="561" t="s">
        <v>2542</v>
      </c>
      <c r="I769" s="561" t="s">
        <v>2490</v>
      </c>
      <c r="J769" s="561" t="s">
        <v>495</v>
      </c>
      <c r="K769" s="753" t="s">
        <v>2491</v>
      </c>
      <c r="L769" s="560"/>
      <c r="M769" s="451"/>
      <c r="N769" s="568"/>
      <c r="O769" s="560"/>
      <c r="X769" s="501" t="b">
        <f t="shared" si="72"/>
        <v>1</v>
      </c>
    </row>
    <row r="770" s="397" customFormat="1" outlineLevel="2" spans="2:24">
      <c r="B770" s="428" t="s">
        <v>2549</v>
      </c>
      <c r="C770" s="429" t="str">
        <f t="shared" si="71"/>
        <v>石嘴山市深阳蓝光市政工程有限公司</v>
      </c>
      <c r="D770" s="722" t="s">
        <v>2584</v>
      </c>
      <c r="E770" s="642"/>
      <c r="F770" s="642"/>
      <c r="G770" s="642"/>
      <c r="H770" s="642"/>
      <c r="I770" s="653">
        <f>IF($F$571=0,0,ROUND(G770/$F$571,4))+K770</f>
        <v>0</v>
      </c>
      <c r="J770" s="642"/>
      <c r="K770" s="598"/>
      <c r="L770" s="560"/>
      <c r="M770" s="451"/>
      <c r="N770" s="568"/>
      <c r="O770" s="560"/>
      <c r="X770" s="501" t="b">
        <f t="shared" si="72"/>
        <v>1</v>
      </c>
    </row>
    <row r="771" s="397" customFormat="1" outlineLevel="2" spans="2:24">
      <c r="B771" s="428" t="s">
        <v>2549</v>
      </c>
      <c r="C771" s="429" t="str">
        <f t="shared" si="71"/>
        <v>石嘴山市深阳蓝光市政工程有限公司</v>
      </c>
      <c r="D771" s="722" t="s">
        <v>2584</v>
      </c>
      <c r="E771" s="642"/>
      <c r="F771" s="642"/>
      <c r="G771" s="642"/>
      <c r="H771" s="642"/>
      <c r="I771" s="653">
        <f>IF($F$571=0,0,ROUND(G771/$F$571,4))+K771</f>
        <v>0</v>
      </c>
      <c r="J771" s="642"/>
      <c r="K771" s="598"/>
      <c r="L771" s="560"/>
      <c r="M771" s="451"/>
      <c r="N771" s="568"/>
      <c r="O771" s="560"/>
      <c r="X771" s="501" t="b">
        <f t="shared" si="72"/>
        <v>1</v>
      </c>
    </row>
    <row r="772" s="397" customFormat="1" outlineLevel="2" spans="2:24">
      <c r="B772" s="428" t="s">
        <v>2549</v>
      </c>
      <c r="C772" s="429" t="str">
        <f t="shared" si="71"/>
        <v>石嘴山市深阳蓝光市政工程有限公司</v>
      </c>
      <c r="D772" s="722" t="s">
        <v>2584</v>
      </c>
      <c r="E772" s="642"/>
      <c r="F772" s="642"/>
      <c r="G772" s="642"/>
      <c r="H772" s="642"/>
      <c r="I772" s="653">
        <f>IF($F$571=0,0,ROUND(G772/$F$571,4))+K772</f>
        <v>0</v>
      </c>
      <c r="J772" s="642"/>
      <c r="K772" s="598"/>
      <c r="L772" s="560"/>
      <c r="M772" s="451"/>
      <c r="N772" s="568"/>
      <c r="O772" s="560"/>
      <c r="X772" s="501" t="b">
        <f t="shared" si="72"/>
        <v>1</v>
      </c>
    </row>
    <row r="773" s="397" customFormat="1" outlineLevel="2" spans="2:24">
      <c r="B773" s="428" t="s">
        <v>2549</v>
      </c>
      <c r="C773" s="429" t="str">
        <f t="shared" si="71"/>
        <v>石嘴山市深阳蓝光市政工程有限公司</v>
      </c>
      <c r="D773" s="722" t="s">
        <v>2584</v>
      </c>
      <c r="E773" s="642"/>
      <c r="F773" s="642"/>
      <c r="G773" s="642"/>
      <c r="H773" s="642"/>
      <c r="I773" s="653">
        <f>IF($F$571=0,0,ROUND(G773/$F$571,4))+K773</f>
        <v>0</v>
      </c>
      <c r="J773" s="642"/>
      <c r="K773" s="598"/>
      <c r="L773" s="560"/>
      <c r="M773" s="451"/>
      <c r="N773" s="568"/>
      <c r="O773" s="560"/>
      <c r="X773" s="501" t="b">
        <f t="shared" si="72"/>
        <v>1</v>
      </c>
    </row>
    <row r="774" s="397" customFormat="1" outlineLevel="2" spans="2:24">
      <c r="B774" s="428" t="s">
        <v>2549</v>
      </c>
      <c r="C774" s="429" t="str">
        <f t="shared" ref="C774:C837" si="73">$G$1</f>
        <v>石嘴山市深阳蓝光市政工程有限公司</v>
      </c>
      <c r="D774" s="722" t="s">
        <v>2584</v>
      </c>
      <c r="E774" s="642"/>
      <c r="F774" s="642"/>
      <c r="G774" s="642"/>
      <c r="H774" s="642"/>
      <c r="I774" s="653">
        <f>IF($F$571=0,0,ROUND(G774/$F$571,4))+K774</f>
        <v>0</v>
      </c>
      <c r="J774" s="642"/>
      <c r="K774" s="598"/>
      <c r="L774" s="560"/>
      <c r="M774" s="451"/>
      <c r="N774" s="568"/>
      <c r="O774" s="560"/>
      <c r="X774" s="501" t="b">
        <f t="shared" si="72"/>
        <v>1</v>
      </c>
    </row>
    <row r="775" s="397" customFormat="1" outlineLevel="2" spans="1:24">
      <c r="A775" s="397" t="s">
        <v>1580</v>
      </c>
      <c r="B775" s="428" t="s">
        <v>2549</v>
      </c>
      <c r="C775" s="429" t="str">
        <f t="shared" si="73"/>
        <v>石嘴山市深阳蓝光市政工程有限公司</v>
      </c>
      <c r="D775" s="722" t="s">
        <v>2584</v>
      </c>
      <c r="E775" s="561" t="s">
        <v>1580</v>
      </c>
      <c r="F775" s="561"/>
      <c r="G775" s="534">
        <f>SUM(G770:G774)</f>
        <v>0</v>
      </c>
      <c r="H775" s="603"/>
      <c r="I775" s="653">
        <f>IF($F$571=0,0,ROUND(G775/$F$571,4))</f>
        <v>0</v>
      </c>
      <c r="J775" s="603"/>
      <c r="K775" s="560"/>
      <c r="L775" s="560"/>
      <c r="M775" s="451"/>
      <c r="N775" s="568"/>
      <c r="O775" s="560"/>
      <c r="X775" s="501" t="b">
        <f t="shared" si="72"/>
        <v>1</v>
      </c>
    </row>
    <row r="776" s="397" customFormat="1" outlineLevel="2" spans="1:24">
      <c r="A776" s="397" t="s">
        <v>2585</v>
      </c>
      <c r="B776" s="428" t="s">
        <v>2549</v>
      </c>
      <c r="C776" s="429" t="str">
        <f t="shared" si="73"/>
        <v>石嘴山市深阳蓝光市政工程有限公司</v>
      </c>
      <c r="D776" s="722" t="s">
        <v>2584</v>
      </c>
      <c r="E776" s="528" t="s">
        <v>2585</v>
      </c>
      <c r="F776" s="748"/>
      <c r="G776" s="451"/>
      <c r="H776" s="749" t="s">
        <v>2506</v>
      </c>
      <c r="I776" s="656">
        <f>SUM(I770:I774)-I775</f>
        <v>0</v>
      </c>
      <c r="J776" s="568"/>
      <c r="K776" s="451"/>
      <c r="L776" s="568"/>
      <c r="M776" s="747"/>
      <c r="N776" s="568"/>
      <c r="O776" s="560"/>
      <c r="X776" s="501" t="b">
        <f t="shared" si="72"/>
        <v>1</v>
      </c>
    </row>
    <row r="777" s="397" customFormat="1" outlineLevel="2" spans="2:24">
      <c r="B777" s="428" t="s">
        <v>2549</v>
      </c>
      <c r="C777" s="429" t="str">
        <f t="shared" si="73"/>
        <v>石嘴山市深阳蓝光市政工程有限公司</v>
      </c>
      <c r="D777" s="722" t="s">
        <v>2584</v>
      </c>
      <c r="E777" s="528"/>
      <c r="F777" s="748"/>
      <c r="G777" s="451"/>
      <c r="H777" s="568"/>
      <c r="I777" s="451"/>
      <c r="J777" s="568"/>
      <c r="K777" s="451"/>
      <c r="L777" s="568"/>
      <c r="M777" s="747"/>
      <c r="N777" s="568"/>
      <c r="O777" s="560"/>
      <c r="X777" s="501" t="b">
        <f t="shared" si="72"/>
        <v>1</v>
      </c>
    </row>
    <row r="778" s="397" customFormat="1" outlineLevel="2" spans="1:24">
      <c r="A778" s="397" t="s">
        <v>2586</v>
      </c>
      <c r="B778" s="428" t="s">
        <v>2549</v>
      </c>
      <c r="C778" s="429" t="str">
        <f t="shared" si="73"/>
        <v>石嘴山市深阳蓝光市政工程有限公司</v>
      </c>
      <c r="D778" s="722" t="s">
        <v>2587</v>
      </c>
      <c r="E778" s="149" t="s">
        <v>2588</v>
      </c>
      <c r="F778" s="560"/>
      <c r="G778" s="560"/>
      <c r="H778" s="560"/>
      <c r="I778" s="560"/>
      <c r="J778" s="451"/>
      <c r="K778" s="568"/>
      <c r="L778" s="747"/>
      <c r="M778" s="568"/>
      <c r="N778" s="560"/>
      <c r="X778" s="501" t="b">
        <f t="shared" si="72"/>
        <v>0</v>
      </c>
    </row>
    <row r="779" s="397" customFormat="1" ht="33.75" outlineLevel="2" spans="1:24">
      <c r="A779" s="397" t="s">
        <v>2036</v>
      </c>
      <c r="B779" s="428" t="s">
        <v>2549</v>
      </c>
      <c r="C779" s="429" t="str">
        <f t="shared" si="73"/>
        <v>石嘴山市深阳蓝光市政工程有限公司</v>
      </c>
      <c r="D779" s="750" t="s">
        <v>2587</v>
      </c>
      <c r="E779" s="657" t="s">
        <v>2036</v>
      </c>
      <c r="F779" s="657" t="s">
        <v>2496</v>
      </c>
      <c r="G779" s="657" t="s">
        <v>2497</v>
      </c>
      <c r="H779" s="657" t="s">
        <v>2498</v>
      </c>
      <c r="I779" s="561" t="s">
        <v>2497</v>
      </c>
      <c r="J779" s="754" t="s">
        <v>2589</v>
      </c>
      <c r="K779" s="568"/>
      <c r="L779" s="747"/>
      <c r="M779" s="568"/>
      <c r="N779" s="560"/>
      <c r="X779" s="501" t="b">
        <f t="shared" si="72"/>
        <v>1</v>
      </c>
    </row>
    <row r="780" s="397" customFormat="1" outlineLevel="2" spans="2:24">
      <c r="B780" s="428" t="s">
        <v>2549</v>
      </c>
      <c r="C780" s="429" t="str">
        <f t="shared" si="73"/>
        <v>石嘴山市深阳蓝光市政工程有限公司</v>
      </c>
      <c r="D780" s="722" t="s">
        <v>2590</v>
      </c>
      <c r="E780" s="487"/>
      <c r="F780" s="487"/>
      <c r="G780" s="487"/>
      <c r="H780" s="487"/>
      <c r="I780" s="487"/>
      <c r="J780" s="487"/>
      <c r="K780" s="568"/>
      <c r="L780" s="747"/>
      <c r="M780" s="568"/>
      <c r="N780" s="560"/>
      <c r="X780" s="501" t="b">
        <f t="shared" si="72"/>
        <v>1</v>
      </c>
    </row>
    <row r="781" s="397" customFormat="1" outlineLevel="2" spans="2:24">
      <c r="B781" s="428" t="s">
        <v>2549</v>
      </c>
      <c r="C781" s="429" t="str">
        <f t="shared" si="73"/>
        <v>石嘴山市深阳蓝光市政工程有限公司</v>
      </c>
      <c r="D781" s="750" t="s">
        <v>2590</v>
      </c>
      <c r="E781" s="487"/>
      <c r="F781" s="642"/>
      <c r="G781" s="642"/>
      <c r="H781" s="642"/>
      <c r="I781" s="642"/>
      <c r="J781" s="642"/>
      <c r="K781" s="568"/>
      <c r="L781" s="747"/>
      <c r="M781" s="568"/>
      <c r="N781" s="560"/>
      <c r="X781" s="501" t="b">
        <f t="shared" si="72"/>
        <v>1</v>
      </c>
    </row>
    <row r="782" s="397" customFormat="1" outlineLevel="2" spans="2:24">
      <c r="B782" s="428" t="s">
        <v>2549</v>
      </c>
      <c r="C782" s="429" t="str">
        <f t="shared" si="73"/>
        <v>石嘴山市深阳蓝光市政工程有限公司</v>
      </c>
      <c r="D782" s="722" t="s">
        <v>2590</v>
      </c>
      <c r="E782" s="487"/>
      <c r="F782" s="642"/>
      <c r="G782" s="642"/>
      <c r="H782" s="642"/>
      <c r="I782" s="642"/>
      <c r="J782" s="642"/>
      <c r="K782" s="568"/>
      <c r="L782" s="747"/>
      <c r="M782" s="568"/>
      <c r="N782" s="560"/>
      <c r="X782" s="501" t="b">
        <f t="shared" si="72"/>
        <v>1</v>
      </c>
    </row>
    <row r="783" s="397" customFormat="1" outlineLevel="2" spans="2:24">
      <c r="B783" s="428" t="s">
        <v>2549</v>
      </c>
      <c r="C783" s="429" t="str">
        <f t="shared" si="73"/>
        <v>石嘴山市深阳蓝光市政工程有限公司</v>
      </c>
      <c r="D783" s="750" t="s">
        <v>2590</v>
      </c>
      <c r="E783" s="487"/>
      <c r="F783" s="642"/>
      <c r="G783" s="642"/>
      <c r="H783" s="642"/>
      <c r="I783" s="642"/>
      <c r="J783" s="642"/>
      <c r="K783" s="568"/>
      <c r="L783" s="747"/>
      <c r="M783" s="568"/>
      <c r="N783" s="560"/>
      <c r="X783" s="501" t="b">
        <f t="shared" si="72"/>
        <v>1</v>
      </c>
    </row>
    <row r="784" s="397" customFormat="1" outlineLevel="2" spans="2:24">
      <c r="B784" s="428" t="s">
        <v>2549</v>
      </c>
      <c r="C784" s="429" t="str">
        <f t="shared" si="73"/>
        <v>石嘴山市深阳蓝光市政工程有限公司</v>
      </c>
      <c r="D784" s="722" t="s">
        <v>2590</v>
      </c>
      <c r="E784" s="487"/>
      <c r="F784" s="642"/>
      <c r="G784" s="642"/>
      <c r="H784" s="642"/>
      <c r="I784" s="642"/>
      <c r="J784" s="642"/>
      <c r="K784" s="568"/>
      <c r="L784" s="747"/>
      <c r="M784" s="568"/>
      <c r="N784" s="560"/>
      <c r="X784" s="501" t="b">
        <f t="shared" si="72"/>
        <v>1</v>
      </c>
    </row>
    <row r="785" s="397" customFormat="1" outlineLevel="2" spans="2:24">
      <c r="B785" s="428" t="s">
        <v>2549</v>
      </c>
      <c r="C785" s="429" t="str">
        <f t="shared" si="73"/>
        <v>石嘴山市深阳蓝光市政工程有限公司</v>
      </c>
      <c r="D785" s="750" t="s">
        <v>2590</v>
      </c>
      <c r="E785" s="487"/>
      <c r="F785" s="642"/>
      <c r="G785" s="642"/>
      <c r="H785" s="642"/>
      <c r="I785" s="642"/>
      <c r="J785" s="642"/>
      <c r="K785" s="568"/>
      <c r="L785" s="747"/>
      <c r="M785" s="568"/>
      <c r="N785" s="560"/>
      <c r="X785" s="501" t="b">
        <f t="shared" si="72"/>
        <v>1</v>
      </c>
    </row>
    <row r="786" s="397" customFormat="1" outlineLevel="2" spans="2:24">
      <c r="B786" s="428" t="s">
        <v>2549</v>
      </c>
      <c r="C786" s="429" t="str">
        <f t="shared" si="73"/>
        <v>石嘴山市深阳蓝光市政工程有限公司</v>
      </c>
      <c r="D786" s="722" t="s">
        <v>2590</v>
      </c>
      <c r="E786" s="487"/>
      <c r="F786" s="642"/>
      <c r="G786" s="642"/>
      <c r="H786" s="642"/>
      <c r="I786" s="642"/>
      <c r="J786" s="642"/>
      <c r="K786" s="568"/>
      <c r="L786" s="747"/>
      <c r="M786" s="568"/>
      <c r="N786" s="560"/>
      <c r="X786" s="501" t="b">
        <f t="shared" si="72"/>
        <v>1</v>
      </c>
    </row>
    <row r="787" s="397" customFormat="1" outlineLevel="2" spans="2:24">
      <c r="B787" s="428" t="s">
        <v>2549</v>
      </c>
      <c r="C787" s="429" t="str">
        <f t="shared" si="73"/>
        <v>石嘴山市深阳蓝光市政工程有限公司</v>
      </c>
      <c r="D787" s="750" t="s">
        <v>2590</v>
      </c>
      <c r="E787" s="487"/>
      <c r="F787" s="642"/>
      <c r="G787" s="642"/>
      <c r="H787" s="642"/>
      <c r="I787" s="642"/>
      <c r="J787" s="642"/>
      <c r="K787" s="568"/>
      <c r="L787" s="747"/>
      <c r="M787" s="568"/>
      <c r="N787" s="560"/>
      <c r="X787" s="501" t="b">
        <f t="shared" si="72"/>
        <v>1</v>
      </c>
    </row>
    <row r="788" s="397" customFormat="1" outlineLevel="2" spans="2:24">
      <c r="B788" s="428" t="s">
        <v>2549</v>
      </c>
      <c r="C788" s="429" t="str">
        <f t="shared" si="73"/>
        <v>石嘴山市深阳蓝光市政工程有限公司</v>
      </c>
      <c r="D788" s="722" t="s">
        <v>2590</v>
      </c>
      <c r="E788" s="487"/>
      <c r="F788" s="642"/>
      <c r="G788" s="642"/>
      <c r="H788" s="642"/>
      <c r="I788" s="642"/>
      <c r="J788" s="642"/>
      <c r="K788" s="568"/>
      <c r="L788" s="747"/>
      <c r="M788" s="568"/>
      <c r="N788" s="560"/>
      <c r="X788" s="501" t="b">
        <f t="shared" si="72"/>
        <v>1</v>
      </c>
    </row>
    <row r="789" s="397" customFormat="1" outlineLevel="2" spans="2:24">
      <c r="B789" s="428" t="s">
        <v>2549</v>
      </c>
      <c r="C789" s="429" t="str">
        <f t="shared" si="73"/>
        <v>石嘴山市深阳蓝光市政工程有限公司</v>
      </c>
      <c r="D789" s="750" t="s">
        <v>2590</v>
      </c>
      <c r="E789" s="487"/>
      <c r="F789" s="642"/>
      <c r="G789" s="642"/>
      <c r="H789" s="642"/>
      <c r="I789" s="642"/>
      <c r="J789" s="642"/>
      <c r="K789" s="568"/>
      <c r="L789" s="747"/>
      <c r="M789" s="568"/>
      <c r="N789" s="560"/>
      <c r="X789" s="501" t="b">
        <f t="shared" si="72"/>
        <v>1</v>
      </c>
    </row>
    <row r="790" s="397" customFormat="1" outlineLevel="2" spans="1:24">
      <c r="A790" s="397" t="s">
        <v>2500</v>
      </c>
      <c r="B790" s="575" t="s">
        <v>2549</v>
      </c>
      <c r="C790" s="429" t="str">
        <f t="shared" si="73"/>
        <v>石嘴山市深阳蓝光市政工程有限公司</v>
      </c>
      <c r="D790" s="579" t="s">
        <v>2590</v>
      </c>
      <c r="E790" s="751" t="s">
        <v>2500</v>
      </c>
      <c r="F790" s="560"/>
      <c r="G790" s="560"/>
      <c r="H790" s="560"/>
      <c r="I790" s="560"/>
      <c r="J790" s="451"/>
      <c r="K790" s="568"/>
      <c r="L790" s="747"/>
      <c r="M790" s="568"/>
      <c r="N790" s="560"/>
      <c r="X790" s="501" t="b">
        <f t="shared" si="72"/>
        <v>1</v>
      </c>
    </row>
    <row r="791" s="397" customFormat="1" outlineLevel="2" spans="1:24">
      <c r="A791" s="397" t="s">
        <v>2501</v>
      </c>
      <c r="B791" s="575" t="s">
        <v>2549</v>
      </c>
      <c r="C791" s="429" t="str">
        <f t="shared" si="73"/>
        <v>石嘴山市深阳蓝光市政工程有限公司</v>
      </c>
      <c r="D791" s="752" t="s">
        <v>2502</v>
      </c>
      <c r="E791" s="149" t="s">
        <v>2503</v>
      </c>
      <c r="F791" s="560"/>
      <c r="G791" s="560"/>
      <c r="H791" s="560"/>
      <c r="I791" s="560"/>
      <c r="J791" s="451"/>
      <c r="K791" s="568"/>
      <c r="L791" s="747"/>
      <c r="M791" s="568"/>
      <c r="N791" s="560"/>
      <c r="X791" s="501" t="b">
        <f t="shared" si="72"/>
        <v>1</v>
      </c>
    </row>
    <row r="792" s="397" customFormat="1" outlineLevel="2" spans="2:24">
      <c r="B792" s="575" t="s">
        <v>2549</v>
      </c>
      <c r="C792" s="429" t="str">
        <f t="shared" si="73"/>
        <v>石嘴山市深阳蓝光市政工程有限公司</v>
      </c>
      <c r="D792" s="752" t="s">
        <v>2502</v>
      </c>
      <c r="E792" s="149"/>
      <c r="F792" s="560"/>
      <c r="G792" s="560"/>
      <c r="H792" s="560"/>
      <c r="I792" s="595" t="s">
        <v>2418</v>
      </c>
      <c r="J792" s="451"/>
      <c r="K792" s="568"/>
      <c r="L792" s="747"/>
      <c r="M792" s="568"/>
      <c r="N792" s="560"/>
      <c r="X792" s="501" t="b">
        <f t="shared" si="72"/>
        <v>1</v>
      </c>
    </row>
    <row r="793" s="397" customFormat="1" outlineLevel="2" spans="1:24">
      <c r="A793" s="397" t="s">
        <v>2036</v>
      </c>
      <c r="B793" s="575" t="s">
        <v>2549</v>
      </c>
      <c r="C793" s="429" t="str">
        <f t="shared" si="73"/>
        <v>石嘴山市深阳蓝光市政工程有限公司</v>
      </c>
      <c r="D793" s="752" t="s">
        <v>2505</v>
      </c>
      <c r="E793" s="561" t="s">
        <v>2036</v>
      </c>
      <c r="F793" s="561" t="s">
        <v>2488</v>
      </c>
      <c r="G793" s="561" t="s">
        <v>365</v>
      </c>
      <c r="H793" s="561" t="s">
        <v>2504</v>
      </c>
      <c r="I793" s="753" t="s">
        <v>2491</v>
      </c>
      <c r="J793" s="451"/>
      <c r="K793" s="568"/>
      <c r="L793" s="747"/>
      <c r="M793" s="568"/>
      <c r="N793" s="560"/>
      <c r="X793" s="501" t="b">
        <f t="shared" si="72"/>
        <v>1</v>
      </c>
    </row>
    <row r="794" s="397" customFormat="1" outlineLevel="2" spans="2:24">
      <c r="B794" s="575" t="s">
        <v>2549</v>
      </c>
      <c r="C794" s="429" t="str">
        <f t="shared" si="73"/>
        <v>石嘴山市深阳蓝光市政工程有限公司</v>
      </c>
      <c r="D794" s="752" t="s">
        <v>2505</v>
      </c>
      <c r="E794" s="651"/>
      <c r="F794" s="651"/>
      <c r="G794" s="651"/>
      <c r="H794" s="653">
        <f>IF($F$571=0,0,ROUND(G794/$F$571,4))+I794</f>
        <v>0</v>
      </c>
      <c r="I794" s="598"/>
      <c r="J794" s="451"/>
      <c r="K794" s="568"/>
      <c r="L794" s="747"/>
      <c r="M794" s="568"/>
      <c r="N794" s="560"/>
      <c r="X794" s="501" t="b">
        <f t="shared" si="72"/>
        <v>1</v>
      </c>
    </row>
    <row r="795" s="397" customFormat="1" outlineLevel="2" spans="2:24">
      <c r="B795" s="575" t="s">
        <v>2549</v>
      </c>
      <c r="C795" s="429" t="str">
        <f t="shared" si="73"/>
        <v>石嘴山市深阳蓝光市政工程有限公司</v>
      </c>
      <c r="D795" s="752" t="s">
        <v>2505</v>
      </c>
      <c r="E795" s="487"/>
      <c r="F795" s="642"/>
      <c r="G795" s="642"/>
      <c r="H795" s="653">
        <f t="shared" ref="H795:H802" si="74">IF($F$571=0,0,ROUND(G795/$F$571,4))+I795</f>
        <v>0</v>
      </c>
      <c r="I795" s="598"/>
      <c r="J795" s="451"/>
      <c r="K795" s="568"/>
      <c r="L795" s="747"/>
      <c r="M795" s="568"/>
      <c r="N795" s="560"/>
      <c r="X795" s="501" t="b">
        <f t="shared" si="72"/>
        <v>1</v>
      </c>
    </row>
    <row r="796" s="397" customFormat="1" outlineLevel="2" spans="2:24">
      <c r="B796" s="575" t="s">
        <v>2549</v>
      </c>
      <c r="C796" s="429" t="str">
        <f t="shared" si="73"/>
        <v>石嘴山市深阳蓝光市政工程有限公司</v>
      </c>
      <c r="D796" s="752" t="s">
        <v>2505</v>
      </c>
      <c r="E796" s="487"/>
      <c r="F796" s="642"/>
      <c r="G796" s="642"/>
      <c r="H796" s="653">
        <f t="shared" si="74"/>
        <v>0</v>
      </c>
      <c r="I796" s="598"/>
      <c r="J796" s="451"/>
      <c r="K796" s="568"/>
      <c r="L796" s="747"/>
      <c r="M796" s="568"/>
      <c r="N796" s="560"/>
      <c r="X796" s="501" t="b">
        <f t="shared" si="72"/>
        <v>1</v>
      </c>
    </row>
    <row r="797" s="397" customFormat="1" outlineLevel="2" spans="2:24">
      <c r="B797" s="575" t="s">
        <v>2549</v>
      </c>
      <c r="C797" s="429" t="str">
        <f t="shared" si="73"/>
        <v>石嘴山市深阳蓝光市政工程有限公司</v>
      </c>
      <c r="D797" s="752" t="s">
        <v>2505</v>
      </c>
      <c r="E797" s="487"/>
      <c r="F797" s="642"/>
      <c r="G797" s="642"/>
      <c r="H797" s="653">
        <f t="shared" si="74"/>
        <v>0</v>
      </c>
      <c r="I797" s="598"/>
      <c r="J797" s="451"/>
      <c r="K797" s="568"/>
      <c r="L797" s="747"/>
      <c r="M797" s="568"/>
      <c r="N797" s="560"/>
      <c r="X797" s="501" t="b">
        <f t="shared" si="72"/>
        <v>1</v>
      </c>
    </row>
    <row r="798" s="397" customFormat="1" outlineLevel="2" spans="2:24">
      <c r="B798" s="575" t="s">
        <v>2549</v>
      </c>
      <c r="C798" s="429" t="str">
        <f t="shared" si="73"/>
        <v>石嘴山市深阳蓝光市政工程有限公司</v>
      </c>
      <c r="D798" s="752" t="s">
        <v>2505</v>
      </c>
      <c r="E798" s="487"/>
      <c r="F798" s="642"/>
      <c r="G798" s="642"/>
      <c r="H798" s="653">
        <f t="shared" si="74"/>
        <v>0</v>
      </c>
      <c r="I798" s="598"/>
      <c r="J798" s="451"/>
      <c r="K798" s="568"/>
      <c r="L798" s="747"/>
      <c r="M798" s="568"/>
      <c r="N798" s="560"/>
      <c r="X798" s="501" t="b">
        <f t="shared" si="72"/>
        <v>1</v>
      </c>
    </row>
    <row r="799" s="397" customFormat="1" outlineLevel="2" spans="2:24">
      <c r="B799" s="575" t="s">
        <v>2549</v>
      </c>
      <c r="C799" s="429" t="str">
        <f t="shared" si="73"/>
        <v>石嘴山市深阳蓝光市政工程有限公司</v>
      </c>
      <c r="D799" s="752" t="s">
        <v>2505</v>
      </c>
      <c r="E799" s="487"/>
      <c r="F799" s="642"/>
      <c r="G799" s="642"/>
      <c r="H799" s="653">
        <f t="shared" si="74"/>
        <v>0</v>
      </c>
      <c r="I799" s="598"/>
      <c r="J799" s="451"/>
      <c r="K799" s="568"/>
      <c r="L799" s="747"/>
      <c r="M799" s="568"/>
      <c r="N799" s="560"/>
      <c r="X799" s="501" t="b">
        <f t="shared" si="72"/>
        <v>1</v>
      </c>
    </row>
    <row r="800" s="397" customFormat="1" outlineLevel="2" spans="2:24">
      <c r="B800" s="575" t="s">
        <v>2549</v>
      </c>
      <c r="C800" s="429" t="str">
        <f t="shared" si="73"/>
        <v>石嘴山市深阳蓝光市政工程有限公司</v>
      </c>
      <c r="D800" s="752" t="s">
        <v>2505</v>
      </c>
      <c r="E800" s="487"/>
      <c r="F800" s="642"/>
      <c r="G800" s="642"/>
      <c r="H800" s="653">
        <f t="shared" si="74"/>
        <v>0</v>
      </c>
      <c r="I800" s="598"/>
      <c r="J800" s="451"/>
      <c r="K800" s="568"/>
      <c r="L800" s="747"/>
      <c r="M800" s="568"/>
      <c r="N800" s="560"/>
      <c r="X800" s="501" t="b">
        <f t="shared" si="72"/>
        <v>1</v>
      </c>
    </row>
    <row r="801" s="397" customFormat="1" outlineLevel="2" spans="2:24">
      <c r="B801" s="575" t="s">
        <v>2549</v>
      </c>
      <c r="C801" s="429" t="str">
        <f t="shared" si="73"/>
        <v>石嘴山市深阳蓝光市政工程有限公司</v>
      </c>
      <c r="D801" s="752" t="s">
        <v>2505</v>
      </c>
      <c r="E801" s="487"/>
      <c r="F801" s="642"/>
      <c r="G801" s="642"/>
      <c r="H801" s="653">
        <f t="shared" si="74"/>
        <v>0</v>
      </c>
      <c r="I801" s="598"/>
      <c r="J801" s="451"/>
      <c r="K801" s="568"/>
      <c r="L801" s="747"/>
      <c r="M801" s="568"/>
      <c r="N801" s="560"/>
      <c r="X801" s="501" t="b">
        <f t="shared" si="72"/>
        <v>1</v>
      </c>
    </row>
    <row r="802" s="397" customFormat="1" outlineLevel="2" spans="2:24">
      <c r="B802" s="575" t="s">
        <v>2549</v>
      </c>
      <c r="C802" s="429" t="str">
        <f t="shared" si="73"/>
        <v>石嘴山市深阳蓝光市政工程有限公司</v>
      </c>
      <c r="D802" s="752" t="s">
        <v>2505</v>
      </c>
      <c r="E802" s="487"/>
      <c r="F802" s="642"/>
      <c r="G802" s="642"/>
      <c r="H802" s="653">
        <f t="shared" si="74"/>
        <v>0</v>
      </c>
      <c r="I802" s="598"/>
      <c r="J802" s="451"/>
      <c r="K802" s="568"/>
      <c r="L802" s="747"/>
      <c r="M802" s="568"/>
      <c r="N802" s="560"/>
      <c r="X802" s="501" t="b">
        <f t="shared" si="72"/>
        <v>1</v>
      </c>
    </row>
    <row r="803" s="397" customFormat="1" outlineLevel="2" spans="1:24">
      <c r="A803" s="397" t="s">
        <v>1580</v>
      </c>
      <c r="B803" s="575" t="s">
        <v>2549</v>
      </c>
      <c r="C803" s="429" t="str">
        <f t="shared" si="73"/>
        <v>石嘴山市深阳蓝光市政工程有限公司</v>
      </c>
      <c r="D803" s="752" t="s">
        <v>2505</v>
      </c>
      <c r="E803" s="649" t="s">
        <v>1580</v>
      </c>
      <c r="F803" s="603"/>
      <c r="G803" s="534">
        <f>SUM(G794:G802)</f>
        <v>0</v>
      </c>
      <c r="H803" s="653">
        <f>IF($F$571=0,0,ROUND(G803/$F$571,4))</f>
        <v>0</v>
      </c>
      <c r="I803" s="560"/>
      <c r="J803" s="451"/>
      <c r="K803" s="568"/>
      <c r="L803" s="747"/>
      <c r="M803" s="568"/>
      <c r="N803" s="560"/>
      <c r="X803" s="501" t="b">
        <f t="shared" si="72"/>
        <v>1</v>
      </c>
    </row>
    <row r="804" s="397" customFormat="1" outlineLevel="2" spans="2:24">
      <c r="B804" s="575" t="s">
        <v>2549</v>
      </c>
      <c r="C804" s="429" t="str">
        <f t="shared" si="73"/>
        <v>石嘴山市深阳蓝光市政工程有限公司</v>
      </c>
      <c r="D804" s="752" t="s">
        <v>2505</v>
      </c>
      <c r="E804" s="654"/>
      <c r="F804" s="559"/>
      <c r="G804" s="655" t="s">
        <v>2506</v>
      </c>
      <c r="H804" s="656">
        <f>SUM(H794:H802)-H803</f>
        <v>0</v>
      </c>
      <c r="I804" s="560"/>
      <c r="J804" s="451"/>
      <c r="K804" s="568"/>
      <c r="L804" s="747"/>
      <c r="M804" s="568"/>
      <c r="N804" s="560"/>
      <c r="X804" s="501" t="b">
        <f t="shared" si="72"/>
        <v>1</v>
      </c>
    </row>
    <row r="805" s="397" customFormat="1" outlineLevel="2" spans="1:24">
      <c r="A805" s="397" t="s">
        <v>2507</v>
      </c>
      <c r="B805" s="575" t="s">
        <v>2549</v>
      </c>
      <c r="C805" s="429" t="str">
        <f t="shared" si="73"/>
        <v>石嘴山市深阳蓝光市政工程有限公司</v>
      </c>
      <c r="D805" s="752" t="s">
        <v>2591</v>
      </c>
      <c r="E805" s="149" t="s">
        <v>2508</v>
      </c>
      <c r="F805" s="560"/>
      <c r="G805" s="560"/>
      <c r="H805" s="560"/>
      <c r="I805" s="560"/>
      <c r="J805" s="451"/>
      <c r="K805" s="568"/>
      <c r="L805" s="747"/>
      <c r="M805" s="568"/>
      <c r="N805" s="560"/>
      <c r="X805" s="501" t="b">
        <f t="shared" si="72"/>
        <v>1</v>
      </c>
    </row>
    <row r="806" s="397" customFormat="1" outlineLevel="2" spans="1:24">
      <c r="A806" s="397" t="s">
        <v>60</v>
      </c>
      <c r="B806" s="575" t="s">
        <v>2549</v>
      </c>
      <c r="C806" s="429" t="str">
        <f t="shared" si="73"/>
        <v>石嘴山市深阳蓝光市政工程有限公司</v>
      </c>
      <c r="D806" s="752" t="s">
        <v>2591</v>
      </c>
      <c r="E806" s="562" t="s">
        <v>60</v>
      </c>
      <c r="F806" s="562" t="s">
        <v>2509</v>
      </c>
      <c r="G806" s="561" t="s">
        <v>2510</v>
      </c>
      <c r="H806" s="560"/>
      <c r="I806" s="560"/>
      <c r="J806" s="451"/>
      <c r="K806" s="568"/>
      <c r="L806" s="747"/>
      <c r="M806" s="568"/>
      <c r="N806" s="560"/>
      <c r="X806" s="501" t="b">
        <f t="shared" si="72"/>
        <v>1</v>
      </c>
    </row>
    <row r="807" s="397" customFormat="1" outlineLevel="2" spans="2:24">
      <c r="B807" s="575" t="s">
        <v>2549</v>
      </c>
      <c r="C807" s="429" t="str">
        <f t="shared" si="73"/>
        <v>石嘴山市深阳蓝光市政工程有限公司</v>
      </c>
      <c r="D807" s="752" t="s">
        <v>2592</v>
      </c>
      <c r="E807" s="487"/>
      <c r="F807" s="642"/>
      <c r="G807" s="642"/>
      <c r="H807" s="560"/>
      <c r="I807" s="560"/>
      <c r="J807" s="451"/>
      <c r="K807" s="568"/>
      <c r="L807" s="747"/>
      <c r="M807" s="568"/>
      <c r="N807" s="560"/>
      <c r="X807" s="501" t="b">
        <f t="shared" si="72"/>
        <v>1</v>
      </c>
    </row>
    <row r="808" s="397" customFormat="1" outlineLevel="2" spans="2:24">
      <c r="B808" s="575" t="s">
        <v>2549</v>
      </c>
      <c r="C808" s="429" t="str">
        <f t="shared" si="73"/>
        <v>石嘴山市深阳蓝光市政工程有限公司</v>
      </c>
      <c r="D808" s="752" t="s">
        <v>2592</v>
      </c>
      <c r="E808" s="487"/>
      <c r="F808" s="642"/>
      <c r="G808" s="642"/>
      <c r="H808" s="560"/>
      <c r="I808" s="560"/>
      <c r="J808" s="451"/>
      <c r="K808" s="568"/>
      <c r="L808" s="747"/>
      <c r="M808" s="568"/>
      <c r="N808" s="560"/>
      <c r="X808" s="501" t="b">
        <f t="shared" si="72"/>
        <v>1</v>
      </c>
    </row>
    <row r="809" s="397" customFormat="1" outlineLevel="2" spans="2:24">
      <c r="B809" s="575" t="s">
        <v>2549</v>
      </c>
      <c r="C809" s="429" t="str">
        <f t="shared" si="73"/>
        <v>石嘴山市深阳蓝光市政工程有限公司</v>
      </c>
      <c r="D809" s="752" t="s">
        <v>2592</v>
      </c>
      <c r="E809" s="487"/>
      <c r="F809" s="642"/>
      <c r="G809" s="642"/>
      <c r="H809" s="560"/>
      <c r="I809" s="560"/>
      <c r="J809" s="451"/>
      <c r="K809" s="568"/>
      <c r="L809" s="747"/>
      <c r="M809" s="568"/>
      <c r="N809" s="560"/>
      <c r="X809" s="501" t="b">
        <f t="shared" si="72"/>
        <v>1</v>
      </c>
    </row>
    <row r="810" s="397" customFormat="1" outlineLevel="2" spans="2:24">
      <c r="B810" s="575" t="s">
        <v>2549</v>
      </c>
      <c r="C810" s="429" t="str">
        <f t="shared" si="73"/>
        <v>石嘴山市深阳蓝光市政工程有限公司</v>
      </c>
      <c r="D810" s="752" t="s">
        <v>2592</v>
      </c>
      <c r="E810" s="487"/>
      <c r="F810" s="642"/>
      <c r="G810" s="642"/>
      <c r="H810" s="560"/>
      <c r="I810" s="560"/>
      <c r="J810" s="451"/>
      <c r="K810" s="568"/>
      <c r="L810" s="747"/>
      <c r="M810" s="568"/>
      <c r="N810" s="560"/>
      <c r="X810" s="501" t="b">
        <f t="shared" si="72"/>
        <v>1</v>
      </c>
    </row>
    <row r="811" s="397" customFormat="1" outlineLevel="2" spans="2:24">
      <c r="B811" s="575" t="s">
        <v>2549</v>
      </c>
      <c r="C811" s="429" t="str">
        <f t="shared" si="73"/>
        <v>石嘴山市深阳蓝光市政工程有限公司</v>
      </c>
      <c r="D811" s="752" t="s">
        <v>2592</v>
      </c>
      <c r="E811" s="487"/>
      <c r="F811" s="642"/>
      <c r="G811" s="642"/>
      <c r="H811" s="560"/>
      <c r="I811" s="560"/>
      <c r="J811" s="451"/>
      <c r="K811" s="568"/>
      <c r="L811" s="747"/>
      <c r="M811" s="568"/>
      <c r="N811" s="560"/>
      <c r="X811" s="501" t="b">
        <f t="shared" si="72"/>
        <v>1</v>
      </c>
    </row>
    <row r="812" s="397" customFormat="1" outlineLevel="2" spans="2:24">
      <c r="B812" s="575" t="s">
        <v>2549</v>
      </c>
      <c r="C812" s="429" t="str">
        <f t="shared" si="73"/>
        <v>石嘴山市深阳蓝光市政工程有限公司</v>
      </c>
      <c r="D812" s="752" t="s">
        <v>2592</v>
      </c>
      <c r="E812" s="487"/>
      <c r="F812" s="642"/>
      <c r="G812" s="642"/>
      <c r="H812" s="560"/>
      <c r="I812" s="560"/>
      <c r="J812" s="451"/>
      <c r="K812" s="568"/>
      <c r="L812" s="747"/>
      <c r="M812" s="568"/>
      <c r="N812" s="560"/>
      <c r="X812" s="501" t="b">
        <f t="shared" si="72"/>
        <v>1</v>
      </c>
    </row>
    <row r="813" s="397" customFormat="1" outlineLevel="2" spans="1:24">
      <c r="A813" s="397" t="s">
        <v>1580</v>
      </c>
      <c r="B813" s="575" t="s">
        <v>2549</v>
      </c>
      <c r="C813" s="429" t="str">
        <f t="shared" si="73"/>
        <v>石嘴山市深阳蓝光市政工程有限公司</v>
      </c>
      <c r="D813" s="752" t="s">
        <v>2592</v>
      </c>
      <c r="E813" s="649" t="s">
        <v>1580</v>
      </c>
      <c r="F813" s="534">
        <f>SUM(F807:F812)</f>
        <v>0</v>
      </c>
      <c r="G813" s="534">
        <f>SUM(G807:G812)</f>
        <v>0</v>
      </c>
      <c r="H813" s="560"/>
      <c r="I813" s="560"/>
      <c r="J813" s="451"/>
      <c r="K813" s="568"/>
      <c r="L813" s="747"/>
      <c r="M813" s="568"/>
      <c r="N813" s="560"/>
      <c r="X813" s="501" t="b">
        <f t="shared" si="72"/>
        <v>1</v>
      </c>
    </row>
    <row r="814" s="397" customFormat="1" outlineLevel="2" spans="2:24">
      <c r="B814" s="575" t="s">
        <v>2549</v>
      </c>
      <c r="C814" s="429" t="str">
        <f t="shared" si="73"/>
        <v>石嘴山市深阳蓝光市政工程有限公司</v>
      </c>
      <c r="D814" s="752" t="s">
        <v>2592</v>
      </c>
      <c r="E814" s="658"/>
      <c r="F814" s="559"/>
      <c r="G814" s="559"/>
      <c r="H814" s="560"/>
      <c r="I814" s="560"/>
      <c r="J814" s="451"/>
      <c r="K814" s="568"/>
      <c r="L814" s="747"/>
      <c r="M814" s="568"/>
      <c r="N814" s="560"/>
      <c r="X814" s="501" t="b">
        <f t="shared" si="72"/>
        <v>1</v>
      </c>
    </row>
    <row r="815" s="397" customFormat="1" outlineLevel="2" spans="1:24">
      <c r="A815" s="397" t="s">
        <v>2511</v>
      </c>
      <c r="B815" s="575" t="s">
        <v>2549</v>
      </c>
      <c r="C815" s="429" t="str">
        <f t="shared" si="73"/>
        <v>石嘴山市深阳蓝光市政工程有限公司</v>
      </c>
      <c r="D815" s="616" t="s">
        <v>2511</v>
      </c>
      <c r="E815" s="149" t="s">
        <v>2512</v>
      </c>
      <c r="F815" s="560"/>
      <c r="G815" s="560"/>
      <c r="H815" s="560"/>
      <c r="I815" s="560"/>
      <c r="J815" s="451"/>
      <c r="K815" s="568"/>
      <c r="L815" s="747"/>
      <c r="M815" s="568"/>
      <c r="N815" s="560"/>
      <c r="X815" s="501" t="b">
        <f t="shared" si="72"/>
        <v>1</v>
      </c>
    </row>
    <row r="816" s="397" customFormat="1" outlineLevel="2" spans="1:24">
      <c r="A816" s="397" t="s">
        <v>60</v>
      </c>
      <c r="B816" s="575" t="s">
        <v>2549</v>
      </c>
      <c r="C816" s="429" t="str">
        <f t="shared" si="73"/>
        <v>石嘴山市深阳蓝光市政工程有限公司</v>
      </c>
      <c r="D816" s="616" t="s">
        <v>2511</v>
      </c>
      <c r="E816" s="561" t="s">
        <v>60</v>
      </c>
      <c r="F816" s="561" t="s">
        <v>2407</v>
      </c>
      <c r="G816" s="560"/>
      <c r="H816" s="560"/>
      <c r="I816" s="560"/>
      <c r="J816" s="451"/>
      <c r="K816" s="568"/>
      <c r="L816" s="747"/>
      <c r="M816" s="568"/>
      <c r="N816" s="560"/>
      <c r="X816" s="501" t="b">
        <f t="shared" si="72"/>
        <v>1</v>
      </c>
    </row>
    <row r="817" s="397" customFormat="1" outlineLevel="2" spans="1:24">
      <c r="A817" s="397" t="s">
        <v>2514</v>
      </c>
      <c r="B817" s="575" t="s">
        <v>2549</v>
      </c>
      <c r="C817" s="429" t="str">
        <f t="shared" si="73"/>
        <v>石嘴山市深阳蓝光市政工程有限公司</v>
      </c>
      <c r="D817" s="616" t="s">
        <v>2511</v>
      </c>
      <c r="E817" s="659" t="s">
        <v>2514</v>
      </c>
      <c r="F817" s="660"/>
      <c r="G817" s="560"/>
      <c r="H817" s="560"/>
      <c r="I817" s="560"/>
      <c r="J817" s="451"/>
      <c r="K817" s="568"/>
      <c r="L817" s="747"/>
      <c r="M817" s="568"/>
      <c r="N817" s="560"/>
      <c r="X817" s="501" t="b">
        <f t="shared" si="72"/>
        <v>1</v>
      </c>
    </row>
    <row r="818" s="397" customFormat="1" outlineLevel="2" spans="2:24">
      <c r="B818" s="575" t="s">
        <v>2549</v>
      </c>
      <c r="C818" s="429" t="str">
        <f t="shared" si="73"/>
        <v>石嘴山市深阳蓝光市政工程有限公司</v>
      </c>
      <c r="D818" s="616" t="s">
        <v>2511</v>
      </c>
      <c r="E818" s="487"/>
      <c r="F818" s="547"/>
      <c r="G818" s="560"/>
      <c r="H818" s="560"/>
      <c r="I818" s="560"/>
      <c r="J818" s="451"/>
      <c r="K818" s="568"/>
      <c r="L818" s="747"/>
      <c r="M818" s="568"/>
      <c r="N818" s="560"/>
      <c r="X818" s="501" t="b">
        <f t="shared" si="72"/>
        <v>1</v>
      </c>
    </row>
    <row r="819" s="397" customFormat="1" outlineLevel="2" spans="2:24">
      <c r="B819" s="575" t="s">
        <v>2549</v>
      </c>
      <c r="C819" s="429" t="str">
        <f t="shared" si="73"/>
        <v>石嘴山市深阳蓝光市政工程有限公司</v>
      </c>
      <c r="D819" s="616" t="s">
        <v>2511</v>
      </c>
      <c r="E819" s="487"/>
      <c r="F819" s="547"/>
      <c r="G819" s="560"/>
      <c r="H819" s="560"/>
      <c r="I819" s="560"/>
      <c r="J819" s="451"/>
      <c r="K819" s="568"/>
      <c r="L819" s="747"/>
      <c r="M819" s="568"/>
      <c r="N819" s="560"/>
      <c r="X819" s="501" t="b">
        <f t="shared" si="72"/>
        <v>1</v>
      </c>
    </row>
    <row r="820" s="397" customFormat="1" outlineLevel="2" spans="2:24">
      <c r="B820" s="575" t="s">
        <v>2549</v>
      </c>
      <c r="C820" s="429" t="str">
        <f t="shared" si="73"/>
        <v>石嘴山市深阳蓝光市政工程有限公司</v>
      </c>
      <c r="D820" s="616" t="s">
        <v>2511</v>
      </c>
      <c r="E820" s="487"/>
      <c r="F820" s="547"/>
      <c r="G820" s="560"/>
      <c r="H820" s="560"/>
      <c r="I820" s="560"/>
      <c r="J820" s="451"/>
      <c r="K820" s="568"/>
      <c r="L820" s="747"/>
      <c r="M820" s="568"/>
      <c r="N820" s="560"/>
      <c r="X820" s="501" t="b">
        <f t="shared" si="72"/>
        <v>1</v>
      </c>
    </row>
    <row r="821" s="397" customFormat="1" outlineLevel="2" spans="2:24">
      <c r="B821" s="575" t="s">
        <v>2549</v>
      </c>
      <c r="C821" s="429" t="str">
        <f t="shared" si="73"/>
        <v>石嘴山市深阳蓝光市政工程有限公司</v>
      </c>
      <c r="D821" s="616" t="s">
        <v>2511</v>
      </c>
      <c r="E821" s="487"/>
      <c r="F821" s="547"/>
      <c r="G821" s="560"/>
      <c r="H821" s="560"/>
      <c r="I821" s="560"/>
      <c r="J821" s="451"/>
      <c r="K821" s="568"/>
      <c r="L821" s="747"/>
      <c r="M821" s="568"/>
      <c r="N821" s="560"/>
      <c r="X821" s="501" t="b">
        <f t="shared" si="72"/>
        <v>1</v>
      </c>
    </row>
    <row r="822" s="397" customFormat="1" outlineLevel="2" spans="2:24">
      <c r="B822" s="575" t="s">
        <v>2549</v>
      </c>
      <c r="C822" s="429" t="str">
        <f t="shared" si="73"/>
        <v>石嘴山市深阳蓝光市政工程有限公司</v>
      </c>
      <c r="D822" s="616" t="s">
        <v>2511</v>
      </c>
      <c r="E822" s="487"/>
      <c r="F822" s="547"/>
      <c r="G822" s="560"/>
      <c r="H822" s="560"/>
      <c r="I822" s="560"/>
      <c r="J822" s="451"/>
      <c r="K822" s="568"/>
      <c r="L822" s="747"/>
      <c r="M822" s="568"/>
      <c r="N822" s="560"/>
      <c r="X822" s="501" t="b">
        <f t="shared" si="72"/>
        <v>1</v>
      </c>
    </row>
    <row r="823" s="397" customFormat="1" outlineLevel="2" spans="1:24">
      <c r="A823" s="397" t="s">
        <v>2516</v>
      </c>
      <c r="B823" s="575" t="s">
        <v>2549</v>
      </c>
      <c r="C823" s="429" t="str">
        <f t="shared" si="73"/>
        <v>石嘴山市深阳蓝光市政工程有限公司</v>
      </c>
      <c r="D823" s="616" t="s">
        <v>2511</v>
      </c>
      <c r="E823" s="466" t="s">
        <v>2516</v>
      </c>
      <c r="F823" s="534">
        <f>SUM(F817:F822)</f>
        <v>0</v>
      </c>
      <c r="G823" s="560"/>
      <c r="H823" s="560"/>
      <c r="I823" s="560"/>
      <c r="J823" s="451"/>
      <c r="K823" s="568"/>
      <c r="L823" s="747"/>
      <c r="M823" s="568"/>
      <c r="N823" s="560"/>
      <c r="X823" s="501" t="b">
        <f t="shared" si="72"/>
        <v>1</v>
      </c>
    </row>
    <row r="824" s="397" customFormat="1" outlineLevel="2" spans="1:24">
      <c r="A824" s="397" t="s">
        <v>2517</v>
      </c>
      <c r="B824" s="575" t="s">
        <v>2549</v>
      </c>
      <c r="C824" s="429" t="str">
        <f t="shared" si="73"/>
        <v>石嘴山市深阳蓝光市政工程有限公司</v>
      </c>
      <c r="D824" s="616" t="s">
        <v>2511</v>
      </c>
      <c r="E824" s="466" t="s">
        <v>2517</v>
      </c>
      <c r="F824" s="661"/>
      <c r="G824" s="560"/>
      <c r="H824" s="560"/>
      <c r="I824" s="560"/>
      <c r="J824" s="451"/>
      <c r="K824" s="568"/>
      <c r="L824" s="747"/>
      <c r="M824" s="568"/>
      <c r="N824" s="560"/>
      <c r="X824" s="501" t="b">
        <f t="shared" si="72"/>
        <v>1</v>
      </c>
    </row>
    <row r="825" s="397" customFormat="1" outlineLevel="2" spans="2:24">
      <c r="B825" s="575" t="s">
        <v>2549</v>
      </c>
      <c r="C825" s="429" t="str">
        <f t="shared" si="73"/>
        <v>石嘴山市深阳蓝光市政工程有限公司</v>
      </c>
      <c r="D825" s="616" t="s">
        <v>2511</v>
      </c>
      <c r="E825" s="487"/>
      <c r="F825" s="547"/>
      <c r="G825" s="560"/>
      <c r="H825" s="560"/>
      <c r="I825" s="560"/>
      <c r="J825" s="451"/>
      <c r="K825" s="568"/>
      <c r="L825" s="747"/>
      <c r="M825" s="568"/>
      <c r="N825" s="560"/>
      <c r="X825" s="501" t="b">
        <f t="shared" si="72"/>
        <v>1</v>
      </c>
    </row>
    <row r="826" s="397" customFormat="1" outlineLevel="2" spans="2:24">
      <c r="B826" s="575" t="s">
        <v>2549</v>
      </c>
      <c r="C826" s="429" t="str">
        <f t="shared" si="73"/>
        <v>石嘴山市深阳蓝光市政工程有限公司</v>
      </c>
      <c r="D826" s="616" t="s">
        <v>2511</v>
      </c>
      <c r="E826" s="487"/>
      <c r="F826" s="547"/>
      <c r="G826" s="560"/>
      <c r="H826" s="560"/>
      <c r="I826" s="560"/>
      <c r="J826" s="451"/>
      <c r="K826" s="568"/>
      <c r="L826" s="747"/>
      <c r="M826" s="568"/>
      <c r="N826" s="560"/>
      <c r="X826" s="501" t="b">
        <f t="shared" si="72"/>
        <v>1</v>
      </c>
    </row>
    <row r="827" s="397" customFormat="1" outlineLevel="2" spans="2:24">
      <c r="B827" s="575" t="s">
        <v>2549</v>
      </c>
      <c r="C827" s="429" t="str">
        <f t="shared" si="73"/>
        <v>石嘴山市深阳蓝光市政工程有限公司</v>
      </c>
      <c r="D827" s="616" t="s">
        <v>2511</v>
      </c>
      <c r="E827" s="487"/>
      <c r="F827" s="547"/>
      <c r="G827" s="560"/>
      <c r="H827" s="560"/>
      <c r="I827" s="560"/>
      <c r="J827" s="451"/>
      <c r="K827" s="568"/>
      <c r="L827" s="747"/>
      <c r="M827" s="568"/>
      <c r="N827" s="560"/>
      <c r="X827" s="501" t="b">
        <f t="shared" si="72"/>
        <v>1</v>
      </c>
    </row>
    <row r="828" s="397" customFormat="1" outlineLevel="2" spans="2:24">
      <c r="B828" s="575" t="s">
        <v>2549</v>
      </c>
      <c r="C828" s="429" t="str">
        <f t="shared" si="73"/>
        <v>石嘴山市深阳蓝光市政工程有限公司</v>
      </c>
      <c r="D828" s="616" t="s">
        <v>2511</v>
      </c>
      <c r="E828" s="487"/>
      <c r="F828" s="547"/>
      <c r="G828" s="560"/>
      <c r="H828" s="560"/>
      <c r="I828" s="560"/>
      <c r="J828" s="451"/>
      <c r="K828" s="568"/>
      <c r="L828" s="747"/>
      <c r="M828" s="568"/>
      <c r="N828" s="560"/>
      <c r="X828" s="501" t="b">
        <f t="shared" si="72"/>
        <v>1</v>
      </c>
    </row>
    <row r="829" s="397" customFormat="1" outlineLevel="2" spans="2:24">
      <c r="B829" s="575" t="s">
        <v>2549</v>
      </c>
      <c r="C829" s="429" t="str">
        <f t="shared" si="73"/>
        <v>石嘴山市深阳蓝光市政工程有限公司</v>
      </c>
      <c r="D829" s="616" t="s">
        <v>2511</v>
      </c>
      <c r="E829" s="487"/>
      <c r="F829" s="547"/>
      <c r="G829" s="560"/>
      <c r="H829" s="560"/>
      <c r="I829" s="560"/>
      <c r="J829" s="451"/>
      <c r="K829" s="568"/>
      <c r="L829" s="747"/>
      <c r="M829" s="568"/>
      <c r="N829" s="560"/>
      <c r="X829" s="501" t="b">
        <f t="shared" si="72"/>
        <v>1</v>
      </c>
    </row>
    <row r="830" s="397" customFormat="1" outlineLevel="2" spans="1:24">
      <c r="A830" s="397" t="s">
        <v>2518</v>
      </c>
      <c r="B830" s="575" t="s">
        <v>2549</v>
      </c>
      <c r="C830" s="429" t="str">
        <f t="shared" si="73"/>
        <v>石嘴山市深阳蓝光市政工程有限公司</v>
      </c>
      <c r="D830" s="616" t="s">
        <v>2511</v>
      </c>
      <c r="E830" s="466" t="s">
        <v>2518</v>
      </c>
      <c r="F830" s="534">
        <f>SUM(F825:F829)</f>
        <v>0</v>
      </c>
      <c r="G830" s="560"/>
      <c r="H830" s="560"/>
      <c r="I830" s="560"/>
      <c r="J830" s="451"/>
      <c r="K830" s="568"/>
      <c r="L830" s="747"/>
      <c r="M830" s="568"/>
      <c r="N830" s="560"/>
      <c r="X830" s="501" t="b">
        <f t="shared" si="72"/>
        <v>1</v>
      </c>
    </row>
    <row r="831" s="397" customFormat="1" outlineLevel="2" spans="2:24">
      <c r="B831" s="575" t="s">
        <v>2549</v>
      </c>
      <c r="C831" s="429" t="str">
        <f t="shared" si="73"/>
        <v>石嘴山市深阳蓝光市政工程有限公司</v>
      </c>
      <c r="D831" s="616" t="s">
        <v>2511</v>
      </c>
      <c r="E831" s="149"/>
      <c r="F831" s="560"/>
      <c r="G831" s="560"/>
      <c r="H831" s="560"/>
      <c r="I831" s="560"/>
      <c r="J831" s="451"/>
      <c r="K831" s="568"/>
      <c r="L831" s="747"/>
      <c r="M831" s="568"/>
      <c r="N831" s="560"/>
      <c r="X831" s="501" t="b">
        <f t="shared" si="72"/>
        <v>1</v>
      </c>
    </row>
    <row r="832" s="397" customFormat="1" outlineLevel="2" spans="1:24">
      <c r="A832" s="397" t="s">
        <v>2593</v>
      </c>
      <c r="B832" s="575" t="s">
        <v>2549</v>
      </c>
      <c r="C832" s="429" t="str">
        <f t="shared" si="73"/>
        <v>石嘴山市深阳蓝光市政工程有限公司</v>
      </c>
      <c r="D832" s="579" t="s">
        <v>2594</v>
      </c>
      <c r="E832" s="149" t="s">
        <v>2595</v>
      </c>
      <c r="F832" s="560"/>
      <c r="G832" s="560"/>
      <c r="H832" s="560"/>
      <c r="I832" s="560"/>
      <c r="J832" s="451"/>
      <c r="K832" s="568"/>
      <c r="L832" s="747"/>
      <c r="M832" s="568"/>
      <c r="N832" s="560"/>
      <c r="X832" s="501" t="b">
        <f t="shared" si="72"/>
        <v>1</v>
      </c>
    </row>
    <row r="833" s="397" customFormat="1" outlineLevel="2" spans="1:24">
      <c r="A833" s="397" t="s">
        <v>2036</v>
      </c>
      <c r="B833" s="575" t="s">
        <v>2549</v>
      </c>
      <c r="C833" s="429" t="str">
        <f t="shared" si="73"/>
        <v>石嘴山市深阳蓝光市政工程有限公司</v>
      </c>
      <c r="D833" s="579" t="s">
        <v>2594</v>
      </c>
      <c r="E833" s="561" t="s">
        <v>2036</v>
      </c>
      <c r="F833" s="561" t="s">
        <v>2596</v>
      </c>
      <c r="G833" s="561" t="s">
        <v>365</v>
      </c>
      <c r="H833" s="451"/>
      <c r="I833" s="568"/>
      <c r="J833" s="451"/>
      <c r="K833" s="568"/>
      <c r="L833" s="747"/>
      <c r="M833" s="568"/>
      <c r="N833" s="560"/>
      <c r="X833" s="501" t="b">
        <f t="shared" si="72"/>
        <v>1</v>
      </c>
    </row>
    <row r="834" s="397" customFormat="1" outlineLevel="2" spans="2:24">
      <c r="B834" s="575" t="s">
        <v>2549</v>
      </c>
      <c r="C834" s="429" t="str">
        <f t="shared" si="73"/>
        <v>石嘴山市深阳蓝光市政工程有限公司</v>
      </c>
      <c r="D834" s="579" t="s">
        <v>2597</v>
      </c>
      <c r="E834" s="755"/>
      <c r="F834" s="456"/>
      <c r="G834" s="454"/>
      <c r="H834" s="451"/>
      <c r="I834" s="568"/>
      <c r="J834" s="451"/>
      <c r="K834" s="568"/>
      <c r="L834" s="747"/>
      <c r="M834" s="568"/>
      <c r="N834" s="560"/>
      <c r="X834" s="501" t="b">
        <f t="shared" si="72"/>
        <v>1</v>
      </c>
    </row>
    <row r="835" s="397" customFormat="1" outlineLevel="2" spans="2:24">
      <c r="B835" s="575" t="s">
        <v>2549</v>
      </c>
      <c r="C835" s="429" t="str">
        <f t="shared" si="73"/>
        <v>石嘴山市深阳蓝光市政工程有限公司</v>
      </c>
      <c r="D835" s="579" t="s">
        <v>2597</v>
      </c>
      <c r="E835" s="755"/>
      <c r="F835" s="456"/>
      <c r="G835" s="454"/>
      <c r="H835" s="451"/>
      <c r="I835" s="568"/>
      <c r="J835" s="451"/>
      <c r="K835" s="568"/>
      <c r="L835" s="747"/>
      <c r="M835" s="568"/>
      <c r="N835" s="560"/>
      <c r="X835" s="501" t="b">
        <f t="shared" si="72"/>
        <v>1</v>
      </c>
    </row>
    <row r="836" s="397" customFormat="1" outlineLevel="2" spans="2:24">
      <c r="B836" s="575" t="s">
        <v>2549</v>
      </c>
      <c r="C836" s="429" t="str">
        <f t="shared" si="73"/>
        <v>石嘴山市深阳蓝光市政工程有限公司</v>
      </c>
      <c r="D836" s="579" t="s">
        <v>2597</v>
      </c>
      <c r="E836" s="755"/>
      <c r="F836" s="456"/>
      <c r="G836" s="454"/>
      <c r="H836" s="451"/>
      <c r="I836" s="568"/>
      <c r="J836" s="451"/>
      <c r="K836" s="568"/>
      <c r="L836" s="747"/>
      <c r="M836" s="568"/>
      <c r="N836" s="560"/>
      <c r="X836" s="501" t="b">
        <f t="shared" si="72"/>
        <v>1</v>
      </c>
    </row>
    <row r="837" s="397" customFormat="1" outlineLevel="2" spans="2:24">
      <c r="B837" s="575" t="s">
        <v>2549</v>
      </c>
      <c r="C837" s="429" t="str">
        <f t="shared" si="73"/>
        <v>石嘴山市深阳蓝光市政工程有限公司</v>
      </c>
      <c r="D837" s="579" t="s">
        <v>2597</v>
      </c>
      <c r="E837" s="755"/>
      <c r="F837" s="456"/>
      <c r="G837" s="454"/>
      <c r="H837" s="451"/>
      <c r="I837" s="568"/>
      <c r="J837" s="451"/>
      <c r="K837" s="568"/>
      <c r="L837" s="747"/>
      <c r="M837" s="568"/>
      <c r="N837" s="560"/>
      <c r="X837" s="501" t="b">
        <f t="shared" si="72"/>
        <v>1</v>
      </c>
    </row>
    <row r="838" s="397" customFormat="1" outlineLevel="2" spans="2:24">
      <c r="B838" s="575" t="s">
        <v>2549</v>
      </c>
      <c r="C838" s="429" t="str">
        <f t="shared" ref="C838:C901" si="75">$G$1</f>
        <v>石嘴山市深阳蓝光市政工程有限公司</v>
      </c>
      <c r="D838" s="579" t="s">
        <v>2597</v>
      </c>
      <c r="E838" s="755"/>
      <c r="F838" s="456"/>
      <c r="G838" s="454"/>
      <c r="H838" s="451"/>
      <c r="I838" s="568"/>
      <c r="J838" s="451"/>
      <c r="K838" s="568"/>
      <c r="L838" s="747"/>
      <c r="M838" s="568"/>
      <c r="N838" s="560"/>
      <c r="X838" s="501" t="b">
        <f t="shared" si="72"/>
        <v>1</v>
      </c>
    </row>
    <row r="839" s="397" customFormat="1" outlineLevel="2" spans="2:24">
      <c r="B839" s="575" t="s">
        <v>2549</v>
      </c>
      <c r="C839" s="429" t="str">
        <f t="shared" si="75"/>
        <v>石嘴山市深阳蓝光市政工程有限公司</v>
      </c>
      <c r="D839" s="579" t="s">
        <v>2597</v>
      </c>
      <c r="E839" s="755"/>
      <c r="F839" s="456"/>
      <c r="G839" s="454"/>
      <c r="H839" s="451"/>
      <c r="I839" s="568"/>
      <c r="J839" s="451"/>
      <c r="K839" s="568"/>
      <c r="L839" s="747"/>
      <c r="M839" s="568"/>
      <c r="N839" s="560"/>
      <c r="X839" s="501" t="b">
        <f t="shared" si="72"/>
        <v>1</v>
      </c>
    </row>
    <row r="840" s="397" customFormat="1" outlineLevel="2" spans="2:24">
      <c r="B840" s="575" t="s">
        <v>2549</v>
      </c>
      <c r="C840" s="429" t="str">
        <f t="shared" si="75"/>
        <v>石嘴山市深阳蓝光市政工程有限公司</v>
      </c>
      <c r="D840" s="579" t="s">
        <v>2597</v>
      </c>
      <c r="E840" s="755"/>
      <c r="F840" s="456"/>
      <c r="G840" s="454"/>
      <c r="H840" s="451"/>
      <c r="I840" s="568"/>
      <c r="J840" s="451"/>
      <c r="K840" s="568"/>
      <c r="L840" s="747"/>
      <c r="M840" s="568"/>
      <c r="N840" s="560"/>
      <c r="X840" s="501" t="b">
        <f t="shared" si="72"/>
        <v>1</v>
      </c>
    </row>
    <row r="841" s="397" customFormat="1" outlineLevel="2" spans="2:24">
      <c r="B841" s="575" t="s">
        <v>2549</v>
      </c>
      <c r="C841" s="429" t="str">
        <f t="shared" si="75"/>
        <v>石嘴山市深阳蓝光市政工程有限公司</v>
      </c>
      <c r="D841" s="579" t="s">
        <v>2597</v>
      </c>
      <c r="E841" s="755"/>
      <c r="F841" s="456"/>
      <c r="G841" s="454"/>
      <c r="H841" s="451"/>
      <c r="I841" s="568"/>
      <c r="J841" s="451"/>
      <c r="K841" s="568"/>
      <c r="L841" s="747"/>
      <c r="M841" s="568"/>
      <c r="N841" s="560"/>
      <c r="X841" s="501" t="b">
        <f t="shared" si="72"/>
        <v>1</v>
      </c>
    </row>
    <row r="842" s="397" customFormat="1" outlineLevel="2" spans="2:24">
      <c r="B842" s="575" t="s">
        <v>2549</v>
      </c>
      <c r="C842" s="429" t="str">
        <f t="shared" si="75"/>
        <v>石嘴山市深阳蓝光市政工程有限公司</v>
      </c>
      <c r="D842" s="579" t="s">
        <v>2597</v>
      </c>
      <c r="E842" s="755"/>
      <c r="F842" s="456"/>
      <c r="G842" s="454"/>
      <c r="H842" s="451"/>
      <c r="I842" s="568"/>
      <c r="J842" s="451"/>
      <c r="K842" s="568"/>
      <c r="L842" s="747"/>
      <c r="M842" s="568"/>
      <c r="N842" s="560"/>
      <c r="X842" s="501" t="b">
        <f t="shared" si="72"/>
        <v>1</v>
      </c>
    </row>
    <row r="843" s="397" customFormat="1" outlineLevel="2" spans="2:24">
      <c r="B843" s="575" t="s">
        <v>2549</v>
      </c>
      <c r="C843" s="429" t="str">
        <f t="shared" si="75"/>
        <v>石嘴山市深阳蓝光市政工程有限公司</v>
      </c>
      <c r="D843" s="579" t="s">
        <v>2597</v>
      </c>
      <c r="E843" s="748"/>
      <c r="F843" s="451"/>
      <c r="G843" s="568"/>
      <c r="H843" s="451"/>
      <c r="I843" s="568"/>
      <c r="J843" s="451"/>
      <c r="K843" s="568"/>
      <c r="L843" s="747"/>
      <c r="M843" s="568"/>
      <c r="N843" s="560"/>
      <c r="X843" s="501" t="b">
        <f t="shared" si="72"/>
        <v>1</v>
      </c>
    </row>
    <row r="844" s="397" customFormat="1" outlineLevel="2" spans="2:24">
      <c r="B844" s="428" t="s">
        <v>2549</v>
      </c>
      <c r="C844" s="429" t="str">
        <f t="shared" si="75"/>
        <v>石嘴山市深阳蓝光市政工程有限公司</v>
      </c>
      <c r="D844" s="750"/>
      <c r="E844" s="149"/>
      <c r="F844" s="451"/>
      <c r="G844" s="568"/>
      <c r="H844" s="451"/>
      <c r="I844" s="568"/>
      <c r="J844" s="451"/>
      <c r="K844" s="568"/>
      <c r="L844" s="747"/>
      <c r="M844" s="568"/>
      <c r="N844" s="560"/>
      <c r="X844" s="501" t="b">
        <f t="shared" si="72"/>
        <v>1</v>
      </c>
    </row>
    <row r="845" s="397" customFormat="1" outlineLevel="2" spans="1:24">
      <c r="A845" s="397" t="s">
        <v>2315</v>
      </c>
      <c r="B845" s="428" t="s">
        <v>2549</v>
      </c>
      <c r="C845" s="429" t="str">
        <f t="shared" si="75"/>
        <v>石嘴山市深阳蓝光市政工程有限公司</v>
      </c>
      <c r="D845" s="750"/>
      <c r="E845" s="748" t="s">
        <v>2315</v>
      </c>
      <c r="F845" s="471"/>
      <c r="G845" s="629"/>
      <c r="H845" s="451"/>
      <c r="I845" s="568"/>
      <c r="J845" s="451"/>
      <c r="K845" s="568"/>
      <c r="L845" s="747"/>
      <c r="M845" s="568"/>
      <c r="N845" s="560"/>
      <c r="X845" s="501" t="b">
        <f t="shared" si="72"/>
        <v>1</v>
      </c>
    </row>
    <row r="846" s="399" customFormat="1" outlineLevel="2" spans="2:24">
      <c r="B846" s="428" t="s">
        <v>2549</v>
      </c>
      <c r="C846" s="429" t="str">
        <f t="shared" si="75"/>
        <v>石嘴山市深阳蓝光市政工程有限公司</v>
      </c>
      <c r="D846" s="756"/>
      <c r="E846" s="757"/>
      <c r="F846" s="451"/>
      <c r="G846" s="568"/>
      <c r="H846" s="758"/>
      <c r="I846" s="451"/>
      <c r="J846" s="451"/>
      <c r="K846" s="568"/>
      <c r="L846" s="568"/>
      <c r="M846" s="451"/>
      <c r="X846" s="501" t="b">
        <f t="shared" si="72"/>
        <v>1</v>
      </c>
    </row>
    <row r="847" s="400" customFormat="1" spans="1:24">
      <c r="A847" s="400" t="s">
        <v>1605</v>
      </c>
      <c r="B847" s="428" t="s">
        <v>2598</v>
      </c>
      <c r="C847" s="429" t="str">
        <f t="shared" si="75"/>
        <v>石嘴山市深阳蓝光市政工程有限公司</v>
      </c>
      <c r="D847" s="759" t="s">
        <v>2599</v>
      </c>
      <c r="E847" s="65" t="s">
        <v>2600</v>
      </c>
      <c r="F847" s="760"/>
      <c r="G847" s="760"/>
      <c r="H847" s="760"/>
      <c r="I847" s="760"/>
      <c r="J847" s="760"/>
      <c r="K847" s="760"/>
      <c r="X847" s="501" t="b">
        <f t="shared" si="72"/>
        <v>1</v>
      </c>
    </row>
    <row r="848" s="400" customFormat="1" outlineLevel="2" spans="1:24">
      <c r="A848" s="400" t="s">
        <v>60</v>
      </c>
      <c r="B848" s="428" t="s">
        <v>2598</v>
      </c>
      <c r="C848" s="429" t="str">
        <f t="shared" si="75"/>
        <v>石嘴山市深阳蓝光市政工程有限公司</v>
      </c>
      <c r="D848" s="759" t="s">
        <v>2599</v>
      </c>
      <c r="E848" s="761" t="s">
        <v>60</v>
      </c>
      <c r="F848" s="761" t="s">
        <v>315</v>
      </c>
      <c r="G848" s="761" t="s">
        <v>1619</v>
      </c>
      <c r="H848" s="761" t="s">
        <v>2601</v>
      </c>
      <c r="I848" s="761" t="s">
        <v>1579</v>
      </c>
      <c r="J848" s="761" t="s">
        <v>1617</v>
      </c>
      <c r="K848" s="761" t="s">
        <v>2602</v>
      </c>
      <c r="L848" s="760"/>
      <c r="M848" s="760"/>
      <c r="X848" s="501" t="b">
        <f t="shared" si="72"/>
        <v>1</v>
      </c>
    </row>
    <row r="849" s="400" customFormat="1" outlineLevel="2" spans="1:24">
      <c r="A849" s="400" t="s">
        <v>588</v>
      </c>
      <c r="B849" s="428" t="s">
        <v>2598</v>
      </c>
      <c r="C849" s="429" t="str">
        <f t="shared" si="75"/>
        <v>石嘴山市深阳蓝光市政工程有限公司</v>
      </c>
      <c r="D849" s="759" t="s">
        <v>2599</v>
      </c>
      <c r="E849" s="762" t="s">
        <v>588</v>
      </c>
      <c r="F849" s="135">
        <f t="shared" ref="F849:F863" si="76">I869</f>
        <v>0</v>
      </c>
      <c r="G849" s="135">
        <f t="shared" ref="G849:G863" si="77">K905</f>
        <v>0</v>
      </c>
      <c r="H849" s="135">
        <f t="shared" ref="H849:H854" si="78">ROUND(F849-G849,2)</f>
        <v>0</v>
      </c>
      <c r="I849" s="135">
        <f t="shared" ref="I849:I863" si="79">F869</f>
        <v>0</v>
      </c>
      <c r="J849" s="534">
        <f t="shared" ref="J849:J863" si="80">F905</f>
        <v>0</v>
      </c>
      <c r="K849" s="135">
        <f t="shared" ref="K849:K854" si="81">ROUND(I849-J849,2)</f>
        <v>0</v>
      </c>
      <c r="L849" s="760"/>
      <c r="M849" s="760"/>
      <c r="X849" s="501" t="b">
        <f t="shared" si="72"/>
        <v>1</v>
      </c>
    </row>
    <row r="850" s="400" customFormat="1" outlineLevel="2" spans="1:24">
      <c r="A850" s="400" t="s">
        <v>2603</v>
      </c>
      <c r="B850" s="428" t="s">
        <v>2598</v>
      </c>
      <c r="C850" s="429" t="str">
        <f t="shared" si="75"/>
        <v>石嘴山市深阳蓝光市政工程有限公司</v>
      </c>
      <c r="D850" s="759" t="s">
        <v>2599</v>
      </c>
      <c r="E850" s="762" t="s">
        <v>590</v>
      </c>
      <c r="F850" s="135">
        <f t="shared" si="76"/>
        <v>0</v>
      </c>
      <c r="G850" s="135">
        <f t="shared" si="77"/>
        <v>0</v>
      </c>
      <c r="H850" s="135">
        <f t="shared" si="78"/>
        <v>0</v>
      </c>
      <c r="I850" s="135">
        <f t="shared" si="79"/>
        <v>0</v>
      </c>
      <c r="J850" s="534">
        <f t="shared" si="80"/>
        <v>0</v>
      </c>
      <c r="K850" s="135">
        <f t="shared" si="81"/>
        <v>0</v>
      </c>
      <c r="L850" s="760"/>
      <c r="M850" s="760"/>
      <c r="X850" s="501" t="b">
        <f t="shared" si="72"/>
        <v>0</v>
      </c>
    </row>
    <row r="851" s="400" customFormat="1" outlineLevel="2" spans="1:24">
      <c r="A851" s="400" t="s">
        <v>592</v>
      </c>
      <c r="B851" s="428" t="s">
        <v>2598</v>
      </c>
      <c r="C851" s="429" t="str">
        <f t="shared" si="75"/>
        <v>石嘴山市深阳蓝光市政工程有限公司</v>
      </c>
      <c r="D851" s="759" t="s">
        <v>2599</v>
      </c>
      <c r="E851" s="762" t="s">
        <v>2604</v>
      </c>
      <c r="F851" s="135">
        <f t="shared" si="76"/>
        <v>56453052.95</v>
      </c>
      <c r="G851" s="135">
        <f t="shared" si="77"/>
        <v>0</v>
      </c>
      <c r="H851" s="135">
        <f t="shared" si="78"/>
        <v>56453052.95</v>
      </c>
      <c r="I851" s="135">
        <f t="shared" si="79"/>
        <v>0</v>
      </c>
      <c r="J851" s="534">
        <f t="shared" si="80"/>
        <v>0</v>
      </c>
      <c r="K851" s="135">
        <f t="shared" si="81"/>
        <v>0</v>
      </c>
      <c r="L851" s="760"/>
      <c r="M851" s="760"/>
      <c r="X851" s="501" t="b">
        <f t="shared" si="72"/>
        <v>0</v>
      </c>
    </row>
    <row r="852" s="400" customFormat="1" outlineLevel="2" spans="1:24">
      <c r="A852" s="400" t="s">
        <v>584</v>
      </c>
      <c r="B852" s="428" t="s">
        <v>2598</v>
      </c>
      <c r="C852" s="429" t="str">
        <f t="shared" si="75"/>
        <v>石嘴山市深阳蓝光市政工程有限公司</v>
      </c>
      <c r="D852" s="759" t="s">
        <v>2599</v>
      </c>
      <c r="E852" s="762" t="s">
        <v>1607</v>
      </c>
      <c r="F852" s="135">
        <f t="shared" si="76"/>
        <v>0</v>
      </c>
      <c r="G852" s="135">
        <f t="shared" si="77"/>
        <v>0</v>
      </c>
      <c r="H852" s="135">
        <f t="shared" si="78"/>
        <v>0</v>
      </c>
      <c r="I852" s="135">
        <f t="shared" si="79"/>
        <v>0</v>
      </c>
      <c r="J852" s="534">
        <f t="shared" si="80"/>
        <v>0</v>
      </c>
      <c r="K852" s="135">
        <f t="shared" si="81"/>
        <v>0</v>
      </c>
      <c r="L852" s="760"/>
      <c r="M852" s="760"/>
      <c r="X852" s="501" t="b">
        <f t="shared" si="72"/>
        <v>0</v>
      </c>
    </row>
    <row r="853" s="400" customFormat="1" outlineLevel="2" spans="1:24">
      <c r="A853" s="400" t="s">
        <v>586</v>
      </c>
      <c r="B853" s="428" t="s">
        <v>2598</v>
      </c>
      <c r="C853" s="429" t="str">
        <f t="shared" si="75"/>
        <v>石嘴山市深阳蓝光市政工程有限公司</v>
      </c>
      <c r="D853" s="759" t="s">
        <v>2599</v>
      </c>
      <c r="E853" s="762" t="s">
        <v>2605</v>
      </c>
      <c r="F853" s="135">
        <f t="shared" si="76"/>
        <v>0</v>
      </c>
      <c r="G853" s="135">
        <f t="shared" si="77"/>
        <v>0</v>
      </c>
      <c r="H853" s="135">
        <f t="shared" si="78"/>
        <v>0</v>
      </c>
      <c r="I853" s="135">
        <f t="shared" si="79"/>
        <v>0</v>
      </c>
      <c r="J853" s="534">
        <f t="shared" si="80"/>
        <v>0</v>
      </c>
      <c r="K853" s="135">
        <f t="shared" si="81"/>
        <v>0</v>
      </c>
      <c r="L853" s="760"/>
      <c r="M853" s="760"/>
      <c r="X853" s="501" t="b">
        <f t="shared" si="72"/>
        <v>0</v>
      </c>
    </row>
    <row r="854" s="400" customFormat="1" outlineLevel="2" spans="1:24">
      <c r="A854" s="400" t="s">
        <v>598</v>
      </c>
      <c r="B854" s="428" t="s">
        <v>2598</v>
      </c>
      <c r="C854" s="429" t="str">
        <f t="shared" si="75"/>
        <v>石嘴山市深阳蓝光市政工程有限公司</v>
      </c>
      <c r="D854" s="759" t="s">
        <v>2599</v>
      </c>
      <c r="E854" s="762" t="s">
        <v>596</v>
      </c>
      <c r="F854" s="135">
        <f t="shared" si="76"/>
        <v>0</v>
      </c>
      <c r="G854" s="135">
        <f t="shared" si="77"/>
        <v>0</v>
      </c>
      <c r="H854" s="135">
        <f t="shared" si="78"/>
        <v>0</v>
      </c>
      <c r="I854" s="135">
        <f t="shared" si="79"/>
        <v>0</v>
      </c>
      <c r="J854" s="534">
        <f t="shared" si="80"/>
        <v>0</v>
      </c>
      <c r="K854" s="135">
        <f t="shared" si="81"/>
        <v>0</v>
      </c>
      <c r="L854" s="760"/>
      <c r="M854" s="760"/>
      <c r="X854" s="501" t="b">
        <f t="shared" si="72"/>
        <v>0</v>
      </c>
    </row>
    <row r="855" s="400" customFormat="1" ht="12" customHeight="1" outlineLevel="2" spans="1:24">
      <c r="A855" s="400" t="s">
        <v>1607</v>
      </c>
      <c r="B855" s="428" t="s">
        <v>2598</v>
      </c>
      <c r="C855" s="429" t="str">
        <f t="shared" si="75"/>
        <v>石嘴山市深阳蓝光市政工程有限公司</v>
      </c>
      <c r="D855" s="759" t="s">
        <v>2599</v>
      </c>
      <c r="E855" s="763" t="s">
        <v>594</v>
      </c>
      <c r="F855" s="135">
        <f t="shared" si="76"/>
        <v>0</v>
      </c>
      <c r="G855" s="135">
        <f t="shared" si="77"/>
        <v>0</v>
      </c>
      <c r="H855" s="135">
        <f t="shared" ref="H855:H863" si="82">F855-G855</f>
        <v>0</v>
      </c>
      <c r="I855" s="135">
        <f t="shared" si="79"/>
        <v>0</v>
      </c>
      <c r="J855" s="534">
        <f t="shared" si="80"/>
        <v>0</v>
      </c>
      <c r="K855" s="534">
        <f t="shared" ref="K855:K863" si="83">I855-J855</f>
        <v>0</v>
      </c>
      <c r="L855" s="760"/>
      <c r="M855" s="760"/>
      <c r="X855" s="501" t="b">
        <f t="shared" si="72"/>
        <v>0</v>
      </c>
    </row>
    <row r="856" s="400" customFormat="1" hidden="1" outlineLevel="2" spans="1:24">
      <c r="A856" s="400" t="s">
        <v>2605</v>
      </c>
      <c r="B856" s="428" t="s">
        <v>2598</v>
      </c>
      <c r="C856" s="429" t="str">
        <f t="shared" si="75"/>
        <v>石嘴山市深阳蓝光市政工程有限公司</v>
      </c>
      <c r="D856" s="759" t="s">
        <v>2599</v>
      </c>
      <c r="E856" s="675" t="s">
        <v>2606</v>
      </c>
      <c r="F856" s="135">
        <f t="shared" si="76"/>
        <v>0</v>
      </c>
      <c r="G856" s="135">
        <f t="shared" si="77"/>
        <v>0</v>
      </c>
      <c r="H856" s="135">
        <f t="shared" si="82"/>
        <v>0</v>
      </c>
      <c r="I856" s="135">
        <f t="shared" si="79"/>
        <v>0</v>
      </c>
      <c r="J856" s="534">
        <f t="shared" si="80"/>
        <v>0</v>
      </c>
      <c r="K856" s="534">
        <f t="shared" si="83"/>
        <v>0</v>
      </c>
      <c r="L856" s="760"/>
      <c r="M856" s="760"/>
      <c r="X856" s="501" t="b">
        <f t="shared" si="72"/>
        <v>0</v>
      </c>
    </row>
    <row r="857" s="400" customFormat="1" hidden="1" outlineLevel="2" spans="1:24">
      <c r="A857" s="400" t="s">
        <v>2607</v>
      </c>
      <c r="B857" s="428" t="s">
        <v>2598</v>
      </c>
      <c r="C857" s="429" t="str">
        <f t="shared" si="75"/>
        <v>石嘴山市深阳蓝光市政工程有限公司</v>
      </c>
      <c r="D857" s="759" t="s">
        <v>2599</v>
      </c>
      <c r="E857" s="675" t="s">
        <v>2608</v>
      </c>
      <c r="F857" s="135">
        <f t="shared" si="76"/>
        <v>0</v>
      </c>
      <c r="G857" s="135">
        <f t="shared" si="77"/>
        <v>0</v>
      </c>
      <c r="H857" s="135">
        <f t="shared" si="82"/>
        <v>0</v>
      </c>
      <c r="I857" s="135">
        <f t="shared" si="79"/>
        <v>0</v>
      </c>
      <c r="J857" s="534">
        <f t="shared" si="80"/>
        <v>0</v>
      </c>
      <c r="K857" s="534">
        <f t="shared" si="83"/>
        <v>0</v>
      </c>
      <c r="L857" s="760"/>
      <c r="M857" s="760"/>
      <c r="X857" s="501" t="b">
        <f t="shared" si="72"/>
        <v>0</v>
      </c>
    </row>
    <row r="858" s="400" customFormat="1" hidden="1" outlineLevel="2" spans="1:24">
      <c r="A858" s="400" t="s">
        <v>596</v>
      </c>
      <c r="B858" s="428" t="s">
        <v>2598</v>
      </c>
      <c r="C858" s="429" t="str">
        <f t="shared" si="75"/>
        <v>石嘴山市深阳蓝光市政工程有限公司</v>
      </c>
      <c r="D858" s="759" t="s">
        <v>2599</v>
      </c>
      <c r="E858" s="675" t="s">
        <v>2609</v>
      </c>
      <c r="F858" s="135">
        <f t="shared" si="76"/>
        <v>0</v>
      </c>
      <c r="G858" s="135">
        <f t="shared" si="77"/>
        <v>0</v>
      </c>
      <c r="H858" s="135">
        <f t="shared" si="82"/>
        <v>0</v>
      </c>
      <c r="I858" s="135">
        <f t="shared" si="79"/>
        <v>0</v>
      </c>
      <c r="J858" s="534">
        <f t="shared" si="80"/>
        <v>0</v>
      </c>
      <c r="K858" s="534">
        <f t="shared" si="83"/>
        <v>0</v>
      </c>
      <c r="L858" s="760"/>
      <c r="M858" s="760"/>
      <c r="X858" s="501" t="b">
        <f t="shared" si="72"/>
        <v>0</v>
      </c>
    </row>
    <row r="859" s="400" customFormat="1" hidden="1" outlineLevel="2" spans="1:24">
      <c r="A859" s="400" t="s">
        <v>594</v>
      </c>
      <c r="B859" s="428" t="s">
        <v>2598</v>
      </c>
      <c r="C859" s="429" t="str">
        <f t="shared" si="75"/>
        <v>石嘴山市深阳蓝光市政工程有限公司</v>
      </c>
      <c r="D859" s="759" t="s">
        <v>2599</v>
      </c>
      <c r="E859" s="675" t="s">
        <v>2610</v>
      </c>
      <c r="F859" s="135">
        <f t="shared" si="76"/>
        <v>0</v>
      </c>
      <c r="G859" s="135">
        <f t="shared" si="77"/>
        <v>0</v>
      </c>
      <c r="H859" s="135">
        <f t="shared" si="82"/>
        <v>0</v>
      </c>
      <c r="I859" s="135">
        <f t="shared" si="79"/>
        <v>0</v>
      </c>
      <c r="J859" s="534">
        <f t="shared" si="80"/>
        <v>0</v>
      </c>
      <c r="K859" s="534">
        <f t="shared" si="83"/>
        <v>0</v>
      </c>
      <c r="L859" s="760"/>
      <c r="M859" s="760"/>
      <c r="X859" s="501" t="b">
        <f t="shared" si="72"/>
        <v>0</v>
      </c>
    </row>
    <row r="860" s="400" customFormat="1" hidden="1" outlineLevel="2" spans="1:24">
      <c r="A860" s="400" t="s">
        <v>600</v>
      </c>
      <c r="B860" s="428" t="s">
        <v>2598</v>
      </c>
      <c r="C860" s="429" t="str">
        <f t="shared" si="75"/>
        <v>石嘴山市深阳蓝光市政工程有限公司</v>
      </c>
      <c r="D860" s="759" t="s">
        <v>2599</v>
      </c>
      <c r="E860" s="675" t="s">
        <v>2611</v>
      </c>
      <c r="F860" s="135">
        <f t="shared" si="76"/>
        <v>0</v>
      </c>
      <c r="G860" s="135">
        <f t="shared" si="77"/>
        <v>0</v>
      </c>
      <c r="H860" s="135">
        <f t="shared" si="82"/>
        <v>0</v>
      </c>
      <c r="I860" s="135">
        <f t="shared" si="79"/>
        <v>0</v>
      </c>
      <c r="J860" s="534">
        <f t="shared" si="80"/>
        <v>0</v>
      </c>
      <c r="K860" s="534">
        <f t="shared" si="83"/>
        <v>0</v>
      </c>
      <c r="L860" s="760"/>
      <c r="M860" s="760"/>
      <c r="X860" s="501" t="b">
        <f t="shared" si="72"/>
        <v>0</v>
      </c>
    </row>
    <row r="861" s="400" customFormat="1" hidden="1" outlineLevel="2" spans="1:24">
      <c r="A861" s="400" t="s">
        <v>1609</v>
      </c>
      <c r="B861" s="428" t="s">
        <v>2598</v>
      </c>
      <c r="C861" s="429" t="str">
        <f t="shared" si="75"/>
        <v>石嘴山市深阳蓝光市政工程有限公司</v>
      </c>
      <c r="D861" s="759" t="s">
        <v>2599</v>
      </c>
      <c r="E861" s="675" t="s">
        <v>2612</v>
      </c>
      <c r="F861" s="135">
        <f t="shared" si="76"/>
        <v>0</v>
      </c>
      <c r="G861" s="135">
        <f t="shared" si="77"/>
        <v>0</v>
      </c>
      <c r="H861" s="135">
        <f t="shared" si="82"/>
        <v>0</v>
      </c>
      <c r="I861" s="135">
        <f t="shared" si="79"/>
        <v>0</v>
      </c>
      <c r="J861" s="534">
        <f t="shared" si="80"/>
        <v>0</v>
      </c>
      <c r="K861" s="534">
        <f t="shared" si="83"/>
        <v>0</v>
      </c>
      <c r="L861" s="760"/>
      <c r="M861" s="760"/>
      <c r="X861" s="501" t="b">
        <f t="shared" si="72"/>
        <v>0</v>
      </c>
    </row>
    <row r="862" s="400" customFormat="1" hidden="1" outlineLevel="2" spans="1:24">
      <c r="A862" s="400" t="s">
        <v>1610</v>
      </c>
      <c r="B862" s="428" t="s">
        <v>2598</v>
      </c>
      <c r="C862" s="429" t="str">
        <f t="shared" si="75"/>
        <v>石嘴山市深阳蓝光市政工程有限公司</v>
      </c>
      <c r="D862" s="759" t="s">
        <v>2599</v>
      </c>
      <c r="E862" s="675" t="s">
        <v>2613</v>
      </c>
      <c r="F862" s="135">
        <f t="shared" si="76"/>
        <v>0</v>
      </c>
      <c r="G862" s="135">
        <f t="shared" si="77"/>
        <v>0</v>
      </c>
      <c r="H862" s="135">
        <f t="shared" si="82"/>
        <v>0</v>
      </c>
      <c r="I862" s="135">
        <f t="shared" si="79"/>
        <v>0</v>
      </c>
      <c r="J862" s="534">
        <f t="shared" si="80"/>
        <v>0</v>
      </c>
      <c r="K862" s="534">
        <f t="shared" si="83"/>
        <v>0</v>
      </c>
      <c r="L862" s="760"/>
      <c r="M862" s="760"/>
      <c r="X862" s="501" t="b">
        <f t="shared" si="72"/>
        <v>0</v>
      </c>
    </row>
    <row r="863" s="400" customFormat="1" hidden="1" outlineLevel="2" spans="1:24">
      <c r="A863" s="400" t="s">
        <v>1611</v>
      </c>
      <c r="B863" s="428" t="s">
        <v>2598</v>
      </c>
      <c r="C863" s="429" t="str">
        <f t="shared" si="75"/>
        <v>石嘴山市深阳蓝光市政工程有限公司</v>
      </c>
      <c r="D863" s="759" t="s">
        <v>2599</v>
      </c>
      <c r="E863" s="675" t="s">
        <v>2614</v>
      </c>
      <c r="F863" s="135">
        <f t="shared" si="76"/>
        <v>0</v>
      </c>
      <c r="G863" s="135">
        <f t="shared" si="77"/>
        <v>0</v>
      </c>
      <c r="H863" s="135">
        <f t="shared" si="82"/>
        <v>0</v>
      </c>
      <c r="I863" s="135">
        <f t="shared" si="79"/>
        <v>0</v>
      </c>
      <c r="J863" s="534">
        <f t="shared" si="80"/>
        <v>0</v>
      </c>
      <c r="K863" s="534">
        <f t="shared" si="83"/>
        <v>0</v>
      </c>
      <c r="L863" s="760"/>
      <c r="M863" s="760"/>
      <c r="X863" s="501" t="b">
        <f t="shared" si="72"/>
        <v>0</v>
      </c>
    </row>
    <row r="864" s="400" customFormat="1" outlineLevel="2" spans="1:24">
      <c r="A864" s="400" t="s">
        <v>1580</v>
      </c>
      <c r="B864" s="428" t="s">
        <v>2598</v>
      </c>
      <c r="C864" s="429" t="str">
        <f t="shared" si="75"/>
        <v>石嘴山市深阳蓝光市政工程有限公司</v>
      </c>
      <c r="D864" s="759" t="s">
        <v>2599</v>
      </c>
      <c r="E864" s="761" t="s">
        <v>1580</v>
      </c>
      <c r="F864" s="135">
        <f>ROUND(SUM(F849:F863),2)</f>
        <v>56453052.95</v>
      </c>
      <c r="G864" s="135">
        <f>ROUND(SUM(G849:G863),2)</f>
        <v>0</v>
      </c>
      <c r="H864" s="135">
        <f>ROUND(SUM(H849:H863),2)</f>
        <v>56453052.95</v>
      </c>
      <c r="I864" s="135">
        <f>SUM(I849:I863)</f>
        <v>0</v>
      </c>
      <c r="J864" s="135">
        <f>SUM(J849:J863)</f>
        <v>0</v>
      </c>
      <c r="K864" s="135">
        <f>SUM(K849:K863)</f>
        <v>0</v>
      </c>
      <c r="L864" s="760"/>
      <c r="M864" s="760"/>
      <c r="X864" s="501" t="b">
        <f t="shared" si="72"/>
        <v>1</v>
      </c>
    </row>
    <row r="865" s="400" customFormat="1" outlineLevel="2" spans="1:24">
      <c r="A865" s="400" t="s">
        <v>1444</v>
      </c>
      <c r="B865" s="428" t="s">
        <v>2598</v>
      </c>
      <c r="C865" s="429" t="str">
        <f t="shared" si="75"/>
        <v>石嘴山市深阳蓝光市政工程有限公司</v>
      </c>
      <c r="D865" s="759" t="s">
        <v>2599</v>
      </c>
      <c r="E865" s="764" t="s">
        <v>1444</v>
      </c>
      <c r="F865" s="765"/>
      <c r="G865" s="765"/>
      <c r="H865" s="766">
        <f>审定资负表!C15</f>
        <v>56453052.95</v>
      </c>
      <c r="I865" s="141"/>
      <c r="J865" s="772"/>
      <c r="K865" s="766">
        <f>审定资负表!D15</f>
        <v>0</v>
      </c>
      <c r="L865" s="760"/>
      <c r="M865" s="760"/>
      <c r="X865" s="501" t="b">
        <f t="shared" si="72"/>
        <v>1</v>
      </c>
    </row>
    <row r="866" s="400" customFormat="1" outlineLevel="1" spans="1:24">
      <c r="A866" s="400" t="s">
        <v>1394</v>
      </c>
      <c r="B866" s="428" t="s">
        <v>2598</v>
      </c>
      <c r="C866" s="429" t="str">
        <f t="shared" si="75"/>
        <v>石嘴山市深阳蓝光市政工程有限公司</v>
      </c>
      <c r="D866" s="759" t="s">
        <v>2599</v>
      </c>
      <c r="E866" s="764" t="s">
        <v>1394</v>
      </c>
      <c r="F866" s="765"/>
      <c r="G866" s="765"/>
      <c r="H866" s="87">
        <f>ROUND(H864-H865,2)</f>
        <v>0</v>
      </c>
      <c r="I866" s="141"/>
      <c r="J866" s="772"/>
      <c r="K866" s="87">
        <f>ROUND(K864-K865,2)</f>
        <v>0</v>
      </c>
      <c r="L866" s="760"/>
      <c r="M866" s="760"/>
      <c r="X866" s="501" t="b">
        <f t="shared" si="72"/>
        <v>1</v>
      </c>
    </row>
    <row r="867" s="400" customFormat="1" outlineLevel="2" spans="1:24">
      <c r="A867" s="400" t="s">
        <v>2615</v>
      </c>
      <c r="B867" s="428" t="s">
        <v>2598</v>
      </c>
      <c r="C867" s="429" t="str">
        <f t="shared" si="75"/>
        <v>石嘴山市深阳蓝光市政工程有限公司</v>
      </c>
      <c r="D867" s="759" t="s">
        <v>2599</v>
      </c>
      <c r="E867" s="767" t="s">
        <v>2615</v>
      </c>
      <c r="F867" s="765"/>
      <c r="G867" s="765"/>
      <c r="H867" s="765"/>
      <c r="I867" s="141"/>
      <c r="J867" s="772"/>
      <c r="K867" s="765"/>
      <c r="L867" s="760"/>
      <c r="M867" s="760"/>
      <c r="X867" s="501" t="b">
        <f t="shared" si="72"/>
        <v>1</v>
      </c>
    </row>
    <row r="868" s="400" customFormat="1" outlineLevel="2" spans="1:24">
      <c r="A868" s="400" t="s">
        <v>60</v>
      </c>
      <c r="B868" s="428" t="s">
        <v>2598</v>
      </c>
      <c r="C868" s="429" t="str">
        <f t="shared" si="75"/>
        <v>石嘴山市深阳蓝光市政工程有限公司</v>
      </c>
      <c r="D868" s="759" t="s">
        <v>2599</v>
      </c>
      <c r="E868" s="761" t="s">
        <v>60</v>
      </c>
      <c r="F868" s="761" t="s">
        <v>1579</v>
      </c>
      <c r="G868" s="761" t="s">
        <v>671</v>
      </c>
      <c r="H868" s="761" t="s">
        <v>672</v>
      </c>
      <c r="I868" s="761" t="s">
        <v>1618</v>
      </c>
      <c r="J868" s="772"/>
      <c r="K868" s="765"/>
      <c r="L868" s="760"/>
      <c r="M868" s="760"/>
      <c r="X868" s="501" t="b">
        <f t="shared" si="72"/>
        <v>1</v>
      </c>
    </row>
    <row r="869" s="400" customFormat="1" outlineLevel="2" spans="1:24">
      <c r="A869" s="400" t="s">
        <v>588</v>
      </c>
      <c r="B869" s="428" t="s">
        <v>2598</v>
      </c>
      <c r="C869" s="429" t="str">
        <f t="shared" si="75"/>
        <v>石嘴山市深阳蓝光市政工程有限公司</v>
      </c>
      <c r="D869" s="759" t="s">
        <v>2599</v>
      </c>
      <c r="E869" s="762" t="str">
        <f>E849</f>
        <v>原材料</v>
      </c>
      <c r="F869" s="494">
        <f>报表附注合并期初用!E397</f>
        <v>0</v>
      </c>
      <c r="G869" s="133"/>
      <c r="H869" s="133"/>
      <c r="I869" s="435">
        <f t="shared" ref="I869:I874" si="84">ROUND(F869+G869-H869,2)</f>
        <v>0</v>
      </c>
      <c r="J869" s="772"/>
      <c r="K869" s="765"/>
      <c r="L869" s="760"/>
      <c r="M869" s="760"/>
      <c r="X869" s="501" t="b">
        <f t="shared" si="72"/>
        <v>1</v>
      </c>
    </row>
    <row r="870" s="400" customFormat="1" outlineLevel="2" spans="1:24">
      <c r="A870" s="400" t="s">
        <v>2603</v>
      </c>
      <c r="B870" s="428" t="s">
        <v>2598</v>
      </c>
      <c r="C870" s="429" t="str">
        <f t="shared" si="75"/>
        <v>石嘴山市深阳蓝光市政工程有限公司</v>
      </c>
      <c r="D870" s="759" t="s">
        <v>2599</v>
      </c>
      <c r="E870" s="762" t="str">
        <f>E850</f>
        <v>在产品</v>
      </c>
      <c r="F870" s="494">
        <f>报表附注合并期初用!E398</f>
        <v>0</v>
      </c>
      <c r="G870" s="133"/>
      <c r="H870" s="133"/>
      <c r="I870" s="435">
        <f t="shared" si="84"/>
        <v>0</v>
      </c>
      <c r="J870" s="772"/>
      <c r="K870" s="765"/>
      <c r="L870" s="760"/>
      <c r="M870" s="760"/>
      <c r="X870" s="501" t="b">
        <f t="shared" si="72"/>
        <v>0</v>
      </c>
    </row>
    <row r="871" s="400" customFormat="1" outlineLevel="2" spans="1:24">
      <c r="A871" s="400" t="s">
        <v>592</v>
      </c>
      <c r="B871" s="428" t="s">
        <v>2598</v>
      </c>
      <c r="C871" s="429" t="str">
        <f t="shared" si="75"/>
        <v>石嘴山市深阳蓝光市政工程有限公司</v>
      </c>
      <c r="D871" s="759" t="s">
        <v>2599</v>
      </c>
      <c r="E871" s="762" t="str">
        <f>E851</f>
        <v>产成品</v>
      </c>
      <c r="F871" s="494">
        <f>报表附注合并期初用!E399</f>
        <v>0</v>
      </c>
      <c r="G871" s="133">
        <v>56453052.95</v>
      </c>
      <c r="H871" s="133"/>
      <c r="I871" s="435">
        <f t="shared" si="84"/>
        <v>56453052.95</v>
      </c>
      <c r="J871" s="772"/>
      <c r="K871" s="765"/>
      <c r="L871" s="760"/>
      <c r="M871" s="760"/>
      <c r="X871" s="501" t="b">
        <f t="shared" si="72"/>
        <v>0</v>
      </c>
    </row>
    <row r="872" s="400" customFormat="1" outlineLevel="2" spans="1:24">
      <c r="A872" s="400" t="s">
        <v>584</v>
      </c>
      <c r="B872" s="428" t="s">
        <v>2598</v>
      </c>
      <c r="C872" s="429" t="str">
        <f t="shared" si="75"/>
        <v>石嘴山市深阳蓝光市政工程有限公司</v>
      </c>
      <c r="D872" s="759" t="s">
        <v>2599</v>
      </c>
      <c r="E872" s="762" t="str">
        <f t="shared" ref="E872:E884" si="85">E852</f>
        <v>低值易耗品</v>
      </c>
      <c r="F872" s="494">
        <f>报表附注合并期初用!E400</f>
        <v>0</v>
      </c>
      <c r="G872" s="133"/>
      <c r="H872" s="133"/>
      <c r="I872" s="435">
        <f t="shared" si="84"/>
        <v>0</v>
      </c>
      <c r="J872" s="772"/>
      <c r="K872" s="765"/>
      <c r="L872" s="760"/>
      <c r="M872" s="760"/>
      <c r="X872" s="501" t="b">
        <f t="shared" si="72"/>
        <v>0</v>
      </c>
    </row>
    <row r="873" s="400" customFormat="1" outlineLevel="2" spans="1:24">
      <c r="A873" s="400" t="s">
        <v>586</v>
      </c>
      <c r="B873" s="428" t="s">
        <v>2598</v>
      </c>
      <c r="C873" s="429" t="str">
        <f t="shared" si="75"/>
        <v>石嘴山市深阳蓝光市政工程有限公司</v>
      </c>
      <c r="D873" s="759" t="s">
        <v>2599</v>
      </c>
      <c r="E873" s="762" t="str">
        <f t="shared" si="85"/>
        <v>包装物</v>
      </c>
      <c r="F873" s="494">
        <f>报表附注合并期初用!E401</f>
        <v>0</v>
      </c>
      <c r="G873" s="133"/>
      <c r="H873" s="133"/>
      <c r="I873" s="435">
        <f t="shared" si="84"/>
        <v>0</v>
      </c>
      <c r="J873" s="772"/>
      <c r="K873" s="765"/>
      <c r="L873" s="760"/>
      <c r="M873" s="760"/>
      <c r="X873" s="501" t="b">
        <f t="shared" si="72"/>
        <v>0</v>
      </c>
    </row>
    <row r="874" s="400" customFormat="1" outlineLevel="2" spans="1:24">
      <c r="A874" s="400" t="s">
        <v>598</v>
      </c>
      <c r="B874" s="428" t="s">
        <v>2598</v>
      </c>
      <c r="C874" s="429" t="str">
        <f t="shared" si="75"/>
        <v>石嘴山市深阳蓝光市政工程有限公司</v>
      </c>
      <c r="D874" s="759" t="s">
        <v>2599</v>
      </c>
      <c r="E874" s="762" t="str">
        <f t="shared" si="85"/>
        <v>委托加工物资</v>
      </c>
      <c r="F874" s="494">
        <f>报表附注合并期初用!E402</f>
        <v>0</v>
      </c>
      <c r="G874" s="133"/>
      <c r="H874" s="133"/>
      <c r="I874" s="435">
        <f t="shared" si="84"/>
        <v>0</v>
      </c>
      <c r="J874" s="772"/>
      <c r="K874" s="765"/>
      <c r="L874" s="760"/>
      <c r="M874" s="760"/>
      <c r="X874" s="501" t="b">
        <f t="shared" si="72"/>
        <v>0</v>
      </c>
    </row>
    <row r="875" s="400" customFormat="1" outlineLevel="2" spans="1:24">
      <c r="A875" s="400" t="s">
        <v>1607</v>
      </c>
      <c r="B875" s="428" t="s">
        <v>2598</v>
      </c>
      <c r="C875" s="429" t="str">
        <f t="shared" si="75"/>
        <v>石嘴山市深阳蓝光市政工程有限公司</v>
      </c>
      <c r="D875" s="759" t="s">
        <v>2599</v>
      </c>
      <c r="E875" s="762" t="str">
        <f t="shared" si="85"/>
        <v>发出商品</v>
      </c>
      <c r="F875" s="494">
        <f>报表附注合并期初用!E403</f>
        <v>0</v>
      </c>
      <c r="G875" s="133"/>
      <c r="H875" s="133"/>
      <c r="I875" s="435">
        <f t="shared" ref="I875:I883" si="86">F875+G875-H875</f>
        <v>0</v>
      </c>
      <c r="J875" s="772"/>
      <c r="K875" s="765"/>
      <c r="L875" s="760"/>
      <c r="M875" s="760"/>
      <c r="X875" s="501" t="b">
        <f t="shared" si="72"/>
        <v>0</v>
      </c>
    </row>
    <row r="876" s="400" customFormat="1" hidden="1" outlineLevel="2" spans="1:24">
      <c r="A876" s="400" t="s">
        <v>2605</v>
      </c>
      <c r="B876" s="428" t="s">
        <v>2598</v>
      </c>
      <c r="C876" s="429" t="str">
        <f t="shared" si="75"/>
        <v>石嘴山市深阳蓝光市政工程有限公司</v>
      </c>
      <c r="D876" s="759" t="s">
        <v>2599</v>
      </c>
      <c r="E876" s="762" t="str">
        <f t="shared" si="85"/>
        <v>增加项目1-</v>
      </c>
      <c r="F876" s="494">
        <f>报表附注合并期初用!E404</f>
        <v>0</v>
      </c>
      <c r="G876" s="133"/>
      <c r="H876" s="133"/>
      <c r="I876" s="435">
        <f t="shared" si="86"/>
        <v>0</v>
      </c>
      <c r="J876" s="772"/>
      <c r="K876" s="765"/>
      <c r="L876" s="760"/>
      <c r="M876" s="760"/>
      <c r="X876" s="501" t="b">
        <f t="shared" si="72"/>
        <v>0</v>
      </c>
    </row>
    <row r="877" s="400" customFormat="1" hidden="1" outlineLevel="2" spans="1:24">
      <c r="A877" s="400" t="s">
        <v>2607</v>
      </c>
      <c r="B877" s="428" t="s">
        <v>2598</v>
      </c>
      <c r="C877" s="429" t="str">
        <f t="shared" si="75"/>
        <v>石嘴山市深阳蓝光市政工程有限公司</v>
      </c>
      <c r="D877" s="759" t="s">
        <v>2599</v>
      </c>
      <c r="E877" s="762" t="str">
        <f t="shared" si="85"/>
        <v>增加项目2-</v>
      </c>
      <c r="F877" s="494">
        <f>报表附注合并期初用!E405</f>
        <v>0</v>
      </c>
      <c r="G877" s="133"/>
      <c r="H877" s="133"/>
      <c r="I877" s="435">
        <f t="shared" si="86"/>
        <v>0</v>
      </c>
      <c r="J877" s="772"/>
      <c r="K877" s="765"/>
      <c r="L877" s="760"/>
      <c r="M877" s="760"/>
      <c r="X877" s="501" t="b">
        <f t="shared" si="72"/>
        <v>0</v>
      </c>
    </row>
    <row r="878" s="400" customFormat="1" hidden="1" outlineLevel="2" spans="1:24">
      <c r="A878" s="400" t="s">
        <v>596</v>
      </c>
      <c r="B878" s="428" t="s">
        <v>2598</v>
      </c>
      <c r="C878" s="429" t="str">
        <f t="shared" si="75"/>
        <v>石嘴山市深阳蓝光市政工程有限公司</v>
      </c>
      <c r="D878" s="759" t="s">
        <v>2599</v>
      </c>
      <c r="E878" s="762" t="str">
        <f t="shared" si="85"/>
        <v>增加项目3-</v>
      </c>
      <c r="F878" s="494">
        <f>报表附注合并期初用!E406</f>
        <v>0</v>
      </c>
      <c r="G878" s="133"/>
      <c r="H878" s="133"/>
      <c r="I878" s="435">
        <f t="shared" si="86"/>
        <v>0</v>
      </c>
      <c r="J878" s="772"/>
      <c r="K878" s="765"/>
      <c r="L878" s="760"/>
      <c r="M878" s="760"/>
      <c r="X878" s="501" t="b">
        <f t="shared" si="72"/>
        <v>0</v>
      </c>
    </row>
    <row r="879" s="400" customFormat="1" hidden="1" outlineLevel="2" spans="1:24">
      <c r="A879" s="400" t="s">
        <v>594</v>
      </c>
      <c r="B879" s="428" t="s">
        <v>2598</v>
      </c>
      <c r="C879" s="429" t="str">
        <f t="shared" si="75"/>
        <v>石嘴山市深阳蓝光市政工程有限公司</v>
      </c>
      <c r="D879" s="759" t="s">
        <v>2599</v>
      </c>
      <c r="E879" s="762" t="str">
        <f t="shared" si="85"/>
        <v>增加项目4-</v>
      </c>
      <c r="F879" s="494">
        <f>报表附注合并期初用!E407</f>
        <v>0</v>
      </c>
      <c r="G879" s="133"/>
      <c r="H879" s="133"/>
      <c r="I879" s="435">
        <f t="shared" si="86"/>
        <v>0</v>
      </c>
      <c r="J879" s="772"/>
      <c r="K879" s="765"/>
      <c r="L879" s="760"/>
      <c r="M879" s="760"/>
      <c r="X879" s="501" t="b">
        <f t="shared" si="72"/>
        <v>0</v>
      </c>
    </row>
    <row r="880" s="400" customFormat="1" hidden="1" outlineLevel="2" spans="1:24">
      <c r="A880" s="400" t="s">
        <v>600</v>
      </c>
      <c r="B880" s="428" t="s">
        <v>2598</v>
      </c>
      <c r="C880" s="429" t="str">
        <f t="shared" si="75"/>
        <v>石嘴山市深阳蓝光市政工程有限公司</v>
      </c>
      <c r="D880" s="759" t="s">
        <v>2599</v>
      </c>
      <c r="E880" s="762" t="str">
        <f t="shared" si="85"/>
        <v>增加项目5-</v>
      </c>
      <c r="F880" s="494">
        <f>报表附注合并期初用!E408</f>
        <v>0</v>
      </c>
      <c r="G880" s="133"/>
      <c r="H880" s="133"/>
      <c r="I880" s="435">
        <f t="shared" si="86"/>
        <v>0</v>
      </c>
      <c r="J880" s="772"/>
      <c r="K880" s="765"/>
      <c r="L880" s="760"/>
      <c r="M880" s="760"/>
      <c r="X880" s="501" t="b">
        <f t="shared" si="72"/>
        <v>0</v>
      </c>
    </row>
    <row r="881" s="400" customFormat="1" hidden="1" outlineLevel="2" spans="1:24">
      <c r="A881" s="400" t="s">
        <v>1609</v>
      </c>
      <c r="B881" s="428" t="s">
        <v>2598</v>
      </c>
      <c r="C881" s="429" t="str">
        <f t="shared" si="75"/>
        <v>石嘴山市深阳蓝光市政工程有限公司</v>
      </c>
      <c r="D881" s="759" t="s">
        <v>2599</v>
      </c>
      <c r="E881" s="762" t="str">
        <f t="shared" si="85"/>
        <v>增加项目6-</v>
      </c>
      <c r="F881" s="494">
        <f>报表附注合并期初用!E409</f>
        <v>0</v>
      </c>
      <c r="G881" s="133"/>
      <c r="H881" s="133"/>
      <c r="I881" s="435">
        <f t="shared" si="86"/>
        <v>0</v>
      </c>
      <c r="J881" s="772"/>
      <c r="K881" s="765"/>
      <c r="L881" s="760"/>
      <c r="M881" s="760"/>
      <c r="X881" s="501" t="b">
        <f t="shared" si="72"/>
        <v>0</v>
      </c>
    </row>
    <row r="882" s="400" customFormat="1" hidden="1" outlineLevel="2" spans="1:24">
      <c r="A882" s="400" t="s">
        <v>1610</v>
      </c>
      <c r="B882" s="428" t="s">
        <v>2598</v>
      </c>
      <c r="C882" s="429" t="str">
        <f t="shared" si="75"/>
        <v>石嘴山市深阳蓝光市政工程有限公司</v>
      </c>
      <c r="D882" s="759" t="s">
        <v>2599</v>
      </c>
      <c r="E882" s="762" t="str">
        <f t="shared" si="85"/>
        <v>增加项目7-</v>
      </c>
      <c r="F882" s="494">
        <f>报表附注合并期初用!E410</f>
        <v>0</v>
      </c>
      <c r="G882" s="133"/>
      <c r="H882" s="133"/>
      <c r="I882" s="435">
        <f t="shared" si="86"/>
        <v>0</v>
      </c>
      <c r="J882" s="772"/>
      <c r="K882" s="765"/>
      <c r="L882" s="760"/>
      <c r="M882" s="760"/>
      <c r="X882" s="501" t="b">
        <f t="shared" si="72"/>
        <v>0</v>
      </c>
    </row>
    <row r="883" s="400" customFormat="1" hidden="1" outlineLevel="2" spans="1:24">
      <c r="A883" s="400" t="s">
        <v>1611</v>
      </c>
      <c r="B883" s="428" t="s">
        <v>2598</v>
      </c>
      <c r="C883" s="429" t="str">
        <f t="shared" si="75"/>
        <v>石嘴山市深阳蓝光市政工程有限公司</v>
      </c>
      <c r="D883" s="759" t="s">
        <v>2599</v>
      </c>
      <c r="E883" s="762" t="str">
        <f t="shared" si="85"/>
        <v>增加项目8-</v>
      </c>
      <c r="F883" s="494">
        <f>报表附注合并期初用!E411</f>
        <v>0</v>
      </c>
      <c r="G883" s="133"/>
      <c r="H883" s="133"/>
      <c r="I883" s="435">
        <f t="shared" si="86"/>
        <v>0</v>
      </c>
      <c r="J883" s="772"/>
      <c r="K883" s="765"/>
      <c r="L883" s="760"/>
      <c r="M883" s="760"/>
      <c r="X883" s="501" t="b">
        <f t="shared" si="72"/>
        <v>0</v>
      </c>
    </row>
    <row r="884" s="400" customFormat="1" outlineLevel="2" spans="1:24">
      <c r="A884" s="400" t="s">
        <v>1580</v>
      </c>
      <c r="B884" s="428" t="s">
        <v>2598</v>
      </c>
      <c r="C884" s="429" t="str">
        <f t="shared" si="75"/>
        <v>石嘴山市深阳蓝光市政工程有限公司</v>
      </c>
      <c r="D884" s="759" t="s">
        <v>2599</v>
      </c>
      <c r="E884" s="768" t="str">
        <f t="shared" si="85"/>
        <v>合计</v>
      </c>
      <c r="F884" s="435">
        <f>ROUND(SUM(F869:F883),2)</f>
        <v>0</v>
      </c>
      <c r="G884" s="435">
        <f>ROUND(SUM(G869:G883),2)</f>
        <v>56453052.95</v>
      </c>
      <c r="H884" s="435">
        <f>ROUND(SUM(H869:H883),2)</f>
        <v>0</v>
      </c>
      <c r="I884" s="435">
        <f>ROUND(SUM(I869:I883),2)</f>
        <v>56453052.95</v>
      </c>
      <c r="J884" s="772"/>
      <c r="K884" s="765"/>
      <c r="L884" s="760"/>
      <c r="M884" s="760"/>
      <c r="X884" s="501" t="b">
        <f t="shared" si="72"/>
        <v>1</v>
      </c>
    </row>
    <row r="885" s="400" customFormat="1" outlineLevel="2" spans="2:24">
      <c r="B885" s="428" t="s">
        <v>2598</v>
      </c>
      <c r="C885" s="429" t="str">
        <f t="shared" si="75"/>
        <v>石嘴山市深阳蓝光市政工程有限公司</v>
      </c>
      <c r="D885" s="759" t="s">
        <v>2599</v>
      </c>
      <c r="E885" s="764"/>
      <c r="F885" s="765"/>
      <c r="G885" s="765"/>
      <c r="H885" s="765"/>
      <c r="I885" s="141"/>
      <c r="J885" s="772"/>
      <c r="K885" s="765"/>
      <c r="L885" s="760"/>
      <c r="M885" s="760"/>
      <c r="X885" s="501" t="b">
        <f t="shared" si="72"/>
        <v>1</v>
      </c>
    </row>
    <row r="886" s="400" customFormat="1" hidden="1" outlineLevel="2" spans="1:24">
      <c r="A886" s="400" t="s">
        <v>2616</v>
      </c>
      <c r="B886" s="428" t="s">
        <v>2598</v>
      </c>
      <c r="C886" s="429" t="str">
        <f t="shared" si="75"/>
        <v>石嘴山市深阳蓝光市政工程有限公司</v>
      </c>
      <c r="D886" s="759" t="s">
        <v>2617</v>
      </c>
      <c r="E886" s="760" t="s">
        <v>2618</v>
      </c>
      <c r="F886" s="760"/>
      <c r="G886" s="760"/>
      <c r="H886" s="760"/>
      <c r="I886" s="760"/>
      <c r="J886" s="760"/>
      <c r="K886" s="760"/>
      <c r="X886" s="501" t="b">
        <f t="shared" si="72"/>
        <v>1</v>
      </c>
    </row>
    <row r="887" s="400" customFormat="1" hidden="1" outlineLevel="2" spans="1:24">
      <c r="A887" s="400" t="s">
        <v>60</v>
      </c>
      <c r="B887" s="428" t="s">
        <v>2598</v>
      </c>
      <c r="C887" s="429" t="str">
        <f t="shared" si="75"/>
        <v>石嘴山市深阳蓝光市政工程有限公司</v>
      </c>
      <c r="D887" s="759" t="s">
        <v>2617</v>
      </c>
      <c r="E887" s="761" t="s">
        <v>60</v>
      </c>
      <c r="F887" s="761" t="s">
        <v>315</v>
      </c>
      <c r="G887" s="761" t="s">
        <v>1579</v>
      </c>
      <c r="H887" s="760"/>
      <c r="I887" s="760"/>
      <c r="J887" s="760"/>
      <c r="K887" s="760"/>
      <c r="X887" s="501" t="b">
        <f t="shared" si="72"/>
        <v>1</v>
      </c>
    </row>
    <row r="888" s="400" customFormat="1" hidden="1" outlineLevel="2" spans="1:24">
      <c r="A888" s="400" t="s">
        <v>837</v>
      </c>
      <c r="B888" s="428" t="s">
        <v>2598</v>
      </c>
      <c r="C888" s="429" t="str">
        <f t="shared" si="75"/>
        <v>石嘴山市深阳蓝光市政工程有限公司</v>
      </c>
      <c r="D888" s="759" t="s">
        <v>2619</v>
      </c>
      <c r="E888" s="761" t="s">
        <v>837</v>
      </c>
      <c r="F888" s="769">
        <f>SUM(F889:F890)</f>
        <v>0</v>
      </c>
      <c r="G888" s="769">
        <f>SUM(G889:G890)</f>
        <v>0</v>
      </c>
      <c r="H888" s="760"/>
      <c r="I888" s="760"/>
      <c r="J888" s="760"/>
      <c r="K888" s="760"/>
      <c r="X888" s="501" t="b">
        <f t="shared" si="72"/>
        <v>1</v>
      </c>
    </row>
    <row r="889" s="400" customFormat="1" hidden="1" outlineLevel="2" spans="1:24">
      <c r="A889" s="400">
        <v>1</v>
      </c>
      <c r="B889" s="428" t="s">
        <v>2598</v>
      </c>
      <c r="C889" s="429" t="str">
        <f t="shared" si="75"/>
        <v>石嘴山市深阳蓝光市政工程有限公司</v>
      </c>
      <c r="D889" s="759" t="s">
        <v>2619</v>
      </c>
      <c r="E889" s="770">
        <v>1</v>
      </c>
      <c r="F889" s="771">
        <f>报表附注合并期初用!E465</f>
        <v>0</v>
      </c>
      <c r="G889" s="771">
        <f>报表附注合并期初用!E450</f>
        <v>0</v>
      </c>
      <c r="H889" s="760"/>
      <c r="I889" s="760"/>
      <c r="J889" s="760"/>
      <c r="K889" s="760"/>
      <c r="X889" s="501" t="b">
        <f t="shared" si="72"/>
        <v>1</v>
      </c>
    </row>
    <row r="890" s="400" customFormat="1" hidden="1" outlineLevel="2" spans="1:24">
      <c r="A890" s="400">
        <v>2</v>
      </c>
      <c r="B890" s="428" t="s">
        <v>2598</v>
      </c>
      <c r="C890" s="429" t="str">
        <f t="shared" si="75"/>
        <v>石嘴山市深阳蓝光市政工程有限公司</v>
      </c>
      <c r="D890" s="759" t="s">
        <v>2619</v>
      </c>
      <c r="E890" s="770">
        <v>2</v>
      </c>
      <c r="F890" s="771">
        <f>报表附注合并期初用!E466</f>
        <v>0</v>
      </c>
      <c r="G890" s="771">
        <f>报表附注合并期初用!E451</f>
        <v>0</v>
      </c>
      <c r="H890" s="760"/>
      <c r="I890" s="760"/>
      <c r="J890" s="760"/>
      <c r="K890" s="760"/>
      <c r="X890" s="501" t="b">
        <f t="shared" si="72"/>
        <v>1</v>
      </c>
    </row>
    <row r="891" s="400" customFormat="1" hidden="1" outlineLevel="2" spans="1:24">
      <c r="A891" s="400" t="s">
        <v>840</v>
      </c>
      <c r="B891" s="428" t="s">
        <v>2598</v>
      </c>
      <c r="C891" s="429" t="str">
        <f t="shared" si="75"/>
        <v>石嘴山市深阳蓝光市政工程有限公司</v>
      </c>
      <c r="D891" s="759" t="s">
        <v>2619</v>
      </c>
      <c r="E891" s="761" t="s">
        <v>840</v>
      </c>
      <c r="F891" s="769">
        <f>SUM(F892:F893)</f>
        <v>0</v>
      </c>
      <c r="G891" s="769">
        <f>SUM(G892:G893)</f>
        <v>0</v>
      </c>
      <c r="H891" s="760"/>
      <c r="I891" s="760"/>
      <c r="J891" s="760"/>
      <c r="K891" s="760"/>
      <c r="X891" s="501" t="b">
        <f t="shared" si="72"/>
        <v>1</v>
      </c>
    </row>
    <row r="892" s="400" customFormat="1" hidden="1" outlineLevel="2" spans="1:24">
      <c r="A892" s="400">
        <v>1</v>
      </c>
      <c r="B892" s="428" t="s">
        <v>2598</v>
      </c>
      <c r="C892" s="429" t="str">
        <f t="shared" si="75"/>
        <v>石嘴山市深阳蓝光市政工程有限公司</v>
      </c>
      <c r="D892" s="759" t="s">
        <v>2619</v>
      </c>
      <c r="E892" s="770">
        <v>1</v>
      </c>
      <c r="F892" s="771">
        <f>报表附注合并期初用!E468</f>
        <v>0</v>
      </c>
      <c r="G892" s="771">
        <f>报表附注合并期初用!E453</f>
        <v>0</v>
      </c>
      <c r="H892" s="760"/>
      <c r="I892" s="760"/>
      <c r="J892" s="760"/>
      <c r="K892" s="760"/>
      <c r="X892" s="501" t="b">
        <f t="shared" si="72"/>
        <v>1</v>
      </c>
    </row>
    <row r="893" s="400" customFormat="1" hidden="1" outlineLevel="2" spans="1:24">
      <c r="A893" s="400">
        <v>2</v>
      </c>
      <c r="B893" s="428" t="s">
        <v>2598</v>
      </c>
      <c r="C893" s="429" t="str">
        <f t="shared" si="75"/>
        <v>石嘴山市深阳蓝光市政工程有限公司</v>
      </c>
      <c r="D893" s="759" t="s">
        <v>2619</v>
      </c>
      <c r="E893" s="770">
        <v>2</v>
      </c>
      <c r="F893" s="771">
        <f>报表附注合并期初用!E469</f>
        <v>0</v>
      </c>
      <c r="G893" s="771">
        <f>报表附注合并期初用!E454</f>
        <v>0</v>
      </c>
      <c r="H893" s="760"/>
      <c r="I893" s="760"/>
      <c r="J893" s="760"/>
      <c r="K893" s="760"/>
      <c r="X893" s="501" t="b">
        <f t="shared" si="72"/>
        <v>1</v>
      </c>
    </row>
    <row r="894" s="400" customFormat="1" hidden="1" outlineLevel="2" spans="1:24">
      <c r="A894" s="400" t="s">
        <v>843</v>
      </c>
      <c r="B894" s="428" t="s">
        <v>2598</v>
      </c>
      <c r="C894" s="429" t="str">
        <f t="shared" si="75"/>
        <v>石嘴山市深阳蓝光市政工程有限公司</v>
      </c>
      <c r="D894" s="759" t="s">
        <v>2619</v>
      </c>
      <c r="E894" s="761" t="s">
        <v>843</v>
      </c>
      <c r="F894" s="769">
        <f>SUM(F895:F896)</f>
        <v>0</v>
      </c>
      <c r="G894" s="769">
        <f>SUM(G895:G896)</f>
        <v>0</v>
      </c>
      <c r="H894" s="760"/>
      <c r="I894" s="760"/>
      <c r="J894" s="760"/>
      <c r="K894" s="760"/>
      <c r="X894" s="501" t="b">
        <f t="shared" si="72"/>
        <v>1</v>
      </c>
    </row>
    <row r="895" s="400" customFormat="1" hidden="1" outlineLevel="2" spans="1:24">
      <c r="A895" s="400">
        <v>1</v>
      </c>
      <c r="B895" s="428" t="s">
        <v>2598</v>
      </c>
      <c r="C895" s="429" t="str">
        <f t="shared" si="75"/>
        <v>石嘴山市深阳蓝光市政工程有限公司</v>
      </c>
      <c r="D895" s="759" t="s">
        <v>2619</v>
      </c>
      <c r="E895" s="770">
        <v>1</v>
      </c>
      <c r="F895" s="771">
        <f>报表附注合并期初用!E471</f>
        <v>0</v>
      </c>
      <c r="G895" s="771">
        <f>报表附注合并期初用!E456</f>
        <v>0</v>
      </c>
      <c r="H895" s="760"/>
      <c r="I895" s="760"/>
      <c r="J895" s="760"/>
      <c r="K895" s="760"/>
      <c r="X895" s="501" t="b">
        <f t="shared" si="72"/>
        <v>1</v>
      </c>
    </row>
    <row r="896" s="400" customFormat="1" hidden="1" outlineLevel="2" spans="1:24">
      <c r="A896" s="400">
        <v>2</v>
      </c>
      <c r="B896" s="428" t="s">
        <v>2598</v>
      </c>
      <c r="C896" s="429" t="str">
        <f t="shared" si="75"/>
        <v>石嘴山市深阳蓝光市政工程有限公司</v>
      </c>
      <c r="D896" s="759" t="s">
        <v>2619</v>
      </c>
      <c r="E896" s="770">
        <v>2</v>
      </c>
      <c r="F896" s="771">
        <f>报表附注合并期初用!E472</f>
        <v>0</v>
      </c>
      <c r="G896" s="771">
        <f>报表附注合并期初用!E457</f>
        <v>0</v>
      </c>
      <c r="H896" s="760"/>
      <c r="I896" s="760"/>
      <c r="J896" s="760"/>
      <c r="K896" s="760"/>
      <c r="X896" s="501" t="b">
        <f t="shared" si="72"/>
        <v>1</v>
      </c>
    </row>
    <row r="897" s="400" customFormat="1" hidden="1" outlineLevel="2" spans="1:24">
      <c r="A897" s="400" t="s">
        <v>846</v>
      </c>
      <c r="B897" s="428" t="s">
        <v>2598</v>
      </c>
      <c r="C897" s="429" t="str">
        <f t="shared" si="75"/>
        <v>石嘴山市深阳蓝光市政工程有限公司</v>
      </c>
      <c r="D897" s="759" t="s">
        <v>2619</v>
      </c>
      <c r="E897" s="761" t="s">
        <v>846</v>
      </c>
      <c r="F897" s="769">
        <f>SUM(F898:F899)</f>
        <v>0</v>
      </c>
      <c r="G897" s="769">
        <f>SUM(G898:G899)</f>
        <v>0</v>
      </c>
      <c r="H897" s="760"/>
      <c r="I897" s="760"/>
      <c r="J897" s="760"/>
      <c r="K897" s="760"/>
      <c r="X897" s="501" t="b">
        <f t="shared" si="72"/>
        <v>1</v>
      </c>
    </row>
    <row r="898" s="400" customFormat="1" hidden="1" outlineLevel="2" spans="1:24">
      <c r="A898" s="400">
        <v>1</v>
      </c>
      <c r="B898" s="428" t="s">
        <v>2598</v>
      </c>
      <c r="C898" s="429" t="str">
        <f t="shared" si="75"/>
        <v>石嘴山市深阳蓝光市政工程有限公司</v>
      </c>
      <c r="D898" s="759" t="s">
        <v>2619</v>
      </c>
      <c r="E898" s="770">
        <v>1</v>
      </c>
      <c r="F898" s="771">
        <f>报表附注合并期初用!E474</f>
        <v>0</v>
      </c>
      <c r="G898" s="771">
        <f>报表附注合并期初用!E459</f>
        <v>0</v>
      </c>
      <c r="H898" s="760"/>
      <c r="I898" s="760"/>
      <c r="J898" s="760"/>
      <c r="K898" s="760"/>
      <c r="X898" s="501" t="b">
        <f t="shared" si="72"/>
        <v>1</v>
      </c>
    </row>
    <row r="899" s="400" customFormat="1" hidden="1" outlineLevel="2" spans="1:24">
      <c r="A899" s="400">
        <v>2</v>
      </c>
      <c r="B899" s="428" t="s">
        <v>2598</v>
      </c>
      <c r="C899" s="429" t="str">
        <f t="shared" si="75"/>
        <v>石嘴山市深阳蓝光市政工程有限公司</v>
      </c>
      <c r="D899" s="759" t="s">
        <v>2619</v>
      </c>
      <c r="E899" s="770">
        <v>2</v>
      </c>
      <c r="F899" s="771">
        <f>报表附注合并期初用!E475</f>
        <v>0</v>
      </c>
      <c r="G899" s="771">
        <f>报表附注合并期初用!E460</f>
        <v>0</v>
      </c>
      <c r="H899" s="760"/>
      <c r="I899" s="760"/>
      <c r="J899" s="760"/>
      <c r="K899" s="760"/>
      <c r="X899" s="501" t="b">
        <f t="shared" si="72"/>
        <v>1</v>
      </c>
    </row>
    <row r="900" s="400" customFormat="1" hidden="1" outlineLevel="2" spans="1:24">
      <c r="A900" s="400" t="s">
        <v>1580</v>
      </c>
      <c r="B900" s="428" t="s">
        <v>2598</v>
      </c>
      <c r="C900" s="429" t="str">
        <f t="shared" si="75"/>
        <v>石嘴山市深阳蓝光市政工程有限公司</v>
      </c>
      <c r="D900" s="759" t="s">
        <v>2619</v>
      </c>
      <c r="E900" s="761" t="s">
        <v>1580</v>
      </c>
      <c r="F900" s="769">
        <f>F888+F891+F894+F897</f>
        <v>0</v>
      </c>
      <c r="G900" s="769">
        <f>G888+G891+G894+G897</f>
        <v>0</v>
      </c>
      <c r="H900" s="760"/>
      <c r="I900" s="760"/>
      <c r="J900" s="760"/>
      <c r="K900" s="760"/>
      <c r="X900" s="501" t="b">
        <f t="shared" si="72"/>
        <v>1</v>
      </c>
    </row>
    <row r="901" s="400" customFormat="1" outlineLevel="2" spans="2:24">
      <c r="B901" s="428" t="s">
        <v>2598</v>
      </c>
      <c r="C901" s="429" t="str">
        <f t="shared" si="75"/>
        <v>石嘴山市深阳蓝光市政工程有限公司</v>
      </c>
      <c r="D901" s="759" t="s">
        <v>2619</v>
      </c>
      <c r="E901" s="773"/>
      <c r="F901" s="760"/>
      <c r="G901" s="760"/>
      <c r="H901" s="760"/>
      <c r="I901" s="760"/>
      <c r="J901" s="760"/>
      <c r="K901" s="760"/>
      <c r="X901" s="501" t="b">
        <f t="shared" si="72"/>
        <v>1</v>
      </c>
    </row>
    <row r="902" s="400" customFormat="1" outlineLevel="2" spans="1:24">
      <c r="A902" s="400" t="s">
        <v>2620</v>
      </c>
      <c r="B902" s="428" t="s">
        <v>2598</v>
      </c>
      <c r="C902" s="429" t="str">
        <f t="shared" ref="C902:C965" si="87">$G$1</f>
        <v>石嘴山市深阳蓝光市政工程有限公司</v>
      </c>
      <c r="D902" s="759" t="s">
        <v>2621</v>
      </c>
      <c r="E902" s="773" t="s">
        <v>2622</v>
      </c>
      <c r="F902" s="760"/>
      <c r="G902" s="760"/>
      <c r="H902" s="760"/>
      <c r="I902" s="760"/>
      <c r="J902" s="760"/>
      <c r="K902" s="760"/>
      <c r="X902" s="501" t="b">
        <f t="shared" si="72"/>
        <v>1</v>
      </c>
    </row>
    <row r="903" s="400" customFormat="1" outlineLevel="2" spans="1:24">
      <c r="A903" s="400" t="s">
        <v>60</v>
      </c>
      <c r="B903" s="428" t="s">
        <v>2598</v>
      </c>
      <c r="C903" s="429" t="str">
        <f t="shared" si="87"/>
        <v>石嘴山市深阳蓝光市政工程有限公司</v>
      </c>
      <c r="D903" s="759" t="s">
        <v>2621</v>
      </c>
      <c r="E903" s="761" t="s">
        <v>60</v>
      </c>
      <c r="F903" s="761" t="s">
        <v>1579</v>
      </c>
      <c r="G903" s="761" t="s">
        <v>1757</v>
      </c>
      <c r="H903" s="761" t="s">
        <v>672</v>
      </c>
      <c r="I903" s="761"/>
      <c r="J903" s="761"/>
      <c r="K903" s="761" t="s">
        <v>315</v>
      </c>
      <c r="X903" s="501" t="b">
        <f t="shared" si="72"/>
        <v>1</v>
      </c>
    </row>
    <row r="904" s="400" customFormat="1" outlineLevel="2" spans="2:24">
      <c r="B904" s="428" t="s">
        <v>2598</v>
      </c>
      <c r="C904" s="429" t="str">
        <f t="shared" si="87"/>
        <v>石嘴山市深阳蓝光市政工程有限公司</v>
      </c>
      <c r="D904" s="759" t="s">
        <v>2623</v>
      </c>
      <c r="E904" s="761"/>
      <c r="F904" s="761"/>
      <c r="G904" s="761"/>
      <c r="H904" s="761" t="s">
        <v>611</v>
      </c>
      <c r="I904" s="761" t="s">
        <v>612</v>
      </c>
      <c r="J904" s="761" t="s">
        <v>1580</v>
      </c>
      <c r="K904" s="761"/>
      <c r="X904" s="501" t="b">
        <f t="shared" si="72"/>
        <v>1</v>
      </c>
    </row>
    <row r="905" s="400" customFormat="1" outlineLevel="2" spans="1:24">
      <c r="A905" s="400" t="s">
        <v>588</v>
      </c>
      <c r="B905" s="428" t="s">
        <v>2598</v>
      </c>
      <c r="C905" s="429" t="str">
        <f t="shared" si="87"/>
        <v>石嘴山市深阳蓝光市政工程有限公司</v>
      </c>
      <c r="D905" s="759" t="s">
        <v>2623</v>
      </c>
      <c r="E905" s="762" t="s">
        <v>588</v>
      </c>
      <c r="F905" s="477">
        <f>报表附注合并期初用!E479</f>
        <v>0</v>
      </c>
      <c r="G905" s="132"/>
      <c r="H905" s="132"/>
      <c r="I905" s="132"/>
      <c r="J905" s="769">
        <f>H905+I905</f>
        <v>0</v>
      </c>
      <c r="K905" s="769">
        <f>ROUND(F905+G905-J905,2)</f>
        <v>0</v>
      </c>
      <c r="X905" s="501" t="b">
        <f t="shared" si="72"/>
        <v>1</v>
      </c>
    </row>
    <row r="906" s="400" customFormat="1" outlineLevel="2" spans="1:24">
      <c r="A906" s="400" t="s">
        <v>2603</v>
      </c>
      <c r="B906" s="428" t="s">
        <v>2598</v>
      </c>
      <c r="C906" s="429" t="str">
        <f t="shared" si="87"/>
        <v>石嘴山市深阳蓝光市政工程有限公司</v>
      </c>
      <c r="D906" s="759" t="s">
        <v>2623</v>
      </c>
      <c r="E906" s="762" t="s">
        <v>590</v>
      </c>
      <c r="F906" s="477">
        <f>报表附注合并期初用!E480</f>
        <v>0</v>
      </c>
      <c r="G906" s="132"/>
      <c r="H906" s="132"/>
      <c r="I906" s="132"/>
      <c r="J906" s="769">
        <f t="shared" ref="J906:J919" si="88">H906+I906</f>
        <v>0</v>
      </c>
      <c r="K906" s="769">
        <f t="shared" ref="K906:K919" si="89">ROUND(F906+G906-J906,2)</f>
        <v>0</v>
      </c>
      <c r="X906" s="501" t="b">
        <f t="shared" si="72"/>
        <v>0</v>
      </c>
    </row>
    <row r="907" s="400" customFormat="1" outlineLevel="2" spans="1:24">
      <c r="A907" s="400" t="s">
        <v>592</v>
      </c>
      <c r="B907" s="428" t="s">
        <v>2598</v>
      </c>
      <c r="C907" s="429" t="str">
        <f t="shared" si="87"/>
        <v>石嘴山市深阳蓝光市政工程有限公司</v>
      </c>
      <c r="D907" s="759" t="s">
        <v>2623</v>
      </c>
      <c r="E907" s="762" t="s">
        <v>2604</v>
      </c>
      <c r="F907" s="477">
        <f>报表附注合并期初用!E481</f>
        <v>0</v>
      </c>
      <c r="G907" s="132"/>
      <c r="H907" s="132"/>
      <c r="I907" s="132"/>
      <c r="J907" s="769">
        <f t="shared" si="88"/>
        <v>0</v>
      </c>
      <c r="K907" s="769">
        <f t="shared" si="89"/>
        <v>0</v>
      </c>
      <c r="X907" s="501" t="b">
        <f t="shared" si="72"/>
        <v>0</v>
      </c>
    </row>
    <row r="908" s="400" customFormat="1" outlineLevel="2" spans="1:24">
      <c r="A908" s="400" t="s">
        <v>584</v>
      </c>
      <c r="B908" s="428" t="s">
        <v>2598</v>
      </c>
      <c r="C908" s="429" t="str">
        <f t="shared" si="87"/>
        <v>石嘴山市深阳蓝光市政工程有限公司</v>
      </c>
      <c r="D908" s="759" t="s">
        <v>2623</v>
      </c>
      <c r="E908" s="762" t="s">
        <v>1607</v>
      </c>
      <c r="F908" s="477">
        <f>报表附注合并期初用!E482</f>
        <v>0</v>
      </c>
      <c r="G908" s="132"/>
      <c r="H908" s="132"/>
      <c r="I908" s="132"/>
      <c r="J908" s="769">
        <f t="shared" si="88"/>
        <v>0</v>
      </c>
      <c r="K908" s="769">
        <f t="shared" si="89"/>
        <v>0</v>
      </c>
      <c r="X908" s="501" t="b">
        <f t="shared" si="72"/>
        <v>0</v>
      </c>
    </row>
    <row r="909" s="400" customFormat="1" outlineLevel="2" spans="1:24">
      <c r="A909" s="400" t="s">
        <v>586</v>
      </c>
      <c r="B909" s="428" t="s">
        <v>2598</v>
      </c>
      <c r="C909" s="429" t="str">
        <f t="shared" si="87"/>
        <v>石嘴山市深阳蓝光市政工程有限公司</v>
      </c>
      <c r="D909" s="759" t="s">
        <v>2623</v>
      </c>
      <c r="E909" s="762" t="s">
        <v>2605</v>
      </c>
      <c r="F909" s="477">
        <f>报表附注合并期初用!E483</f>
        <v>0</v>
      </c>
      <c r="G909" s="132"/>
      <c r="H909" s="132"/>
      <c r="I909" s="132"/>
      <c r="J909" s="769">
        <f t="shared" si="88"/>
        <v>0</v>
      </c>
      <c r="K909" s="769">
        <f t="shared" si="89"/>
        <v>0</v>
      </c>
      <c r="X909" s="501" t="b">
        <f t="shared" si="72"/>
        <v>0</v>
      </c>
    </row>
    <row r="910" s="400" customFormat="1" outlineLevel="2" spans="1:24">
      <c r="A910" s="400" t="s">
        <v>598</v>
      </c>
      <c r="B910" s="428" t="s">
        <v>2598</v>
      </c>
      <c r="C910" s="429" t="str">
        <f t="shared" si="87"/>
        <v>石嘴山市深阳蓝光市政工程有限公司</v>
      </c>
      <c r="D910" s="759" t="s">
        <v>2623</v>
      </c>
      <c r="E910" s="762" t="s">
        <v>596</v>
      </c>
      <c r="F910" s="477">
        <f>报表附注合并期初用!E484</f>
        <v>0</v>
      </c>
      <c r="G910" s="132"/>
      <c r="H910" s="132"/>
      <c r="I910" s="132"/>
      <c r="J910" s="769">
        <f t="shared" si="88"/>
        <v>0</v>
      </c>
      <c r="K910" s="769">
        <f t="shared" si="89"/>
        <v>0</v>
      </c>
      <c r="X910" s="501" t="b">
        <f t="shared" si="72"/>
        <v>0</v>
      </c>
    </row>
    <row r="911" s="400" customFormat="1" outlineLevel="2" spans="1:24">
      <c r="A911" s="400" t="s">
        <v>1607</v>
      </c>
      <c r="B911" s="428" t="s">
        <v>2598</v>
      </c>
      <c r="C911" s="429" t="str">
        <f t="shared" si="87"/>
        <v>石嘴山市深阳蓝光市政工程有限公司</v>
      </c>
      <c r="D911" s="759" t="s">
        <v>2623</v>
      </c>
      <c r="E911" s="762" t="str">
        <f t="shared" ref="E911:E919" si="90">E855</f>
        <v>发出商品</v>
      </c>
      <c r="F911" s="477">
        <f>报表附注合并期初用!E485</f>
        <v>0</v>
      </c>
      <c r="G911" s="132"/>
      <c r="H911" s="132"/>
      <c r="I911" s="132"/>
      <c r="J911" s="769">
        <f t="shared" si="88"/>
        <v>0</v>
      </c>
      <c r="K911" s="769">
        <f t="shared" si="89"/>
        <v>0</v>
      </c>
      <c r="X911" s="501" t="b">
        <f t="shared" si="72"/>
        <v>0</v>
      </c>
    </row>
    <row r="912" s="400" customFormat="1" hidden="1" outlineLevel="2" spans="1:24">
      <c r="A912" s="400" t="s">
        <v>2605</v>
      </c>
      <c r="B912" s="428" t="s">
        <v>2598</v>
      </c>
      <c r="C912" s="429" t="str">
        <f t="shared" si="87"/>
        <v>石嘴山市深阳蓝光市政工程有限公司</v>
      </c>
      <c r="D912" s="759" t="s">
        <v>2623</v>
      </c>
      <c r="E912" s="762" t="str">
        <f t="shared" si="90"/>
        <v>增加项目1-</v>
      </c>
      <c r="F912" s="477">
        <f>报表附注合并期初用!E486</f>
        <v>0</v>
      </c>
      <c r="G912" s="132"/>
      <c r="H912" s="132"/>
      <c r="I912" s="132"/>
      <c r="J912" s="769">
        <f t="shared" si="88"/>
        <v>0</v>
      </c>
      <c r="K912" s="769">
        <f t="shared" si="89"/>
        <v>0</v>
      </c>
      <c r="X912" s="501" t="b">
        <f t="shared" si="72"/>
        <v>0</v>
      </c>
    </row>
    <row r="913" s="400" customFormat="1" hidden="1" outlineLevel="2" spans="1:24">
      <c r="A913" s="400" t="s">
        <v>2607</v>
      </c>
      <c r="B913" s="428" t="s">
        <v>2598</v>
      </c>
      <c r="C913" s="429" t="str">
        <f t="shared" si="87"/>
        <v>石嘴山市深阳蓝光市政工程有限公司</v>
      </c>
      <c r="D913" s="759" t="s">
        <v>2623</v>
      </c>
      <c r="E913" s="762" t="str">
        <f t="shared" si="90"/>
        <v>增加项目2-</v>
      </c>
      <c r="F913" s="477">
        <f>报表附注合并期初用!E487</f>
        <v>0</v>
      </c>
      <c r="G913" s="132"/>
      <c r="H913" s="132"/>
      <c r="I913" s="132"/>
      <c r="J913" s="769">
        <f t="shared" si="88"/>
        <v>0</v>
      </c>
      <c r="K913" s="769">
        <f t="shared" si="89"/>
        <v>0</v>
      </c>
      <c r="X913" s="501" t="b">
        <f t="shared" si="72"/>
        <v>0</v>
      </c>
    </row>
    <row r="914" s="400" customFormat="1" hidden="1" outlineLevel="2" spans="1:24">
      <c r="A914" s="400" t="s">
        <v>596</v>
      </c>
      <c r="B914" s="428" t="s">
        <v>2598</v>
      </c>
      <c r="C914" s="429" t="str">
        <f t="shared" si="87"/>
        <v>石嘴山市深阳蓝光市政工程有限公司</v>
      </c>
      <c r="D914" s="759" t="s">
        <v>2623</v>
      </c>
      <c r="E914" s="762" t="str">
        <f t="shared" si="90"/>
        <v>增加项目3-</v>
      </c>
      <c r="F914" s="477">
        <f>报表附注合并期初用!E488</f>
        <v>0</v>
      </c>
      <c r="G914" s="132"/>
      <c r="H914" s="132"/>
      <c r="I914" s="132"/>
      <c r="J914" s="769">
        <f t="shared" si="88"/>
        <v>0</v>
      </c>
      <c r="K914" s="769">
        <f t="shared" si="89"/>
        <v>0</v>
      </c>
      <c r="X914" s="501" t="b">
        <f t="shared" si="72"/>
        <v>0</v>
      </c>
    </row>
    <row r="915" s="400" customFormat="1" hidden="1" outlineLevel="2" spans="1:24">
      <c r="A915" s="400" t="s">
        <v>594</v>
      </c>
      <c r="B915" s="428" t="s">
        <v>2598</v>
      </c>
      <c r="C915" s="429" t="str">
        <f t="shared" si="87"/>
        <v>石嘴山市深阳蓝光市政工程有限公司</v>
      </c>
      <c r="D915" s="759" t="s">
        <v>2623</v>
      </c>
      <c r="E915" s="762" t="str">
        <f t="shared" si="90"/>
        <v>增加项目4-</v>
      </c>
      <c r="F915" s="477">
        <f>报表附注合并期初用!E489</f>
        <v>0</v>
      </c>
      <c r="G915" s="132"/>
      <c r="H915" s="132"/>
      <c r="I915" s="132"/>
      <c r="J915" s="769">
        <f t="shared" si="88"/>
        <v>0</v>
      </c>
      <c r="K915" s="769">
        <f t="shared" si="89"/>
        <v>0</v>
      </c>
      <c r="X915" s="501" t="b">
        <f t="shared" si="72"/>
        <v>0</v>
      </c>
    </row>
    <row r="916" s="400" customFormat="1" hidden="1" outlineLevel="2" spans="1:24">
      <c r="A916" s="400" t="s">
        <v>600</v>
      </c>
      <c r="B916" s="428" t="s">
        <v>2598</v>
      </c>
      <c r="C916" s="429" t="str">
        <f t="shared" si="87"/>
        <v>石嘴山市深阳蓝光市政工程有限公司</v>
      </c>
      <c r="D916" s="759" t="s">
        <v>2623</v>
      </c>
      <c r="E916" s="762" t="str">
        <f t="shared" si="90"/>
        <v>增加项目5-</v>
      </c>
      <c r="F916" s="477">
        <f>报表附注合并期初用!E490</f>
        <v>0</v>
      </c>
      <c r="G916" s="132"/>
      <c r="H916" s="132"/>
      <c r="I916" s="132"/>
      <c r="J916" s="769">
        <f t="shared" si="88"/>
        <v>0</v>
      </c>
      <c r="K916" s="769">
        <f t="shared" si="89"/>
        <v>0</v>
      </c>
      <c r="X916" s="501" t="b">
        <f t="shared" si="72"/>
        <v>0</v>
      </c>
    </row>
    <row r="917" s="400" customFormat="1" hidden="1" outlineLevel="2" spans="1:24">
      <c r="A917" s="400" t="s">
        <v>1609</v>
      </c>
      <c r="B917" s="428" t="s">
        <v>2598</v>
      </c>
      <c r="C917" s="429" t="str">
        <f t="shared" si="87"/>
        <v>石嘴山市深阳蓝光市政工程有限公司</v>
      </c>
      <c r="D917" s="759" t="s">
        <v>2623</v>
      </c>
      <c r="E917" s="762" t="str">
        <f t="shared" si="90"/>
        <v>增加项目6-</v>
      </c>
      <c r="F917" s="477">
        <f>报表附注合并期初用!E491</f>
        <v>0</v>
      </c>
      <c r="G917" s="132"/>
      <c r="H917" s="132"/>
      <c r="I917" s="132"/>
      <c r="J917" s="769">
        <f t="shared" si="88"/>
        <v>0</v>
      </c>
      <c r="K917" s="769">
        <f t="shared" si="89"/>
        <v>0</v>
      </c>
      <c r="X917" s="501" t="b">
        <f t="shared" si="72"/>
        <v>0</v>
      </c>
    </row>
    <row r="918" s="400" customFormat="1" hidden="1" outlineLevel="2" spans="1:24">
      <c r="A918" s="400" t="s">
        <v>1610</v>
      </c>
      <c r="B918" s="428" t="s">
        <v>2598</v>
      </c>
      <c r="C918" s="429" t="str">
        <f t="shared" si="87"/>
        <v>石嘴山市深阳蓝光市政工程有限公司</v>
      </c>
      <c r="D918" s="759" t="s">
        <v>2623</v>
      </c>
      <c r="E918" s="762" t="str">
        <f t="shared" si="90"/>
        <v>增加项目7-</v>
      </c>
      <c r="F918" s="477">
        <f>报表附注合并期初用!E492</f>
        <v>0</v>
      </c>
      <c r="G918" s="132"/>
      <c r="H918" s="132"/>
      <c r="I918" s="132"/>
      <c r="J918" s="769">
        <f t="shared" si="88"/>
        <v>0</v>
      </c>
      <c r="K918" s="769">
        <f t="shared" si="89"/>
        <v>0</v>
      </c>
      <c r="X918" s="501" t="b">
        <f t="shared" si="72"/>
        <v>0</v>
      </c>
    </row>
    <row r="919" s="400" customFormat="1" hidden="1" outlineLevel="2" spans="1:24">
      <c r="A919" s="400" t="s">
        <v>1611</v>
      </c>
      <c r="B919" s="428" t="s">
        <v>2598</v>
      </c>
      <c r="C919" s="429" t="str">
        <f t="shared" si="87"/>
        <v>石嘴山市深阳蓝光市政工程有限公司</v>
      </c>
      <c r="D919" s="759" t="s">
        <v>2623</v>
      </c>
      <c r="E919" s="762" t="str">
        <f t="shared" si="90"/>
        <v>增加项目8-</v>
      </c>
      <c r="F919" s="477">
        <f>报表附注合并期初用!E493</f>
        <v>0</v>
      </c>
      <c r="G919" s="132"/>
      <c r="H919" s="132"/>
      <c r="I919" s="132"/>
      <c r="J919" s="769">
        <f t="shared" si="88"/>
        <v>0</v>
      </c>
      <c r="K919" s="769">
        <f t="shared" si="89"/>
        <v>0</v>
      </c>
      <c r="X919" s="501" t="b">
        <f t="shared" si="72"/>
        <v>0</v>
      </c>
    </row>
    <row r="920" s="400" customFormat="1" outlineLevel="2" spans="1:24">
      <c r="A920" s="400" t="s">
        <v>1580</v>
      </c>
      <c r="B920" s="428" t="s">
        <v>2598</v>
      </c>
      <c r="C920" s="429" t="str">
        <f t="shared" si="87"/>
        <v>石嘴山市深阳蓝光市政工程有限公司</v>
      </c>
      <c r="D920" s="759" t="s">
        <v>2623</v>
      </c>
      <c r="E920" s="761" t="s">
        <v>1580</v>
      </c>
      <c r="F920" s="769">
        <f t="shared" ref="F920:K920" si="91">SUM(F905:F919)</f>
        <v>0</v>
      </c>
      <c r="G920" s="769">
        <f t="shared" si="91"/>
        <v>0</v>
      </c>
      <c r="H920" s="769">
        <f t="shared" si="91"/>
        <v>0</v>
      </c>
      <c r="I920" s="769">
        <f t="shared" si="91"/>
        <v>0</v>
      </c>
      <c r="J920" s="769">
        <f t="shared" si="91"/>
        <v>0</v>
      </c>
      <c r="K920" s="769">
        <f t="shared" si="91"/>
        <v>0</v>
      </c>
      <c r="X920" s="501" t="b">
        <f t="shared" si="72"/>
        <v>1</v>
      </c>
    </row>
    <row r="921" s="400" customFormat="1" outlineLevel="2" spans="2:24">
      <c r="B921" s="428" t="s">
        <v>2598</v>
      </c>
      <c r="C921" s="429" t="str">
        <f t="shared" si="87"/>
        <v>石嘴山市深阳蓝光市政工程有限公司</v>
      </c>
      <c r="D921" s="759" t="s">
        <v>2623</v>
      </c>
      <c r="E921" s="774"/>
      <c r="F921" s="765"/>
      <c r="G921" s="765"/>
      <c r="H921" s="760"/>
      <c r="I921" s="760"/>
      <c r="J921" s="760"/>
      <c r="K921" s="760"/>
      <c r="X921" s="501" t="b">
        <f t="shared" si="72"/>
        <v>1</v>
      </c>
    </row>
    <row r="922" s="400" customFormat="1" outlineLevel="2" spans="1:24">
      <c r="A922" s="400" t="s">
        <v>2624</v>
      </c>
      <c r="B922" s="428" t="s">
        <v>2598</v>
      </c>
      <c r="C922" s="429" t="str">
        <f t="shared" si="87"/>
        <v>石嘴山市深阳蓝光市政工程有限公司</v>
      </c>
      <c r="D922" s="775" t="s">
        <v>2625</v>
      </c>
      <c r="E922" s="748" t="s">
        <v>2626</v>
      </c>
      <c r="F922" s="765"/>
      <c r="G922" s="765"/>
      <c r="H922" s="760"/>
      <c r="I922" s="760"/>
      <c r="J922" s="760"/>
      <c r="K922" s="760"/>
      <c r="X922" s="501" t="b">
        <f t="shared" si="72"/>
        <v>1</v>
      </c>
    </row>
    <row r="923" s="400" customFormat="1" ht="32.25" customHeight="1" outlineLevel="2" spans="1:24">
      <c r="A923" s="400" t="s">
        <v>60</v>
      </c>
      <c r="B923" s="428" t="s">
        <v>2598</v>
      </c>
      <c r="C923" s="429" t="str">
        <f t="shared" si="87"/>
        <v>石嘴山市深阳蓝光市政工程有限公司</v>
      </c>
      <c r="D923" s="775" t="s">
        <v>2625</v>
      </c>
      <c r="E923" s="761" t="s">
        <v>60</v>
      </c>
      <c r="F923" s="761" t="s">
        <v>2627</v>
      </c>
      <c r="G923" s="761" t="s">
        <v>2628</v>
      </c>
      <c r="H923" s="761" t="s">
        <v>2629</v>
      </c>
      <c r="I923" s="760"/>
      <c r="J923" s="760"/>
      <c r="K923" s="760"/>
      <c r="X923" s="501" t="b">
        <f t="shared" si="72"/>
        <v>1</v>
      </c>
    </row>
    <row r="924" s="400" customFormat="1" outlineLevel="2" spans="1:24">
      <c r="A924" s="400" t="s">
        <v>588</v>
      </c>
      <c r="B924" s="428" t="s">
        <v>2598</v>
      </c>
      <c r="C924" s="429" t="str">
        <f t="shared" si="87"/>
        <v>石嘴山市深阳蓝光市政工程有限公司</v>
      </c>
      <c r="D924" s="775" t="s">
        <v>2630</v>
      </c>
      <c r="E924" s="776" t="str">
        <f t="shared" ref="E924:E938" si="92">E905</f>
        <v>原材料</v>
      </c>
      <c r="F924" s="777"/>
      <c r="G924" s="778"/>
      <c r="H924" s="778"/>
      <c r="I924" s="760"/>
      <c r="J924" s="760"/>
      <c r="K924" s="760"/>
      <c r="X924" s="501" t="b">
        <f t="shared" si="72"/>
        <v>1</v>
      </c>
    </row>
    <row r="925" s="400" customFormat="1" outlineLevel="2" spans="1:24">
      <c r="A925" s="400" t="s">
        <v>2603</v>
      </c>
      <c r="B925" s="428" t="s">
        <v>2598</v>
      </c>
      <c r="C925" s="429" t="str">
        <f t="shared" si="87"/>
        <v>石嘴山市深阳蓝光市政工程有限公司</v>
      </c>
      <c r="D925" s="775" t="s">
        <v>2630</v>
      </c>
      <c r="E925" s="779" t="str">
        <f t="shared" si="92"/>
        <v>在产品</v>
      </c>
      <c r="F925" s="780"/>
      <c r="G925" s="780"/>
      <c r="H925" s="781"/>
      <c r="I925" s="760"/>
      <c r="J925" s="760"/>
      <c r="K925" s="760"/>
      <c r="X925" s="501" t="b">
        <f t="shared" si="72"/>
        <v>0</v>
      </c>
    </row>
    <row r="926" s="400" customFormat="1" outlineLevel="2" spans="1:24">
      <c r="A926" s="400" t="s">
        <v>592</v>
      </c>
      <c r="B926" s="428" t="s">
        <v>2598</v>
      </c>
      <c r="C926" s="429" t="str">
        <f t="shared" si="87"/>
        <v>石嘴山市深阳蓝光市政工程有限公司</v>
      </c>
      <c r="D926" s="775" t="s">
        <v>2630</v>
      </c>
      <c r="E926" s="782" t="str">
        <f t="shared" si="92"/>
        <v>产成品</v>
      </c>
      <c r="F926" s="780"/>
      <c r="G926" s="780"/>
      <c r="H926" s="781"/>
      <c r="I926" s="760"/>
      <c r="J926" s="760"/>
      <c r="K926" s="760"/>
      <c r="X926" s="501" t="b">
        <f t="shared" si="72"/>
        <v>0</v>
      </c>
    </row>
    <row r="927" s="400" customFormat="1" outlineLevel="2" spans="1:24">
      <c r="A927" s="400" t="s">
        <v>584</v>
      </c>
      <c r="B927" s="428" t="s">
        <v>2598</v>
      </c>
      <c r="C927" s="429" t="str">
        <f t="shared" si="87"/>
        <v>石嘴山市深阳蓝光市政工程有限公司</v>
      </c>
      <c r="D927" s="775" t="s">
        <v>2630</v>
      </c>
      <c r="E927" s="782" t="str">
        <f t="shared" si="92"/>
        <v>低值易耗品</v>
      </c>
      <c r="F927" s="780"/>
      <c r="G927" s="780"/>
      <c r="H927" s="781"/>
      <c r="I927" s="760"/>
      <c r="J927" s="760"/>
      <c r="K927" s="760"/>
      <c r="X927" s="501" t="b">
        <f t="shared" si="72"/>
        <v>0</v>
      </c>
    </row>
    <row r="928" s="400" customFormat="1" outlineLevel="2" spans="1:24">
      <c r="A928" s="400" t="s">
        <v>586</v>
      </c>
      <c r="B928" s="428" t="s">
        <v>2598</v>
      </c>
      <c r="C928" s="429" t="str">
        <f t="shared" si="87"/>
        <v>石嘴山市深阳蓝光市政工程有限公司</v>
      </c>
      <c r="D928" s="775" t="s">
        <v>2630</v>
      </c>
      <c r="E928" s="782" t="str">
        <f t="shared" si="92"/>
        <v>包装物</v>
      </c>
      <c r="F928" s="780"/>
      <c r="G928" s="780"/>
      <c r="H928" s="781"/>
      <c r="I928" s="760"/>
      <c r="J928" s="760"/>
      <c r="K928" s="760"/>
      <c r="X928" s="501" t="b">
        <f t="shared" si="72"/>
        <v>0</v>
      </c>
    </row>
    <row r="929" s="400" customFormat="1" outlineLevel="2" spans="1:24">
      <c r="A929" s="400" t="s">
        <v>598</v>
      </c>
      <c r="B929" s="428" t="s">
        <v>2598</v>
      </c>
      <c r="C929" s="429" t="str">
        <f t="shared" si="87"/>
        <v>石嘴山市深阳蓝光市政工程有限公司</v>
      </c>
      <c r="D929" s="775" t="s">
        <v>2630</v>
      </c>
      <c r="E929" s="782" t="str">
        <f t="shared" si="92"/>
        <v>委托加工物资</v>
      </c>
      <c r="F929" s="780"/>
      <c r="G929" s="780"/>
      <c r="H929" s="781"/>
      <c r="I929" s="760"/>
      <c r="J929" s="760"/>
      <c r="K929" s="760"/>
      <c r="X929" s="501" t="b">
        <f t="shared" si="72"/>
        <v>0</v>
      </c>
    </row>
    <row r="930" s="400" customFormat="1" outlineLevel="2" spans="1:24">
      <c r="A930" s="400" t="s">
        <v>1607</v>
      </c>
      <c r="B930" s="428" t="s">
        <v>2598</v>
      </c>
      <c r="C930" s="429" t="str">
        <f t="shared" si="87"/>
        <v>石嘴山市深阳蓝光市政工程有限公司</v>
      </c>
      <c r="D930" s="775" t="s">
        <v>2630</v>
      </c>
      <c r="E930" s="782" t="str">
        <f t="shared" si="92"/>
        <v>发出商品</v>
      </c>
      <c r="F930" s="780"/>
      <c r="G930" s="780"/>
      <c r="H930" s="781"/>
      <c r="I930" s="760"/>
      <c r="J930" s="760"/>
      <c r="K930" s="760"/>
      <c r="X930" s="501" t="b">
        <f t="shared" si="72"/>
        <v>0</v>
      </c>
    </row>
    <row r="931" s="400" customFormat="1" hidden="1" outlineLevel="2" spans="1:24">
      <c r="A931" s="400" t="s">
        <v>2605</v>
      </c>
      <c r="B931" s="428" t="s">
        <v>2598</v>
      </c>
      <c r="C931" s="429" t="str">
        <f t="shared" si="87"/>
        <v>石嘴山市深阳蓝光市政工程有限公司</v>
      </c>
      <c r="D931" s="775" t="s">
        <v>2630</v>
      </c>
      <c r="E931" s="782" t="str">
        <f t="shared" si="92"/>
        <v>增加项目1-</v>
      </c>
      <c r="F931" s="780"/>
      <c r="G931" s="780"/>
      <c r="H931" s="781"/>
      <c r="I931" s="760"/>
      <c r="J931" s="760"/>
      <c r="K931" s="760"/>
      <c r="X931" s="501" t="b">
        <f t="shared" si="72"/>
        <v>0</v>
      </c>
    </row>
    <row r="932" s="400" customFormat="1" hidden="1" outlineLevel="2" spans="1:24">
      <c r="A932" s="400" t="s">
        <v>2607</v>
      </c>
      <c r="B932" s="428" t="s">
        <v>2598</v>
      </c>
      <c r="C932" s="429" t="str">
        <f t="shared" si="87"/>
        <v>石嘴山市深阳蓝光市政工程有限公司</v>
      </c>
      <c r="D932" s="775" t="s">
        <v>2630</v>
      </c>
      <c r="E932" s="782" t="str">
        <f t="shared" si="92"/>
        <v>增加项目2-</v>
      </c>
      <c r="F932" s="780"/>
      <c r="G932" s="780"/>
      <c r="H932" s="781"/>
      <c r="I932" s="760"/>
      <c r="J932" s="760"/>
      <c r="K932" s="760"/>
      <c r="X932" s="501" t="b">
        <f t="shared" si="72"/>
        <v>0</v>
      </c>
    </row>
    <row r="933" s="400" customFormat="1" hidden="1" outlineLevel="2" spans="1:24">
      <c r="A933" s="400" t="s">
        <v>596</v>
      </c>
      <c r="B933" s="428" t="s">
        <v>2598</v>
      </c>
      <c r="C933" s="429" t="str">
        <f t="shared" si="87"/>
        <v>石嘴山市深阳蓝光市政工程有限公司</v>
      </c>
      <c r="D933" s="775" t="s">
        <v>2630</v>
      </c>
      <c r="E933" s="782" t="str">
        <f t="shared" si="92"/>
        <v>增加项目3-</v>
      </c>
      <c r="F933" s="780"/>
      <c r="G933" s="780"/>
      <c r="H933" s="781"/>
      <c r="I933" s="760"/>
      <c r="J933" s="760"/>
      <c r="K933" s="760"/>
      <c r="X933" s="501" t="b">
        <f t="shared" si="72"/>
        <v>0</v>
      </c>
    </row>
    <row r="934" s="400" customFormat="1" hidden="1" outlineLevel="2" spans="1:24">
      <c r="A934" s="400" t="s">
        <v>594</v>
      </c>
      <c r="B934" s="428" t="s">
        <v>2598</v>
      </c>
      <c r="C934" s="429" t="str">
        <f t="shared" si="87"/>
        <v>石嘴山市深阳蓝光市政工程有限公司</v>
      </c>
      <c r="D934" s="775" t="s">
        <v>2630</v>
      </c>
      <c r="E934" s="782" t="str">
        <f t="shared" si="92"/>
        <v>增加项目4-</v>
      </c>
      <c r="F934" s="780"/>
      <c r="G934" s="780"/>
      <c r="H934" s="781"/>
      <c r="I934" s="760"/>
      <c r="J934" s="760"/>
      <c r="K934" s="760"/>
      <c r="X934" s="501" t="b">
        <f t="shared" si="72"/>
        <v>0</v>
      </c>
    </row>
    <row r="935" s="400" customFormat="1" hidden="1" outlineLevel="2" spans="1:24">
      <c r="A935" s="400" t="s">
        <v>600</v>
      </c>
      <c r="B935" s="428" t="s">
        <v>2598</v>
      </c>
      <c r="C935" s="429" t="str">
        <f t="shared" si="87"/>
        <v>石嘴山市深阳蓝光市政工程有限公司</v>
      </c>
      <c r="D935" s="775" t="s">
        <v>2630</v>
      </c>
      <c r="E935" s="782" t="str">
        <f t="shared" si="92"/>
        <v>增加项目5-</v>
      </c>
      <c r="F935" s="780"/>
      <c r="G935" s="780"/>
      <c r="H935" s="781"/>
      <c r="I935" s="760"/>
      <c r="J935" s="760"/>
      <c r="K935" s="760"/>
      <c r="X935" s="501" t="b">
        <f t="shared" si="72"/>
        <v>0</v>
      </c>
    </row>
    <row r="936" s="400" customFormat="1" hidden="1" outlineLevel="2" spans="1:24">
      <c r="A936" s="400" t="s">
        <v>1609</v>
      </c>
      <c r="B936" s="428" t="s">
        <v>2598</v>
      </c>
      <c r="C936" s="429" t="str">
        <f t="shared" si="87"/>
        <v>石嘴山市深阳蓝光市政工程有限公司</v>
      </c>
      <c r="D936" s="775" t="s">
        <v>2630</v>
      </c>
      <c r="E936" s="782" t="str">
        <f t="shared" si="92"/>
        <v>增加项目6-</v>
      </c>
      <c r="F936" s="780"/>
      <c r="G936" s="780"/>
      <c r="H936" s="781"/>
      <c r="I936" s="760"/>
      <c r="J936" s="760"/>
      <c r="K936" s="760"/>
      <c r="X936" s="501" t="b">
        <f t="shared" si="72"/>
        <v>0</v>
      </c>
    </row>
    <row r="937" s="400" customFormat="1" hidden="1" outlineLevel="2" spans="1:24">
      <c r="A937" s="400" t="s">
        <v>1610</v>
      </c>
      <c r="B937" s="428" t="s">
        <v>2598</v>
      </c>
      <c r="C937" s="429" t="str">
        <f t="shared" si="87"/>
        <v>石嘴山市深阳蓝光市政工程有限公司</v>
      </c>
      <c r="D937" s="775" t="s">
        <v>2630</v>
      </c>
      <c r="E937" s="782" t="str">
        <f t="shared" si="92"/>
        <v>增加项目7-</v>
      </c>
      <c r="F937" s="780"/>
      <c r="G937" s="780"/>
      <c r="H937" s="781"/>
      <c r="I937" s="760"/>
      <c r="J937" s="760"/>
      <c r="K937" s="760"/>
      <c r="X937" s="501" t="b">
        <f t="shared" si="72"/>
        <v>0</v>
      </c>
    </row>
    <row r="938" s="400" customFormat="1" hidden="1" outlineLevel="2" spans="1:24">
      <c r="A938" s="400" t="s">
        <v>1611</v>
      </c>
      <c r="B938" s="428" t="s">
        <v>2598</v>
      </c>
      <c r="C938" s="429" t="str">
        <f t="shared" si="87"/>
        <v>石嘴山市深阳蓝光市政工程有限公司</v>
      </c>
      <c r="D938" s="775" t="s">
        <v>2630</v>
      </c>
      <c r="E938" s="782" t="str">
        <f t="shared" si="92"/>
        <v>增加项目8-</v>
      </c>
      <c r="F938" s="780"/>
      <c r="G938" s="780"/>
      <c r="H938" s="781"/>
      <c r="I938" s="760"/>
      <c r="J938" s="760"/>
      <c r="K938" s="760"/>
      <c r="X938" s="501" t="b">
        <f t="shared" si="72"/>
        <v>0</v>
      </c>
    </row>
    <row r="939" s="400" customFormat="1" outlineLevel="2" spans="2:24">
      <c r="B939" s="428" t="s">
        <v>2598</v>
      </c>
      <c r="C939" s="429" t="str">
        <f t="shared" si="87"/>
        <v>石嘴山市深阳蓝光市政工程有限公司</v>
      </c>
      <c r="D939" s="775" t="s">
        <v>2630</v>
      </c>
      <c r="E939" s="748"/>
      <c r="F939" s="765"/>
      <c r="G939" s="765"/>
      <c r="H939" s="760"/>
      <c r="I939" s="760"/>
      <c r="J939" s="760"/>
      <c r="K939" s="760"/>
      <c r="X939" s="501" t="b">
        <f t="shared" si="72"/>
        <v>1</v>
      </c>
    </row>
    <row r="940" s="400" customFormat="1" outlineLevel="2" spans="2:24">
      <c r="B940" s="428" t="s">
        <v>2598</v>
      </c>
      <c r="C940" s="429" t="str">
        <f t="shared" si="87"/>
        <v>石嘴山市深阳蓝光市政工程有限公司</v>
      </c>
      <c r="D940" s="775"/>
      <c r="E940" s="149"/>
      <c r="F940" s="765"/>
      <c r="G940" s="765"/>
      <c r="H940" s="760"/>
      <c r="I940" s="760"/>
      <c r="J940" s="760"/>
      <c r="K940" s="760"/>
      <c r="X940" s="501" t="b">
        <f t="shared" si="72"/>
        <v>1</v>
      </c>
    </row>
    <row r="941" s="400" customFormat="1" outlineLevel="2" spans="1:24">
      <c r="A941" s="400" t="s">
        <v>2315</v>
      </c>
      <c r="B941" s="428" t="s">
        <v>2598</v>
      </c>
      <c r="C941" s="429" t="str">
        <f t="shared" si="87"/>
        <v>石嘴山市深阳蓝光市政工程有限公司</v>
      </c>
      <c r="D941" s="775"/>
      <c r="E941" s="748" t="s">
        <v>2315</v>
      </c>
      <c r="F941" s="783"/>
      <c r="G941" s="783"/>
      <c r="H941" s="784"/>
      <c r="I941" s="760"/>
      <c r="J941" s="760"/>
      <c r="K941" s="760"/>
      <c r="X941" s="501" t="b">
        <f t="shared" si="72"/>
        <v>1</v>
      </c>
    </row>
    <row r="942" s="400" customFormat="1" outlineLevel="2" spans="2:24">
      <c r="B942" s="428" t="s">
        <v>2598</v>
      </c>
      <c r="C942" s="429" t="str">
        <f t="shared" si="87"/>
        <v>石嘴山市深阳蓝光市政工程有限公司</v>
      </c>
      <c r="D942" s="775"/>
      <c r="E942" s="785"/>
      <c r="F942" s="765"/>
      <c r="G942" s="765"/>
      <c r="H942" s="760"/>
      <c r="I942" s="760"/>
      <c r="J942" s="760"/>
      <c r="K942" s="760"/>
      <c r="X942" s="501" t="b">
        <f t="shared" si="72"/>
        <v>1</v>
      </c>
    </row>
    <row r="943" s="400" customFormat="1" spans="1:24">
      <c r="A943" s="400" t="s">
        <v>2631</v>
      </c>
      <c r="B943" s="428" t="s">
        <v>2632</v>
      </c>
      <c r="C943" s="429" t="str">
        <f t="shared" si="87"/>
        <v>石嘴山市深阳蓝光市政工程有限公司</v>
      </c>
      <c r="D943" s="775" t="s">
        <v>2633</v>
      </c>
      <c r="E943" s="65" t="s">
        <v>2634</v>
      </c>
      <c r="F943" s="786" t="s">
        <v>2635</v>
      </c>
      <c r="G943" s="765"/>
      <c r="H943" s="760"/>
      <c r="I943" s="760"/>
      <c r="J943" s="760"/>
      <c r="K943" s="760"/>
      <c r="X943" s="501" t="b">
        <f t="shared" si="72"/>
        <v>1</v>
      </c>
    </row>
    <row r="944" s="400" customFormat="1" outlineLevel="2" spans="1:24">
      <c r="A944" s="400" t="s">
        <v>2636</v>
      </c>
      <c r="B944" s="428" t="s">
        <v>2632</v>
      </c>
      <c r="C944" s="429" t="str">
        <f t="shared" si="87"/>
        <v>石嘴山市深阳蓝光市政工程有限公司</v>
      </c>
      <c r="D944" s="775" t="s">
        <v>2633</v>
      </c>
      <c r="E944" s="149" t="s">
        <v>2637</v>
      </c>
      <c r="F944" s="765"/>
      <c r="G944" s="765"/>
      <c r="H944" s="760"/>
      <c r="I944" s="760"/>
      <c r="J944" s="760"/>
      <c r="K944" s="760"/>
      <c r="X944" s="501" t="b">
        <f t="shared" si="72"/>
        <v>1</v>
      </c>
    </row>
    <row r="945" s="400" customFormat="1" outlineLevel="2" spans="1:24">
      <c r="A945" s="400" t="s">
        <v>60</v>
      </c>
      <c r="B945" s="428" t="s">
        <v>2632</v>
      </c>
      <c r="C945" s="429" t="str">
        <f t="shared" si="87"/>
        <v>石嘴山市深阳蓝光市政工程有限公司</v>
      </c>
      <c r="D945" s="775" t="s">
        <v>2638</v>
      </c>
      <c r="E945" s="742" t="s">
        <v>60</v>
      </c>
      <c r="F945" s="742" t="s">
        <v>515</v>
      </c>
      <c r="G945" s="742" t="s">
        <v>670</v>
      </c>
      <c r="H945" s="760"/>
      <c r="I945" s="760"/>
      <c r="J945" s="760"/>
      <c r="K945" s="760"/>
      <c r="X945" s="501" t="b">
        <f t="shared" si="72"/>
        <v>1</v>
      </c>
    </row>
    <row r="946" s="400" customFormat="1" outlineLevel="2" spans="2:24">
      <c r="B946" s="428" t="s">
        <v>2632</v>
      </c>
      <c r="C946" s="429" t="str">
        <f t="shared" si="87"/>
        <v>石嘴山市深阳蓝光市政工程有限公司</v>
      </c>
      <c r="D946" s="775" t="s">
        <v>2638</v>
      </c>
      <c r="E946" s="742" t="s">
        <v>2639</v>
      </c>
      <c r="F946" s="454"/>
      <c r="G946" s="454"/>
      <c r="H946" s="760"/>
      <c r="I946" s="760"/>
      <c r="J946" s="760"/>
      <c r="K946" s="760"/>
      <c r="X946" s="501" t="b">
        <f t="shared" si="72"/>
        <v>0</v>
      </c>
    </row>
    <row r="947" s="400" customFormat="1" outlineLevel="2" spans="2:24">
      <c r="B947" s="428" t="s">
        <v>2632</v>
      </c>
      <c r="C947" s="429" t="str">
        <f t="shared" si="87"/>
        <v>石嘴山市深阳蓝光市政工程有限公司</v>
      </c>
      <c r="D947" s="775" t="s">
        <v>2638</v>
      </c>
      <c r="E947" s="742" t="s">
        <v>1093</v>
      </c>
      <c r="F947" s="454"/>
      <c r="G947" s="454"/>
      <c r="H947" s="760"/>
      <c r="I947" s="760"/>
      <c r="J947" s="760"/>
      <c r="K947" s="760"/>
      <c r="X947" s="501" t="b">
        <f t="shared" si="72"/>
        <v>0</v>
      </c>
    </row>
    <row r="948" s="400" customFormat="1" outlineLevel="2" spans="2:24">
      <c r="B948" s="428" t="s">
        <v>2632</v>
      </c>
      <c r="C948" s="429" t="str">
        <f t="shared" si="87"/>
        <v>石嘴山市深阳蓝光市政工程有限公司</v>
      </c>
      <c r="D948" s="775" t="s">
        <v>2638</v>
      </c>
      <c r="E948" s="742" t="s">
        <v>2640</v>
      </c>
      <c r="F948" s="454"/>
      <c r="G948" s="454"/>
      <c r="H948" s="760"/>
      <c r="I948" s="760"/>
      <c r="J948" s="760"/>
      <c r="K948" s="760"/>
      <c r="X948" s="501" t="b">
        <f t="shared" si="72"/>
        <v>0</v>
      </c>
    </row>
    <row r="949" s="400" customFormat="1" spans="2:24">
      <c r="B949" s="428" t="s">
        <v>2632</v>
      </c>
      <c r="C949" s="429" t="str">
        <f t="shared" si="87"/>
        <v>石嘴山市深阳蓝光市政工程有限公司</v>
      </c>
      <c r="D949" s="775" t="s">
        <v>2638</v>
      </c>
      <c r="E949" s="742" t="s">
        <v>2641</v>
      </c>
      <c r="F949" s="454"/>
      <c r="G949" s="454"/>
      <c r="H949" s="760"/>
      <c r="I949" s="760"/>
      <c r="J949" s="760"/>
      <c r="K949" s="760"/>
      <c r="X949" s="501" t="b">
        <f t="shared" si="72"/>
        <v>0</v>
      </c>
    </row>
    <row r="950" s="400" customFormat="1" outlineLevel="1" spans="2:24">
      <c r="B950" s="428" t="s">
        <v>2632</v>
      </c>
      <c r="C950" s="429" t="str">
        <f t="shared" si="87"/>
        <v>石嘴山市深阳蓝光市政工程有限公司</v>
      </c>
      <c r="D950" s="775" t="s">
        <v>2638</v>
      </c>
      <c r="E950" s="742" t="s">
        <v>2642</v>
      </c>
      <c r="F950" s="454"/>
      <c r="G950" s="454"/>
      <c r="H950" s="760"/>
      <c r="I950" s="760"/>
      <c r="J950" s="760"/>
      <c r="K950" s="760"/>
      <c r="X950" s="501" t="b">
        <f t="shared" si="72"/>
        <v>0</v>
      </c>
    </row>
    <row r="951" s="400" customFormat="1" outlineLevel="1" spans="2:24">
      <c r="B951" s="428" t="s">
        <v>2632</v>
      </c>
      <c r="C951" s="429" t="str">
        <f t="shared" si="87"/>
        <v>石嘴山市深阳蓝光市政工程有限公司</v>
      </c>
      <c r="D951" s="775" t="s">
        <v>2638</v>
      </c>
      <c r="E951" s="742" t="s">
        <v>2643</v>
      </c>
      <c r="F951" s="454"/>
      <c r="G951" s="454"/>
      <c r="H951" s="760"/>
      <c r="I951" s="760"/>
      <c r="J951" s="760"/>
      <c r="K951" s="760"/>
      <c r="X951" s="501" t="b">
        <f t="shared" si="72"/>
        <v>0</v>
      </c>
    </row>
    <row r="952" s="400" customFormat="1" outlineLevel="1" spans="2:24">
      <c r="B952" s="428" t="s">
        <v>2632</v>
      </c>
      <c r="C952" s="429" t="str">
        <f t="shared" si="87"/>
        <v>石嘴山市深阳蓝光市政工程有限公司</v>
      </c>
      <c r="D952" s="775" t="s">
        <v>2638</v>
      </c>
      <c r="E952" s="454"/>
      <c r="F952" s="454"/>
      <c r="G952" s="454"/>
      <c r="H952" s="760"/>
      <c r="I952" s="760"/>
      <c r="J952" s="760"/>
      <c r="K952" s="760"/>
      <c r="X952" s="501" t="b">
        <f t="shared" si="72"/>
        <v>1</v>
      </c>
    </row>
    <row r="953" s="400" customFormat="1" outlineLevel="1" spans="2:24">
      <c r="B953" s="428" t="s">
        <v>2632</v>
      </c>
      <c r="C953" s="429" t="str">
        <f t="shared" si="87"/>
        <v>石嘴山市深阳蓝光市政工程有限公司</v>
      </c>
      <c r="D953" s="775" t="s">
        <v>2638</v>
      </c>
      <c r="E953" s="454"/>
      <c r="F953" s="454"/>
      <c r="G953" s="454"/>
      <c r="H953" s="760"/>
      <c r="I953" s="760"/>
      <c r="J953" s="760"/>
      <c r="K953" s="760"/>
      <c r="X953" s="501" t="b">
        <f t="shared" si="72"/>
        <v>1</v>
      </c>
    </row>
    <row r="954" s="400" customFormat="1" outlineLevel="2" spans="1:24">
      <c r="A954" s="400" t="s">
        <v>1580</v>
      </c>
      <c r="B954" s="428" t="s">
        <v>2632</v>
      </c>
      <c r="C954" s="429" t="str">
        <f t="shared" si="87"/>
        <v>石嘴山市深阳蓝光市政工程有限公司</v>
      </c>
      <c r="D954" s="775" t="s">
        <v>2638</v>
      </c>
      <c r="E954" s="742" t="s">
        <v>1580</v>
      </c>
      <c r="F954" s="787">
        <f>SUM(F946:F953)</f>
        <v>0</v>
      </c>
      <c r="G954" s="787">
        <f>SUM(G946:G953)</f>
        <v>0</v>
      </c>
      <c r="H954" s="760"/>
      <c r="I954" s="760"/>
      <c r="J954" s="760"/>
      <c r="K954" s="760"/>
      <c r="X954" s="501" t="b">
        <f t="shared" si="72"/>
        <v>1</v>
      </c>
    </row>
    <row r="955" s="400" customFormat="1" outlineLevel="2" spans="1:24">
      <c r="A955" s="400" t="s">
        <v>1444</v>
      </c>
      <c r="B955" s="428" t="s">
        <v>2632</v>
      </c>
      <c r="C955" s="429" t="str">
        <f t="shared" si="87"/>
        <v>石嘴山市深阳蓝光市政工程有限公司</v>
      </c>
      <c r="D955" s="775" t="s">
        <v>2638</v>
      </c>
      <c r="E955" s="788" t="s">
        <v>1444</v>
      </c>
      <c r="F955" s="766">
        <f>审定资负表!C17</f>
        <v>0</v>
      </c>
      <c r="G955" s="766">
        <f>审定资负表!D17</f>
        <v>0</v>
      </c>
      <c r="H955" s="760"/>
      <c r="I955" s="760"/>
      <c r="J955" s="760"/>
      <c r="K955" s="760"/>
      <c r="X955" s="501" t="b">
        <f t="shared" si="72"/>
        <v>1</v>
      </c>
    </row>
    <row r="956" s="400" customFormat="1" outlineLevel="1" collapsed="1" spans="1:24">
      <c r="A956" s="400" t="s">
        <v>1394</v>
      </c>
      <c r="B956" s="428" t="s">
        <v>2632</v>
      </c>
      <c r="C956" s="429" t="str">
        <f t="shared" si="87"/>
        <v>石嘴山市深阳蓝光市政工程有限公司</v>
      </c>
      <c r="D956" s="775" t="s">
        <v>2638</v>
      </c>
      <c r="E956" s="788" t="s">
        <v>1394</v>
      </c>
      <c r="F956" s="87">
        <f>ROUND(F954-F955,2)</f>
        <v>0</v>
      </c>
      <c r="G956" s="87">
        <f>ROUND(G954-G955,2)</f>
        <v>0</v>
      </c>
      <c r="H956" s="760"/>
      <c r="I956" s="760"/>
      <c r="J956" s="760"/>
      <c r="K956" s="760"/>
      <c r="X956" s="501" t="b">
        <f t="shared" si="72"/>
        <v>1</v>
      </c>
    </row>
    <row r="957" s="400" customFormat="1" hidden="1" outlineLevel="2" spans="2:24">
      <c r="B957" s="428" t="s">
        <v>2632</v>
      </c>
      <c r="C957" s="429" t="str">
        <f t="shared" si="87"/>
        <v>石嘴山市深阳蓝光市政工程有限公司</v>
      </c>
      <c r="D957" s="775" t="s">
        <v>2638</v>
      </c>
      <c r="E957" s="788"/>
      <c r="F957" s="765"/>
      <c r="G957" s="765"/>
      <c r="H957" s="760"/>
      <c r="I957" s="760"/>
      <c r="J957" s="760"/>
      <c r="K957" s="760"/>
      <c r="X957" s="501" t="b">
        <f t="shared" si="72"/>
        <v>1</v>
      </c>
    </row>
    <row r="958" s="400" customFormat="1" hidden="1" outlineLevel="2" spans="2:24">
      <c r="B958" s="428" t="s">
        <v>2632</v>
      </c>
      <c r="C958" s="429" t="str">
        <f t="shared" si="87"/>
        <v>石嘴山市深阳蓝光市政工程有限公司</v>
      </c>
      <c r="D958" s="789"/>
      <c r="E958" s="149"/>
      <c r="F958" s="765"/>
      <c r="G958" s="765"/>
      <c r="H958" s="760"/>
      <c r="I958" s="760"/>
      <c r="J958" s="760"/>
      <c r="K958" s="760"/>
      <c r="X958" s="501" t="b">
        <f t="shared" si="72"/>
        <v>1</v>
      </c>
    </row>
    <row r="959" s="400" customFormat="1" hidden="1" outlineLevel="2" spans="1:24">
      <c r="A959" s="400" t="s">
        <v>2315</v>
      </c>
      <c r="B959" s="428" t="s">
        <v>2632</v>
      </c>
      <c r="C959" s="429" t="str">
        <f t="shared" si="87"/>
        <v>石嘴山市深阳蓝光市政工程有限公司</v>
      </c>
      <c r="D959" s="789"/>
      <c r="E959" s="748" t="s">
        <v>2315</v>
      </c>
      <c r="F959" s="783"/>
      <c r="G959" s="783"/>
      <c r="H959" s="760"/>
      <c r="I959" s="760"/>
      <c r="J959" s="760"/>
      <c r="K959" s="760"/>
      <c r="X959" s="501" t="b">
        <f t="shared" si="72"/>
        <v>1</v>
      </c>
    </row>
    <row r="960" s="400" customFormat="1" hidden="1" outlineLevel="2" spans="2:24">
      <c r="B960" s="428" t="s">
        <v>2632</v>
      </c>
      <c r="C960" s="429" t="str">
        <f t="shared" si="87"/>
        <v>石嘴山市深阳蓝光市政工程有限公司</v>
      </c>
      <c r="D960" s="789"/>
      <c r="E960" s="785"/>
      <c r="F960" s="765"/>
      <c r="G960" s="765"/>
      <c r="H960" s="760"/>
      <c r="I960" s="760"/>
      <c r="J960" s="760"/>
      <c r="K960" s="760"/>
      <c r="X960" s="501" t="b">
        <f t="shared" si="72"/>
        <v>1</v>
      </c>
    </row>
    <row r="961" s="401" customFormat="1" spans="1:24">
      <c r="A961" s="401" t="s">
        <v>1632</v>
      </c>
      <c r="B961" s="428" t="s">
        <v>2644</v>
      </c>
      <c r="C961" s="429" t="str">
        <f t="shared" si="87"/>
        <v>石嘴山市深阳蓝光市政工程有限公司</v>
      </c>
      <c r="D961" s="790" t="s">
        <v>2645</v>
      </c>
      <c r="E961" s="65" t="s">
        <v>2646</v>
      </c>
      <c r="F961" s="791"/>
      <c r="G961" s="791"/>
      <c r="H961" s="791"/>
      <c r="I961" s="791"/>
      <c r="J961" s="823"/>
      <c r="K961" s="823"/>
      <c r="L961" s="823"/>
      <c r="M961" s="802"/>
      <c r="N961" s="802"/>
      <c r="X961" s="501" t="b">
        <f t="shared" si="72"/>
        <v>1</v>
      </c>
    </row>
    <row r="962" s="401" customFormat="1" outlineLevel="2" spans="1:24">
      <c r="A962" s="401" t="s">
        <v>60</v>
      </c>
      <c r="B962" s="428" t="s">
        <v>2644</v>
      </c>
      <c r="C962" s="429" t="str">
        <f t="shared" si="87"/>
        <v>石嘴山市深阳蓝光市政工程有限公司</v>
      </c>
      <c r="D962" s="790" t="s">
        <v>2645</v>
      </c>
      <c r="E962" s="792" t="s">
        <v>60</v>
      </c>
      <c r="F962" s="792" t="s">
        <v>515</v>
      </c>
      <c r="G962" s="793" t="s">
        <v>670</v>
      </c>
      <c r="H962" s="794"/>
      <c r="I962" s="794"/>
      <c r="J962" s="823"/>
      <c r="K962" s="823"/>
      <c r="L962" s="823"/>
      <c r="M962" s="824"/>
      <c r="N962" s="824"/>
      <c r="X962" s="501" t="b">
        <f t="shared" si="72"/>
        <v>1</v>
      </c>
    </row>
    <row r="963" s="401" customFormat="1" outlineLevel="2" spans="1:24">
      <c r="A963" s="401" t="s">
        <v>1633</v>
      </c>
      <c r="B963" s="428" t="s">
        <v>2644</v>
      </c>
      <c r="C963" s="429" t="str">
        <f t="shared" si="87"/>
        <v>石嘴山市深阳蓝光市政工程有限公司</v>
      </c>
      <c r="D963" s="790" t="s">
        <v>2645</v>
      </c>
      <c r="E963" s="795" t="s">
        <v>1633</v>
      </c>
      <c r="F963" s="132"/>
      <c r="G963" s="477">
        <f>报表附注合并期初用!E551</f>
        <v>0</v>
      </c>
      <c r="H963" s="794"/>
      <c r="I963" s="794"/>
      <c r="J963" s="823"/>
      <c r="K963" s="823"/>
      <c r="L963" s="823"/>
      <c r="M963" s="824"/>
      <c r="N963" s="824"/>
      <c r="X963" s="501" t="b">
        <f t="shared" si="72"/>
        <v>1</v>
      </c>
    </row>
    <row r="964" s="401" customFormat="1" outlineLevel="2" spans="1:24">
      <c r="A964" s="401" t="s">
        <v>635</v>
      </c>
      <c r="B964" s="428" t="s">
        <v>2644</v>
      </c>
      <c r="C964" s="429" t="str">
        <f t="shared" si="87"/>
        <v>石嘴山市深阳蓝光市政工程有限公司</v>
      </c>
      <c r="D964" s="790" t="s">
        <v>2645</v>
      </c>
      <c r="E964" s="795" t="s">
        <v>635</v>
      </c>
      <c r="F964" s="132"/>
      <c r="G964" s="477">
        <f>报表附注合并期初用!E552</f>
        <v>0</v>
      </c>
      <c r="H964" s="794"/>
      <c r="I964" s="794"/>
      <c r="J964" s="823"/>
      <c r="K964" s="823"/>
      <c r="L964" s="823"/>
      <c r="M964" s="824"/>
      <c r="N964" s="824"/>
      <c r="X964" s="501" t="b">
        <f t="shared" si="72"/>
        <v>1</v>
      </c>
    </row>
    <row r="965" s="401" customFormat="1" outlineLevel="2" spans="1:24">
      <c r="A965" s="401" t="s">
        <v>279</v>
      </c>
      <c r="B965" s="428" t="s">
        <v>2644</v>
      </c>
      <c r="C965" s="429" t="str">
        <f t="shared" si="87"/>
        <v>石嘴山市深阳蓝光市政工程有限公司</v>
      </c>
      <c r="D965" s="790" t="s">
        <v>2645</v>
      </c>
      <c r="E965" s="795" t="s">
        <v>279</v>
      </c>
      <c r="F965" s="132"/>
      <c r="G965" s="477">
        <f>报表附注合并期初用!E553</f>
        <v>0</v>
      </c>
      <c r="H965" s="794"/>
      <c r="I965" s="794"/>
      <c r="J965" s="823"/>
      <c r="K965" s="823"/>
      <c r="L965" s="823"/>
      <c r="M965" s="824"/>
      <c r="N965" s="824"/>
      <c r="X965" s="501" t="b">
        <f t="shared" si="72"/>
        <v>1</v>
      </c>
    </row>
    <row r="966" s="401" customFormat="1" outlineLevel="2" spans="1:24">
      <c r="A966" s="401" t="s">
        <v>1580</v>
      </c>
      <c r="B966" s="428" t="s">
        <v>2644</v>
      </c>
      <c r="C966" s="429" t="str">
        <f t="shared" ref="C966:C1029" si="93">$G$1</f>
        <v>石嘴山市深阳蓝光市政工程有限公司</v>
      </c>
      <c r="D966" s="790" t="s">
        <v>2645</v>
      </c>
      <c r="E966" s="792" t="s">
        <v>1580</v>
      </c>
      <c r="F966" s="796">
        <f>SUM(F963:F965)</f>
        <v>0</v>
      </c>
      <c r="G966" s="796">
        <f>SUM(G963:G965)</f>
        <v>0</v>
      </c>
      <c r="H966" s="794"/>
      <c r="I966" s="794"/>
      <c r="J966" s="823"/>
      <c r="K966" s="823"/>
      <c r="L966" s="823"/>
      <c r="M966" s="824"/>
      <c r="N966" s="824"/>
      <c r="X966" s="501" t="b">
        <f t="shared" si="72"/>
        <v>1</v>
      </c>
    </row>
    <row r="967" s="401" customFormat="1" outlineLevel="2" spans="1:24">
      <c r="A967" s="401" t="s">
        <v>1444</v>
      </c>
      <c r="B967" s="428" t="s">
        <v>2644</v>
      </c>
      <c r="C967" s="429" t="str">
        <f t="shared" si="93"/>
        <v>石嘴山市深阳蓝光市政工程有限公司</v>
      </c>
      <c r="D967" s="790" t="s">
        <v>2645</v>
      </c>
      <c r="E967" s="788" t="s">
        <v>1444</v>
      </c>
      <c r="F967" s="797">
        <f>审定资负表!C22</f>
        <v>0</v>
      </c>
      <c r="G967" s="797">
        <f>审定资负表!D22</f>
        <v>0</v>
      </c>
      <c r="H967" s="794"/>
      <c r="I967" s="794"/>
      <c r="J967" s="823"/>
      <c r="K967" s="823"/>
      <c r="L967" s="823"/>
      <c r="M967" s="824"/>
      <c r="N967" s="824"/>
      <c r="X967" s="501" t="b">
        <f t="shared" si="72"/>
        <v>1</v>
      </c>
    </row>
    <row r="968" s="401" customFormat="1" outlineLevel="1" collapsed="1" spans="1:24">
      <c r="A968" s="401" t="s">
        <v>1394</v>
      </c>
      <c r="B968" s="428" t="s">
        <v>2644</v>
      </c>
      <c r="C968" s="429" t="str">
        <f t="shared" si="93"/>
        <v>石嘴山市深阳蓝光市政工程有限公司</v>
      </c>
      <c r="D968" s="790" t="s">
        <v>2645</v>
      </c>
      <c r="E968" s="788" t="s">
        <v>1394</v>
      </c>
      <c r="F968" s="87">
        <f>ROUND(F966-F967,2)</f>
        <v>0</v>
      </c>
      <c r="G968" s="87">
        <f>ROUND(G966-G967,2)</f>
        <v>0</v>
      </c>
      <c r="H968" s="794"/>
      <c r="I968" s="794"/>
      <c r="J968" s="823"/>
      <c r="K968" s="823"/>
      <c r="L968" s="823"/>
      <c r="M968" s="824"/>
      <c r="N968" s="824"/>
      <c r="X968" s="501" t="b">
        <f t="shared" si="72"/>
        <v>1</v>
      </c>
    </row>
    <row r="969" s="401" customFormat="1" ht="19.5" hidden="1" customHeight="1" outlineLevel="2" spans="1:24">
      <c r="A969" s="401" t="s">
        <v>2647</v>
      </c>
      <c r="B969" s="428" t="s">
        <v>2644</v>
      </c>
      <c r="C969" s="429" t="str">
        <f t="shared" si="93"/>
        <v>石嘴山市深阳蓝光市政工程有限公司</v>
      </c>
      <c r="D969" s="790" t="s">
        <v>2645</v>
      </c>
      <c r="E969" s="149" t="s">
        <v>2648</v>
      </c>
      <c r="F969" s="798"/>
      <c r="G969" s="798"/>
      <c r="H969" s="794"/>
      <c r="I969" s="794"/>
      <c r="J969" s="823"/>
      <c r="K969" s="823"/>
      <c r="L969" s="823"/>
      <c r="M969" s="824"/>
      <c r="N969" s="824"/>
      <c r="X969" s="501" t="b">
        <f t="shared" si="72"/>
        <v>1</v>
      </c>
    </row>
    <row r="970" s="401" customFormat="1" ht="19.5" hidden="1" customHeight="1" outlineLevel="2" spans="1:24">
      <c r="A970" s="401" t="s">
        <v>2315</v>
      </c>
      <c r="B970" s="428" t="s">
        <v>2644</v>
      </c>
      <c r="C970" s="429" t="str">
        <f t="shared" si="93"/>
        <v>石嘴山市深阳蓝光市政工程有限公司</v>
      </c>
      <c r="D970" s="790" t="s">
        <v>2645</v>
      </c>
      <c r="E970" s="149" t="s">
        <v>2334</v>
      </c>
      <c r="F970" s="799"/>
      <c r="G970" s="799"/>
      <c r="H970" s="794"/>
      <c r="I970" s="794"/>
      <c r="J970" s="823"/>
      <c r="K970" s="823"/>
      <c r="L970" s="823"/>
      <c r="M970" s="824"/>
      <c r="N970" s="824"/>
      <c r="X970" s="501" t="b">
        <f t="shared" si="72"/>
        <v>1</v>
      </c>
    </row>
    <row r="971" s="401" customFormat="1" ht="19.5" hidden="1" customHeight="1" outlineLevel="2" spans="2:24">
      <c r="B971" s="428" t="s">
        <v>2644</v>
      </c>
      <c r="C971" s="429" t="str">
        <f t="shared" si="93"/>
        <v>石嘴山市深阳蓝光市政工程有限公司</v>
      </c>
      <c r="D971" s="790" t="s">
        <v>2645</v>
      </c>
      <c r="E971" s="149"/>
      <c r="F971" s="798"/>
      <c r="G971" s="798"/>
      <c r="H971" s="794"/>
      <c r="I971" s="794"/>
      <c r="J971" s="823"/>
      <c r="K971" s="823"/>
      <c r="L971" s="823"/>
      <c r="M971" s="824"/>
      <c r="N971" s="824"/>
      <c r="X971" s="501" t="b">
        <f t="shared" si="72"/>
        <v>1</v>
      </c>
    </row>
    <row r="972" s="401" customFormat="1" hidden="1" customHeight="1" outlineLevel="2" spans="1:24">
      <c r="A972" s="401" t="s">
        <v>2649</v>
      </c>
      <c r="B972" s="428" t="s">
        <v>2644</v>
      </c>
      <c r="C972" s="429" t="str">
        <f t="shared" si="93"/>
        <v>石嘴山市深阳蓝光市政工程有限公司</v>
      </c>
      <c r="D972" s="800" t="s">
        <v>2649</v>
      </c>
      <c r="E972" s="801" t="s">
        <v>2650</v>
      </c>
      <c r="F972" s="801"/>
      <c r="G972" s="645" t="s">
        <v>2462</v>
      </c>
      <c r="H972" s="802"/>
      <c r="I972" s="802"/>
      <c r="J972" s="802"/>
      <c r="K972" s="802"/>
      <c r="L972" s="802"/>
      <c r="M972" s="802"/>
      <c r="X972" s="501" t="b">
        <f t="shared" si="72"/>
        <v>1</v>
      </c>
    </row>
    <row r="973" s="401" customFormat="1" hidden="1" outlineLevel="2" spans="1:24">
      <c r="A973" s="401" t="s">
        <v>2651</v>
      </c>
      <c r="B973" s="428" t="s">
        <v>2644</v>
      </c>
      <c r="C973" s="429" t="str">
        <f t="shared" si="93"/>
        <v>石嘴山市深阳蓝光市政工程有限公司</v>
      </c>
      <c r="D973" s="800" t="s">
        <v>2652</v>
      </c>
      <c r="E973" s="792" t="s">
        <v>2651</v>
      </c>
      <c r="F973" s="792" t="s">
        <v>2653</v>
      </c>
      <c r="G973" s="792" t="s">
        <v>2654</v>
      </c>
      <c r="H973" s="792" t="s">
        <v>2655</v>
      </c>
      <c r="I973" s="792" t="s">
        <v>2656</v>
      </c>
      <c r="J973" s="792" t="s">
        <v>2657</v>
      </c>
      <c r="K973" s="792" t="s">
        <v>644</v>
      </c>
      <c r="L973" s="792" t="s">
        <v>2658</v>
      </c>
      <c r="M973" s="792" t="s">
        <v>2659</v>
      </c>
      <c r="N973" s="792" t="s">
        <v>2660</v>
      </c>
      <c r="O973" s="627" t="s">
        <v>2573</v>
      </c>
      <c r="X973" s="501" t="b">
        <f t="shared" si="72"/>
        <v>1</v>
      </c>
    </row>
    <row r="974" s="401" customFormat="1" hidden="1" outlineLevel="2" spans="2:24">
      <c r="B974" s="428" t="s">
        <v>2644</v>
      </c>
      <c r="C974" s="429" t="str">
        <f t="shared" si="93"/>
        <v>石嘴山市深阳蓝光市政工程有限公司</v>
      </c>
      <c r="D974" s="800" t="s">
        <v>2649</v>
      </c>
      <c r="E974" s="803"/>
      <c r="F974" s="804"/>
      <c r="G974" s="804"/>
      <c r="H974" s="804"/>
      <c r="I974" s="804"/>
      <c r="J974" s="804"/>
      <c r="K974" s="804"/>
      <c r="L974" s="804"/>
      <c r="M974" s="804"/>
      <c r="N974" s="804"/>
      <c r="O974" s="824"/>
      <c r="X974" s="501" t="b">
        <f t="shared" si="72"/>
        <v>1</v>
      </c>
    </row>
    <row r="975" s="401" customFormat="1" hidden="1" outlineLevel="2" spans="2:24">
      <c r="B975" s="428" t="s">
        <v>2644</v>
      </c>
      <c r="C975" s="429" t="str">
        <f t="shared" si="93"/>
        <v>石嘴山市深阳蓝光市政工程有限公司</v>
      </c>
      <c r="D975" s="800" t="s">
        <v>2661</v>
      </c>
      <c r="E975" s="803"/>
      <c r="F975" s="804"/>
      <c r="G975" s="804"/>
      <c r="H975" s="804"/>
      <c r="I975" s="804"/>
      <c r="J975" s="804"/>
      <c r="K975" s="804"/>
      <c r="L975" s="804"/>
      <c r="M975" s="804"/>
      <c r="N975" s="804"/>
      <c r="O975" s="824"/>
      <c r="X975" s="501" t="b">
        <f t="shared" si="72"/>
        <v>1</v>
      </c>
    </row>
    <row r="976" s="401" customFormat="1" hidden="1" outlineLevel="2" spans="2:24">
      <c r="B976" s="428" t="s">
        <v>2644</v>
      </c>
      <c r="C976" s="429" t="str">
        <f t="shared" si="93"/>
        <v>石嘴山市深阳蓝光市政工程有限公司</v>
      </c>
      <c r="D976" s="800" t="s">
        <v>2649</v>
      </c>
      <c r="E976" s="803"/>
      <c r="F976" s="804"/>
      <c r="G976" s="804"/>
      <c r="H976" s="804"/>
      <c r="I976" s="804"/>
      <c r="J976" s="804"/>
      <c r="K976" s="804"/>
      <c r="L976" s="804"/>
      <c r="M976" s="804"/>
      <c r="N976" s="804"/>
      <c r="O976" s="824"/>
      <c r="X976" s="501" t="b">
        <f t="shared" si="72"/>
        <v>1</v>
      </c>
    </row>
    <row r="977" s="401" customFormat="1" hidden="1" outlineLevel="2" spans="2:24">
      <c r="B977" s="428" t="s">
        <v>2644</v>
      </c>
      <c r="C977" s="429" t="str">
        <f t="shared" si="93"/>
        <v>石嘴山市深阳蓝光市政工程有限公司</v>
      </c>
      <c r="D977" s="800" t="s">
        <v>2661</v>
      </c>
      <c r="E977" s="803"/>
      <c r="F977" s="804"/>
      <c r="G977" s="804"/>
      <c r="H977" s="804"/>
      <c r="I977" s="804"/>
      <c r="J977" s="804"/>
      <c r="K977" s="804"/>
      <c r="L977" s="804"/>
      <c r="M977" s="804"/>
      <c r="N977" s="804"/>
      <c r="O977" s="824"/>
      <c r="X977" s="501" t="b">
        <f t="shared" si="72"/>
        <v>1</v>
      </c>
    </row>
    <row r="978" s="401" customFormat="1" hidden="1" outlineLevel="2" spans="2:24">
      <c r="B978" s="428" t="s">
        <v>2644</v>
      </c>
      <c r="C978" s="429" t="str">
        <f t="shared" si="93"/>
        <v>石嘴山市深阳蓝光市政工程有限公司</v>
      </c>
      <c r="D978" s="800" t="s">
        <v>2649</v>
      </c>
      <c r="E978" s="805"/>
      <c r="F978" s="806"/>
      <c r="G978" s="807"/>
      <c r="H978" s="808"/>
      <c r="I978" s="807"/>
      <c r="J978" s="825"/>
      <c r="K978" s="807"/>
      <c r="L978" s="805"/>
      <c r="M978" s="805"/>
      <c r="N978" s="807"/>
      <c r="O978" s="824"/>
      <c r="X978" s="501" t="b">
        <f t="shared" si="72"/>
        <v>1</v>
      </c>
    </row>
    <row r="979" s="401" customFormat="1" hidden="1" outlineLevel="2" spans="2:24">
      <c r="B979" s="428" t="s">
        <v>2644</v>
      </c>
      <c r="C979" s="429" t="str">
        <f t="shared" si="93"/>
        <v>石嘴山市深阳蓝光市政工程有限公司</v>
      </c>
      <c r="D979" s="800" t="s">
        <v>2661</v>
      </c>
      <c r="E979" s="805"/>
      <c r="F979" s="806"/>
      <c r="G979" s="805"/>
      <c r="H979" s="808"/>
      <c r="I979" s="807"/>
      <c r="J979" s="825"/>
      <c r="K979" s="807"/>
      <c r="L979" s="805"/>
      <c r="M979" s="805"/>
      <c r="N979" s="805"/>
      <c r="O979" s="824"/>
      <c r="X979" s="501" t="b">
        <f t="shared" si="72"/>
        <v>1</v>
      </c>
    </row>
    <row r="980" s="401" customFormat="1" hidden="1" outlineLevel="2" spans="2:24">
      <c r="B980" s="428" t="s">
        <v>2644</v>
      </c>
      <c r="C980" s="429" t="str">
        <f t="shared" si="93"/>
        <v>石嘴山市深阳蓝光市政工程有限公司</v>
      </c>
      <c r="D980" s="800" t="s">
        <v>2649</v>
      </c>
      <c r="E980" s="805"/>
      <c r="F980" s="806"/>
      <c r="G980" s="805"/>
      <c r="H980" s="808"/>
      <c r="I980" s="807"/>
      <c r="J980" s="825"/>
      <c r="K980" s="807"/>
      <c r="L980" s="805"/>
      <c r="M980" s="805"/>
      <c r="N980" s="805"/>
      <c r="O980" s="824"/>
      <c r="X980" s="501" t="b">
        <f t="shared" si="72"/>
        <v>1</v>
      </c>
    </row>
    <row r="981" s="401" customFormat="1" hidden="1" outlineLevel="2" spans="2:24">
      <c r="B981" s="428" t="s">
        <v>2644</v>
      </c>
      <c r="C981" s="429" t="str">
        <f t="shared" si="93"/>
        <v>石嘴山市深阳蓝光市政工程有限公司</v>
      </c>
      <c r="D981" s="800" t="s">
        <v>2661</v>
      </c>
      <c r="E981" s="805"/>
      <c r="F981" s="806"/>
      <c r="G981" s="805"/>
      <c r="H981" s="808"/>
      <c r="I981" s="807"/>
      <c r="J981" s="825"/>
      <c r="K981" s="807"/>
      <c r="L981" s="805"/>
      <c r="M981" s="805"/>
      <c r="N981" s="805"/>
      <c r="O981" s="824"/>
      <c r="X981" s="501" t="b">
        <f t="shared" si="72"/>
        <v>1</v>
      </c>
    </row>
    <row r="982" s="401" customFormat="1" hidden="1" outlineLevel="2" spans="2:24">
      <c r="B982" s="428" t="s">
        <v>2644</v>
      </c>
      <c r="C982" s="429" t="str">
        <f t="shared" si="93"/>
        <v>石嘴山市深阳蓝光市政工程有限公司</v>
      </c>
      <c r="D982" s="800" t="s">
        <v>2649</v>
      </c>
      <c r="E982" s="788"/>
      <c r="F982" s="798"/>
      <c r="G982" s="798"/>
      <c r="H982" s="794"/>
      <c r="I982" s="794"/>
      <c r="J982" s="823"/>
      <c r="K982" s="823"/>
      <c r="L982" s="823"/>
      <c r="M982" s="824"/>
      <c r="N982" s="824"/>
      <c r="X982" s="501" t="b">
        <f t="shared" si="72"/>
        <v>1</v>
      </c>
    </row>
    <row r="983" s="401" customFormat="1" hidden="1" outlineLevel="2" spans="2:24">
      <c r="B983" s="428" t="s">
        <v>2644</v>
      </c>
      <c r="C983" s="429" t="str">
        <f t="shared" si="93"/>
        <v>石嘴山市深阳蓝光市政工程有限公司</v>
      </c>
      <c r="D983" s="800"/>
      <c r="E983" s="149"/>
      <c r="F983" s="798"/>
      <c r="G983" s="798"/>
      <c r="H983" s="794"/>
      <c r="I983" s="794"/>
      <c r="J983" s="794"/>
      <c r="K983" s="794"/>
      <c r="L983" s="823"/>
      <c r="M983" s="824"/>
      <c r="N983" s="824"/>
      <c r="X983" s="501" t="b">
        <f t="shared" si="72"/>
        <v>1</v>
      </c>
    </row>
    <row r="984" s="401" customFormat="1" hidden="1" outlineLevel="2" spans="1:24">
      <c r="A984" s="401" t="s">
        <v>2315</v>
      </c>
      <c r="B984" s="428" t="s">
        <v>2644</v>
      </c>
      <c r="C984" s="429" t="str">
        <f t="shared" si="93"/>
        <v>石嘴山市深阳蓝光市政工程有限公司</v>
      </c>
      <c r="D984" s="800"/>
      <c r="E984" s="149" t="s">
        <v>2315</v>
      </c>
      <c r="F984" s="799"/>
      <c r="G984" s="799"/>
      <c r="H984" s="794"/>
      <c r="I984" s="794"/>
      <c r="J984" s="794"/>
      <c r="K984" s="794"/>
      <c r="L984" s="823"/>
      <c r="M984" s="824"/>
      <c r="N984" s="824"/>
      <c r="X984" s="501" t="b">
        <f t="shared" si="72"/>
        <v>1</v>
      </c>
    </row>
    <row r="985" s="401" customFormat="1" hidden="1" outlineLevel="2" spans="2:24">
      <c r="B985" s="428" t="s">
        <v>2644</v>
      </c>
      <c r="C985" s="429" t="str">
        <f t="shared" si="93"/>
        <v>石嘴山市深阳蓝光市政工程有限公司</v>
      </c>
      <c r="D985" s="800"/>
      <c r="E985" s="809"/>
      <c r="F985" s="798"/>
      <c r="G985" s="798"/>
      <c r="H985" s="794"/>
      <c r="I985" s="794"/>
      <c r="J985" s="794"/>
      <c r="K985" s="794"/>
      <c r="L985" s="823"/>
      <c r="M985" s="824"/>
      <c r="N985" s="824"/>
      <c r="X985" s="501" t="b">
        <f t="shared" si="72"/>
        <v>1</v>
      </c>
    </row>
    <row r="986" s="401" customFormat="1" spans="1:24">
      <c r="A986" s="401" t="s">
        <v>2662</v>
      </c>
      <c r="B986" s="428" t="s">
        <v>2663</v>
      </c>
      <c r="C986" s="429" t="str">
        <f t="shared" si="93"/>
        <v>石嘴山市深阳蓝光市政工程有限公司</v>
      </c>
      <c r="D986" s="810" t="s">
        <v>2664</v>
      </c>
      <c r="E986" s="65" t="s">
        <v>2665</v>
      </c>
      <c r="F986" s="786" t="s">
        <v>2635</v>
      </c>
      <c r="G986" s="798"/>
      <c r="H986" s="794"/>
      <c r="I986" s="794"/>
      <c r="J986" s="823"/>
      <c r="K986" s="823"/>
      <c r="L986" s="823"/>
      <c r="M986" s="824"/>
      <c r="N986" s="824"/>
      <c r="X986" s="501" t="b">
        <f t="shared" si="72"/>
        <v>1</v>
      </c>
    </row>
    <row r="987" s="401" customFormat="1" outlineLevel="2" spans="1:24">
      <c r="A987" s="401" t="s">
        <v>2666</v>
      </c>
      <c r="B987" s="428" t="s">
        <v>2663</v>
      </c>
      <c r="C987" s="429" t="str">
        <f t="shared" si="93"/>
        <v>石嘴山市深阳蓝光市政工程有限公司</v>
      </c>
      <c r="D987" s="810" t="s">
        <v>2664</v>
      </c>
      <c r="E987" s="149" t="s">
        <v>2667</v>
      </c>
      <c r="F987" s="798"/>
      <c r="G987" s="798"/>
      <c r="H987" s="794"/>
      <c r="I987" s="794"/>
      <c r="J987" s="823"/>
      <c r="K987" s="823"/>
      <c r="L987" s="823"/>
      <c r="M987" s="824"/>
      <c r="N987" s="824"/>
      <c r="X987" s="501" t="b">
        <f t="shared" si="72"/>
        <v>1</v>
      </c>
    </row>
    <row r="988" s="400" customFormat="1" outlineLevel="2" spans="1:24">
      <c r="A988" s="400" t="s">
        <v>60</v>
      </c>
      <c r="B988" s="428" t="s">
        <v>2663</v>
      </c>
      <c r="C988" s="429" t="str">
        <f t="shared" si="93"/>
        <v>石嘴山市深阳蓝光市政工程有限公司</v>
      </c>
      <c r="D988" s="810" t="s">
        <v>2664</v>
      </c>
      <c r="E988" s="742" t="s">
        <v>60</v>
      </c>
      <c r="F988" s="742" t="s">
        <v>515</v>
      </c>
      <c r="G988" s="811" t="s">
        <v>670</v>
      </c>
      <c r="H988" s="760"/>
      <c r="I988" s="760"/>
      <c r="J988" s="760"/>
      <c r="K988" s="760"/>
      <c r="X988" s="501" t="b">
        <f t="shared" si="72"/>
        <v>1</v>
      </c>
    </row>
    <row r="989" s="400" customFormat="1" outlineLevel="2" spans="2:24">
      <c r="B989" s="428" t="s">
        <v>2663</v>
      </c>
      <c r="C989" s="429" t="str">
        <f t="shared" si="93"/>
        <v>石嘴山市深阳蓝光市政工程有限公司</v>
      </c>
      <c r="D989" s="810" t="s">
        <v>2664</v>
      </c>
      <c r="E989" s="454"/>
      <c r="F989" s="454"/>
      <c r="G989" s="454"/>
      <c r="H989" s="760"/>
      <c r="I989" s="760"/>
      <c r="J989" s="760"/>
      <c r="K989" s="760"/>
      <c r="X989" s="501" t="b">
        <f t="shared" si="72"/>
        <v>1</v>
      </c>
    </row>
    <row r="990" s="400" customFormat="1" outlineLevel="2" spans="2:24">
      <c r="B990" s="428" t="s">
        <v>2663</v>
      </c>
      <c r="C990" s="429" t="str">
        <f t="shared" si="93"/>
        <v>石嘴山市深阳蓝光市政工程有限公司</v>
      </c>
      <c r="D990" s="810" t="s">
        <v>2664</v>
      </c>
      <c r="E990" s="454"/>
      <c r="F990" s="454"/>
      <c r="G990" s="454"/>
      <c r="H990" s="760"/>
      <c r="I990" s="760"/>
      <c r="J990" s="760"/>
      <c r="K990" s="760"/>
      <c r="X990" s="501" t="b">
        <f t="shared" ref="X990:X1029" si="94">EXACT(A990,E990)</f>
        <v>1</v>
      </c>
    </row>
    <row r="991" s="400" customFormat="1" outlineLevel="2" spans="2:24">
      <c r="B991" s="428" t="s">
        <v>2663</v>
      </c>
      <c r="C991" s="429" t="str">
        <f t="shared" si="93"/>
        <v>石嘴山市深阳蓝光市政工程有限公司</v>
      </c>
      <c r="D991" s="810" t="s">
        <v>2664</v>
      </c>
      <c r="E991" s="454"/>
      <c r="F991" s="454"/>
      <c r="G991" s="454"/>
      <c r="H991" s="760"/>
      <c r="I991" s="760"/>
      <c r="J991" s="760"/>
      <c r="K991" s="760"/>
      <c r="X991" s="501" t="b">
        <f t="shared" si="94"/>
        <v>1</v>
      </c>
    </row>
    <row r="992" s="400" customFormat="1" outlineLevel="2" spans="2:24">
      <c r="B992" s="428" t="s">
        <v>2663</v>
      </c>
      <c r="C992" s="429" t="str">
        <f t="shared" si="93"/>
        <v>石嘴山市深阳蓝光市政工程有限公司</v>
      </c>
      <c r="D992" s="810" t="s">
        <v>2664</v>
      </c>
      <c r="E992" s="454"/>
      <c r="F992" s="454"/>
      <c r="G992" s="454"/>
      <c r="H992" s="760"/>
      <c r="I992" s="760"/>
      <c r="J992" s="760"/>
      <c r="K992" s="760"/>
      <c r="X992" s="501" t="b">
        <f t="shared" si="94"/>
        <v>1</v>
      </c>
    </row>
    <row r="993" s="400" customFormat="1" outlineLevel="2" spans="2:24">
      <c r="B993" s="428" t="s">
        <v>2663</v>
      </c>
      <c r="C993" s="429" t="str">
        <f t="shared" si="93"/>
        <v>石嘴山市深阳蓝光市政工程有限公司</v>
      </c>
      <c r="D993" s="810" t="s">
        <v>2664</v>
      </c>
      <c r="E993" s="454"/>
      <c r="F993" s="454"/>
      <c r="G993" s="454"/>
      <c r="H993" s="760"/>
      <c r="I993" s="760"/>
      <c r="J993" s="760"/>
      <c r="K993" s="760"/>
      <c r="X993" s="501" t="b">
        <f t="shared" si="94"/>
        <v>1</v>
      </c>
    </row>
    <row r="994" s="400" customFormat="1" outlineLevel="2" spans="1:24">
      <c r="A994" s="400" t="s">
        <v>1580</v>
      </c>
      <c r="B994" s="428" t="s">
        <v>2663</v>
      </c>
      <c r="C994" s="429" t="str">
        <f t="shared" si="93"/>
        <v>石嘴山市深阳蓝光市政工程有限公司</v>
      </c>
      <c r="D994" s="810" t="s">
        <v>2664</v>
      </c>
      <c r="E994" s="742" t="s">
        <v>1580</v>
      </c>
      <c r="F994" s="787">
        <f>SUM(F989:F993)</f>
        <v>0</v>
      </c>
      <c r="G994" s="787">
        <f>SUM(G989:G993)</f>
        <v>0</v>
      </c>
      <c r="H994" s="760"/>
      <c r="I994" s="760"/>
      <c r="J994" s="760"/>
      <c r="K994" s="760"/>
      <c r="X994" s="501" t="b">
        <f t="shared" si="94"/>
        <v>1</v>
      </c>
    </row>
    <row r="995" s="400" customFormat="1" outlineLevel="2" spans="1:24">
      <c r="A995" s="400" t="s">
        <v>1444</v>
      </c>
      <c r="B995" s="428" t="s">
        <v>2663</v>
      </c>
      <c r="C995" s="429" t="str">
        <f t="shared" si="93"/>
        <v>石嘴山市深阳蓝光市政工程有限公司</v>
      </c>
      <c r="D995" s="810" t="s">
        <v>2664</v>
      </c>
      <c r="E995" s="788" t="s">
        <v>1444</v>
      </c>
      <c r="F995" s="766">
        <f>审定资负表!C23</f>
        <v>0</v>
      </c>
      <c r="G995" s="766">
        <f>审定资负表!D23</f>
        <v>0</v>
      </c>
      <c r="H995" s="760"/>
      <c r="I995" s="760"/>
      <c r="J995" s="760"/>
      <c r="K995" s="760"/>
      <c r="X995" s="501" t="b">
        <f t="shared" si="94"/>
        <v>1</v>
      </c>
    </row>
    <row r="996" s="400" customFormat="1" outlineLevel="1" collapsed="1" spans="1:24">
      <c r="A996" s="400" t="s">
        <v>1394</v>
      </c>
      <c r="B996" s="428" t="s">
        <v>2663</v>
      </c>
      <c r="C996" s="429" t="str">
        <f t="shared" si="93"/>
        <v>石嘴山市深阳蓝光市政工程有限公司</v>
      </c>
      <c r="D996" s="810" t="s">
        <v>2664</v>
      </c>
      <c r="E996" s="788" t="s">
        <v>1394</v>
      </c>
      <c r="F996" s="87">
        <f>ROUND(F994-F995,2)</f>
        <v>0</v>
      </c>
      <c r="G996" s="87">
        <f>ROUND(G994-G995,2)</f>
        <v>0</v>
      </c>
      <c r="H996" s="760"/>
      <c r="I996" s="760"/>
      <c r="J996" s="760"/>
      <c r="K996" s="760"/>
      <c r="X996" s="501" t="b">
        <f t="shared" si="94"/>
        <v>1</v>
      </c>
    </row>
    <row r="997" s="401" customFormat="1" hidden="1" outlineLevel="2" spans="2:24">
      <c r="B997" s="428" t="s">
        <v>2663</v>
      </c>
      <c r="C997" s="429" t="str">
        <f t="shared" si="93"/>
        <v>石嘴山市深阳蓝光市政工程有限公司</v>
      </c>
      <c r="D997" s="810" t="s">
        <v>2664</v>
      </c>
      <c r="E997" s="65"/>
      <c r="F997" s="798"/>
      <c r="G997" s="798"/>
      <c r="H997" s="794"/>
      <c r="I997" s="794"/>
      <c r="J997" s="823"/>
      <c r="K997" s="823"/>
      <c r="L997" s="823"/>
      <c r="M997" s="824"/>
      <c r="N997" s="824"/>
      <c r="X997" s="501" t="b">
        <f t="shared" si="94"/>
        <v>1</v>
      </c>
    </row>
    <row r="998" s="401" customFormat="1" hidden="1" outlineLevel="2" spans="1:24">
      <c r="A998" s="401" t="s">
        <v>2668</v>
      </c>
      <c r="B998" s="428" t="s">
        <v>2663</v>
      </c>
      <c r="C998" s="429" t="str">
        <f t="shared" si="93"/>
        <v>石嘴山市深阳蓝光市政工程有限公司</v>
      </c>
      <c r="D998" s="810" t="s">
        <v>2669</v>
      </c>
      <c r="E998" s="149" t="s">
        <v>2670</v>
      </c>
      <c r="F998" s="798"/>
      <c r="G998" s="798"/>
      <c r="H998" s="794"/>
      <c r="I998" s="794"/>
      <c r="J998" s="823"/>
      <c r="K998" s="823"/>
      <c r="L998" s="823"/>
      <c r="M998" s="824"/>
      <c r="N998" s="824"/>
      <c r="X998" s="501" t="b">
        <f t="shared" si="94"/>
        <v>1</v>
      </c>
    </row>
    <row r="999" s="401" customFormat="1" hidden="1" outlineLevel="2" spans="1:24">
      <c r="A999" s="401" t="s">
        <v>60</v>
      </c>
      <c r="B999" s="428" t="s">
        <v>2663</v>
      </c>
      <c r="C999" s="429" t="str">
        <f t="shared" si="93"/>
        <v>石嘴山市深阳蓝光市政工程有限公司</v>
      </c>
      <c r="D999" s="810" t="s">
        <v>2669</v>
      </c>
      <c r="E999" s="742" t="s">
        <v>60</v>
      </c>
      <c r="F999" s="742" t="s">
        <v>365</v>
      </c>
      <c r="G999" s="742" t="s">
        <v>2671</v>
      </c>
      <c r="H999" s="742" t="s">
        <v>2672</v>
      </c>
      <c r="I999" s="794"/>
      <c r="J999" s="823"/>
      <c r="K999" s="823"/>
      <c r="L999" s="823"/>
      <c r="M999" s="824"/>
      <c r="N999" s="824"/>
      <c r="X999" s="501" t="b">
        <f t="shared" si="94"/>
        <v>1</v>
      </c>
    </row>
    <row r="1000" s="401" customFormat="1" hidden="1" outlineLevel="2" spans="2:24">
      <c r="B1000" s="428" t="s">
        <v>2663</v>
      </c>
      <c r="C1000" s="429" t="str">
        <f t="shared" si="93"/>
        <v>石嘴山市深阳蓝光市政工程有限公司</v>
      </c>
      <c r="D1000" s="810" t="s">
        <v>2673</v>
      </c>
      <c r="E1000" s="487"/>
      <c r="F1000" s="132"/>
      <c r="G1000" s="570">
        <f>IF(H1000=0,0,ROUND(F1000/H1000,4))</f>
        <v>0</v>
      </c>
      <c r="H1000" s="132"/>
      <c r="I1000" s="794"/>
      <c r="J1000" s="823"/>
      <c r="K1000" s="823"/>
      <c r="L1000" s="823"/>
      <c r="M1000" s="824"/>
      <c r="N1000" s="824"/>
      <c r="X1000" s="501" t="b">
        <f t="shared" si="94"/>
        <v>1</v>
      </c>
    </row>
    <row r="1001" s="401" customFormat="1" hidden="1" outlineLevel="2" spans="2:24">
      <c r="B1001" s="428" t="s">
        <v>2663</v>
      </c>
      <c r="C1001" s="429" t="str">
        <f t="shared" si="93"/>
        <v>石嘴山市深阳蓝光市政工程有限公司</v>
      </c>
      <c r="D1001" s="810" t="s">
        <v>2673</v>
      </c>
      <c r="E1001" s="487"/>
      <c r="F1001" s="132"/>
      <c r="G1001" s="570">
        <f t="shared" ref="G1001:G1006" si="95">IF(H1001=0,0,ROUND(F1001/H1001,4))</f>
        <v>0</v>
      </c>
      <c r="H1001" s="132"/>
      <c r="I1001" s="794"/>
      <c r="J1001" s="823"/>
      <c r="K1001" s="823"/>
      <c r="L1001" s="823"/>
      <c r="M1001" s="824"/>
      <c r="N1001" s="824"/>
      <c r="X1001" s="501" t="b">
        <f t="shared" si="94"/>
        <v>1</v>
      </c>
    </row>
    <row r="1002" s="401" customFormat="1" hidden="1" outlineLevel="2" spans="2:24">
      <c r="B1002" s="428" t="s">
        <v>2663</v>
      </c>
      <c r="C1002" s="429" t="str">
        <f t="shared" si="93"/>
        <v>石嘴山市深阳蓝光市政工程有限公司</v>
      </c>
      <c r="D1002" s="810" t="s">
        <v>2673</v>
      </c>
      <c r="E1002" s="487"/>
      <c r="F1002" s="132"/>
      <c r="G1002" s="570">
        <f t="shared" si="95"/>
        <v>0</v>
      </c>
      <c r="H1002" s="132"/>
      <c r="I1002" s="794"/>
      <c r="J1002" s="823"/>
      <c r="K1002" s="823"/>
      <c r="L1002" s="823"/>
      <c r="M1002" s="824"/>
      <c r="N1002" s="824"/>
      <c r="X1002" s="501" t="b">
        <f t="shared" si="94"/>
        <v>1</v>
      </c>
    </row>
    <row r="1003" s="401" customFormat="1" hidden="1" outlineLevel="2" spans="2:24">
      <c r="B1003" s="428" t="s">
        <v>2663</v>
      </c>
      <c r="C1003" s="429" t="str">
        <f t="shared" si="93"/>
        <v>石嘴山市深阳蓝光市政工程有限公司</v>
      </c>
      <c r="D1003" s="810" t="s">
        <v>2673</v>
      </c>
      <c r="E1003" s="487"/>
      <c r="F1003" s="132"/>
      <c r="G1003" s="570">
        <f t="shared" si="95"/>
        <v>0</v>
      </c>
      <c r="H1003" s="132"/>
      <c r="I1003" s="794"/>
      <c r="J1003" s="823"/>
      <c r="K1003" s="823"/>
      <c r="L1003" s="823"/>
      <c r="M1003" s="824"/>
      <c r="N1003" s="824"/>
      <c r="X1003" s="501" t="b">
        <f t="shared" si="94"/>
        <v>1</v>
      </c>
    </row>
    <row r="1004" s="401" customFormat="1" hidden="1" outlineLevel="2" spans="2:24">
      <c r="B1004" s="428" t="s">
        <v>2663</v>
      </c>
      <c r="C1004" s="429" t="str">
        <f t="shared" si="93"/>
        <v>石嘴山市深阳蓝光市政工程有限公司</v>
      </c>
      <c r="D1004" s="810" t="s">
        <v>2673</v>
      </c>
      <c r="E1004" s="487"/>
      <c r="F1004" s="132"/>
      <c r="G1004" s="570">
        <f t="shared" si="95"/>
        <v>0</v>
      </c>
      <c r="H1004" s="132"/>
      <c r="I1004" s="794"/>
      <c r="J1004" s="823"/>
      <c r="K1004" s="823"/>
      <c r="L1004" s="823"/>
      <c r="M1004" s="824"/>
      <c r="N1004" s="824"/>
      <c r="X1004" s="501" t="b">
        <f t="shared" si="94"/>
        <v>1</v>
      </c>
    </row>
    <row r="1005" s="401" customFormat="1" hidden="1" outlineLevel="2" spans="2:24">
      <c r="B1005" s="428" t="s">
        <v>2663</v>
      </c>
      <c r="C1005" s="429" t="str">
        <f t="shared" si="93"/>
        <v>石嘴山市深阳蓝光市政工程有限公司</v>
      </c>
      <c r="D1005" s="810" t="s">
        <v>2673</v>
      </c>
      <c r="E1005" s="487"/>
      <c r="F1005" s="132"/>
      <c r="G1005" s="570">
        <f t="shared" si="95"/>
        <v>0</v>
      </c>
      <c r="H1005" s="132"/>
      <c r="I1005" s="794"/>
      <c r="J1005" s="823"/>
      <c r="K1005" s="823"/>
      <c r="L1005" s="823"/>
      <c r="M1005" s="824"/>
      <c r="N1005" s="824"/>
      <c r="X1005" s="501" t="b">
        <f t="shared" si="94"/>
        <v>1</v>
      </c>
    </row>
    <row r="1006" s="401" customFormat="1" hidden="1" outlineLevel="2" spans="2:24">
      <c r="B1006" s="428" t="s">
        <v>2663</v>
      </c>
      <c r="C1006" s="429" t="str">
        <f t="shared" si="93"/>
        <v>石嘴山市深阳蓝光市政工程有限公司</v>
      </c>
      <c r="D1006" s="810" t="s">
        <v>2673</v>
      </c>
      <c r="E1006" s="487"/>
      <c r="F1006" s="132"/>
      <c r="G1006" s="570">
        <f t="shared" si="95"/>
        <v>0</v>
      </c>
      <c r="H1006" s="132"/>
      <c r="I1006" s="794"/>
      <c r="J1006" s="823"/>
      <c r="K1006" s="823"/>
      <c r="L1006" s="823"/>
      <c r="M1006" s="824"/>
      <c r="N1006" s="824"/>
      <c r="X1006" s="501" t="b">
        <f t="shared" si="94"/>
        <v>1</v>
      </c>
    </row>
    <row r="1007" s="401" customFormat="1" hidden="1" outlineLevel="2" spans="1:24">
      <c r="A1007" s="401" t="s">
        <v>1580</v>
      </c>
      <c r="B1007" s="428" t="s">
        <v>2663</v>
      </c>
      <c r="C1007" s="429" t="str">
        <f t="shared" si="93"/>
        <v>石嘴山市深阳蓝光市政工程有限公司</v>
      </c>
      <c r="D1007" s="810" t="s">
        <v>2673</v>
      </c>
      <c r="E1007" s="649" t="s">
        <v>1580</v>
      </c>
      <c r="F1007" s="796">
        <f>SUM(F1000:F1006)</f>
        <v>0</v>
      </c>
      <c r="G1007" s="812"/>
      <c r="H1007" s="135">
        <f>SUM(H1000:H1006)</f>
        <v>0</v>
      </c>
      <c r="I1007" s="794"/>
      <c r="J1007" s="823"/>
      <c r="K1007" s="823"/>
      <c r="L1007" s="823"/>
      <c r="M1007" s="824"/>
      <c r="N1007" s="824"/>
      <c r="X1007" s="501" t="b">
        <f t="shared" si="94"/>
        <v>1</v>
      </c>
    </row>
    <row r="1008" s="401" customFormat="1" hidden="1" outlineLevel="2" spans="1:24">
      <c r="A1008" s="401" t="s">
        <v>2674</v>
      </c>
      <c r="B1008" s="428" t="s">
        <v>2663</v>
      </c>
      <c r="C1008" s="429" t="str">
        <f t="shared" si="93"/>
        <v>石嘴山市深阳蓝光市政工程有限公司</v>
      </c>
      <c r="D1008" s="810" t="s">
        <v>2673</v>
      </c>
      <c r="E1008" s="813" t="s">
        <v>2674</v>
      </c>
      <c r="F1008" s="799"/>
      <c r="G1008" s="799"/>
      <c r="H1008" s="794"/>
      <c r="I1008" s="794"/>
      <c r="J1008" s="823"/>
      <c r="K1008" s="823"/>
      <c r="L1008" s="823"/>
      <c r="M1008" s="824"/>
      <c r="N1008" s="824"/>
      <c r="X1008" s="501" t="b">
        <f t="shared" si="94"/>
        <v>1</v>
      </c>
    </row>
    <row r="1009" s="401" customFormat="1" hidden="1" outlineLevel="2" spans="2:24">
      <c r="B1009" s="428" t="s">
        <v>2663</v>
      </c>
      <c r="C1009" s="429" t="str">
        <f t="shared" si="93"/>
        <v>石嘴山市深阳蓝光市政工程有限公司</v>
      </c>
      <c r="D1009" s="810" t="s">
        <v>2673</v>
      </c>
      <c r="E1009" s="65"/>
      <c r="F1009" s="798"/>
      <c r="G1009" s="798"/>
      <c r="H1009" s="794"/>
      <c r="I1009" s="794"/>
      <c r="J1009" s="823"/>
      <c r="K1009" s="823"/>
      <c r="L1009" s="823"/>
      <c r="M1009" s="824"/>
      <c r="N1009" s="824"/>
      <c r="X1009" s="501" t="b">
        <f t="shared" si="94"/>
        <v>1</v>
      </c>
    </row>
    <row r="1010" s="401" customFormat="1" hidden="1" outlineLevel="2" spans="2:24">
      <c r="B1010" s="428" t="s">
        <v>2663</v>
      </c>
      <c r="C1010" s="429" t="str">
        <f t="shared" si="93"/>
        <v>石嘴山市深阳蓝光市政工程有限公司</v>
      </c>
      <c r="D1010" s="810" t="s">
        <v>2673</v>
      </c>
      <c r="E1010" s="65"/>
      <c r="F1010" s="798"/>
      <c r="G1010" s="798"/>
      <c r="H1010" s="794"/>
      <c r="I1010" s="794"/>
      <c r="J1010" s="823"/>
      <c r="K1010" s="823"/>
      <c r="L1010" s="823"/>
      <c r="M1010" s="824"/>
      <c r="N1010" s="824"/>
      <c r="X1010" s="501" t="b">
        <f t="shared" si="94"/>
        <v>1</v>
      </c>
    </row>
    <row r="1011" s="401" customFormat="1" hidden="1" outlineLevel="2" spans="2:24">
      <c r="B1011" s="428" t="s">
        <v>2663</v>
      </c>
      <c r="C1011" s="429" t="str">
        <f t="shared" si="93"/>
        <v>石嘴山市深阳蓝光市政工程有限公司</v>
      </c>
      <c r="D1011" s="790"/>
      <c r="E1011" s="149"/>
      <c r="F1011" s="798"/>
      <c r="G1011" s="798"/>
      <c r="H1011" s="794"/>
      <c r="I1011" s="794"/>
      <c r="J1011" s="823"/>
      <c r="K1011" s="823"/>
      <c r="L1011" s="823"/>
      <c r="M1011" s="824"/>
      <c r="N1011" s="824"/>
      <c r="X1011" s="501" t="b">
        <f t="shared" si="94"/>
        <v>1</v>
      </c>
    </row>
    <row r="1012" s="401" customFormat="1" hidden="1" outlineLevel="2" spans="1:24">
      <c r="A1012" s="401" t="s">
        <v>2315</v>
      </c>
      <c r="B1012" s="428" t="s">
        <v>2663</v>
      </c>
      <c r="C1012" s="429" t="str">
        <f t="shared" si="93"/>
        <v>石嘴山市深阳蓝光市政工程有限公司</v>
      </c>
      <c r="D1012" s="790"/>
      <c r="E1012" s="515" t="s">
        <v>2315</v>
      </c>
      <c r="F1012" s="799"/>
      <c r="G1012" s="799"/>
      <c r="H1012" s="794"/>
      <c r="I1012" s="794"/>
      <c r="J1012" s="823"/>
      <c r="K1012" s="823"/>
      <c r="L1012" s="823"/>
      <c r="M1012" s="824"/>
      <c r="N1012" s="824"/>
      <c r="X1012" s="501" t="b">
        <f t="shared" si="94"/>
        <v>1</v>
      </c>
    </row>
    <row r="1013" s="401" customFormat="1" hidden="1" outlineLevel="2" spans="2:24">
      <c r="B1013" s="428" t="s">
        <v>2663</v>
      </c>
      <c r="C1013" s="429" t="str">
        <f t="shared" si="93"/>
        <v>石嘴山市深阳蓝光市政工程有限公司</v>
      </c>
      <c r="D1013" s="790"/>
      <c r="E1013" s="65"/>
      <c r="F1013" s="798"/>
      <c r="G1013" s="798"/>
      <c r="H1013" s="794"/>
      <c r="I1013" s="794"/>
      <c r="J1013" s="823"/>
      <c r="K1013" s="823"/>
      <c r="L1013" s="823"/>
      <c r="M1013" s="824"/>
      <c r="N1013" s="824"/>
      <c r="X1013" s="501" t="b">
        <f t="shared" si="94"/>
        <v>1</v>
      </c>
    </row>
    <row r="1014" s="402" customFormat="1" spans="1:24">
      <c r="A1014" s="402" t="s">
        <v>1635</v>
      </c>
      <c r="B1014" s="428" t="s">
        <v>2663</v>
      </c>
      <c r="C1014" s="429" t="str">
        <f t="shared" si="93"/>
        <v>石嘴山市深阳蓝光市政工程有限公司</v>
      </c>
      <c r="D1014" s="814" t="s">
        <v>2675</v>
      </c>
      <c r="E1014" s="65" t="s">
        <v>2676</v>
      </c>
      <c r="F1014" s="815"/>
      <c r="G1014" s="815"/>
      <c r="X1014" s="501" t="b">
        <f t="shared" si="94"/>
        <v>1</v>
      </c>
    </row>
    <row r="1015" s="402" customFormat="1" outlineLevel="2" spans="1:24">
      <c r="A1015" s="402" t="s">
        <v>60</v>
      </c>
      <c r="B1015" s="428" t="s">
        <v>2663</v>
      </c>
      <c r="C1015" s="429" t="str">
        <f t="shared" si="93"/>
        <v>石嘴山市深阳蓝光市政工程有限公司</v>
      </c>
      <c r="D1015" s="814" t="s">
        <v>2675</v>
      </c>
      <c r="E1015" s="816" t="s">
        <v>60</v>
      </c>
      <c r="F1015" s="817" t="s">
        <v>315</v>
      </c>
      <c r="G1015" s="817" t="s">
        <v>1579</v>
      </c>
      <c r="X1015" s="501" t="b">
        <f t="shared" si="94"/>
        <v>1</v>
      </c>
    </row>
    <row r="1016" s="402" customFormat="1" outlineLevel="2" spans="1:24">
      <c r="A1016" s="402" t="s">
        <v>658</v>
      </c>
      <c r="B1016" s="428" t="s">
        <v>2663</v>
      </c>
      <c r="C1016" s="429" t="str">
        <f t="shared" si="93"/>
        <v>石嘴山市深阳蓝光市政工程有限公司</v>
      </c>
      <c r="D1016" s="814" t="s">
        <v>2675</v>
      </c>
      <c r="E1016" s="818" t="s">
        <v>658</v>
      </c>
      <c r="F1016" s="132"/>
      <c r="G1016" s="477">
        <f>报表附注合并期初用!E565</f>
        <v>0</v>
      </c>
      <c r="X1016" s="501" t="b">
        <f t="shared" si="94"/>
        <v>1</v>
      </c>
    </row>
    <row r="1017" s="402" customFormat="1" outlineLevel="2" spans="1:24">
      <c r="A1017" s="402" t="s">
        <v>660</v>
      </c>
      <c r="B1017" s="428" t="s">
        <v>2663</v>
      </c>
      <c r="C1017" s="429" t="str">
        <f t="shared" si="93"/>
        <v>石嘴山市深阳蓝光市政工程有限公司</v>
      </c>
      <c r="D1017" s="814" t="s">
        <v>2675</v>
      </c>
      <c r="E1017" s="818" t="s">
        <v>660</v>
      </c>
      <c r="F1017" s="132"/>
      <c r="G1017" s="477">
        <f>报表附注合并期初用!E566</f>
        <v>0</v>
      </c>
      <c r="X1017" s="501" t="b">
        <f t="shared" si="94"/>
        <v>1</v>
      </c>
    </row>
    <row r="1018" s="402" customFormat="1" outlineLevel="2" spans="1:24">
      <c r="A1018" s="402" t="s">
        <v>662</v>
      </c>
      <c r="B1018" s="428" t="s">
        <v>2663</v>
      </c>
      <c r="C1018" s="429" t="str">
        <f t="shared" si="93"/>
        <v>石嘴山市深阳蓝光市政工程有限公司</v>
      </c>
      <c r="D1018" s="814" t="s">
        <v>2675</v>
      </c>
      <c r="E1018" s="818" t="s">
        <v>662</v>
      </c>
      <c r="F1018" s="132"/>
      <c r="G1018" s="477">
        <f>报表附注合并期初用!E567</f>
        <v>0</v>
      </c>
      <c r="X1018" s="501" t="b">
        <f t="shared" si="94"/>
        <v>1</v>
      </c>
    </row>
    <row r="1019" s="402" customFormat="1" outlineLevel="2" spans="1:24">
      <c r="A1019" s="402" t="s">
        <v>279</v>
      </c>
      <c r="B1019" s="428" t="s">
        <v>2663</v>
      </c>
      <c r="C1019" s="429" t="str">
        <f t="shared" si="93"/>
        <v>石嘴山市深阳蓝光市政工程有限公司</v>
      </c>
      <c r="D1019" s="814" t="s">
        <v>2675</v>
      </c>
      <c r="E1019" s="818" t="s">
        <v>279</v>
      </c>
      <c r="F1019" s="132"/>
      <c r="G1019" s="477">
        <f>报表附注合并期初用!E568</f>
        <v>0</v>
      </c>
      <c r="X1019" s="501" t="b">
        <f t="shared" si="94"/>
        <v>1</v>
      </c>
    </row>
    <row r="1020" s="402" customFormat="1" outlineLevel="2" spans="1:24">
      <c r="A1020" s="402" t="s">
        <v>1580</v>
      </c>
      <c r="B1020" s="428" t="s">
        <v>2663</v>
      </c>
      <c r="C1020" s="429" t="str">
        <f t="shared" si="93"/>
        <v>石嘴山市深阳蓝光市政工程有限公司</v>
      </c>
      <c r="D1020" s="814" t="s">
        <v>2675</v>
      </c>
      <c r="E1020" s="817" t="s">
        <v>1580</v>
      </c>
      <c r="F1020" s="565">
        <f>SUM(F1016:F1019)</f>
        <v>0</v>
      </c>
      <c r="G1020" s="565">
        <f>SUM(G1016:G1019)</f>
        <v>0</v>
      </c>
      <c r="X1020" s="501" t="b">
        <f t="shared" si="94"/>
        <v>1</v>
      </c>
    </row>
    <row r="1021" s="402" customFormat="1" outlineLevel="2" spans="1:24">
      <c r="A1021" s="402" t="s">
        <v>1444</v>
      </c>
      <c r="B1021" s="428" t="s">
        <v>2663</v>
      </c>
      <c r="C1021" s="429" t="str">
        <f t="shared" si="93"/>
        <v>石嘴山市深阳蓝光市政工程有限公司</v>
      </c>
      <c r="D1021" s="814" t="s">
        <v>2675</v>
      </c>
      <c r="E1021" s="819" t="s">
        <v>1444</v>
      </c>
      <c r="F1021" s="820">
        <f>审定资负表!C24</f>
        <v>0</v>
      </c>
      <c r="G1021" s="820">
        <f>审定资负表!D24</f>
        <v>0</v>
      </c>
      <c r="X1021" s="501" t="b">
        <f t="shared" si="94"/>
        <v>1</v>
      </c>
    </row>
    <row r="1022" s="402" customFormat="1" outlineLevel="1" collapsed="1" spans="1:24">
      <c r="A1022" s="402" t="s">
        <v>1394</v>
      </c>
      <c r="B1022" s="428" t="s">
        <v>2663</v>
      </c>
      <c r="C1022" s="429" t="str">
        <f t="shared" si="93"/>
        <v>石嘴山市深阳蓝光市政工程有限公司</v>
      </c>
      <c r="D1022" s="814" t="s">
        <v>2675</v>
      </c>
      <c r="E1022" s="821" t="s">
        <v>1394</v>
      </c>
      <c r="F1022" s="87">
        <f>ROUND(F1020-F1021,2)</f>
        <v>0</v>
      </c>
      <c r="G1022" s="87">
        <f>ROUND(G1020-G1021,2)</f>
        <v>0</v>
      </c>
      <c r="X1022" s="501" t="b">
        <f t="shared" si="94"/>
        <v>1</v>
      </c>
    </row>
    <row r="1023" s="402" customFormat="1" hidden="1" outlineLevel="2" spans="2:24">
      <c r="B1023" s="428" t="s">
        <v>2663</v>
      </c>
      <c r="C1023" s="429" t="str">
        <f t="shared" si="93"/>
        <v>石嘴山市深阳蓝光市政工程有限公司</v>
      </c>
      <c r="D1023" s="814" t="s">
        <v>2675</v>
      </c>
      <c r="X1023" s="501" t="b">
        <f t="shared" si="94"/>
        <v>1</v>
      </c>
    </row>
    <row r="1024" s="402" customFormat="1" hidden="1" outlineLevel="2" spans="2:24">
      <c r="B1024" s="428" t="s">
        <v>2663</v>
      </c>
      <c r="C1024" s="429" t="str">
        <f t="shared" si="93"/>
        <v>石嘴山市深阳蓝光市政工程有限公司</v>
      </c>
      <c r="D1024" s="814" t="s">
        <v>2675</v>
      </c>
      <c r="E1024" s="822"/>
      <c r="F1024" s="451"/>
      <c r="G1024" s="451"/>
      <c r="X1024" s="501" t="b">
        <f t="shared" si="94"/>
        <v>1</v>
      </c>
    </row>
    <row r="1025" s="402" customFormat="1" hidden="1" outlineLevel="2" spans="2:24">
      <c r="B1025" s="428" t="s">
        <v>2663</v>
      </c>
      <c r="C1025" s="429" t="str">
        <f t="shared" si="93"/>
        <v>石嘴山市深阳蓝光市政工程有限公司</v>
      </c>
      <c r="D1025" s="814"/>
      <c r="E1025" s="149"/>
      <c r="F1025" s="451"/>
      <c r="G1025" s="451"/>
      <c r="X1025" s="501" t="b">
        <f t="shared" si="94"/>
        <v>1</v>
      </c>
    </row>
    <row r="1026" s="402" customFormat="1" hidden="1" outlineLevel="2" spans="1:24">
      <c r="A1026" s="402" t="s">
        <v>2315</v>
      </c>
      <c r="B1026" s="428" t="s">
        <v>2663</v>
      </c>
      <c r="C1026" s="429" t="str">
        <f t="shared" si="93"/>
        <v>石嘴山市深阳蓝光市政工程有限公司</v>
      </c>
      <c r="D1026" s="814"/>
      <c r="E1026" s="515" t="s">
        <v>2315</v>
      </c>
      <c r="F1026" s="799"/>
      <c r="G1026" s="799"/>
      <c r="X1026" s="501" t="b">
        <f t="shared" si="94"/>
        <v>1</v>
      </c>
    </row>
    <row r="1027" s="402" customFormat="1" hidden="1" outlineLevel="2" spans="2:24">
      <c r="B1027" s="428" t="s">
        <v>2663</v>
      </c>
      <c r="C1027" s="429" t="str">
        <f t="shared" si="93"/>
        <v>石嘴山市深阳蓝光市政工程有限公司</v>
      </c>
      <c r="D1027" s="814"/>
      <c r="E1027" s="149"/>
      <c r="F1027" s="451"/>
      <c r="G1027" s="451"/>
      <c r="X1027" s="501" t="b">
        <f t="shared" si="94"/>
        <v>1</v>
      </c>
    </row>
    <row r="1028" s="402" customFormat="1" hidden="1" outlineLevel="2" spans="2:24">
      <c r="B1028" s="428" t="s">
        <v>2663</v>
      </c>
      <c r="C1028" s="429" t="str">
        <f t="shared" si="93"/>
        <v>石嘴山市深阳蓝光市政工程有限公司</v>
      </c>
      <c r="D1028" s="814"/>
      <c r="E1028" s="149"/>
      <c r="F1028" s="451"/>
      <c r="G1028" s="451"/>
      <c r="X1028" s="501" t="b">
        <f t="shared" si="94"/>
        <v>1</v>
      </c>
    </row>
    <row r="1029" s="402" customFormat="1" collapsed="1" spans="1:24">
      <c r="A1029" s="402" t="s">
        <v>2677</v>
      </c>
      <c r="B1029" s="428" t="s">
        <v>2663</v>
      </c>
      <c r="C1029" s="429" t="str">
        <f t="shared" si="93"/>
        <v>石嘴山市深阳蓝光市政工程有限公司</v>
      </c>
      <c r="D1029" s="814" t="s">
        <v>2677</v>
      </c>
      <c r="E1029" s="65" t="s">
        <v>2678</v>
      </c>
      <c r="F1029" s="451"/>
      <c r="G1029" s="451"/>
      <c r="X1029" s="501" t="b">
        <f t="shared" si="94"/>
        <v>1</v>
      </c>
    </row>
    <row r="1030" s="402" customFormat="1" ht="24.75" hidden="1" outlineLevel="2" spans="1:24">
      <c r="A1030" s="402" t="s">
        <v>668</v>
      </c>
      <c r="B1030" s="428" t="s">
        <v>2663</v>
      </c>
      <c r="C1030" s="429" t="str">
        <f t="shared" ref="C1030:C1093" si="96">$G$1</f>
        <v>石嘴山市深阳蓝光市政工程有限公司</v>
      </c>
      <c r="D1030" s="814" t="s">
        <v>2677</v>
      </c>
      <c r="E1030" s="816" t="s">
        <v>668</v>
      </c>
      <c r="F1030" s="816" t="s">
        <v>2679</v>
      </c>
      <c r="G1030" s="816" t="s">
        <v>2680</v>
      </c>
      <c r="H1030" s="816" t="s">
        <v>2681</v>
      </c>
      <c r="I1030" s="816" t="s">
        <v>2682</v>
      </c>
      <c r="J1030" s="816" t="s">
        <v>2683</v>
      </c>
      <c r="K1030" s="816" t="s">
        <v>2684</v>
      </c>
      <c r="L1030" s="816" t="s">
        <v>704</v>
      </c>
      <c r="X1030" s="501" t="b">
        <f t="shared" ref="X1030:X1048" si="97">EXACT(A1030,E1030)</f>
        <v>1</v>
      </c>
    </row>
    <row r="1031" s="402" customFormat="1" hidden="1" outlineLevel="2" spans="1:24">
      <c r="A1031" s="402" t="s">
        <v>705</v>
      </c>
      <c r="B1031" s="428" t="s">
        <v>2663</v>
      </c>
      <c r="C1031" s="429" t="str">
        <f t="shared" si="96"/>
        <v>石嘴山市深阳蓝光市政工程有限公司</v>
      </c>
      <c r="D1031" s="814" t="s">
        <v>2677</v>
      </c>
      <c r="E1031" s="826" t="s">
        <v>705</v>
      </c>
      <c r="F1031" s="827"/>
      <c r="G1031" s="827"/>
      <c r="H1031" s="827"/>
      <c r="I1031" s="827"/>
      <c r="J1031" s="827"/>
      <c r="K1031" s="827"/>
      <c r="L1031" s="581"/>
      <c r="X1031" s="501" t="b">
        <f t="shared" si="97"/>
        <v>1</v>
      </c>
    </row>
    <row r="1032" s="402" customFormat="1" hidden="1" outlineLevel="2" spans="2:24">
      <c r="B1032" s="428" t="s">
        <v>2663</v>
      </c>
      <c r="C1032" s="429" t="str">
        <f t="shared" si="96"/>
        <v>石嘴山市深阳蓝光市政工程有限公司</v>
      </c>
      <c r="D1032" s="814" t="s">
        <v>2677</v>
      </c>
      <c r="E1032" s="828"/>
      <c r="F1032" s="828"/>
      <c r="G1032" s="828"/>
      <c r="H1032" s="828"/>
      <c r="I1032" s="828"/>
      <c r="J1032" s="828"/>
      <c r="K1032" s="828"/>
      <c r="L1032" s="828"/>
      <c r="X1032" s="501" t="b">
        <f t="shared" si="97"/>
        <v>1</v>
      </c>
    </row>
    <row r="1033" s="402" customFormat="1" hidden="1" outlineLevel="2" spans="2:24">
      <c r="B1033" s="428" t="s">
        <v>2663</v>
      </c>
      <c r="C1033" s="429" t="str">
        <f t="shared" si="96"/>
        <v>石嘴山市深阳蓝光市政工程有限公司</v>
      </c>
      <c r="D1033" s="814" t="s">
        <v>2677</v>
      </c>
      <c r="E1033" s="828"/>
      <c r="F1033" s="828"/>
      <c r="G1033" s="828"/>
      <c r="H1033" s="828"/>
      <c r="I1033" s="828"/>
      <c r="J1033" s="828"/>
      <c r="K1033" s="828"/>
      <c r="L1033" s="828"/>
      <c r="X1033" s="501" t="b">
        <f t="shared" si="97"/>
        <v>1</v>
      </c>
    </row>
    <row r="1034" s="402" customFormat="1" hidden="1" outlineLevel="2" spans="2:24">
      <c r="B1034" s="428" t="s">
        <v>2663</v>
      </c>
      <c r="C1034" s="429" t="str">
        <f t="shared" si="96"/>
        <v>石嘴山市深阳蓝光市政工程有限公司</v>
      </c>
      <c r="D1034" s="814" t="s">
        <v>2677</v>
      </c>
      <c r="E1034" s="828"/>
      <c r="F1034" s="828"/>
      <c r="G1034" s="828"/>
      <c r="H1034" s="828"/>
      <c r="I1034" s="828"/>
      <c r="J1034" s="828"/>
      <c r="K1034" s="828"/>
      <c r="L1034" s="828"/>
      <c r="X1034" s="501" t="b">
        <f t="shared" si="97"/>
        <v>1</v>
      </c>
    </row>
    <row r="1035" s="402" customFormat="1" hidden="1" outlineLevel="2" spans="2:24">
      <c r="B1035" s="428" t="s">
        <v>2663</v>
      </c>
      <c r="C1035" s="429" t="str">
        <f t="shared" si="96"/>
        <v>石嘴山市深阳蓝光市政工程有限公司</v>
      </c>
      <c r="D1035" s="814" t="s">
        <v>2677</v>
      </c>
      <c r="E1035" s="828"/>
      <c r="F1035" s="828"/>
      <c r="G1035" s="828"/>
      <c r="H1035" s="828"/>
      <c r="I1035" s="828"/>
      <c r="J1035" s="828"/>
      <c r="K1035" s="828"/>
      <c r="L1035" s="828"/>
      <c r="X1035" s="501" t="b">
        <f t="shared" si="97"/>
        <v>1</v>
      </c>
    </row>
    <row r="1036" s="402" customFormat="1" hidden="1" outlineLevel="2" spans="2:24">
      <c r="B1036" s="428" t="s">
        <v>2663</v>
      </c>
      <c r="C1036" s="429" t="str">
        <f t="shared" si="96"/>
        <v>石嘴山市深阳蓝光市政工程有限公司</v>
      </c>
      <c r="D1036" s="814" t="s">
        <v>2677</v>
      </c>
      <c r="E1036" s="828"/>
      <c r="F1036" s="828"/>
      <c r="G1036" s="828"/>
      <c r="H1036" s="828"/>
      <c r="I1036" s="828"/>
      <c r="J1036" s="828"/>
      <c r="K1036" s="828"/>
      <c r="L1036" s="828"/>
      <c r="X1036" s="501" t="b">
        <f t="shared" si="97"/>
        <v>1</v>
      </c>
    </row>
    <row r="1037" s="402" customFormat="1" hidden="1" outlineLevel="2" spans="2:24">
      <c r="B1037" s="428" t="s">
        <v>2663</v>
      </c>
      <c r="C1037" s="429" t="str">
        <f t="shared" si="96"/>
        <v>石嘴山市深阳蓝光市政工程有限公司</v>
      </c>
      <c r="D1037" s="814" t="s">
        <v>2677</v>
      </c>
      <c r="E1037" s="828"/>
      <c r="F1037" s="828"/>
      <c r="G1037" s="828"/>
      <c r="H1037" s="828"/>
      <c r="I1037" s="828"/>
      <c r="J1037" s="828"/>
      <c r="K1037" s="828"/>
      <c r="L1037" s="828"/>
      <c r="X1037" s="501" t="b">
        <f t="shared" si="97"/>
        <v>1</v>
      </c>
    </row>
    <row r="1038" s="402" customFormat="1" hidden="1" outlineLevel="2" spans="2:24">
      <c r="B1038" s="428" t="s">
        <v>2663</v>
      </c>
      <c r="C1038" s="429" t="str">
        <f t="shared" si="96"/>
        <v>石嘴山市深阳蓝光市政工程有限公司</v>
      </c>
      <c r="D1038" s="814" t="s">
        <v>2677</v>
      </c>
      <c r="E1038" s="828"/>
      <c r="F1038" s="828"/>
      <c r="G1038" s="828"/>
      <c r="H1038" s="828"/>
      <c r="I1038" s="828"/>
      <c r="J1038" s="828"/>
      <c r="K1038" s="828"/>
      <c r="L1038" s="828"/>
      <c r="X1038" s="501" t="b">
        <f t="shared" si="97"/>
        <v>1</v>
      </c>
    </row>
    <row r="1039" s="402" customFormat="1" hidden="1" outlineLevel="2" spans="1:24">
      <c r="A1039" s="402" t="s">
        <v>708</v>
      </c>
      <c r="B1039" s="428" t="s">
        <v>2663</v>
      </c>
      <c r="C1039" s="429" t="str">
        <f t="shared" si="96"/>
        <v>石嘴山市深阳蓝光市政工程有限公司</v>
      </c>
      <c r="D1039" s="814" t="s">
        <v>2677</v>
      </c>
      <c r="E1039" s="826" t="s">
        <v>708</v>
      </c>
      <c r="F1039" s="827"/>
      <c r="G1039" s="827"/>
      <c r="H1039" s="828"/>
      <c r="I1039" s="828"/>
      <c r="J1039" s="828"/>
      <c r="K1039" s="828"/>
      <c r="L1039" s="828"/>
      <c r="X1039" s="501" t="b">
        <f t="shared" si="97"/>
        <v>1</v>
      </c>
    </row>
    <row r="1040" s="402" customFormat="1" hidden="1" outlineLevel="2" spans="2:24">
      <c r="B1040" s="428" t="s">
        <v>2663</v>
      </c>
      <c r="C1040" s="429" t="str">
        <f t="shared" si="96"/>
        <v>石嘴山市深阳蓝光市政工程有限公司</v>
      </c>
      <c r="D1040" s="814" t="s">
        <v>2677</v>
      </c>
      <c r="E1040" s="828"/>
      <c r="F1040" s="828"/>
      <c r="G1040" s="828"/>
      <c r="H1040" s="828"/>
      <c r="I1040" s="828"/>
      <c r="J1040" s="828"/>
      <c r="K1040" s="828"/>
      <c r="L1040" s="828"/>
      <c r="X1040" s="501" t="b">
        <f t="shared" si="97"/>
        <v>1</v>
      </c>
    </row>
    <row r="1041" s="402" customFormat="1" hidden="1" outlineLevel="2" spans="2:24">
      <c r="B1041" s="428" t="s">
        <v>2663</v>
      </c>
      <c r="C1041" s="429" t="str">
        <f t="shared" si="96"/>
        <v>石嘴山市深阳蓝光市政工程有限公司</v>
      </c>
      <c r="D1041" s="814" t="s">
        <v>2677</v>
      </c>
      <c r="E1041" s="828"/>
      <c r="F1041" s="828"/>
      <c r="G1041" s="828"/>
      <c r="H1041" s="828"/>
      <c r="I1041" s="828"/>
      <c r="J1041" s="828"/>
      <c r="K1041" s="828"/>
      <c r="L1041" s="828"/>
      <c r="X1041" s="501" t="b">
        <f t="shared" si="97"/>
        <v>1</v>
      </c>
    </row>
    <row r="1042" s="402" customFormat="1" hidden="1" outlineLevel="2" spans="2:24">
      <c r="B1042" s="428" t="s">
        <v>2663</v>
      </c>
      <c r="C1042" s="429" t="str">
        <f t="shared" si="96"/>
        <v>石嘴山市深阳蓝光市政工程有限公司</v>
      </c>
      <c r="D1042" s="814" t="s">
        <v>2677</v>
      </c>
      <c r="E1042" s="828"/>
      <c r="F1042" s="828"/>
      <c r="G1042" s="828"/>
      <c r="H1042" s="828"/>
      <c r="I1042" s="828"/>
      <c r="J1042" s="828"/>
      <c r="K1042" s="828"/>
      <c r="L1042" s="828"/>
      <c r="X1042" s="501" t="b">
        <f t="shared" si="97"/>
        <v>1</v>
      </c>
    </row>
    <row r="1043" s="402" customFormat="1" hidden="1" outlineLevel="2" spans="2:24">
      <c r="B1043" s="428" t="s">
        <v>2663</v>
      </c>
      <c r="C1043" s="429" t="str">
        <f t="shared" si="96"/>
        <v>石嘴山市深阳蓝光市政工程有限公司</v>
      </c>
      <c r="D1043" s="814" t="s">
        <v>2677</v>
      </c>
      <c r="E1043" s="828"/>
      <c r="F1043" s="828"/>
      <c r="G1043" s="828"/>
      <c r="H1043" s="828"/>
      <c r="I1043" s="828"/>
      <c r="J1043" s="828"/>
      <c r="K1043" s="828"/>
      <c r="L1043" s="828"/>
      <c r="X1043" s="501" t="b">
        <f t="shared" si="97"/>
        <v>1</v>
      </c>
    </row>
    <row r="1044" s="402" customFormat="1" hidden="1" outlineLevel="2" spans="2:24">
      <c r="B1044" s="428" t="s">
        <v>2663</v>
      </c>
      <c r="C1044" s="429" t="str">
        <f t="shared" si="96"/>
        <v>石嘴山市深阳蓝光市政工程有限公司</v>
      </c>
      <c r="D1044" s="814" t="s">
        <v>2677</v>
      </c>
      <c r="E1044" s="828"/>
      <c r="F1044" s="828"/>
      <c r="G1044" s="828"/>
      <c r="H1044" s="828"/>
      <c r="I1044" s="828"/>
      <c r="J1044" s="828"/>
      <c r="K1044" s="828"/>
      <c r="L1044" s="828"/>
      <c r="X1044" s="501" t="b">
        <f t="shared" si="97"/>
        <v>1</v>
      </c>
    </row>
    <row r="1045" s="402" customFormat="1" hidden="1" outlineLevel="2" spans="2:24">
      <c r="B1045" s="428" t="s">
        <v>2663</v>
      </c>
      <c r="C1045" s="429" t="str">
        <f t="shared" si="96"/>
        <v>石嘴山市深阳蓝光市政工程有限公司</v>
      </c>
      <c r="D1045" s="814" t="s">
        <v>2677</v>
      </c>
      <c r="E1045" s="828"/>
      <c r="F1045" s="828"/>
      <c r="G1045" s="828"/>
      <c r="H1045" s="828"/>
      <c r="I1045" s="828"/>
      <c r="J1045" s="828"/>
      <c r="K1045" s="828"/>
      <c r="L1045" s="828"/>
      <c r="X1045" s="501" t="b">
        <f t="shared" si="97"/>
        <v>1</v>
      </c>
    </row>
    <row r="1046" s="402" customFormat="1" hidden="1" outlineLevel="2" spans="2:24">
      <c r="B1046" s="428" t="s">
        <v>2663</v>
      </c>
      <c r="C1046" s="429" t="str">
        <f t="shared" si="96"/>
        <v>石嘴山市深阳蓝光市政工程有限公司</v>
      </c>
      <c r="D1046" s="814" t="s">
        <v>2677</v>
      </c>
      <c r="E1046" s="828"/>
      <c r="F1046" s="828"/>
      <c r="G1046" s="828"/>
      <c r="H1046" s="828"/>
      <c r="I1046" s="828"/>
      <c r="J1046" s="828"/>
      <c r="K1046" s="828"/>
      <c r="L1046" s="828"/>
      <c r="X1046" s="501" t="b">
        <f t="shared" si="97"/>
        <v>1</v>
      </c>
    </row>
    <row r="1047" s="402" customFormat="1" hidden="1" outlineLevel="2" spans="2:24">
      <c r="B1047" s="428" t="s">
        <v>2663</v>
      </c>
      <c r="C1047" s="429" t="str">
        <f t="shared" si="96"/>
        <v>石嘴山市深阳蓝光市政工程有限公司</v>
      </c>
      <c r="D1047" s="814" t="s">
        <v>2677</v>
      </c>
      <c r="E1047" s="828"/>
      <c r="F1047" s="828"/>
      <c r="G1047" s="828"/>
      <c r="H1047" s="828"/>
      <c r="I1047" s="828"/>
      <c r="J1047" s="828"/>
      <c r="K1047" s="828"/>
      <c r="L1047" s="828"/>
      <c r="X1047" s="501" t="b">
        <f t="shared" si="97"/>
        <v>1</v>
      </c>
    </row>
    <row r="1048" s="402" customFormat="1" hidden="1" outlineLevel="2" spans="2:24">
      <c r="B1048" s="428" t="s">
        <v>2663</v>
      </c>
      <c r="C1048" s="429" t="str">
        <f t="shared" si="96"/>
        <v>石嘴山市深阳蓝光市政工程有限公司</v>
      </c>
      <c r="D1048" s="814" t="s">
        <v>2677</v>
      </c>
      <c r="E1048" s="828"/>
      <c r="F1048" s="828"/>
      <c r="G1048" s="828"/>
      <c r="H1048" s="828"/>
      <c r="I1048" s="828"/>
      <c r="J1048" s="828"/>
      <c r="K1048" s="828"/>
      <c r="L1048" s="828"/>
      <c r="X1048" s="501" t="b">
        <f t="shared" si="97"/>
        <v>1</v>
      </c>
    </row>
    <row r="1049" s="402" customFormat="1" hidden="1" outlineLevel="2" spans="1:24">
      <c r="A1049" s="402" t="s">
        <v>2685</v>
      </c>
      <c r="B1049" s="428" t="s">
        <v>2663</v>
      </c>
      <c r="C1049" s="429" t="str">
        <f t="shared" si="96"/>
        <v>石嘴山市深阳蓝光市政工程有限公司</v>
      </c>
      <c r="D1049" s="814" t="s">
        <v>2677</v>
      </c>
      <c r="E1049" s="813" t="s">
        <v>2685</v>
      </c>
      <c r="F1049" s="451"/>
      <c r="G1049" s="451"/>
      <c r="X1049" s="501" t="b">
        <f t="shared" ref="X1049:X1112" si="98">EXACT(A1049,E1049)</f>
        <v>1</v>
      </c>
    </row>
    <row r="1050" s="402" customFormat="1" hidden="1" outlineLevel="2" spans="2:24">
      <c r="B1050" s="428" t="s">
        <v>2663</v>
      </c>
      <c r="C1050" s="429" t="str">
        <f t="shared" si="96"/>
        <v>石嘴山市深阳蓝光市政工程有限公司</v>
      </c>
      <c r="D1050" s="814" t="s">
        <v>2677</v>
      </c>
      <c r="E1050" s="829"/>
      <c r="F1050" s="471"/>
      <c r="G1050" s="471"/>
      <c r="H1050" s="830"/>
      <c r="X1050" s="501" t="b">
        <f t="shared" si="98"/>
        <v>1</v>
      </c>
    </row>
    <row r="1051" s="402" customFormat="1" hidden="1" outlineLevel="2" spans="2:24">
      <c r="B1051" s="428" t="s">
        <v>2663</v>
      </c>
      <c r="C1051" s="429" t="str">
        <f t="shared" si="96"/>
        <v>石嘴山市深阳蓝光市政工程有限公司</v>
      </c>
      <c r="D1051" s="814" t="s">
        <v>2677</v>
      </c>
      <c r="E1051" s="813"/>
      <c r="F1051" s="451"/>
      <c r="G1051" s="451"/>
      <c r="X1051" s="501" t="b">
        <f t="shared" si="98"/>
        <v>1</v>
      </c>
    </row>
    <row r="1052" s="402" customFormat="1" spans="1:24">
      <c r="A1052" s="402" t="s">
        <v>2686</v>
      </c>
      <c r="B1052" s="428" t="s">
        <v>2687</v>
      </c>
      <c r="C1052" s="429" t="str">
        <f t="shared" si="96"/>
        <v>石嘴山市深阳蓝光市政工程有限公司</v>
      </c>
      <c r="D1052" s="814" t="s">
        <v>2686</v>
      </c>
      <c r="E1052" s="65" t="s">
        <v>2688</v>
      </c>
      <c r="F1052" s="786" t="s">
        <v>2635</v>
      </c>
      <c r="G1052" s="451"/>
      <c r="X1052" s="501" t="b">
        <f t="shared" si="98"/>
        <v>1</v>
      </c>
    </row>
    <row r="1053" s="402" customFormat="1" outlineLevel="2" spans="1:24">
      <c r="A1053" s="402" t="s">
        <v>2689</v>
      </c>
      <c r="B1053" s="428" t="s">
        <v>2687</v>
      </c>
      <c r="C1053" s="429" t="str">
        <f t="shared" si="96"/>
        <v>石嘴山市深阳蓝光市政工程有限公司</v>
      </c>
      <c r="D1053" s="814" t="s">
        <v>2686</v>
      </c>
      <c r="E1053" s="831" t="s">
        <v>2689</v>
      </c>
      <c r="F1053" s="831"/>
      <c r="G1053" s="831"/>
      <c r="H1053" s="831"/>
      <c r="I1053" s="831"/>
      <c r="J1053" s="831"/>
      <c r="K1053" s="831"/>
      <c r="L1053" s="840"/>
      <c r="X1053" s="501" t="b">
        <f t="shared" si="98"/>
        <v>1</v>
      </c>
    </row>
    <row r="1054" s="402" customFormat="1" ht="40.5" customHeight="1" outlineLevel="2" spans="1:24">
      <c r="A1054" s="402" t="s">
        <v>419</v>
      </c>
      <c r="B1054" s="428" t="s">
        <v>2687</v>
      </c>
      <c r="C1054" s="429" t="str">
        <f t="shared" si="96"/>
        <v>石嘴山市深阳蓝光市政工程有限公司</v>
      </c>
      <c r="D1054" s="814" t="s">
        <v>2686</v>
      </c>
      <c r="E1054" s="832" t="s">
        <v>419</v>
      </c>
      <c r="F1054" s="832" t="s">
        <v>2690</v>
      </c>
      <c r="G1054" s="833" t="s">
        <v>2691</v>
      </c>
      <c r="H1054" s="832" t="s">
        <v>2692</v>
      </c>
      <c r="I1054" s="832" t="s">
        <v>671</v>
      </c>
      <c r="J1054" s="832" t="s">
        <v>672</v>
      </c>
      <c r="K1054" s="832" t="s">
        <v>2693</v>
      </c>
      <c r="L1054" s="832" t="s">
        <v>2694</v>
      </c>
      <c r="M1054" s="832" t="s">
        <v>2695</v>
      </c>
      <c r="N1054" s="832" t="s">
        <v>2696</v>
      </c>
      <c r="O1054" s="832" t="s">
        <v>775</v>
      </c>
      <c r="P1054" s="832" t="s">
        <v>2697</v>
      </c>
      <c r="Q1054" s="832" t="s">
        <v>2698</v>
      </c>
      <c r="X1054" s="501" t="b">
        <f t="shared" si="98"/>
        <v>1</v>
      </c>
    </row>
    <row r="1055" s="402" customFormat="1" outlineLevel="2" spans="2:24">
      <c r="B1055" s="428" t="s">
        <v>2687</v>
      </c>
      <c r="C1055" s="429" t="str">
        <f t="shared" si="96"/>
        <v>石嘴山市深阳蓝光市政工程有限公司</v>
      </c>
      <c r="D1055" s="814" t="s">
        <v>2686</v>
      </c>
      <c r="E1055" s="834"/>
      <c r="F1055" s="834"/>
      <c r="G1055" s="835"/>
      <c r="H1055" s="835"/>
      <c r="I1055" s="844"/>
      <c r="J1055" s="844"/>
      <c r="K1055" s="845">
        <f t="shared" ref="K1055:K1080" si="99">ROUND(H1055+I1055-J1055,2)</f>
        <v>0</v>
      </c>
      <c r="L1055" s="846"/>
      <c r="M1055" s="847"/>
      <c r="N1055" s="848"/>
      <c r="O1055" s="848"/>
      <c r="P1055" s="848"/>
      <c r="Q1055" s="848"/>
      <c r="X1055" s="501" t="b">
        <f t="shared" si="98"/>
        <v>1</v>
      </c>
    </row>
    <row r="1056" s="402" customFormat="1" outlineLevel="2" spans="2:24">
      <c r="B1056" s="428" t="s">
        <v>2687</v>
      </c>
      <c r="C1056" s="429" t="str">
        <f t="shared" si="96"/>
        <v>石嘴山市深阳蓝光市政工程有限公司</v>
      </c>
      <c r="D1056" s="814" t="s">
        <v>2686</v>
      </c>
      <c r="E1056" s="834"/>
      <c r="F1056" s="834"/>
      <c r="G1056" s="835"/>
      <c r="H1056" s="835"/>
      <c r="I1056" s="844"/>
      <c r="J1056" s="844"/>
      <c r="K1056" s="845">
        <f t="shared" si="99"/>
        <v>0</v>
      </c>
      <c r="L1056" s="846"/>
      <c r="M1056" s="847"/>
      <c r="N1056" s="848"/>
      <c r="O1056" s="848"/>
      <c r="P1056" s="848"/>
      <c r="Q1056" s="848"/>
      <c r="X1056" s="501" t="b">
        <f t="shared" si="98"/>
        <v>1</v>
      </c>
    </row>
    <row r="1057" s="402" customFormat="1" outlineLevel="2" spans="2:24">
      <c r="B1057" s="428" t="s">
        <v>2687</v>
      </c>
      <c r="C1057" s="429" t="str">
        <f t="shared" si="96"/>
        <v>石嘴山市深阳蓝光市政工程有限公司</v>
      </c>
      <c r="D1057" s="814" t="s">
        <v>2686</v>
      </c>
      <c r="E1057" s="834"/>
      <c r="F1057" s="834"/>
      <c r="G1057" s="835"/>
      <c r="H1057" s="835"/>
      <c r="I1057" s="844"/>
      <c r="J1057" s="844"/>
      <c r="K1057" s="845">
        <f t="shared" si="99"/>
        <v>0</v>
      </c>
      <c r="L1057" s="846"/>
      <c r="M1057" s="847"/>
      <c r="N1057" s="848"/>
      <c r="O1057" s="848"/>
      <c r="P1057" s="848"/>
      <c r="Q1057" s="848"/>
      <c r="X1057" s="501" t="b">
        <f t="shared" si="98"/>
        <v>1</v>
      </c>
    </row>
    <row r="1058" s="402" customFormat="1" outlineLevel="2" spans="2:24">
      <c r="B1058" s="428" t="s">
        <v>2687</v>
      </c>
      <c r="C1058" s="429" t="str">
        <f t="shared" si="96"/>
        <v>石嘴山市深阳蓝光市政工程有限公司</v>
      </c>
      <c r="D1058" s="814" t="s">
        <v>2686</v>
      </c>
      <c r="E1058" s="834"/>
      <c r="F1058" s="834"/>
      <c r="G1058" s="835"/>
      <c r="H1058" s="835"/>
      <c r="I1058" s="844"/>
      <c r="J1058" s="844"/>
      <c r="K1058" s="845">
        <f t="shared" si="99"/>
        <v>0</v>
      </c>
      <c r="L1058" s="846"/>
      <c r="M1058" s="847"/>
      <c r="N1058" s="848"/>
      <c r="O1058" s="848"/>
      <c r="P1058" s="848"/>
      <c r="Q1058" s="848"/>
      <c r="X1058" s="501" t="b">
        <f t="shared" si="98"/>
        <v>1</v>
      </c>
    </row>
    <row r="1059" s="402" customFormat="1" outlineLevel="2" spans="2:24">
      <c r="B1059" s="428" t="s">
        <v>2687</v>
      </c>
      <c r="C1059" s="429" t="str">
        <f t="shared" si="96"/>
        <v>石嘴山市深阳蓝光市政工程有限公司</v>
      </c>
      <c r="D1059" s="814" t="s">
        <v>2686</v>
      </c>
      <c r="E1059" s="834"/>
      <c r="F1059" s="834"/>
      <c r="G1059" s="835"/>
      <c r="H1059" s="835"/>
      <c r="I1059" s="844"/>
      <c r="J1059" s="844"/>
      <c r="K1059" s="845">
        <f t="shared" si="99"/>
        <v>0</v>
      </c>
      <c r="L1059" s="846"/>
      <c r="M1059" s="847"/>
      <c r="N1059" s="848"/>
      <c r="O1059" s="848"/>
      <c r="P1059" s="848"/>
      <c r="Q1059" s="848"/>
      <c r="X1059" s="501" t="b">
        <f t="shared" si="98"/>
        <v>1</v>
      </c>
    </row>
    <row r="1060" s="402" customFormat="1" outlineLevel="2" spans="2:24">
      <c r="B1060" s="428" t="s">
        <v>2687</v>
      </c>
      <c r="C1060" s="429" t="str">
        <f t="shared" si="96"/>
        <v>石嘴山市深阳蓝光市政工程有限公司</v>
      </c>
      <c r="D1060" s="814" t="s">
        <v>2686</v>
      </c>
      <c r="E1060" s="834"/>
      <c r="F1060" s="834"/>
      <c r="G1060" s="835"/>
      <c r="H1060" s="835"/>
      <c r="I1060" s="844"/>
      <c r="J1060" s="844"/>
      <c r="K1060" s="845">
        <f t="shared" si="99"/>
        <v>0</v>
      </c>
      <c r="L1060" s="846"/>
      <c r="M1060" s="847"/>
      <c r="N1060" s="848"/>
      <c r="O1060" s="848"/>
      <c r="P1060" s="848"/>
      <c r="Q1060" s="848"/>
      <c r="X1060" s="501" t="b">
        <f t="shared" si="98"/>
        <v>1</v>
      </c>
    </row>
    <row r="1061" s="402" customFormat="1" outlineLevel="2" spans="2:24">
      <c r="B1061" s="428" t="s">
        <v>2687</v>
      </c>
      <c r="C1061" s="429" t="str">
        <f t="shared" si="96"/>
        <v>石嘴山市深阳蓝光市政工程有限公司</v>
      </c>
      <c r="D1061" s="814" t="s">
        <v>2686</v>
      </c>
      <c r="E1061" s="834"/>
      <c r="F1061" s="834"/>
      <c r="G1061" s="835"/>
      <c r="H1061" s="835"/>
      <c r="I1061" s="844"/>
      <c r="J1061" s="844"/>
      <c r="K1061" s="845">
        <f t="shared" si="99"/>
        <v>0</v>
      </c>
      <c r="L1061" s="846"/>
      <c r="M1061" s="847"/>
      <c r="N1061" s="848"/>
      <c r="O1061" s="848"/>
      <c r="P1061" s="848"/>
      <c r="Q1061" s="848"/>
      <c r="X1061" s="501" t="b">
        <f t="shared" si="98"/>
        <v>1</v>
      </c>
    </row>
    <row r="1062" s="402" customFormat="1" outlineLevel="2" spans="2:24">
      <c r="B1062" s="428" t="s">
        <v>2687</v>
      </c>
      <c r="C1062" s="429" t="str">
        <f t="shared" si="96"/>
        <v>石嘴山市深阳蓝光市政工程有限公司</v>
      </c>
      <c r="D1062" s="814" t="s">
        <v>2686</v>
      </c>
      <c r="E1062" s="834"/>
      <c r="F1062" s="834"/>
      <c r="G1062" s="835"/>
      <c r="H1062" s="835"/>
      <c r="I1062" s="844"/>
      <c r="J1062" s="844"/>
      <c r="K1062" s="845">
        <f t="shared" si="99"/>
        <v>0</v>
      </c>
      <c r="L1062" s="846"/>
      <c r="M1062" s="847"/>
      <c r="N1062" s="848"/>
      <c r="O1062" s="848"/>
      <c r="P1062" s="848"/>
      <c r="Q1062" s="848"/>
      <c r="X1062" s="501" t="b">
        <f t="shared" si="98"/>
        <v>1</v>
      </c>
    </row>
    <row r="1063" s="402" customFormat="1" outlineLevel="2" spans="2:24">
      <c r="B1063" s="428" t="s">
        <v>2687</v>
      </c>
      <c r="C1063" s="429" t="str">
        <f t="shared" si="96"/>
        <v>石嘴山市深阳蓝光市政工程有限公司</v>
      </c>
      <c r="D1063" s="814" t="s">
        <v>2686</v>
      </c>
      <c r="E1063" s="834"/>
      <c r="F1063" s="834"/>
      <c r="G1063" s="835"/>
      <c r="H1063" s="835"/>
      <c r="I1063" s="844"/>
      <c r="J1063" s="844"/>
      <c r="K1063" s="845">
        <f t="shared" si="99"/>
        <v>0</v>
      </c>
      <c r="L1063" s="846"/>
      <c r="M1063" s="847"/>
      <c r="N1063" s="848"/>
      <c r="O1063" s="848"/>
      <c r="P1063" s="848"/>
      <c r="Q1063" s="848"/>
      <c r="X1063" s="501" t="b">
        <f t="shared" si="98"/>
        <v>1</v>
      </c>
    </row>
    <row r="1064" s="402" customFormat="1" outlineLevel="2" spans="2:24">
      <c r="B1064" s="428" t="s">
        <v>2687</v>
      </c>
      <c r="C1064" s="429" t="str">
        <f t="shared" si="96"/>
        <v>石嘴山市深阳蓝光市政工程有限公司</v>
      </c>
      <c r="D1064" s="814" t="s">
        <v>2686</v>
      </c>
      <c r="E1064" s="834"/>
      <c r="F1064" s="834"/>
      <c r="G1064" s="835"/>
      <c r="H1064" s="835"/>
      <c r="I1064" s="844"/>
      <c r="J1064" s="844"/>
      <c r="K1064" s="845">
        <f t="shared" si="99"/>
        <v>0</v>
      </c>
      <c r="L1064" s="849"/>
      <c r="M1064" s="847"/>
      <c r="N1064" s="848"/>
      <c r="O1064" s="848"/>
      <c r="P1064" s="848"/>
      <c r="Q1064" s="848"/>
      <c r="X1064" s="501" t="b">
        <f t="shared" si="98"/>
        <v>1</v>
      </c>
    </row>
    <row r="1065" s="402" customFormat="1" outlineLevel="2" spans="2:24">
      <c r="B1065" s="428" t="s">
        <v>2687</v>
      </c>
      <c r="C1065" s="429" t="str">
        <f t="shared" si="96"/>
        <v>石嘴山市深阳蓝光市政工程有限公司</v>
      </c>
      <c r="D1065" s="814" t="s">
        <v>2686</v>
      </c>
      <c r="E1065" s="834"/>
      <c r="F1065" s="834"/>
      <c r="G1065" s="835"/>
      <c r="H1065" s="835"/>
      <c r="I1065" s="844"/>
      <c r="J1065" s="844"/>
      <c r="K1065" s="845">
        <f t="shared" si="99"/>
        <v>0</v>
      </c>
      <c r="L1065" s="849"/>
      <c r="M1065" s="847"/>
      <c r="N1065" s="848"/>
      <c r="O1065" s="848"/>
      <c r="P1065" s="848"/>
      <c r="Q1065" s="848"/>
      <c r="X1065" s="501" t="b">
        <f t="shared" si="98"/>
        <v>1</v>
      </c>
    </row>
    <row r="1066" s="402" customFormat="1" outlineLevel="2" spans="2:24">
      <c r="B1066" s="428" t="s">
        <v>2687</v>
      </c>
      <c r="C1066" s="429" t="str">
        <f t="shared" si="96"/>
        <v>石嘴山市深阳蓝光市政工程有限公司</v>
      </c>
      <c r="D1066" s="814" t="s">
        <v>2686</v>
      </c>
      <c r="E1066" s="834"/>
      <c r="F1066" s="834"/>
      <c r="G1066" s="835"/>
      <c r="H1066" s="835"/>
      <c r="I1066" s="844"/>
      <c r="J1066" s="844"/>
      <c r="K1066" s="845">
        <f t="shared" si="99"/>
        <v>0</v>
      </c>
      <c r="L1066" s="849"/>
      <c r="M1066" s="847"/>
      <c r="N1066" s="848"/>
      <c r="O1066" s="848"/>
      <c r="P1066" s="848"/>
      <c r="Q1066" s="848"/>
      <c r="X1066" s="501" t="b">
        <f t="shared" si="98"/>
        <v>1</v>
      </c>
    </row>
    <row r="1067" s="402" customFormat="1" outlineLevel="2" spans="2:24">
      <c r="B1067" s="428" t="s">
        <v>2687</v>
      </c>
      <c r="C1067" s="429" t="str">
        <f t="shared" si="96"/>
        <v>石嘴山市深阳蓝光市政工程有限公司</v>
      </c>
      <c r="D1067" s="814" t="s">
        <v>2686</v>
      </c>
      <c r="E1067" s="834"/>
      <c r="F1067" s="834"/>
      <c r="G1067" s="835"/>
      <c r="H1067" s="835"/>
      <c r="I1067" s="844"/>
      <c r="J1067" s="844"/>
      <c r="K1067" s="845">
        <f t="shared" si="99"/>
        <v>0</v>
      </c>
      <c r="L1067" s="849"/>
      <c r="M1067" s="847"/>
      <c r="N1067" s="848"/>
      <c r="O1067" s="848"/>
      <c r="P1067" s="848"/>
      <c r="Q1067" s="848"/>
      <c r="X1067" s="501" t="b">
        <f t="shared" si="98"/>
        <v>1</v>
      </c>
    </row>
    <row r="1068" s="402" customFormat="1" outlineLevel="2" spans="2:24">
      <c r="B1068" s="428" t="s">
        <v>2687</v>
      </c>
      <c r="C1068" s="429" t="str">
        <f t="shared" si="96"/>
        <v>石嘴山市深阳蓝光市政工程有限公司</v>
      </c>
      <c r="D1068" s="814" t="s">
        <v>2686</v>
      </c>
      <c r="E1068" s="834"/>
      <c r="F1068" s="834"/>
      <c r="G1068" s="835"/>
      <c r="H1068" s="835"/>
      <c r="I1068" s="844"/>
      <c r="J1068" s="844"/>
      <c r="K1068" s="845">
        <f t="shared" si="99"/>
        <v>0</v>
      </c>
      <c r="L1068" s="849"/>
      <c r="M1068" s="847"/>
      <c r="N1068" s="848"/>
      <c r="O1068" s="848"/>
      <c r="P1068" s="848"/>
      <c r="Q1068" s="848"/>
      <c r="X1068" s="501" t="b">
        <f t="shared" si="98"/>
        <v>1</v>
      </c>
    </row>
    <row r="1069" s="402" customFormat="1" outlineLevel="2" spans="2:24">
      <c r="B1069" s="428" t="s">
        <v>2687</v>
      </c>
      <c r="C1069" s="429" t="str">
        <f t="shared" si="96"/>
        <v>石嘴山市深阳蓝光市政工程有限公司</v>
      </c>
      <c r="D1069" s="814" t="s">
        <v>2686</v>
      </c>
      <c r="E1069" s="834"/>
      <c r="F1069" s="834"/>
      <c r="G1069" s="835"/>
      <c r="H1069" s="835"/>
      <c r="I1069" s="844"/>
      <c r="J1069" s="844"/>
      <c r="K1069" s="845">
        <f t="shared" si="99"/>
        <v>0</v>
      </c>
      <c r="L1069" s="849"/>
      <c r="M1069" s="847"/>
      <c r="N1069" s="848"/>
      <c r="O1069" s="848"/>
      <c r="P1069" s="848"/>
      <c r="Q1069" s="848"/>
      <c r="X1069" s="501" t="b">
        <f t="shared" si="98"/>
        <v>1</v>
      </c>
    </row>
    <row r="1070" s="402" customFormat="1" outlineLevel="2" spans="2:24">
      <c r="B1070" s="428" t="s">
        <v>2687</v>
      </c>
      <c r="C1070" s="429" t="str">
        <f t="shared" si="96"/>
        <v>石嘴山市深阳蓝光市政工程有限公司</v>
      </c>
      <c r="D1070" s="814" t="s">
        <v>2686</v>
      </c>
      <c r="E1070" s="834"/>
      <c r="F1070" s="834"/>
      <c r="G1070" s="835"/>
      <c r="H1070" s="835"/>
      <c r="I1070" s="844"/>
      <c r="J1070" s="844"/>
      <c r="K1070" s="845">
        <f t="shared" si="99"/>
        <v>0</v>
      </c>
      <c r="L1070" s="849"/>
      <c r="M1070" s="847"/>
      <c r="N1070" s="848"/>
      <c r="O1070" s="848"/>
      <c r="P1070" s="848"/>
      <c r="Q1070" s="848"/>
      <c r="X1070" s="501" t="b">
        <f t="shared" si="98"/>
        <v>1</v>
      </c>
    </row>
    <row r="1071" s="402" customFormat="1" outlineLevel="2" spans="2:24">
      <c r="B1071" s="428" t="s">
        <v>2687</v>
      </c>
      <c r="C1071" s="429" t="str">
        <f t="shared" si="96"/>
        <v>石嘴山市深阳蓝光市政工程有限公司</v>
      </c>
      <c r="D1071" s="814" t="s">
        <v>2686</v>
      </c>
      <c r="E1071" s="834"/>
      <c r="F1071" s="834"/>
      <c r="G1071" s="835"/>
      <c r="H1071" s="835"/>
      <c r="I1071" s="843"/>
      <c r="J1071" s="843"/>
      <c r="K1071" s="845">
        <f t="shared" si="99"/>
        <v>0</v>
      </c>
      <c r="L1071" s="849"/>
      <c r="M1071" s="847"/>
      <c r="N1071" s="848"/>
      <c r="O1071" s="848"/>
      <c r="P1071" s="848"/>
      <c r="Q1071" s="848"/>
      <c r="X1071" s="501" t="b">
        <f t="shared" si="98"/>
        <v>1</v>
      </c>
    </row>
    <row r="1072" s="402" customFormat="1" outlineLevel="2" spans="2:24">
      <c r="B1072" s="428" t="s">
        <v>2687</v>
      </c>
      <c r="C1072" s="429" t="str">
        <f t="shared" si="96"/>
        <v>石嘴山市深阳蓝光市政工程有限公司</v>
      </c>
      <c r="D1072" s="814" t="s">
        <v>2686</v>
      </c>
      <c r="E1072" s="834"/>
      <c r="F1072" s="834"/>
      <c r="G1072" s="835"/>
      <c r="H1072" s="835"/>
      <c r="I1072" s="843"/>
      <c r="J1072" s="843"/>
      <c r="K1072" s="845">
        <f t="shared" si="99"/>
        <v>0</v>
      </c>
      <c r="L1072" s="849"/>
      <c r="M1072" s="847"/>
      <c r="N1072" s="848"/>
      <c r="O1072" s="848"/>
      <c r="P1072" s="848"/>
      <c r="Q1072" s="848"/>
      <c r="X1072" s="501" t="b">
        <f t="shared" si="98"/>
        <v>1</v>
      </c>
    </row>
    <row r="1073" s="402" customFormat="1" outlineLevel="2" spans="2:24">
      <c r="B1073" s="428" t="s">
        <v>2687</v>
      </c>
      <c r="C1073" s="429" t="str">
        <f t="shared" si="96"/>
        <v>石嘴山市深阳蓝光市政工程有限公司</v>
      </c>
      <c r="D1073" s="814" t="s">
        <v>2686</v>
      </c>
      <c r="E1073" s="834"/>
      <c r="F1073" s="834"/>
      <c r="G1073" s="835"/>
      <c r="H1073" s="835"/>
      <c r="I1073" s="843"/>
      <c r="J1073" s="843"/>
      <c r="K1073" s="845">
        <f t="shared" si="99"/>
        <v>0</v>
      </c>
      <c r="L1073" s="849"/>
      <c r="M1073" s="847"/>
      <c r="N1073" s="848"/>
      <c r="O1073" s="848"/>
      <c r="P1073" s="848"/>
      <c r="Q1073" s="848"/>
      <c r="X1073" s="501" t="b">
        <f t="shared" si="98"/>
        <v>1</v>
      </c>
    </row>
    <row r="1074" s="402" customFormat="1" outlineLevel="2" spans="2:24">
      <c r="B1074" s="428" t="s">
        <v>2687</v>
      </c>
      <c r="C1074" s="429" t="str">
        <f t="shared" si="96"/>
        <v>石嘴山市深阳蓝光市政工程有限公司</v>
      </c>
      <c r="D1074" s="814" t="s">
        <v>2686</v>
      </c>
      <c r="E1074" s="834"/>
      <c r="F1074" s="834"/>
      <c r="G1074" s="835"/>
      <c r="H1074" s="835"/>
      <c r="I1074" s="843"/>
      <c r="J1074" s="843"/>
      <c r="K1074" s="845">
        <f t="shared" si="99"/>
        <v>0</v>
      </c>
      <c r="L1074" s="849"/>
      <c r="M1074" s="847"/>
      <c r="N1074" s="848"/>
      <c r="O1074" s="848"/>
      <c r="P1074" s="848"/>
      <c r="Q1074" s="848"/>
      <c r="X1074" s="501" t="b">
        <f t="shared" si="98"/>
        <v>1</v>
      </c>
    </row>
    <row r="1075" s="402" customFormat="1" outlineLevel="2" spans="2:24">
      <c r="B1075" s="428" t="s">
        <v>2687</v>
      </c>
      <c r="C1075" s="429" t="str">
        <f t="shared" si="96"/>
        <v>石嘴山市深阳蓝光市政工程有限公司</v>
      </c>
      <c r="D1075" s="814" t="s">
        <v>2686</v>
      </c>
      <c r="E1075" s="834"/>
      <c r="F1075" s="834"/>
      <c r="G1075" s="835"/>
      <c r="H1075" s="835"/>
      <c r="I1075" s="843"/>
      <c r="J1075" s="843"/>
      <c r="K1075" s="845">
        <f t="shared" si="99"/>
        <v>0</v>
      </c>
      <c r="L1075" s="849"/>
      <c r="M1075" s="847"/>
      <c r="N1075" s="848"/>
      <c r="O1075" s="848"/>
      <c r="P1075" s="848"/>
      <c r="Q1075" s="848"/>
      <c r="X1075" s="501" t="b">
        <f t="shared" si="98"/>
        <v>1</v>
      </c>
    </row>
    <row r="1076" s="402" customFormat="1" outlineLevel="2" spans="2:24">
      <c r="B1076" s="428" t="s">
        <v>2687</v>
      </c>
      <c r="C1076" s="429" t="str">
        <f t="shared" si="96"/>
        <v>石嘴山市深阳蓝光市政工程有限公司</v>
      </c>
      <c r="D1076" s="814" t="s">
        <v>2686</v>
      </c>
      <c r="E1076" s="834"/>
      <c r="F1076" s="834"/>
      <c r="G1076" s="835"/>
      <c r="H1076" s="835"/>
      <c r="I1076" s="843"/>
      <c r="J1076" s="843"/>
      <c r="K1076" s="845">
        <f t="shared" si="99"/>
        <v>0</v>
      </c>
      <c r="L1076" s="849"/>
      <c r="M1076" s="847"/>
      <c r="N1076" s="848"/>
      <c r="O1076" s="848"/>
      <c r="P1076" s="848"/>
      <c r="Q1076" s="848"/>
      <c r="X1076" s="501" t="b">
        <f t="shared" si="98"/>
        <v>1</v>
      </c>
    </row>
    <row r="1077" s="402" customFormat="1" outlineLevel="2" spans="2:24">
      <c r="B1077" s="428" t="s">
        <v>2687</v>
      </c>
      <c r="C1077" s="429" t="str">
        <f t="shared" si="96"/>
        <v>石嘴山市深阳蓝光市政工程有限公司</v>
      </c>
      <c r="D1077" s="814" t="s">
        <v>2686</v>
      </c>
      <c r="E1077" s="834"/>
      <c r="F1077" s="834"/>
      <c r="G1077" s="835"/>
      <c r="H1077" s="835"/>
      <c r="I1077" s="843"/>
      <c r="J1077" s="843"/>
      <c r="K1077" s="845">
        <f t="shared" si="99"/>
        <v>0</v>
      </c>
      <c r="L1077" s="849"/>
      <c r="M1077" s="847"/>
      <c r="N1077" s="848"/>
      <c r="O1077" s="848"/>
      <c r="P1077" s="848"/>
      <c r="Q1077" s="848"/>
      <c r="X1077" s="501" t="b">
        <f t="shared" si="98"/>
        <v>1</v>
      </c>
    </row>
    <row r="1078" s="402" customFormat="1" outlineLevel="2" spans="2:24">
      <c r="B1078" s="428" t="s">
        <v>2687</v>
      </c>
      <c r="C1078" s="429" t="str">
        <f t="shared" si="96"/>
        <v>石嘴山市深阳蓝光市政工程有限公司</v>
      </c>
      <c r="D1078" s="814" t="s">
        <v>2686</v>
      </c>
      <c r="E1078" s="834"/>
      <c r="F1078" s="834"/>
      <c r="G1078" s="835"/>
      <c r="H1078" s="835"/>
      <c r="I1078" s="843"/>
      <c r="J1078" s="843"/>
      <c r="K1078" s="845">
        <f t="shared" si="99"/>
        <v>0</v>
      </c>
      <c r="L1078" s="849"/>
      <c r="M1078" s="847"/>
      <c r="N1078" s="848"/>
      <c r="O1078" s="848"/>
      <c r="P1078" s="848"/>
      <c r="Q1078" s="848"/>
      <c r="X1078" s="501" t="b">
        <f t="shared" si="98"/>
        <v>1</v>
      </c>
    </row>
    <row r="1079" s="402" customFormat="1" outlineLevel="2" spans="2:24">
      <c r="B1079" s="428" t="s">
        <v>2687</v>
      </c>
      <c r="C1079" s="429" t="str">
        <f t="shared" si="96"/>
        <v>石嘴山市深阳蓝光市政工程有限公司</v>
      </c>
      <c r="D1079" s="814" t="s">
        <v>2686</v>
      </c>
      <c r="E1079" s="834"/>
      <c r="F1079" s="834"/>
      <c r="G1079" s="835"/>
      <c r="H1079" s="835"/>
      <c r="I1079" s="843"/>
      <c r="J1079" s="843"/>
      <c r="K1079" s="845">
        <f t="shared" si="99"/>
        <v>0</v>
      </c>
      <c r="L1079" s="843"/>
      <c r="M1079" s="847"/>
      <c r="N1079" s="848"/>
      <c r="O1079" s="848"/>
      <c r="P1079" s="848"/>
      <c r="Q1079" s="848"/>
      <c r="X1079" s="501" t="b">
        <f t="shared" si="98"/>
        <v>1</v>
      </c>
    </row>
    <row r="1080" s="402" customFormat="1" outlineLevel="2" spans="2:24">
      <c r="B1080" s="428" t="s">
        <v>2687</v>
      </c>
      <c r="C1080" s="429" t="str">
        <f t="shared" si="96"/>
        <v>石嘴山市深阳蓝光市政工程有限公司</v>
      </c>
      <c r="D1080" s="814" t="s">
        <v>2686</v>
      </c>
      <c r="E1080" s="834"/>
      <c r="F1080" s="834"/>
      <c r="G1080" s="835"/>
      <c r="H1080" s="835"/>
      <c r="I1080" s="843"/>
      <c r="J1080" s="843"/>
      <c r="K1080" s="845">
        <f t="shared" si="99"/>
        <v>0</v>
      </c>
      <c r="L1080" s="849"/>
      <c r="M1080" s="847"/>
      <c r="N1080" s="848"/>
      <c r="O1080" s="848"/>
      <c r="P1080" s="848"/>
      <c r="Q1080" s="848"/>
      <c r="X1080" s="501" t="b">
        <f t="shared" si="98"/>
        <v>1</v>
      </c>
    </row>
    <row r="1081" s="402" customFormat="1" outlineLevel="2" spans="1:24">
      <c r="A1081" s="402" t="s">
        <v>1580</v>
      </c>
      <c r="B1081" s="428" t="s">
        <v>2687</v>
      </c>
      <c r="C1081" s="429" t="str">
        <f t="shared" si="96"/>
        <v>石嘴山市深阳蓝光市政工程有限公司</v>
      </c>
      <c r="D1081" s="814" t="s">
        <v>2686</v>
      </c>
      <c r="E1081" s="832" t="s">
        <v>1580</v>
      </c>
      <c r="F1081" s="832"/>
      <c r="G1081" s="135">
        <f t="shared" ref="G1081:Q1081" si="100">ROUND(SUM(G1055:G1080),2)</f>
        <v>0</v>
      </c>
      <c r="H1081" s="135">
        <f t="shared" si="100"/>
        <v>0</v>
      </c>
      <c r="I1081" s="135">
        <f t="shared" si="100"/>
        <v>0</v>
      </c>
      <c r="J1081" s="135">
        <f t="shared" si="100"/>
        <v>0</v>
      </c>
      <c r="K1081" s="135">
        <f t="shared" si="100"/>
        <v>0</v>
      </c>
      <c r="L1081" s="135">
        <f t="shared" si="100"/>
        <v>0</v>
      </c>
      <c r="M1081" s="135">
        <f t="shared" si="100"/>
        <v>0</v>
      </c>
      <c r="N1081" s="135">
        <f t="shared" si="100"/>
        <v>0</v>
      </c>
      <c r="O1081" s="135">
        <f t="shared" si="100"/>
        <v>0</v>
      </c>
      <c r="P1081" s="135">
        <f t="shared" si="100"/>
        <v>0</v>
      </c>
      <c r="Q1081" s="135">
        <f t="shared" si="100"/>
        <v>0</v>
      </c>
      <c r="X1081" s="501" t="b">
        <f t="shared" si="98"/>
        <v>1</v>
      </c>
    </row>
    <row r="1082" s="402" customFormat="1" outlineLevel="2" spans="1:24">
      <c r="A1082" s="402" t="s">
        <v>1444</v>
      </c>
      <c r="B1082" s="428" t="s">
        <v>2687</v>
      </c>
      <c r="C1082" s="429" t="str">
        <f t="shared" si="96"/>
        <v>石嘴山市深阳蓝光市政工程有限公司</v>
      </c>
      <c r="D1082" s="814" t="s">
        <v>2686</v>
      </c>
      <c r="E1082" s="819" t="s">
        <v>1444</v>
      </c>
      <c r="F1082" s="821"/>
      <c r="G1082" s="836"/>
      <c r="H1082" s="837">
        <f>审定资负表!D25</f>
        <v>0</v>
      </c>
      <c r="I1082" s="836"/>
      <c r="J1082" s="836"/>
      <c r="K1082" s="837">
        <f>审定资负表!C25</f>
        <v>0</v>
      </c>
      <c r="L1082" s="836"/>
      <c r="M1082" s="840"/>
      <c r="X1082" s="501" t="b">
        <f t="shared" si="98"/>
        <v>1</v>
      </c>
    </row>
    <row r="1083" s="402" customFormat="1" outlineLevel="1" spans="1:24">
      <c r="A1083" s="402" t="s">
        <v>1394</v>
      </c>
      <c r="B1083" s="428" t="s">
        <v>2687</v>
      </c>
      <c r="C1083" s="429" t="str">
        <f t="shared" si="96"/>
        <v>石嘴山市深阳蓝光市政工程有限公司</v>
      </c>
      <c r="D1083" s="814" t="s">
        <v>2686</v>
      </c>
      <c r="E1083" s="821" t="s">
        <v>1394</v>
      </c>
      <c r="F1083" s="821"/>
      <c r="G1083" s="836"/>
      <c r="H1083" s="721">
        <f>ROUND(H1081-H1082-O1081+P1081,2)</f>
        <v>0</v>
      </c>
      <c r="I1083" s="836"/>
      <c r="J1083" s="836"/>
      <c r="K1083" s="721">
        <f>ROUND(K1081-K1082-O1081,2)</f>
        <v>0</v>
      </c>
      <c r="L1083" s="836"/>
      <c r="M1083" s="840"/>
      <c r="X1083" s="501" t="b">
        <f t="shared" si="98"/>
        <v>1</v>
      </c>
    </row>
    <row r="1084" s="402" customFormat="1" outlineLevel="2" spans="2:24">
      <c r="B1084" s="428" t="s">
        <v>2687</v>
      </c>
      <c r="C1084" s="429" t="str">
        <f t="shared" si="96"/>
        <v>石嘴山市深阳蓝光市政工程有限公司</v>
      </c>
      <c r="D1084" s="814" t="s">
        <v>2686</v>
      </c>
      <c r="E1084" s="838"/>
      <c r="F1084" s="836"/>
      <c r="G1084" s="836"/>
      <c r="H1084" s="836"/>
      <c r="I1084" s="836"/>
      <c r="J1084" s="836"/>
      <c r="K1084" s="836"/>
      <c r="L1084" s="840"/>
      <c r="X1084" s="501" t="b">
        <f t="shared" si="98"/>
        <v>1</v>
      </c>
    </row>
    <row r="1085" s="402" customFormat="1" outlineLevel="2" spans="2:24">
      <c r="B1085" s="428" t="s">
        <v>2687</v>
      </c>
      <c r="C1085" s="429" t="str">
        <f t="shared" si="96"/>
        <v>石嘴山市深阳蓝光市政工程有限公司</v>
      </c>
      <c r="D1085" s="814" t="s">
        <v>2686</v>
      </c>
      <c r="E1085" s="839"/>
      <c r="F1085" s="840"/>
      <c r="G1085" s="840"/>
      <c r="H1085" s="840"/>
      <c r="I1085" s="840"/>
      <c r="J1085" s="840"/>
      <c r="K1085" s="840"/>
      <c r="L1085" s="840"/>
      <c r="X1085" s="501" t="b">
        <f t="shared" si="98"/>
        <v>1</v>
      </c>
    </row>
    <row r="1086" s="402" customFormat="1" outlineLevel="2" spans="1:24">
      <c r="A1086" s="402" t="s">
        <v>2699</v>
      </c>
      <c r="B1086" s="428" t="s">
        <v>2687</v>
      </c>
      <c r="C1086" s="429" t="str">
        <f t="shared" si="96"/>
        <v>石嘴山市深阳蓝光市政工程有限公司</v>
      </c>
      <c r="D1086" s="841" t="s">
        <v>2700</v>
      </c>
      <c r="E1086" s="842" t="s">
        <v>2701</v>
      </c>
      <c r="F1086" s="842"/>
      <c r="G1086" s="842"/>
      <c r="H1086" s="842"/>
      <c r="I1086" s="842"/>
      <c r="J1086" s="842"/>
      <c r="K1086" s="842"/>
      <c r="L1086" s="840"/>
      <c r="X1086" s="501" t="b">
        <f t="shared" si="98"/>
        <v>1</v>
      </c>
    </row>
    <row r="1087" s="402" customFormat="1" ht="22.5" outlineLevel="2" spans="1:24">
      <c r="A1087" s="402" t="s">
        <v>2702</v>
      </c>
      <c r="B1087" s="428" t="s">
        <v>2687</v>
      </c>
      <c r="C1087" s="429" t="str">
        <f t="shared" si="96"/>
        <v>石嘴山市深阳蓝光市政工程有限公司</v>
      </c>
      <c r="D1087" s="841" t="s">
        <v>2700</v>
      </c>
      <c r="E1087" s="832" t="s">
        <v>2702</v>
      </c>
      <c r="F1087" s="832" t="s">
        <v>2703</v>
      </c>
      <c r="G1087" s="832" t="s">
        <v>2704</v>
      </c>
      <c r="H1087" s="840"/>
      <c r="I1087" s="840"/>
      <c r="J1087" s="840"/>
      <c r="K1087" s="840"/>
      <c r="L1087" s="840"/>
      <c r="X1087" s="501" t="b">
        <f t="shared" si="98"/>
        <v>1</v>
      </c>
    </row>
    <row r="1088" s="402" customFormat="1" outlineLevel="2" spans="2:24">
      <c r="B1088" s="428" t="s">
        <v>2687</v>
      </c>
      <c r="C1088" s="429" t="str">
        <f t="shared" si="96"/>
        <v>石嘴山市深阳蓝光市政工程有限公司</v>
      </c>
      <c r="D1088" s="841" t="s">
        <v>2705</v>
      </c>
      <c r="E1088" s="834"/>
      <c r="F1088" s="843"/>
      <c r="G1088" s="843"/>
      <c r="H1088" s="840"/>
      <c r="I1088" s="840"/>
      <c r="J1088" s="840"/>
      <c r="K1088" s="840"/>
      <c r="L1088" s="840"/>
      <c r="X1088" s="501" t="b">
        <f t="shared" si="98"/>
        <v>1</v>
      </c>
    </row>
    <row r="1089" s="402" customFormat="1" outlineLevel="2" spans="2:24">
      <c r="B1089" s="428" t="s">
        <v>2687</v>
      </c>
      <c r="C1089" s="429" t="str">
        <f t="shared" si="96"/>
        <v>石嘴山市深阳蓝光市政工程有限公司</v>
      </c>
      <c r="D1089" s="841" t="s">
        <v>2705</v>
      </c>
      <c r="E1089" s="834"/>
      <c r="F1089" s="843"/>
      <c r="G1089" s="843"/>
      <c r="H1089" s="840"/>
      <c r="I1089" s="840"/>
      <c r="J1089" s="840"/>
      <c r="K1089" s="840"/>
      <c r="L1089" s="840"/>
      <c r="X1089" s="501" t="b">
        <f t="shared" si="98"/>
        <v>1</v>
      </c>
    </row>
    <row r="1090" s="402" customFormat="1" outlineLevel="2" spans="2:24">
      <c r="B1090" s="428" t="s">
        <v>2687</v>
      </c>
      <c r="C1090" s="429" t="str">
        <f t="shared" si="96"/>
        <v>石嘴山市深阳蓝光市政工程有限公司</v>
      </c>
      <c r="D1090" s="841" t="s">
        <v>2705</v>
      </c>
      <c r="E1090" s="834"/>
      <c r="F1090" s="843"/>
      <c r="G1090" s="843"/>
      <c r="H1090" s="840"/>
      <c r="I1090" s="840"/>
      <c r="J1090" s="840"/>
      <c r="K1090" s="840"/>
      <c r="L1090" s="840"/>
      <c r="X1090" s="501" t="b">
        <f t="shared" si="98"/>
        <v>1</v>
      </c>
    </row>
    <row r="1091" s="402" customFormat="1" outlineLevel="2" spans="2:24">
      <c r="B1091" s="428" t="s">
        <v>2687</v>
      </c>
      <c r="C1091" s="429" t="str">
        <f t="shared" si="96"/>
        <v>石嘴山市深阳蓝光市政工程有限公司</v>
      </c>
      <c r="D1091" s="841" t="s">
        <v>2705</v>
      </c>
      <c r="E1091" s="834"/>
      <c r="F1091" s="843"/>
      <c r="G1091" s="843"/>
      <c r="H1091" s="840"/>
      <c r="I1091" s="840"/>
      <c r="J1091" s="840"/>
      <c r="K1091" s="840"/>
      <c r="L1091" s="840"/>
      <c r="X1091" s="501" t="b">
        <f t="shared" si="98"/>
        <v>1</v>
      </c>
    </row>
    <row r="1092" s="402" customFormat="1" outlineLevel="2" spans="2:24">
      <c r="B1092" s="428" t="s">
        <v>2687</v>
      </c>
      <c r="C1092" s="429" t="str">
        <f t="shared" si="96"/>
        <v>石嘴山市深阳蓝光市政工程有限公司</v>
      </c>
      <c r="D1092" s="841" t="s">
        <v>2705</v>
      </c>
      <c r="E1092" s="834"/>
      <c r="F1092" s="843"/>
      <c r="G1092" s="843"/>
      <c r="H1092" s="840"/>
      <c r="I1092" s="840"/>
      <c r="J1092" s="840"/>
      <c r="K1092" s="840"/>
      <c r="L1092" s="840"/>
      <c r="X1092" s="501" t="b">
        <f t="shared" si="98"/>
        <v>1</v>
      </c>
    </row>
    <row r="1093" s="402" customFormat="1" outlineLevel="2" spans="2:24">
      <c r="B1093" s="428" t="s">
        <v>2687</v>
      </c>
      <c r="C1093" s="429" t="str">
        <f t="shared" si="96"/>
        <v>石嘴山市深阳蓝光市政工程有限公司</v>
      </c>
      <c r="D1093" s="841" t="s">
        <v>2705</v>
      </c>
      <c r="E1093" s="834"/>
      <c r="F1093" s="843"/>
      <c r="G1093" s="843"/>
      <c r="H1093" s="840"/>
      <c r="I1093" s="840"/>
      <c r="J1093" s="840"/>
      <c r="K1093" s="840"/>
      <c r="L1093" s="840"/>
      <c r="X1093" s="501" t="b">
        <f t="shared" si="98"/>
        <v>1</v>
      </c>
    </row>
    <row r="1094" s="402" customFormat="1" outlineLevel="2" spans="2:24">
      <c r="B1094" s="428" t="s">
        <v>2687</v>
      </c>
      <c r="C1094" s="429" t="str">
        <f t="shared" ref="C1094:C1149" si="101">$G$1</f>
        <v>石嘴山市深阳蓝光市政工程有限公司</v>
      </c>
      <c r="D1094" s="841" t="s">
        <v>2705</v>
      </c>
      <c r="E1094" s="834"/>
      <c r="F1094" s="843"/>
      <c r="G1094" s="843"/>
      <c r="H1094" s="840"/>
      <c r="I1094" s="840"/>
      <c r="J1094" s="840"/>
      <c r="K1094" s="840"/>
      <c r="L1094" s="840"/>
      <c r="X1094" s="501" t="b">
        <f t="shared" si="98"/>
        <v>1</v>
      </c>
    </row>
    <row r="1095" s="402" customFormat="1" outlineLevel="2" spans="2:24">
      <c r="B1095" s="428" t="s">
        <v>2687</v>
      </c>
      <c r="C1095" s="429" t="str">
        <f t="shared" si="101"/>
        <v>石嘴山市深阳蓝光市政工程有限公司</v>
      </c>
      <c r="D1095" s="841" t="s">
        <v>2705</v>
      </c>
      <c r="E1095" s="834"/>
      <c r="F1095" s="843"/>
      <c r="G1095" s="843"/>
      <c r="H1095" s="840"/>
      <c r="I1095" s="840"/>
      <c r="J1095" s="840"/>
      <c r="K1095" s="840"/>
      <c r="L1095" s="840"/>
      <c r="X1095" s="501" t="b">
        <f t="shared" si="98"/>
        <v>1</v>
      </c>
    </row>
    <row r="1096" s="402" customFormat="1" outlineLevel="2" spans="2:24">
      <c r="B1096" s="428" t="s">
        <v>2687</v>
      </c>
      <c r="C1096" s="429" t="str">
        <f t="shared" si="101"/>
        <v>石嘴山市深阳蓝光市政工程有限公司</v>
      </c>
      <c r="D1096" s="841" t="s">
        <v>2705</v>
      </c>
      <c r="E1096" s="839"/>
      <c r="F1096" s="840"/>
      <c r="G1096" s="840"/>
      <c r="H1096" s="840"/>
      <c r="I1096" s="840"/>
      <c r="J1096" s="840"/>
      <c r="K1096" s="840"/>
      <c r="L1096" s="840"/>
      <c r="X1096" s="501" t="b">
        <f t="shared" si="98"/>
        <v>1</v>
      </c>
    </row>
    <row r="1097" s="402" customFormat="1" outlineLevel="2" spans="2:24">
      <c r="B1097" s="428" t="s">
        <v>2687</v>
      </c>
      <c r="C1097" s="429" t="str">
        <f t="shared" si="101"/>
        <v>石嘴山市深阳蓝光市政工程有限公司</v>
      </c>
      <c r="D1097" s="841" t="s">
        <v>2705</v>
      </c>
      <c r="E1097" s="149"/>
      <c r="F1097" s="451"/>
      <c r="G1097" s="451"/>
      <c r="X1097" s="501" t="b">
        <f t="shared" si="98"/>
        <v>1</v>
      </c>
    </row>
    <row r="1098" s="402" customFormat="1" outlineLevel="2" spans="2:24">
      <c r="B1098" s="428" t="s">
        <v>2687</v>
      </c>
      <c r="C1098" s="429" t="str">
        <f t="shared" si="101"/>
        <v>石嘴山市深阳蓝光市政工程有限公司</v>
      </c>
      <c r="D1098" s="814"/>
      <c r="E1098" s="149"/>
      <c r="F1098" s="451"/>
      <c r="G1098" s="451"/>
      <c r="X1098" s="501" t="b">
        <f t="shared" si="98"/>
        <v>1</v>
      </c>
    </row>
    <row r="1099" s="402" customFormat="1" outlineLevel="2" spans="1:24">
      <c r="A1099" s="402" t="s">
        <v>2315</v>
      </c>
      <c r="B1099" s="428" t="s">
        <v>2687</v>
      </c>
      <c r="C1099" s="429" t="str">
        <f t="shared" si="101"/>
        <v>石嘴山市深阳蓝光市政工程有限公司</v>
      </c>
      <c r="D1099" s="814"/>
      <c r="E1099" s="748" t="s">
        <v>2334</v>
      </c>
      <c r="F1099" s="471"/>
      <c r="G1099" s="471"/>
      <c r="H1099" s="830"/>
      <c r="X1099" s="501" t="b">
        <f t="shared" si="98"/>
        <v>1</v>
      </c>
    </row>
    <row r="1100" s="402" customFormat="1" outlineLevel="2" spans="2:24">
      <c r="B1100" s="428" t="s">
        <v>2687</v>
      </c>
      <c r="C1100" s="429" t="str">
        <f t="shared" si="101"/>
        <v>石嘴山市深阳蓝光市政工程有限公司</v>
      </c>
      <c r="D1100" s="814"/>
      <c r="E1100" s="748"/>
      <c r="F1100" s="451"/>
      <c r="G1100" s="451"/>
      <c r="X1100" s="501" t="b">
        <f t="shared" si="98"/>
        <v>1</v>
      </c>
    </row>
    <row r="1101" s="403" customFormat="1" spans="1:24">
      <c r="A1101" s="403" t="s">
        <v>1638</v>
      </c>
      <c r="B1101" s="428" t="s">
        <v>2706</v>
      </c>
      <c r="C1101" s="429" t="str">
        <f t="shared" si="101"/>
        <v>石嘴山市深阳蓝光市政工程有限公司</v>
      </c>
      <c r="D1101" s="850" t="s">
        <v>1638</v>
      </c>
      <c r="E1101" s="65" t="s">
        <v>2707</v>
      </c>
      <c r="F1101" s="851" t="s">
        <v>2708</v>
      </c>
      <c r="G1101" s="852"/>
      <c r="H1101" s="853"/>
      <c r="I1101" s="879"/>
      <c r="X1101" s="501" t="b">
        <f t="shared" si="98"/>
        <v>1</v>
      </c>
    </row>
    <row r="1102" s="403" customFormat="1" outlineLevel="2" spans="1:24">
      <c r="A1102" s="403" t="s">
        <v>1639</v>
      </c>
      <c r="B1102" s="428" t="s">
        <v>2706</v>
      </c>
      <c r="C1102" s="429" t="str">
        <f t="shared" si="101"/>
        <v>石嘴山市深阳蓝光市政工程有限公司</v>
      </c>
      <c r="D1102" s="850" t="s">
        <v>1638</v>
      </c>
      <c r="E1102" s="149" t="s">
        <v>2709</v>
      </c>
      <c r="F1102" s="852"/>
      <c r="G1102" s="852"/>
      <c r="H1102" s="853"/>
      <c r="I1102" s="879"/>
      <c r="J1102" s="880" t="s">
        <v>2710</v>
      </c>
      <c r="M1102" s="403" t="s">
        <v>1640</v>
      </c>
      <c r="N1102" s="403" t="s">
        <v>1641</v>
      </c>
      <c r="X1102" s="501" t="b">
        <f t="shared" si="98"/>
        <v>0</v>
      </c>
    </row>
    <row r="1103" s="403" customFormat="1" outlineLevel="2" spans="1:24">
      <c r="A1103" s="403" t="s">
        <v>2477</v>
      </c>
      <c r="B1103" s="428" t="s">
        <v>2706</v>
      </c>
      <c r="C1103" s="429" t="str">
        <f t="shared" si="101"/>
        <v>石嘴山市深阳蓝光市政工程有限公司</v>
      </c>
      <c r="D1103" s="850" t="s">
        <v>1638</v>
      </c>
      <c r="E1103" s="854" t="s">
        <v>2477</v>
      </c>
      <c r="F1103" s="854" t="s">
        <v>1579</v>
      </c>
      <c r="G1103" s="854" t="s">
        <v>671</v>
      </c>
      <c r="H1103" s="854" t="s">
        <v>672</v>
      </c>
      <c r="I1103" s="854" t="s">
        <v>315</v>
      </c>
      <c r="J1103" s="153" t="s">
        <v>2711</v>
      </c>
      <c r="K1103" s="153" t="s">
        <v>2712</v>
      </c>
      <c r="X1103" s="501" t="b">
        <f t="shared" si="98"/>
        <v>1</v>
      </c>
    </row>
    <row r="1104" s="403" customFormat="1" outlineLevel="2" spans="1:24">
      <c r="A1104" s="403" t="s">
        <v>714</v>
      </c>
      <c r="B1104" s="428" t="s">
        <v>2706</v>
      </c>
      <c r="C1104" s="429" t="str">
        <f t="shared" si="101"/>
        <v>石嘴山市深阳蓝光市政工程有限公司</v>
      </c>
      <c r="D1104" s="850" t="s">
        <v>1638</v>
      </c>
      <c r="E1104" s="855" t="s">
        <v>714</v>
      </c>
      <c r="F1104" s="135">
        <f t="shared" ref="F1104:K1104" si="102">F1105+F1106</f>
        <v>0</v>
      </c>
      <c r="G1104" s="135">
        <f t="shared" si="102"/>
        <v>0</v>
      </c>
      <c r="H1104" s="135">
        <f t="shared" si="102"/>
        <v>0</v>
      </c>
      <c r="I1104" s="135">
        <f t="shared" si="102"/>
        <v>0</v>
      </c>
      <c r="J1104" s="135">
        <f t="shared" si="102"/>
        <v>0</v>
      </c>
      <c r="K1104" s="135">
        <f t="shared" si="102"/>
        <v>0</v>
      </c>
      <c r="X1104" s="501" t="b">
        <f t="shared" si="98"/>
        <v>1</v>
      </c>
    </row>
    <row r="1105" s="403" customFormat="1" outlineLevel="2" spans="1:24">
      <c r="A1105" s="403" t="s">
        <v>1640</v>
      </c>
      <c r="B1105" s="428" t="s">
        <v>2706</v>
      </c>
      <c r="C1105" s="429" t="str">
        <f t="shared" si="101"/>
        <v>石嘴山市深阳蓝光市政工程有限公司</v>
      </c>
      <c r="D1105" s="850" t="s">
        <v>1638</v>
      </c>
      <c r="E1105" s="855" t="s">
        <v>2713</v>
      </c>
      <c r="F1105" s="856">
        <f>F3753</f>
        <v>0</v>
      </c>
      <c r="G1105" s="135">
        <f>F3754</f>
        <v>0</v>
      </c>
      <c r="H1105" s="135">
        <f>F3759</f>
        <v>0</v>
      </c>
      <c r="I1105" s="135">
        <f>F1105+G1105-H1105</f>
        <v>0</v>
      </c>
      <c r="J1105" s="132"/>
      <c r="K1105" s="132"/>
      <c r="X1105" s="501" t="b">
        <f t="shared" si="98"/>
        <v>1</v>
      </c>
    </row>
    <row r="1106" s="403" customFormat="1" outlineLevel="2" spans="1:24">
      <c r="A1106" s="403" t="s">
        <v>1641</v>
      </c>
      <c r="B1106" s="428" t="s">
        <v>2706</v>
      </c>
      <c r="C1106" s="429" t="str">
        <f t="shared" si="101"/>
        <v>石嘴山市深阳蓝光市政工程有限公司</v>
      </c>
      <c r="D1106" s="850" t="s">
        <v>1638</v>
      </c>
      <c r="E1106" s="855" t="s">
        <v>2714</v>
      </c>
      <c r="F1106" s="856">
        <f>G3753</f>
        <v>0</v>
      </c>
      <c r="G1106" s="135">
        <f>G3754</f>
        <v>0</v>
      </c>
      <c r="H1106" s="135">
        <f>G3759</f>
        <v>0</v>
      </c>
      <c r="I1106" s="135">
        <f>F1106+G1106-H1106</f>
        <v>0</v>
      </c>
      <c r="J1106" s="132"/>
      <c r="K1106" s="132"/>
      <c r="X1106" s="501" t="b">
        <f t="shared" si="98"/>
        <v>1</v>
      </c>
    </row>
    <row r="1107" s="403" customFormat="1" outlineLevel="2" spans="1:24">
      <c r="A1107" s="403" t="s">
        <v>1642</v>
      </c>
      <c r="B1107" s="428" t="s">
        <v>2706</v>
      </c>
      <c r="C1107" s="429" t="str">
        <f t="shared" si="101"/>
        <v>石嘴山市深阳蓝光市政工程有限公司</v>
      </c>
      <c r="D1107" s="850" t="s">
        <v>1638</v>
      </c>
      <c r="E1107" s="855" t="s">
        <v>1642</v>
      </c>
      <c r="F1107" s="135">
        <f t="shared" ref="F1107:K1107" si="103">F1108+F1109</f>
        <v>0</v>
      </c>
      <c r="G1107" s="135">
        <f t="shared" si="103"/>
        <v>0</v>
      </c>
      <c r="H1107" s="135">
        <f t="shared" si="103"/>
        <v>0</v>
      </c>
      <c r="I1107" s="135">
        <f t="shared" si="103"/>
        <v>0</v>
      </c>
      <c r="J1107" s="135">
        <f t="shared" si="103"/>
        <v>0</v>
      </c>
      <c r="K1107" s="135">
        <f t="shared" si="103"/>
        <v>0</v>
      </c>
      <c r="X1107" s="501" t="b">
        <f t="shared" si="98"/>
        <v>1</v>
      </c>
    </row>
    <row r="1108" s="403" customFormat="1" outlineLevel="2" spans="1:24">
      <c r="A1108" s="403" t="s">
        <v>1640</v>
      </c>
      <c r="B1108" s="428" t="s">
        <v>2706</v>
      </c>
      <c r="C1108" s="429" t="str">
        <f t="shared" si="101"/>
        <v>石嘴山市深阳蓝光市政工程有限公司</v>
      </c>
      <c r="D1108" s="850" t="s">
        <v>1638</v>
      </c>
      <c r="E1108" s="855" t="s">
        <v>2713</v>
      </c>
      <c r="F1108" s="856">
        <f>$F$3765</f>
        <v>0</v>
      </c>
      <c r="G1108" s="135">
        <f>F3767+F3768+F3769</f>
        <v>0</v>
      </c>
      <c r="H1108" s="135">
        <f>F3771+F3772+F3773</f>
        <v>0</v>
      </c>
      <c r="I1108" s="135">
        <f>F1108+G1108-H1108</f>
        <v>0</v>
      </c>
      <c r="J1108" s="132"/>
      <c r="K1108" s="132"/>
      <c r="X1108" s="501" t="b">
        <f t="shared" si="98"/>
        <v>1</v>
      </c>
    </row>
    <row r="1109" s="403" customFormat="1" outlineLevel="2" spans="1:24">
      <c r="A1109" s="403" t="s">
        <v>1641</v>
      </c>
      <c r="B1109" s="428" t="s">
        <v>2706</v>
      </c>
      <c r="C1109" s="429" t="str">
        <f t="shared" si="101"/>
        <v>石嘴山市深阳蓝光市政工程有限公司</v>
      </c>
      <c r="D1109" s="850" t="s">
        <v>1638</v>
      </c>
      <c r="E1109" s="855" t="s">
        <v>2714</v>
      </c>
      <c r="F1109" s="856">
        <f>$G$3765</f>
        <v>0</v>
      </c>
      <c r="G1109" s="135">
        <f>G3767+G3768+G3769</f>
        <v>0</v>
      </c>
      <c r="H1109" s="135">
        <f>G3771+G3772+G3773</f>
        <v>0</v>
      </c>
      <c r="I1109" s="135">
        <f>F1109+G1109-H1109</f>
        <v>0</v>
      </c>
      <c r="J1109" s="132"/>
      <c r="K1109" s="132"/>
      <c r="X1109" s="501" t="b">
        <f t="shared" si="98"/>
        <v>1</v>
      </c>
    </row>
    <row r="1110" s="403" customFormat="1" outlineLevel="2" spans="1:24">
      <c r="A1110" s="403" t="s">
        <v>1643</v>
      </c>
      <c r="B1110" s="428" t="s">
        <v>2706</v>
      </c>
      <c r="C1110" s="429" t="str">
        <f t="shared" si="101"/>
        <v>石嘴山市深阳蓝光市政工程有限公司</v>
      </c>
      <c r="D1110" s="850" t="s">
        <v>1638</v>
      </c>
      <c r="E1110" s="855" t="s">
        <v>1643</v>
      </c>
      <c r="F1110" s="477">
        <f t="shared" ref="F1110:K1110" si="104">F1111+F1112</f>
        <v>0</v>
      </c>
      <c r="G1110" s="135">
        <f t="shared" si="104"/>
        <v>0</v>
      </c>
      <c r="H1110" s="135">
        <f t="shared" si="104"/>
        <v>0</v>
      </c>
      <c r="I1110" s="135">
        <f t="shared" si="104"/>
        <v>0</v>
      </c>
      <c r="J1110" s="135">
        <f t="shared" si="104"/>
        <v>0</v>
      </c>
      <c r="K1110" s="135">
        <f t="shared" si="104"/>
        <v>0</v>
      </c>
      <c r="X1110" s="501" t="b">
        <f t="shared" si="98"/>
        <v>1</v>
      </c>
    </row>
    <row r="1111" s="403" customFormat="1" outlineLevel="2" spans="1:24">
      <c r="A1111" s="403" t="s">
        <v>1640</v>
      </c>
      <c r="B1111" s="428" t="s">
        <v>2706</v>
      </c>
      <c r="C1111" s="429" t="str">
        <f t="shared" si="101"/>
        <v>石嘴山市深阳蓝光市政工程有限公司</v>
      </c>
      <c r="D1111" s="850" t="s">
        <v>1638</v>
      </c>
      <c r="E1111" s="855" t="s">
        <v>2713</v>
      </c>
      <c r="F1111" s="856">
        <f>$F$3776</f>
        <v>0</v>
      </c>
      <c r="G1111" s="135">
        <f>F3777</f>
        <v>0</v>
      </c>
      <c r="H1111" s="135">
        <f>F3780</f>
        <v>0</v>
      </c>
      <c r="I1111" s="135">
        <f>F1111+G1111-H1111</f>
        <v>0</v>
      </c>
      <c r="J1111" s="132"/>
      <c r="K1111" s="132"/>
      <c r="X1111" s="501" t="b">
        <f t="shared" si="98"/>
        <v>1</v>
      </c>
    </row>
    <row r="1112" s="403" customFormat="1" outlineLevel="2" spans="1:24">
      <c r="A1112" s="403" t="s">
        <v>1641</v>
      </c>
      <c r="B1112" s="428" t="s">
        <v>2706</v>
      </c>
      <c r="C1112" s="429" t="str">
        <f t="shared" si="101"/>
        <v>石嘴山市深阳蓝光市政工程有限公司</v>
      </c>
      <c r="D1112" s="850" t="s">
        <v>1638</v>
      </c>
      <c r="E1112" s="855" t="s">
        <v>2714</v>
      </c>
      <c r="F1112" s="856">
        <f>$G$3776</f>
        <v>0</v>
      </c>
      <c r="G1112" s="135">
        <f>G3777</f>
        <v>0</v>
      </c>
      <c r="H1112" s="135">
        <f>G3780</f>
        <v>0</v>
      </c>
      <c r="I1112" s="135">
        <f>F1112+G1112-H1112</f>
        <v>0</v>
      </c>
      <c r="J1112" s="132"/>
      <c r="K1112" s="132"/>
      <c r="X1112" s="501" t="b">
        <f t="shared" si="98"/>
        <v>1</v>
      </c>
    </row>
    <row r="1113" s="403" customFormat="1" outlineLevel="2" spans="1:24">
      <c r="A1113" s="403" t="s">
        <v>728</v>
      </c>
      <c r="B1113" s="428" t="s">
        <v>2706</v>
      </c>
      <c r="C1113" s="429" t="str">
        <f t="shared" si="101"/>
        <v>石嘴山市深阳蓝光市政工程有限公司</v>
      </c>
      <c r="D1113" s="850" t="s">
        <v>1638</v>
      </c>
      <c r="E1113" s="855" t="s">
        <v>728</v>
      </c>
      <c r="F1113" s="135">
        <f>F1114+F1115</f>
        <v>0</v>
      </c>
      <c r="G1113" s="153"/>
      <c r="H1113" s="153"/>
      <c r="I1113" s="135">
        <f>I1114+I1115</f>
        <v>0</v>
      </c>
      <c r="J1113" s="135">
        <f>J1114+J1115</f>
        <v>0</v>
      </c>
      <c r="K1113" s="135">
        <f>K1114+K1115</f>
        <v>0</v>
      </c>
      <c r="X1113" s="501" t="b">
        <f t="shared" ref="X1113:X1177" si="105">EXACT(A1113,E1113)</f>
        <v>1</v>
      </c>
    </row>
    <row r="1114" s="403" customFormat="1" outlineLevel="2" spans="1:24">
      <c r="A1114" s="403" t="s">
        <v>1640</v>
      </c>
      <c r="B1114" s="428" t="s">
        <v>2706</v>
      </c>
      <c r="C1114" s="429" t="str">
        <f t="shared" si="101"/>
        <v>石嘴山市深阳蓝光市政工程有限公司</v>
      </c>
      <c r="D1114" s="850" t="s">
        <v>1638</v>
      </c>
      <c r="E1114" s="855" t="s">
        <v>2713</v>
      </c>
      <c r="F1114" s="135">
        <f>F1105-F1108-F1111</f>
        <v>0</v>
      </c>
      <c r="G1114" s="153"/>
      <c r="H1114" s="153"/>
      <c r="I1114" s="135">
        <f t="shared" ref="I1114:K1115" si="106">I1105-I1108-I1111</f>
        <v>0</v>
      </c>
      <c r="J1114" s="135">
        <f t="shared" si="106"/>
        <v>0</v>
      </c>
      <c r="K1114" s="135">
        <f t="shared" si="106"/>
        <v>0</v>
      </c>
      <c r="X1114" s="501" t="b">
        <f t="shared" si="105"/>
        <v>1</v>
      </c>
    </row>
    <row r="1115" s="403" customFormat="1" outlineLevel="2" spans="1:24">
      <c r="A1115" s="403" t="s">
        <v>1641</v>
      </c>
      <c r="B1115" s="428" t="s">
        <v>2706</v>
      </c>
      <c r="C1115" s="429" t="str">
        <f t="shared" si="101"/>
        <v>石嘴山市深阳蓝光市政工程有限公司</v>
      </c>
      <c r="D1115" s="850" t="s">
        <v>1638</v>
      </c>
      <c r="E1115" s="855" t="s">
        <v>2714</v>
      </c>
      <c r="F1115" s="135">
        <f>F1106-F1109-F1112</f>
        <v>0</v>
      </c>
      <c r="G1115" s="153"/>
      <c r="H1115" s="153"/>
      <c r="I1115" s="135">
        <f t="shared" si="106"/>
        <v>0</v>
      </c>
      <c r="J1115" s="135">
        <f t="shared" si="106"/>
        <v>0</v>
      </c>
      <c r="K1115" s="135">
        <f t="shared" si="106"/>
        <v>0</v>
      </c>
      <c r="X1115" s="501" t="b">
        <f t="shared" si="105"/>
        <v>1</v>
      </c>
    </row>
    <row r="1116" s="403" customFormat="1" outlineLevel="2" spans="1:24">
      <c r="A1116" s="403" t="s">
        <v>1444</v>
      </c>
      <c r="B1116" s="428" t="s">
        <v>2706</v>
      </c>
      <c r="C1116" s="429" t="str">
        <f t="shared" si="101"/>
        <v>石嘴山市深阳蓝光市政工程有限公司</v>
      </c>
      <c r="D1116" s="850" t="s">
        <v>1638</v>
      </c>
      <c r="E1116" s="821" t="s">
        <v>1444</v>
      </c>
      <c r="F1116" s="549">
        <f>审定资负表!D26</f>
        <v>0</v>
      </c>
      <c r="G1116" s="141"/>
      <c r="H1116" s="141"/>
      <c r="I1116" s="549">
        <f>审定资负表!C26</f>
        <v>0</v>
      </c>
      <c r="X1116" s="501" t="b">
        <f t="shared" si="105"/>
        <v>1</v>
      </c>
    </row>
    <row r="1117" s="403" customFormat="1" outlineLevel="1" collapsed="1" spans="1:24">
      <c r="A1117" s="403" t="s">
        <v>1394</v>
      </c>
      <c r="B1117" s="428" t="s">
        <v>2706</v>
      </c>
      <c r="C1117" s="429" t="str">
        <f t="shared" si="101"/>
        <v>石嘴山市深阳蓝光市政工程有限公司</v>
      </c>
      <c r="D1117" s="850" t="s">
        <v>1638</v>
      </c>
      <c r="E1117" s="821" t="s">
        <v>1394</v>
      </c>
      <c r="F1117" s="87">
        <f>ROUND(F1113-F1116,2)</f>
        <v>0</v>
      </c>
      <c r="G1117" s="141"/>
      <c r="H1117" s="141"/>
      <c r="I1117" s="87">
        <f>ROUND(I1113-I1116,2)</f>
        <v>0</v>
      </c>
      <c r="X1117" s="501" t="b">
        <f t="shared" si="105"/>
        <v>1</v>
      </c>
    </row>
    <row r="1118" s="403" customFormat="1" hidden="1" outlineLevel="2" spans="2:24">
      <c r="B1118" s="428" t="s">
        <v>2706</v>
      </c>
      <c r="C1118" s="429" t="str">
        <f t="shared" si="101"/>
        <v>石嘴山市深阳蓝光市政工程有限公司</v>
      </c>
      <c r="D1118" s="850" t="s">
        <v>1638</v>
      </c>
      <c r="E1118" s="821"/>
      <c r="F1118" s="852"/>
      <c r="G1118" s="852"/>
      <c r="H1118" s="852"/>
      <c r="I1118" s="852"/>
      <c r="X1118" s="501" t="b">
        <f t="shared" si="105"/>
        <v>1</v>
      </c>
    </row>
    <row r="1119" s="403" customFormat="1" hidden="1" outlineLevel="2" spans="1:24">
      <c r="A1119" s="403" t="s">
        <v>1644</v>
      </c>
      <c r="B1119" s="428" t="s">
        <v>2706</v>
      </c>
      <c r="C1119" s="429" t="str">
        <f t="shared" si="101"/>
        <v>石嘴山市深阳蓝光市政工程有限公司</v>
      </c>
      <c r="D1119" s="850" t="s">
        <v>2715</v>
      </c>
      <c r="E1119" s="857" t="s">
        <v>2716</v>
      </c>
      <c r="F1119" s="852"/>
      <c r="G1119" s="852"/>
      <c r="H1119" s="852"/>
      <c r="I1119" s="852"/>
      <c r="X1119" s="501" t="b">
        <f t="shared" si="105"/>
        <v>1</v>
      </c>
    </row>
    <row r="1120" s="403" customFormat="1" hidden="1" outlineLevel="2" spans="1:24">
      <c r="A1120" s="403" t="s">
        <v>60</v>
      </c>
      <c r="B1120" s="428" t="s">
        <v>2706</v>
      </c>
      <c r="C1120" s="429" t="str">
        <f t="shared" si="101"/>
        <v>石嘴山市深阳蓝光市政工程有限公司</v>
      </c>
      <c r="D1120" s="850" t="s">
        <v>2715</v>
      </c>
      <c r="E1120" s="854" t="s">
        <v>60</v>
      </c>
      <c r="F1120" s="854" t="s">
        <v>2717</v>
      </c>
      <c r="G1120" s="854" t="s">
        <v>671</v>
      </c>
      <c r="H1120" s="854"/>
      <c r="I1120" s="854"/>
      <c r="J1120" s="854" t="s">
        <v>672</v>
      </c>
      <c r="K1120" s="854"/>
      <c r="L1120" s="854" t="s">
        <v>2718</v>
      </c>
      <c r="X1120" s="501" t="b">
        <f t="shared" si="105"/>
        <v>1</v>
      </c>
    </row>
    <row r="1121" s="403" customFormat="1" hidden="1" outlineLevel="2" spans="2:24">
      <c r="B1121" s="428" t="s">
        <v>2706</v>
      </c>
      <c r="C1121" s="429" t="str">
        <f t="shared" si="101"/>
        <v>石嘴山市深阳蓝光市政工程有限公司</v>
      </c>
      <c r="D1121" s="850"/>
      <c r="E1121" s="854"/>
      <c r="F1121" s="854" t="s">
        <v>2719</v>
      </c>
      <c r="G1121" s="854" t="s">
        <v>2720</v>
      </c>
      <c r="H1121" s="854" t="s">
        <v>2721</v>
      </c>
      <c r="I1121" s="854" t="s">
        <v>2722</v>
      </c>
      <c r="J1121" s="854" t="s">
        <v>2723</v>
      </c>
      <c r="K1121" s="854" t="s">
        <v>2724</v>
      </c>
      <c r="L1121" s="854" t="s">
        <v>2719</v>
      </c>
      <c r="X1121" s="501" t="b">
        <f t="shared" si="105"/>
        <v>1</v>
      </c>
    </row>
    <row r="1122" s="403" customFormat="1" hidden="1" outlineLevel="2" spans="1:24">
      <c r="A1122" s="403" t="s">
        <v>1646</v>
      </c>
      <c r="B1122" s="428" t="s">
        <v>2706</v>
      </c>
      <c r="C1122" s="429" t="str">
        <f t="shared" si="101"/>
        <v>石嘴山市深阳蓝光市政工程有限公司</v>
      </c>
      <c r="D1122" s="850" t="s">
        <v>2725</v>
      </c>
      <c r="E1122" s="521" t="s">
        <v>2726</v>
      </c>
      <c r="F1122" s="858">
        <f t="shared" ref="F1122:K1122" si="107">SUM(F1123:F1125)</f>
        <v>0</v>
      </c>
      <c r="G1122" s="858">
        <f t="shared" si="107"/>
        <v>0</v>
      </c>
      <c r="H1122" s="858">
        <f t="shared" si="107"/>
        <v>0</v>
      </c>
      <c r="I1122" s="858">
        <f t="shared" si="107"/>
        <v>0</v>
      </c>
      <c r="J1122" s="858">
        <f t="shared" si="107"/>
        <v>0</v>
      </c>
      <c r="K1122" s="858">
        <f t="shared" si="107"/>
        <v>0</v>
      </c>
      <c r="L1122" s="881">
        <f>F1122+G1122+H1122+I1122-J1122-K1122</f>
        <v>0</v>
      </c>
      <c r="X1122" s="501" t="b">
        <f t="shared" si="105"/>
        <v>1</v>
      </c>
    </row>
    <row r="1123" s="403" customFormat="1" hidden="1" outlineLevel="2" spans="1:24">
      <c r="A1123" s="403" t="s">
        <v>1647</v>
      </c>
      <c r="B1123" s="428" t="s">
        <v>2706</v>
      </c>
      <c r="C1123" s="429" t="str">
        <f t="shared" si="101"/>
        <v>石嘴山市深阳蓝光市政工程有限公司</v>
      </c>
      <c r="D1123" s="850" t="s">
        <v>2725</v>
      </c>
      <c r="E1123" s="521" t="s">
        <v>2727</v>
      </c>
      <c r="F1123" s="859">
        <f>报表附注合并期初用!E617</f>
        <v>0</v>
      </c>
      <c r="G1123" s="860"/>
      <c r="H1123" s="860"/>
      <c r="I1123" s="860"/>
      <c r="J1123" s="882"/>
      <c r="K1123" s="882"/>
      <c r="L1123" s="881">
        <f t="shared" ref="L1123:L1129" si="108">F1123+G1123+H1123+I1123-J1123-K1123</f>
        <v>0</v>
      </c>
      <c r="X1123" s="501" t="b">
        <f t="shared" si="105"/>
        <v>1</v>
      </c>
    </row>
    <row r="1124" s="403" customFormat="1" hidden="1" outlineLevel="2" spans="1:24">
      <c r="A1124" s="403" t="s">
        <v>1648</v>
      </c>
      <c r="B1124" s="428" t="s">
        <v>2706</v>
      </c>
      <c r="C1124" s="429" t="str">
        <f t="shared" si="101"/>
        <v>石嘴山市深阳蓝光市政工程有限公司</v>
      </c>
      <c r="D1124" s="850"/>
      <c r="E1124" s="521" t="s">
        <v>2728</v>
      </c>
      <c r="F1124" s="859">
        <f>报表附注合并期初用!E618</f>
        <v>0</v>
      </c>
      <c r="G1124" s="860"/>
      <c r="H1124" s="860"/>
      <c r="I1124" s="860"/>
      <c r="J1124" s="882"/>
      <c r="K1124" s="882"/>
      <c r="L1124" s="881">
        <f t="shared" si="108"/>
        <v>0</v>
      </c>
      <c r="X1124" s="501" t="b">
        <f t="shared" si="105"/>
        <v>1</v>
      </c>
    </row>
    <row r="1125" s="403" customFormat="1" hidden="1" outlineLevel="2" spans="1:24">
      <c r="A1125" s="403" t="s">
        <v>1649</v>
      </c>
      <c r="B1125" s="428" t="s">
        <v>2706</v>
      </c>
      <c r="C1125" s="429" t="str">
        <f t="shared" si="101"/>
        <v>石嘴山市深阳蓝光市政工程有限公司</v>
      </c>
      <c r="D1125" s="850" t="s">
        <v>2725</v>
      </c>
      <c r="E1125" s="521" t="s">
        <v>2729</v>
      </c>
      <c r="F1125" s="859">
        <f>报表附注合并期初用!E619</f>
        <v>0</v>
      </c>
      <c r="G1125" s="860"/>
      <c r="H1125" s="860"/>
      <c r="I1125" s="860"/>
      <c r="J1125" s="882"/>
      <c r="K1125" s="882"/>
      <c r="L1125" s="881">
        <f t="shared" si="108"/>
        <v>0</v>
      </c>
      <c r="X1125" s="501" t="b">
        <f t="shared" si="105"/>
        <v>1</v>
      </c>
    </row>
    <row r="1126" s="403" customFormat="1" hidden="1" outlineLevel="2" spans="1:24">
      <c r="A1126" s="403" t="s">
        <v>1650</v>
      </c>
      <c r="B1126" s="428" t="s">
        <v>2706</v>
      </c>
      <c r="C1126" s="429" t="str">
        <f t="shared" si="101"/>
        <v>石嘴山市深阳蓝光市政工程有限公司</v>
      </c>
      <c r="D1126" s="850" t="s">
        <v>2725</v>
      </c>
      <c r="E1126" s="659" t="s">
        <v>2730</v>
      </c>
      <c r="F1126" s="861">
        <f t="shared" ref="F1126:K1126" si="109">SUM(F1127:F1129)</f>
        <v>0</v>
      </c>
      <c r="G1126" s="858">
        <f t="shared" si="109"/>
        <v>0</v>
      </c>
      <c r="H1126" s="858">
        <f t="shared" si="109"/>
        <v>0</v>
      </c>
      <c r="I1126" s="858">
        <f t="shared" si="109"/>
        <v>0</v>
      </c>
      <c r="J1126" s="858">
        <f t="shared" si="109"/>
        <v>0</v>
      </c>
      <c r="K1126" s="858">
        <f t="shared" si="109"/>
        <v>0</v>
      </c>
      <c r="L1126" s="881">
        <f t="shared" si="108"/>
        <v>0</v>
      </c>
      <c r="X1126" s="501" t="b">
        <f t="shared" si="105"/>
        <v>1</v>
      </c>
    </row>
    <row r="1127" s="403" customFormat="1" hidden="1" outlineLevel="2" spans="1:24">
      <c r="A1127" s="403" t="s">
        <v>1647</v>
      </c>
      <c r="B1127" s="428" t="s">
        <v>2706</v>
      </c>
      <c r="C1127" s="429" t="str">
        <f t="shared" si="101"/>
        <v>石嘴山市深阳蓝光市政工程有限公司</v>
      </c>
      <c r="D1127" s="850"/>
      <c r="E1127" s="521" t="s">
        <v>2727</v>
      </c>
      <c r="F1127" s="859">
        <f>报表附注合并期初用!E621</f>
        <v>0</v>
      </c>
      <c r="G1127" s="860"/>
      <c r="H1127" s="860"/>
      <c r="I1127" s="860"/>
      <c r="J1127" s="882"/>
      <c r="K1127" s="882"/>
      <c r="L1127" s="881">
        <f t="shared" si="108"/>
        <v>0</v>
      </c>
      <c r="X1127" s="501" t="b">
        <f t="shared" si="105"/>
        <v>1</v>
      </c>
    </row>
    <row r="1128" s="403" customFormat="1" hidden="1" outlineLevel="2" spans="1:24">
      <c r="A1128" s="403" t="s">
        <v>1648</v>
      </c>
      <c r="B1128" s="428" t="s">
        <v>2706</v>
      </c>
      <c r="C1128" s="429" t="str">
        <f t="shared" si="101"/>
        <v>石嘴山市深阳蓝光市政工程有限公司</v>
      </c>
      <c r="D1128" s="850" t="s">
        <v>2725</v>
      </c>
      <c r="E1128" s="521" t="s">
        <v>2728</v>
      </c>
      <c r="F1128" s="859">
        <f>报表附注合并期初用!E622</f>
        <v>0</v>
      </c>
      <c r="G1128" s="860"/>
      <c r="H1128" s="860"/>
      <c r="I1128" s="860"/>
      <c r="J1128" s="882"/>
      <c r="K1128" s="882"/>
      <c r="L1128" s="881">
        <f t="shared" si="108"/>
        <v>0</v>
      </c>
      <c r="X1128" s="501" t="b">
        <f t="shared" si="105"/>
        <v>1</v>
      </c>
    </row>
    <row r="1129" s="403" customFormat="1" hidden="1" outlineLevel="2" spans="1:24">
      <c r="A1129" s="403" t="s">
        <v>1649</v>
      </c>
      <c r="B1129" s="428" t="s">
        <v>2706</v>
      </c>
      <c r="C1129" s="429" t="str">
        <f t="shared" si="101"/>
        <v>石嘴山市深阳蓝光市政工程有限公司</v>
      </c>
      <c r="D1129" s="850" t="s">
        <v>2725</v>
      </c>
      <c r="E1129" s="521" t="s">
        <v>2729</v>
      </c>
      <c r="F1129" s="859">
        <f>报表附注合并期初用!E623</f>
        <v>0</v>
      </c>
      <c r="G1129" s="860"/>
      <c r="H1129" s="860"/>
      <c r="I1129" s="860"/>
      <c r="J1129" s="882"/>
      <c r="K1129" s="882"/>
      <c r="L1129" s="881">
        <f t="shared" si="108"/>
        <v>0</v>
      </c>
      <c r="X1129" s="501" t="b">
        <f t="shared" si="105"/>
        <v>1</v>
      </c>
    </row>
    <row r="1130" s="403" customFormat="1" hidden="1" outlineLevel="2" spans="1:24">
      <c r="A1130" s="403" t="s">
        <v>1651</v>
      </c>
      <c r="B1130" s="428" t="s">
        <v>2706</v>
      </c>
      <c r="C1130" s="429" t="str">
        <f t="shared" si="101"/>
        <v>石嘴山市深阳蓝光市政工程有限公司</v>
      </c>
      <c r="D1130" s="850"/>
      <c r="E1130" s="659" t="s">
        <v>2731</v>
      </c>
      <c r="F1130" s="858">
        <f t="shared" ref="F1130:L1130" si="110">SUM(F1131:F1133)</f>
        <v>0</v>
      </c>
      <c r="G1130" s="858">
        <f t="shared" si="110"/>
        <v>0</v>
      </c>
      <c r="H1130" s="858">
        <f t="shared" si="110"/>
        <v>0</v>
      </c>
      <c r="I1130" s="858">
        <f t="shared" si="110"/>
        <v>0</v>
      </c>
      <c r="J1130" s="858">
        <f t="shared" si="110"/>
        <v>0</v>
      </c>
      <c r="K1130" s="858">
        <f t="shared" si="110"/>
        <v>0</v>
      </c>
      <c r="L1130" s="858">
        <f t="shared" si="110"/>
        <v>0</v>
      </c>
      <c r="X1130" s="501" t="b">
        <f t="shared" si="105"/>
        <v>1</v>
      </c>
    </row>
    <row r="1131" s="403" customFormat="1" hidden="1" outlineLevel="2" spans="1:24">
      <c r="A1131" s="403" t="s">
        <v>1647</v>
      </c>
      <c r="B1131" s="428" t="s">
        <v>2706</v>
      </c>
      <c r="C1131" s="429" t="str">
        <f t="shared" si="101"/>
        <v>石嘴山市深阳蓝光市政工程有限公司</v>
      </c>
      <c r="D1131" s="850" t="s">
        <v>2725</v>
      </c>
      <c r="E1131" s="521" t="s">
        <v>2727</v>
      </c>
      <c r="F1131" s="534">
        <f>报表附注合并期初用!E625</f>
        <v>0</v>
      </c>
      <c r="G1131" s="862">
        <f>报表附注合并期初用!E638</f>
        <v>0</v>
      </c>
      <c r="H1131" s="862">
        <f>报表附注合并期初用!E651</f>
        <v>0</v>
      </c>
      <c r="I1131" s="862">
        <f>报表附注合并期初用!E664</f>
        <v>0</v>
      </c>
      <c r="J1131" s="883">
        <f>报表附注合并期初用!E677</f>
        <v>0</v>
      </c>
      <c r="K1131" s="883">
        <f>报表附注合并期初用!E690</f>
        <v>0</v>
      </c>
      <c r="L1131" s="534">
        <f>L1123+L1127</f>
        <v>0</v>
      </c>
      <c r="X1131" s="501" t="b">
        <f t="shared" si="105"/>
        <v>1</v>
      </c>
    </row>
    <row r="1132" s="403" customFormat="1" hidden="1" outlineLevel="2" spans="1:24">
      <c r="A1132" s="403" t="s">
        <v>1648</v>
      </c>
      <c r="B1132" s="428" t="s">
        <v>2706</v>
      </c>
      <c r="C1132" s="429" t="str">
        <f t="shared" si="101"/>
        <v>石嘴山市深阳蓝光市政工程有限公司</v>
      </c>
      <c r="D1132" s="850" t="s">
        <v>2725</v>
      </c>
      <c r="E1132" s="521" t="s">
        <v>2728</v>
      </c>
      <c r="F1132" s="534">
        <f>报表附注合并期初用!E626</f>
        <v>0</v>
      </c>
      <c r="G1132" s="862">
        <f>报表附注合并期初用!E639</f>
        <v>0</v>
      </c>
      <c r="H1132" s="862">
        <f>报表附注合并期初用!E652</f>
        <v>0</v>
      </c>
      <c r="I1132" s="862">
        <f>报表附注合并期初用!E665</f>
        <v>0</v>
      </c>
      <c r="J1132" s="883">
        <f>报表附注合并期初用!E678</f>
        <v>0</v>
      </c>
      <c r="K1132" s="883">
        <f>报表附注合并期初用!E691</f>
        <v>0</v>
      </c>
      <c r="L1132" s="534">
        <f>L1124+L1128</f>
        <v>0</v>
      </c>
      <c r="X1132" s="501" t="b">
        <f t="shared" si="105"/>
        <v>1</v>
      </c>
    </row>
    <row r="1133" s="403" customFormat="1" hidden="1" outlineLevel="2" spans="1:24">
      <c r="A1133" s="403" t="s">
        <v>1649</v>
      </c>
      <c r="B1133" s="428" t="s">
        <v>2706</v>
      </c>
      <c r="C1133" s="429" t="str">
        <f t="shared" si="101"/>
        <v>石嘴山市深阳蓝光市政工程有限公司</v>
      </c>
      <c r="D1133" s="850"/>
      <c r="E1133" s="521" t="s">
        <v>2729</v>
      </c>
      <c r="F1133" s="534">
        <f>报表附注合并期初用!E627</f>
        <v>0</v>
      </c>
      <c r="G1133" s="862">
        <f>报表附注合并期初用!E640</f>
        <v>0</v>
      </c>
      <c r="H1133" s="862">
        <f>报表附注合并期初用!E653</f>
        <v>0</v>
      </c>
      <c r="I1133" s="862">
        <f>报表附注合并期初用!E666</f>
        <v>0</v>
      </c>
      <c r="J1133" s="883">
        <f>报表附注合并期初用!E679</f>
        <v>0</v>
      </c>
      <c r="K1133" s="883">
        <f>报表附注合并期初用!E692</f>
        <v>0</v>
      </c>
      <c r="L1133" s="534">
        <f>L1125+L1129</f>
        <v>0</v>
      </c>
      <c r="X1133" s="501" t="b">
        <f t="shared" si="105"/>
        <v>1</v>
      </c>
    </row>
    <row r="1134" s="403" customFormat="1" hidden="1" outlineLevel="2" spans="2:24">
      <c r="B1134" s="428" t="s">
        <v>2706</v>
      </c>
      <c r="C1134" s="429" t="str">
        <f t="shared" si="101"/>
        <v>石嘴山市深阳蓝光市政工程有限公司</v>
      </c>
      <c r="D1134" s="850" t="s">
        <v>2725</v>
      </c>
      <c r="E1134" s="857"/>
      <c r="F1134" s="852"/>
      <c r="G1134" s="852"/>
      <c r="H1134" s="852"/>
      <c r="I1134" s="852"/>
      <c r="X1134" s="501" t="b">
        <f t="shared" si="105"/>
        <v>1</v>
      </c>
    </row>
    <row r="1135" s="403" customFormat="1" hidden="1" outlineLevel="2" spans="1:24">
      <c r="A1135" s="403" t="s">
        <v>2732</v>
      </c>
      <c r="B1135" s="428" t="s">
        <v>2706</v>
      </c>
      <c r="C1135" s="429" t="str">
        <f t="shared" si="101"/>
        <v>石嘴山市深阳蓝光市政工程有限公司</v>
      </c>
      <c r="D1135" s="850" t="s">
        <v>2732</v>
      </c>
      <c r="E1135" s="149" t="s">
        <v>2733</v>
      </c>
      <c r="X1135" s="501" t="b">
        <f t="shared" si="105"/>
        <v>1</v>
      </c>
    </row>
    <row r="1136" s="403" customFormat="1" hidden="1" outlineLevel="2" spans="1:24">
      <c r="A1136" s="403" t="s">
        <v>2315</v>
      </c>
      <c r="B1136" s="428" t="s">
        <v>2706</v>
      </c>
      <c r="C1136" s="429" t="str">
        <f t="shared" si="101"/>
        <v>石嘴山市深阳蓝光市政工程有限公司</v>
      </c>
      <c r="D1136" s="850" t="s">
        <v>2732</v>
      </c>
      <c r="E1136" s="149" t="s">
        <v>2334</v>
      </c>
      <c r="F1136" s="863"/>
      <c r="G1136" s="863"/>
      <c r="H1136" s="863"/>
      <c r="I1136" s="863"/>
      <c r="X1136" s="501" t="b">
        <f t="shared" si="105"/>
        <v>1</v>
      </c>
    </row>
    <row r="1137" s="403" customFormat="1" hidden="1" outlineLevel="2" spans="1:24">
      <c r="A1137" s="403" t="s">
        <v>2734</v>
      </c>
      <c r="B1137" s="428" t="s">
        <v>2706</v>
      </c>
      <c r="C1137" s="429" t="str">
        <f t="shared" si="101"/>
        <v>石嘴山市深阳蓝光市政工程有限公司</v>
      </c>
      <c r="D1137" s="864" t="s">
        <v>2734</v>
      </c>
      <c r="E1137" s="149" t="s">
        <v>2735</v>
      </c>
      <c r="X1137" s="501" t="b">
        <f t="shared" si="105"/>
        <v>1</v>
      </c>
    </row>
    <row r="1138" s="403" customFormat="1" hidden="1" outlineLevel="2" spans="1:24">
      <c r="A1138" s="403" t="s">
        <v>2315</v>
      </c>
      <c r="B1138" s="428" t="s">
        <v>2706</v>
      </c>
      <c r="C1138" s="429" t="str">
        <f t="shared" si="101"/>
        <v>石嘴山市深阳蓝光市政工程有限公司</v>
      </c>
      <c r="D1138" s="864" t="s">
        <v>2734</v>
      </c>
      <c r="E1138" s="149" t="s">
        <v>2334</v>
      </c>
      <c r="F1138" s="863"/>
      <c r="G1138" s="863"/>
      <c r="H1138" s="863"/>
      <c r="I1138" s="863"/>
      <c r="X1138" s="501" t="b">
        <f t="shared" si="105"/>
        <v>1</v>
      </c>
    </row>
    <row r="1139" s="403" customFormat="1" hidden="1" outlineLevel="2" spans="2:24">
      <c r="B1139" s="428" t="s">
        <v>2706</v>
      </c>
      <c r="C1139" s="429" t="str">
        <f t="shared" si="101"/>
        <v>石嘴山市深阳蓝光市政工程有限公司</v>
      </c>
      <c r="D1139" s="864"/>
      <c r="E1139" s="149"/>
      <c r="X1139" s="501" t="b">
        <f t="shared" si="105"/>
        <v>1</v>
      </c>
    </row>
    <row r="1140" s="403" customFormat="1" hidden="1" outlineLevel="2" spans="1:24">
      <c r="A1140" s="403" t="s">
        <v>2315</v>
      </c>
      <c r="B1140" s="428" t="s">
        <v>2706</v>
      </c>
      <c r="C1140" s="429" t="str">
        <f t="shared" si="101"/>
        <v>石嘴山市深阳蓝光市政工程有限公司</v>
      </c>
      <c r="D1140" s="864"/>
      <c r="E1140" s="149" t="s">
        <v>2334</v>
      </c>
      <c r="F1140" s="863"/>
      <c r="G1140" s="863"/>
      <c r="H1140" s="863"/>
      <c r="I1140" s="863"/>
      <c r="X1140" s="501" t="b">
        <f t="shared" si="105"/>
        <v>1</v>
      </c>
    </row>
    <row r="1141" s="403" customFormat="1" hidden="1" outlineLevel="2" spans="2:24">
      <c r="B1141" s="428" t="s">
        <v>2706</v>
      </c>
      <c r="C1141" s="429" t="str">
        <f t="shared" si="101"/>
        <v>石嘴山市深阳蓝光市政工程有限公司</v>
      </c>
      <c r="D1141" s="864"/>
      <c r="E1141" s="865"/>
      <c r="F1141" s="866"/>
      <c r="G1141" s="866"/>
      <c r="H1141" s="866"/>
      <c r="I1141" s="866"/>
      <c r="X1141" s="501" t="b">
        <f t="shared" si="105"/>
        <v>1</v>
      </c>
    </row>
    <row r="1142" s="148" customFormat="1" spans="1:24">
      <c r="A1142" s="148" t="s">
        <v>1657</v>
      </c>
      <c r="B1142" s="867" t="s">
        <v>2736</v>
      </c>
      <c r="C1142" s="429" t="str">
        <f t="shared" si="101"/>
        <v>石嘴山市深阳蓝光市政工程有限公司</v>
      </c>
      <c r="D1142" s="868" t="s">
        <v>2737</v>
      </c>
      <c r="E1142" s="65" t="s">
        <v>2738</v>
      </c>
      <c r="F1142" s="869" t="s">
        <v>2739</v>
      </c>
      <c r="G1142" s="870"/>
      <c r="H1142" s="871"/>
      <c r="I1142" s="871"/>
      <c r="J1142" s="880" t="s">
        <v>2710</v>
      </c>
      <c r="K1142" s="403"/>
      <c r="X1142" s="501" t="b">
        <f t="shared" si="105"/>
        <v>0</v>
      </c>
    </row>
    <row r="1143" s="148" customFormat="1" ht="22.5" outlineLevel="2" spans="1:25">
      <c r="A1143" s="148" t="s">
        <v>2477</v>
      </c>
      <c r="B1143" s="867" t="s">
        <v>2736</v>
      </c>
      <c r="C1143" s="429" t="str">
        <f t="shared" si="101"/>
        <v>石嘴山市深阳蓝光市政工程有限公司</v>
      </c>
      <c r="D1143" s="864" t="s">
        <v>2737</v>
      </c>
      <c r="E1143" s="872" t="s">
        <v>2477</v>
      </c>
      <c r="F1143" s="872" t="s">
        <v>670</v>
      </c>
      <c r="G1143" s="873" t="s">
        <v>671</v>
      </c>
      <c r="H1143" s="874"/>
      <c r="I1143" s="872" t="s">
        <v>672</v>
      </c>
      <c r="J1143" s="872" t="s">
        <v>515</v>
      </c>
      <c r="K1143" s="872" t="s">
        <v>2711</v>
      </c>
      <c r="L1143" s="872" t="s">
        <v>2712</v>
      </c>
      <c r="M1143" s="884" t="s">
        <v>2740</v>
      </c>
      <c r="N1143" s="884" t="s">
        <v>2741</v>
      </c>
      <c r="O1143" s="884" t="s">
        <v>2742</v>
      </c>
      <c r="P1143" s="884" t="s">
        <v>2743</v>
      </c>
      <c r="Y1143" s="501" t="b">
        <f t="shared" ref="Y1143:Y1149" si="111">EXACT(A1143,E1143)</f>
        <v>1</v>
      </c>
    </row>
    <row r="1144" s="148" customFormat="1" outlineLevel="2" spans="1:25">
      <c r="A1144" s="148" t="s">
        <v>714</v>
      </c>
      <c r="B1144" s="867" t="s">
        <v>2736</v>
      </c>
      <c r="C1144" s="429" t="str">
        <f t="shared" si="101"/>
        <v>石嘴山市深阳蓝光市政工程有限公司</v>
      </c>
      <c r="D1144" s="868" t="s">
        <v>2737</v>
      </c>
      <c r="E1144" s="875" t="s">
        <v>714</v>
      </c>
      <c r="F1144" s="477">
        <f>ROUND(SUM(F1145:F1149),2)</f>
        <v>0</v>
      </c>
      <c r="G1144" s="153"/>
      <c r="H1144" s="477">
        <f>ROUND(SUM(H1145:H1149),2)</f>
        <v>0</v>
      </c>
      <c r="I1144" s="477">
        <f>ROUND(SUM(I1145:I1149),2)</f>
        <v>0</v>
      </c>
      <c r="J1144" s="477">
        <f>ROUND(SUM(J1145:J1149),2)</f>
        <v>0</v>
      </c>
      <c r="K1144" s="135">
        <f t="shared" ref="K1144:P1144" si="112">SUM(K1145:K1149)</f>
        <v>0</v>
      </c>
      <c r="L1144" s="135">
        <f t="shared" si="112"/>
        <v>0</v>
      </c>
      <c r="M1144" s="135">
        <f t="shared" si="112"/>
        <v>0</v>
      </c>
      <c r="N1144" s="135">
        <f t="shared" si="112"/>
        <v>0</v>
      </c>
      <c r="O1144" s="135">
        <f t="shared" si="112"/>
        <v>0</v>
      </c>
      <c r="P1144" s="135">
        <f t="shared" si="112"/>
        <v>0</v>
      </c>
      <c r="Y1144" s="501" t="b">
        <f t="shared" si="111"/>
        <v>1</v>
      </c>
    </row>
    <row r="1145" s="148" customFormat="1" outlineLevel="2" spans="1:25">
      <c r="A1145" s="148" t="s">
        <v>1658</v>
      </c>
      <c r="B1145" s="867" t="s">
        <v>2736</v>
      </c>
      <c r="C1145" s="429" t="str">
        <f t="shared" si="101"/>
        <v>石嘴山市深阳蓝光市政工程有限公司</v>
      </c>
      <c r="D1145" s="864" t="s">
        <v>2737</v>
      </c>
      <c r="E1145" s="876" t="s">
        <v>2744</v>
      </c>
      <c r="F1145" s="856">
        <f>F3798</f>
        <v>0</v>
      </c>
      <c r="G1145" s="153"/>
      <c r="H1145" s="856">
        <f>F3799</f>
        <v>0</v>
      </c>
      <c r="I1145" s="856">
        <f>F3806</f>
        <v>0</v>
      </c>
      <c r="J1145" s="135">
        <f>ROUND(F1145+H1145-I1145,2)</f>
        <v>0</v>
      </c>
      <c r="K1145" s="135">
        <f>SUM(IF(M1145&gt;0,M1145,0),IF(N1145&gt;0,N1145,0),IF(O1145&gt;0,O1145,0),IF(P1145&gt;0,P1145,0))</f>
        <v>0</v>
      </c>
      <c r="L1145" s="135">
        <f>SUM(IF(M1145&gt;0,0,-M1145),IF(N1145&gt;0,0,-N1145),IF(O1145&gt;0,0,-O1145),IF(P1145&gt;0,0,-P1145))</f>
        <v>0</v>
      </c>
      <c r="M1145" s="132"/>
      <c r="N1145" s="132"/>
      <c r="O1145" s="132"/>
      <c r="P1145" s="132"/>
      <c r="Y1145" s="501" t="b">
        <f t="shared" si="111"/>
        <v>0</v>
      </c>
    </row>
    <row r="1146" s="148" customFormat="1" outlineLevel="2" spans="1:25">
      <c r="A1146" s="148" t="s">
        <v>1659</v>
      </c>
      <c r="B1146" s="867" t="s">
        <v>2736</v>
      </c>
      <c r="C1146" s="429" t="str">
        <f t="shared" si="101"/>
        <v>石嘴山市深阳蓝光市政工程有限公司</v>
      </c>
      <c r="D1146" s="868" t="s">
        <v>2737</v>
      </c>
      <c r="E1146" s="876" t="s">
        <v>2745</v>
      </c>
      <c r="F1146" s="856">
        <f>G3798</f>
        <v>0</v>
      </c>
      <c r="G1146" s="153"/>
      <c r="H1146" s="856">
        <f>G3799</f>
        <v>0</v>
      </c>
      <c r="I1146" s="856">
        <f>G3806</f>
        <v>0</v>
      </c>
      <c r="J1146" s="135">
        <f>ROUND(F1146+H1146-I1146,2)</f>
        <v>0</v>
      </c>
      <c r="K1146" s="135">
        <f>SUM(IF(M1146&gt;0,M1146,0),IF(N1146&gt;0,N1146,0),IF(O1146&gt;0,O1146,0),IF(P1146&gt;0,P1146,0))</f>
        <v>0</v>
      </c>
      <c r="L1146" s="135">
        <f>SUM(IF(M1146&gt;0,0,-M1146),IF(N1146&gt;0,0,-N1146),IF(O1146&gt;0,0,-O1146),IF(P1146&gt;0,0,-P1146))</f>
        <v>0</v>
      </c>
      <c r="M1146" s="132"/>
      <c r="N1146" s="132"/>
      <c r="O1146" s="132"/>
      <c r="P1146" s="132"/>
      <c r="Y1146" s="501" t="b">
        <f t="shared" si="111"/>
        <v>0</v>
      </c>
    </row>
    <row r="1147" s="148" customFormat="1" outlineLevel="2" spans="1:25">
      <c r="A1147" s="148" t="s">
        <v>1660</v>
      </c>
      <c r="B1147" s="867" t="s">
        <v>2736</v>
      </c>
      <c r="C1147" s="429" t="str">
        <f t="shared" si="101"/>
        <v>石嘴山市深阳蓝光市政工程有限公司</v>
      </c>
      <c r="D1147" s="864" t="s">
        <v>2737</v>
      </c>
      <c r="E1147" s="876" t="s">
        <v>2746</v>
      </c>
      <c r="F1147" s="856">
        <f>H3798</f>
        <v>0</v>
      </c>
      <c r="G1147" s="153"/>
      <c r="H1147" s="856">
        <f>H3799</f>
        <v>0</v>
      </c>
      <c r="I1147" s="856">
        <f>H3806</f>
        <v>0</v>
      </c>
      <c r="J1147" s="135">
        <f>ROUND(F1147+H1147-I1147,2)</f>
        <v>0</v>
      </c>
      <c r="K1147" s="135">
        <f>SUM(IF(M1147&gt;0,M1147,0),IF(N1147&gt;0,N1147,0),IF(O1147&gt;0,O1147,0),IF(P1147&gt;0,P1147,0))</f>
        <v>0</v>
      </c>
      <c r="L1147" s="135">
        <f>SUM(IF(M1147&gt;0,0,-M1147),IF(N1147&gt;0,0,-N1147),IF(O1147&gt;0,0,-O1147),IF(P1147&gt;0,0,-P1147))</f>
        <v>0</v>
      </c>
      <c r="M1147" s="132"/>
      <c r="N1147" s="132"/>
      <c r="O1147" s="132"/>
      <c r="P1147" s="132"/>
      <c r="Y1147" s="501" t="b">
        <f t="shared" si="111"/>
        <v>0</v>
      </c>
    </row>
    <row r="1148" s="148" customFormat="1" outlineLevel="2" spans="1:25">
      <c r="A1148" s="148" t="s">
        <v>1661</v>
      </c>
      <c r="B1148" s="867" t="s">
        <v>2736</v>
      </c>
      <c r="C1148" s="429" t="str">
        <f t="shared" si="101"/>
        <v>石嘴山市深阳蓝光市政工程有限公司</v>
      </c>
      <c r="D1148" s="868" t="s">
        <v>2737</v>
      </c>
      <c r="E1148" s="876" t="s">
        <v>2747</v>
      </c>
      <c r="F1148" s="856">
        <f>I3798</f>
        <v>0</v>
      </c>
      <c r="G1148" s="153"/>
      <c r="H1148" s="856">
        <f>I3799</f>
        <v>0</v>
      </c>
      <c r="I1148" s="856">
        <f>I3806</f>
        <v>0</v>
      </c>
      <c r="J1148" s="135">
        <f>ROUND(F1148+H1148-I1148,2)</f>
        <v>0</v>
      </c>
      <c r="K1148" s="135">
        <f>SUM(IF(M1148&gt;0,M1148,0),IF(N1148&gt;0,N1148,0),IF(O1148&gt;0,O1148,0),IF(P1148&gt;0,P1148,0))</f>
        <v>0</v>
      </c>
      <c r="L1148" s="135">
        <f>SUM(IF(M1148&gt;0,0,-M1148),IF(N1148&gt;0,0,-N1148),IF(O1148&gt;0,0,-O1148),IF(P1148&gt;0,0,-P1148))</f>
        <v>0</v>
      </c>
      <c r="M1148" s="132"/>
      <c r="N1148" s="132"/>
      <c r="O1148" s="132"/>
      <c r="P1148" s="132"/>
      <c r="Y1148" s="501" t="b">
        <f t="shared" si="111"/>
        <v>0</v>
      </c>
    </row>
    <row r="1149" s="148" customFormat="1" outlineLevel="2" spans="1:25">
      <c r="A1149" s="148" t="s">
        <v>2748</v>
      </c>
      <c r="B1149" s="867" t="s">
        <v>2736</v>
      </c>
      <c r="C1149" s="429" t="str">
        <f t="shared" si="101"/>
        <v>石嘴山市深阳蓝光市政工程有限公司</v>
      </c>
      <c r="D1149" s="864" t="s">
        <v>2737</v>
      </c>
      <c r="E1149" s="875"/>
      <c r="F1149" s="477"/>
      <c r="G1149" s="153"/>
      <c r="H1149" s="153"/>
      <c r="I1149" s="153"/>
      <c r="J1149" s="135">
        <f>ROUND(F1149+H1149-I1149,2)</f>
        <v>0</v>
      </c>
      <c r="K1149" s="135">
        <f>SUM(IF(M1149&gt;0,M1149,0),IF(N1149&gt;0,N1149,0),IF(O1149&gt;0,O1149,0),IF(P1149&gt;0,P1149,0))</f>
        <v>0</v>
      </c>
      <c r="L1149" s="135">
        <f>SUM(IF(M1149&gt;0,0,-M1149),IF(N1149&gt;0,0,-N1149),IF(O1149&gt;0,0,-O1149),IF(P1149&gt;0,0,-P1149))</f>
        <v>0</v>
      </c>
      <c r="M1149" s="132"/>
      <c r="N1149" s="132"/>
      <c r="O1149" s="132"/>
      <c r="P1149" s="132"/>
      <c r="Y1149" s="501" t="b">
        <f t="shared" si="111"/>
        <v>0</v>
      </c>
    </row>
    <row r="1150" s="148" customFormat="1" outlineLevel="2" spans="2:25">
      <c r="B1150" s="867"/>
      <c r="C1150" s="479"/>
      <c r="D1150" s="864"/>
      <c r="E1150" s="877"/>
      <c r="F1150" s="878"/>
      <c r="G1150" s="877" t="s">
        <v>2749</v>
      </c>
      <c r="H1150" s="877" t="s">
        <v>1757</v>
      </c>
      <c r="I1150" s="877"/>
      <c r="J1150" s="877"/>
      <c r="K1150" s="153"/>
      <c r="L1150" s="153"/>
      <c r="M1150" s="132"/>
      <c r="N1150" s="132"/>
      <c r="O1150" s="132"/>
      <c r="P1150" s="132"/>
      <c r="Y1150" s="420"/>
    </row>
    <row r="1151" s="148" customFormat="1" outlineLevel="2" spans="1:25">
      <c r="A1151" s="148" t="s">
        <v>759</v>
      </c>
      <c r="B1151" s="867" t="s">
        <v>2736</v>
      </c>
      <c r="C1151" s="429" t="str">
        <f t="shared" ref="C1151:C1214" si="113">$G$1</f>
        <v>石嘴山市深阳蓝光市政工程有限公司</v>
      </c>
      <c r="D1151" s="868" t="s">
        <v>2737</v>
      </c>
      <c r="E1151" s="875" t="s">
        <v>759</v>
      </c>
      <c r="F1151" s="477">
        <f>ROUND(SUM(F1152:F1156),2)</f>
        <v>0</v>
      </c>
      <c r="G1151" s="477">
        <f>ROUND(SUM(G1152:G1156),2)</f>
        <v>0</v>
      </c>
      <c r="H1151" s="477">
        <f>ROUND(SUM(H1152:H1156),2)</f>
        <v>0</v>
      </c>
      <c r="I1151" s="477">
        <f>ROUND(SUM(I1152:I1156),2)</f>
        <v>0</v>
      </c>
      <c r="J1151" s="477">
        <f>ROUND(SUM(J1152:J1156),2)</f>
        <v>0</v>
      </c>
      <c r="K1151" s="135">
        <f t="shared" ref="K1151:P1151" si="114">SUM(K1152:K1156)</f>
        <v>0</v>
      </c>
      <c r="L1151" s="135">
        <f t="shared" si="114"/>
        <v>0</v>
      </c>
      <c r="M1151" s="135">
        <f t="shared" si="114"/>
        <v>0</v>
      </c>
      <c r="N1151" s="135">
        <f t="shared" si="114"/>
        <v>0</v>
      </c>
      <c r="O1151" s="135">
        <f t="shared" si="114"/>
        <v>0</v>
      </c>
      <c r="P1151" s="135">
        <f t="shared" si="114"/>
        <v>0</v>
      </c>
      <c r="Y1151" s="501" t="b">
        <f t="shared" ref="Y1151:Y1170" si="115">EXACT(A1151,E1151)</f>
        <v>1</v>
      </c>
    </row>
    <row r="1152" s="148" customFormat="1" outlineLevel="2" spans="1:25">
      <c r="A1152" s="148" t="s">
        <v>1658</v>
      </c>
      <c r="B1152" s="867" t="s">
        <v>2736</v>
      </c>
      <c r="C1152" s="429" t="str">
        <f t="shared" si="113"/>
        <v>石嘴山市深阳蓝光市政工程有限公司</v>
      </c>
      <c r="D1152" s="864" t="s">
        <v>2737</v>
      </c>
      <c r="E1152" s="876" t="str">
        <f>E1145</f>
        <v>    其中：房屋及建筑物</v>
      </c>
      <c r="F1152" s="856">
        <f>$F$3813</f>
        <v>0</v>
      </c>
      <c r="G1152" s="856">
        <f>F3814-H1152</f>
        <v>0</v>
      </c>
      <c r="H1152" s="856">
        <f>F3815</f>
        <v>0</v>
      </c>
      <c r="I1152" s="856">
        <f>F3819</f>
        <v>0</v>
      </c>
      <c r="J1152" s="135">
        <f>ROUND(F1152+G1152+H1152-I1152,2)</f>
        <v>0</v>
      </c>
      <c r="K1152" s="135">
        <f>SUM(IF(M1152&gt;0,M1152,0),IF(N1152&gt;0,N1152,0),IF(O1152&gt;0,O1152,0),IF(P1152&gt;0,P1152,0))</f>
        <v>0</v>
      </c>
      <c r="L1152" s="135">
        <f>SUM(IF(M1152&gt;0,0,-M1152),IF(N1152&gt;0,0,-N1152),IF(O1152&gt;0,0,-O1152),IF(P1152&gt;0,0,-P1152))</f>
        <v>0</v>
      </c>
      <c r="M1152" s="132"/>
      <c r="N1152" s="132"/>
      <c r="O1152" s="132"/>
      <c r="P1152" s="132"/>
      <c r="Y1152" s="501" t="b">
        <f t="shared" si="115"/>
        <v>0</v>
      </c>
    </row>
    <row r="1153" s="148" customFormat="1" outlineLevel="2" spans="1:25">
      <c r="A1153" s="148" t="s">
        <v>1659</v>
      </c>
      <c r="B1153" s="867" t="s">
        <v>2736</v>
      </c>
      <c r="C1153" s="429" t="str">
        <f t="shared" si="113"/>
        <v>石嘴山市深阳蓝光市政工程有限公司</v>
      </c>
      <c r="D1153" s="868" t="s">
        <v>2737</v>
      </c>
      <c r="E1153" s="876" t="str">
        <f>E1146</f>
        <v>        机器设备</v>
      </c>
      <c r="F1153" s="856">
        <f>$G$3813</f>
        <v>0</v>
      </c>
      <c r="G1153" s="856">
        <f>G3814-H1153</f>
        <v>0</v>
      </c>
      <c r="H1153" s="856">
        <f>G3815</f>
        <v>0</v>
      </c>
      <c r="I1153" s="856">
        <f>G3819</f>
        <v>0</v>
      </c>
      <c r="J1153" s="135">
        <f>ROUND(F1153+G1153+H1153-I1153,2)</f>
        <v>0</v>
      </c>
      <c r="K1153" s="135">
        <f>SUM(IF(M1153&gt;0,M1153,0),IF(N1153&gt;0,N1153,0),IF(O1153&gt;0,O1153,0),IF(P1153&gt;0,P1153,0))</f>
        <v>0</v>
      </c>
      <c r="L1153" s="135">
        <f>SUM(IF(M1153&gt;0,0,-M1153),IF(N1153&gt;0,0,-N1153),IF(O1153&gt;0,0,-O1153),IF(P1153&gt;0,0,-P1153))</f>
        <v>0</v>
      </c>
      <c r="M1153" s="132"/>
      <c r="N1153" s="132"/>
      <c r="O1153" s="132"/>
      <c r="P1153" s="132"/>
      <c r="Y1153" s="501" t="b">
        <f t="shared" si="115"/>
        <v>0</v>
      </c>
    </row>
    <row r="1154" s="148" customFormat="1" outlineLevel="2" spans="1:25">
      <c r="A1154" s="148" t="s">
        <v>1660</v>
      </c>
      <c r="B1154" s="867" t="s">
        <v>2736</v>
      </c>
      <c r="C1154" s="429" t="str">
        <f t="shared" si="113"/>
        <v>石嘴山市深阳蓝光市政工程有限公司</v>
      </c>
      <c r="D1154" s="864" t="s">
        <v>2737</v>
      </c>
      <c r="E1154" s="876" t="str">
        <f>E1147</f>
        <v>        运输工具</v>
      </c>
      <c r="F1154" s="856">
        <f>$H$3813</f>
        <v>0</v>
      </c>
      <c r="G1154" s="856">
        <f>H3814-H1154</f>
        <v>0</v>
      </c>
      <c r="H1154" s="856">
        <f>H3815</f>
        <v>0</v>
      </c>
      <c r="I1154" s="856">
        <f>H3819</f>
        <v>0</v>
      </c>
      <c r="J1154" s="135">
        <f>ROUND(F1154+G1154+H1154-I1154,2)</f>
        <v>0</v>
      </c>
      <c r="K1154" s="135">
        <f>SUM(IF(M1154&gt;0,M1154,0),IF(N1154&gt;0,N1154,0),IF(O1154&gt;0,O1154,0),IF(P1154&gt;0,P1154,0))</f>
        <v>0</v>
      </c>
      <c r="L1154" s="135">
        <f>SUM(IF(M1154&gt;0,0,-M1154),IF(N1154&gt;0,0,-N1154),IF(O1154&gt;0,0,-O1154),IF(P1154&gt;0,0,-P1154))</f>
        <v>0</v>
      </c>
      <c r="M1154" s="132"/>
      <c r="N1154" s="132"/>
      <c r="O1154" s="132"/>
      <c r="P1154" s="132"/>
      <c r="Y1154" s="501" t="b">
        <f t="shared" si="115"/>
        <v>0</v>
      </c>
    </row>
    <row r="1155" s="148" customFormat="1" outlineLevel="2" spans="1:25">
      <c r="A1155" s="148" t="s">
        <v>1661</v>
      </c>
      <c r="B1155" s="867" t="s">
        <v>2736</v>
      </c>
      <c r="C1155" s="429" t="str">
        <f t="shared" si="113"/>
        <v>石嘴山市深阳蓝光市政工程有限公司</v>
      </c>
      <c r="D1155" s="868" t="s">
        <v>2737</v>
      </c>
      <c r="E1155" s="876" t="str">
        <f>E1148</f>
        <v>        电子设备及其他</v>
      </c>
      <c r="F1155" s="856">
        <f>$I$3813</f>
        <v>0</v>
      </c>
      <c r="G1155" s="856">
        <f>I3814-H1155</f>
        <v>0</v>
      </c>
      <c r="H1155" s="856">
        <f>I3815</f>
        <v>0</v>
      </c>
      <c r="I1155" s="856">
        <f>I3819</f>
        <v>0</v>
      </c>
      <c r="J1155" s="135">
        <f>ROUND(F1155+G1155+H1155-I1155,2)</f>
        <v>0</v>
      </c>
      <c r="K1155" s="135">
        <f>SUM(IF(M1155&gt;0,M1155,0),IF(N1155&gt;0,N1155,0),IF(O1155&gt;0,O1155,0),IF(P1155&gt;0,P1155,0))</f>
        <v>0</v>
      </c>
      <c r="L1155" s="135">
        <f>SUM(IF(M1155&gt;0,0,-M1155),IF(N1155&gt;0,0,-N1155),IF(O1155&gt;0,0,-O1155),IF(P1155&gt;0,0,-P1155))</f>
        <v>0</v>
      </c>
      <c r="M1155" s="132"/>
      <c r="N1155" s="132"/>
      <c r="O1155" s="132"/>
      <c r="P1155" s="132"/>
      <c r="Y1155" s="501" t="b">
        <f t="shared" si="115"/>
        <v>0</v>
      </c>
    </row>
    <row r="1156" s="148" customFormat="1" outlineLevel="2" spans="1:25">
      <c r="A1156" s="148" t="s">
        <v>2748</v>
      </c>
      <c r="B1156" s="867" t="s">
        <v>2736</v>
      </c>
      <c r="C1156" s="429" t="str">
        <f t="shared" si="113"/>
        <v>石嘴山市深阳蓝光市政工程有限公司</v>
      </c>
      <c r="D1156" s="864" t="s">
        <v>2737</v>
      </c>
      <c r="E1156" s="762">
        <f>E1149</f>
        <v>0</v>
      </c>
      <c r="F1156" s="477"/>
      <c r="G1156" s="153"/>
      <c r="H1156" s="153"/>
      <c r="I1156" s="153"/>
      <c r="J1156" s="135">
        <f>ROUND(F1156+H1156-I1156,2)</f>
        <v>0</v>
      </c>
      <c r="K1156" s="135">
        <f>SUM(IF(M1156&gt;0,M1156,0),IF(N1156&gt;0,N1156,0),IF(O1156&gt;0,O1156,0),IF(P1156&gt;0,P1156,0))</f>
        <v>0</v>
      </c>
      <c r="L1156" s="135">
        <f>SUM(IF(M1156&gt;0,0,-M1156),IF(N1156&gt;0,0,-N1156),IF(O1156&gt;0,0,-O1156),IF(P1156&gt;0,0,-P1156))</f>
        <v>0</v>
      </c>
      <c r="M1156" s="132"/>
      <c r="N1156" s="132"/>
      <c r="O1156" s="132"/>
      <c r="P1156" s="132"/>
      <c r="Y1156" s="501" t="b">
        <f t="shared" si="115"/>
        <v>0</v>
      </c>
    </row>
    <row r="1157" s="148" customFormat="1" outlineLevel="2" spans="1:25">
      <c r="A1157" s="148" t="s">
        <v>1662</v>
      </c>
      <c r="B1157" s="867" t="s">
        <v>2736</v>
      </c>
      <c r="C1157" s="429" t="str">
        <f t="shared" si="113"/>
        <v>石嘴山市深阳蓝光市政工程有限公司</v>
      </c>
      <c r="D1157" s="868" t="s">
        <v>2737</v>
      </c>
      <c r="E1157" s="875" t="s">
        <v>1662</v>
      </c>
      <c r="F1157" s="477">
        <f>SUM(F1158:F1162)</f>
        <v>0</v>
      </c>
      <c r="G1157" s="153"/>
      <c r="H1157" s="135">
        <f>ROUND(SUM(H1158:H1162),2)</f>
        <v>0</v>
      </c>
      <c r="I1157" s="135">
        <f>ROUND(SUM(I1158:I1162),2)</f>
        <v>0</v>
      </c>
      <c r="J1157" s="135">
        <f>ROUND(SUM(J1158:J1162),2)</f>
        <v>0</v>
      </c>
      <c r="K1157" s="135">
        <f t="shared" ref="K1157:P1157" si="116">SUM(K1158:K1162)</f>
        <v>0</v>
      </c>
      <c r="L1157" s="135">
        <f t="shared" si="116"/>
        <v>0</v>
      </c>
      <c r="M1157" s="135">
        <f t="shared" si="116"/>
        <v>0</v>
      </c>
      <c r="N1157" s="135">
        <f t="shared" si="116"/>
        <v>0</v>
      </c>
      <c r="O1157" s="135">
        <f t="shared" si="116"/>
        <v>0</v>
      </c>
      <c r="P1157" s="135">
        <f t="shared" si="116"/>
        <v>0</v>
      </c>
      <c r="Y1157" s="501" t="b">
        <f t="shared" si="115"/>
        <v>1</v>
      </c>
    </row>
    <row r="1158" s="148" customFormat="1" outlineLevel="2" spans="1:25">
      <c r="A1158" s="148" t="s">
        <v>1658</v>
      </c>
      <c r="B1158" s="867" t="s">
        <v>2736</v>
      </c>
      <c r="C1158" s="429" t="str">
        <f t="shared" si="113"/>
        <v>石嘴山市深阳蓝光市政工程有限公司</v>
      </c>
      <c r="D1158" s="864" t="s">
        <v>2737</v>
      </c>
      <c r="E1158" s="876" t="str">
        <f>E1145</f>
        <v>    其中：房屋及建筑物</v>
      </c>
      <c r="F1158" s="477">
        <f>$F$3826</f>
        <v>0</v>
      </c>
      <c r="G1158" s="153"/>
      <c r="H1158" s="135">
        <f>F3827</f>
        <v>0</v>
      </c>
      <c r="I1158" s="135">
        <f>$F$3830</f>
        <v>0</v>
      </c>
      <c r="J1158" s="135">
        <f>F1158+H1158-I1158</f>
        <v>0</v>
      </c>
      <c r="K1158" s="135">
        <f>SUM(IF(M1158&gt;0,M1158,0),IF(N1158&gt;0,N1158,0),IF(O1158&gt;0,O1158,0),IF(P1158&gt;0,P1158,0))</f>
        <v>0</v>
      </c>
      <c r="L1158" s="135">
        <f>SUM(IF(M1158&gt;0,0,-M1158),IF(N1158&gt;0,0,-N1158),IF(O1158&gt;0,0,-O1158),IF(P1158&gt;0,0,-P1158))</f>
        <v>0</v>
      </c>
      <c r="M1158" s="132"/>
      <c r="N1158" s="132"/>
      <c r="O1158" s="132"/>
      <c r="P1158" s="132"/>
      <c r="Y1158" s="501" t="b">
        <f t="shared" si="115"/>
        <v>0</v>
      </c>
    </row>
    <row r="1159" s="148" customFormat="1" outlineLevel="2" spans="1:25">
      <c r="A1159" s="148" t="s">
        <v>1659</v>
      </c>
      <c r="B1159" s="867" t="s">
        <v>2736</v>
      </c>
      <c r="C1159" s="429" t="str">
        <f t="shared" si="113"/>
        <v>石嘴山市深阳蓝光市政工程有限公司</v>
      </c>
      <c r="D1159" s="868" t="s">
        <v>2737</v>
      </c>
      <c r="E1159" s="876" t="str">
        <f>E1146</f>
        <v>        机器设备</v>
      </c>
      <c r="F1159" s="477">
        <f>$G$3826</f>
        <v>0</v>
      </c>
      <c r="G1159" s="153"/>
      <c r="H1159" s="135">
        <f>G3827</f>
        <v>0</v>
      </c>
      <c r="I1159" s="135">
        <f>$G$3830</f>
        <v>0</v>
      </c>
      <c r="J1159" s="135">
        <f>F1159+H1159-I1159</f>
        <v>0</v>
      </c>
      <c r="K1159" s="135">
        <f>SUM(IF(M1159&gt;0,M1159,0),IF(N1159&gt;0,N1159,0),IF(O1159&gt;0,O1159,0),IF(P1159&gt;0,P1159,0))</f>
        <v>0</v>
      </c>
      <c r="L1159" s="135">
        <f>SUM(IF(M1159&gt;0,0,-M1159),IF(N1159&gt;0,0,-N1159),IF(O1159&gt;0,0,-O1159),IF(P1159&gt;0,0,-P1159))</f>
        <v>0</v>
      </c>
      <c r="M1159" s="132"/>
      <c r="N1159" s="132"/>
      <c r="O1159" s="132"/>
      <c r="P1159" s="132"/>
      <c r="Y1159" s="501" t="b">
        <f t="shared" si="115"/>
        <v>0</v>
      </c>
    </row>
    <row r="1160" s="148" customFormat="1" outlineLevel="2" spans="1:25">
      <c r="A1160" s="148" t="s">
        <v>1660</v>
      </c>
      <c r="B1160" s="867" t="s">
        <v>2736</v>
      </c>
      <c r="C1160" s="429" t="str">
        <f t="shared" si="113"/>
        <v>石嘴山市深阳蓝光市政工程有限公司</v>
      </c>
      <c r="D1160" s="864" t="s">
        <v>2737</v>
      </c>
      <c r="E1160" s="876" t="str">
        <f>E1147</f>
        <v>        运输工具</v>
      </c>
      <c r="F1160" s="477">
        <f>$H$3826</f>
        <v>0</v>
      </c>
      <c r="G1160" s="153"/>
      <c r="H1160" s="135">
        <f>H3827</f>
        <v>0</v>
      </c>
      <c r="I1160" s="135">
        <f>$H$3830</f>
        <v>0</v>
      </c>
      <c r="J1160" s="135">
        <f>F1160+H1160-I1160</f>
        <v>0</v>
      </c>
      <c r="K1160" s="135">
        <f>SUM(IF(M1160&gt;0,M1160,0),IF(N1160&gt;0,N1160,0),IF(O1160&gt;0,O1160,0),IF(P1160&gt;0,P1160,0))</f>
        <v>0</v>
      </c>
      <c r="L1160" s="135">
        <f>SUM(IF(M1160&gt;0,0,-M1160),IF(N1160&gt;0,0,-N1160),IF(O1160&gt;0,0,-O1160),IF(P1160&gt;0,0,-P1160))</f>
        <v>0</v>
      </c>
      <c r="M1160" s="132"/>
      <c r="N1160" s="132"/>
      <c r="O1160" s="132"/>
      <c r="P1160" s="132"/>
      <c r="Y1160" s="501" t="b">
        <f t="shared" si="115"/>
        <v>0</v>
      </c>
    </row>
    <row r="1161" s="148" customFormat="1" outlineLevel="2" spans="1:25">
      <c r="A1161" s="148" t="s">
        <v>1661</v>
      </c>
      <c r="B1161" s="867" t="s">
        <v>2736</v>
      </c>
      <c r="C1161" s="429" t="str">
        <f t="shared" si="113"/>
        <v>石嘴山市深阳蓝光市政工程有限公司</v>
      </c>
      <c r="D1161" s="868" t="s">
        <v>2737</v>
      </c>
      <c r="E1161" s="876" t="str">
        <f>E1148</f>
        <v>        电子设备及其他</v>
      </c>
      <c r="F1161" s="477">
        <f>$I$3826</f>
        <v>0</v>
      </c>
      <c r="G1161" s="153"/>
      <c r="H1161" s="135">
        <f>I3827</f>
        <v>0</v>
      </c>
      <c r="I1161" s="135">
        <f>$I$3830</f>
        <v>0</v>
      </c>
      <c r="J1161" s="135">
        <f>F1161+H1161-I1161</f>
        <v>0</v>
      </c>
      <c r="K1161" s="135">
        <f>SUM(IF(M1161&gt;0,M1161,0),IF(N1161&gt;0,N1161,0),IF(O1161&gt;0,O1161,0),IF(P1161&gt;0,P1161,0))</f>
        <v>0</v>
      </c>
      <c r="L1161" s="135">
        <f>SUM(IF(M1161&gt;0,0,-M1161),IF(N1161&gt;0,0,-N1161),IF(O1161&gt;0,0,-O1161),IF(P1161&gt;0,0,-P1161))</f>
        <v>0</v>
      </c>
      <c r="M1161" s="132"/>
      <c r="N1161" s="132"/>
      <c r="O1161" s="132"/>
      <c r="P1161" s="132"/>
      <c r="Y1161" s="501" t="b">
        <f t="shared" si="115"/>
        <v>0</v>
      </c>
    </row>
    <row r="1162" s="148" customFormat="1" outlineLevel="2" spans="1:25">
      <c r="A1162" s="148" t="s">
        <v>2748</v>
      </c>
      <c r="B1162" s="867" t="s">
        <v>2736</v>
      </c>
      <c r="C1162" s="429" t="str">
        <f t="shared" si="113"/>
        <v>石嘴山市深阳蓝光市政工程有限公司</v>
      </c>
      <c r="D1162" s="864" t="s">
        <v>2737</v>
      </c>
      <c r="E1162" s="762">
        <f>E1149</f>
        <v>0</v>
      </c>
      <c r="F1162" s="477"/>
      <c r="G1162" s="153"/>
      <c r="H1162" s="153"/>
      <c r="I1162" s="153"/>
      <c r="J1162" s="135">
        <f>F1162+H1162-I1162</f>
        <v>0</v>
      </c>
      <c r="K1162" s="135">
        <f>SUM(IF(M1162&gt;0,M1162,0),IF(N1162&gt;0,N1162,0),IF(O1162&gt;0,O1162,0),IF(P1162&gt;0,P1162,0))</f>
        <v>0</v>
      </c>
      <c r="L1162" s="135">
        <f>SUM(IF(M1162&gt;0,0,-M1162),IF(N1162&gt;0,0,-N1162),IF(O1162&gt;0,0,-O1162),IF(P1162&gt;0,0,-P1162))</f>
        <v>0</v>
      </c>
      <c r="M1162" s="132"/>
      <c r="N1162" s="132"/>
      <c r="O1162" s="132"/>
      <c r="P1162" s="132"/>
      <c r="Y1162" s="501" t="b">
        <f t="shared" si="115"/>
        <v>0</v>
      </c>
    </row>
    <row r="1163" s="148" customFormat="1" outlineLevel="2" spans="1:25">
      <c r="A1163" s="148" t="s">
        <v>771</v>
      </c>
      <c r="B1163" s="867" t="s">
        <v>2736</v>
      </c>
      <c r="C1163" s="429" t="str">
        <f t="shared" si="113"/>
        <v>石嘴山市深阳蓝光市政工程有限公司</v>
      </c>
      <c r="D1163" s="868" t="s">
        <v>2737</v>
      </c>
      <c r="E1163" s="875" t="s">
        <v>771</v>
      </c>
      <c r="F1163" s="135">
        <f>ROUND(SUM(F1164:F1168),2)</f>
        <v>0</v>
      </c>
      <c r="G1163" s="153"/>
      <c r="H1163" s="153"/>
      <c r="I1163" s="153"/>
      <c r="J1163" s="135">
        <f>ROUND(SUM(J1164:J1168),2)</f>
        <v>0</v>
      </c>
      <c r="K1163" s="135">
        <f t="shared" ref="K1163:P1163" si="117">SUM(K1164:K1168)</f>
        <v>0</v>
      </c>
      <c r="L1163" s="135">
        <f t="shared" si="117"/>
        <v>0</v>
      </c>
      <c r="M1163" s="135">
        <f t="shared" si="117"/>
        <v>0</v>
      </c>
      <c r="N1163" s="135">
        <f t="shared" si="117"/>
        <v>0</v>
      </c>
      <c r="O1163" s="135">
        <f t="shared" si="117"/>
        <v>0</v>
      </c>
      <c r="P1163" s="135">
        <f t="shared" si="117"/>
        <v>0</v>
      </c>
      <c r="Y1163" s="501" t="b">
        <f t="shared" si="115"/>
        <v>1</v>
      </c>
    </row>
    <row r="1164" s="148" customFormat="1" outlineLevel="2" spans="1:25">
      <c r="A1164" s="148" t="s">
        <v>1658</v>
      </c>
      <c r="B1164" s="867" t="s">
        <v>2736</v>
      </c>
      <c r="C1164" s="429" t="str">
        <f t="shared" si="113"/>
        <v>石嘴山市深阳蓝光市政工程有限公司</v>
      </c>
      <c r="D1164" s="864" t="s">
        <v>2737</v>
      </c>
      <c r="E1164" s="876" t="str">
        <f>E1145</f>
        <v>    其中：房屋及建筑物</v>
      </c>
      <c r="F1164" s="135">
        <f>ROUND(F1145-F1152-F1158,2)</f>
        <v>0</v>
      </c>
      <c r="G1164" s="153"/>
      <c r="H1164" s="153"/>
      <c r="I1164" s="153"/>
      <c r="J1164" s="135">
        <f>ROUND(J1145-J1152-J1158,2)</f>
        <v>0</v>
      </c>
      <c r="K1164" s="135">
        <f t="shared" ref="K1164:P1168" si="118">K1145-K1152-K1158</f>
        <v>0</v>
      </c>
      <c r="L1164" s="135">
        <f t="shared" si="118"/>
        <v>0</v>
      </c>
      <c r="M1164" s="135">
        <f t="shared" si="118"/>
        <v>0</v>
      </c>
      <c r="N1164" s="135">
        <f t="shared" si="118"/>
        <v>0</v>
      </c>
      <c r="O1164" s="135">
        <f t="shared" si="118"/>
        <v>0</v>
      </c>
      <c r="P1164" s="135">
        <f t="shared" si="118"/>
        <v>0</v>
      </c>
      <c r="Y1164" s="501" t="b">
        <f t="shared" si="115"/>
        <v>0</v>
      </c>
    </row>
    <row r="1165" s="148" customFormat="1" outlineLevel="2" spans="1:25">
      <c r="A1165" s="148" t="s">
        <v>1659</v>
      </c>
      <c r="B1165" s="867" t="s">
        <v>2736</v>
      </c>
      <c r="C1165" s="429" t="str">
        <f t="shared" si="113"/>
        <v>石嘴山市深阳蓝光市政工程有限公司</v>
      </c>
      <c r="D1165" s="868" t="s">
        <v>2737</v>
      </c>
      <c r="E1165" s="876" t="str">
        <f>E1146</f>
        <v>        机器设备</v>
      </c>
      <c r="F1165" s="135">
        <f>ROUND(F1146-F1153-F1159,2)</f>
        <v>0</v>
      </c>
      <c r="G1165" s="153"/>
      <c r="H1165" s="153"/>
      <c r="I1165" s="153"/>
      <c r="J1165" s="135">
        <f>ROUND(J1146-J1153-J1159,2)</f>
        <v>0</v>
      </c>
      <c r="K1165" s="135">
        <f t="shared" si="118"/>
        <v>0</v>
      </c>
      <c r="L1165" s="135">
        <f t="shared" si="118"/>
        <v>0</v>
      </c>
      <c r="M1165" s="135">
        <f t="shared" si="118"/>
        <v>0</v>
      </c>
      <c r="N1165" s="135">
        <f t="shared" si="118"/>
        <v>0</v>
      </c>
      <c r="O1165" s="135">
        <f t="shared" si="118"/>
        <v>0</v>
      </c>
      <c r="P1165" s="135">
        <f t="shared" si="118"/>
        <v>0</v>
      </c>
      <c r="Y1165" s="501" t="b">
        <f t="shared" si="115"/>
        <v>0</v>
      </c>
    </row>
    <row r="1166" s="148" customFormat="1" outlineLevel="2" spans="1:25">
      <c r="A1166" s="148" t="s">
        <v>1660</v>
      </c>
      <c r="B1166" s="867" t="s">
        <v>2736</v>
      </c>
      <c r="C1166" s="429" t="str">
        <f t="shared" si="113"/>
        <v>石嘴山市深阳蓝光市政工程有限公司</v>
      </c>
      <c r="D1166" s="864" t="s">
        <v>2737</v>
      </c>
      <c r="E1166" s="876" t="str">
        <f>E1147</f>
        <v>        运输工具</v>
      </c>
      <c r="F1166" s="135">
        <f>ROUND(F1147-F1154-F1160,2)</f>
        <v>0</v>
      </c>
      <c r="G1166" s="153"/>
      <c r="H1166" s="153"/>
      <c r="I1166" s="153"/>
      <c r="J1166" s="135">
        <f>ROUND(J1147-J1154-J1160,2)</f>
        <v>0</v>
      </c>
      <c r="K1166" s="135">
        <f t="shared" si="118"/>
        <v>0</v>
      </c>
      <c r="L1166" s="135">
        <f t="shared" si="118"/>
        <v>0</v>
      </c>
      <c r="M1166" s="135">
        <f t="shared" si="118"/>
        <v>0</v>
      </c>
      <c r="N1166" s="135">
        <f t="shared" si="118"/>
        <v>0</v>
      </c>
      <c r="O1166" s="135">
        <f t="shared" si="118"/>
        <v>0</v>
      </c>
      <c r="P1166" s="135">
        <f t="shared" si="118"/>
        <v>0</v>
      </c>
      <c r="Y1166" s="501" t="b">
        <f t="shared" si="115"/>
        <v>0</v>
      </c>
    </row>
    <row r="1167" s="148" customFormat="1" outlineLevel="2" spans="1:25">
      <c r="A1167" s="148" t="s">
        <v>1661</v>
      </c>
      <c r="B1167" s="867" t="s">
        <v>2736</v>
      </c>
      <c r="C1167" s="429" t="str">
        <f t="shared" si="113"/>
        <v>石嘴山市深阳蓝光市政工程有限公司</v>
      </c>
      <c r="D1167" s="868" t="s">
        <v>2737</v>
      </c>
      <c r="E1167" s="876" t="str">
        <f>E1148</f>
        <v>        电子设备及其他</v>
      </c>
      <c r="F1167" s="135">
        <f>ROUND(F1148-F1155-F1161,2)</f>
        <v>0</v>
      </c>
      <c r="G1167" s="153"/>
      <c r="H1167" s="153"/>
      <c r="I1167" s="153"/>
      <c r="J1167" s="135">
        <f>ROUND(J1148-J1155-J1161,2)</f>
        <v>0</v>
      </c>
      <c r="K1167" s="135">
        <f t="shared" si="118"/>
        <v>0</v>
      </c>
      <c r="L1167" s="135">
        <f t="shared" si="118"/>
        <v>0</v>
      </c>
      <c r="M1167" s="135">
        <f t="shared" si="118"/>
        <v>0</v>
      </c>
      <c r="N1167" s="135">
        <f t="shared" si="118"/>
        <v>0</v>
      </c>
      <c r="O1167" s="135">
        <f t="shared" si="118"/>
        <v>0</v>
      </c>
      <c r="P1167" s="135">
        <f t="shared" si="118"/>
        <v>0</v>
      </c>
      <c r="Y1167" s="501" t="b">
        <f t="shared" si="115"/>
        <v>0</v>
      </c>
    </row>
    <row r="1168" s="148" customFormat="1" outlineLevel="2" spans="1:25">
      <c r="A1168" s="148" t="s">
        <v>2748</v>
      </c>
      <c r="B1168" s="867" t="s">
        <v>2736</v>
      </c>
      <c r="C1168" s="429" t="str">
        <f t="shared" si="113"/>
        <v>石嘴山市深阳蓝光市政工程有限公司</v>
      </c>
      <c r="D1168" s="864" t="s">
        <v>2737</v>
      </c>
      <c r="E1168" s="762">
        <f>E1149</f>
        <v>0</v>
      </c>
      <c r="F1168" s="135">
        <f>ROUND(F1149-F1156-F1162,2)</f>
        <v>0</v>
      </c>
      <c r="G1168" s="153"/>
      <c r="H1168" s="153"/>
      <c r="I1168" s="153"/>
      <c r="J1168" s="135">
        <f>ROUND(J1149-J1156-J1162,2)</f>
        <v>0</v>
      </c>
      <c r="K1168" s="135">
        <f t="shared" si="118"/>
        <v>0</v>
      </c>
      <c r="L1168" s="135">
        <f t="shared" si="118"/>
        <v>0</v>
      </c>
      <c r="M1168" s="135">
        <f t="shared" si="118"/>
        <v>0</v>
      </c>
      <c r="N1168" s="135">
        <f t="shared" si="118"/>
        <v>0</v>
      </c>
      <c r="O1168" s="135">
        <f t="shared" si="118"/>
        <v>0</v>
      </c>
      <c r="P1168" s="135">
        <f t="shared" si="118"/>
        <v>0</v>
      </c>
      <c r="Y1168" s="501" t="b">
        <f t="shared" si="115"/>
        <v>0</v>
      </c>
    </row>
    <row r="1169" s="148" customFormat="1" outlineLevel="2" spans="1:25">
      <c r="A1169" s="148" t="s">
        <v>1444</v>
      </c>
      <c r="B1169" s="867" t="s">
        <v>2736</v>
      </c>
      <c r="C1169" s="429" t="str">
        <f t="shared" si="113"/>
        <v>石嘴山市深阳蓝光市政工程有限公司</v>
      </c>
      <c r="D1169" s="868" t="s">
        <v>2737</v>
      </c>
      <c r="E1169" s="821" t="s">
        <v>1444</v>
      </c>
      <c r="F1169" s="549">
        <f>审定资负表!D27</f>
        <v>0</v>
      </c>
      <c r="G1169" s="141"/>
      <c r="H1169" s="141"/>
      <c r="I1169" s="141"/>
      <c r="J1169" s="549">
        <f>审定资负表!C27</f>
        <v>0</v>
      </c>
      <c r="Y1169" s="501" t="b">
        <f t="shared" si="115"/>
        <v>1</v>
      </c>
    </row>
    <row r="1170" s="148" customFormat="1" outlineLevel="1" spans="1:25">
      <c r="A1170" s="148" t="s">
        <v>1394</v>
      </c>
      <c r="B1170" s="867" t="s">
        <v>2736</v>
      </c>
      <c r="C1170" s="429" t="str">
        <f t="shared" si="113"/>
        <v>石嘴山市深阳蓝光市政工程有限公司</v>
      </c>
      <c r="D1170" s="864" t="s">
        <v>2737</v>
      </c>
      <c r="E1170" s="821" t="s">
        <v>1394</v>
      </c>
      <c r="F1170" s="87">
        <f>ROUND(F1163-F1169,2)</f>
        <v>0</v>
      </c>
      <c r="G1170" s="141"/>
      <c r="H1170" s="141"/>
      <c r="I1170" s="141"/>
      <c r="J1170" s="87">
        <f>ROUND(J1163-J1169,2)</f>
        <v>0</v>
      </c>
      <c r="Y1170" s="501" t="b">
        <f t="shared" si="115"/>
        <v>1</v>
      </c>
    </row>
    <row r="1171" s="148" customFormat="1" outlineLevel="2" spans="1:24">
      <c r="A1171" s="148" t="s">
        <v>2750</v>
      </c>
      <c r="B1171" s="867" t="s">
        <v>2736</v>
      </c>
      <c r="C1171" s="429" t="str">
        <f t="shared" si="113"/>
        <v>石嘴山市深阳蓝光市政工程有限公司</v>
      </c>
      <c r="D1171" s="868" t="s">
        <v>2737</v>
      </c>
      <c r="E1171" s="813" t="s">
        <v>2751</v>
      </c>
      <c r="F1171" s="141"/>
      <c r="G1171" s="141"/>
      <c r="H1171" s="141"/>
      <c r="I1171" s="141"/>
      <c r="X1171" s="501" t="b">
        <f t="shared" si="105"/>
        <v>1</v>
      </c>
    </row>
    <row r="1172" s="148" customFormat="1" outlineLevel="2" spans="1:24">
      <c r="A1172" s="148" t="s">
        <v>2315</v>
      </c>
      <c r="B1172" s="867" t="s">
        <v>2736</v>
      </c>
      <c r="C1172" s="429" t="str">
        <f t="shared" si="113"/>
        <v>石嘴山市深阳蓝光市政工程有限公司</v>
      </c>
      <c r="D1172" s="864" t="s">
        <v>2737</v>
      </c>
      <c r="E1172" s="885" t="s">
        <v>2752</v>
      </c>
      <c r="F1172" s="719"/>
      <c r="G1172" s="719"/>
      <c r="H1172" s="719"/>
      <c r="I1172" s="719"/>
      <c r="X1172" s="501" t="b">
        <f t="shared" si="105"/>
        <v>1</v>
      </c>
    </row>
    <row r="1173" s="148" customFormat="1" outlineLevel="2" spans="1:24">
      <c r="A1173" s="148" t="s">
        <v>1665</v>
      </c>
      <c r="B1173" s="867" t="s">
        <v>2736</v>
      </c>
      <c r="C1173" s="429" t="str">
        <f t="shared" si="113"/>
        <v>石嘴山市深阳蓝光市政工程有限公司</v>
      </c>
      <c r="D1173" s="868" t="s">
        <v>2753</v>
      </c>
      <c r="E1173" s="886" t="s">
        <v>2754</v>
      </c>
      <c r="F1173" s="886"/>
      <c r="G1173" s="886"/>
      <c r="H1173" s="886"/>
      <c r="I1173" s="886"/>
      <c r="J1173" s="645" t="s">
        <v>2462</v>
      </c>
      <c r="X1173" s="501" t="b">
        <f t="shared" si="105"/>
        <v>1</v>
      </c>
    </row>
    <row r="1174" s="148" customFormat="1" outlineLevel="2" spans="1:24">
      <c r="A1174" s="148" t="s">
        <v>2755</v>
      </c>
      <c r="B1174" s="867" t="s">
        <v>2736</v>
      </c>
      <c r="C1174" s="429" t="str">
        <f t="shared" si="113"/>
        <v>石嘴山市深阳蓝光市政工程有限公司</v>
      </c>
      <c r="D1174" s="868" t="s">
        <v>2753</v>
      </c>
      <c r="E1174" s="872" t="s">
        <v>2755</v>
      </c>
      <c r="F1174" s="872" t="s">
        <v>1666</v>
      </c>
      <c r="G1174" s="872" t="s">
        <v>859</v>
      </c>
      <c r="H1174" s="872" t="s">
        <v>775</v>
      </c>
      <c r="I1174" s="872" t="s">
        <v>2756</v>
      </c>
      <c r="J1174" s="627"/>
      <c r="X1174" s="501" t="b">
        <f t="shared" si="105"/>
        <v>1</v>
      </c>
    </row>
    <row r="1175" s="148" customFormat="1" outlineLevel="2" spans="1:24">
      <c r="A1175" s="148" t="s">
        <v>1658</v>
      </c>
      <c r="B1175" s="867" t="s">
        <v>2736</v>
      </c>
      <c r="C1175" s="429" t="str">
        <f t="shared" si="113"/>
        <v>石嘴山市深阳蓝光市政工程有限公司</v>
      </c>
      <c r="D1175" s="868" t="s">
        <v>2757</v>
      </c>
      <c r="E1175" s="887" t="str">
        <f>E1164</f>
        <v>    其中：房屋及建筑物</v>
      </c>
      <c r="F1175" s="732"/>
      <c r="G1175" s="732"/>
      <c r="H1175" s="732"/>
      <c r="I1175" s="636">
        <f>F1175-G1175-H1175</f>
        <v>0</v>
      </c>
      <c r="X1175" s="501" t="b">
        <f t="shared" si="105"/>
        <v>0</v>
      </c>
    </row>
    <row r="1176" s="148" customFormat="1" outlineLevel="2" spans="1:24">
      <c r="A1176" s="148" t="s">
        <v>1659</v>
      </c>
      <c r="B1176" s="867" t="s">
        <v>2736</v>
      </c>
      <c r="C1176" s="429" t="str">
        <f t="shared" si="113"/>
        <v>石嘴山市深阳蓝光市政工程有限公司</v>
      </c>
      <c r="D1176" s="868" t="s">
        <v>2757</v>
      </c>
      <c r="E1176" s="887" t="str">
        <f>E1165</f>
        <v>        机器设备</v>
      </c>
      <c r="F1176" s="732"/>
      <c r="G1176" s="732"/>
      <c r="H1176" s="732"/>
      <c r="I1176" s="636">
        <f>F1176-G1176-H1176</f>
        <v>0</v>
      </c>
      <c r="X1176" s="501" t="b">
        <f t="shared" si="105"/>
        <v>0</v>
      </c>
    </row>
    <row r="1177" s="148" customFormat="1" outlineLevel="2" spans="1:24">
      <c r="A1177" s="148" t="s">
        <v>1660</v>
      </c>
      <c r="B1177" s="867" t="s">
        <v>2736</v>
      </c>
      <c r="C1177" s="429" t="str">
        <f t="shared" si="113"/>
        <v>石嘴山市深阳蓝光市政工程有限公司</v>
      </c>
      <c r="D1177" s="868" t="s">
        <v>2757</v>
      </c>
      <c r="E1177" s="887" t="str">
        <f>E1166</f>
        <v>        运输工具</v>
      </c>
      <c r="F1177" s="732"/>
      <c r="G1177" s="732"/>
      <c r="H1177" s="732"/>
      <c r="I1177" s="636">
        <f>F1177-G1177-H1177</f>
        <v>0</v>
      </c>
      <c r="X1177" s="501" t="b">
        <f t="shared" si="105"/>
        <v>0</v>
      </c>
    </row>
    <row r="1178" s="148" customFormat="1" outlineLevel="2" spans="1:24">
      <c r="A1178" s="148" t="s">
        <v>1661</v>
      </c>
      <c r="B1178" s="867" t="s">
        <v>2736</v>
      </c>
      <c r="C1178" s="429" t="str">
        <f t="shared" si="113"/>
        <v>石嘴山市深阳蓝光市政工程有限公司</v>
      </c>
      <c r="D1178" s="868" t="s">
        <v>2757</v>
      </c>
      <c r="E1178" s="887" t="str">
        <f>E1167</f>
        <v>        电子设备及其他</v>
      </c>
      <c r="F1178" s="732"/>
      <c r="G1178" s="732"/>
      <c r="H1178" s="732"/>
      <c r="I1178" s="636">
        <f>F1178-G1178-H1178</f>
        <v>0</v>
      </c>
      <c r="X1178" s="501" t="b">
        <f t="shared" ref="X1178:X1241" si="119">EXACT(A1178,E1178)</f>
        <v>0</v>
      </c>
    </row>
    <row r="1179" s="148" customFormat="1" outlineLevel="2" spans="1:24">
      <c r="A1179" s="148" t="s">
        <v>2748</v>
      </c>
      <c r="B1179" s="867" t="s">
        <v>2736</v>
      </c>
      <c r="C1179" s="429" t="str">
        <f t="shared" si="113"/>
        <v>石嘴山市深阳蓝光市政工程有限公司</v>
      </c>
      <c r="D1179" s="868" t="s">
        <v>2757</v>
      </c>
      <c r="E1179" s="887">
        <f>E1168</f>
        <v>0</v>
      </c>
      <c r="F1179" s="732"/>
      <c r="G1179" s="732"/>
      <c r="H1179" s="732"/>
      <c r="I1179" s="636">
        <f>F1179-G1179-H1179</f>
        <v>0</v>
      </c>
      <c r="X1179" s="501" t="b">
        <f t="shared" si="119"/>
        <v>0</v>
      </c>
    </row>
    <row r="1180" s="148" customFormat="1" outlineLevel="2" spans="1:24">
      <c r="A1180" s="148" t="s">
        <v>1580</v>
      </c>
      <c r="B1180" s="867" t="s">
        <v>2736</v>
      </c>
      <c r="C1180" s="429" t="str">
        <f t="shared" si="113"/>
        <v>石嘴山市深阳蓝光市政工程有限公司</v>
      </c>
      <c r="D1180" s="868" t="s">
        <v>2757</v>
      </c>
      <c r="E1180" s="872" t="s">
        <v>1580</v>
      </c>
      <c r="F1180" s="636">
        <f>SUM(F1175:F1179)</f>
        <v>0</v>
      </c>
      <c r="G1180" s="636">
        <f>SUM(G1175:G1179)</f>
        <v>0</v>
      </c>
      <c r="H1180" s="636">
        <f>SUM(H1175:H1179)</f>
        <v>0</v>
      </c>
      <c r="I1180" s="636">
        <f>SUM(I1175:I1179)</f>
        <v>0</v>
      </c>
      <c r="X1180" s="501" t="b">
        <f t="shared" si="119"/>
        <v>1</v>
      </c>
    </row>
    <row r="1181" s="148" customFormat="1" customHeight="1" outlineLevel="2" spans="2:24">
      <c r="B1181" s="867" t="s">
        <v>2736</v>
      </c>
      <c r="C1181" s="429" t="str">
        <f t="shared" si="113"/>
        <v>石嘴山市深阳蓝光市政工程有限公司</v>
      </c>
      <c r="D1181" s="868" t="s">
        <v>2757</v>
      </c>
      <c r="F1181" s="888"/>
      <c r="G1181" s="888"/>
      <c r="H1181" s="888"/>
      <c r="I1181" s="888"/>
      <c r="X1181" s="501" t="b">
        <f t="shared" si="119"/>
        <v>1</v>
      </c>
    </row>
    <row r="1182" s="148" customFormat="1" outlineLevel="2" spans="1:24">
      <c r="A1182" s="148" t="s">
        <v>1667</v>
      </c>
      <c r="B1182" s="867" t="s">
        <v>2736</v>
      </c>
      <c r="C1182" s="429" t="str">
        <f t="shared" si="113"/>
        <v>石嘴山市深阳蓝光市政工程有限公司</v>
      </c>
      <c r="D1182" s="868" t="s">
        <v>2758</v>
      </c>
      <c r="E1182" s="149" t="s">
        <v>2759</v>
      </c>
      <c r="F1182" s="889"/>
      <c r="G1182" s="889"/>
      <c r="H1182" s="889"/>
      <c r="I1182" s="889"/>
      <c r="X1182" s="501" t="b">
        <f t="shared" si="119"/>
        <v>1</v>
      </c>
    </row>
    <row r="1183" s="148" customFormat="1" outlineLevel="2" spans="1:24">
      <c r="A1183" s="148" t="s">
        <v>2755</v>
      </c>
      <c r="B1183" s="867" t="s">
        <v>2736</v>
      </c>
      <c r="C1183" s="429" t="str">
        <f t="shared" si="113"/>
        <v>石嘴山市深阳蓝光市政工程有限公司</v>
      </c>
      <c r="D1183" s="868" t="s">
        <v>2758</v>
      </c>
      <c r="E1183" s="634" t="s">
        <v>2755</v>
      </c>
      <c r="F1183" s="634" t="s">
        <v>1666</v>
      </c>
      <c r="G1183" s="634" t="s">
        <v>859</v>
      </c>
      <c r="H1183" s="634" t="s">
        <v>775</v>
      </c>
      <c r="I1183" s="634" t="s">
        <v>2756</v>
      </c>
      <c r="J1183" s="627"/>
      <c r="X1183" s="501" t="b">
        <f t="shared" si="119"/>
        <v>1</v>
      </c>
    </row>
    <row r="1184" s="148" customFormat="1" outlineLevel="2" spans="1:24">
      <c r="A1184" s="148" t="s">
        <v>1658</v>
      </c>
      <c r="B1184" s="867" t="s">
        <v>2736</v>
      </c>
      <c r="C1184" s="429" t="str">
        <f t="shared" si="113"/>
        <v>石嘴山市深阳蓝光市政工程有限公司</v>
      </c>
      <c r="D1184" s="868" t="s">
        <v>2760</v>
      </c>
      <c r="E1184" s="762" t="str">
        <f>E1175</f>
        <v>    其中：房屋及建筑物</v>
      </c>
      <c r="F1184" s="132"/>
      <c r="G1184" s="132"/>
      <c r="H1184" s="132"/>
      <c r="I1184" s="135">
        <f>F1184-G1184-H1184</f>
        <v>0</v>
      </c>
      <c r="X1184" s="501" t="b">
        <f t="shared" si="119"/>
        <v>0</v>
      </c>
    </row>
    <row r="1185" s="148" customFormat="1" outlineLevel="2" spans="1:24">
      <c r="A1185" s="148" t="s">
        <v>1659</v>
      </c>
      <c r="B1185" s="867" t="s">
        <v>2736</v>
      </c>
      <c r="C1185" s="429" t="str">
        <f t="shared" si="113"/>
        <v>石嘴山市深阳蓝光市政工程有限公司</v>
      </c>
      <c r="D1185" s="868" t="s">
        <v>2760</v>
      </c>
      <c r="E1185" s="762" t="str">
        <f>E1176</f>
        <v>        机器设备</v>
      </c>
      <c r="F1185" s="132"/>
      <c r="G1185" s="132"/>
      <c r="H1185" s="132"/>
      <c r="I1185" s="135">
        <f>F1185-G1185-H1185</f>
        <v>0</v>
      </c>
      <c r="X1185" s="501" t="b">
        <f t="shared" si="119"/>
        <v>0</v>
      </c>
    </row>
    <row r="1186" s="148" customFormat="1" outlineLevel="2" spans="1:24">
      <c r="A1186" s="148" t="s">
        <v>1660</v>
      </c>
      <c r="B1186" s="867" t="s">
        <v>2736</v>
      </c>
      <c r="C1186" s="429" t="str">
        <f t="shared" si="113"/>
        <v>石嘴山市深阳蓝光市政工程有限公司</v>
      </c>
      <c r="D1186" s="868" t="s">
        <v>2760</v>
      </c>
      <c r="E1186" s="762" t="str">
        <f>E1177</f>
        <v>        运输工具</v>
      </c>
      <c r="F1186" s="132"/>
      <c r="G1186" s="132"/>
      <c r="H1186" s="132"/>
      <c r="I1186" s="135">
        <f>F1186-G1186-H1186</f>
        <v>0</v>
      </c>
      <c r="X1186" s="501" t="b">
        <f t="shared" si="119"/>
        <v>0</v>
      </c>
    </row>
    <row r="1187" s="148" customFormat="1" outlineLevel="2" spans="1:24">
      <c r="A1187" s="148" t="s">
        <v>1661</v>
      </c>
      <c r="B1187" s="867" t="s">
        <v>2736</v>
      </c>
      <c r="C1187" s="429" t="str">
        <f t="shared" si="113"/>
        <v>石嘴山市深阳蓝光市政工程有限公司</v>
      </c>
      <c r="D1187" s="868" t="s">
        <v>2760</v>
      </c>
      <c r="E1187" s="762" t="str">
        <f>E1178</f>
        <v>        电子设备及其他</v>
      </c>
      <c r="F1187" s="132"/>
      <c r="G1187" s="132"/>
      <c r="H1187" s="132"/>
      <c r="I1187" s="135">
        <f>F1187-G1187-H1187</f>
        <v>0</v>
      </c>
      <c r="X1187" s="501" t="b">
        <f t="shared" si="119"/>
        <v>0</v>
      </c>
    </row>
    <row r="1188" s="148" customFormat="1" outlineLevel="2" spans="1:24">
      <c r="A1188" s="148" t="s">
        <v>2748</v>
      </c>
      <c r="B1188" s="867" t="s">
        <v>2736</v>
      </c>
      <c r="C1188" s="429" t="str">
        <f t="shared" si="113"/>
        <v>石嘴山市深阳蓝光市政工程有限公司</v>
      </c>
      <c r="D1188" s="868" t="s">
        <v>2760</v>
      </c>
      <c r="E1188" s="762">
        <f>E1179</f>
        <v>0</v>
      </c>
      <c r="F1188" s="132"/>
      <c r="G1188" s="132"/>
      <c r="H1188" s="132"/>
      <c r="I1188" s="135">
        <f>F1188-G1188-H1188</f>
        <v>0</v>
      </c>
      <c r="X1188" s="501" t="b">
        <f t="shared" si="119"/>
        <v>0</v>
      </c>
    </row>
    <row r="1189" s="148" customFormat="1" outlineLevel="2" spans="1:24">
      <c r="A1189" s="148" t="s">
        <v>1580</v>
      </c>
      <c r="B1189" s="867" t="s">
        <v>2736</v>
      </c>
      <c r="C1189" s="429" t="str">
        <f t="shared" si="113"/>
        <v>石嘴山市深阳蓝光市政工程有限公司</v>
      </c>
      <c r="D1189" s="868" t="s">
        <v>2760</v>
      </c>
      <c r="E1189" s="872" t="s">
        <v>1580</v>
      </c>
      <c r="F1189" s="636">
        <f>SUM(F1184:F1188)</f>
        <v>0</v>
      </c>
      <c r="G1189" s="636">
        <f>SUM(G1184:G1188)</f>
        <v>0</v>
      </c>
      <c r="H1189" s="636">
        <f>SUM(H1184:H1188)</f>
        <v>0</v>
      </c>
      <c r="I1189" s="636">
        <f>SUM(I1184:I1188)</f>
        <v>0</v>
      </c>
      <c r="X1189" s="501" t="b">
        <f t="shared" si="119"/>
        <v>1</v>
      </c>
    </row>
    <row r="1190" s="148" customFormat="1" outlineLevel="2" spans="2:24">
      <c r="B1190" s="867" t="s">
        <v>2736</v>
      </c>
      <c r="C1190" s="429" t="str">
        <f t="shared" si="113"/>
        <v>石嘴山市深阳蓝光市政工程有限公司</v>
      </c>
      <c r="D1190" s="868" t="s">
        <v>2760</v>
      </c>
      <c r="E1190" s="890"/>
      <c r="F1190" s="141"/>
      <c r="G1190" s="141"/>
      <c r="H1190" s="141"/>
      <c r="I1190" s="141"/>
      <c r="X1190" s="501" t="b">
        <f t="shared" si="119"/>
        <v>1</v>
      </c>
    </row>
    <row r="1191" s="148" customFormat="1" outlineLevel="2" spans="1:24">
      <c r="A1191" s="148" t="s">
        <v>1668</v>
      </c>
      <c r="B1191" s="867" t="s">
        <v>2736</v>
      </c>
      <c r="C1191" s="429" t="str">
        <f t="shared" si="113"/>
        <v>石嘴山市深阳蓝光市政工程有限公司</v>
      </c>
      <c r="D1191" s="891" t="s">
        <v>2761</v>
      </c>
      <c r="E1191" s="149" t="s">
        <v>2762</v>
      </c>
      <c r="F1191" s="141"/>
      <c r="G1191" s="141"/>
      <c r="H1191" s="141"/>
      <c r="I1191" s="141"/>
      <c r="X1191" s="501" t="b">
        <f t="shared" si="119"/>
        <v>1</v>
      </c>
    </row>
    <row r="1192" s="148" customFormat="1" outlineLevel="2" spans="1:24">
      <c r="A1192" s="148" t="s">
        <v>2755</v>
      </c>
      <c r="B1192" s="867" t="s">
        <v>2736</v>
      </c>
      <c r="C1192" s="429" t="str">
        <f t="shared" si="113"/>
        <v>石嘴山市深阳蓝光市政工程有限公司</v>
      </c>
      <c r="D1192" s="891" t="s">
        <v>2761</v>
      </c>
      <c r="E1192" s="634" t="s">
        <v>2755</v>
      </c>
      <c r="F1192" s="634" t="s">
        <v>1666</v>
      </c>
      <c r="G1192" s="634" t="s">
        <v>859</v>
      </c>
      <c r="H1192" s="634" t="s">
        <v>775</v>
      </c>
      <c r="I1192" s="634" t="s">
        <v>2756</v>
      </c>
      <c r="X1192" s="501" t="b">
        <f t="shared" si="119"/>
        <v>1</v>
      </c>
    </row>
    <row r="1193" s="148" customFormat="1" outlineLevel="2" spans="1:24">
      <c r="A1193" s="148" t="s">
        <v>1658</v>
      </c>
      <c r="B1193" s="867" t="s">
        <v>2736</v>
      </c>
      <c r="C1193" s="429" t="str">
        <f t="shared" si="113"/>
        <v>石嘴山市深阳蓝光市政工程有限公司</v>
      </c>
      <c r="D1193" s="891" t="s">
        <v>2763</v>
      </c>
      <c r="E1193" s="762" t="str">
        <f>E1184</f>
        <v>    其中：房屋及建筑物</v>
      </c>
      <c r="F1193" s="132"/>
      <c r="G1193" s="132"/>
      <c r="H1193" s="132"/>
      <c r="I1193" s="135">
        <f>F1193-G1193-H1193</f>
        <v>0</v>
      </c>
      <c r="X1193" s="501" t="b">
        <f t="shared" si="119"/>
        <v>0</v>
      </c>
    </row>
    <row r="1194" s="148" customFormat="1" outlineLevel="2" spans="1:24">
      <c r="A1194" s="148" t="s">
        <v>1659</v>
      </c>
      <c r="B1194" s="867" t="s">
        <v>2736</v>
      </c>
      <c r="C1194" s="429" t="str">
        <f t="shared" si="113"/>
        <v>石嘴山市深阳蓝光市政工程有限公司</v>
      </c>
      <c r="D1194" s="891" t="s">
        <v>2763</v>
      </c>
      <c r="E1194" s="762" t="str">
        <f>E1185</f>
        <v>        机器设备</v>
      </c>
      <c r="F1194" s="132"/>
      <c r="G1194" s="132"/>
      <c r="H1194" s="132"/>
      <c r="I1194" s="135">
        <f>F1194-G1194-H1194</f>
        <v>0</v>
      </c>
      <c r="X1194" s="501" t="b">
        <f t="shared" si="119"/>
        <v>0</v>
      </c>
    </row>
    <row r="1195" s="148" customFormat="1" outlineLevel="2" spans="1:24">
      <c r="A1195" s="148" t="s">
        <v>1660</v>
      </c>
      <c r="B1195" s="867" t="s">
        <v>2736</v>
      </c>
      <c r="C1195" s="429" t="str">
        <f t="shared" si="113"/>
        <v>石嘴山市深阳蓝光市政工程有限公司</v>
      </c>
      <c r="D1195" s="891" t="s">
        <v>2763</v>
      </c>
      <c r="E1195" s="762" t="str">
        <f>E1186</f>
        <v>        运输工具</v>
      </c>
      <c r="F1195" s="132"/>
      <c r="G1195" s="132"/>
      <c r="H1195" s="132"/>
      <c r="I1195" s="135">
        <f>F1195-G1195-H1195</f>
        <v>0</v>
      </c>
      <c r="X1195" s="501" t="b">
        <f t="shared" si="119"/>
        <v>0</v>
      </c>
    </row>
    <row r="1196" s="148" customFormat="1" outlineLevel="2" spans="1:24">
      <c r="A1196" s="148" t="s">
        <v>1661</v>
      </c>
      <c r="B1196" s="867" t="s">
        <v>2736</v>
      </c>
      <c r="C1196" s="429" t="str">
        <f t="shared" si="113"/>
        <v>石嘴山市深阳蓝光市政工程有限公司</v>
      </c>
      <c r="D1196" s="891" t="s">
        <v>2763</v>
      </c>
      <c r="E1196" s="762" t="str">
        <f>E1187</f>
        <v>        电子设备及其他</v>
      </c>
      <c r="F1196" s="132"/>
      <c r="G1196" s="132"/>
      <c r="H1196" s="132"/>
      <c r="I1196" s="135">
        <f>F1196-G1196-H1196</f>
        <v>0</v>
      </c>
      <c r="X1196" s="501" t="b">
        <f t="shared" si="119"/>
        <v>0</v>
      </c>
    </row>
    <row r="1197" s="148" customFormat="1" outlineLevel="2" spans="1:24">
      <c r="A1197" s="148" t="s">
        <v>2748</v>
      </c>
      <c r="B1197" s="867" t="s">
        <v>2736</v>
      </c>
      <c r="C1197" s="429" t="str">
        <f t="shared" si="113"/>
        <v>石嘴山市深阳蓝光市政工程有限公司</v>
      </c>
      <c r="D1197" s="891" t="s">
        <v>2763</v>
      </c>
      <c r="E1197" s="762">
        <f>E1188</f>
        <v>0</v>
      </c>
      <c r="F1197" s="132"/>
      <c r="G1197" s="132"/>
      <c r="H1197" s="132"/>
      <c r="I1197" s="135">
        <f>F1197-G1197-H1197</f>
        <v>0</v>
      </c>
      <c r="X1197" s="501" t="b">
        <f t="shared" si="119"/>
        <v>0</v>
      </c>
    </row>
    <row r="1198" s="148" customFormat="1" outlineLevel="2" spans="1:24">
      <c r="A1198" s="148" t="s">
        <v>1580</v>
      </c>
      <c r="B1198" s="867" t="s">
        <v>2736</v>
      </c>
      <c r="C1198" s="429" t="str">
        <f t="shared" si="113"/>
        <v>石嘴山市深阳蓝光市政工程有限公司</v>
      </c>
      <c r="D1198" s="891" t="s">
        <v>2763</v>
      </c>
      <c r="E1198" s="872" t="s">
        <v>1580</v>
      </c>
      <c r="F1198" s="636">
        <f>SUM(F1193:F1197)</f>
        <v>0</v>
      </c>
      <c r="G1198" s="636">
        <f>SUM(G1193:G1197)</f>
        <v>0</v>
      </c>
      <c r="H1198" s="636">
        <f>SUM(H1193:H1197)</f>
        <v>0</v>
      </c>
      <c r="I1198" s="636">
        <f>SUM(I1193:I1197)</f>
        <v>0</v>
      </c>
      <c r="X1198" s="501" t="b">
        <f t="shared" si="119"/>
        <v>1</v>
      </c>
    </row>
    <row r="1199" s="148" customFormat="1" outlineLevel="2" spans="2:24">
      <c r="B1199" s="867" t="s">
        <v>2736</v>
      </c>
      <c r="C1199" s="429" t="str">
        <f t="shared" si="113"/>
        <v>石嘴山市深阳蓝光市政工程有限公司</v>
      </c>
      <c r="D1199" s="891" t="s">
        <v>2763</v>
      </c>
      <c r="E1199" s="892"/>
      <c r="F1199" s="893"/>
      <c r="G1199" s="893"/>
      <c r="H1199" s="893"/>
      <c r="I1199" s="893"/>
      <c r="X1199" s="501" t="b">
        <f t="shared" si="119"/>
        <v>1</v>
      </c>
    </row>
    <row r="1200" s="148" customFormat="1" outlineLevel="2" spans="1:24">
      <c r="A1200" s="148" t="s">
        <v>1669</v>
      </c>
      <c r="B1200" s="867" t="s">
        <v>2736</v>
      </c>
      <c r="C1200" s="429" t="str">
        <f t="shared" si="113"/>
        <v>石嘴山市深阳蓝光市政工程有限公司</v>
      </c>
      <c r="D1200" s="891" t="s">
        <v>2764</v>
      </c>
      <c r="E1200" s="149" t="s">
        <v>2765</v>
      </c>
      <c r="F1200" s="141"/>
      <c r="G1200" s="141"/>
      <c r="H1200" s="141"/>
      <c r="I1200" s="141"/>
      <c r="X1200" s="501" t="b">
        <f t="shared" si="119"/>
        <v>1</v>
      </c>
    </row>
    <row r="1201" s="148" customFormat="1" outlineLevel="2" spans="1:24">
      <c r="A1201" s="148" t="s">
        <v>2766</v>
      </c>
      <c r="B1201" s="867" t="s">
        <v>2736</v>
      </c>
      <c r="C1201" s="429" t="str">
        <f t="shared" si="113"/>
        <v>石嘴山市深阳蓝光市政工程有限公司</v>
      </c>
      <c r="D1201" s="891" t="s">
        <v>2764</v>
      </c>
      <c r="E1201" s="634" t="s">
        <v>2766</v>
      </c>
      <c r="F1201" s="634" t="s">
        <v>1670</v>
      </c>
      <c r="G1201" s="634" t="s">
        <v>1671</v>
      </c>
      <c r="H1201" s="634" t="s">
        <v>1672</v>
      </c>
      <c r="I1201" s="634" t="s">
        <v>2767</v>
      </c>
      <c r="X1201" s="501" t="b">
        <f t="shared" si="119"/>
        <v>1</v>
      </c>
    </row>
    <row r="1202" s="148" customFormat="1" outlineLevel="2" spans="1:24">
      <c r="A1202" s="148" t="s">
        <v>1658</v>
      </c>
      <c r="B1202" s="867" t="s">
        <v>2736</v>
      </c>
      <c r="C1202" s="429" t="str">
        <f t="shared" si="113"/>
        <v>石嘴山市深阳蓝光市政工程有限公司</v>
      </c>
      <c r="D1202" s="891" t="s">
        <v>2768</v>
      </c>
      <c r="E1202" s="762" t="str">
        <f>E1193</f>
        <v>    其中：房屋及建筑物</v>
      </c>
      <c r="F1202" s="132"/>
      <c r="G1202" s="132"/>
      <c r="H1202" s="132"/>
      <c r="I1202" s="132"/>
      <c r="X1202" s="501" t="b">
        <f t="shared" si="119"/>
        <v>0</v>
      </c>
    </row>
    <row r="1203" s="148" customFormat="1" outlineLevel="2" spans="1:24">
      <c r="A1203" s="148" t="s">
        <v>1659</v>
      </c>
      <c r="B1203" s="867" t="s">
        <v>2736</v>
      </c>
      <c r="C1203" s="429" t="str">
        <f t="shared" si="113"/>
        <v>石嘴山市深阳蓝光市政工程有限公司</v>
      </c>
      <c r="D1203" s="891" t="s">
        <v>2768</v>
      </c>
      <c r="E1203" s="762" t="str">
        <f>E1194</f>
        <v>        机器设备</v>
      </c>
      <c r="F1203" s="132"/>
      <c r="G1203" s="132"/>
      <c r="H1203" s="132"/>
      <c r="I1203" s="132"/>
      <c r="X1203" s="501" t="b">
        <f t="shared" si="119"/>
        <v>0</v>
      </c>
    </row>
    <row r="1204" s="148" customFormat="1" outlineLevel="2" spans="1:24">
      <c r="A1204" s="148" t="s">
        <v>1660</v>
      </c>
      <c r="B1204" s="867" t="s">
        <v>2736</v>
      </c>
      <c r="C1204" s="429" t="str">
        <f t="shared" si="113"/>
        <v>石嘴山市深阳蓝光市政工程有限公司</v>
      </c>
      <c r="D1204" s="891" t="s">
        <v>2768</v>
      </c>
      <c r="E1204" s="762" t="str">
        <f>E1195</f>
        <v>        运输工具</v>
      </c>
      <c r="F1204" s="132"/>
      <c r="G1204" s="132"/>
      <c r="H1204" s="132"/>
      <c r="I1204" s="132"/>
      <c r="X1204" s="501" t="b">
        <f t="shared" si="119"/>
        <v>0</v>
      </c>
    </row>
    <row r="1205" s="148" customFormat="1" outlineLevel="2" spans="1:24">
      <c r="A1205" s="148" t="s">
        <v>1661</v>
      </c>
      <c r="B1205" s="867" t="s">
        <v>2736</v>
      </c>
      <c r="C1205" s="429" t="str">
        <f t="shared" si="113"/>
        <v>石嘴山市深阳蓝光市政工程有限公司</v>
      </c>
      <c r="D1205" s="891" t="s">
        <v>2768</v>
      </c>
      <c r="E1205" s="762" t="str">
        <f>E1196</f>
        <v>        电子设备及其他</v>
      </c>
      <c r="F1205" s="132"/>
      <c r="G1205" s="132"/>
      <c r="H1205" s="132"/>
      <c r="I1205" s="132"/>
      <c r="X1205" s="501" t="b">
        <f t="shared" si="119"/>
        <v>0</v>
      </c>
    </row>
    <row r="1206" s="148" customFormat="1" outlineLevel="2" spans="1:24">
      <c r="A1206" s="148" t="s">
        <v>2748</v>
      </c>
      <c r="B1206" s="867" t="s">
        <v>2736</v>
      </c>
      <c r="C1206" s="429" t="str">
        <f t="shared" si="113"/>
        <v>石嘴山市深阳蓝光市政工程有限公司</v>
      </c>
      <c r="D1206" s="891" t="s">
        <v>2768</v>
      </c>
      <c r="E1206" s="762">
        <f>E1197</f>
        <v>0</v>
      </c>
      <c r="F1206" s="132"/>
      <c r="G1206" s="132"/>
      <c r="H1206" s="132"/>
      <c r="I1206" s="132"/>
      <c r="X1206" s="501" t="b">
        <f t="shared" si="119"/>
        <v>0</v>
      </c>
    </row>
    <row r="1207" s="148" customFormat="1" outlineLevel="2" spans="1:24">
      <c r="A1207" s="148" t="s">
        <v>1580</v>
      </c>
      <c r="B1207" s="867" t="s">
        <v>2736</v>
      </c>
      <c r="C1207" s="429" t="str">
        <f t="shared" si="113"/>
        <v>石嘴山市深阳蓝光市政工程有限公司</v>
      </c>
      <c r="D1207" s="891" t="s">
        <v>2768</v>
      </c>
      <c r="E1207" s="872" t="s">
        <v>1580</v>
      </c>
      <c r="F1207" s="636">
        <f>SUM(F1202:F1206)</f>
        <v>0</v>
      </c>
      <c r="G1207" s="636">
        <f>SUM(G1202:G1206)</f>
        <v>0</v>
      </c>
      <c r="H1207" s="636">
        <f>SUM(H1202:H1206)</f>
        <v>0</v>
      </c>
      <c r="I1207" s="634"/>
      <c r="X1207" s="501" t="b">
        <f t="shared" si="119"/>
        <v>1</v>
      </c>
    </row>
    <row r="1208" s="148" customFormat="1" outlineLevel="2" spans="2:24">
      <c r="B1208" s="867" t="s">
        <v>2736</v>
      </c>
      <c r="C1208" s="429" t="str">
        <f t="shared" si="113"/>
        <v>石嘴山市深阳蓝光市政工程有限公司</v>
      </c>
      <c r="D1208" s="891" t="s">
        <v>2768</v>
      </c>
      <c r="E1208" s="688"/>
      <c r="F1208" s="141"/>
      <c r="G1208" s="141"/>
      <c r="H1208" s="141"/>
      <c r="I1208" s="141"/>
      <c r="X1208" s="501" t="b">
        <f t="shared" si="119"/>
        <v>1</v>
      </c>
    </row>
    <row r="1209" s="148" customFormat="1" outlineLevel="2" spans="1:24">
      <c r="A1209" s="148" t="s">
        <v>2769</v>
      </c>
      <c r="B1209" s="867" t="s">
        <v>2736</v>
      </c>
      <c r="C1209" s="429" t="str">
        <f t="shared" si="113"/>
        <v>石嘴山市深阳蓝光市政工程有限公司</v>
      </c>
      <c r="D1209" s="891" t="s">
        <v>2770</v>
      </c>
      <c r="E1209" s="149" t="s">
        <v>2771</v>
      </c>
      <c r="F1209" s="141"/>
      <c r="G1209" s="141"/>
      <c r="H1209" s="141"/>
      <c r="I1209" s="141"/>
      <c r="X1209" s="501" t="b">
        <f t="shared" si="119"/>
        <v>0</v>
      </c>
    </row>
    <row r="1210" s="148" customFormat="1" outlineLevel="2" spans="1:24">
      <c r="A1210" s="148" t="s">
        <v>60</v>
      </c>
      <c r="B1210" s="867" t="s">
        <v>2736</v>
      </c>
      <c r="C1210" s="429" t="str">
        <f t="shared" si="113"/>
        <v>石嘴山市深阳蓝光市政工程有限公司</v>
      </c>
      <c r="D1210" s="891" t="s">
        <v>2770</v>
      </c>
      <c r="E1210" s="634" t="s">
        <v>60</v>
      </c>
      <c r="F1210" s="634" t="s">
        <v>2772</v>
      </c>
      <c r="G1210" s="634" t="s">
        <v>2773</v>
      </c>
      <c r="H1210" s="636" t="s">
        <v>2774</v>
      </c>
      <c r="I1210" s="636" t="s">
        <v>859</v>
      </c>
      <c r="J1210" s="636" t="s">
        <v>2775</v>
      </c>
      <c r="X1210" s="501" t="b">
        <f t="shared" si="119"/>
        <v>1</v>
      </c>
    </row>
    <row r="1211" s="148" customFormat="1" outlineLevel="2" spans="2:24">
      <c r="B1211" s="867" t="s">
        <v>2736</v>
      </c>
      <c r="C1211" s="429" t="str">
        <f t="shared" si="113"/>
        <v>石嘴山市深阳蓝光市政工程有限公司</v>
      </c>
      <c r="D1211" s="891" t="s">
        <v>2776</v>
      </c>
      <c r="E1211" s="487"/>
      <c r="F1211" s="894"/>
      <c r="G1211" s="132"/>
      <c r="H1211" s="895"/>
      <c r="I1211" s="895"/>
      <c r="J1211" s="636">
        <f>H1211-I1211</f>
        <v>0</v>
      </c>
      <c r="X1211" s="501" t="b">
        <f t="shared" si="119"/>
        <v>1</v>
      </c>
    </row>
    <row r="1212" s="148" customFormat="1" outlineLevel="2" spans="2:24">
      <c r="B1212" s="867" t="s">
        <v>2736</v>
      </c>
      <c r="C1212" s="429" t="str">
        <f t="shared" si="113"/>
        <v>石嘴山市深阳蓝光市政工程有限公司</v>
      </c>
      <c r="D1212" s="891" t="s">
        <v>2776</v>
      </c>
      <c r="E1212" s="487"/>
      <c r="F1212" s="894"/>
      <c r="G1212" s="132"/>
      <c r="H1212" s="895"/>
      <c r="I1212" s="895"/>
      <c r="J1212" s="636">
        <f t="shared" ref="J1212:J1220" si="120">H1212-I1212</f>
        <v>0</v>
      </c>
      <c r="X1212" s="501" t="b">
        <f t="shared" si="119"/>
        <v>1</v>
      </c>
    </row>
    <row r="1213" s="148" customFormat="1" outlineLevel="2" spans="2:24">
      <c r="B1213" s="867" t="s">
        <v>2736</v>
      </c>
      <c r="C1213" s="429" t="str">
        <f t="shared" si="113"/>
        <v>石嘴山市深阳蓝光市政工程有限公司</v>
      </c>
      <c r="D1213" s="891" t="s">
        <v>2776</v>
      </c>
      <c r="E1213" s="487"/>
      <c r="F1213" s="894"/>
      <c r="G1213" s="132"/>
      <c r="H1213" s="895"/>
      <c r="I1213" s="895"/>
      <c r="J1213" s="636">
        <f t="shared" si="120"/>
        <v>0</v>
      </c>
      <c r="X1213" s="501" t="b">
        <f t="shared" si="119"/>
        <v>1</v>
      </c>
    </row>
    <row r="1214" s="148" customFormat="1" outlineLevel="2" spans="2:24">
      <c r="B1214" s="867" t="s">
        <v>2736</v>
      </c>
      <c r="C1214" s="429" t="str">
        <f t="shared" si="113"/>
        <v>石嘴山市深阳蓝光市政工程有限公司</v>
      </c>
      <c r="D1214" s="891" t="s">
        <v>2776</v>
      </c>
      <c r="E1214" s="487"/>
      <c r="F1214" s="894"/>
      <c r="G1214" s="132"/>
      <c r="H1214" s="895"/>
      <c r="I1214" s="895"/>
      <c r="J1214" s="636">
        <f t="shared" si="120"/>
        <v>0</v>
      </c>
      <c r="X1214" s="501" t="b">
        <f t="shared" si="119"/>
        <v>1</v>
      </c>
    </row>
    <row r="1215" s="148" customFormat="1" outlineLevel="2" spans="2:24">
      <c r="B1215" s="867" t="s">
        <v>2736</v>
      </c>
      <c r="C1215" s="429" t="str">
        <f t="shared" ref="C1215:C1278" si="121">$G$1</f>
        <v>石嘴山市深阳蓝光市政工程有限公司</v>
      </c>
      <c r="D1215" s="891" t="s">
        <v>2776</v>
      </c>
      <c r="E1215" s="487"/>
      <c r="F1215" s="132"/>
      <c r="G1215" s="132"/>
      <c r="H1215" s="895"/>
      <c r="I1215" s="895"/>
      <c r="J1215" s="636">
        <f t="shared" si="120"/>
        <v>0</v>
      </c>
      <c r="X1215" s="501" t="b">
        <f t="shared" si="119"/>
        <v>1</v>
      </c>
    </row>
    <row r="1216" s="148" customFormat="1" outlineLevel="2" spans="2:24">
      <c r="B1216" s="867" t="s">
        <v>2736</v>
      </c>
      <c r="C1216" s="429" t="str">
        <f t="shared" si="121"/>
        <v>石嘴山市深阳蓝光市政工程有限公司</v>
      </c>
      <c r="D1216" s="891" t="s">
        <v>2776</v>
      </c>
      <c r="E1216" s="487"/>
      <c r="F1216" s="132"/>
      <c r="G1216" s="132"/>
      <c r="H1216" s="895"/>
      <c r="I1216" s="895"/>
      <c r="J1216" s="636">
        <f t="shared" si="120"/>
        <v>0</v>
      </c>
      <c r="X1216" s="501" t="b">
        <f t="shared" si="119"/>
        <v>1</v>
      </c>
    </row>
    <row r="1217" s="148" customFormat="1" outlineLevel="2" spans="2:24">
      <c r="B1217" s="867" t="s">
        <v>2736</v>
      </c>
      <c r="C1217" s="429" t="str">
        <f t="shared" si="121"/>
        <v>石嘴山市深阳蓝光市政工程有限公司</v>
      </c>
      <c r="D1217" s="891" t="s">
        <v>2776</v>
      </c>
      <c r="E1217" s="487"/>
      <c r="F1217" s="132"/>
      <c r="G1217" s="132"/>
      <c r="H1217" s="895"/>
      <c r="I1217" s="895"/>
      <c r="J1217" s="636">
        <f t="shared" si="120"/>
        <v>0</v>
      </c>
      <c r="X1217" s="501" t="b">
        <f t="shared" si="119"/>
        <v>1</v>
      </c>
    </row>
    <row r="1218" s="148" customFormat="1" outlineLevel="2" spans="2:24">
      <c r="B1218" s="867" t="s">
        <v>2736</v>
      </c>
      <c r="C1218" s="429" t="str">
        <f t="shared" si="121"/>
        <v>石嘴山市深阳蓝光市政工程有限公司</v>
      </c>
      <c r="D1218" s="891" t="s">
        <v>2776</v>
      </c>
      <c r="E1218" s="487"/>
      <c r="F1218" s="132"/>
      <c r="G1218" s="132"/>
      <c r="H1218" s="895"/>
      <c r="I1218" s="895"/>
      <c r="J1218" s="636">
        <f t="shared" si="120"/>
        <v>0</v>
      </c>
      <c r="X1218" s="501" t="b">
        <f t="shared" si="119"/>
        <v>1</v>
      </c>
    </row>
    <row r="1219" s="148" customFormat="1" outlineLevel="2" spans="2:24">
      <c r="B1219" s="867" t="s">
        <v>2736</v>
      </c>
      <c r="C1219" s="429" t="str">
        <f t="shared" si="121"/>
        <v>石嘴山市深阳蓝光市政工程有限公司</v>
      </c>
      <c r="D1219" s="891" t="s">
        <v>2776</v>
      </c>
      <c r="E1219" s="487"/>
      <c r="F1219" s="132"/>
      <c r="G1219" s="132"/>
      <c r="H1219" s="895"/>
      <c r="I1219" s="895"/>
      <c r="J1219" s="636">
        <f t="shared" si="120"/>
        <v>0</v>
      </c>
      <c r="X1219" s="501" t="b">
        <f t="shared" si="119"/>
        <v>1</v>
      </c>
    </row>
    <row r="1220" s="148" customFormat="1" outlineLevel="2" spans="2:24">
      <c r="B1220" s="867" t="s">
        <v>2736</v>
      </c>
      <c r="C1220" s="429" t="str">
        <f t="shared" si="121"/>
        <v>石嘴山市深阳蓝光市政工程有限公司</v>
      </c>
      <c r="D1220" s="891" t="s">
        <v>2776</v>
      </c>
      <c r="E1220" s="487"/>
      <c r="F1220" s="132"/>
      <c r="G1220" s="132"/>
      <c r="H1220" s="895"/>
      <c r="I1220" s="895"/>
      <c r="J1220" s="636">
        <f t="shared" si="120"/>
        <v>0</v>
      </c>
      <c r="X1220" s="501" t="b">
        <f t="shared" si="119"/>
        <v>1</v>
      </c>
    </row>
    <row r="1221" s="148" customFormat="1" outlineLevel="2" spans="2:24">
      <c r="B1221" s="867" t="s">
        <v>2736</v>
      </c>
      <c r="C1221" s="429" t="str">
        <f t="shared" si="121"/>
        <v>石嘴山市深阳蓝光市政工程有限公司</v>
      </c>
      <c r="D1221" s="891" t="s">
        <v>2776</v>
      </c>
      <c r="E1221" s="634"/>
      <c r="F1221" s="634"/>
      <c r="G1221" s="634"/>
      <c r="H1221" s="636">
        <f>SUM(H1211:H1220)</f>
        <v>0</v>
      </c>
      <c r="I1221" s="636">
        <f>SUM(I1211:I1220)</f>
        <v>0</v>
      </c>
      <c r="J1221" s="636">
        <f>SUM(J1211:J1220)</f>
        <v>0</v>
      </c>
      <c r="X1221" s="501" t="b">
        <f t="shared" si="119"/>
        <v>1</v>
      </c>
    </row>
    <row r="1222" s="148" customFormat="1" outlineLevel="2" spans="2:24">
      <c r="B1222" s="867" t="s">
        <v>2736</v>
      </c>
      <c r="C1222" s="429" t="str">
        <f t="shared" si="121"/>
        <v>石嘴山市深阳蓝光市政工程有限公司</v>
      </c>
      <c r="D1222" s="891" t="s">
        <v>2776</v>
      </c>
      <c r="E1222" s="149"/>
      <c r="F1222" s="141"/>
      <c r="G1222" s="141"/>
      <c r="H1222" s="141"/>
      <c r="I1222" s="141"/>
      <c r="X1222" s="501" t="b">
        <f t="shared" si="119"/>
        <v>1</v>
      </c>
    </row>
    <row r="1223" s="148" customFormat="1" outlineLevel="2" spans="2:24">
      <c r="B1223" s="867" t="s">
        <v>2736</v>
      </c>
      <c r="C1223" s="429" t="str">
        <f t="shared" si="121"/>
        <v>石嘴山市深阳蓝光市政工程有限公司</v>
      </c>
      <c r="D1223" s="868"/>
      <c r="E1223" s="149"/>
      <c r="F1223" s="141"/>
      <c r="G1223" s="141"/>
      <c r="H1223" s="141"/>
      <c r="I1223" s="141"/>
      <c r="X1223" s="501" t="b">
        <f t="shared" si="119"/>
        <v>1</v>
      </c>
    </row>
    <row r="1224" s="148" customFormat="1" outlineLevel="2" spans="1:24">
      <c r="A1224" s="148" t="s">
        <v>2315</v>
      </c>
      <c r="B1224" s="867" t="s">
        <v>2736</v>
      </c>
      <c r="C1224" s="429" t="str">
        <f t="shared" si="121"/>
        <v>石嘴山市深阳蓝光市政工程有限公司</v>
      </c>
      <c r="D1224" s="868"/>
      <c r="E1224" s="149" t="s">
        <v>2334</v>
      </c>
      <c r="F1224" s="719"/>
      <c r="G1224" s="719"/>
      <c r="H1224" s="719"/>
      <c r="I1224" s="141"/>
      <c r="X1224" s="501" t="b">
        <f t="shared" si="119"/>
        <v>1</v>
      </c>
    </row>
    <row r="1225" s="148" customFormat="1" outlineLevel="2" spans="2:24">
      <c r="B1225" s="867" t="s">
        <v>2736</v>
      </c>
      <c r="C1225" s="429" t="str">
        <f t="shared" si="121"/>
        <v>石嘴山市深阳蓝光市政工程有限公司</v>
      </c>
      <c r="D1225" s="868"/>
      <c r="E1225" s="149"/>
      <c r="F1225" s="141"/>
      <c r="G1225" s="141"/>
      <c r="H1225" s="141"/>
      <c r="I1225" s="141"/>
      <c r="X1225" s="501" t="b">
        <f t="shared" si="119"/>
        <v>1</v>
      </c>
    </row>
    <row r="1226" s="148" customFormat="1" spans="1:24">
      <c r="A1226" s="148" t="s">
        <v>2777</v>
      </c>
      <c r="B1226" s="867" t="s">
        <v>2778</v>
      </c>
      <c r="C1226" s="429" t="str">
        <f t="shared" si="121"/>
        <v>石嘴山市深阳蓝光市政工程有限公司</v>
      </c>
      <c r="D1226" s="891" t="s">
        <v>2779</v>
      </c>
      <c r="E1226" s="65" t="s">
        <v>2780</v>
      </c>
      <c r="F1226" s="896" t="s">
        <v>2635</v>
      </c>
      <c r="G1226" s="141"/>
      <c r="H1226" s="141"/>
      <c r="I1226" s="141"/>
      <c r="X1226" s="501" t="b">
        <f t="shared" si="119"/>
        <v>1</v>
      </c>
    </row>
    <row r="1227" s="148" customFormat="1" outlineLevel="2" spans="1:24">
      <c r="A1227" s="148" t="s">
        <v>2781</v>
      </c>
      <c r="B1227" s="867" t="s">
        <v>2778</v>
      </c>
      <c r="C1227" s="429" t="str">
        <f t="shared" si="121"/>
        <v>石嘴山市深阳蓝光市政工程有限公司</v>
      </c>
      <c r="D1227" s="891" t="s">
        <v>2779</v>
      </c>
      <c r="E1227" s="149" t="s">
        <v>2782</v>
      </c>
      <c r="F1227" s="141"/>
      <c r="G1227" s="141"/>
      <c r="H1227" s="141"/>
      <c r="I1227" s="141"/>
      <c r="X1227" s="501" t="b">
        <f t="shared" si="119"/>
        <v>1</v>
      </c>
    </row>
    <row r="1228" s="148" customFormat="1" outlineLevel="2" spans="1:24">
      <c r="A1228" s="148" t="s">
        <v>60</v>
      </c>
      <c r="B1228" s="867" t="s">
        <v>2778</v>
      </c>
      <c r="C1228" s="429" t="str">
        <f t="shared" si="121"/>
        <v>石嘴山市深阳蓝光市政工程有限公司</v>
      </c>
      <c r="D1228" s="891" t="s">
        <v>2783</v>
      </c>
      <c r="E1228" s="581" t="s">
        <v>60</v>
      </c>
      <c r="F1228" s="581" t="s">
        <v>2407</v>
      </c>
      <c r="G1228" s="581"/>
      <c r="H1228" s="581"/>
      <c r="I1228" s="581" t="s">
        <v>2784</v>
      </c>
      <c r="J1228" s="581"/>
      <c r="K1228" s="581"/>
      <c r="X1228" s="501" t="b">
        <f t="shared" si="119"/>
        <v>1</v>
      </c>
    </row>
    <row r="1229" s="148" customFormat="1" outlineLevel="2" spans="2:24">
      <c r="B1229" s="867" t="s">
        <v>2778</v>
      </c>
      <c r="C1229" s="429" t="str">
        <f t="shared" si="121"/>
        <v>石嘴山市深阳蓝光市政工程有限公司</v>
      </c>
      <c r="D1229" s="891" t="s">
        <v>2783</v>
      </c>
      <c r="E1229" s="581"/>
      <c r="F1229" s="581" t="s">
        <v>443</v>
      </c>
      <c r="G1229" s="581" t="s">
        <v>775</v>
      </c>
      <c r="H1229" s="581" t="s">
        <v>776</v>
      </c>
      <c r="I1229" s="581" t="s">
        <v>443</v>
      </c>
      <c r="J1229" s="581" t="s">
        <v>775</v>
      </c>
      <c r="K1229" s="581" t="s">
        <v>776</v>
      </c>
      <c r="X1229" s="501" t="b">
        <f t="shared" si="119"/>
        <v>1</v>
      </c>
    </row>
    <row r="1230" s="148" customFormat="1" outlineLevel="2" spans="2:24">
      <c r="B1230" s="867" t="s">
        <v>2778</v>
      </c>
      <c r="C1230" s="429" t="str">
        <f t="shared" si="121"/>
        <v>石嘴山市深阳蓝光市政工程有限公司</v>
      </c>
      <c r="D1230" s="891" t="s">
        <v>2783</v>
      </c>
      <c r="E1230" s="636">
        <f>E1281</f>
        <v>0</v>
      </c>
      <c r="F1230" s="135">
        <f>Q1281</f>
        <v>0</v>
      </c>
      <c r="G1230" s="897"/>
      <c r="H1230" s="135">
        <f>F1230-G1230</f>
        <v>0</v>
      </c>
      <c r="I1230" s="135">
        <f>G1281</f>
        <v>0</v>
      </c>
      <c r="J1230" s="897"/>
      <c r="K1230" s="135">
        <f>I1230-J1230</f>
        <v>0</v>
      </c>
      <c r="X1230" s="501" t="b">
        <f t="shared" si="119"/>
        <v>0</v>
      </c>
    </row>
    <row r="1231" s="148" customFormat="1" outlineLevel="2" spans="2:24">
      <c r="B1231" s="867" t="s">
        <v>2778</v>
      </c>
      <c r="C1231" s="429" t="str">
        <f t="shared" si="121"/>
        <v>石嘴山市深阳蓝光市政工程有限公司</v>
      </c>
      <c r="D1231" s="891" t="s">
        <v>2783</v>
      </c>
      <c r="E1231" s="636">
        <f t="shared" ref="E1231:E1257" si="122">E1282</f>
        <v>0</v>
      </c>
      <c r="F1231" s="135">
        <f t="shared" ref="F1231:F1257" si="123">Q1282</f>
        <v>0</v>
      </c>
      <c r="G1231" s="897"/>
      <c r="H1231" s="135">
        <f t="shared" ref="H1231:H1273" si="124">F1231-G1231</f>
        <v>0</v>
      </c>
      <c r="I1231" s="135">
        <f>G1282</f>
        <v>0</v>
      </c>
      <c r="J1231" s="897"/>
      <c r="K1231" s="135">
        <f t="shared" ref="K1231:K1273" si="125">I1231-J1231</f>
        <v>0</v>
      </c>
      <c r="X1231" s="501" t="b">
        <f t="shared" si="119"/>
        <v>0</v>
      </c>
    </row>
    <row r="1232" s="148" customFormat="1" outlineLevel="2" spans="2:24">
      <c r="B1232" s="867" t="s">
        <v>2778</v>
      </c>
      <c r="C1232" s="429" t="str">
        <f t="shared" si="121"/>
        <v>石嘴山市深阳蓝光市政工程有限公司</v>
      </c>
      <c r="D1232" s="891" t="s">
        <v>2783</v>
      </c>
      <c r="E1232" s="636">
        <f t="shared" si="122"/>
        <v>0</v>
      </c>
      <c r="F1232" s="135">
        <f t="shared" si="123"/>
        <v>0</v>
      </c>
      <c r="G1232" s="897"/>
      <c r="H1232" s="135">
        <f t="shared" si="124"/>
        <v>0</v>
      </c>
      <c r="I1232" s="135">
        <f t="shared" ref="I1232:I1257" si="126">G1283</f>
        <v>0</v>
      </c>
      <c r="J1232" s="897"/>
      <c r="K1232" s="135">
        <f t="shared" si="125"/>
        <v>0</v>
      </c>
      <c r="X1232" s="501" t="b">
        <f t="shared" si="119"/>
        <v>0</v>
      </c>
    </row>
    <row r="1233" s="148" customFormat="1" outlineLevel="2" spans="2:24">
      <c r="B1233" s="867" t="s">
        <v>2778</v>
      </c>
      <c r="C1233" s="429" t="str">
        <f t="shared" si="121"/>
        <v>石嘴山市深阳蓝光市政工程有限公司</v>
      </c>
      <c r="D1233" s="891" t="s">
        <v>2783</v>
      </c>
      <c r="E1233" s="636">
        <f t="shared" si="122"/>
        <v>0</v>
      </c>
      <c r="F1233" s="135">
        <f t="shared" si="123"/>
        <v>0</v>
      </c>
      <c r="G1233" s="897"/>
      <c r="H1233" s="135">
        <f t="shared" si="124"/>
        <v>0</v>
      </c>
      <c r="I1233" s="135">
        <f t="shared" si="126"/>
        <v>0</v>
      </c>
      <c r="J1233" s="897"/>
      <c r="K1233" s="135">
        <f t="shared" si="125"/>
        <v>0</v>
      </c>
      <c r="X1233" s="501" t="b">
        <f t="shared" si="119"/>
        <v>0</v>
      </c>
    </row>
    <row r="1234" s="148" customFormat="1" outlineLevel="2" spans="2:24">
      <c r="B1234" s="867" t="s">
        <v>2778</v>
      </c>
      <c r="C1234" s="429" t="str">
        <f t="shared" si="121"/>
        <v>石嘴山市深阳蓝光市政工程有限公司</v>
      </c>
      <c r="D1234" s="891" t="s">
        <v>2783</v>
      </c>
      <c r="E1234" s="636">
        <f t="shared" si="122"/>
        <v>0</v>
      </c>
      <c r="F1234" s="135">
        <f t="shared" si="123"/>
        <v>0</v>
      </c>
      <c r="G1234" s="897"/>
      <c r="H1234" s="135">
        <f t="shared" si="124"/>
        <v>0</v>
      </c>
      <c r="I1234" s="135">
        <f t="shared" si="126"/>
        <v>0</v>
      </c>
      <c r="J1234" s="897"/>
      <c r="K1234" s="135">
        <f t="shared" si="125"/>
        <v>0</v>
      </c>
      <c r="X1234" s="501" t="b">
        <f t="shared" si="119"/>
        <v>0</v>
      </c>
    </row>
    <row r="1235" s="148" customFormat="1" outlineLevel="2" spans="2:24">
      <c r="B1235" s="867" t="s">
        <v>2778</v>
      </c>
      <c r="C1235" s="429" t="str">
        <f t="shared" si="121"/>
        <v>石嘴山市深阳蓝光市政工程有限公司</v>
      </c>
      <c r="D1235" s="891" t="s">
        <v>2783</v>
      </c>
      <c r="E1235" s="636">
        <f t="shared" si="122"/>
        <v>0</v>
      </c>
      <c r="F1235" s="135">
        <f t="shared" si="123"/>
        <v>0</v>
      </c>
      <c r="G1235" s="897"/>
      <c r="H1235" s="135">
        <f t="shared" si="124"/>
        <v>0</v>
      </c>
      <c r="I1235" s="135">
        <f t="shared" si="126"/>
        <v>0</v>
      </c>
      <c r="J1235" s="897"/>
      <c r="K1235" s="135">
        <f t="shared" si="125"/>
        <v>0</v>
      </c>
      <c r="X1235" s="501" t="b">
        <f t="shared" si="119"/>
        <v>0</v>
      </c>
    </row>
    <row r="1236" s="148" customFormat="1" outlineLevel="2" spans="2:24">
      <c r="B1236" s="867" t="s">
        <v>2778</v>
      </c>
      <c r="C1236" s="429" t="str">
        <f t="shared" si="121"/>
        <v>石嘴山市深阳蓝光市政工程有限公司</v>
      </c>
      <c r="D1236" s="891" t="s">
        <v>2783</v>
      </c>
      <c r="E1236" s="636">
        <f t="shared" si="122"/>
        <v>0</v>
      </c>
      <c r="F1236" s="135">
        <f t="shared" si="123"/>
        <v>0</v>
      </c>
      <c r="G1236" s="897"/>
      <c r="H1236" s="135">
        <f t="shared" si="124"/>
        <v>0</v>
      </c>
      <c r="I1236" s="135">
        <f t="shared" si="126"/>
        <v>0</v>
      </c>
      <c r="J1236" s="897"/>
      <c r="K1236" s="135">
        <f t="shared" si="125"/>
        <v>0</v>
      </c>
      <c r="X1236" s="501" t="b">
        <f t="shared" si="119"/>
        <v>0</v>
      </c>
    </row>
    <row r="1237" s="148" customFormat="1" outlineLevel="2" spans="2:24">
      <c r="B1237" s="867" t="s">
        <v>2778</v>
      </c>
      <c r="C1237" s="429" t="str">
        <f t="shared" si="121"/>
        <v>石嘴山市深阳蓝光市政工程有限公司</v>
      </c>
      <c r="D1237" s="891" t="s">
        <v>2783</v>
      </c>
      <c r="E1237" s="636">
        <f t="shared" si="122"/>
        <v>0</v>
      </c>
      <c r="F1237" s="135">
        <f t="shared" si="123"/>
        <v>0</v>
      </c>
      <c r="G1237" s="897"/>
      <c r="H1237" s="135">
        <f t="shared" si="124"/>
        <v>0</v>
      </c>
      <c r="I1237" s="135">
        <f t="shared" si="126"/>
        <v>0</v>
      </c>
      <c r="J1237" s="897"/>
      <c r="K1237" s="135">
        <f t="shared" si="125"/>
        <v>0</v>
      </c>
      <c r="X1237" s="501" t="b">
        <f t="shared" si="119"/>
        <v>0</v>
      </c>
    </row>
    <row r="1238" s="148" customFormat="1" outlineLevel="2" spans="2:24">
      <c r="B1238" s="867" t="s">
        <v>2778</v>
      </c>
      <c r="C1238" s="429" t="str">
        <f t="shared" si="121"/>
        <v>石嘴山市深阳蓝光市政工程有限公司</v>
      </c>
      <c r="D1238" s="891" t="s">
        <v>2783</v>
      </c>
      <c r="E1238" s="636">
        <f t="shared" si="122"/>
        <v>0</v>
      </c>
      <c r="F1238" s="135">
        <f t="shared" si="123"/>
        <v>0</v>
      </c>
      <c r="G1238" s="897"/>
      <c r="H1238" s="135">
        <f t="shared" si="124"/>
        <v>0</v>
      </c>
      <c r="I1238" s="135">
        <f t="shared" si="126"/>
        <v>0</v>
      </c>
      <c r="J1238" s="897"/>
      <c r="K1238" s="135">
        <f t="shared" si="125"/>
        <v>0</v>
      </c>
      <c r="X1238" s="501" t="b">
        <f t="shared" si="119"/>
        <v>0</v>
      </c>
    </row>
    <row r="1239" s="148" customFormat="1" outlineLevel="2" spans="2:24">
      <c r="B1239" s="867" t="s">
        <v>2778</v>
      </c>
      <c r="C1239" s="429" t="str">
        <f t="shared" si="121"/>
        <v>石嘴山市深阳蓝光市政工程有限公司</v>
      </c>
      <c r="D1239" s="891" t="s">
        <v>2783</v>
      </c>
      <c r="E1239" s="636">
        <f t="shared" si="122"/>
        <v>0</v>
      </c>
      <c r="F1239" s="135">
        <f t="shared" si="123"/>
        <v>0</v>
      </c>
      <c r="G1239" s="897"/>
      <c r="H1239" s="135">
        <f t="shared" si="124"/>
        <v>0</v>
      </c>
      <c r="I1239" s="135">
        <f t="shared" si="126"/>
        <v>0</v>
      </c>
      <c r="J1239" s="897"/>
      <c r="K1239" s="135">
        <f t="shared" si="125"/>
        <v>0</v>
      </c>
      <c r="X1239" s="501" t="b">
        <f t="shared" si="119"/>
        <v>0</v>
      </c>
    </row>
    <row r="1240" s="148" customFormat="1" outlineLevel="2" spans="2:24">
      <c r="B1240" s="867" t="s">
        <v>2778</v>
      </c>
      <c r="C1240" s="429" t="str">
        <f t="shared" si="121"/>
        <v>石嘴山市深阳蓝光市政工程有限公司</v>
      </c>
      <c r="D1240" s="891" t="s">
        <v>2783</v>
      </c>
      <c r="E1240" s="636">
        <f t="shared" si="122"/>
        <v>0</v>
      </c>
      <c r="F1240" s="135">
        <f t="shared" si="123"/>
        <v>0</v>
      </c>
      <c r="G1240" s="897"/>
      <c r="H1240" s="135">
        <f t="shared" si="124"/>
        <v>0</v>
      </c>
      <c r="I1240" s="135">
        <f t="shared" si="126"/>
        <v>0</v>
      </c>
      <c r="J1240" s="897"/>
      <c r="K1240" s="135">
        <f t="shared" si="125"/>
        <v>0</v>
      </c>
      <c r="X1240" s="501" t="b">
        <f t="shared" si="119"/>
        <v>0</v>
      </c>
    </row>
    <row r="1241" s="148" customFormat="1" outlineLevel="2" spans="2:24">
      <c r="B1241" s="867" t="s">
        <v>2778</v>
      </c>
      <c r="C1241" s="429" t="str">
        <f t="shared" si="121"/>
        <v>石嘴山市深阳蓝光市政工程有限公司</v>
      </c>
      <c r="D1241" s="891" t="s">
        <v>2783</v>
      </c>
      <c r="E1241" s="636">
        <f t="shared" si="122"/>
        <v>0</v>
      </c>
      <c r="F1241" s="135">
        <f t="shared" si="123"/>
        <v>0</v>
      </c>
      <c r="G1241" s="897"/>
      <c r="H1241" s="135">
        <f t="shared" si="124"/>
        <v>0</v>
      </c>
      <c r="I1241" s="135">
        <f t="shared" si="126"/>
        <v>0</v>
      </c>
      <c r="J1241" s="897"/>
      <c r="K1241" s="135">
        <f t="shared" si="125"/>
        <v>0</v>
      </c>
      <c r="X1241" s="501" t="b">
        <f t="shared" si="119"/>
        <v>0</v>
      </c>
    </row>
    <row r="1242" s="148" customFormat="1" outlineLevel="2" spans="2:24">
      <c r="B1242" s="867" t="s">
        <v>2778</v>
      </c>
      <c r="C1242" s="429" t="str">
        <f t="shared" si="121"/>
        <v>石嘴山市深阳蓝光市政工程有限公司</v>
      </c>
      <c r="D1242" s="891" t="s">
        <v>2783</v>
      </c>
      <c r="E1242" s="636">
        <f t="shared" si="122"/>
        <v>0</v>
      </c>
      <c r="F1242" s="135">
        <f t="shared" si="123"/>
        <v>0</v>
      </c>
      <c r="G1242" s="897"/>
      <c r="H1242" s="135">
        <f t="shared" si="124"/>
        <v>0</v>
      </c>
      <c r="I1242" s="135">
        <f t="shared" si="126"/>
        <v>0</v>
      </c>
      <c r="J1242" s="897"/>
      <c r="K1242" s="135">
        <f t="shared" si="125"/>
        <v>0</v>
      </c>
      <c r="X1242" s="501" t="b">
        <f t="shared" ref="X1242:X1305" si="127">EXACT(A1242,E1242)</f>
        <v>0</v>
      </c>
    </row>
    <row r="1243" s="148" customFormat="1" outlineLevel="2" spans="2:24">
      <c r="B1243" s="867" t="s">
        <v>2778</v>
      </c>
      <c r="C1243" s="429" t="str">
        <f t="shared" si="121"/>
        <v>石嘴山市深阳蓝光市政工程有限公司</v>
      </c>
      <c r="D1243" s="891" t="s">
        <v>2783</v>
      </c>
      <c r="E1243" s="636">
        <f t="shared" si="122"/>
        <v>0</v>
      </c>
      <c r="F1243" s="135">
        <f t="shared" si="123"/>
        <v>0</v>
      </c>
      <c r="G1243" s="897"/>
      <c r="H1243" s="135">
        <f t="shared" si="124"/>
        <v>0</v>
      </c>
      <c r="I1243" s="135">
        <f t="shared" si="126"/>
        <v>0</v>
      </c>
      <c r="J1243" s="897"/>
      <c r="K1243" s="135">
        <f t="shared" si="125"/>
        <v>0</v>
      </c>
      <c r="X1243" s="501" t="b">
        <f t="shared" si="127"/>
        <v>0</v>
      </c>
    </row>
    <row r="1244" s="148" customFormat="1" outlineLevel="2" spans="2:24">
      <c r="B1244" s="867" t="s">
        <v>2778</v>
      </c>
      <c r="C1244" s="429" t="str">
        <f t="shared" si="121"/>
        <v>石嘴山市深阳蓝光市政工程有限公司</v>
      </c>
      <c r="D1244" s="891" t="s">
        <v>2783</v>
      </c>
      <c r="E1244" s="636">
        <f t="shared" si="122"/>
        <v>0</v>
      </c>
      <c r="F1244" s="135">
        <f t="shared" si="123"/>
        <v>0</v>
      </c>
      <c r="G1244" s="897"/>
      <c r="H1244" s="135">
        <f t="shared" si="124"/>
        <v>0</v>
      </c>
      <c r="I1244" s="135">
        <f t="shared" si="126"/>
        <v>0</v>
      </c>
      <c r="J1244" s="897"/>
      <c r="K1244" s="135">
        <f t="shared" si="125"/>
        <v>0</v>
      </c>
      <c r="X1244" s="501" t="b">
        <f t="shared" si="127"/>
        <v>0</v>
      </c>
    </row>
    <row r="1245" s="148" customFormat="1" outlineLevel="2" spans="2:24">
      <c r="B1245" s="867" t="s">
        <v>2778</v>
      </c>
      <c r="C1245" s="429" t="str">
        <f t="shared" si="121"/>
        <v>石嘴山市深阳蓝光市政工程有限公司</v>
      </c>
      <c r="D1245" s="891" t="s">
        <v>2783</v>
      </c>
      <c r="E1245" s="636">
        <f t="shared" si="122"/>
        <v>0</v>
      </c>
      <c r="F1245" s="135">
        <f t="shared" si="123"/>
        <v>0</v>
      </c>
      <c r="G1245" s="897"/>
      <c r="H1245" s="135">
        <f t="shared" si="124"/>
        <v>0</v>
      </c>
      <c r="I1245" s="135">
        <f t="shared" si="126"/>
        <v>0</v>
      </c>
      <c r="J1245" s="897"/>
      <c r="K1245" s="135">
        <f t="shared" si="125"/>
        <v>0</v>
      </c>
      <c r="X1245" s="501" t="b">
        <f t="shared" si="127"/>
        <v>0</v>
      </c>
    </row>
    <row r="1246" s="148" customFormat="1" outlineLevel="2" spans="2:24">
      <c r="B1246" s="867" t="s">
        <v>2778</v>
      </c>
      <c r="C1246" s="429" t="str">
        <f t="shared" si="121"/>
        <v>石嘴山市深阳蓝光市政工程有限公司</v>
      </c>
      <c r="D1246" s="891" t="s">
        <v>2783</v>
      </c>
      <c r="E1246" s="636">
        <f t="shared" si="122"/>
        <v>0</v>
      </c>
      <c r="F1246" s="135">
        <f t="shared" si="123"/>
        <v>0</v>
      </c>
      <c r="G1246" s="897"/>
      <c r="H1246" s="135">
        <f t="shared" si="124"/>
        <v>0</v>
      </c>
      <c r="I1246" s="135">
        <f t="shared" si="126"/>
        <v>0</v>
      </c>
      <c r="J1246" s="897"/>
      <c r="K1246" s="135">
        <f t="shared" si="125"/>
        <v>0</v>
      </c>
      <c r="X1246" s="501" t="b">
        <f t="shared" si="127"/>
        <v>0</v>
      </c>
    </row>
    <row r="1247" s="148" customFormat="1" outlineLevel="2" spans="2:24">
      <c r="B1247" s="867" t="s">
        <v>2778</v>
      </c>
      <c r="C1247" s="429" t="str">
        <f t="shared" si="121"/>
        <v>石嘴山市深阳蓝光市政工程有限公司</v>
      </c>
      <c r="D1247" s="891" t="s">
        <v>2783</v>
      </c>
      <c r="E1247" s="636">
        <f t="shared" si="122"/>
        <v>0</v>
      </c>
      <c r="F1247" s="135">
        <f t="shared" si="123"/>
        <v>0</v>
      </c>
      <c r="G1247" s="897"/>
      <c r="H1247" s="135">
        <f t="shared" si="124"/>
        <v>0</v>
      </c>
      <c r="I1247" s="135">
        <f t="shared" si="126"/>
        <v>0</v>
      </c>
      <c r="J1247" s="897"/>
      <c r="K1247" s="135">
        <f t="shared" si="125"/>
        <v>0</v>
      </c>
      <c r="X1247" s="501" t="b">
        <f t="shared" si="127"/>
        <v>0</v>
      </c>
    </row>
    <row r="1248" s="148" customFormat="1" outlineLevel="2" spans="2:24">
      <c r="B1248" s="867" t="s">
        <v>2778</v>
      </c>
      <c r="C1248" s="429" t="str">
        <f t="shared" si="121"/>
        <v>石嘴山市深阳蓝光市政工程有限公司</v>
      </c>
      <c r="D1248" s="891" t="s">
        <v>2783</v>
      </c>
      <c r="E1248" s="636">
        <f t="shared" si="122"/>
        <v>0</v>
      </c>
      <c r="F1248" s="135">
        <f t="shared" si="123"/>
        <v>0</v>
      </c>
      <c r="G1248" s="897"/>
      <c r="H1248" s="135">
        <f t="shared" si="124"/>
        <v>0</v>
      </c>
      <c r="I1248" s="135">
        <f t="shared" si="126"/>
        <v>0</v>
      </c>
      <c r="J1248" s="897"/>
      <c r="K1248" s="135">
        <f t="shared" si="125"/>
        <v>0</v>
      </c>
      <c r="X1248" s="501" t="b">
        <f t="shared" si="127"/>
        <v>0</v>
      </c>
    </row>
    <row r="1249" s="148" customFormat="1" outlineLevel="2" spans="2:24">
      <c r="B1249" s="867" t="s">
        <v>2778</v>
      </c>
      <c r="C1249" s="429" t="str">
        <f t="shared" si="121"/>
        <v>石嘴山市深阳蓝光市政工程有限公司</v>
      </c>
      <c r="D1249" s="891" t="s">
        <v>2783</v>
      </c>
      <c r="E1249" s="636">
        <f t="shared" si="122"/>
        <v>0</v>
      </c>
      <c r="F1249" s="135">
        <f t="shared" si="123"/>
        <v>0</v>
      </c>
      <c r="G1249" s="897"/>
      <c r="H1249" s="135">
        <f t="shared" si="124"/>
        <v>0</v>
      </c>
      <c r="I1249" s="135">
        <f t="shared" si="126"/>
        <v>0</v>
      </c>
      <c r="J1249" s="897"/>
      <c r="K1249" s="135">
        <f t="shared" si="125"/>
        <v>0</v>
      </c>
      <c r="X1249" s="501" t="b">
        <f t="shared" si="127"/>
        <v>0</v>
      </c>
    </row>
    <row r="1250" s="148" customFormat="1" outlineLevel="2" spans="2:24">
      <c r="B1250" s="867" t="s">
        <v>2778</v>
      </c>
      <c r="C1250" s="429" t="str">
        <f t="shared" si="121"/>
        <v>石嘴山市深阳蓝光市政工程有限公司</v>
      </c>
      <c r="D1250" s="891" t="s">
        <v>2783</v>
      </c>
      <c r="E1250" s="636">
        <f t="shared" si="122"/>
        <v>0</v>
      </c>
      <c r="F1250" s="135">
        <f t="shared" si="123"/>
        <v>0</v>
      </c>
      <c r="G1250" s="897"/>
      <c r="H1250" s="135">
        <f t="shared" si="124"/>
        <v>0</v>
      </c>
      <c r="I1250" s="135">
        <f t="shared" si="126"/>
        <v>0</v>
      </c>
      <c r="J1250" s="897"/>
      <c r="K1250" s="135">
        <f t="shared" si="125"/>
        <v>0</v>
      </c>
      <c r="X1250" s="501" t="b">
        <f t="shared" si="127"/>
        <v>0</v>
      </c>
    </row>
    <row r="1251" s="148" customFormat="1" outlineLevel="2" spans="2:24">
      <c r="B1251" s="867" t="s">
        <v>2778</v>
      </c>
      <c r="C1251" s="429" t="str">
        <f t="shared" si="121"/>
        <v>石嘴山市深阳蓝光市政工程有限公司</v>
      </c>
      <c r="D1251" s="891" t="s">
        <v>2783</v>
      </c>
      <c r="E1251" s="636">
        <f t="shared" si="122"/>
        <v>0</v>
      </c>
      <c r="F1251" s="135">
        <f t="shared" si="123"/>
        <v>0</v>
      </c>
      <c r="G1251" s="897"/>
      <c r="H1251" s="135">
        <f t="shared" si="124"/>
        <v>0</v>
      </c>
      <c r="I1251" s="135">
        <f t="shared" si="126"/>
        <v>0</v>
      </c>
      <c r="J1251" s="897"/>
      <c r="K1251" s="135">
        <f t="shared" si="125"/>
        <v>0</v>
      </c>
      <c r="X1251" s="501" t="b">
        <f t="shared" si="127"/>
        <v>0</v>
      </c>
    </row>
    <row r="1252" s="148" customFormat="1" outlineLevel="2" spans="2:24">
      <c r="B1252" s="867" t="s">
        <v>2778</v>
      </c>
      <c r="C1252" s="429" t="str">
        <f t="shared" si="121"/>
        <v>石嘴山市深阳蓝光市政工程有限公司</v>
      </c>
      <c r="D1252" s="891" t="s">
        <v>2783</v>
      </c>
      <c r="E1252" s="636">
        <f t="shared" si="122"/>
        <v>0</v>
      </c>
      <c r="F1252" s="135">
        <f t="shared" si="123"/>
        <v>0</v>
      </c>
      <c r="G1252" s="897"/>
      <c r="H1252" s="135">
        <f t="shared" si="124"/>
        <v>0</v>
      </c>
      <c r="I1252" s="135">
        <f t="shared" si="126"/>
        <v>0</v>
      </c>
      <c r="J1252" s="897"/>
      <c r="K1252" s="135">
        <f t="shared" si="125"/>
        <v>0</v>
      </c>
      <c r="X1252" s="501" t="b">
        <f t="shared" si="127"/>
        <v>0</v>
      </c>
    </row>
    <row r="1253" s="148" customFormat="1" outlineLevel="2" spans="2:24">
      <c r="B1253" s="867" t="s">
        <v>2778</v>
      </c>
      <c r="C1253" s="429" t="str">
        <f t="shared" si="121"/>
        <v>石嘴山市深阳蓝光市政工程有限公司</v>
      </c>
      <c r="D1253" s="891" t="s">
        <v>2783</v>
      </c>
      <c r="E1253" s="636">
        <f t="shared" si="122"/>
        <v>0</v>
      </c>
      <c r="F1253" s="135">
        <f t="shared" si="123"/>
        <v>0</v>
      </c>
      <c r="G1253" s="897"/>
      <c r="H1253" s="135">
        <f t="shared" si="124"/>
        <v>0</v>
      </c>
      <c r="I1253" s="135">
        <f t="shared" si="126"/>
        <v>0</v>
      </c>
      <c r="J1253" s="897"/>
      <c r="K1253" s="135">
        <f t="shared" si="125"/>
        <v>0</v>
      </c>
      <c r="X1253" s="501" t="b">
        <f t="shared" si="127"/>
        <v>0</v>
      </c>
    </row>
    <row r="1254" s="148" customFormat="1" outlineLevel="2" spans="2:24">
      <c r="B1254" s="867" t="s">
        <v>2778</v>
      </c>
      <c r="C1254" s="429" t="str">
        <f t="shared" si="121"/>
        <v>石嘴山市深阳蓝光市政工程有限公司</v>
      </c>
      <c r="D1254" s="891" t="s">
        <v>2783</v>
      </c>
      <c r="E1254" s="636">
        <f t="shared" si="122"/>
        <v>0</v>
      </c>
      <c r="F1254" s="135">
        <f t="shared" si="123"/>
        <v>0</v>
      </c>
      <c r="G1254" s="897"/>
      <c r="H1254" s="135">
        <f t="shared" si="124"/>
        <v>0</v>
      </c>
      <c r="I1254" s="135">
        <f t="shared" si="126"/>
        <v>0</v>
      </c>
      <c r="J1254" s="897"/>
      <c r="K1254" s="135">
        <f t="shared" si="125"/>
        <v>0</v>
      </c>
      <c r="X1254" s="501" t="b">
        <f t="shared" si="127"/>
        <v>0</v>
      </c>
    </row>
    <row r="1255" s="148" customFormat="1" outlineLevel="2" spans="2:24">
      <c r="B1255" s="867" t="s">
        <v>2778</v>
      </c>
      <c r="C1255" s="429" t="str">
        <f t="shared" si="121"/>
        <v>石嘴山市深阳蓝光市政工程有限公司</v>
      </c>
      <c r="D1255" s="891" t="s">
        <v>2783</v>
      </c>
      <c r="E1255" s="636">
        <f t="shared" si="122"/>
        <v>0</v>
      </c>
      <c r="F1255" s="135">
        <f t="shared" si="123"/>
        <v>0</v>
      </c>
      <c r="G1255" s="897"/>
      <c r="H1255" s="135">
        <f t="shared" si="124"/>
        <v>0</v>
      </c>
      <c r="I1255" s="135">
        <f t="shared" si="126"/>
        <v>0</v>
      </c>
      <c r="J1255" s="897"/>
      <c r="K1255" s="135">
        <f t="shared" si="125"/>
        <v>0</v>
      </c>
      <c r="X1255" s="501" t="b">
        <f t="shared" si="127"/>
        <v>0</v>
      </c>
    </row>
    <row r="1256" s="148" customFormat="1" outlineLevel="2" spans="2:24">
      <c r="B1256" s="867" t="s">
        <v>2778</v>
      </c>
      <c r="C1256" s="429" t="str">
        <f t="shared" si="121"/>
        <v>石嘴山市深阳蓝光市政工程有限公司</v>
      </c>
      <c r="D1256" s="891" t="s">
        <v>2783</v>
      </c>
      <c r="E1256" s="636">
        <f t="shared" si="122"/>
        <v>0</v>
      </c>
      <c r="F1256" s="135">
        <f t="shared" si="123"/>
        <v>0</v>
      </c>
      <c r="G1256" s="897"/>
      <c r="H1256" s="135">
        <f t="shared" si="124"/>
        <v>0</v>
      </c>
      <c r="I1256" s="135">
        <f t="shared" si="126"/>
        <v>0</v>
      </c>
      <c r="J1256" s="897"/>
      <c r="K1256" s="135">
        <f t="shared" si="125"/>
        <v>0</v>
      </c>
      <c r="X1256" s="501" t="b">
        <f t="shared" si="127"/>
        <v>0</v>
      </c>
    </row>
    <row r="1257" s="148" customFormat="1" outlineLevel="2" spans="2:24">
      <c r="B1257" s="867" t="s">
        <v>2778</v>
      </c>
      <c r="C1257" s="429" t="str">
        <f t="shared" si="121"/>
        <v>石嘴山市深阳蓝光市政工程有限公司</v>
      </c>
      <c r="D1257" s="891" t="s">
        <v>2783</v>
      </c>
      <c r="E1257" s="636">
        <f t="shared" si="122"/>
        <v>0</v>
      </c>
      <c r="F1257" s="135">
        <f t="shared" si="123"/>
        <v>0</v>
      </c>
      <c r="G1257" s="897"/>
      <c r="H1257" s="135">
        <f t="shared" si="124"/>
        <v>0</v>
      </c>
      <c r="I1257" s="135">
        <f t="shared" si="126"/>
        <v>0</v>
      </c>
      <c r="J1257" s="897"/>
      <c r="K1257" s="135">
        <f t="shared" si="125"/>
        <v>0</v>
      </c>
      <c r="X1257" s="501" t="b">
        <f t="shared" si="127"/>
        <v>0</v>
      </c>
    </row>
    <row r="1258" s="148" customFormat="1" hidden="1" outlineLevel="2" spans="2:24">
      <c r="B1258" s="867" t="s">
        <v>2778</v>
      </c>
      <c r="C1258" s="429" t="str">
        <f t="shared" si="121"/>
        <v>石嘴山市深阳蓝光市政工程有限公司</v>
      </c>
      <c r="D1258" s="891" t="s">
        <v>2783</v>
      </c>
      <c r="E1258" s="675"/>
      <c r="F1258" s="132"/>
      <c r="G1258" s="132"/>
      <c r="H1258" s="135">
        <f t="shared" si="124"/>
        <v>0</v>
      </c>
      <c r="I1258" s="132"/>
      <c r="J1258" s="547"/>
      <c r="K1258" s="534">
        <f t="shared" si="125"/>
        <v>0</v>
      </c>
      <c r="X1258" s="501" t="b">
        <f t="shared" si="127"/>
        <v>1</v>
      </c>
    </row>
    <row r="1259" s="148" customFormat="1" hidden="1" outlineLevel="2" spans="2:24">
      <c r="B1259" s="867" t="s">
        <v>2778</v>
      </c>
      <c r="C1259" s="429" t="str">
        <f t="shared" si="121"/>
        <v>石嘴山市深阳蓝光市政工程有限公司</v>
      </c>
      <c r="D1259" s="891" t="s">
        <v>2783</v>
      </c>
      <c r="E1259" s="675"/>
      <c r="F1259" s="132"/>
      <c r="G1259" s="132"/>
      <c r="H1259" s="135">
        <f t="shared" si="124"/>
        <v>0</v>
      </c>
      <c r="I1259" s="132"/>
      <c r="J1259" s="547"/>
      <c r="K1259" s="534">
        <f t="shared" si="125"/>
        <v>0</v>
      </c>
      <c r="X1259" s="501" t="b">
        <f t="shared" si="127"/>
        <v>1</v>
      </c>
    </row>
    <row r="1260" s="148" customFormat="1" hidden="1" outlineLevel="2" spans="2:24">
      <c r="B1260" s="867" t="s">
        <v>2778</v>
      </c>
      <c r="C1260" s="429" t="str">
        <f t="shared" si="121"/>
        <v>石嘴山市深阳蓝光市政工程有限公司</v>
      </c>
      <c r="D1260" s="891" t="s">
        <v>2783</v>
      </c>
      <c r="E1260" s="675"/>
      <c r="F1260" s="132"/>
      <c r="G1260" s="132"/>
      <c r="H1260" s="135">
        <f t="shared" si="124"/>
        <v>0</v>
      </c>
      <c r="I1260" s="132"/>
      <c r="J1260" s="547"/>
      <c r="K1260" s="534">
        <f t="shared" si="125"/>
        <v>0</v>
      </c>
      <c r="X1260" s="501" t="b">
        <f t="shared" si="127"/>
        <v>1</v>
      </c>
    </row>
    <row r="1261" s="148" customFormat="1" hidden="1" outlineLevel="2" spans="2:24">
      <c r="B1261" s="867" t="s">
        <v>2778</v>
      </c>
      <c r="C1261" s="429" t="str">
        <f t="shared" si="121"/>
        <v>石嘴山市深阳蓝光市政工程有限公司</v>
      </c>
      <c r="D1261" s="891" t="s">
        <v>2783</v>
      </c>
      <c r="E1261" s="675"/>
      <c r="F1261" s="132"/>
      <c r="G1261" s="132"/>
      <c r="H1261" s="135">
        <f t="shared" si="124"/>
        <v>0</v>
      </c>
      <c r="I1261" s="132"/>
      <c r="J1261" s="547"/>
      <c r="K1261" s="534">
        <f t="shared" si="125"/>
        <v>0</v>
      </c>
      <c r="X1261" s="501" t="b">
        <f t="shared" si="127"/>
        <v>1</v>
      </c>
    </row>
    <row r="1262" s="148" customFormat="1" hidden="1" outlineLevel="2" spans="2:24">
      <c r="B1262" s="867" t="s">
        <v>2778</v>
      </c>
      <c r="C1262" s="429" t="str">
        <f t="shared" si="121"/>
        <v>石嘴山市深阳蓝光市政工程有限公司</v>
      </c>
      <c r="D1262" s="891" t="s">
        <v>2783</v>
      </c>
      <c r="E1262" s="675"/>
      <c r="F1262" s="132"/>
      <c r="G1262" s="132"/>
      <c r="H1262" s="135">
        <f t="shared" si="124"/>
        <v>0</v>
      </c>
      <c r="I1262" s="132"/>
      <c r="J1262" s="547"/>
      <c r="K1262" s="534">
        <f t="shared" si="125"/>
        <v>0</v>
      </c>
      <c r="X1262" s="501" t="b">
        <f t="shared" si="127"/>
        <v>1</v>
      </c>
    </row>
    <row r="1263" s="148" customFormat="1" hidden="1" outlineLevel="2" spans="2:24">
      <c r="B1263" s="867" t="s">
        <v>2778</v>
      </c>
      <c r="C1263" s="429" t="str">
        <f t="shared" si="121"/>
        <v>石嘴山市深阳蓝光市政工程有限公司</v>
      </c>
      <c r="D1263" s="891" t="s">
        <v>2783</v>
      </c>
      <c r="E1263" s="675"/>
      <c r="F1263" s="132"/>
      <c r="G1263" s="132"/>
      <c r="H1263" s="135">
        <f t="shared" si="124"/>
        <v>0</v>
      </c>
      <c r="I1263" s="132"/>
      <c r="J1263" s="547"/>
      <c r="K1263" s="534">
        <f t="shared" si="125"/>
        <v>0</v>
      </c>
      <c r="X1263" s="501" t="b">
        <f t="shared" si="127"/>
        <v>1</v>
      </c>
    </row>
    <row r="1264" s="148" customFormat="1" hidden="1" outlineLevel="2" spans="2:24">
      <c r="B1264" s="867" t="s">
        <v>2778</v>
      </c>
      <c r="C1264" s="429" t="str">
        <f t="shared" si="121"/>
        <v>石嘴山市深阳蓝光市政工程有限公司</v>
      </c>
      <c r="D1264" s="891" t="s">
        <v>2783</v>
      </c>
      <c r="E1264" s="675"/>
      <c r="F1264" s="132"/>
      <c r="G1264" s="132"/>
      <c r="H1264" s="135">
        <f t="shared" si="124"/>
        <v>0</v>
      </c>
      <c r="I1264" s="132"/>
      <c r="J1264" s="547"/>
      <c r="K1264" s="534">
        <f t="shared" si="125"/>
        <v>0</v>
      </c>
      <c r="X1264" s="501" t="b">
        <f t="shared" si="127"/>
        <v>1</v>
      </c>
    </row>
    <row r="1265" s="148" customFormat="1" hidden="1" outlineLevel="2" spans="2:24">
      <c r="B1265" s="867" t="s">
        <v>2778</v>
      </c>
      <c r="C1265" s="429" t="str">
        <f t="shared" si="121"/>
        <v>石嘴山市深阳蓝光市政工程有限公司</v>
      </c>
      <c r="D1265" s="891" t="s">
        <v>2783</v>
      </c>
      <c r="E1265" s="675"/>
      <c r="F1265" s="132"/>
      <c r="G1265" s="132"/>
      <c r="H1265" s="135">
        <f t="shared" si="124"/>
        <v>0</v>
      </c>
      <c r="I1265" s="132"/>
      <c r="J1265" s="547"/>
      <c r="K1265" s="534">
        <f t="shared" si="125"/>
        <v>0</v>
      </c>
      <c r="X1265" s="501" t="b">
        <f t="shared" si="127"/>
        <v>1</v>
      </c>
    </row>
    <row r="1266" s="148" customFormat="1" hidden="1" outlineLevel="2" spans="2:24">
      <c r="B1266" s="867" t="s">
        <v>2778</v>
      </c>
      <c r="C1266" s="429" t="str">
        <f t="shared" si="121"/>
        <v>石嘴山市深阳蓝光市政工程有限公司</v>
      </c>
      <c r="D1266" s="891" t="s">
        <v>2783</v>
      </c>
      <c r="E1266" s="675"/>
      <c r="F1266" s="132"/>
      <c r="G1266" s="132"/>
      <c r="H1266" s="135">
        <f t="shared" si="124"/>
        <v>0</v>
      </c>
      <c r="I1266" s="132"/>
      <c r="J1266" s="547"/>
      <c r="K1266" s="534">
        <f t="shared" si="125"/>
        <v>0</v>
      </c>
      <c r="X1266" s="501" t="b">
        <f t="shared" si="127"/>
        <v>1</v>
      </c>
    </row>
    <row r="1267" s="148" customFormat="1" hidden="1" outlineLevel="2" spans="2:24">
      <c r="B1267" s="867" t="s">
        <v>2778</v>
      </c>
      <c r="C1267" s="429" t="str">
        <f t="shared" si="121"/>
        <v>石嘴山市深阳蓝光市政工程有限公司</v>
      </c>
      <c r="D1267" s="891" t="s">
        <v>2783</v>
      </c>
      <c r="E1267" s="675"/>
      <c r="F1267" s="132"/>
      <c r="G1267" s="132"/>
      <c r="H1267" s="135">
        <f t="shared" si="124"/>
        <v>0</v>
      </c>
      <c r="I1267" s="132"/>
      <c r="J1267" s="547"/>
      <c r="K1267" s="534">
        <f t="shared" si="125"/>
        <v>0</v>
      </c>
      <c r="X1267" s="501" t="b">
        <f t="shared" si="127"/>
        <v>1</v>
      </c>
    </row>
    <row r="1268" s="148" customFormat="1" hidden="1" outlineLevel="2" spans="2:24">
      <c r="B1268" s="867" t="s">
        <v>2778</v>
      </c>
      <c r="C1268" s="429" t="str">
        <f t="shared" si="121"/>
        <v>石嘴山市深阳蓝光市政工程有限公司</v>
      </c>
      <c r="D1268" s="891" t="s">
        <v>2783</v>
      </c>
      <c r="E1268" s="675"/>
      <c r="F1268" s="132"/>
      <c r="G1268" s="132"/>
      <c r="H1268" s="135">
        <f t="shared" si="124"/>
        <v>0</v>
      </c>
      <c r="I1268" s="132"/>
      <c r="J1268" s="547"/>
      <c r="K1268" s="534">
        <f t="shared" si="125"/>
        <v>0</v>
      </c>
      <c r="X1268" s="501" t="b">
        <f t="shared" si="127"/>
        <v>1</v>
      </c>
    </row>
    <row r="1269" s="148" customFormat="1" hidden="1" outlineLevel="2" spans="2:24">
      <c r="B1269" s="867" t="s">
        <v>2778</v>
      </c>
      <c r="C1269" s="429" t="str">
        <f t="shared" si="121"/>
        <v>石嘴山市深阳蓝光市政工程有限公司</v>
      </c>
      <c r="D1269" s="891" t="s">
        <v>2783</v>
      </c>
      <c r="E1269" s="675"/>
      <c r="F1269" s="132"/>
      <c r="G1269" s="132"/>
      <c r="H1269" s="135">
        <f t="shared" si="124"/>
        <v>0</v>
      </c>
      <c r="I1269" s="132"/>
      <c r="J1269" s="547"/>
      <c r="K1269" s="534">
        <f t="shared" si="125"/>
        <v>0</v>
      </c>
      <c r="X1269" s="501" t="b">
        <f t="shared" si="127"/>
        <v>1</v>
      </c>
    </row>
    <row r="1270" s="148" customFormat="1" hidden="1" outlineLevel="2" spans="2:24">
      <c r="B1270" s="867" t="s">
        <v>2778</v>
      </c>
      <c r="C1270" s="429" t="str">
        <f t="shared" si="121"/>
        <v>石嘴山市深阳蓝光市政工程有限公司</v>
      </c>
      <c r="D1270" s="891" t="s">
        <v>2783</v>
      </c>
      <c r="E1270" s="675"/>
      <c r="F1270" s="132"/>
      <c r="G1270" s="132"/>
      <c r="H1270" s="135">
        <f t="shared" si="124"/>
        <v>0</v>
      </c>
      <c r="I1270" s="132"/>
      <c r="J1270" s="547"/>
      <c r="K1270" s="534">
        <f t="shared" si="125"/>
        <v>0</v>
      </c>
      <c r="X1270" s="501" t="b">
        <f t="shared" si="127"/>
        <v>1</v>
      </c>
    </row>
    <row r="1271" s="148" customFormat="1" hidden="1" outlineLevel="2" spans="2:24">
      <c r="B1271" s="867" t="s">
        <v>2778</v>
      </c>
      <c r="C1271" s="429" t="str">
        <f t="shared" si="121"/>
        <v>石嘴山市深阳蓝光市政工程有限公司</v>
      </c>
      <c r="D1271" s="891" t="s">
        <v>2783</v>
      </c>
      <c r="E1271" s="675"/>
      <c r="F1271" s="132"/>
      <c r="G1271" s="132"/>
      <c r="H1271" s="135">
        <f t="shared" si="124"/>
        <v>0</v>
      </c>
      <c r="I1271" s="132"/>
      <c r="J1271" s="547"/>
      <c r="K1271" s="534">
        <f t="shared" si="125"/>
        <v>0</v>
      </c>
      <c r="X1271" s="501" t="b">
        <f t="shared" si="127"/>
        <v>1</v>
      </c>
    </row>
    <row r="1272" s="148" customFormat="1" hidden="1" outlineLevel="2" spans="2:24">
      <c r="B1272" s="867" t="s">
        <v>2778</v>
      </c>
      <c r="C1272" s="429" t="str">
        <f t="shared" si="121"/>
        <v>石嘴山市深阳蓝光市政工程有限公司</v>
      </c>
      <c r="D1272" s="891" t="s">
        <v>2783</v>
      </c>
      <c r="E1272" s="675"/>
      <c r="F1272" s="132"/>
      <c r="G1272" s="132"/>
      <c r="H1272" s="135">
        <f t="shared" si="124"/>
        <v>0</v>
      </c>
      <c r="I1272" s="132"/>
      <c r="J1272" s="547"/>
      <c r="K1272" s="534">
        <f t="shared" si="125"/>
        <v>0</v>
      </c>
      <c r="X1272" s="501" t="b">
        <f t="shared" si="127"/>
        <v>1</v>
      </c>
    </row>
    <row r="1273" s="148" customFormat="1" hidden="1" outlineLevel="2" spans="2:24">
      <c r="B1273" s="867" t="s">
        <v>2778</v>
      </c>
      <c r="C1273" s="429" t="str">
        <f t="shared" si="121"/>
        <v>石嘴山市深阳蓝光市政工程有限公司</v>
      </c>
      <c r="D1273" s="891" t="s">
        <v>2783</v>
      </c>
      <c r="E1273" s="675"/>
      <c r="F1273" s="132"/>
      <c r="G1273" s="132"/>
      <c r="H1273" s="135">
        <f t="shared" si="124"/>
        <v>0</v>
      </c>
      <c r="I1273" s="132"/>
      <c r="J1273" s="547"/>
      <c r="K1273" s="534">
        <f t="shared" si="125"/>
        <v>0</v>
      </c>
      <c r="X1273" s="501" t="b">
        <f t="shared" si="127"/>
        <v>1</v>
      </c>
    </row>
    <row r="1274" s="148" customFormat="1" outlineLevel="2" spans="1:24">
      <c r="A1274" s="148" t="s">
        <v>1580</v>
      </c>
      <c r="B1274" s="867" t="s">
        <v>2778</v>
      </c>
      <c r="C1274" s="429" t="str">
        <f t="shared" si="121"/>
        <v>石嘴山市深阳蓝光市政工程有限公司</v>
      </c>
      <c r="D1274" s="891" t="s">
        <v>2783</v>
      </c>
      <c r="E1274" s="872" t="s">
        <v>1580</v>
      </c>
      <c r="F1274" s="135">
        <f t="shared" ref="F1274:K1274" si="128">SUM(F1230:F1273)</f>
        <v>0</v>
      </c>
      <c r="G1274" s="135">
        <f t="shared" si="128"/>
        <v>0</v>
      </c>
      <c r="H1274" s="135">
        <f t="shared" si="128"/>
        <v>0</v>
      </c>
      <c r="I1274" s="135">
        <f t="shared" si="128"/>
        <v>0</v>
      </c>
      <c r="J1274" s="135">
        <f t="shared" si="128"/>
        <v>0</v>
      </c>
      <c r="K1274" s="135">
        <f t="shared" si="128"/>
        <v>0</v>
      </c>
      <c r="X1274" s="501" t="b">
        <f t="shared" si="127"/>
        <v>1</v>
      </c>
    </row>
    <row r="1275" s="148" customFormat="1" outlineLevel="2" spans="1:24">
      <c r="A1275" s="148" t="s">
        <v>1444</v>
      </c>
      <c r="B1275" s="867" t="s">
        <v>2778</v>
      </c>
      <c r="C1275" s="429" t="str">
        <f t="shared" si="121"/>
        <v>石嘴山市深阳蓝光市政工程有限公司</v>
      </c>
      <c r="D1275" s="891" t="s">
        <v>2783</v>
      </c>
      <c r="E1275" s="819" t="s">
        <v>1444</v>
      </c>
      <c r="F1275" s="141"/>
      <c r="G1275" s="141"/>
      <c r="H1275" s="549">
        <f>审定资负表!C28</f>
        <v>0</v>
      </c>
      <c r="I1275" s="141"/>
      <c r="J1275" s="141"/>
      <c r="K1275" s="549">
        <f>审定资负表!D28</f>
        <v>0</v>
      </c>
      <c r="X1275" s="501" t="b">
        <f t="shared" si="127"/>
        <v>1</v>
      </c>
    </row>
    <row r="1276" s="148" customFormat="1" outlineLevel="1" spans="1:24">
      <c r="A1276" s="148" t="s">
        <v>1394</v>
      </c>
      <c r="B1276" s="867" t="s">
        <v>2778</v>
      </c>
      <c r="C1276" s="429" t="str">
        <f t="shared" si="121"/>
        <v>石嘴山市深阳蓝光市政工程有限公司</v>
      </c>
      <c r="D1276" s="891" t="s">
        <v>2783</v>
      </c>
      <c r="E1276" s="821" t="s">
        <v>1394</v>
      </c>
      <c r="F1276" s="141"/>
      <c r="G1276" s="141"/>
      <c r="H1276" s="87">
        <f>ROUND(H1274-H1275,2)</f>
        <v>0</v>
      </c>
      <c r="I1276" s="141"/>
      <c r="J1276" s="141"/>
      <c r="K1276" s="87">
        <f>ROUND(K1274-K1275,2)</f>
        <v>0</v>
      </c>
      <c r="X1276" s="501" t="b">
        <f t="shared" si="127"/>
        <v>1</v>
      </c>
    </row>
    <row r="1277" s="148" customFormat="1" outlineLevel="2" spans="2:24">
      <c r="B1277" s="867" t="s">
        <v>2778</v>
      </c>
      <c r="C1277" s="429" t="str">
        <f t="shared" si="121"/>
        <v>石嘴山市深阳蓝光市政工程有限公司</v>
      </c>
      <c r="D1277" s="891" t="s">
        <v>2783</v>
      </c>
      <c r="E1277" s="892"/>
      <c r="F1277" s="141"/>
      <c r="G1277" s="141"/>
      <c r="H1277" s="141"/>
      <c r="I1277" s="141"/>
      <c r="J1277" s="141"/>
      <c r="K1277" s="141"/>
      <c r="X1277" s="501" t="b">
        <f t="shared" si="127"/>
        <v>1</v>
      </c>
    </row>
    <row r="1278" s="148" customFormat="1" outlineLevel="2" spans="2:24">
      <c r="B1278" s="867" t="s">
        <v>2778</v>
      </c>
      <c r="C1278" s="429" t="str">
        <f t="shared" si="121"/>
        <v>石嘴山市深阳蓝光市政工程有限公司</v>
      </c>
      <c r="D1278" s="891" t="s">
        <v>2783</v>
      </c>
      <c r="E1278" s="890"/>
      <c r="F1278" s="141"/>
      <c r="G1278" s="141"/>
      <c r="H1278" s="141"/>
      <c r="I1278" s="141"/>
      <c r="J1278" s="142"/>
      <c r="K1278" s="142"/>
      <c r="X1278" s="501" t="b">
        <f t="shared" si="127"/>
        <v>1</v>
      </c>
    </row>
    <row r="1279" s="148" customFormat="1" outlineLevel="2" spans="1:24">
      <c r="A1279" s="148" t="s">
        <v>2785</v>
      </c>
      <c r="B1279" s="867" t="s">
        <v>2778</v>
      </c>
      <c r="C1279" s="429" t="str">
        <f t="shared" ref="C1279:C1342" si="129">$G$1</f>
        <v>石嘴山市深阳蓝光市政工程有限公司</v>
      </c>
      <c r="D1279" s="891" t="s">
        <v>2786</v>
      </c>
      <c r="E1279" s="140" t="s">
        <v>2787</v>
      </c>
      <c r="F1279" s="141"/>
      <c r="G1279" s="141"/>
      <c r="H1279" s="141"/>
      <c r="I1279" s="141"/>
      <c r="J1279" s="142"/>
      <c r="K1279" s="142"/>
      <c r="X1279" s="501" t="b">
        <f t="shared" si="127"/>
        <v>1</v>
      </c>
    </row>
    <row r="1280" s="148" customFormat="1" ht="24.75" outlineLevel="2" spans="1:24">
      <c r="A1280" s="148" t="s">
        <v>2477</v>
      </c>
      <c r="B1280" s="867" t="s">
        <v>2778</v>
      </c>
      <c r="C1280" s="429" t="str">
        <f t="shared" si="129"/>
        <v>石嘴山市深阳蓝光市政工程有限公司</v>
      </c>
      <c r="D1280" s="891" t="s">
        <v>2786</v>
      </c>
      <c r="E1280" s="143" t="s">
        <v>2477</v>
      </c>
      <c r="F1280" s="143" t="s">
        <v>815</v>
      </c>
      <c r="G1280" s="143" t="s">
        <v>670</v>
      </c>
      <c r="H1280" s="143" t="s">
        <v>671</v>
      </c>
      <c r="I1280" s="143" t="s">
        <v>2788</v>
      </c>
      <c r="J1280" s="143" t="s">
        <v>817</v>
      </c>
      <c r="K1280" s="143" t="s">
        <v>2789</v>
      </c>
      <c r="L1280" s="143" t="s">
        <v>2790</v>
      </c>
      <c r="M1280" s="143" t="s">
        <v>2791</v>
      </c>
      <c r="N1280" s="150" t="s">
        <v>2792</v>
      </c>
      <c r="O1280" s="143" t="s">
        <v>2793</v>
      </c>
      <c r="P1280" s="143" t="s">
        <v>818</v>
      </c>
      <c r="Q1280" s="143" t="s">
        <v>2407</v>
      </c>
      <c r="R1280" s="872" t="s">
        <v>2711</v>
      </c>
      <c r="S1280" s="872" t="s">
        <v>2712</v>
      </c>
      <c r="T1280" s="884" t="s">
        <v>2740</v>
      </c>
      <c r="U1280" s="884" t="s">
        <v>2741</v>
      </c>
      <c r="V1280" s="884" t="s">
        <v>2742</v>
      </c>
      <c r="W1280" s="884" t="s">
        <v>2743</v>
      </c>
      <c r="X1280" s="501" t="b">
        <f t="shared" si="127"/>
        <v>1</v>
      </c>
    </row>
    <row r="1281" s="148" customFormat="1" outlineLevel="2" spans="2:24">
      <c r="B1281" s="867" t="s">
        <v>2778</v>
      </c>
      <c r="C1281" s="429" t="str">
        <f t="shared" si="129"/>
        <v>石嘴山市深阳蓝光市政工程有限公司</v>
      </c>
      <c r="D1281" s="891" t="s">
        <v>2794</v>
      </c>
      <c r="E1281" s="898"/>
      <c r="F1281" s="132"/>
      <c r="G1281" s="132"/>
      <c r="H1281" s="132"/>
      <c r="I1281" s="132"/>
      <c r="J1281" s="908"/>
      <c r="K1281" s="908"/>
      <c r="L1281" s="908"/>
      <c r="M1281" s="908"/>
      <c r="N1281" s="908"/>
      <c r="O1281" s="908"/>
      <c r="P1281" s="908"/>
      <c r="Q1281" s="910">
        <f>ROUND(G1281+H1281-I1281-J1281,2)</f>
        <v>0</v>
      </c>
      <c r="R1281" s="135">
        <f>SUM(IF(T1281&gt;0,T1281,0),IF(U1281&gt;0,U1281,0),IF(V1281&gt;0,V1281,0),IF(W1281&gt;0,W1281,0))</f>
        <v>0</v>
      </c>
      <c r="S1281" s="135">
        <f>SUM(IF(T1281&gt;0,0,-T1281),IF(U1281&gt;0,0,-U1281),IF(V1281&gt;0,0,-V1281),IF(W1281&gt;0,0,-W1281))</f>
        <v>0</v>
      </c>
      <c r="T1281" s="908"/>
      <c r="U1281" s="908"/>
      <c r="V1281" s="908"/>
      <c r="W1281" s="908"/>
      <c r="X1281" s="501" t="b">
        <f t="shared" si="127"/>
        <v>1</v>
      </c>
    </row>
    <row r="1282" s="148" customFormat="1" outlineLevel="2" spans="2:24">
      <c r="B1282" s="867" t="s">
        <v>2778</v>
      </c>
      <c r="C1282" s="429" t="str">
        <f t="shared" si="129"/>
        <v>石嘴山市深阳蓝光市政工程有限公司</v>
      </c>
      <c r="D1282" s="891" t="s">
        <v>2794</v>
      </c>
      <c r="E1282" s="898"/>
      <c r="F1282" s="132"/>
      <c r="G1282" s="132"/>
      <c r="H1282" s="132"/>
      <c r="I1282" s="132"/>
      <c r="J1282" s="908"/>
      <c r="K1282" s="908"/>
      <c r="L1282" s="908"/>
      <c r="M1282" s="908"/>
      <c r="N1282" s="908"/>
      <c r="O1282" s="908"/>
      <c r="P1282" s="908"/>
      <c r="Q1282" s="910">
        <f t="shared" ref="Q1282:Q1308" si="130">ROUND(G1282+H1282-I1282-J1282,2)</f>
        <v>0</v>
      </c>
      <c r="R1282" s="135">
        <f t="shared" ref="R1282:R1308" si="131">SUM(IF(T1282&gt;0,T1282,0),IF(U1282&gt;0,U1282,0),IF(V1282&gt;0,V1282,0),IF(W1282&gt;0,W1282,0))</f>
        <v>0</v>
      </c>
      <c r="S1282" s="135">
        <f t="shared" ref="S1282:S1308" si="132">SUM(IF(T1282&gt;0,0,-T1282),IF(U1282&gt;0,0,-U1282),IF(V1282&gt;0,0,-V1282),IF(W1282&gt;0,0,-W1282))</f>
        <v>0</v>
      </c>
      <c r="T1282" s="908"/>
      <c r="U1282" s="908"/>
      <c r="V1282" s="908"/>
      <c r="W1282" s="908"/>
      <c r="X1282" s="501" t="b">
        <f t="shared" si="127"/>
        <v>1</v>
      </c>
    </row>
    <row r="1283" s="148" customFormat="1" outlineLevel="2" spans="2:24">
      <c r="B1283" s="867" t="s">
        <v>2778</v>
      </c>
      <c r="C1283" s="429" t="str">
        <f t="shared" si="129"/>
        <v>石嘴山市深阳蓝光市政工程有限公司</v>
      </c>
      <c r="D1283" s="891" t="s">
        <v>2794</v>
      </c>
      <c r="E1283" s="898"/>
      <c r="F1283" s="132"/>
      <c r="G1283" s="132"/>
      <c r="H1283" s="132"/>
      <c r="I1283" s="132"/>
      <c r="J1283" s="908"/>
      <c r="K1283" s="908"/>
      <c r="L1283" s="908"/>
      <c r="M1283" s="908"/>
      <c r="N1283" s="908"/>
      <c r="O1283" s="908"/>
      <c r="P1283" s="908"/>
      <c r="Q1283" s="910">
        <f t="shared" si="130"/>
        <v>0</v>
      </c>
      <c r="R1283" s="135">
        <f t="shared" si="131"/>
        <v>0</v>
      </c>
      <c r="S1283" s="135">
        <f t="shared" si="132"/>
        <v>0</v>
      </c>
      <c r="T1283" s="908"/>
      <c r="U1283" s="908"/>
      <c r="V1283" s="908"/>
      <c r="W1283" s="908"/>
      <c r="X1283" s="501" t="b">
        <f t="shared" si="127"/>
        <v>1</v>
      </c>
    </row>
    <row r="1284" s="148" customFormat="1" outlineLevel="2" spans="2:24">
      <c r="B1284" s="867" t="s">
        <v>2778</v>
      </c>
      <c r="C1284" s="429" t="str">
        <f t="shared" si="129"/>
        <v>石嘴山市深阳蓝光市政工程有限公司</v>
      </c>
      <c r="D1284" s="891" t="s">
        <v>2794</v>
      </c>
      <c r="E1284" s="898"/>
      <c r="F1284" s="132"/>
      <c r="G1284" s="132"/>
      <c r="H1284" s="132"/>
      <c r="I1284" s="132"/>
      <c r="J1284" s="908"/>
      <c r="K1284" s="908"/>
      <c r="L1284" s="908"/>
      <c r="M1284" s="908"/>
      <c r="N1284" s="908"/>
      <c r="O1284" s="908"/>
      <c r="P1284" s="908"/>
      <c r="Q1284" s="910">
        <f t="shared" si="130"/>
        <v>0</v>
      </c>
      <c r="R1284" s="135">
        <f t="shared" si="131"/>
        <v>0</v>
      </c>
      <c r="S1284" s="135">
        <f t="shared" si="132"/>
        <v>0</v>
      </c>
      <c r="T1284" s="908"/>
      <c r="U1284" s="908"/>
      <c r="V1284" s="908"/>
      <c r="W1284" s="908"/>
      <c r="X1284" s="501" t="b">
        <f t="shared" si="127"/>
        <v>1</v>
      </c>
    </row>
    <row r="1285" s="148" customFormat="1" outlineLevel="2" spans="2:24">
      <c r="B1285" s="867" t="s">
        <v>2778</v>
      </c>
      <c r="C1285" s="429" t="str">
        <f t="shared" si="129"/>
        <v>石嘴山市深阳蓝光市政工程有限公司</v>
      </c>
      <c r="D1285" s="891" t="s">
        <v>2794</v>
      </c>
      <c r="E1285" s="898"/>
      <c r="F1285" s="132"/>
      <c r="G1285" s="132"/>
      <c r="H1285" s="132"/>
      <c r="I1285" s="132"/>
      <c r="J1285" s="908"/>
      <c r="K1285" s="908"/>
      <c r="L1285" s="908"/>
      <c r="M1285" s="908"/>
      <c r="N1285" s="908"/>
      <c r="O1285" s="908"/>
      <c r="P1285" s="908"/>
      <c r="Q1285" s="910">
        <f t="shared" si="130"/>
        <v>0</v>
      </c>
      <c r="R1285" s="135">
        <f t="shared" si="131"/>
        <v>0</v>
      </c>
      <c r="S1285" s="135">
        <f t="shared" si="132"/>
        <v>0</v>
      </c>
      <c r="T1285" s="908"/>
      <c r="U1285" s="908"/>
      <c r="V1285" s="908"/>
      <c r="W1285" s="908"/>
      <c r="X1285" s="501" t="b">
        <f t="shared" si="127"/>
        <v>1</v>
      </c>
    </row>
    <row r="1286" s="148" customFormat="1" outlineLevel="2" spans="2:24">
      <c r="B1286" s="867" t="s">
        <v>2778</v>
      </c>
      <c r="C1286" s="429" t="str">
        <f t="shared" si="129"/>
        <v>石嘴山市深阳蓝光市政工程有限公司</v>
      </c>
      <c r="D1286" s="891" t="s">
        <v>2794</v>
      </c>
      <c r="E1286" s="898"/>
      <c r="F1286" s="132"/>
      <c r="G1286" s="132"/>
      <c r="H1286" s="132"/>
      <c r="I1286" s="132"/>
      <c r="J1286" s="908"/>
      <c r="K1286" s="908"/>
      <c r="L1286" s="908"/>
      <c r="M1286" s="908"/>
      <c r="N1286" s="908"/>
      <c r="O1286" s="908"/>
      <c r="P1286" s="908"/>
      <c r="Q1286" s="910">
        <f t="shared" si="130"/>
        <v>0</v>
      </c>
      <c r="R1286" s="135">
        <f t="shared" si="131"/>
        <v>0</v>
      </c>
      <c r="S1286" s="135">
        <f t="shared" si="132"/>
        <v>0</v>
      </c>
      <c r="T1286" s="908"/>
      <c r="U1286" s="908"/>
      <c r="V1286" s="908"/>
      <c r="W1286" s="908"/>
      <c r="X1286" s="501" t="b">
        <f t="shared" si="127"/>
        <v>1</v>
      </c>
    </row>
    <row r="1287" s="148" customFormat="1" outlineLevel="2" spans="2:24">
      <c r="B1287" s="867" t="s">
        <v>2778</v>
      </c>
      <c r="C1287" s="429" t="str">
        <f t="shared" si="129"/>
        <v>石嘴山市深阳蓝光市政工程有限公司</v>
      </c>
      <c r="D1287" s="891" t="s">
        <v>2794</v>
      </c>
      <c r="E1287" s="898"/>
      <c r="F1287" s="132"/>
      <c r="G1287" s="132"/>
      <c r="H1287" s="132"/>
      <c r="I1287" s="132"/>
      <c r="J1287" s="908"/>
      <c r="K1287" s="908"/>
      <c r="L1287" s="908"/>
      <c r="M1287" s="908"/>
      <c r="N1287" s="908"/>
      <c r="O1287" s="908"/>
      <c r="P1287" s="908"/>
      <c r="Q1287" s="910">
        <f t="shared" si="130"/>
        <v>0</v>
      </c>
      <c r="R1287" s="135">
        <f t="shared" si="131"/>
        <v>0</v>
      </c>
      <c r="S1287" s="135">
        <f t="shared" si="132"/>
        <v>0</v>
      </c>
      <c r="T1287" s="908"/>
      <c r="U1287" s="908"/>
      <c r="V1287" s="908"/>
      <c r="W1287" s="908"/>
      <c r="X1287" s="501" t="b">
        <f t="shared" si="127"/>
        <v>1</v>
      </c>
    </row>
    <row r="1288" s="148" customFormat="1" outlineLevel="2" spans="2:24">
      <c r="B1288" s="867" t="s">
        <v>2778</v>
      </c>
      <c r="C1288" s="429" t="str">
        <f t="shared" si="129"/>
        <v>石嘴山市深阳蓝光市政工程有限公司</v>
      </c>
      <c r="D1288" s="891" t="s">
        <v>2794</v>
      </c>
      <c r="E1288" s="898"/>
      <c r="F1288" s="132"/>
      <c r="G1288" s="132"/>
      <c r="H1288" s="132"/>
      <c r="I1288" s="132"/>
      <c r="J1288" s="908"/>
      <c r="K1288" s="908"/>
      <c r="L1288" s="908"/>
      <c r="M1288" s="908"/>
      <c r="N1288" s="908"/>
      <c r="O1288" s="908"/>
      <c r="P1288" s="908"/>
      <c r="Q1288" s="910">
        <f t="shared" si="130"/>
        <v>0</v>
      </c>
      <c r="R1288" s="135">
        <f t="shared" si="131"/>
        <v>0</v>
      </c>
      <c r="S1288" s="135">
        <f t="shared" si="132"/>
        <v>0</v>
      </c>
      <c r="T1288" s="908"/>
      <c r="U1288" s="908"/>
      <c r="V1288" s="908"/>
      <c r="W1288" s="908"/>
      <c r="X1288" s="501" t="b">
        <f t="shared" si="127"/>
        <v>1</v>
      </c>
    </row>
    <row r="1289" s="148" customFormat="1" outlineLevel="2" spans="2:24">
      <c r="B1289" s="867" t="s">
        <v>2778</v>
      </c>
      <c r="C1289" s="429" t="str">
        <f t="shared" si="129"/>
        <v>石嘴山市深阳蓝光市政工程有限公司</v>
      </c>
      <c r="D1289" s="891" t="s">
        <v>2794</v>
      </c>
      <c r="E1289" s="898"/>
      <c r="F1289" s="132"/>
      <c r="G1289" s="132"/>
      <c r="H1289" s="132"/>
      <c r="I1289" s="132"/>
      <c r="J1289" s="908"/>
      <c r="K1289" s="908"/>
      <c r="L1289" s="908"/>
      <c r="M1289" s="908"/>
      <c r="N1289" s="908"/>
      <c r="O1289" s="908"/>
      <c r="P1289" s="908"/>
      <c r="Q1289" s="910">
        <f t="shared" si="130"/>
        <v>0</v>
      </c>
      <c r="R1289" s="135">
        <f t="shared" si="131"/>
        <v>0</v>
      </c>
      <c r="S1289" s="135">
        <f t="shared" si="132"/>
        <v>0</v>
      </c>
      <c r="T1289" s="908"/>
      <c r="U1289" s="908"/>
      <c r="V1289" s="908"/>
      <c r="W1289" s="908"/>
      <c r="X1289" s="501" t="b">
        <f t="shared" si="127"/>
        <v>1</v>
      </c>
    </row>
    <row r="1290" s="148" customFormat="1" outlineLevel="2" spans="2:24">
      <c r="B1290" s="867" t="s">
        <v>2778</v>
      </c>
      <c r="C1290" s="429" t="str">
        <f t="shared" si="129"/>
        <v>石嘴山市深阳蓝光市政工程有限公司</v>
      </c>
      <c r="D1290" s="891" t="s">
        <v>2794</v>
      </c>
      <c r="E1290" s="898"/>
      <c r="F1290" s="132"/>
      <c r="G1290" s="132"/>
      <c r="H1290" s="132"/>
      <c r="I1290" s="132"/>
      <c r="J1290" s="908"/>
      <c r="K1290" s="908"/>
      <c r="L1290" s="908"/>
      <c r="M1290" s="908"/>
      <c r="N1290" s="908"/>
      <c r="O1290" s="908"/>
      <c r="P1290" s="908"/>
      <c r="Q1290" s="910">
        <f t="shared" si="130"/>
        <v>0</v>
      </c>
      <c r="R1290" s="135">
        <f t="shared" si="131"/>
        <v>0</v>
      </c>
      <c r="S1290" s="135">
        <f t="shared" si="132"/>
        <v>0</v>
      </c>
      <c r="T1290" s="908"/>
      <c r="U1290" s="908"/>
      <c r="V1290" s="908"/>
      <c r="W1290" s="908"/>
      <c r="X1290" s="501" t="b">
        <f t="shared" si="127"/>
        <v>1</v>
      </c>
    </row>
    <row r="1291" s="148" customFormat="1" outlineLevel="2" spans="2:24">
      <c r="B1291" s="867" t="s">
        <v>2778</v>
      </c>
      <c r="C1291" s="429" t="str">
        <f t="shared" si="129"/>
        <v>石嘴山市深阳蓝光市政工程有限公司</v>
      </c>
      <c r="D1291" s="891" t="s">
        <v>2794</v>
      </c>
      <c r="E1291" s="898"/>
      <c r="F1291" s="132"/>
      <c r="G1291" s="132"/>
      <c r="H1291" s="132"/>
      <c r="I1291" s="132"/>
      <c r="J1291" s="908"/>
      <c r="K1291" s="908"/>
      <c r="L1291" s="908"/>
      <c r="M1291" s="908"/>
      <c r="N1291" s="908"/>
      <c r="O1291" s="908"/>
      <c r="P1291" s="908"/>
      <c r="Q1291" s="910">
        <f t="shared" si="130"/>
        <v>0</v>
      </c>
      <c r="R1291" s="135">
        <f t="shared" si="131"/>
        <v>0</v>
      </c>
      <c r="S1291" s="135">
        <f t="shared" si="132"/>
        <v>0</v>
      </c>
      <c r="T1291" s="908"/>
      <c r="U1291" s="908"/>
      <c r="V1291" s="908"/>
      <c r="W1291" s="908"/>
      <c r="X1291" s="501" t="b">
        <f t="shared" si="127"/>
        <v>1</v>
      </c>
    </row>
    <row r="1292" s="148" customFormat="1" outlineLevel="2" spans="2:24">
      <c r="B1292" s="867" t="s">
        <v>2778</v>
      </c>
      <c r="C1292" s="429" t="str">
        <f t="shared" si="129"/>
        <v>石嘴山市深阳蓝光市政工程有限公司</v>
      </c>
      <c r="D1292" s="891" t="s">
        <v>2794</v>
      </c>
      <c r="E1292" s="898"/>
      <c r="F1292" s="132"/>
      <c r="G1292" s="132"/>
      <c r="H1292" s="132"/>
      <c r="I1292" s="132"/>
      <c r="J1292" s="908"/>
      <c r="K1292" s="908"/>
      <c r="L1292" s="908"/>
      <c r="M1292" s="908"/>
      <c r="N1292" s="908"/>
      <c r="O1292" s="908"/>
      <c r="P1292" s="908"/>
      <c r="Q1292" s="910">
        <f t="shared" si="130"/>
        <v>0</v>
      </c>
      <c r="R1292" s="135">
        <f t="shared" si="131"/>
        <v>0</v>
      </c>
      <c r="S1292" s="135">
        <f t="shared" si="132"/>
        <v>0</v>
      </c>
      <c r="T1292" s="908"/>
      <c r="U1292" s="908"/>
      <c r="V1292" s="908"/>
      <c r="W1292" s="908"/>
      <c r="X1292" s="501" t="b">
        <f t="shared" si="127"/>
        <v>1</v>
      </c>
    </row>
    <row r="1293" s="148" customFormat="1" outlineLevel="2" spans="2:24">
      <c r="B1293" s="867" t="s">
        <v>2778</v>
      </c>
      <c r="C1293" s="429" t="str">
        <f t="shared" si="129"/>
        <v>石嘴山市深阳蓝光市政工程有限公司</v>
      </c>
      <c r="D1293" s="891" t="s">
        <v>2794</v>
      </c>
      <c r="E1293" s="898"/>
      <c r="F1293" s="132"/>
      <c r="G1293" s="132"/>
      <c r="H1293" s="132"/>
      <c r="I1293" s="132"/>
      <c r="J1293" s="908"/>
      <c r="K1293" s="908"/>
      <c r="L1293" s="908"/>
      <c r="M1293" s="908"/>
      <c r="N1293" s="908"/>
      <c r="O1293" s="908"/>
      <c r="P1293" s="908"/>
      <c r="Q1293" s="910">
        <f t="shared" si="130"/>
        <v>0</v>
      </c>
      <c r="R1293" s="135">
        <f t="shared" si="131"/>
        <v>0</v>
      </c>
      <c r="S1293" s="135">
        <f t="shared" si="132"/>
        <v>0</v>
      </c>
      <c r="T1293" s="908"/>
      <c r="U1293" s="908"/>
      <c r="V1293" s="908"/>
      <c r="W1293" s="908"/>
      <c r="X1293" s="501" t="b">
        <f t="shared" si="127"/>
        <v>1</v>
      </c>
    </row>
    <row r="1294" s="148" customFormat="1" outlineLevel="2" spans="2:24">
      <c r="B1294" s="867" t="s">
        <v>2778</v>
      </c>
      <c r="C1294" s="429" t="str">
        <f t="shared" si="129"/>
        <v>石嘴山市深阳蓝光市政工程有限公司</v>
      </c>
      <c r="D1294" s="891" t="s">
        <v>2794</v>
      </c>
      <c r="E1294" s="898"/>
      <c r="F1294" s="132"/>
      <c r="G1294" s="132"/>
      <c r="H1294" s="132"/>
      <c r="I1294" s="132"/>
      <c r="J1294" s="908"/>
      <c r="K1294" s="908"/>
      <c r="L1294" s="908"/>
      <c r="M1294" s="908"/>
      <c r="N1294" s="908"/>
      <c r="O1294" s="908"/>
      <c r="P1294" s="908"/>
      <c r="Q1294" s="910">
        <f t="shared" si="130"/>
        <v>0</v>
      </c>
      <c r="R1294" s="135">
        <f t="shared" si="131"/>
        <v>0</v>
      </c>
      <c r="S1294" s="135">
        <f t="shared" si="132"/>
        <v>0</v>
      </c>
      <c r="T1294" s="908"/>
      <c r="U1294" s="908"/>
      <c r="V1294" s="908"/>
      <c r="W1294" s="908"/>
      <c r="X1294" s="501" t="b">
        <f t="shared" si="127"/>
        <v>1</v>
      </c>
    </row>
    <row r="1295" s="148" customFormat="1" outlineLevel="2" spans="2:24">
      <c r="B1295" s="867" t="s">
        <v>2778</v>
      </c>
      <c r="C1295" s="429" t="str">
        <f t="shared" si="129"/>
        <v>石嘴山市深阳蓝光市政工程有限公司</v>
      </c>
      <c r="D1295" s="891" t="s">
        <v>2794</v>
      </c>
      <c r="E1295" s="898"/>
      <c r="F1295" s="132"/>
      <c r="G1295" s="132"/>
      <c r="H1295" s="132"/>
      <c r="I1295" s="132"/>
      <c r="J1295" s="908"/>
      <c r="K1295" s="908"/>
      <c r="L1295" s="908"/>
      <c r="M1295" s="908"/>
      <c r="N1295" s="908"/>
      <c r="O1295" s="908"/>
      <c r="P1295" s="908"/>
      <c r="Q1295" s="910">
        <f t="shared" si="130"/>
        <v>0</v>
      </c>
      <c r="R1295" s="135">
        <f t="shared" si="131"/>
        <v>0</v>
      </c>
      <c r="S1295" s="135">
        <f t="shared" si="132"/>
        <v>0</v>
      </c>
      <c r="T1295" s="908"/>
      <c r="U1295" s="908"/>
      <c r="V1295" s="908"/>
      <c r="W1295" s="908"/>
      <c r="X1295" s="501" t="b">
        <f t="shared" si="127"/>
        <v>1</v>
      </c>
    </row>
    <row r="1296" s="148" customFormat="1" outlineLevel="2" spans="2:24">
      <c r="B1296" s="867" t="s">
        <v>2778</v>
      </c>
      <c r="C1296" s="429" t="str">
        <f t="shared" si="129"/>
        <v>石嘴山市深阳蓝光市政工程有限公司</v>
      </c>
      <c r="D1296" s="891" t="s">
        <v>2794</v>
      </c>
      <c r="E1296" s="898"/>
      <c r="F1296" s="132"/>
      <c r="G1296" s="132"/>
      <c r="H1296" s="132"/>
      <c r="I1296" s="132"/>
      <c r="J1296" s="908"/>
      <c r="K1296" s="908"/>
      <c r="L1296" s="908"/>
      <c r="M1296" s="908"/>
      <c r="N1296" s="908"/>
      <c r="O1296" s="908"/>
      <c r="P1296" s="908"/>
      <c r="Q1296" s="910">
        <f t="shared" si="130"/>
        <v>0</v>
      </c>
      <c r="R1296" s="135">
        <f t="shared" si="131"/>
        <v>0</v>
      </c>
      <c r="S1296" s="135">
        <f t="shared" si="132"/>
        <v>0</v>
      </c>
      <c r="T1296" s="908"/>
      <c r="U1296" s="908"/>
      <c r="V1296" s="908"/>
      <c r="W1296" s="908"/>
      <c r="X1296" s="501" t="b">
        <f t="shared" si="127"/>
        <v>1</v>
      </c>
    </row>
    <row r="1297" s="148" customFormat="1" outlineLevel="2" spans="2:24">
      <c r="B1297" s="867" t="s">
        <v>2778</v>
      </c>
      <c r="C1297" s="429" t="str">
        <f t="shared" si="129"/>
        <v>石嘴山市深阳蓝光市政工程有限公司</v>
      </c>
      <c r="D1297" s="891" t="s">
        <v>2794</v>
      </c>
      <c r="E1297" s="898"/>
      <c r="F1297" s="132"/>
      <c r="G1297" s="132"/>
      <c r="H1297" s="132"/>
      <c r="I1297" s="132"/>
      <c r="J1297" s="908"/>
      <c r="K1297" s="908"/>
      <c r="L1297" s="908"/>
      <c r="M1297" s="908"/>
      <c r="N1297" s="908"/>
      <c r="O1297" s="908"/>
      <c r="P1297" s="908"/>
      <c r="Q1297" s="910">
        <f t="shared" si="130"/>
        <v>0</v>
      </c>
      <c r="R1297" s="135">
        <f t="shared" si="131"/>
        <v>0</v>
      </c>
      <c r="S1297" s="135">
        <f t="shared" si="132"/>
        <v>0</v>
      </c>
      <c r="T1297" s="908"/>
      <c r="U1297" s="908"/>
      <c r="V1297" s="908"/>
      <c r="W1297" s="908"/>
      <c r="X1297" s="501" t="b">
        <f t="shared" si="127"/>
        <v>1</v>
      </c>
    </row>
    <row r="1298" s="148" customFormat="1" outlineLevel="2" spans="2:24">
      <c r="B1298" s="867" t="s">
        <v>2778</v>
      </c>
      <c r="C1298" s="429" t="str">
        <f t="shared" si="129"/>
        <v>石嘴山市深阳蓝光市政工程有限公司</v>
      </c>
      <c r="D1298" s="891" t="s">
        <v>2794</v>
      </c>
      <c r="E1298" s="898"/>
      <c r="F1298" s="132"/>
      <c r="G1298" s="132"/>
      <c r="H1298" s="132"/>
      <c r="I1298" s="132"/>
      <c r="J1298" s="908"/>
      <c r="K1298" s="908"/>
      <c r="L1298" s="908"/>
      <c r="M1298" s="908"/>
      <c r="N1298" s="908"/>
      <c r="O1298" s="908"/>
      <c r="P1298" s="908"/>
      <c r="Q1298" s="910">
        <f t="shared" si="130"/>
        <v>0</v>
      </c>
      <c r="R1298" s="135">
        <f t="shared" si="131"/>
        <v>0</v>
      </c>
      <c r="S1298" s="135">
        <f t="shared" si="132"/>
        <v>0</v>
      </c>
      <c r="T1298" s="908"/>
      <c r="U1298" s="908"/>
      <c r="V1298" s="908"/>
      <c r="W1298" s="908"/>
      <c r="X1298" s="501" t="b">
        <f t="shared" si="127"/>
        <v>1</v>
      </c>
    </row>
    <row r="1299" s="148" customFormat="1" outlineLevel="2" spans="2:24">
      <c r="B1299" s="867" t="s">
        <v>2778</v>
      </c>
      <c r="C1299" s="429" t="str">
        <f t="shared" si="129"/>
        <v>石嘴山市深阳蓝光市政工程有限公司</v>
      </c>
      <c r="D1299" s="891" t="s">
        <v>2794</v>
      </c>
      <c r="E1299" s="898"/>
      <c r="F1299" s="132"/>
      <c r="G1299" s="132"/>
      <c r="H1299" s="132"/>
      <c r="I1299" s="132"/>
      <c r="J1299" s="908"/>
      <c r="K1299" s="908"/>
      <c r="L1299" s="908"/>
      <c r="M1299" s="908"/>
      <c r="N1299" s="908"/>
      <c r="O1299" s="908"/>
      <c r="P1299" s="908"/>
      <c r="Q1299" s="910">
        <f t="shared" si="130"/>
        <v>0</v>
      </c>
      <c r="R1299" s="135">
        <f t="shared" si="131"/>
        <v>0</v>
      </c>
      <c r="S1299" s="135">
        <f t="shared" si="132"/>
        <v>0</v>
      </c>
      <c r="T1299" s="908"/>
      <c r="U1299" s="908"/>
      <c r="V1299" s="908"/>
      <c r="W1299" s="908"/>
      <c r="X1299" s="501" t="b">
        <f t="shared" si="127"/>
        <v>1</v>
      </c>
    </row>
    <row r="1300" s="148" customFormat="1" outlineLevel="2" spans="2:24">
      <c r="B1300" s="867" t="s">
        <v>2778</v>
      </c>
      <c r="C1300" s="429" t="str">
        <f t="shared" si="129"/>
        <v>石嘴山市深阳蓝光市政工程有限公司</v>
      </c>
      <c r="D1300" s="891" t="s">
        <v>2794</v>
      </c>
      <c r="E1300" s="898"/>
      <c r="F1300" s="132"/>
      <c r="G1300" s="132"/>
      <c r="H1300" s="132"/>
      <c r="I1300" s="132"/>
      <c r="J1300" s="908"/>
      <c r="K1300" s="908"/>
      <c r="L1300" s="908"/>
      <c r="M1300" s="908"/>
      <c r="N1300" s="908"/>
      <c r="O1300" s="908"/>
      <c r="P1300" s="908"/>
      <c r="Q1300" s="910">
        <f t="shared" si="130"/>
        <v>0</v>
      </c>
      <c r="R1300" s="135">
        <f t="shared" si="131"/>
        <v>0</v>
      </c>
      <c r="S1300" s="135">
        <f t="shared" si="132"/>
        <v>0</v>
      </c>
      <c r="T1300" s="908"/>
      <c r="U1300" s="908"/>
      <c r="V1300" s="908"/>
      <c r="W1300" s="908"/>
      <c r="X1300" s="501" t="b">
        <f t="shared" si="127"/>
        <v>1</v>
      </c>
    </row>
    <row r="1301" s="148" customFormat="1" outlineLevel="2" spans="2:24">
      <c r="B1301" s="867" t="s">
        <v>2778</v>
      </c>
      <c r="C1301" s="429" t="str">
        <f t="shared" si="129"/>
        <v>石嘴山市深阳蓝光市政工程有限公司</v>
      </c>
      <c r="D1301" s="891" t="s">
        <v>2794</v>
      </c>
      <c r="E1301" s="898"/>
      <c r="F1301" s="132"/>
      <c r="G1301" s="132"/>
      <c r="H1301" s="132"/>
      <c r="I1301" s="132"/>
      <c r="J1301" s="908"/>
      <c r="K1301" s="908"/>
      <c r="L1301" s="908"/>
      <c r="M1301" s="908"/>
      <c r="N1301" s="908"/>
      <c r="O1301" s="908"/>
      <c r="P1301" s="908"/>
      <c r="Q1301" s="910">
        <f t="shared" si="130"/>
        <v>0</v>
      </c>
      <c r="R1301" s="135">
        <f t="shared" si="131"/>
        <v>0</v>
      </c>
      <c r="S1301" s="135">
        <f t="shared" si="132"/>
        <v>0</v>
      </c>
      <c r="T1301" s="908"/>
      <c r="U1301" s="908"/>
      <c r="V1301" s="908"/>
      <c r="W1301" s="908"/>
      <c r="X1301" s="501" t="b">
        <f t="shared" si="127"/>
        <v>1</v>
      </c>
    </row>
    <row r="1302" s="148" customFormat="1" outlineLevel="2" spans="2:24">
      <c r="B1302" s="867" t="s">
        <v>2778</v>
      </c>
      <c r="C1302" s="429" t="str">
        <f t="shared" si="129"/>
        <v>石嘴山市深阳蓝光市政工程有限公司</v>
      </c>
      <c r="D1302" s="891" t="s">
        <v>2794</v>
      </c>
      <c r="E1302" s="898"/>
      <c r="F1302" s="132"/>
      <c r="G1302" s="132"/>
      <c r="H1302" s="132"/>
      <c r="I1302" s="132"/>
      <c r="J1302" s="908"/>
      <c r="K1302" s="908"/>
      <c r="L1302" s="908"/>
      <c r="M1302" s="908"/>
      <c r="N1302" s="908"/>
      <c r="O1302" s="908"/>
      <c r="P1302" s="908"/>
      <c r="Q1302" s="910">
        <f t="shared" si="130"/>
        <v>0</v>
      </c>
      <c r="R1302" s="135">
        <f t="shared" si="131"/>
        <v>0</v>
      </c>
      <c r="S1302" s="135">
        <f t="shared" si="132"/>
        <v>0</v>
      </c>
      <c r="T1302" s="908"/>
      <c r="U1302" s="908"/>
      <c r="V1302" s="908"/>
      <c r="W1302" s="908"/>
      <c r="X1302" s="501" t="b">
        <f t="shared" si="127"/>
        <v>1</v>
      </c>
    </row>
    <row r="1303" s="148" customFormat="1" outlineLevel="2" spans="2:24">
      <c r="B1303" s="867" t="s">
        <v>2778</v>
      </c>
      <c r="C1303" s="429" t="str">
        <f t="shared" si="129"/>
        <v>石嘴山市深阳蓝光市政工程有限公司</v>
      </c>
      <c r="D1303" s="891" t="s">
        <v>2794</v>
      </c>
      <c r="E1303" s="898"/>
      <c r="F1303" s="132"/>
      <c r="G1303" s="132"/>
      <c r="H1303" s="132"/>
      <c r="I1303" s="132"/>
      <c r="J1303" s="908"/>
      <c r="K1303" s="908"/>
      <c r="L1303" s="908"/>
      <c r="M1303" s="908"/>
      <c r="N1303" s="908"/>
      <c r="O1303" s="908"/>
      <c r="P1303" s="908"/>
      <c r="Q1303" s="910">
        <f t="shared" si="130"/>
        <v>0</v>
      </c>
      <c r="R1303" s="135">
        <f t="shared" si="131"/>
        <v>0</v>
      </c>
      <c r="S1303" s="135">
        <f t="shared" si="132"/>
        <v>0</v>
      </c>
      <c r="T1303" s="908"/>
      <c r="U1303" s="908"/>
      <c r="V1303" s="908"/>
      <c r="W1303" s="908"/>
      <c r="X1303" s="501" t="b">
        <f t="shared" si="127"/>
        <v>1</v>
      </c>
    </row>
    <row r="1304" s="148" customFormat="1" outlineLevel="2" spans="2:24">
      <c r="B1304" s="867" t="s">
        <v>2778</v>
      </c>
      <c r="C1304" s="429" t="str">
        <f t="shared" si="129"/>
        <v>石嘴山市深阳蓝光市政工程有限公司</v>
      </c>
      <c r="D1304" s="891" t="s">
        <v>2794</v>
      </c>
      <c r="E1304" s="898"/>
      <c r="F1304" s="132"/>
      <c r="G1304" s="132"/>
      <c r="H1304" s="132"/>
      <c r="I1304" s="132"/>
      <c r="J1304" s="908"/>
      <c r="K1304" s="908"/>
      <c r="L1304" s="908"/>
      <c r="M1304" s="908"/>
      <c r="N1304" s="908"/>
      <c r="O1304" s="908"/>
      <c r="P1304" s="908"/>
      <c r="Q1304" s="910">
        <f t="shared" si="130"/>
        <v>0</v>
      </c>
      <c r="R1304" s="135">
        <f t="shared" si="131"/>
        <v>0</v>
      </c>
      <c r="S1304" s="135">
        <f t="shared" si="132"/>
        <v>0</v>
      </c>
      <c r="T1304" s="908"/>
      <c r="U1304" s="908"/>
      <c r="V1304" s="908"/>
      <c r="W1304" s="908"/>
      <c r="X1304" s="501" t="b">
        <f t="shared" si="127"/>
        <v>1</v>
      </c>
    </row>
    <row r="1305" s="148" customFormat="1" outlineLevel="2" spans="2:24">
      <c r="B1305" s="867" t="s">
        <v>2778</v>
      </c>
      <c r="C1305" s="429" t="str">
        <f t="shared" si="129"/>
        <v>石嘴山市深阳蓝光市政工程有限公司</v>
      </c>
      <c r="D1305" s="891" t="s">
        <v>2794</v>
      </c>
      <c r="E1305" s="898"/>
      <c r="F1305" s="132"/>
      <c r="G1305" s="132"/>
      <c r="H1305" s="132"/>
      <c r="I1305" s="132"/>
      <c r="J1305" s="908"/>
      <c r="K1305" s="908"/>
      <c r="L1305" s="908"/>
      <c r="M1305" s="908"/>
      <c r="N1305" s="908"/>
      <c r="O1305" s="908"/>
      <c r="P1305" s="908"/>
      <c r="Q1305" s="910">
        <f t="shared" si="130"/>
        <v>0</v>
      </c>
      <c r="R1305" s="135">
        <f t="shared" si="131"/>
        <v>0</v>
      </c>
      <c r="S1305" s="135">
        <f t="shared" si="132"/>
        <v>0</v>
      </c>
      <c r="T1305" s="908"/>
      <c r="U1305" s="908"/>
      <c r="V1305" s="908"/>
      <c r="W1305" s="908"/>
      <c r="X1305" s="501" t="b">
        <f t="shared" si="127"/>
        <v>1</v>
      </c>
    </row>
    <row r="1306" s="148" customFormat="1" outlineLevel="2" spans="2:24">
      <c r="B1306" s="867" t="s">
        <v>2778</v>
      </c>
      <c r="C1306" s="429" t="str">
        <f t="shared" si="129"/>
        <v>石嘴山市深阳蓝光市政工程有限公司</v>
      </c>
      <c r="D1306" s="891" t="s">
        <v>2794</v>
      </c>
      <c r="E1306" s="898"/>
      <c r="F1306" s="132"/>
      <c r="G1306" s="132"/>
      <c r="H1306" s="132"/>
      <c r="I1306" s="132"/>
      <c r="J1306" s="908"/>
      <c r="K1306" s="908"/>
      <c r="L1306" s="908"/>
      <c r="M1306" s="908"/>
      <c r="N1306" s="908"/>
      <c r="O1306" s="908"/>
      <c r="P1306" s="908"/>
      <c r="Q1306" s="910">
        <f t="shared" si="130"/>
        <v>0</v>
      </c>
      <c r="R1306" s="135">
        <f t="shared" si="131"/>
        <v>0</v>
      </c>
      <c r="S1306" s="135">
        <f t="shared" si="132"/>
        <v>0</v>
      </c>
      <c r="T1306" s="908"/>
      <c r="U1306" s="908"/>
      <c r="V1306" s="908"/>
      <c r="W1306" s="908"/>
      <c r="X1306" s="501" t="b">
        <f t="shared" ref="X1306:X1369" si="133">EXACT(A1306,E1306)</f>
        <v>1</v>
      </c>
    </row>
    <row r="1307" s="148" customFormat="1" outlineLevel="2" spans="2:24">
      <c r="B1307" s="867" t="s">
        <v>2778</v>
      </c>
      <c r="C1307" s="429" t="str">
        <f t="shared" si="129"/>
        <v>石嘴山市深阳蓝光市政工程有限公司</v>
      </c>
      <c r="D1307" s="891" t="s">
        <v>2794</v>
      </c>
      <c r="E1307" s="898"/>
      <c r="F1307" s="132"/>
      <c r="G1307" s="132"/>
      <c r="H1307" s="132"/>
      <c r="I1307" s="132"/>
      <c r="J1307" s="908"/>
      <c r="K1307" s="908"/>
      <c r="L1307" s="908"/>
      <c r="M1307" s="908"/>
      <c r="N1307" s="908"/>
      <c r="O1307" s="908"/>
      <c r="P1307" s="908"/>
      <c r="Q1307" s="910">
        <f t="shared" si="130"/>
        <v>0</v>
      </c>
      <c r="R1307" s="135">
        <f t="shared" si="131"/>
        <v>0</v>
      </c>
      <c r="S1307" s="135">
        <f t="shared" si="132"/>
        <v>0</v>
      </c>
      <c r="T1307" s="908"/>
      <c r="U1307" s="908"/>
      <c r="V1307" s="908"/>
      <c r="W1307" s="908"/>
      <c r="X1307" s="501" t="b">
        <f t="shared" si="133"/>
        <v>1</v>
      </c>
    </row>
    <row r="1308" s="148" customFormat="1" outlineLevel="2" spans="2:24">
      <c r="B1308" s="867" t="s">
        <v>2778</v>
      </c>
      <c r="C1308" s="429" t="str">
        <f t="shared" si="129"/>
        <v>石嘴山市深阳蓝光市政工程有限公司</v>
      </c>
      <c r="D1308" s="891" t="s">
        <v>2794</v>
      </c>
      <c r="E1308" s="487"/>
      <c r="F1308" s="132"/>
      <c r="G1308" s="132"/>
      <c r="H1308" s="132"/>
      <c r="I1308" s="132"/>
      <c r="J1308" s="908"/>
      <c r="K1308" s="908"/>
      <c r="L1308" s="908"/>
      <c r="M1308" s="908"/>
      <c r="N1308" s="908"/>
      <c r="O1308" s="908"/>
      <c r="P1308" s="908"/>
      <c r="Q1308" s="910">
        <f t="shared" si="130"/>
        <v>0</v>
      </c>
      <c r="R1308" s="135">
        <f t="shared" si="131"/>
        <v>0</v>
      </c>
      <c r="S1308" s="135">
        <f t="shared" si="132"/>
        <v>0</v>
      </c>
      <c r="T1308" s="908"/>
      <c r="U1308" s="908"/>
      <c r="V1308" s="908"/>
      <c r="W1308" s="908"/>
      <c r="X1308" s="501" t="b">
        <f t="shared" si="133"/>
        <v>1</v>
      </c>
    </row>
    <row r="1309" s="148" customFormat="1" outlineLevel="2" spans="1:24">
      <c r="A1309" s="148" t="s">
        <v>1580</v>
      </c>
      <c r="B1309" s="867" t="s">
        <v>2778</v>
      </c>
      <c r="C1309" s="429" t="str">
        <f t="shared" si="129"/>
        <v>石嘴山市深阳蓝光市政工程有限公司</v>
      </c>
      <c r="D1309" s="891" t="s">
        <v>2794</v>
      </c>
      <c r="E1309" s="466" t="s">
        <v>1580</v>
      </c>
      <c r="F1309" s="534">
        <f>ROUND(SUM(F1281:F1308),2)</f>
        <v>0</v>
      </c>
      <c r="G1309" s="534">
        <f>ROUND(SUM(G1281:G1308),2)</f>
        <v>0</v>
      </c>
      <c r="H1309" s="899">
        <f>SUM(H1281:H1308)</f>
        <v>0</v>
      </c>
      <c r="I1309" s="899">
        <f>SUM(I1281:I1308)</f>
        <v>0</v>
      </c>
      <c r="J1309" s="899">
        <f>SUM(J1281:J1308)</f>
        <v>0</v>
      </c>
      <c r="K1309" s="153"/>
      <c r="L1309" s="909"/>
      <c r="M1309" s="534">
        <f>ROUND(SUM(M1281:M1308),2)</f>
        <v>0</v>
      </c>
      <c r="N1309" s="534">
        <f>ROUND(SUM(N1281:N1308),2)</f>
        <v>0</v>
      </c>
      <c r="O1309" s="909"/>
      <c r="P1309" s="909"/>
      <c r="Q1309" s="534">
        <f>ROUND(SUM(Q1281:Q1308),2)</f>
        <v>0</v>
      </c>
      <c r="R1309" s="135">
        <f t="shared" ref="R1309:W1309" si="134">SUM(R1281:R1308)</f>
        <v>0</v>
      </c>
      <c r="S1309" s="135">
        <f t="shared" si="134"/>
        <v>0</v>
      </c>
      <c r="T1309" s="135">
        <f t="shared" si="134"/>
        <v>0</v>
      </c>
      <c r="U1309" s="135">
        <f t="shared" si="134"/>
        <v>0</v>
      </c>
      <c r="V1309" s="135">
        <f t="shared" si="134"/>
        <v>0</v>
      </c>
      <c r="W1309" s="135">
        <f t="shared" si="134"/>
        <v>0</v>
      </c>
      <c r="X1309" s="501" t="b">
        <f t="shared" si="133"/>
        <v>1</v>
      </c>
    </row>
    <row r="1310" s="148" customFormat="1" outlineLevel="2" spans="2:24">
      <c r="B1310" s="867" t="s">
        <v>2778</v>
      </c>
      <c r="C1310" s="429" t="str">
        <f t="shared" si="129"/>
        <v>石嘴山市深阳蓝光市政工程有限公司</v>
      </c>
      <c r="D1310" s="891" t="s">
        <v>2794</v>
      </c>
      <c r="E1310" s="149"/>
      <c r="F1310" s="141"/>
      <c r="G1310" s="721">
        <f>ROUND(G1309-I1274,2)</f>
        <v>0</v>
      </c>
      <c r="H1310" s="141"/>
      <c r="I1310" s="721">
        <f>ROUND(I1309-J3801,2)</f>
        <v>0</v>
      </c>
      <c r="Q1310" s="721">
        <f>ROUND(Q1309-F1274,2)</f>
        <v>0</v>
      </c>
      <c r="X1310" s="501" t="b">
        <f t="shared" si="133"/>
        <v>1</v>
      </c>
    </row>
    <row r="1311" s="148" customFormat="1" outlineLevel="2" spans="1:24">
      <c r="A1311" s="148" t="s">
        <v>825</v>
      </c>
      <c r="B1311" s="867" t="s">
        <v>2778</v>
      </c>
      <c r="C1311" s="429" t="str">
        <f t="shared" si="129"/>
        <v>石嘴山市深阳蓝光市政工程有限公司</v>
      </c>
      <c r="D1311" s="891" t="s">
        <v>2795</v>
      </c>
      <c r="E1311" s="149" t="s">
        <v>2796</v>
      </c>
      <c r="F1311" s="141"/>
      <c r="G1311" s="141"/>
      <c r="H1311" s="141"/>
      <c r="I1311" s="141"/>
      <c r="X1311" s="501" t="b">
        <f t="shared" si="133"/>
        <v>1</v>
      </c>
    </row>
    <row r="1312" s="148" customFormat="1" outlineLevel="2" spans="1:24">
      <c r="A1312" s="148" t="s">
        <v>60</v>
      </c>
      <c r="B1312" s="867" t="s">
        <v>2778</v>
      </c>
      <c r="C1312" s="429" t="str">
        <f t="shared" si="129"/>
        <v>石嘴山市深阳蓝光市政工程有限公司</v>
      </c>
      <c r="D1312" s="891" t="s">
        <v>2795</v>
      </c>
      <c r="E1312" s="581" t="s">
        <v>60</v>
      </c>
      <c r="F1312" s="581" t="s">
        <v>670</v>
      </c>
      <c r="G1312" s="581" t="s">
        <v>671</v>
      </c>
      <c r="H1312" s="581" t="s">
        <v>672</v>
      </c>
      <c r="I1312" s="581" t="s">
        <v>515</v>
      </c>
      <c r="J1312" s="581" t="s">
        <v>826</v>
      </c>
      <c r="X1312" s="501" t="b">
        <f t="shared" si="133"/>
        <v>1</v>
      </c>
    </row>
    <row r="1313" s="148" customFormat="1" outlineLevel="2" spans="2:24">
      <c r="B1313" s="867" t="s">
        <v>2778</v>
      </c>
      <c r="C1313" s="429" t="str">
        <f t="shared" si="129"/>
        <v>石嘴山市深阳蓝光市政工程有限公司</v>
      </c>
      <c r="D1313" s="891" t="s">
        <v>2797</v>
      </c>
      <c r="E1313" s="487"/>
      <c r="F1313" s="132"/>
      <c r="G1313" s="132"/>
      <c r="H1313" s="132"/>
      <c r="I1313" s="135">
        <f t="shared" ref="I1313:I1318" si="135">F1313+G1313-H1313</f>
        <v>0</v>
      </c>
      <c r="J1313" s="908"/>
      <c r="X1313" s="501" t="b">
        <f t="shared" si="133"/>
        <v>1</v>
      </c>
    </row>
    <row r="1314" s="148" customFormat="1" outlineLevel="2" spans="2:24">
      <c r="B1314" s="867" t="s">
        <v>2778</v>
      </c>
      <c r="C1314" s="429" t="str">
        <f t="shared" si="129"/>
        <v>石嘴山市深阳蓝光市政工程有限公司</v>
      </c>
      <c r="D1314" s="891" t="s">
        <v>2797</v>
      </c>
      <c r="E1314" s="487"/>
      <c r="F1314" s="132"/>
      <c r="G1314" s="132"/>
      <c r="H1314" s="132"/>
      <c r="I1314" s="135">
        <f t="shared" si="135"/>
        <v>0</v>
      </c>
      <c r="J1314" s="908"/>
      <c r="X1314" s="501" t="b">
        <f t="shared" si="133"/>
        <v>1</v>
      </c>
    </row>
    <row r="1315" s="148" customFormat="1" outlineLevel="2" spans="2:24">
      <c r="B1315" s="867" t="s">
        <v>2778</v>
      </c>
      <c r="C1315" s="429" t="str">
        <f t="shared" si="129"/>
        <v>石嘴山市深阳蓝光市政工程有限公司</v>
      </c>
      <c r="D1315" s="891" t="s">
        <v>2797</v>
      </c>
      <c r="E1315" s="487"/>
      <c r="F1315" s="132"/>
      <c r="G1315" s="132"/>
      <c r="H1315" s="132"/>
      <c r="I1315" s="135">
        <f t="shared" si="135"/>
        <v>0</v>
      </c>
      <c r="J1315" s="908"/>
      <c r="X1315" s="501" t="b">
        <f t="shared" si="133"/>
        <v>1</v>
      </c>
    </row>
    <row r="1316" s="148" customFormat="1" outlineLevel="2" spans="2:24">
      <c r="B1316" s="867" t="s">
        <v>2778</v>
      </c>
      <c r="C1316" s="429" t="str">
        <f t="shared" si="129"/>
        <v>石嘴山市深阳蓝光市政工程有限公司</v>
      </c>
      <c r="D1316" s="891" t="s">
        <v>2797</v>
      </c>
      <c r="E1316" s="487"/>
      <c r="F1316" s="132"/>
      <c r="G1316" s="132"/>
      <c r="H1316" s="132"/>
      <c r="I1316" s="135">
        <f t="shared" si="135"/>
        <v>0</v>
      </c>
      <c r="J1316" s="908"/>
      <c r="X1316" s="501" t="b">
        <f t="shared" si="133"/>
        <v>1</v>
      </c>
    </row>
    <row r="1317" s="148" customFormat="1" outlineLevel="2" spans="2:24">
      <c r="B1317" s="867" t="s">
        <v>2778</v>
      </c>
      <c r="C1317" s="429" t="str">
        <f t="shared" si="129"/>
        <v>石嘴山市深阳蓝光市政工程有限公司</v>
      </c>
      <c r="D1317" s="891" t="s">
        <v>2797</v>
      </c>
      <c r="E1317" s="487"/>
      <c r="F1317" s="132"/>
      <c r="G1317" s="132"/>
      <c r="H1317" s="132"/>
      <c r="I1317" s="135">
        <f t="shared" si="135"/>
        <v>0</v>
      </c>
      <c r="J1317" s="908"/>
      <c r="X1317" s="501" t="b">
        <f t="shared" si="133"/>
        <v>1</v>
      </c>
    </row>
    <row r="1318" s="148" customFormat="1" outlineLevel="2" spans="2:24">
      <c r="B1318" s="867" t="s">
        <v>2778</v>
      </c>
      <c r="C1318" s="429" t="str">
        <f t="shared" si="129"/>
        <v>石嘴山市深阳蓝光市政工程有限公司</v>
      </c>
      <c r="D1318" s="891" t="s">
        <v>2797</v>
      </c>
      <c r="E1318" s="487"/>
      <c r="F1318" s="132"/>
      <c r="G1318" s="132"/>
      <c r="H1318" s="132"/>
      <c r="I1318" s="135">
        <f t="shared" si="135"/>
        <v>0</v>
      </c>
      <c r="J1318" s="908"/>
      <c r="X1318" s="501" t="b">
        <f t="shared" si="133"/>
        <v>1</v>
      </c>
    </row>
    <row r="1319" s="148" customFormat="1" outlineLevel="2" spans="1:24">
      <c r="A1319" s="148" t="s">
        <v>1580</v>
      </c>
      <c r="B1319" s="867" t="s">
        <v>2778</v>
      </c>
      <c r="C1319" s="429" t="str">
        <f t="shared" si="129"/>
        <v>石嘴山市深阳蓝光市政工程有限公司</v>
      </c>
      <c r="D1319" s="891" t="s">
        <v>2797</v>
      </c>
      <c r="E1319" s="649" t="s">
        <v>1580</v>
      </c>
      <c r="F1319" s="135">
        <f>SUM(F1313:F1318)</f>
        <v>0</v>
      </c>
      <c r="G1319" s="135">
        <f>SUM(G1313:G1318)</f>
        <v>0</v>
      </c>
      <c r="H1319" s="135">
        <f>SUM(H1313:H1318)</f>
        <v>0</v>
      </c>
      <c r="I1319" s="135">
        <f>SUM(I1313:I1318)</f>
        <v>0</v>
      </c>
      <c r="J1319" s="909"/>
      <c r="X1319" s="501" t="b">
        <f t="shared" si="133"/>
        <v>1</v>
      </c>
    </row>
    <row r="1320" s="148" customFormat="1" outlineLevel="2" spans="2:24">
      <c r="B1320" s="867" t="s">
        <v>2778</v>
      </c>
      <c r="C1320" s="429" t="str">
        <f t="shared" si="129"/>
        <v>石嘴山市深阳蓝光市政工程有限公司</v>
      </c>
      <c r="D1320" s="891" t="s">
        <v>2797</v>
      </c>
      <c r="E1320" s="149"/>
      <c r="F1320" s="721">
        <f>ROUND(F1319-J1274,2)</f>
        <v>0</v>
      </c>
      <c r="G1320" s="141"/>
      <c r="H1320" s="141"/>
      <c r="I1320" s="721">
        <f>ROUND(I1319-G1274,2)</f>
        <v>0</v>
      </c>
      <c r="X1320" s="501" t="b">
        <f t="shared" si="133"/>
        <v>1</v>
      </c>
    </row>
    <row r="1321" s="148" customFormat="1" outlineLevel="2" spans="1:24">
      <c r="A1321" s="148" t="s">
        <v>2798</v>
      </c>
      <c r="B1321" s="867" t="s">
        <v>2778</v>
      </c>
      <c r="C1321" s="429" t="str">
        <f t="shared" si="129"/>
        <v>石嘴山市深阳蓝光市政工程有限公司</v>
      </c>
      <c r="D1321" s="891" t="s">
        <v>2799</v>
      </c>
      <c r="E1321" s="149" t="s">
        <v>2800</v>
      </c>
      <c r="F1321" s="141"/>
      <c r="G1321" s="141"/>
      <c r="H1321" s="141"/>
      <c r="I1321" s="141"/>
      <c r="X1321" s="501" t="b">
        <f t="shared" si="133"/>
        <v>1</v>
      </c>
    </row>
    <row r="1322" s="148" customFormat="1" outlineLevel="2" spans="1:24">
      <c r="A1322" s="148" t="s">
        <v>60</v>
      </c>
      <c r="B1322" s="867" t="s">
        <v>2778</v>
      </c>
      <c r="C1322" s="429" t="str">
        <f t="shared" si="129"/>
        <v>石嘴山市深阳蓝光市政工程有限公司</v>
      </c>
      <c r="D1322" s="891" t="s">
        <v>2799</v>
      </c>
      <c r="E1322" s="128" t="s">
        <v>60</v>
      </c>
      <c r="F1322" s="128" t="s">
        <v>2790</v>
      </c>
      <c r="G1322" s="128" t="s">
        <v>353</v>
      </c>
      <c r="H1322" s="141"/>
      <c r="I1322" s="141"/>
      <c r="X1322" s="501" t="b">
        <f t="shared" si="133"/>
        <v>1</v>
      </c>
    </row>
    <row r="1323" s="148" customFormat="1" outlineLevel="2" spans="2:24">
      <c r="B1323" s="867" t="s">
        <v>2778</v>
      </c>
      <c r="C1323" s="429" t="str">
        <f t="shared" si="129"/>
        <v>石嘴山市深阳蓝光市政工程有限公司</v>
      </c>
      <c r="D1323" s="891" t="s">
        <v>2801</v>
      </c>
      <c r="E1323" s="487"/>
      <c r="F1323" s="132"/>
      <c r="G1323" s="132"/>
      <c r="H1323" s="141"/>
      <c r="I1323" s="141"/>
      <c r="X1323" s="501" t="b">
        <f t="shared" si="133"/>
        <v>1</v>
      </c>
    </row>
    <row r="1324" s="148" customFormat="1" outlineLevel="2" spans="2:24">
      <c r="B1324" s="867" t="s">
        <v>2778</v>
      </c>
      <c r="C1324" s="429" t="str">
        <f t="shared" si="129"/>
        <v>石嘴山市深阳蓝光市政工程有限公司</v>
      </c>
      <c r="D1324" s="891" t="s">
        <v>2801</v>
      </c>
      <c r="E1324" s="487"/>
      <c r="F1324" s="132"/>
      <c r="G1324" s="132"/>
      <c r="H1324" s="141"/>
      <c r="I1324" s="141"/>
      <c r="X1324" s="501" t="b">
        <f t="shared" si="133"/>
        <v>1</v>
      </c>
    </row>
    <row r="1325" s="148" customFormat="1" outlineLevel="2" spans="2:24">
      <c r="B1325" s="867" t="s">
        <v>2778</v>
      </c>
      <c r="C1325" s="429" t="str">
        <f t="shared" si="129"/>
        <v>石嘴山市深阳蓝光市政工程有限公司</v>
      </c>
      <c r="D1325" s="891" t="s">
        <v>2801</v>
      </c>
      <c r="E1325" s="487"/>
      <c r="F1325" s="132"/>
      <c r="G1325" s="132"/>
      <c r="H1325" s="141"/>
      <c r="I1325" s="141"/>
      <c r="X1325" s="501" t="b">
        <f t="shared" si="133"/>
        <v>1</v>
      </c>
    </row>
    <row r="1326" s="148" customFormat="1" outlineLevel="2" spans="2:24">
      <c r="B1326" s="867" t="s">
        <v>2778</v>
      </c>
      <c r="C1326" s="429" t="str">
        <f t="shared" si="129"/>
        <v>石嘴山市深阳蓝光市政工程有限公司</v>
      </c>
      <c r="D1326" s="891" t="s">
        <v>2801</v>
      </c>
      <c r="E1326" s="487"/>
      <c r="F1326" s="132"/>
      <c r="G1326" s="132"/>
      <c r="H1326" s="141"/>
      <c r="I1326" s="141"/>
      <c r="X1326" s="501" t="b">
        <f t="shared" si="133"/>
        <v>1</v>
      </c>
    </row>
    <row r="1327" s="148" customFormat="1" outlineLevel="2" spans="2:24">
      <c r="B1327" s="867" t="s">
        <v>2778</v>
      </c>
      <c r="C1327" s="429" t="str">
        <f t="shared" si="129"/>
        <v>石嘴山市深阳蓝光市政工程有限公司</v>
      </c>
      <c r="D1327" s="891" t="s">
        <v>2801</v>
      </c>
      <c r="E1327" s="487"/>
      <c r="F1327" s="132"/>
      <c r="G1327" s="132"/>
      <c r="H1327" s="141"/>
      <c r="I1327" s="141"/>
      <c r="X1327" s="501" t="b">
        <f t="shared" si="133"/>
        <v>1</v>
      </c>
    </row>
    <row r="1328" s="148" customFormat="1" outlineLevel="2" spans="2:24">
      <c r="B1328" s="867" t="s">
        <v>2778</v>
      </c>
      <c r="C1328" s="429" t="str">
        <f t="shared" si="129"/>
        <v>石嘴山市深阳蓝光市政工程有限公司</v>
      </c>
      <c r="D1328" s="891" t="s">
        <v>2801</v>
      </c>
      <c r="E1328" s="487"/>
      <c r="F1328" s="132"/>
      <c r="G1328" s="132"/>
      <c r="H1328" s="141"/>
      <c r="I1328" s="141"/>
      <c r="X1328" s="501" t="b">
        <f t="shared" si="133"/>
        <v>1</v>
      </c>
    </row>
    <row r="1329" s="148" customFormat="1" outlineLevel="2" spans="2:24">
      <c r="B1329" s="867" t="s">
        <v>2778</v>
      </c>
      <c r="C1329" s="429" t="str">
        <f t="shared" si="129"/>
        <v>石嘴山市深阳蓝光市政工程有限公司</v>
      </c>
      <c r="D1329" s="891" t="s">
        <v>2801</v>
      </c>
      <c r="E1329" s="487"/>
      <c r="F1329" s="132"/>
      <c r="G1329" s="132"/>
      <c r="H1329" s="141"/>
      <c r="I1329" s="141"/>
      <c r="X1329" s="501" t="b">
        <f t="shared" si="133"/>
        <v>1</v>
      </c>
    </row>
    <row r="1330" s="148" customFormat="1" outlineLevel="2" spans="2:24">
      <c r="B1330" s="867" t="s">
        <v>2778</v>
      </c>
      <c r="C1330" s="429" t="str">
        <f t="shared" si="129"/>
        <v>石嘴山市深阳蓝光市政工程有限公司</v>
      </c>
      <c r="D1330" s="891" t="s">
        <v>2801</v>
      </c>
      <c r="E1330" s="149"/>
      <c r="F1330" s="141"/>
      <c r="G1330" s="141"/>
      <c r="H1330" s="141"/>
      <c r="I1330" s="141"/>
      <c r="X1330" s="501" t="b">
        <f t="shared" si="133"/>
        <v>1</v>
      </c>
    </row>
    <row r="1331" s="148" customFormat="1" outlineLevel="2" spans="2:24">
      <c r="B1331" s="867" t="s">
        <v>2778</v>
      </c>
      <c r="C1331" s="429" t="str">
        <f t="shared" si="129"/>
        <v>石嘴山市深阳蓝光市政工程有限公司</v>
      </c>
      <c r="D1331" s="868"/>
      <c r="E1331" s="149"/>
      <c r="F1331" s="141"/>
      <c r="G1331" s="141"/>
      <c r="H1331" s="141"/>
      <c r="I1331" s="141"/>
      <c r="X1331" s="501" t="b">
        <f t="shared" si="133"/>
        <v>1</v>
      </c>
    </row>
    <row r="1332" s="148" customFormat="1" outlineLevel="2" spans="1:24">
      <c r="A1332" s="148" t="s">
        <v>2315</v>
      </c>
      <c r="B1332" s="867" t="s">
        <v>2778</v>
      </c>
      <c r="C1332" s="429" t="str">
        <f t="shared" si="129"/>
        <v>石嘴山市深阳蓝光市政工程有限公司</v>
      </c>
      <c r="D1332" s="868"/>
      <c r="E1332" s="149" t="s">
        <v>2334</v>
      </c>
      <c r="F1332" s="719"/>
      <c r="G1332" s="719"/>
      <c r="H1332" s="719"/>
      <c r="I1332" s="141"/>
      <c r="X1332" s="501" t="b">
        <f t="shared" si="133"/>
        <v>1</v>
      </c>
    </row>
    <row r="1333" s="148" customFormat="1" outlineLevel="2" spans="2:24">
      <c r="B1333" s="867" t="s">
        <v>2778</v>
      </c>
      <c r="C1333" s="429" t="str">
        <f t="shared" si="129"/>
        <v>石嘴山市深阳蓝光市政工程有限公司</v>
      </c>
      <c r="D1333" s="868"/>
      <c r="E1333" s="149"/>
      <c r="F1333" s="141"/>
      <c r="G1333" s="141"/>
      <c r="H1333" s="141"/>
      <c r="I1333" s="141"/>
      <c r="X1333" s="501" t="b">
        <f t="shared" si="133"/>
        <v>1</v>
      </c>
    </row>
    <row r="1334" s="148" customFormat="1" collapsed="1" spans="1:24">
      <c r="A1334" s="148" t="s">
        <v>2802</v>
      </c>
      <c r="B1334" s="867" t="s">
        <v>2803</v>
      </c>
      <c r="C1334" s="429" t="str">
        <f t="shared" si="129"/>
        <v>石嘴山市深阳蓝光市政工程有限公司</v>
      </c>
      <c r="D1334" s="891" t="s">
        <v>2804</v>
      </c>
      <c r="E1334" s="65" t="s">
        <v>2805</v>
      </c>
      <c r="F1334" s="896" t="s">
        <v>2635</v>
      </c>
      <c r="G1334" s="141"/>
      <c r="H1334" s="141"/>
      <c r="I1334" s="141"/>
      <c r="X1334" s="501" t="b">
        <f t="shared" si="133"/>
        <v>1</v>
      </c>
    </row>
    <row r="1335" s="148" customFormat="1" hidden="1" outlineLevel="2" spans="1:24">
      <c r="A1335" s="148" t="s">
        <v>2806</v>
      </c>
      <c r="B1335" s="867" t="s">
        <v>2803</v>
      </c>
      <c r="C1335" s="429" t="str">
        <f t="shared" si="129"/>
        <v>石嘴山市深阳蓝光市政工程有限公司</v>
      </c>
      <c r="D1335" s="900" t="s">
        <v>2804</v>
      </c>
      <c r="E1335" s="901" t="s">
        <v>2807</v>
      </c>
      <c r="F1335" s="902"/>
      <c r="G1335" s="902"/>
      <c r="H1335" s="141"/>
      <c r="I1335" s="141"/>
      <c r="X1335" s="501" t="b">
        <f t="shared" si="133"/>
        <v>1</v>
      </c>
    </row>
    <row r="1336" s="148" customFormat="1" hidden="1" outlineLevel="2" spans="1:24">
      <c r="A1336" s="148" t="s">
        <v>851</v>
      </c>
      <c r="B1336" s="867" t="s">
        <v>2803</v>
      </c>
      <c r="C1336" s="429" t="str">
        <f t="shared" si="129"/>
        <v>石嘴山市深阳蓝光市政工程有限公司</v>
      </c>
      <c r="D1336" s="891" t="s">
        <v>2808</v>
      </c>
      <c r="E1336" s="903" t="s">
        <v>851</v>
      </c>
      <c r="F1336" s="903" t="s">
        <v>670</v>
      </c>
      <c r="G1336" s="903" t="s">
        <v>671</v>
      </c>
      <c r="H1336" s="903" t="s">
        <v>672</v>
      </c>
      <c r="I1336" s="903" t="s">
        <v>515</v>
      </c>
      <c r="J1336" s="141"/>
      <c r="K1336" s="141"/>
      <c r="X1336" s="501" t="b">
        <f t="shared" si="133"/>
        <v>1</v>
      </c>
    </row>
    <row r="1337" s="148" customFormat="1" hidden="1" outlineLevel="2" spans="2:24">
      <c r="B1337" s="867" t="s">
        <v>2803</v>
      </c>
      <c r="C1337" s="429" t="str">
        <f t="shared" si="129"/>
        <v>石嘴山市深阳蓝光市政工程有限公司</v>
      </c>
      <c r="D1337" s="900" t="s">
        <v>2808</v>
      </c>
      <c r="E1337" s="904" t="s">
        <v>2809</v>
      </c>
      <c r="F1337" s="905"/>
      <c r="G1337" s="905"/>
      <c r="H1337" s="905"/>
      <c r="I1337" s="905"/>
      <c r="J1337" s="141"/>
      <c r="K1337" s="141"/>
      <c r="X1337" s="501" t="b">
        <f t="shared" si="133"/>
        <v>0</v>
      </c>
    </row>
    <row r="1338" s="148" customFormat="1" hidden="1" outlineLevel="2" spans="2:24">
      <c r="B1338" s="867" t="s">
        <v>2803</v>
      </c>
      <c r="C1338" s="429" t="str">
        <f t="shared" si="129"/>
        <v>石嘴山市深阳蓝光市政工程有限公司</v>
      </c>
      <c r="D1338" s="891" t="s">
        <v>2808</v>
      </c>
      <c r="E1338" s="904" t="s">
        <v>2810</v>
      </c>
      <c r="F1338" s="905"/>
      <c r="G1338" s="905"/>
      <c r="H1338" s="905"/>
      <c r="I1338" s="905"/>
      <c r="J1338" s="141"/>
      <c r="K1338" s="141"/>
      <c r="X1338" s="501" t="b">
        <f t="shared" si="133"/>
        <v>0</v>
      </c>
    </row>
    <row r="1339" s="148" customFormat="1" hidden="1" outlineLevel="2" spans="2:24">
      <c r="B1339" s="867" t="s">
        <v>2803</v>
      </c>
      <c r="C1339" s="429" t="str">
        <f t="shared" si="129"/>
        <v>石嘴山市深阳蓝光市政工程有限公司</v>
      </c>
      <c r="D1339" s="900" t="s">
        <v>2808</v>
      </c>
      <c r="E1339" s="905"/>
      <c r="F1339" s="905"/>
      <c r="G1339" s="905"/>
      <c r="H1339" s="905"/>
      <c r="I1339" s="905"/>
      <c r="J1339" s="141"/>
      <c r="K1339" s="141"/>
      <c r="X1339" s="501" t="b">
        <f t="shared" si="133"/>
        <v>1</v>
      </c>
    </row>
    <row r="1340" s="148" customFormat="1" hidden="1" outlineLevel="2" spans="2:24">
      <c r="B1340" s="867" t="s">
        <v>2803</v>
      </c>
      <c r="C1340" s="429" t="str">
        <f t="shared" si="129"/>
        <v>石嘴山市深阳蓝光市政工程有限公司</v>
      </c>
      <c r="D1340" s="891" t="s">
        <v>2808</v>
      </c>
      <c r="E1340" s="905"/>
      <c r="F1340" s="905"/>
      <c r="G1340" s="905"/>
      <c r="H1340" s="905"/>
      <c r="I1340" s="905"/>
      <c r="J1340" s="141"/>
      <c r="K1340" s="141"/>
      <c r="X1340" s="501" t="b">
        <f t="shared" si="133"/>
        <v>1</v>
      </c>
    </row>
    <row r="1341" s="148" customFormat="1" hidden="1" outlineLevel="2" spans="2:24">
      <c r="B1341" s="867" t="s">
        <v>2803</v>
      </c>
      <c r="C1341" s="429" t="str">
        <f t="shared" si="129"/>
        <v>石嘴山市深阳蓝光市政工程有限公司</v>
      </c>
      <c r="D1341" s="900" t="s">
        <v>2808</v>
      </c>
      <c r="E1341" s="905"/>
      <c r="F1341" s="905"/>
      <c r="G1341" s="905"/>
      <c r="H1341" s="905"/>
      <c r="I1341" s="905"/>
      <c r="J1341" s="141"/>
      <c r="K1341" s="141"/>
      <c r="X1341" s="501" t="b">
        <f t="shared" si="133"/>
        <v>1</v>
      </c>
    </row>
    <row r="1342" s="148" customFormat="1" hidden="1" outlineLevel="2" spans="2:24">
      <c r="B1342" s="867" t="s">
        <v>2803</v>
      </c>
      <c r="C1342" s="429" t="str">
        <f t="shared" si="129"/>
        <v>石嘴山市深阳蓝光市政工程有限公司</v>
      </c>
      <c r="D1342" s="891" t="s">
        <v>2808</v>
      </c>
      <c r="E1342" s="906"/>
      <c r="F1342" s="807"/>
      <c r="G1342" s="807"/>
      <c r="H1342" s="807"/>
      <c r="I1342" s="807"/>
      <c r="J1342" s="141"/>
      <c r="K1342" s="141"/>
      <c r="X1342" s="501" t="b">
        <f t="shared" si="133"/>
        <v>1</v>
      </c>
    </row>
    <row r="1343" s="148" customFormat="1" hidden="1" outlineLevel="2" spans="2:24">
      <c r="B1343" s="867" t="s">
        <v>2803</v>
      </c>
      <c r="C1343" s="429" t="str">
        <f t="shared" ref="C1343:C1406" si="136">$G$1</f>
        <v>石嘴山市深阳蓝光市政工程有限公司</v>
      </c>
      <c r="D1343" s="900" t="s">
        <v>2808</v>
      </c>
      <c r="E1343" s="906"/>
      <c r="F1343" s="807"/>
      <c r="G1343" s="807"/>
      <c r="H1343" s="807"/>
      <c r="I1343" s="807"/>
      <c r="J1343" s="141"/>
      <c r="K1343" s="141"/>
      <c r="X1343" s="501" t="b">
        <f t="shared" si="133"/>
        <v>1</v>
      </c>
    </row>
    <row r="1344" s="148" customFormat="1" hidden="1" outlineLevel="2" spans="1:24">
      <c r="A1344" s="148" t="s">
        <v>1580</v>
      </c>
      <c r="B1344" s="867" t="s">
        <v>2803</v>
      </c>
      <c r="C1344" s="429" t="str">
        <f t="shared" si="136"/>
        <v>石嘴山市深阳蓝光市政工程有限公司</v>
      </c>
      <c r="D1344" s="891" t="s">
        <v>2808</v>
      </c>
      <c r="E1344" s="903" t="s">
        <v>1580</v>
      </c>
      <c r="F1344" s="734">
        <f>SUM(F1337:F1343)</f>
        <v>0</v>
      </c>
      <c r="G1344" s="907"/>
      <c r="H1344" s="907"/>
      <c r="I1344" s="734">
        <f>SUM(I1337:I1343)</f>
        <v>0</v>
      </c>
      <c r="J1344" s="141"/>
      <c r="K1344" s="141"/>
      <c r="X1344" s="501" t="b">
        <f t="shared" si="133"/>
        <v>1</v>
      </c>
    </row>
    <row r="1345" s="148" customFormat="1" hidden="1" outlineLevel="2" spans="1:24">
      <c r="A1345" s="148" t="s">
        <v>1444</v>
      </c>
      <c r="B1345" s="867" t="s">
        <v>2803</v>
      </c>
      <c r="C1345" s="429" t="str">
        <f t="shared" si="136"/>
        <v>石嘴山市深阳蓝光市政工程有限公司</v>
      </c>
      <c r="D1345" s="900" t="s">
        <v>2808</v>
      </c>
      <c r="E1345" s="819" t="s">
        <v>1444</v>
      </c>
      <c r="F1345" s="549">
        <f>审定资负表!D29</f>
        <v>0</v>
      </c>
      <c r="G1345" s="141"/>
      <c r="H1345" s="141"/>
      <c r="I1345" s="549">
        <f>审定资负表!C29</f>
        <v>0</v>
      </c>
      <c r="J1345" s="141"/>
      <c r="K1345" s="141"/>
      <c r="X1345" s="501" t="b">
        <f t="shared" si="133"/>
        <v>1</v>
      </c>
    </row>
    <row r="1346" s="148" customFormat="1" hidden="1" outlineLevel="1" spans="1:24">
      <c r="A1346" s="148" t="s">
        <v>1394</v>
      </c>
      <c r="B1346" s="867" t="s">
        <v>2803</v>
      </c>
      <c r="C1346" s="429" t="str">
        <f t="shared" si="136"/>
        <v>石嘴山市深阳蓝光市政工程有限公司</v>
      </c>
      <c r="D1346" s="891" t="s">
        <v>2808</v>
      </c>
      <c r="E1346" s="821" t="s">
        <v>1394</v>
      </c>
      <c r="F1346" s="87">
        <f>ROUND(F1344-F1345,2)</f>
        <v>0</v>
      </c>
      <c r="G1346" s="141"/>
      <c r="H1346" s="141"/>
      <c r="I1346" s="87">
        <f>ROUND(I1344-I1345,2)</f>
        <v>0</v>
      </c>
      <c r="J1346" s="141"/>
      <c r="K1346" s="141"/>
      <c r="X1346" s="501" t="b">
        <f t="shared" si="133"/>
        <v>1</v>
      </c>
    </row>
    <row r="1347" s="148" customFormat="1" hidden="1" outlineLevel="2" spans="2:24">
      <c r="B1347" s="867" t="s">
        <v>2803</v>
      </c>
      <c r="C1347" s="429" t="str">
        <f t="shared" si="136"/>
        <v>石嘴山市深阳蓝光市政工程有限公司</v>
      </c>
      <c r="D1347" s="900" t="s">
        <v>2808</v>
      </c>
      <c r="E1347" s="149"/>
      <c r="F1347" s="141"/>
      <c r="G1347" s="141"/>
      <c r="H1347" s="141"/>
      <c r="I1347" s="141"/>
      <c r="X1347" s="501" t="b">
        <f t="shared" si="133"/>
        <v>1</v>
      </c>
    </row>
    <row r="1348" s="148" customFormat="1" hidden="1" outlineLevel="2" spans="2:24">
      <c r="B1348" s="867" t="s">
        <v>2803</v>
      </c>
      <c r="C1348" s="429" t="str">
        <f t="shared" si="136"/>
        <v>石嘴山市深阳蓝光市政工程有限公司</v>
      </c>
      <c r="D1348" s="868"/>
      <c r="E1348" s="485"/>
      <c r="F1348" s="141"/>
      <c r="G1348" s="141"/>
      <c r="H1348" s="141"/>
      <c r="I1348" s="141"/>
      <c r="X1348" s="501" t="b">
        <f t="shared" si="133"/>
        <v>1</v>
      </c>
    </row>
    <row r="1349" s="148" customFormat="1" hidden="1" outlineLevel="2" spans="1:24">
      <c r="A1349" s="148" t="s">
        <v>2315</v>
      </c>
      <c r="B1349" s="867" t="s">
        <v>2803</v>
      </c>
      <c r="C1349" s="429" t="str">
        <f t="shared" si="136"/>
        <v>石嘴山市深阳蓝光市政工程有限公司</v>
      </c>
      <c r="D1349" s="868"/>
      <c r="E1349" s="485" t="s">
        <v>2334</v>
      </c>
      <c r="F1349" s="719"/>
      <c r="G1349" s="719"/>
      <c r="H1349" s="719"/>
      <c r="I1349" s="141"/>
      <c r="X1349" s="501" t="b">
        <f t="shared" si="133"/>
        <v>1</v>
      </c>
    </row>
    <row r="1350" s="148" customFormat="1" hidden="1" outlineLevel="2" spans="2:24">
      <c r="B1350" s="867" t="s">
        <v>2803</v>
      </c>
      <c r="C1350" s="429" t="str">
        <f t="shared" si="136"/>
        <v>石嘴山市深阳蓝光市政工程有限公司</v>
      </c>
      <c r="D1350" s="868"/>
      <c r="E1350" s="149"/>
      <c r="F1350" s="141"/>
      <c r="G1350" s="141"/>
      <c r="H1350" s="141"/>
      <c r="I1350" s="141"/>
      <c r="X1350" s="501" t="b">
        <f t="shared" si="133"/>
        <v>1</v>
      </c>
    </row>
    <row r="1351" s="148" customFormat="1" spans="1:24">
      <c r="A1351" s="148" t="s">
        <v>2811</v>
      </c>
      <c r="B1351" s="911" t="s">
        <v>2812</v>
      </c>
      <c r="C1351" s="429" t="str">
        <f t="shared" si="136"/>
        <v>石嘴山市深阳蓝光市政工程有限公司</v>
      </c>
      <c r="D1351" s="891" t="s">
        <v>2813</v>
      </c>
      <c r="E1351" s="912" t="s">
        <v>2814</v>
      </c>
      <c r="F1351" s="141"/>
      <c r="G1351" s="141"/>
      <c r="H1351" s="141"/>
      <c r="I1351" s="141"/>
      <c r="X1351" s="501" t="b">
        <f t="shared" si="133"/>
        <v>1</v>
      </c>
    </row>
    <row r="1352" s="148" customFormat="1" outlineLevel="2" spans="1:24">
      <c r="A1352" s="148" t="s">
        <v>2815</v>
      </c>
      <c r="B1352" s="911" t="s">
        <v>2812</v>
      </c>
      <c r="C1352" s="429" t="str">
        <f t="shared" si="136"/>
        <v>石嘴山市深阳蓝光市政工程有限公司</v>
      </c>
      <c r="D1352" s="891" t="s">
        <v>2813</v>
      </c>
      <c r="E1352" s="149" t="s">
        <v>2816</v>
      </c>
      <c r="F1352" s="141"/>
      <c r="G1352" s="141"/>
      <c r="H1352" s="141"/>
      <c r="I1352" s="141"/>
      <c r="X1352" s="501" t="b">
        <f t="shared" si="133"/>
        <v>1</v>
      </c>
    </row>
    <row r="1353" s="148" customFormat="1" outlineLevel="2" spans="1:24">
      <c r="A1353" s="148" t="s">
        <v>60</v>
      </c>
      <c r="B1353" s="911" t="s">
        <v>2812</v>
      </c>
      <c r="C1353" s="429" t="str">
        <f t="shared" si="136"/>
        <v>石嘴山市深阳蓝光市政工程有限公司</v>
      </c>
      <c r="D1353" s="891" t="s">
        <v>2817</v>
      </c>
      <c r="E1353" s="581" t="s">
        <v>60</v>
      </c>
      <c r="F1353" s="581" t="s">
        <v>670</v>
      </c>
      <c r="G1353" s="581" t="s">
        <v>515</v>
      </c>
      <c r="H1353" s="581" t="s">
        <v>832</v>
      </c>
      <c r="I1353" s="141"/>
      <c r="X1353" s="501" t="b">
        <f t="shared" si="133"/>
        <v>1</v>
      </c>
    </row>
    <row r="1354" s="148" customFormat="1" outlineLevel="2" spans="2:24">
      <c r="B1354" s="911" t="s">
        <v>2812</v>
      </c>
      <c r="C1354" s="429" t="str">
        <f t="shared" si="136"/>
        <v>石嘴山市深阳蓝光市政工程有限公司</v>
      </c>
      <c r="D1354" s="891" t="s">
        <v>2817</v>
      </c>
      <c r="E1354" s="644"/>
      <c r="F1354" s="132"/>
      <c r="G1354" s="132"/>
      <c r="H1354" s="132"/>
      <c r="I1354" s="141"/>
      <c r="X1354" s="501" t="b">
        <f t="shared" si="133"/>
        <v>1</v>
      </c>
    </row>
    <row r="1355" s="148" customFormat="1" outlineLevel="2" spans="2:24">
      <c r="B1355" s="911" t="s">
        <v>2812</v>
      </c>
      <c r="C1355" s="429" t="str">
        <f t="shared" si="136"/>
        <v>石嘴山市深阳蓝光市政工程有限公司</v>
      </c>
      <c r="D1355" s="891" t="s">
        <v>2817</v>
      </c>
      <c r="E1355" s="644"/>
      <c r="F1355" s="132"/>
      <c r="G1355" s="132"/>
      <c r="H1355" s="132"/>
      <c r="I1355" s="141"/>
      <c r="X1355" s="501" t="b">
        <f t="shared" si="133"/>
        <v>1</v>
      </c>
    </row>
    <row r="1356" s="148" customFormat="1" outlineLevel="2" spans="2:24">
      <c r="B1356" s="911" t="s">
        <v>2812</v>
      </c>
      <c r="C1356" s="429" t="str">
        <f t="shared" si="136"/>
        <v>石嘴山市深阳蓝光市政工程有限公司</v>
      </c>
      <c r="D1356" s="891" t="s">
        <v>2817</v>
      </c>
      <c r="E1356" s="644"/>
      <c r="F1356" s="132"/>
      <c r="G1356" s="132"/>
      <c r="H1356" s="132"/>
      <c r="I1356" s="141"/>
      <c r="X1356" s="501" t="b">
        <f t="shared" si="133"/>
        <v>1</v>
      </c>
    </row>
    <row r="1357" s="148" customFormat="1" outlineLevel="2" spans="2:24">
      <c r="B1357" s="911" t="s">
        <v>2812</v>
      </c>
      <c r="C1357" s="429" t="str">
        <f t="shared" si="136"/>
        <v>石嘴山市深阳蓝光市政工程有限公司</v>
      </c>
      <c r="D1357" s="891" t="s">
        <v>2817</v>
      </c>
      <c r="E1357" s="644"/>
      <c r="F1357" s="132"/>
      <c r="G1357" s="132"/>
      <c r="H1357" s="132"/>
      <c r="I1357" s="141"/>
      <c r="X1357" s="501" t="b">
        <f t="shared" si="133"/>
        <v>1</v>
      </c>
    </row>
    <row r="1358" s="148" customFormat="1" outlineLevel="2" spans="2:24">
      <c r="B1358" s="911" t="s">
        <v>2812</v>
      </c>
      <c r="C1358" s="429" t="str">
        <f t="shared" si="136"/>
        <v>石嘴山市深阳蓝光市政工程有限公司</v>
      </c>
      <c r="D1358" s="891" t="s">
        <v>2817</v>
      </c>
      <c r="E1358" s="644"/>
      <c r="F1358" s="132"/>
      <c r="G1358" s="132"/>
      <c r="H1358" s="132"/>
      <c r="I1358" s="141"/>
      <c r="X1358" s="501" t="b">
        <f t="shared" si="133"/>
        <v>1</v>
      </c>
    </row>
    <row r="1359" s="148" customFormat="1" outlineLevel="2" spans="2:24">
      <c r="B1359" s="911" t="s">
        <v>2812</v>
      </c>
      <c r="C1359" s="429" t="str">
        <f t="shared" si="136"/>
        <v>石嘴山市深阳蓝光市政工程有限公司</v>
      </c>
      <c r="D1359" s="891" t="s">
        <v>2817</v>
      </c>
      <c r="E1359" s="644"/>
      <c r="F1359" s="132"/>
      <c r="G1359" s="132"/>
      <c r="H1359" s="132"/>
      <c r="I1359" s="141"/>
      <c r="X1359" s="501" t="b">
        <f t="shared" si="133"/>
        <v>1</v>
      </c>
    </row>
    <row r="1360" s="148" customFormat="1" outlineLevel="2" spans="1:24">
      <c r="A1360" s="148" t="s">
        <v>1580</v>
      </c>
      <c r="B1360" s="911" t="s">
        <v>2812</v>
      </c>
      <c r="C1360" s="429" t="str">
        <f t="shared" si="136"/>
        <v>石嘴山市深阳蓝光市政工程有限公司</v>
      </c>
      <c r="D1360" s="891" t="s">
        <v>2817</v>
      </c>
      <c r="E1360" s="913" t="s">
        <v>1580</v>
      </c>
      <c r="F1360" s="135">
        <f>SUM(F1354:F1359)</f>
        <v>0</v>
      </c>
      <c r="G1360" s="135">
        <f>SUM(G1354:G1359)</f>
        <v>0</v>
      </c>
      <c r="H1360" s="153"/>
      <c r="I1360" s="141"/>
      <c r="X1360" s="501" t="b">
        <f t="shared" si="133"/>
        <v>1</v>
      </c>
    </row>
    <row r="1361" s="148" customFormat="1" outlineLevel="2" spans="2:24">
      <c r="B1361" s="911" t="s">
        <v>2812</v>
      </c>
      <c r="C1361" s="429" t="str">
        <f t="shared" si="136"/>
        <v>石嘴山市深阳蓝光市政工程有限公司</v>
      </c>
      <c r="D1361" s="891" t="s">
        <v>2817</v>
      </c>
      <c r="E1361" s="788" t="s">
        <v>1444</v>
      </c>
      <c r="F1361" s="549">
        <f>审定资负表!D30</f>
        <v>0</v>
      </c>
      <c r="G1361" s="549">
        <f>审定资负表!C30</f>
        <v>0</v>
      </c>
      <c r="H1361" s="141"/>
      <c r="I1361" s="141"/>
      <c r="X1361" s="501" t="b">
        <f t="shared" si="133"/>
        <v>0</v>
      </c>
    </row>
    <row r="1362" s="148" customFormat="1" outlineLevel="2" spans="1:24">
      <c r="A1362" s="148" t="s">
        <v>2818</v>
      </c>
      <c r="B1362" s="911" t="s">
        <v>2812</v>
      </c>
      <c r="C1362" s="429" t="str">
        <f t="shared" si="136"/>
        <v>石嘴山市深阳蓝光市政工程有限公司</v>
      </c>
      <c r="D1362" s="868" t="s">
        <v>2818</v>
      </c>
      <c r="E1362" s="149" t="s">
        <v>2819</v>
      </c>
      <c r="F1362" s="87">
        <f>ROUND(F1360-F1361,2)</f>
        <v>0</v>
      </c>
      <c r="G1362" s="87">
        <f>ROUND(G1360-G1361,2)</f>
        <v>0</v>
      </c>
      <c r="H1362" s="141"/>
      <c r="I1362" s="141"/>
      <c r="X1362" s="501" t="b">
        <f t="shared" si="133"/>
        <v>1</v>
      </c>
    </row>
    <row r="1363" s="148" customFormat="1" outlineLevel="2" spans="1:24">
      <c r="A1363" s="148" t="s">
        <v>2315</v>
      </c>
      <c r="B1363" s="911" t="s">
        <v>2812</v>
      </c>
      <c r="C1363" s="429" t="str">
        <f t="shared" si="136"/>
        <v>石嘴山市深阳蓝光市政工程有限公司</v>
      </c>
      <c r="D1363" s="868" t="s">
        <v>2818</v>
      </c>
      <c r="E1363" s="658" t="s">
        <v>2334</v>
      </c>
      <c r="F1363" s="719"/>
      <c r="G1363" s="719"/>
      <c r="H1363" s="719"/>
      <c r="I1363" s="141"/>
      <c r="X1363" s="501" t="b">
        <f t="shared" si="133"/>
        <v>1</v>
      </c>
    </row>
    <row r="1364" s="148" customFormat="1" outlineLevel="2" spans="2:24">
      <c r="B1364" s="911" t="s">
        <v>2812</v>
      </c>
      <c r="C1364" s="429" t="str">
        <f t="shared" si="136"/>
        <v>石嘴山市深阳蓝光市政工程有限公司</v>
      </c>
      <c r="D1364" s="868" t="s">
        <v>2818</v>
      </c>
      <c r="E1364" s="149"/>
      <c r="F1364" s="141"/>
      <c r="G1364" s="141"/>
      <c r="H1364" s="141"/>
      <c r="I1364" s="141"/>
      <c r="X1364" s="501" t="b">
        <f t="shared" si="133"/>
        <v>1</v>
      </c>
    </row>
    <row r="1365" s="148" customFormat="1" ht="12.75" customHeight="1" collapsed="1" spans="1:24">
      <c r="A1365" s="148" t="s">
        <v>1676</v>
      </c>
      <c r="B1365" s="911" t="s">
        <v>2820</v>
      </c>
      <c r="C1365" s="429" t="str">
        <f t="shared" si="136"/>
        <v>石嘴山市深阳蓝光市政工程有限公司</v>
      </c>
      <c r="D1365" s="891" t="s">
        <v>2804</v>
      </c>
      <c r="E1365" s="65" t="s">
        <v>2821</v>
      </c>
      <c r="F1365" s="141"/>
      <c r="G1365" s="141"/>
      <c r="H1365" s="141"/>
      <c r="I1365" s="141"/>
      <c r="X1365" s="501" t="b">
        <f t="shared" si="133"/>
        <v>1</v>
      </c>
    </row>
    <row r="1366" s="148" customFormat="1" hidden="1" outlineLevel="2" spans="1:24">
      <c r="A1366" s="148" t="s">
        <v>2806</v>
      </c>
      <c r="B1366" s="911" t="s">
        <v>2820</v>
      </c>
      <c r="C1366" s="429" t="str">
        <f t="shared" si="136"/>
        <v>石嘴山市深阳蓝光市政工程有限公司</v>
      </c>
      <c r="D1366" s="914" t="s">
        <v>2804</v>
      </c>
      <c r="E1366" s="149" t="s">
        <v>2807</v>
      </c>
      <c r="F1366" s="141"/>
      <c r="G1366" s="141"/>
      <c r="H1366" s="141"/>
      <c r="I1366" s="141"/>
      <c r="X1366" s="501" t="b">
        <f t="shared" si="133"/>
        <v>1</v>
      </c>
    </row>
    <row r="1367" s="148" customFormat="1" hidden="1" outlineLevel="2" spans="1:24">
      <c r="A1367" s="148" t="s">
        <v>60</v>
      </c>
      <c r="B1367" s="911" t="s">
        <v>2820</v>
      </c>
      <c r="C1367" s="429" t="str">
        <f t="shared" si="136"/>
        <v>石嘴山市深阳蓝光市政工程有限公司</v>
      </c>
      <c r="D1367" s="891" t="s">
        <v>2808</v>
      </c>
      <c r="E1367" s="903" t="s">
        <v>60</v>
      </c>
      <c r="F1367" s="903" t="s">
        <v>670</v>
      </c>
      <c r="G1367" s="903" t="s">
        <v>671</v>
      </c>
      <c r="H1367" s="903" t="s">
        <v>672</v>
      </c>
      <c r="I1367" s="903" t="s">
        <v>515</v>
      </c>
      <c r="X1367" s="501" t="b">
        <f t="shared" si="133"/>
        <v>1</v>
      </c>
    </row>
    <row r="1368" s="148" customFormat="1" hidden="1" outlineLevel="2" spans="1:24">
      <c r="A1368" s="148" t="s">
        <v>1677</v>
      </c>
      <c r="B1368" s="911" t="s">
        <v>2820</v>
      </c>
      <c r="C1368" s="429" t="str">
        <f t="shared" si="136"/>
        <v>石嘴山市深阳蓝光市政工程有限公司</v>
      </c>
      <c r="D1368" s="914" t="s">
        <v>2808</v>
      </c>
      <c r="E1368" s="915" t="s">
        <v>2822</v>
      </c>
      <c r="F1368" s="636">
        <f>SUM(F1369:F1372)</f>
        <v>0</v>
      </c>
      <c r="G1368" s="636">
        <f>SUM(G1369:G1372)</f>
        <v>0</v>
      </c>
      <c r="H1368" s="636">
        <f>SUM(H1369:H1372)</f>
        <v>0</v>
      </c>
      <c r="I1368" s="636">
        <f>SUM(I1369:I1372)</f>
        <v>0</v>
      </c>
      <c r="X1368" s="501" t="b">
        <f t="shared" si="133"/>
        <v>1</v>
      </c>
    </row>
    <row r="1369" s="148" customFormat="1" hidden="1" outlineLevel="2" spans="1:24">
      <c r="A1369" s="148" t="s">
        <v>1678</v>
      </c>
      <c r="B1369" s="911" t="s">
        <v>2820</v>
      </c>
      <c r="C1369" s="429" t="str">
        <f t="shared" si="136"/>
        <v>石嘴山市深阳蓝光市政工程有限公司</v>
      </c>
      <c r="D1369" s="891" t="s">
        <v>2808</v>
      </c>
      <c r="E1369" s="915" t="s">
        <v>1678</v>
      </c>
      <c r="F1369" s="916">
        <f>报表附注合并期初用!E884</f>
        <v>0</v>
      </c>
      <c r="G1369" s="732"/>
      <c r="H1369" s="732"/>
      <c r="I1369" s="636">
        <f>F1369+G1369-H1369</f>
        <v>0</v>
      </c>
      <c r="X1369" s="501" t="b">
        <f t="shared" si="133"/>
        <v>1</v>
      </c>
    </row>
    <row r="1370" s="148" customFormat="1" hidden="1" outlineLevel="2" spans="1:24">
      <c r="A1370" s="148" t="s">
        <v>862</v>
      </c>
      <c r="B1370" s="911" t="s">
        <v>2820</v>
      </c>
      <c r="C1370" s="429" t="str">
        <f t="shared" si="136"/>
        <v>石嘴山市深阳蓝光市政工程有限公司</v>
      </c>
      <c r="D1370" s="914" t="s">
        <v>2808</v>
      </c>
      <c r="E1370" s="915" t="s">
        <v>862</v>
      </c>
      <c r="F1370" s="916">
        <f>报表附注合并期初用!E885</f>
        <v>0</v>
      </c>
      <c r="G1370" s="732"/>
      <c r="H1370" s="732"/>
      <c r="I1370" s="636">
        <f>F1370+G1370-H1370</f>
        <v>0</v>
      </c>
      <c r="X1370" s="501" t="b">
        <f t="shared" ref="X1370:X1438" si="137">EXACT(A1370,E1370)</f>
        <v>1</v>
      </c>
    </row>
    <row r="1371" s="148" customFormat="1" hidden="1" outlineLevel="2" spans="1:24">
      <c r="A1371" s="148" t="s">
        <v>864</v>
      </c>
      <c r="B1371" s="911" t="s">
        <v>2820</v>
      </c>
      <c r="C1371" s="429" t="str">
        <f t="shared" si="136"/>
        <v>石嘴山市深阳蓝光市政工程有限公司</v>
      </c>
      <c r="D1371" s="891" t="s">
        <v>2808</v>
      </c>
      <c r="E1371" s="915" t="s">
        <v>864</v>
      </c>
      <c r="F1371" s="916">
        <f>报表附注合并期初用!E886</f>
        <v>0</v>
      </c>
      <c r="G1371" s="732"/>
      <c r="H1371" s="732"/>
      <c r="I1371" s="636">
        <f>F1371+G1371-H1371</f>
        <v>0</v>
      </c>
      <c r="X1371" s="501" t="b">
        <f t="shared" si="137"/>
        <v>1</v>
      </c>
    </row>
    <row r="1372" s="148" customFormat="1" hidden="1" outlineLevel="2" spans="1:24">
      <c r="A1372" s="148" t="s">
        <v>1679</v>
      </c>
      <c r="B1372" s="911" t="s">
        <v>2820</v>
      </c>
      <c r="C1372" s="429" t="str">
        <f t="shared" si="136"/>
        <v>石嘴山市深阳蓝光市政工程有限公司</v>
      </c>
      <c r="D1372" s="914" t="s">
        <v>2808</v>
      </c>
      <c r="E1372" s="915" t="s">
        <v>2823</v>
      </c>
      <c r="F1372" s="916">
        <f>报表附注合并期初用!E887</f>
        <v>0</v>
      </c>
      <c r="G1372" s="732"/>
      <c r="H1372" s="732"/>
      <c r="I1372" s="636">
        <f>F1372+G1372-H1372</f>
        <v>0</v>
      </c>
      <c r="X1372" s="501" t="b">
        <f t="shared" si="137"/>
        <v>1</v>
      </c>
    </row>
    <row r="1373" s="148" customFormat="1" hidden="1" outlineLevel="2" spans="1:24">
      <c r="A1373" s="148" t="s">
        <v>759</v>
      </c>
      <c r="B1373" s="911" t="s">
        <v>2820</v>
      </c>
      <c r="C1373" s="429" t="str">
        <f t="shared" si="136"/>
        <v>石嘴山市深阳蓝光市政工程有限公司</v>
      </c>
      <c r="D1373" s="891" t="s">
        <v>2808</v>
      </c>
      <c r="E1373" s="915" t="s">
        <v>759</v>
      </c>
      <c r="F1373" s="916">
        <f>SUM(F1374:F1377)</f>
        <v>0</v>
      </c>
      <c r="G1373" s="636">
        <f>SUM(G1374:G1377)</f>
        <v>0</v>
      </c>
      <c r="H1373" s="636">
        <f>SUM(H1374:H1377)</f>
        <v>0</v>
      </c>
      <c r="I1373" s="636">
        <f>SUM(I1374:I1377)</f>
        <v>0</v>
      </c>
      <c r="X1373" s="501" t="b">
        <f t="shared" si="137"/>
        <v>1</v>
      </c>
    </row>
    <row r="1374" s="148" customFormat="1" hidden="1" outlineLevel="2" spans="1:24">
      <c r="A1374" s="148" t="s">
        <v>1678</v>
      </c>
      <c r="B1374" s="911" t="s">
        <v>2820</v>
      </c>
      <c r="C1374" s="429" t="str">
        <f t="shared" si="136"/>
        <v>石嘴山市深阳蓝光市政工程有限公司</v>
      </c>
      <c r="D1374" s="914" t="s">
        <v>2808</v>
      </c>
      <c r="E1374" s="915" t="s">
        <v>1678</v>
      </c>
      <c r="F1374" s="916">
        <f>报表附注合并期初用!E889</f>
        <v>0</v>
      </c>
      <c r="G1374" s="732"/>
      <c r="H1374" s="732"/>
      <c r="I1374" s="636">
        <f>F1374+G1374-H1374</f>
        <v>0</v>
      </c>
      <c r="X1374" s="501" t="b">
        <f t="shared" si="137"/>
        <v>1</v>
      </c>
    </row>
    <row r="1375" s="148" customFormat="1" hidden="1" outlineLevel="2" spans="1:24">
      <c r="A1375" s="148" t="s">
        <v>862</v>
      </c>
      <c r="B1375" s="911" t="s">
        <v>2820</v>
      </c>
      <c r="C1375" s="429" t="str">
        <f t="shared" si="136"/>
        <v>石嘴山市深阳蓝光市政工程有限公司</v>
      </c>
      <c r="D1375" s="891" t="s">
        <v>2808</v>
      </c>
      <c r="E1375" s="915" t="s">
        <v>862</v>
      </c>
      <c r="F1375" s="916">
        <f>报表附注合并期初用!E890</f>
        <v>0</v>
      </c>
      <c r="G1375" s="732"/>
      <c r="H1375" s="732"/>
      <c r="I1375" s="636">
        <f>F1375+G1375-H1375</f>
        <v>0</v>
      </c>
      <c r="X1375" s="501" t="b">
        <f t="shared" si="137"/>
        <v>1</v>
      </c>
    </row>
    <row r="1376" s="148" customFormat="1" hidden="1" outlineLevel="2" spans="1:24">
      <c r="A1376" s="148" t="s">
        <v>864</v>
      </c>
      <c r="B1376" s="911" t="s">
        <v>2820</v>
      </c>
      <c r="C1376" s="429" t="str">
        <f t="shared" si="136"/>
        <v>石嘴山市深阳蓝光市政工程有限公司</v>
      </c>
      <c r="D1376" s="914" t="s">
        <v>2808</v>
      </c>
      <c r="E1376" s="915" t="s">
        <v>864</v>
      </c>
      <c r="F1376" s="916">
        <f>报表附注合并期初用!E891</f>
        <v>0</v>
      </c>
      <c r="G1376" s="732"/>
      <c r="H1376" s="732"/>
      <c r="I1376" s="636">
        <f>F1376+G1376-H1376</f>
        <v>0</v>
      </c>
      <c r="X1376" s="501" t="b">
        <f t="shared" si="137"/>
        <v>1</v>
      </c>
    </row>
    <row r="1377" s="148" customFormat="1" hidden="1" outlineLevel="2" spans="1:24">
      <c r="A1377" s="148" t="s">
        <v>1679</v>
      </c>
      <c r="B1377" s="911" t="s">
        <v>2820</v>
      </c>
      <c r="C1377" s="429" t="str">
        <f t="shared" si="136"/>
        <v>石嘴山市深阳蓝光市政工程有限公司</v>
      </c>
      <c r="D1377" s="891" t="s">
        <v>2808</v>
      </c>
      <c r="E1377" s="915" t="s">
        <v>2823</v>
      </c>
      <c r="F1377" s="916">
        <f>报表附注合并期初用!E892</f>
        <v>0</v>
      </c>
      <c r="G1377" s="732"/>
      <c r="H1377" s="732"/>
      <c r="I1377" s="636">
        <f>F1377+G1377-H1377</f>
        <v>0</v>
      </c>
      <c r="X1377" s="501" t="b">
        <f t="shared" si="137"/>
        <v>1</v>
      </c>
    </row>
    <row r="1378" s="148" customFormat="1" hidden="1" outlineLevel="2" spans="1:24">
      <c r="A1378" s="148" t="s">
        <v>1680</v>
      </c>
      <c r="B1378" s="911" t="s">
        <v>2820</v>
      </c>
      <c r="C1378" s="429" t="str">
        <f t="shared" si="136"/>
        <v>石嘴山市深阳蓝光市政工程有限公司</v>
      </c>
      <c r="D1378" s="914" t="s">
        <v>2808</v>
      </c>
      <c r="E1378" s="915" t="s">
        <v>1680</v>
      </c>
      <c r="F1378" s="916">
        <f>SUM(F1379:F1382)</f>
        <v>0</v>
      </c>
      <c r="G1378" s="636">
        <f>SUM(G1379:G1382)</f>
        <v>0</v>
      </c>
      <c r="H1378" s="636">
        <f>SUM(H1379:H1382)</f>
        <v>0</v>
      </c>
      <c r="I1378" s="636">
        <f>SUM(I1379:I1382)</f>
        <v>0</v>
      </c>
      <c r="X1378" s="501" t="b">
        <f t="shared" si="137"/>
        <v>1</v>
      </c>
    </row>
    <row r="1379" s="148" customFormat="1" hidden="1" outlineLevel="2" spans="1:24">
      <c r="A1379" s="148" t="s">
        <v>1678</v>
      </c>
      <c r="B1379" s="911" t="s">
        <v>2820</v>
      </c>
      <c r="C1379" s="429" t="str">
        <f t="shared" si="136"/>
        <v>石嘴山市深阳蓝光市政工程有限公司</v>
      </c>
      <c r="D1379" s="891" t="s">
        <v>2808</v>
      </c>
      <c r="E1379" s="915" t="s">
        <v>1678</v>
      </c>
      <c r="F1379" s="916">
        <f>报表附注合并期初用!E894</f>
        <v>0</v>
      </c>
      <c r="G1379" s="732"/>
      <c r="H1379" s="732"/>
      <c r="I1379" s="636">
        <f>F1379+G1379-H1379</f>
        <v>0</v>
      </c>
      <c r="X1379" s="501" t="b">
        <f t="shared" si="137"/>
        <v>1</v>
      </c>
    </row>
    <row r="1380" s="148" customFormat="1" hidden="1" outlineLevel="2" spans="1:24">
      <c r="A1380" s="148" t="s">
        <v>862</v>
      </c>
      <c r="B1380" s="911" t="s">
        <v>2820</v>
      </c>
      <c r="C1380" s="429" t="str">
        <f t="shared" si="136"/>
        <v>石嘴山市深阳蓝光市政工程有限公司</v>
      </c>
      <c r="D1380" s="914" t="s">
        <v>2808</v>
      </c>
      <c r="E1380" s="915" t="s">
        <v>862</v>
      </c>
      <c r="F1380" s="916">
        <f>报表附注合并期初用!E895</f>
        <v>0</v>
      </c>
      <c r="G1380" s="732"/>
      <c r="H1380" s="732"/>
      <c r="I1380" s="636">
        <f>F1380+G1380-H1380</f>
        <v>0</v>
      </c>
      <c r="X1380" s="501" t="b">
        <f t="shared" si="137"/>
        <v>1</v>
      </c>
    </row>
    <row r="1381" s="148" customFormat="1" hidden="1" outlineLevel="2" spans="1:24">
      <c r="A1381" s="148" t="s">
        <v>864</v>
      </c>
      <c r="B1381" s="911" t="s">
        <v>2820</v>
      </c>
      <c r="C1381" s="429" t="str">
        <f t="shared" si="136"/>
        <v>石嘴山市深阳蓝光市政工程有限公司</v>
      </c>
      <c r="D1381" s="891" t="s">
        <v>2808</v>
      </c>
      <c r="E1381" s="915" t="s">
        <v>864</v>
      </c>
      <c r="F1381" s="916">
        <f>报表附注合并期初用!E896</f>
        <v>0</v>
      </c>
      <c r="G1381" s="732"/>
      <c r="H1381" s="732"/>
      <c r="I1381" s="636">
        <f>F1381+G1381-H1381</f>
        <v>0</v>
      </c>
      <c r="X1381" s="501" t="b">
        <f t="shared" si="137"/>
        <v>1</v>
      </c>
    </row>
    <row r="1382" s="148" customFormat="1" hidden="1" outlineLevel="2" spans="1:24">
      <c r="A1382" s="148" t="s">
        <v>1679</v>
      </c>
      <c r="B1382" s="911" t="s">
        <v>2820</v>
      </c>
      <c r="C1382" s="429" t="str">
        <f t="shared" si="136"/>
        <v>石嘴山市深阳蓝光市政工程有限公司</v>
      </c>
      <c r="D1382" s="914" t="s">
        <v>2808</v>
      </c>
      <c r="E1382" s="915" t="s">
        <v>2823</v>
      </c>
      <c r="F1382" s="916">
        <f>报表附注合并期初用!E897</f>
        <v>0</v>
      </c>
      <c r="G1382" s="732"/>
      <c r="H1382" s="732"/>
      <c r="I1382" s="636">
        <f>F1382+G1382-H1382</f>
        <v>0</v>
      </c>
      <c r="X1382" s="501" t="b">
        <f t="shared" si="137"/>
        <v>1</v>
      </c>
    </row>
    <row r="1383" s="148" customFormat="1" hidden="1" outlineLevel="2" spans="1:24">
      <c r="A1383" s="148" t="s">
        <v>2824</v>
      </c>
      <c r="B1383" s="911" t="s">
        <v>2820</v>
      </c>
      <c r="C1383" s="429" t="str">
        <f t="shared" si="136"/>
        <v>石嘴山市深阳蓝光市政工程有限公司</v>
      </c>
      <c r="D1383" s="891" t="s">
        <v>2808</v>
      </c>
      <c r="E1383" s="915" t="s">
        <v>2824</v>
      </c>
      <c r="F1383" s="636">
        <f>SUM(F1384:F1387)</f>
        <v>0</v>
      </c>
      <c r="G1383" s="634"/>
      <c r="H1383" s="634"/>
      <c r="I1383" s="636">
        <f>SUM(I1384:I1387)</f>
        <v>0</v>
      </c>
      <c r="X1383" s="501" t="b">
        <f t="shared" si="137"/>
        <v>1</v>
      </c>
    </row>
    <row r="1384" s="148" customFormat="1" hidden="1" outlineLevel="2" spans="1:24">
      <c r="A1384" s="148" t="s">
        <v>1678</v>
      </c>
      <c r="B1384" s="911" t="s">
        <v>2820</v>
      </c>
      <c r="C1384" s="429" t="str">
        <f t="shared" si="136"/>
        <v>石嘴山市深阳蓝光市政工程有限公司</v>
      </c>
      <c r="D1384" s="914" t="s">
        <v>2808</v>
      </c>
      <c r="E1384" s="915" t="s">
        <v>1678</v>
      </c>
      <c r="F1384" s="636">
        <f>F1369-F1374-F1379</f>
        <v>0</v>
      </c>
      <c r="G1384" s="634"/>
      <c r="H1384" s="634"/>
      <c r="I1384" s="636">
        <f>I1369-I1374-I1379</f>
        <v>0</v>
      </c>
      <c r="X1384" s="501" t="b">
        <f t="shared" si="137"/>
        <v>1</v>
      </c>
    </row>
    <row r="1385" s="148" customFormat="1" hidden="1" outlineLevel="2" spans="1:24">
      <c r="A1385" s="148" t="s">
        <v>862</v>
      </c>
      <c r="B1385" s="911" t="s">
        <v>2820</v>
      </c>
      <c r="C1385" s="429" t="str">
        <f t="shared" si="136"/>
        <v>石嘴山市深阳蓝光市政工程有限公司</v>
      </c>
      <c r="D1385" s="891" t="s">
        <v>2808</v>
      </c>
      <c r="E1385" s="915" t="s">
        <v>862</v>
      </c>
      <c r="F1385" s="636">
        <f>F1370-F1375-F1380</f>
        <v>0</v>
      </c>
      <c r="G1385" s="634"/>
      <c r="H1385" s="634"/>
      <c r="I1385" s="636">
        <f>I1370-I1375-I1380</f>
        <v>0</v>
      </c>
      <c r="X1385" s="501" t="b">
        <f t="shared" si="137"/>
        <v>1</v>
      </c>
    </row>
    <row r="1386" s="148" customFormat="1" hidden="1" outlineLevel="2" spans="1:24">
      <c r="A1386" s="148" t="s">
        <v>864</v>
      </c>
      <c r="B1386" s="911" t="s">
        <v>2820</v>
      </c>
      <c r="C1386" s="429" t="str">
        <f t="shared" si="136"/>
        <v>石嘴山市深阳蓝光市政工程有限公司</v>
      </c>
      <c r="D1386" s="914" t="s">
        <v>2808</v>
      </c>
      <c r="E1386" s="915" t="s">
        <v>864</v>
      </c>
      <c r="F1386" s="636">
        <f>F1371-F1376-F1381</f>
        <v>0</v>
      </c>
      <c r="G1386" s="634"/>
      <c r="H1386" s="634"/>
      <c r="I1386" s="636">
        <f>I1371-I1376-I1381</f>
        <v>0</v>
      </c>
      <c r="X1386" s="501" t="b">
        <f t="shared" si="137"/>
        <v>1</v>
      </c>
    </row>
    <row r="1387" s="148" customFormat="1" hidden="1" outlineLevel="2" spans="1:24">
      <c r="A1387" s="148" t="s">
        <v>1679</v>
      </c>
      <c r="B1387" s="911" t="s">
        <v>2820</v>
      </c>
      <c r="C1387" s="429" t="str">
        <f t="shared" si="136"/>
        <v>石嘴山市深阳蓝光市政工程有限公司</v>
      </c>
      <c r="D1387" s="891" t="s">
        <v>2808</v>
      </c>
      <c r="E1387" s="915" t="s">
        <v>2823</v>
      </c>
      <c r="F1387" s="636">
        <f>F1372-F1377-F1382</f>
        <v>0</v>
      </c>
      <c r="G1387" s="634"/>
      <c r="H1387" s="634"/>
      <c r="I1387" s="636">
        <f>I1372-I1377-I1382</f>
        <v>0</v>
      </c>
      <c r="X1387" s="501" t="b">
        <f t="shared" si="137"/>
        <v>1</v>
      </c>
    </row>
    <row r="1388" s="148" customFormat="1" hidden="1" outlineLevel="2" spans="1:24">
      <c r="A1388" s="148" t="s">
        <v>1444</v>
      </c>
      <c r="B1388" s="911" t="s">
        <v>2820</v>
      </c>
      <c r="C1388" s="429" t="str">
        <f t="shared" si="136"/>
        <v>石嘴山市深阳蓝光市政工程有限公司</v>
      </c>
      <c r="D1388" s="891" t="s">
        <v>2808</v>
      </c>
      <c r="E1388" s="819" t="s">
        <v>1444</v>
      </c>
      <c r="F1388" s="917">
        <f>审定资负表!D31</f>
        <v>0</v>
      </c>
      <c r="G1388" s="893"/>
      <c r="H1388" s="893"/>
      <c r="I1388" s="917">
        <f>审定资负表!C31</f>
        <v>0</v>
      </c>
      <c r="X1388" s="501" t="b">
        <f t="shared" si="137"/>
        <v>1</v>
      </c>
    </row>
    <row r="1389" s="148" customFormat="1" hidden="1" outlineLevel="1" spans="1:24">
      <c r="A1389" s="148" t="s">
        <v>1394</v>
      </c>
      <c r="B1389" s="911" t="s">
        <v>2820</v>
      </c>
      <c r="C1389" s="429" t="str">
        <f t="shared" si="136"/>
        <v>石嘴山市深阳蓝光市政工程有限公司</v>
      </c>
      <c r="D1389" s="914" t="s">
        <v>2808</v>
      </c>
      <c r="E1389" s="821" t="s">
        <v>1394</v>
      </c>
      <c r="F1389" s="87">
        <f>ROUND(F1387-F1388,2)</f>
        <v>0</v>
      </c>
      <c r="G1389" s="141"/>
      <c r="H1389" s="141"/>
      <c r="I1389" s="87">
        <f>ROUND(I1387-I1388,2)</f>
        <v>0</v>
      </c>
      <c r="X1389" s="501" t="b">
        <f t="shared" si="137"/>
        <v>1</v>
      </c>
    </row>
    <row r="1390" s="148" customFormat="1" hidden="1" outlineLevel="2" spans="2:24">
      <c r="B1390" s="911" t="s">
        <v>2820</v>
      </c>
      <c r="C1390" s="429" t="str">
        <f t="shared" si="136"/>
        <v>石嘴山市深阳蓝光市政工程有限公司</v>
      </c>
      <c r="D1390" s="868"/>
      <c r="E1390" s="149"/>
      <c r="F1390" s="141"/>
      <c r="G1390" s="141"/>
      <c r="H1390" s="141"/>
      <c r="I1390" s="141"/>
      <c r="X1390" s="501" t="b">
        <f t="shared" si="137"/>
        <v>1</v>
      </c>
    </row>
    <row r="1391" s="148" customFormat="1" ht="15" hidden="1" customHeight="1" outlineLevel="2" spans="1:24">
      <c r="A1391" s="148" t="s">
        <v>2315</v>
      </c>
      <c r="B1391" s="911" t="s">
        <v>2820</v>
      </c>
      <c r="C1391" s="429" t="str">
        <f t="shared" si="136"/>
        <v>石嘴山市深阳蓝光市政工程有限公司</v>
      </c>
      <c r="D1391" s="868"/>
      <c r="E1391" s="515" t="s">
        <v>2334</v>
      </c>
      <c r="F1391" s="719"/>
      <c r="G1391" s="719"/>
      <c r="H1391" s="719"/>
      <c r="I1391" s="719"/>
      <c r="X1391" s="501" t="b">
        <f t="shared" si="137"/>
        <v>1</v>
      </c>
    </row>
    <row r="1392" s="148" customFormat="1" ht="15" hidden="1" customHeight="1" outlineLevel="2" spans="2:24">
      <c r="B1392" s="911" t="s">
        <v>2820</v>
      </c>
      <c r="C1392" s="429" t="str">
        <f t="shared" si="136"/>
        <v>石嘴山市深阳蓝光市政工程有限公司</v>
      </c>
      <c r="D1392" s="868"/>
      <c r="E1392" s="65"/>
      <c r="F1392" s="141"/>
      <c r="G1392" s="141"/>
      <c r="H1392" s="141"/>
      <c r="I1392" s="141"/>
      <c r="X1392" s="501" t="b">
        <f t="shared" si="137"/>
        <v>1</v>
      </c>
    </row>
    <row r="1393" s="148" customFormat="1" collapsed="1" spans="1:24">
      <c r="A1393" s="148" t="s">
        <v>1681</v>
      </c>
      <c r="B1393" s="911" t="s">
        <v>2825</v>
      </c>
      <c r="C1393" s="429" t="str">
        <f t="shared" si="136"/>
        <v>石嘴山市深阳蓝光市政工程有限公司</v>
      </c>
      <c r="D1393" s="891" t="s">
        <v>2804</v>
      </c>
      <c r="E1393" s="65" t="s">
        <v>2826</v>
      </c>
      <c r="F1393" s="141"/>
      <c r="G1393" s="141"/>
      <c r="H1393" s="141"/>
      <c r="I1393" s="141"/>
      <c r="X1393" s="501" t="b">
        <f t="shared" si="137"/>
        <v>1</v>
      </c>
    </row>
    <row r="1394" s="148" customFormat="1" hidden="1" outlineLevel="2" spans="1:24">
      <c r="A1394" s="148" t="s">
        <v>2806</v>
      </c>
      <c r="B1394" s="911" t="s">
        <v>2825</v>
      </c>
      <c r="C1394" s="429" t="str">
        <f t="shared" si="136"/>
        <v>石嘴山市深阳蓝光市政工程有限公司</v>
      </c>
      <c r="D1394" s="891" t="s">
        <v>2804</v>
      </c>
      <c r="E1394" s="149" t="s">
        <v>2807</v>
      </c>
      <c r="F1394" s="141"/>
      <c r="G1394" s="141"/>
      <c r="H1394" s="141"/>
      <c r="I1394" s="141"/>
      <c r="X1394" s="501" t="b">
        <f t="shared" si="137"/>
        <v>1</v>
      </c>
    </row>
    <row r="1395" s="148" customFormat="1" hidden="1" outlineLevel="2" spans="1:24">
      <c r="A1395" s="148" t="s">
        <v>60</v>
      </c>
      <c r="B1395" s="911" t="s">
        <v>2825</v>
      </c>
      <c r="C1395" s="429" t="str">
        <f t="shared" si="136"/>
        <v>石嘴山市深阳蓝光市政工程有限公司</v>
      </c>
      <c r="D1395" s="891" t="s">
        <v>2808</v>
      </c>
      <c r="E1395" s="634" t="s">
        <v>60</v>
      </c>
      <c r="F1395" s="634" t="s">
        <v>670</v>
      </c>
      <c r="G1395" s="634" t="s">
        <v>671</v>
      </c>
      <c r="H1395" s="634" t="s">
        <v>672</v>
      </c>
      <c r="I1395" s="634" t="s">
        <v>515</v>
      </c>
      <c r="X1395" s="501" t="b">
        <f t="shared" si="137"/>
        <v>1</v>
      </c>
    </row>
    <row r="1396" s="148" customFormat="1" hidden="1" outlineLevel="2" spans="1:24">
      <c r="A1396" s="148" t="s">
        <v>714</v>
      </c>
      <c r="B1396" s="911" t="s">
        <v>2825</v>
      </c>
      <c r="C1396" s="429" t="str">
        <f t="shared" si="136"/>
        <v>石嘴山市深阳蓝光市政工程有限公司</v>
      </c>
      <c r="D1396" s="891" t="s">
        <v>2808</v>
      </c>
      <c r="E1396" s="918" t="s">
        <v>714</v>
      </c>
      <c r="F1396" s="916">
        <f>SUM(F1397:F1399)</f>
        <v>0</v>
      </c>
      <c r="G1396" s="636">
        <f>SUM(G1397:G1399)</f>
        <v>0</v>
      </c>
      <c r="H1396" s="636">
        <f>SUM(H1397:H1399)</f>
        <v>0</v>
      </c>
      <c r="I1396" s="636">
        <f>SUM(I1397:I1399)</f>
        <v>0</v>
      </c>
      <c r="X1396" s="501" t="b">
        <f t="shared" si="137"/>
        <v>1</v>
      </c>
    </row>
    <row r="1397" s="148" customFormat="1" hidden="1" outlineLevel="2" spans="1:24">
      <c r="A1397" s="148" t="s">
        <v>1682</v>
      </c>
      <c r="B1397" s="911" t="s">
        <v>2825</v>
      </c>
      <c r="C1397" s="429" t="str">
        <f t="shared" si="136"/>
        <v>石嘴山市深阳蓝光市政工程有限公司</v>
      </c>
      <c r="D1397" s="891" t="s">
        <v>2808</v>
      </c>
      <c r="E1397" s="918" t="s">
        <v>2827</v>
      </c>
      <c r="F1397" s="916">
        <f>报表附注合并期初用!E934</f>
        <v>0</v>
      </c>
      <c r="G1397" s="732"/>
      <c r="H1397" s="732"/>
      <c r="I1397" s="636">
        <f>F1397+G1397-H1397</f>
        <v>0</v>
      </c>
      <c r="X1397" s="501" t="b">
        <f t="shared" si="137"/>
        <v>1</v>
      </c>
    </row>
    <row r="1398" s="148" customFormat="1" hidden="1" outlineLevel="2" spans="1:24">
      <c r="A1398" s="148" t="s">
        <v>1683</v>
      </c>
      <c r="B1398" s="911" t="s">
        <v>2825</v>
      </c>
      <c r="C1398" s="429" t="str">
        <f t="shared" si="136"/>
        <v>石嘴山市深阳蓝光市政工程有限公司</v>
      </c>
      <c r="D1398" s="891" t="s">
        <v>2808</v>
      </c>
      <c r="E1398" s="918" t="s">
        <v>2828</v>
      </c>
      <c r="F1398" s="916">
        <f>报表附注合并期初用!E935</f>
        <v>0</v>
      </c>
      <c r="G1398" s="732"/>
      <c r="H1398" s="732"/>
      <c r="I1398" s="636">
        <f t="shared" ref="I1398:I1406" si="138">F1398+G1398-H1398</f>
        <v>0</v>
      </c>
      <c r="X1398" s="501" t="b">
        <f t="shared" si="137"/>
        <v>1</v>
      </c>
    </row>
    <row r="1399" s="148" customFormat="1" hidden="1" outlineLevel="2" spans="1:24">
      <c r="A1399" s="148" t="s">
        <v>1684</v>
      </c>
      <c r="B1399" s="911" t="s">
        <v>2825</v>
      </c>
      <c r="C1399" s="429" t="str">
        <f t="shared" si="136"/>
        <v>石嘴山市深阳蓝光市政工程有限公司</v>
      </c>
      <c r="D1399" s="891" t="s">
        <v>2808</v>
      </c>
      <c r="E1399" s="918" t="s">
        <v>2829</v>
      </c>
      <c r="F1399" s="916">
        <f>报表附注合并期初用!E936</f>
        <v>0</v>
      </c>
      <c r="G1399" s="732"/>
      <c r="H1399" s="732"/>
      <c r="I1399" s="636">
        <f t="shared" si="138"/>
        <v>0</v>
      </c>
      <c r="X1399" s="501" t="b">
        <f t="shared" si="137"/>
        <v>1</v>
      </c>
    </row>
    <row r="1400" s="148" customFormat="1" hidden="1" outlineLevel="2" spans="1:24">
      <c r="A1400" s="148" t="s">
        <v>889</v>
      </c>
      <c r="B1400" s="911" t="s">
        <v>2825</v>
      </c>
      <c r="C1400" s="429" t="str">
        <f t="shared" si="136"/>
        <v>石嘴山市深阳蓝光市政工程有限公司</v>
      </c>
      <c r="D1400" s="891" t="s">
        <v>2808</v>
      </c>
      <c r="E1400" s="918" t="s">
        <v>889</v>
      </c>
      <c r="F1400" s="916">
        <f>SUM(F1401:F1403)</f>
        <v>0</v>
      </c>
      <c r="G1400" s="636">
        <f>SUM(G1401:G1403)</f>
        <v>0</v>
      </c>
      <c r="H1400" s="636">
        <f>SUM(H1401:H1403)</f>
        <v>0</v>
      </c>
      <c r="I1400" s="636">
        <f>SUM(I1401:I1403)</f>
        <v>0</v>
      </c>
      <c r="X1400" s="501" t="b">
        <f t="shared" si="137"/>
        <v>1</v>
      </c>
    </row>
    <row r="1401" s="148" customFormat="1" hidden="1" outlineLevel="2" spans="1:24">
      <c r="A1401" s="148" t="s">
        <v>1682</v>
      </c>
      <c r="B1401" s="911" t="s">
        <v>2825</v>
      </c>
      <c r="C1401" s="429" t="str">
        <f t="shared" si="136"/>
        <v>石嘴山市深阳蓝光市政工程有限公司</v>
      </c>
      <c r="D1401" s="891" t="s">
        <v>2808</v>
      </c>
      <c r="E1401" s="918" t="s">
        <v>2827</v>
      </c>
      <c r="F1401" s="916">
        <f>报表附注合并期初用!E938</f>
        <v>0</v>
      </c>
      <c r="G1401" s="732"/>
      <c r="H1401" s="732"/>
      <c r="I1401" s="636">
        <f t="shared" si="138"/>
        <v>0</v>
      </c>
      <c r="X1401" s="501" t="b">
        <f t="shared" si="137"/>
        <v>1</v>
      </c>
    </row>
    <row r="1402" s="148" customFormat="1" hidden="1" outlineLevel="2" spans="1:24">
      <c r="A1402" s="148" t="s">
        <v>1685</v>
      </c>
      <c r="B1402" s="911" t="s">
        <v>2825</v>
      </c>
      <c r="C1402" s="429" t="str">
        <f t="shared" si="136"/>
        <v>石嘴山市深阳蓝光市政工程有限公司</v>
      </c>
      <c r="D1402" s="891" t="s">
        <v>2808</v>
      </c>
      <c r="E1402" s="918" t="s">
        <v>2830</v>
      </c>
      <c r="F1402" s="916">
        <f>报表附注合并期初用!E939</f>
        <v>0</v>
      </c>
      <c r="G1402" s="732"/>
      <c r="H1402" s="732"/>
      <c r="I1402" s="636">
        <f t="shared" si="138"/>
        <v>0</v>
      </c>
      <c r="X1402" s="501" t="b">
        <f t="shared" si="137"/>
        <v>1</v>
      </c>
    </row>
    <row r="1403" s="148" customFormat="1" hidden="1" outlineLevel="2" spans="1:24">
      <c r="A1403" s="148" t="s">
        <v>894</v>
      </c>
      <c r="B1403" s="911" t="s">
        <v>2825</v>
      </c>
      <c r="C1403" s="429" t="str">
        <f t="shared" si="136"/>
        <v>石嘴山市深阳蓝光市政工程有限公司</v>
      </c>
      <c r="D1403" s="891" t="s">
        <v>2808</v>
      </c>
      <c r="E1403" s="918" t="s">
        <v>894</v>
      </c>
      <c r="F1403" s="916">
        <f>SUM(F1404:F1406)</f>
        <v>0</v>
      </c>
      <c r="G1403" s="636">
        <f>SUM(G1404:G1406)</f>
        <v>0</v>
      </c>
      <c r="H1403" s="636">
        <f>SUM(H1404:H1406)</f>
        <v>0</v>
      </c>
      <c r="I1403" s="636">
        <f>SUM(I1404:I1406)</f>
        <v>0</v>
      </c>
      <c r="X1403" s="501" t="b">
        <f t="shared" si="137"/>
        <v>1</v>
      </c>
    </row>
    <row r="1404" s="148" customFormat="1" hidden="1" outlineLevel="2" spans="1:24">
      <c r="A1404" s="148" t="s">
        <v>1682</v>
      </c>
      <c r="B1404" s="911" t="s">
        <v>2825</v>
      </c>
      <c r="C1404" s="429" t="str">
        <f t="shared" si="136"/>
        <v>石嘴山市深阳蓝光市政工程有限公司</v>
      </c>
      <c r="D1404" s="891" t="s">
        <v>2808</v>
      </c>
      <c r="E1404" s="918" t="s">
        <v>2827</v>
      </c>
      <c r="F1404" s="916">
        <f>报表附注合并期初用!E941</f>
        <v>0</v>
      </c>
      <c r="G1404" s="732"/>
      <c r="H1404" s="732"/>
      <c r="I1404" s="636">
        <f t="shared" si="138"/>
        <v>0</v>
      </c>
      <c r="X1404" s="501" t="b">
        <f t="shared" si="137"/>
        <v>1</v>
      </c>
    </row>
    <row r="1405" s="148" customFormat="1" hidden="1" outlineLevel="2" spans="1:24">
      <c r="A1405" s="148" t="s">
        <v>1683</v>
      </c>
      <c r="B1405" s="911" t="s">
        <v>2825</v>
      </c>
      <c r="C1405" s="429" t="str">
        <f t="shared" si="136"/>
        <v>石嘴山市深阳蓝光市政工程有限公司</v>
      </c>
      <c r="D1405" s="891" t="s">
        <v>2808</v>
      </c>
      <c r="E1405" s="918" t="s">
        <v>2828</v>
      </c>
      <c r="F1405" s="916">
        <f>报表附注合并期初用!E942</f>
        <v>0</v>
      </c>
      <c r="G1405" s="732"/>
      <c r="H1405" s="732"/>
      <c r="I1405" s="636">
        <f t="shared" si="138"/>
        <v>0</v>
      </c>
      <c r="X1405" s="501" t="b">
        <f t="shared" si="137"/>
        <v>1</v>
      </c>
    </row>
    <row r="1406" s="148" customFormat="1" hidden="1" outlineLevel="2" spans="1:24">
      <c r="A1406" s="148" t="s">
        <v>1684</v>
      </c>
      <c r="B1406" s="911" t="s">
        <v>2825</v>
      </c>
      <c r="C1406" s="429" t="str">
        <f t="shared" si="136"/>
        <v>石嘴山市深阳蓝光市政工程有限公司</v>
      </c>
      <c r="D1406" s="891" t="s">
        <v>2808</v>
      </c>
      <c r="E1406" s="918" t="s">
        <v>2829</v>
      </c>
      <c r="F1406" s="916">
        <f>报表附注合并期初用!E943</f>
        <v>0</v>
      </c>
      <c r="G1406" s="732"/>
      <c r="H1406" s="732"/>
      <c r="I1406" s="636">
        <f t="shared" si="138"/>
        <v>0</v>
      </c>
      <c r="X1406" s="501" t="b">
        <f t="shared" si="137"/>
        <v>1</v>
      </c>
    </row>
    <row r="1407" s="148" customFormat="1" hidden="1" outlineLevel="2" spans="1:24">
      <c r="A1407" s="148" t="s">
        <v>899</v>
      </c>
      <c r="B1407" s="911" t="s">
        <v>2825</v>
      </c>
      <c r="C1407" s="429" t="str">
        <f t="shared" ref="C1407:C1425" si="139">$G$1</f>
        <v>石嘴山市深阳蓝光市政工程有限公司</v>
      </c>
      <c r="D1407" s="891" t="s">
        <v>2808</v>
      </c>
      <c r="E1407" s="918" t="s">
        <v>899</v>
      </c>
      <c r="F1407" s="916">
        <f>SUM(F1408:F1410)</f>
        <v>0</v>
      </c>
      <c r="G1407" s="634"/>
      <c r="H1407" s="634"/>
      <c r="I1407" s="636">
        <f>SUM(I1408:I1410)</f>
        <v>0</v>
      </c>
      <c r="X1407" s="501" t="b">
        <f t="shared" si="137"/>
        <v>1</v>
      </c>
    </row>
    <row r="1408" s="148" customFormat="1" hidden="1" outlineLevel="2" spans="1:24">
      <c r="A1408" s="148" t="s">
        <v>1682</v>
      </c>
      <c r="B1408" s="911" t="s">
        <v>2825</v>
      </c>
      <c r="C1408" s="429" t="str">
        <f t="shared" si="139"/>
        <v>石嘴山市深阳蓝光市政工程有限公司</v>
      </c>
      <c r="D1408" s="891" t="s">
        <v>2808</v>
      </c>
      <c r="E1408" s="918" t="s">
        <v>2827</v>
      </c>
      <c r="F1408" s="636">
        <f>F1397-F1401-F1404</f>
        <v>0</v>
      </c>
      <c r="G1408" s="634"/>
      <c r="H1408" s="634"/>
      <c r="I1408" s="636">
        <f>I1397-I1401-I1404</f>
        <v>0</v>
      </c>
      <c r="X1408" s="501" t="b">
        <f t="shared" si="137"/>
        <v>1</v>
      </c>
    </row>
    <row r="1409" s="148" customFormat="1" hidden="1" outlineLevel="2" spans="1:24">
      <c r="A1409" s="148" t="s">
        <v>1683</v>
      </c>
      <c r="B1409" s="911" t="s">
        <v>2825</v>
      </c>
      <c r="C1409" s="429" t="str">
        <f t="shared" si="139"/>
        <v>石嘴山市深阳蓝光市政工程有限公司</v>
      </c>
      <c r="D1409" s="891" t="s">
        <v>2808</v>
      </c>
      <c r="E1409" s="918" t="s">
        <v>2828</v>
      </c>
      <c r="F1409" s="636">
        <f>F1398-F1405</f>
        <v>0</v>
      </c>
      <c r="G1409" s="634"/>
      <c r="H1409" s="634"/>
      <c r="I1409" s="636">
        <f>I1398-I1405</f>
        <v>0</v>
      </c>
      <c r="X1409" s="501" t="b">
        <f t="shared" si="137"/>
        <v>1</v>
      </c>
    </row>
    <row r="1410" s="148" customFormat="1" hidden="1" outlineLevel="2" spans="1:24">
      <c r="A1410" s="148" t="s">
        <v>1684</v>
      </c>
      <c r="B1410" s="911" t="s">
        <v>2825</v>
      </c>
      <c r="C1410" s="429" t="str">
        <f t="shared" si="139"/>
        <v>石嘴山市深阳蓝光市政工程有限公司</v>
      </c>
      <c r="D1410" s="891" t="s">
        <v>2808</v>
      </c>
      <c r="E1410" s="918" t="s">
        <v>2829</v>
      </c>
      <c r="F1410" s="636">
        <f>F1399-F1402-F1406</f>
        <v>0</v>
      </c>
      <c r="G1410" s="634"/>
      <c r="H1410" s="634"/>
      <c r="I1410" s="636">
        <f>I1399-I1402-I1406</f>
        <v>0</v>
      </c>
      <c r="X1410" s="501" t="b">
        <f t="shared" si="137"/>
        <v>1</v>
      </c>
    </row>
    <row r="1411" s="148" customFormat="1" hidden="1" outlineLevel="2" spans="1:24">
      <c r="A1411" s="148" t="s">
        <v>1444</v>
      </c>
      <c r="B1411" s="911" t="s">
        <v>2825</v>
      </c>
      <c r="C1411" s="429" t="str">
        <f t="shared" si="139"/>
        <v>石嘴山市深阳蓝光市政工程有限公司</v>
      </c>
      <c r="D1411" s="891" t="s">
        <v>2808</v>
      </c>
      <c r="E1411" s="819" t="s">
        <v>1444</v>
      </c>
      <c r="F1411" s="917">
        <f>审定资负表!D32</f>
        <v>0</v>
      </c>
      <c r="G1411" s="893"/>
      <c r="H1411" s="893"/>
      <c r="I1411" s="917">
        <f>审定资负表!C32</f>
        <v>0</v>
      </c>
      <c r="X1411" s="501" t="b">
        <f t="shared" si="137"/>
        <v>1</v>
      </c>
    </row>
    <row r="1412" s="148" customFormat="1" hidden="1" outlineLevel="1" spans="1:24">
      <c r="A1412" s="148" t="s">
        <v>1394</v>
      </c>
      <c r="B1412" s="911" t="s">
        <v>2825</v>
      </c>
      <c r="C1412" s="429" t="str">
        <f t="shared" si="139"/>
        <v>石嘴山市深阳蓝光市政工程有限公司</v>
      </c>
      <c r="D1412" s="891" t="s">
        <v>2808</v>
      </c>
      <c r="E1412" s="821" t="s">
        <v>1394</v>
      </c>
      <c r="F1412" s="87">
        <f>ROUND(F1410-F1411,2)</f>
        <v>0</v>
      </c>
      <c r="G1412" s="141"/>
      <c r="H1412" s="141"/>
      <c r="I1412" s="87">
        <f>ROUND(I1410-I1411,2)</f>
        <v>0</v>
      </c>
      <c r="X1412" s="501" t="b">
        <f t="shared" si="137"/>
        <v>1</v>
      </c>
    </row>
    <row r="1413" s="148" customFormat="1" hidden="1" outlineLevel="2" spans="1:24">
      <c r="A1413" s="148" t="s">
        <v>2831</v>
      </c>
      <c r="B1413" s="911" t="s">
        <v>2825</v>
      </c>
      <c r="C1413" s="429" t="str">
        <f t="shared" si="139"/>
        <v>石嘴山市深阳蓝光市政工程有限公司</v>
      </c>
      <c r="D1413" s="868" t="s">
        <v>2831</v>
      </c>
      <c r="E1413" s="149" t="s">
        <v>2832</v>
      </c>
      <c r="F1413" s="149" t="s">
        <v>2833</v>
      </c>
      <c r="G1413" s="141"/>
      <c r="H1413" s="141"/>
      <c r="I1413" s="141"/>
      <c r="X1413" s="501" t="b">
        <f t="shared" si="137"/>
        <v>1</v>
      </c>
    </row>
    <row r="1414" s="148" customFormat="1" hidden="1" outlineLevel="2" spans="1:24">
      <c r="A1414" s="148" t="s">
        <v>2315</v>
      </c>
      <c r="B1414" s="911" t="s">
        <v>2825</v>
      </c>
      <c r="C1414" s="429" t="str">
        <f t="shared" si="139"/>
        <v>石嘴山市深阳蓝光市政工程有限公司</v>
      </c>
      <c r="D1414" s="868" t="s">
        <v>2831</v>
      </c>
      <c r="E1414" s="149" t="s">
        <v>2334</v>
      </c>
      <c r="F1414" s="502"/>
      <c r="G1414" s="719"/>
      <c r="H1414" s="719"/>
      <c r="I1414" s="719"/>
      <c r="X1414" s="501" t="b">
        <f t="shared" si="137"/>
        <v>1</v>
      </c>
    </row>
    <row r="1415" s="148" customFormat="1" hidden="1" outlineLevel="2" spans="2:24">
      <c r="B1415" s="911" t="s">
        <v>2825</v>
      </c>
      <c r="C1415" s="429" t="str">
        <f t="shared" si="139"/>
        <v>石嘴山市深阳蓝光市政工程有限公司</v>
      </c>
      <c r="D1415" s="868"/>
      <c r="E1415" s="149"/>
      <c r="F1415" s="149"/>
      <c r="G1415" s="141"/>
      <c r="H1415" s="141"/>
      <c r="I1415" s="141"/>
      <c r="X1415" s="501" t="b">
        <f t="shared" si="137"/>
        <v>1</v>
      </c>
    </row>
    <row r="1416" s="148" customFormat="1" hidden="1" outlineLevel="2" spans="1:24">
      <c r="A1416" s="148" t="s">
        <v>2315</v>
      </c>
      <c r="B1416" s="911" t="s">
        <v>2825</v>
      </c>
      <c r="C1416" s="429" t="str">
        <f t="shared" si="139"/>
        <v>石嘴山市深阳蓝光市政工程有限公司</v>
      </c>
      <c r="D1416" s="868"/>
      <c r="E1416" s="149" t="s">
        <v>2334</v>
      </c>
      <c r="F1416" s="502"/>
      <c r="G1416" s="719"/>
      <c r="H1416" s="719"/>
      <c r="I1416" s="719"/>
      <c r="X1416" s="501" t="b">
        <f t="shared" si="137"/>
        <v>1</v>
      </c>
    </row>
    <row r="1417" s="148" customFormat="1" hidden="1" outlineLevel="2" spans="2:24">
      <c r="B1417" s="911" t="s">
        <v>2825</v>
      </c>
      <c r="C1417" s="429" t="str">
        <f t="shared" si="139"/>
        <v>石嘴山市深阳蓝光市政工程有限公司</v>
      </c>
      <c r="D1417" s="868"/>
      <c r="E1417" s="485"/>
      <c r="F1417" s="141"/>
      <c r="G1417" s="141"/>
      <c r="H1417" s="141"/>
      <c r="I1417" s="141"/>
      <c r="X1417" s="501" t="b">
        <f t="shared" si="137"/>
        <v>1</v>
      </c>
    </row>
    <row r="1418" s="148" customFormat="1" spans="1:24">
      <c r="A1418" s="148" t="s">
        <v>1686</v>
      </c>
      <c r="B1418" s="919" t="s">
        <v>2834</v>
      </c>
      <c r="C1418" s="429" t="str">
        <f t="shared" si="139"/>
        <v>石嘴山市深阳蓝光市政工程有限公司</v>
      </c>
      <c r="D1418" s="891" t="s">
        <v>2835</v>
      </c>
      <c r="E1418" s="65" t="s">
        <v>2836</v>
      </c>
      <c r="F1418" s="869" t="s">
        <v>2837</v>
      </c>
      <c r="G1418" s="870"/>
      <c r="H1418" s="141"/>
      <c r="I1418" s="141"/>
      <c r="X1418" s="501" t="b">
        <f t="shared" si="137"/>
        <v>1</v>
      </c>
    </row>
    <row r="1419" s="148" customFormat="1" outlineLevel="2" spans="1:24">
      <c r="A1419" s="148" t="s">
        <v>2838</v>
      </c>
      <c r="B1419" s="919" t="s">
        <v>2834</v>
      </c>
      <c r="C1419" s="429" t="str">
        <f t="shared" si="139"/>
        <v>石嘴山市深阳蓝光市政工程有限公司</v>
      </c>
      <c r="D1419" s="920" t="s">
        <v>2835</v>
      </c>
      <c r="E1419" s="921" t="s">
        <v>2839</v>
      </c>
      <c r="F1419" s="870"/>
      <c r="G1419" s="922"/>
      <c r="H1419" s="922"/>
      <c r="I1419" s="922"/>
      <c r="X1419" s="501" t="b">
        <f t="shared" si="137"/>
        <v>0</v>
      </c>
    </row>
    <row r="1420" s="148" customFormat="1" ht="22.5" outlineLevel="2" spans="1:24">
      <c r="A1420" s="148" t="s">
        <v>60</v>
      </c>
      <c r="B1420" s="919" t="s">
        <v>2834</v>
      </c>
      <c r="C1420" s="429" t="str">
        <f t="shared" si="139"/>
        <v>石嘴山市深阳蓝光市政工程有限公司</v>
      </c>
      <c r="D1420" s="891" t="s">
        <v>2840</v>
      </c>
      <c r="E1420" s="923" t="s">
        <v>60</v>
      </c>
      <c r="F1420" s="923" t="s">
        <v>1579</v>
      </c>
      <c r="G1420" s="923" t="s">
        <v>671</v>
      </c>
      <c r="H1420" s="923" t="s">
        <v>672</v>
      </c>
      <c r="I1420" s="923" t="s">
        <v>315</v>
      </c>
      <c r="J1420" s="872" t="s">
        <v>2711</v>
      </c>
      <c r="K1420" s="872" t="s">
        <v>2712</v>
      </c>
      <c r="L1420" s="884" t="s">
        <v>2740</v>
      </c>
      <c r="M1420" s="884" t="s">
        <v>2741</v>
      </c>
      <c r="N1420" s="884" t="s">
        <v>2742</v>
      </c>
      <c r="O1420" s="884" t="s">
        <v>2743</v>
      </c>
      <c r="X1420" s="501" t="b">
        <f t="shared" si="137"/>
        <v>1</v>
      </c>
    </row>
    <row r="1421" s="148" customFormat="1" outlineLevel="2" spans="1:24">
      <c r="A1421" s="148" t="s">
        <v>714</v>
      </c>
      <c r="B1421" s="919" t="s">
        <v>2834</v>
      </c>
      <c r="C1421" s="429" t="str">
        <f t="shared" si="139"/>
        <v>石嘴山市深阳蓝光市政工程有限公司</v>
      </c>
      <c r="D1421" s="920" t="s">
        <v>2840</v>
      </c>
      <c r="E1421" s="924" t="s">
        <v>714</v>
      </c>
      <c r="F1421" s="925">
        <f>ROUND(SUM(F1422:F1435),2)</f>
        <v>0</v>
      </c>
      <c r="G1421" s="925">
        <f>ROUND(SUM(G1422:G1435),2)</f>
        <v>0</v>
      </c>
      <c r="H1421" s="925">
        <f>ROUND(SUM(H1422:H1435),2)</f>
        <v>0</v>
      </c>
      <c r="I1421" s="925">
        <f>ROUND(SUM(I1422:I1435),2)</f>
        <v>0</v>
      </c>
      <c r="J1421" s="925">
        <f t="shared" ref="J1421:O1421" si="140">SUM(J1422:J1435)</f>
        <v>0</v>
      </c>
      <c r="K1421" s="925">
        <f t="shared" si="140"/>
        <v>0</v>
      </c>
      <c r="L1421" s="925">
        <f t="shared" si="140"/>
        <v>0</v>
      </c>
      <c r="M1421" s="925">
        <f t="shared" si="140"/>
        <v>0</v>
      </c>
      <c r="N1421" s="925">
        <f t="shared" si="140"/>
        <v>0</v>
      </c>
      <c r="O1421" s="925">
        <f t="shared" si="140"/>
        <v>0</v>
      </c>
      <c r="X1421" s="501" t="b">
        <f t="shared" si="137"/>
        <v>1</v>
      </c>
    </row>
    <row r="1422" s="148" customFormat="1" outlineLevel="2" spans="1:24">
      <c r="A1422" s="148" t="s">
        <v>2841</v>
      </c>
      <c r="B1422" s="919" t="s">
        <v>2834</v>
      </c>
      <c r="C1422" s="429" t="str">
        <f t="shared" si="139"/>
        <v>石嘴山市深阳蓝光市政工程有限公司</v>
      </c>
      <c r="D1422" s="891" t="s">
        <v>2840</v>
      </c>
      <c r="E1422" s="926" t="s">
        <v>2842</v>
      </c>
      <c r="F1422" s="927">
        <f>$F$3853</f>
        <v>0</v>
      </c>
      <c r="G1422" s="927">
        <f>$F$3854</f>
        <v>0</v>
      </c>
      <c r="H1422" s="927">
        <f>$F$3860</f>
        <v>0</v>
      </c>
      <c r="I1422" s="925">
        <f>ROUND(F1422+G1422-H1422,2)</f>
        <v>0</v>
      </c>
      <c r="J1422" s="135">
        <f>SUM(IF(L1422&gt;0,L1422,0),IF(M1422&gt;0,M1422,0),IF(N1422&gt;0,N1422,0),IF(O1422&gt;0,O1422,0))</f>
        <v>0</v>
      </c>
      <c r="K1422" s="135">
        <f>SUM(IF(L1422&gt;0,0,-L1422),IF(M1422&gt;0,0,-M1422),IF(N1422&gt;0,0,-N1422),IF(O1422&gt;0,0,-O1422))</f>
        <v>0</v>
      </c>
      <c r="L1422" s="908"/>
      <c r="M1422" s="908"/>
      <c r="N1422" s="908"/>
      <c r="O1422" s="908"/>
      <c r="X1422" s="501" t="b">
        <f t="shared" si="137"/>
        <v>0</v>
      </c>
    </row>
    <row r="1423" s="148" customFormat="1" outlineLevel="2" spans="1:24">
      <c r="A1423" s="148" t="s">
        <v>2843</v>
      </c>
      <c r="B1423" s="919" t="s">
        <v>2834</v>
      </c>
      <c r="C1423" s="429" t="str">
        <f t="shared" si="139"/>
        <v>石嘴山市深阳蓝光市政工程有限公司</v>
      </c>
      <c r="D1423" s="920" t="s">
        <v>2840</v>
      </c>
      <c r="E1423" s="926" t="s">
        <v>2844</v>
      </c>
      <c r="F1423" s="927">
        <f>$H$3853</f>
        <v>0</v>
      </c>
      <c r="G1423" s="927">
        <f>$H$3854</f>
        <v>0</v>
      </c>
      <c r="H1423" s="927">
        <f>$H$3860</f>
        <v>0</v>
      </c>
      <c r="I1423" s="925">
        <f t="shared" ref="I1423:I1435" si="141">ROUND(F1423+G1423-H1423,2)</f>
        <v>0</v>
      </c>
      <c r="J1423" s="135">
        <f t="shared" ref="J1423:J1465" si="142">SUM(IF(L1423&gt;0,L1423,0),IF(M1423&gt;0,M1423,0),IF(N1423&gt;0,N1423,0),IF(O1423&gt;0,O1423,0))</f>
        <v>0</v>
      </c>
      <c r="K1423" s="135">
        <f t="shared" ref="K1423:K1465" si="143">SUM(IF(L1423&gt;0,0,-L1423),IF(M1423&gt;0,0,-M1423),IF(N1423&gt;0,0,-N1423),IF(O1423&gt;0,0,-O1423))</f>
        <v>0</v>
      </c>
      <c r="L1423" s="908"/>
      <c r="M1423" s="908"/>
      <c r="N1423" s="908"/>
      <c r="O1423" s="908"/>
      <c r="X1423" s="501" t="b">
        <f t="shared" si="137"/>
        <v>0</v>
      </c>
    </row>
    <row r="1424" s="148" customFormat="1" outlineLevel="2" spans="1:24">
      <c r="A1424" s="148" t="s">
        <v>2845</v>
      </c>
      <c r="B1424" s="919" t="s">
        <v>2834</v>
      </c>
      <c r="C1424" s="429" t="str">
        <f t="shared" si="139"/>
        <v>石嘴山市深阳蓝光市政工程有限公司</v>
      </c>
      <c r="D1424" s="891" t="s">
        <v>2840</v>
      </c>
      <c r="E1424" s="926" t="s">
        <v>2846</v>
      </c>
      <c r="F1424" s="927">
        <f>$G$3853</f>
        <v>0</v>
      </c>
      <c r="G1424" s="927">
        <f>$G$3854</f>
        <v>0</v>
      </c>
      <c r="H1424" s="927">
        <f>$G$3860</f>
        <v>0</v>
      </c>
      <c r="I1424" s="925">
        <f t="shared" si="141"/>
        <v>0</v>
      </c>
      <c r="J1424" s="135">
        <f t="shared" si="142"/>
        <v>0</v>
      </c>
      <c r="K1424" s="135">
        <f t="shared" si="143"/>
        <v>0</v>
      </c>
      <c r="L1424" s="908"/>
      <c r="M1424" s="908"/>
      <c r="N1424" s="908"/>
      <c r="O1424" s="908"/>
      <c r="X1424" s="501" t="b">
        <f t="shared" si="137"/>
        <v>0</v>
      </c>
    </row>
    <row r="1425" s="148" customFormat="1" outlineLevel="2" collapsed="1" spans="1:24">
      <c r="A1425" s="148" t="s">
        <v>2847</v>
      </c>
      <c r="B1425" s="919" t="s">
        <v>2834</v>
      </c>
      <c r="C1425" s="429" t="str">
        <f t="shared" si="139"/>
        <v>石嘴山市深阳蓝光市政工程有限公司</v>
      </c>
      <c r="D1425" s="920" t="s">
        <v>2840</v>
      </c>
      <c r="E1425" s="926" t="s">
        <v>2848</v>
      </c>
      <c r="F1425" s="927">
        <f>$I$3853</f>
        <v>0</v>
      </c>
      <c r="G1425" s="927">
        <f>$I$3854</f>
        <v>0</v>
      </c>
      <c r="H1425" s="927">
        <f>$I$3860</f>
        <v>0</v>
      </c>
      <c r="I1425" s="925">
        <f t="shared" si="141"/>
        <v>0</v>
      </c>
      <c r="J1425" s="135">
        <f t="shared" si="142"/>
        <v>0</v>
      </c>
      <c r="K1425" s="135">
        <f t="shared" si="143"/>
        <v>0</v>
      </c>
      <c r="L1425" s="908"/>
      <c r="M1425" s="908"/>
      <c r="N1425" s="908"/>
      <c r="O1425" s="908"/>
      <c r="X1425" s="501" t="b">
        <f t="shared" si="137"/>
        <v>0</v>
      </c>
    </row>
    <row r="1426" s="148" customFormat="1" hidden="1" outlineLevel="3" spans="2:24">
      <c r="B1426" s="919"/>
      <c r="C1426" s="479"/>
      <c r="D1426" s="920"/>
      <c r="E1426" s="928"/>
      <c r="F1426" s="929">
        <f>报表附注合并期初用!E977</f>
        <v>0</v>
      </c>
      <c r="G1426" s="731"/>
      <c r="H1426" s="731"/>
      <c r="I1426" s="925">
        <f t="shared" si="141"/>
        <v>0</v>
      </c>
      <c r="J1426" s="135">
        <f t="shared" si="142"/>
        <v>0</v>
      </c>
      <c r="K1426" s="135">
        <f t="shared" si="143"/>
        <v>0</v>
      </c>
      <c r="L1426" s="908"/>
      <c r="M1426" s="908"/>
      <c r="N1426" s="908"/>
      <c r="O1426" s="908"/>
      <c r="X1426" s="420"/>
    </row>
    <row r="1427" s="148" customFormat="1" hidden="1" outlineLevel="3" spans="2:24">
      <c r="B1427" s="919"/>
      <c r="C1427" s="479"/>
      <c r="D1427" s="920"/>
      <c r="E1427" s="930"/>
      <c r="F1427" s="929">
        <f>报表附注合并期初用!E978</f>
        <v>0</v>
      </c>
      <c r="G1427" s="731"/>
      <c r="H1427" s="731"/>
      <c r="I1427" s="925">
        <f t="shared" si="141"/>
        <v>0</v>
      </c>
      <c r="J1427" s="135">
        <f t="shared" si="142"/>
        <v>0</v>
      </c>
      <c r="K1427" s="135">
        <f t="shared" si="143"/>
        <v>0</v>
      </c>
      <c r="L1427" s="908"/>
      <c r="M1427" s="908"/>
      <c r="N1427" s="908"/>
      <c r="O1427" s="908"/>
      <c r="X1427" s="420"/>
    </row>
    <row r="1428" s="148" customFormat="1" hidden="1" outlineLevel="3" spans="2:24">
      <c r="B1428" s="919"/>
      <c r="C1428" s="479"/>
      <c r="D1428" s="920"/>
      <c r="E1428" s="930"/>
      <c r="F1428" s="929">
        <f>报表附注合并期初用!E979</f>
        <v>0</v>
      </c>
      <c r="G1428" s="731"/>
      <c r="H1428" s="731"/>
      <c r="I1428" s="925">
        <f t="shared" si="141"/>
        <v>0</v>
      </c>
      <c r="J1428" s="135">
        <f t="shared" si="142"/>
        <v>0</v>
      </c>
      <c r="K1428" s="135">
        <f t="shared" si="143"/>
        <v>0</v>
      </c>
      <c r="L1428" s="908"/>
      <c r="M1428" s="908"/>
      <c r="N1428" s="908"/>
      <c r="O1428" s="908"/>
      <c r="X1428" s="420"/>
    </row>
    <row r="1429" s="148" customFormat="1" hidden="1" outlineLevel="3" spans="2:24">
      <c r="B1429" s="919"/>
      <c r="C1429" s="479"/>
      <c r="D1429" s="920"/>
      <c r="E1429" s="930"/>
      <c r="F1429" s="929">
        <f>报表附注合并期初用!E980</f>
        <v>0</v>
      </c>
      <c r="G1429" s="731"/>
      <c r="H1429" s="731"/>
      <c r="I1429" s="925">
        <f t="shared" si="141"/>
        <v>0</v>
      </c>
      <c r="J1429" s="135">
        <f t="shared" si="142"/>
        <v>0</v>
      </c>
      <c r="K1429" s="135">
        <f t="shared" si="143"/>
        <v>0</v>
      </c>
      <c r="L1429" s="908"/>
      <c r="M1429" s="908"/>
      <c r="N1429" s="908"/>
      <c r="O1429" s="908"/>
      <c r="X1429" s="420"/>
    </row>
    <row r="1430" s="148" customFormat="1" hidden="1" outlineLevel="3" spans="2:24">
      <c r="B1430" s="919"/>
      <c r="C1430" s="479"/>
      <c r="D1430" s="920"/>
      <c r="E1430" s="930"/>
      <c r="F1430" s="929">
        <f>报表附注合并期初用!E981</f>
        <v>0</v>
      </c>
      <c r="G1430" s="731"/>
      <c r="H1430" s="731"/>
      <c r="I1430" s="925">
        <f t="shared" si="141"/>
        <v>0</v>
      </c>
      <c r="J1430" s="135">
        <f t="shared" si="142"/>
        <v>0</v>
      </c>
      <c r="K1430" s="135">
        <f t="shared" si="143"/>
        <v>0</v>
      </c>
      <c r="L1430" s="908"/>
      <c r="M1430" s="908"/>
      <c r="N1430" s="908"/>
      <c r="O1430" s="908"/>
      <c r="X1430" s="420"/>
    </row>
    <row r="1431" s="148" customFormat="1" hidden="1" outlineLevel="3" spans="1:24">
      <c r="A1431" s="148" t="s">
        <v>1691</v>
      </c>
      <c r="B1431" s="919" t="s">
        <v>2834</v>
      </c>
      <c r="C1431" s="429" t="str">
        <f t="shared" ref="C1431:C1440" si="144">$G$1</f>
        <v>石嘴山市深阳蓝光市政工程有限公司</v>
      </c>
      <c r="D1431" s="891" t="s">
        <v>2840</v>
      </c>
      <c r="E1431" s="930"/>
      <c r="F1431" s="929">
        <f>报表附注合并期初用!E982</f>
        <v>0</v>
      </c>
      <c r="G1431" s="731"/>
      <c r="H1431" s="731"/>
      <c r="I1431" s="925">
        <f t="shared" si="141"/>
        <v>0</v>
      </c>
      <c r="J1431" s="135">
        <f t="shared" si="142"/>
        <v>0</v>
      </c>
      <c r="K1431" s="135">
        <f t="shared" si="143"/>
        <v>0</v>
      </c>
      <c r="L1431" s="908"/>
      <c r="M1431" s="908"/>
      <c r="N1431" s="908"/>
      <c r="O1431" s="908"/>
      <c r="X1431" s="501" t="b">
        <f t="shared" si="137"/>
        <v>0</v>
      </c>
    </row>
    <row r="1432" s="148" customFormat="1" hidden="1" outlineLevel="3" spans="1:24">
      <c r="A1432" s="148" t="s">
        <v>1692</v>
      </c>
      <c r="B1432" s="919" t="s">
        <v>2834</v>
      </c>
      <c r="C1432" s="429" t="str">
        <f t="shared" si="144"/>
        <v>石嘴山市深阳蓝光市政工程有限公司</v>
      </c>
      <c r="D1432" s="920" t="s">
        <v>2840</v>
      </c>
      <c r="E1432" s="930"/>
      <c r="F1432" s="929">
        <f>报表附注合并期初用!E983</f>
        <v>0</v>
      </c>
      <c r="G1432" s="731"/>
      <c r="H1432" s="731"/>
      <c r="I1432" s="925">
        <f t="shared" si="141"/>
        <v>0</v>
      </c>
      <c r="J1432" s="135">
        <f t="shared" si="142"/>
        <v>0</v>
      </c>
      <c r="K1432" s="135">
        <f t="shared" si="143"/>
        <v>0</v>
      </c>
      <c r="L1432" s="908"/>
      <c r="M1432" s="908"/>
      <c r="N1432" s="908"/>
      <c r="O1432" s="908"/>
      <c r="X1432" s="501" t="b">
        <f t="shared" si="137"/>
        <v>0</v>
      </c>
    </row>
    <row r="1433" s="148" customFormat="1" hidden="1" outlineLevel="3" spans="1:24">
      <c r="A1433" s="148" t="s">
        <v>1693</v>
      </c>
      <c r="B1433" s="919" t="s">
        <v>2834</v>
      </c>
      <c r="C1433" s="429" t="str">
        <f t="shared" si="144"/>
        <v>石嘴山市深阳蓝光市政工程有限公司</v>
      </c>
      <c r="D1433" s="891" t="s">
        <v>2840</v>
      </c>
      <c r="E1433" s="930"/>
      <c r="F1433" s="929">
        <f>报表附注合并期初用!E984</f>
        <v>0</v>
      </c>
      <c r="G1433" s="731"/>
      <c r="H1433" s="731"/>
      <c r="I1433" s="925">
        <f t="shared" si="141"/>
        <v>0</v>
      </c>
      <c r="J1433" s="135">
        <f t="shared" si="142"/>
        <v>0</v>
      </c>
      <c r="K1433" s="135">
        <f t="shared" si="143"/>
        <v>0</v>
      </c>
      <c r="L1433" s="908"/>
      <c r="M1433" s="908"/>
      <c r="N1433" s="908"/>
      <c r="O1433" s="908"/>
      <c r="X1433" s="501" t="b">
        <f t="shared" si="137"/>
        <v>0</v>
      </c>
    </row>
    <row r="1434" s="148" customFormat="1" hidden="1" outlineLevel="3" spans="1:24">
      <c r="A1434" s="148" t="s">
        <v>1694</v>
      </c>
      <c r="B1434" s="919" t="s">
        <v>2834</v>
      </c>
      <c r="C1434" s="429" t="str">
        <f t="shared" si="144"/>
        <v>石嘴山市深阳蓝光市政工程有限公司</v>
      </c>
      <c r="D1434" s="920" t="s">
        <v>2840</v>
      </c>
      <c r="E1434" s="930"/>
      <c r="F1434" s="929">
        <f>报表附注合并期初用!E985</f>
        <v>0</v>
      </c>
      <c r="G1434" s="731"/>
      <c r="H1434" s="731"/>
      <c r="I1434" s="925">
        <f t="shared" si="141"/>
        <v>0</v>
      </c>
      <c r="J1434" s="135">
        <f t="shared" si="142"/>
        <v>0</v>
      </c>
      <c r="K1434" s="135">
        <f t="shared" si="143"/>
        <v>0</v>
      </c>
      <c r="L1434" s="908"/>
      <c r="M1434" s="908"/>
      <c r="N1434" s="908"/>
      <c r="O1434" s="908"/>
      <c r="X1434" s="501" t="b">
        <f t="shared" si="137"/>
        <v>0</v>
      </c>
    </row>
    <row r="1435" s="148" customFormat="1" hidden="1" outlineLevel="3" spans="1:24">
      <c r="A1435" s="148" t="s">
        <v>1695</v>
      </c>
      <c r="B1435" s="919" t="s">
        <v>2834</v>
      </c>
      <c r="C1435" s="429" t="str">
        <f t="shared" si="144"/>
        <v>石嘴山市深阳蓝光市政工程有限公司</v>
      </c>
      <c r="D1435" s="891" t="s">
        <v>2840</v>
      </c>
      <c r="E1435" s="930"/>
      <c r="F1435" s="929">
        <f>报表附注合并期初用!E986</f>
        <v>0</v>
      </c>
      <c r="G1435" s="731"/>
      <c r="H1435" s="731"/>
      <c r="I1435" s="925">
        <f t="shared" si="141"/>
        <v>0</v>
      </c>
      <c r="J1435" s="135">
        <f t="shared" si="142"/>
        <v>0</v>
      </c>
      <c r="K1435" s="135">
        <f t="shared" si="143"/>
        <v>0</v>
      </c>
      <c r="L1435" s="908"/>
      <c r="M1435" s="908"/>
      <c r="N1435" s="908"/>
      <c r="O1435" s="908"/>
      <c r="X1435" s="501" t="b">
        <f t="shared" si="137"/>
        <v>0</v>
      </c>
    </row>
    <row r="1436" s="148" customFormat="1" outlineLevel="2" spans="1:24">
      <c r="A1436" s="148" t="s">
        <v>904</v>
      </c>
      <c r="B1436" s="919" t="s">
        <v>2834</v>
      </c>
      <c r="C1436" s="429" t="str">
        <f t="shared" si="144"/>
        <v>石嘴山市深阳蓝光市政工程有限公司</v>
      </c>
      <c r="D1436" s="920" t="s">
        <v>2840</v>
      </c>
      <c r="E1436" s="931" t="s">
        <v>904</v>
      </c>
      <c r="F1436" s="929">
        <f>ROUND(SUM(F1437:F1450),2)</f>
        <v>0</v>
      </c>
      <c r="G1436" s="929">
        <f>ROUND(SUM(G1437:G1450),2)</f>
        <v>0</v>
      </c>
      <c r="H1436" s="929">
        <f>ROUND(SUM(H1437:H1450),2)</f>
        <v>0</v>
      </c>
      <c r="I1436" s="929">
        <f>ROUND(SUM(I1437:I1450),2)</f>
        <v>0</v>
      </c>
      <c r="J1436" s="925">
        <f t="shared" ref="J1436:O1436" si="145">SUM(J1437:J1450)</f>
        <v>0</v>
      </c>
      <c r="K1436" s="925">
        <f t="shared" si="145"/>
        <v>0</v>
      </c>
      <c r="L1436" s="925">
        <f t="shared" si="145"/>
        <v>0</v>
      </c>
      <c r="M1436" s="925">
        <f t="shared" si="145"/>
        <v>0</v>
      </c>
      <c r="N1436" s="925">
        <f t="shared" si="145"/>
        <v>0</v>
      </c>
      <c r="O1436" s="925">
        <f t="shared" si="145"/>
        <v>0</v>
      </c>
      <c r="X1436" s="501" t="b">
        <f t="shared" si="137"/>
        <v>1</v>
      </c>
    </row>
    <row r="1437" s="148" customFormat="1" outlineLevel="2" spans="1:24">
      <c r="A1437" s="148" t="s">
        <v>2841</v>
      </c>
      <c r="B1437" s="919" t="s">
        <v>2834</v>
      </c>
      <c r="C1437" s="429" t="str">
        <f t="shared" si="144"/>
        <v>石嘴山市深阳蓝光市政工程有限公司</v>
      </c>
      <c r="D1437" s="891" t="s">
        <v>2840</v>
      </c>
      <c r="E1437" s="932" t="str">
        <f>E1422</f>
        <v>1、土地使用权</v>
      </c>
      <c r="F1437" s="927">
        <f>$F$3867</f>
        <v>0</v>
      </c>
      <c r="G1437" s="927">
        <f>$F$3868</f>
        <v>0</v>
      </c>
      <c r="H1437" s="927">
        <f>$F$3873</f>
        <v>0</v>
      </c>
      <c r="I1437" s="925">
        <f t="shared" ref="I1437:I1450" si="146">ROUND(F1437+G1437-H1437,2)</f>
        <v>0</v>
      </c>
      <c r="J1437" s="135">
        <f t="shared" si="142"/>
        <v>0</v>
      </c>
      <c r="K1437" s="135">
        <f t="shared" si="143"/>
        <v>0</v>
      </c>
      <c r="L1437" s="908"/>
      <c r="M1437" s="908"/>
      <c r="N1437" s="908"/>
      <c r="O1437" s="908"/>
      <c r="X1437" s="501" t="b">
        <f t="shared" si="137"/>
        <v>0</v>
      </c>
    </row>
    <row r="1438" s="148" customFormat="1" outlineLevel="2" spans="1:24">
      <c r="A1438" s="148" t="s">
        <v>2843</v>
      </c>
      <c r="B1438" s="919" t="s">
        <v>2834</v>
      </c>
      <c r="C1438" s="429" t="str">
        <f t="shared" si="144"/>
        <v>石嘴山市深阳蓝光市政工程有限公司</v>
      </c>
      <c r="D1438" s="920" t="s">
        <v>2840</v>
      </c>
      <c r="E1438" s="932" t="str">
        <f>E1423</f>
        <v>2、软件</v>
      </c>
      <c r="F1438" s="927">
        <f>$H$3867</f>
        <v>0</v>
      </c>
      <c r="G1438" s="927">
        <f>$H$3868</f>
        <v>0</v>
      </c>
      <c r="H1438" s="927">
        <f>$H$3873</f>
        <v>0</v>
      </c>
      <c r="I1438" s="925">
        <f t="shared" si="146"/>
        <v>0</v>
      </c>
      <c r="J1438" s="135">
        <f t="shared" si="142"/>
        <v>0</v>
      </c>
      <c r="K1438" s="135">
        <f t="shared" si="143"/>
        <v>0</v>
      </c>
      <c r="L1438" s="908"/>
      <c r="M1438" s="908"/>
      <c r="N1438" s="908"/>
      <c r="O1438" s="908"/>
      <c r="X1438" s="501" t="b">
        <f t="shared" si="137"/>
        <v>0</v>
      </c>
    </row>
    <row r="1439" s="148" customFormat="1" outlineLevel="2" spans="1:24">
      <c r="A1439" s="148" t="s">
        <v>2845</v>
      </c>
      <c r="B1439" s="919" t="s">
        <v>2834</v>
      </c>
      <c r="C1439" s="429" t="str">
        <f t="shared" si="144"/>
        <v>石嘴山市深阳蓝光市政工程有限公司</v>
      </c>
      <c r="D1439" s="891" t="s">
        <v>2840</v>
      </c>
      <c r="E1439" s="932" t="str">
        <f>E1424</f>
        <v>3、专利权</v>
      </c>
      <c r="F1439" s="927">
        <f>$G$3867</f>
        <v>0</v>
      </c>
      <c r="G1439" s="927">
        <f>$G$3868</f>
        <v>0</v>
      </c>
      <c r="H1439" s="927">
        <f>$G$3873</f>
        <v>0</v>
      </c>
      <c r="I1439" s="925">
        <f t="shared" si="146"/>
        <v>0</v>
      </c>
      <c r="J1439" s="135">
        <f t="shared" si="142"/>
        <v>0</v>
      </c>
      <c r="K1439" s="135">
        <f t="shared" si="143"/>
        <v>0</v>
      </c>
      <c r="L1439" s="908"/>
      <c r="M1439" s="908"/>
      <c r="N1439" s="908"/>
      <c r="O1439" s="908"/>
      <c r="X1439" s="501" t="b">
        <f t="shared" ref="X1439:X1517" si="147">EXACT(A1439,E1439)</f>
        <v>0</v>
      </c>
    </row>
    <row r="1440" s="148" customFormat="1" outlineLevel="2" collapsed="1" spans="1:24">
      <c r="A1440" s="148" t="s">
        <v>2847</v>
      </c>
      <c r="B1440" s="919" t="s">
        <v>2834</v>
      </c>
      <c r="C1440" s="429" t="str">
        <f t="shared" si="144"/>
        <v>石嘴山市深阳蓝光市政工程有限公司</v>
      </c>
      <c r="D1440" s="920" t="s">
        <v>2840</v>
      </c>
      <c r="E1440" s="762" t="str">
        <f>E1425</f>
        <v>4、其它</v>
      </c>
      <c r="F1440" s="927">
        <f>$I$3867</f>
        <v>0</v>
      </c>
      <c r="G1440" s="927">
        <f>$I$3868</f>
        <v>0</v>
      </c>
      <c r="H1440" s="927">
        <f>$I$3873</f>
        <v>0</v>
      </c>
      <c r="I1440" s="925">
        <f t="shared" si="146"/>
        <v>0</v>
      </c>
      <c r="J1440" s="135">
        <f t="shared" si="142"/>
        <v>0</v>
      </c>
      <c r="K1440" s="135">
        <f t="shared" si="143"/>
        <v>0</v>
      </c>
      <c r="L1440" s="908"/>
      <c r="M1440" s="908"/>
      <c r="N1440" s="908"/>
      <c r="O1440" s="908"/>
      <c r="X1440" s="501" t="b">
        <f t="shared" si="147"/>
        <v>0</v>
      </c>
    </row>
    <row r="1441" s="148" customFormat="1" hidden="1" outlineLevel="3" spans="2:24">
      <c r="B1441" s="919"/>
      <c r="C1441" s="479"/>
      <c r="D1441" s="920"/>
      <c r="E1441" s="762">
        <f t="shared" ref="E1441:E1450" si="148">E1426</f>
        <v>0</v>
      </c>
      <c r="F1441" s="929">
        <f>报表附注合并期初用!E992</f>
        <v>0</v>
      </c>
      <c r="G1441" s="731"/>
      <c r="H1441" s="731"/>
      <c r="I1441" s="925">
        <f t="shared" si="146"/>
        <v>0</v>
      </c>
      <c r="J1441" s="135">
        <f t="shared" si="142"/>
        <v>0</v>
      </c>
      <c r="K1441" s="135">
        <f t="shared" si="143"/>
        <v>0</v>
      </c>
      <c r="L1441" s="908"/>
      <c r="M1441" s="908"/>
      <c r="N1441" s="908"/>
      <c r="O1441" s="908"/>
      <c r="X1441" s="420"/>
    </row>
    <row r="1442" s="148" customFormat="1" hidden="1" outlineLevel="3" spans="2:24">
      <c r="B1442" s="919"/>
      <c r="C1442" s="479"/>
      <c r="D1442" s="920"/>
      <c r="E1442" s="762">
        <f t="shared" si="148"/>
        <v>0</v>
      </c>
      <c r="F1442" s="929">
        <f>报表附注合并期初用!E993</f>
        <v>0</v>
      </c>
      <c r="G1442" s="731"/>
      <c r="H1442" s="731"/>
      <c r="I1442" s="925">
        <f t="shared" si="146"/>
        <v>0</v>
      </c>
      <c r="J1442" s="135">
        <f t="shared" si="142"/>
        <v>0</v>
      </c>
      <c r="K1442" s="135">
        <f t="shared" si="143"/>
        <v>0</v>
      </c>
      <c r="L1442" s="908"/>
      <c r="M1442" s="908"/>
      <c r="N1442" s="908"/>
      <c r="O1442" s="908"/>
      <c r="X1442" s="420"/>
    </row>
    <row r="1443" s="148" customFormat="1" hidden="1" outlineLevel="3" spans="2:24">
      <c r="B1443" s="919"/>
      <c r="C1443" s="479"/>
      <c r="D1443" s="920"/>
      <c r="E1443" s="762">
        <f t="shared" si="148"/>
        <v>0</v>
      </c>
      <c r="F1443" s="929">
        <f>报表附注合并期初用!E994</f>
        <v>0</v>
      </c>
      <c r="G1443" s="731"/>
      <c r="H1443" s="731"/>
      <c r="I1443" s="925">
        <f t="shared" si="146"/>
        <v>0</v>
      </c>
      <c r="J1443" s="135">
        <f t="shared" si="142"/>
        <v>0</v>
      </c>
      <c r="K1443" s="135">
        <f t="shared" si="143"/>
        <v>0</v>
      </c>
      <c r="L1443" s="908"/>
      <c r="M1443" s="908"/>
      <c r="N1443" s="908"/>
      <c r="O1443" s="908"/>
      <c r="X1443" s="420"/>
    </row>
    <row r="1444" s="148" customFormat="1" hidden="1" outlineLevel="3" spans="2:24">
      <c r="B1444" s="919"/>
      <c r="C1444" s="479"/>
      <c r="D1444" s="920"/>
      <c r="E1444" s="762">
        <f t="shared" si="148"/>
        <v>0</v>
      </c>
      <c r="F1444" s="929">
        <f>报表附注合并期初用!E995</f>
        <v>0</v>
      </c>
      <c r="G1444" s="731"/>
      <c r="H1444" s="731"/>
      <c r="I1444" s="925">
        <f t="shared" si="146"/>
        <v>0</v>
      </c>
      <c r="J1444" s="135">
        <f t="shared" si="142"/>
        <v>0</v>
      </c>
      <c r="K1444" s="135">
        <f t="shared" si="143"/>
        <v>0</v>
      </c>
      <c r="L1444" s="908"/>
      <c r="M1444" s="908"/>
      <c r="N1444" s="908"/>
      <c r="O1444" s="908"/>
      <c r="X1444" s="420"/>
    </row>
    <row r="1445" s="148" customFormat="1" hidden="1" outlineLevel="3" spans="2:24">
      <c r="B1445" s="919"/>
      <c r="C1445" s="479"/>
      <c r="D1445" s="920"/>
      <c r="E1445" s="762">
        <f t="shared" si="148"/>
        <v>0</v>
      </c>
      <c r="F1445" s="929">
        <f>报表附注合并期初用!E996</f>
        <v>0</v>
      </c>
      <c r="G1445" s="731"/>
      <c r="H1445" s="731"/>
      <c r="I1445" s="925">
        <f t="shared" si="146"/>
        <v>0</v>
      </c>
      <c r="J1445" s="135">
        <f t="shared" si="142"/>
        <v>0</v>
      </c>
      <c r="K1445" s="135">
        <f t="shared" si="143"/>
        <v>0</v>
      </c>
      <c r="L1445" s="908"/>
      <c r="M1445" s="908"/>
      <c r="N1445" s="908"/>
      <c r="O1445" s="908"/>
      <c r="X1445" s="420"/>
    </row>
    <row r="1446" s="148" customFormat="1" hidden="1" outlineLevel="3" spans="1:24">
      <c r="A1446" s="148" t="s">
        <v>1691</v>
      </c>
      <c r="B1446" s="919" t="s">
        <v>2834</v>
      </c>
      <c r="C1446" s="429" t="str">
        <f t="shared" ref="C1446:C1455" si="149">$G$1</f>
        <v>石嘴山市深阳蓝光市政工程有限公司</v>
      </c>
      <c r="D1446" s="891" t="s">
        <v>2840</v>
      </c>
      <c r="E1446" s="762">
        <f t="shared" si="148"/>
        <v>0</v>
      </c>
      <c r="F1446" s="929">
        <f>报表附注合并期初用!E997</f>
        <v>0</v>
      </c>
      <c r="G1446" s="731"/>
      <c r="H1446" s="731"/>
      <c r="I1446" s="925">
        <f t="shared" si="146"/>
        <v>0</v>
      </c>
      <c r="J1446" s="135">
        <f t="shared" si="142"/>
        <v>0</v>
      </c>
      <c r="K1446" s="135">
        <f t="shared" si="143"/>
        <v>0</v>
      </c>
      <c r="L1446" s="908"/>
      <c r="M1446" s="908"/>
      <c r="N1446" s="908"/>
      <c r="O1446" s="908"/>
      <c r="X1446" s="501" t="b">
        <f t="shared" si="147"/>
        <v>0</v>
      </c>
    </row>
    <row r="1447" s="148" customFormat="1" hidden="1" outlineLevel="3" spans="1:24">
      <c r="A1447" s="148" t="s">
        <v>1692</v>
      </c>
      <c r="B1447" s="919" t="s">
        <v>2834</v>
      </c>
      <c r="C1447" s="429" t="str">
        <f t="shared" si="149"/>
        <v>石嘴山市深阳蓝光市政工程有限公司</v>
      </c>
      <c r="D1447" s="920" t="s">
        <v>2840</v>
      </c>
      <c r="E1447" s="762">
        <f t="shared" si="148"/>
        <v>0</v>
      </c>
      <c r="F1447" s="929">
        <f>报表附注合并期初用!E998</f>
        <v>0</v>
      </c>
      <c r="G1447" s="731"/>
      <c r="H1447" s="731"/>
      <c r="I1447" s="925">
        <f t="shared" si="146"/>
        <v>0</v>
      </c>
      <c r="J1447" s="135">
        <f t="shared" si="142"/>
        <v>0</v>
      </c>
      <c r="K1447" s="135">
        <f t="shared" si="143"/>
        <v>0</v>
      </c>
      <c r="L1447" s="908"/>
      <c r="M1447" s="908"/>
      <c r="N1447" s="908"/>
      <c r="O1447" s="908"/>
      <c r="X1447" s="501" t="b">
        <f t="shared" si="147"/>
        <v>0</v>
      </c>
    </row>
    <row r="1448" s="148" customFormat="1" hidden="1" outlineLevel="3" spans="1:24">
      <c r="A1448" s="148" t="s">
        <v>1693</v>
      </c>
      <c r="B1448" s="919" t="s">
        <v>2834</v>
      </c>
      <c r="C1448" s="429" t="str">
        <f t="shared" si="149"/>
        <v>石嘴山市深阳蓝光市政工程有限公司</v>
      </c>
      <c r="D1448" s="891" t="s">
        <v>2840</v>
      </c>
      <c r="E1448" s="762">
        <f t="shared" si="148"/>
        <v>0</v>
      </c>
      <c r="F1448" s="929">
        <f>报表附注合并期初用!E999</f>
        <v>0</v>
      </c>
      <c r="G1448" s="731"/>
      <c r="H1448" s="731"/>
      <c r="I1448" s="925">
        <f t="shared" si="146"/>
        <v>0</v>
      </c>
      <c r="J1448" s="135">
        <f t="shared" si="142"/>
        <v>0</v>
      </c>
      <c r="K1448" s="135">
        <f t="shared" si="143"/>
        <v>0</v>
      </c>
      <c r="L1448" s="908"/>
      <c r="M1448" s="908"/>
      <c r="N1448" s="908"/>
      <c r="O1448" s="908"/>
      <c r="X1448" s="501" t="b">
        <f t="shared" si="147"/>
        <v>0</v>
      </c>
    </row>
    <row r="1449" s="148" customFormat="1" hidden="1" outlineLevel="3" spans="1:24">
      <c r="A1449" s="148" t="s">
        <v>1694</v>
      </c>
      <c r="B1449" s="919" t="s">
        <v>2834</v>
      </c>
      <c r="C1449" s="429" t="str">
        <f t="shared" si="149"/>
        <v>石嘴山市深阳蓝光市政工程有限公司</v>
      </c>
      <c r="D1449" s="920" t="s">
        <v>2840</v>
      </c>
      <c r="E1449" s="762">
        <f t="shared" si="148"/>
        <v>0</v>
      </c>
      <c r="F1449" s="929">
        <f>报表附注合并期初用!E1000</f>
        <v>0</v>
      </c>
      <c r="G1449" s="731"/>
      <c r="H1449" s="731"/>
      <c r="I1449" s="925">
        <f t="shared" si="146"/>
        <v>0</v>
      </c>
      <c r="J1449" s="135">
        <f t="shared" si="142"/>
        <v>0</v>
      </c>
      <c r="K1449" s="135">
        <f t="shared" si="143"/>
        <v>0</v>
      </c>
      <c r="L1449" s="908"/>
      <c r="M1449" s="908"/>
      <c r="N1449" s="908"/>
      <c r="O1449" s="908"/>
      <c r="X1449" s="501" t="b">
        <f t="shared" si="147"/>
        <v>0</v>
      </c>
    </row>
    <row r="1450" s="148" customFormat="1" hidden="1" outlineLevel="3" spans="1:24">
      <c r="A1450" s="148" t="s">
        <v>1695</v>
      </c>
      <c r="B1450" s="919" t="s">
        <v>2834</v>
      </c>
      <c r="C1450" s="429" t="str">
        <f t="shared" si="149"/>
        <v>石嘴山市深阳蓝光市政工程有限公司</v>
      </c>
      <c r="D1450" s="891" t="s">
        <v>2840</v>
      </c>
      <c r="E1450" s="762">
        <f t="shared" si="148"/>
        <v>0</v>
      </c>
      <c r="F1450" s="929">
        <f>报表附注合并期初用!E1001</f>
        <v>0</v>
      </c>
      <c r="G1450" s="731"/>
      <c r="H1450" s="731"/>
      <c r="I1450" s="925">
        <f t="shared" si="146"/>
        <v>0</v>
      </c>
      <c r="J1450" s="135">
        <f t="shared" si="142"/>
        <v>0</v>
      </c>
      <c r="K1450" s="135">
        <f t="shared" si="143"/>
        <v>0</v>
      </c>
      <c r="L1450" s="908"/>
      <c r="M1450" s="908"/>
      <c r="N1450" s="908"/>
      <c r="O1450" s="908"/>
      <c r="X1450" s="501" t="b">
        <f t="shared" si="147"/>
        <v>0</v>
      </c>
    </row>
    <row r="1451" s="148" customFormat="1" outlineLevel="2" spans="1:24">
      <c r="A1451" s="148" t="s">
        <v>907</v>
      </c>
      <c r="B1451" s="919" t="s">
        <v>2834</v>
      </c>
      <c r="C1451" s="429" t="str">
        <f t="shared" si="149"/>
        <v>石嘴山市深阳蓝光市政工程有限公司</v>
      </c>
      <c r="D1451" s="920" t="s">
        <v>2840</v>
      </c>
      <c r="E1451" s="931" t="s">
        <v>907</v>
      </c>
      <c r="F1451" s="929">
        <f>ROUND(SUM(F1452:F1465),2)</f>
        <v>0</v>
      </c>
      <c r="G1451" s="929">
        <f>ROUND(SUM(G1452:G1465),2)</f>
        <v>0</v>
      </c>
      <c r="H1451" s="929">
        <f>ROUND(SUM(H1452:H1465),2)</f>
        <v>0</v>
      </c>
      <c r="I1451" s="929">
        <f>ROUND(SUM(I1452:I1465),2)</f>
        <v>0</v>
      </c>
      <c r="J1451" s="925">
        <f t="shared" ref="J1451:O1451" si="150">SUM(J1452:J1465)</f>
        <v>0</v>
      </c>
      <c r="K1451" s="925">
        <f t="shared" si="150"/>
        <v>0</v>
      </c>
      <c r="L1451" s="925">
        <f t="shared" si="150"/>
        <v>0</v>
      </c>
      <c r="M1451" s="925">
        <f t="shared" si="150"/>
        <v>0</v>
      </c>
      <c r="N1451" s="925">
        <f t="shared" si="150"/>
        <v>0</v>
      </c>
      <c r="O1451" s="925">
        <f t="shared" si="150"/>
        <v>0</v>
      </c>
      <c r="X1451" s="501" t="b">
        <f t="shared" si="147"/>
        <v>1</v>
      </c>
    </row>
    <row r="1452" s="148" customFormat="1" outlineLevel="2" spans="1:24">
      <c r="A1452" s="148" t="s">
        <v>2841</v>
      </c>
      <c r="B1452" s="919" t="s">
        <v>2834</v>
      </c>
      <c r="C1452" s="429" t="str">
        <f t="shared" si="149"/>
        <v>石嘴山市深阳蓝光市政工程有限公司</v>
      </c>
      <c r="D1452" s="891" t="s">
        <v>2840</v>
      </c>
      <c r="E1452" s="932" t="str">
        <f>E1422</f>
        <v>1、土地使用权</v>
      </c>
      <c r="F1452" s="927">
        <f>$F$3880</f>
        <v>0</v>
      </c>
      <c r="G1452" s="927">
        <f>$F$3881</f>
        <v>0</v>
      </c>
      <c r="H1452" s="927">
        <f>$F$3884</f>
        <v>0</v>
      </c>
      <c r="I1452" s="925">
        <f t="shared" ref="I1452:I1465" si="151">ROUND(F1452+G1452-H1452,2)</f>
        <v>0</v>
      </c>
      <c r="J1452" s="135">
        <f t="shared" si="142"/>
        <v>0</v>
      </c>
      <c r="K1452" s="135">
        <f t="shared" si="143"/>
        <v>0</v>
      </c>
      <c r="L1452" s="908"/>
      <c r="M1452" s="908"/>
      <c r="N1452" s="908"/>
      <c r="O1452" s="908"/>
      <c r="X1452" s="501" t="b">
        <f t="shared" si="147"/>
        <v>0</v>
      </c>
    </row>
    <row r="1453" s="148" customFormat="1" outlineLevel="2" spans="1:24">
      <c r="A1453" s="148" t="s">
        <v>2843</v>
      </c>
      <c r="B1453" s="919" t="s">
        <v>2834</v>
      </c>
      <c r="C1453" s="429" t="str">
        <f t="shared" si="149"/>
        <v>石嘴山市深阳蓝光市政工程有限公司</v>
      </c>
      <c r="D1453" s="920" t="s">
        <v>2840</v>
      </c>
      <c r="E1453" s="932" t="str">
        <f>E1423</f>
        <v>2、软件</v>
      </c>
      <c r="F1453" s="927">
        <f>$H$3880</f>
        <v>0</v>
      </c>
      <c r="G1453" s="927">
        <f>$H$3881</f>
        <v>0</v>
      </c>
      <c r="H1453" s="927">
        <f>$H$3884</f>
        <v>0</v>
      </c>
      <c r="I1453" s="925">
        <f t="shared" si="151"/>
        <v>0</v>
      </c>
      <c r="J1453" s="135">
        <f t="shared" si="142"/>
        <v>0</v>
      </c>
      <c r="K1453" s="135">
        <f t="shared" si="143"/>
        <v>0</v>
      </c>
      <c r="L1453" s="908"/>
      <c r="M1453" s="908"/>
      <c r="N1453" s="908"/>
      <c r="O1453" s="908"/>
      <c r="X1453" s="501" t="b">
        <f t="shared" si="147"/>
        <v>0</v>
      </c>
    </row>
    <row r="1454" s="148" customFormat="1" outlineLevel="2" spans="1:24">
      <c r="A1454" s="148" t="s">
        <v>2845</v>
      </c>
      <c r="B1454" s="919" t="s">
        <v>2834</v>
      </c>
      <c r="C1454" s="429" t="str">
        <f t="shared" si="149"/>
        <v>石嘴山市深阳蓝光市政工程有限公司</v>
      </c>
      <c r="D1454" s="891" t="s">
        <v>2840</v>
      </c>
      <c r="E1454" s="932" t="str">
        <f>E1424</f>
        <v>3、专利权</v>
      </c>
      <c r="F1454" s="927">
        <f>$G$3880</f>
        <v>0</v>
      </c>
      <c r="G1454" s="927">
        <f>$G$3881</f>
        <v>0</v>
      </c>
      <c r="H1454" s="927">
        <f>$G$3884</f>
        <v>0</v>
      </c>
      <c r="I1454" s="925">
        <f t="shared" si="151"/>
        <v>0</v>
      </c>
      <c r="J1454" s="135">
        <f t="shared" si="142"/>
        <v>0</v>
      </c>
      <c r="K1454" s="135">
        <f t="shared" si="143"/>
        <v>0</v>
      </c>
      <c r="L1454" s="908"/>
      <c r="M1454" s="908"/>
      <c r="N1454" s="908"/>
      <c r="O1454" s="908"/>
      <c r="X1454" s="501" t="b">
        <f t="shared" si="147"/>
        <v>0</v>
      </c>
    </row>
    <row r="1455" s="148" customFormat="1" outlineLevel="2" collapsed="1" spans="1:24">
      <c r="A1455" s="148" t="s">
        <v>2847</v>
      </c>
      <c r="B1455" s="919" t="s">
        <v>2834</v>
      </c>
      <c r="C1455" s="429" t="str">
        <f t="shared" si="149"/>
        <v>石嘴山市深阳蓝光市政工程有限公司</v>
      </c>
      <c r="D1455" s="920" t="s">
        <v>2840</v>
      </c>
      <c r="E1455" s="762" t="str">
        <f>E1425</f>
        <v>4、其它</v>
      </c>
      <c r="F1455" s="927">
        <f>$I$3880</f>
        <v>0</v>
      </c>
      <c r="G1455" s="927">
        <f>$I$3881</f>
        <v>0</v>
      </c>
      <c r="H1455" s="927">
        <f>$I$3884</f>
        <v>0</v>
      </c>
      <c r="I1455" s="925">
        <f t="shared" si="151"/>
        <v>0</v>
      </c>
      <c r="J1455" s="135">
        <f t="shared" si="142"/>
        <v>0</v>
      </c>
      <c r="K1455" s="135">
        <f t="shared" si="143"/>
        <v>0</v>
      </c>
      <c r="L1455" s="908"/>
      <c r="M1455" s="908"/>
      <c r="N1455" s="908"/>
      <c r="O1455" s="908"/>
      <c r="X1455" s="501" t="b">
        <f t="shared" si="147"/>
        <v>0</v>
      </c>
    </row>
    <row r="1456" s="148" customFormat="1" hidden="1" outlineLevel="3" spans="2:24">
      <c r="B1456" s="919"/>
      <c r="C1456" s="479"/>
      <c r="D1456" s="920"/>
      <c r="E1456" s="762">
        <f t="shared" ref="E1456:E1465" si="152">E1426</f>
        <v>0</v>
      </c>
      <c r="F1456" s="929">
        <f>报表附注合并期初用!E1007</f>
        <v>0</v>
      </c>
      <c r="G1456" s="731"/>
      <c r="H1456" s="731"/>
      <c r="I1456" s="925">
        <f t="shared" si="151"/>
        <v>0</v>
      </c>
      <c r="J1456" s="135">
        <f t="shared" si="142"/>
        <v>0</v>
      </c>
      <c r="K1456" s="135">
        <f t="shared" si="143"/>
        <v>0</v>
      </c>
      <c r="L1456" s="908"/>
      <c r="M1456" s="908"/>
      <c r="N1456" s="908"/>
      <c r="O1456" s="908"/>
      <c r="X1456" s="420"/>
    </row>
    <row r="1457" s="148" customFormat="1" hidden="1" outlineLevel="3" spans="2:24">
      <c r="B1457" s="919"/>
      <c r="C1457" s="479"/>
      <c r="D1457" s="920"/>
      <c r="E1457" s="762">
        <f t="shared" si="152"/>
        <v>0</v>
      </c>
      <c r="F1457" s="929">
        <f>报表附注合并期初用!E1008</f>
        <v>0</v>
      </c>
      <c r="G1457" s="731"/>
      <c r="H1457" s="731"/>
      <c r="I1457" s="925">
        <f t="shared" si="151"/>
        <v>0</v>
      </c>
      <c r="J1457" s="135">
        <f t="shared" si="142"/>
        <v>0</v>
      </c>
      <c r="K1457" s="135">
        <f t="shared" si="143"/>
        <v>0</v>
      </c>
      <c r="L1457" s="908"/>
      <c r="M1457" s="908"/>
      <c r="N1457" s="908"/>
      <c r="O1457" s="908"/>
      <c r="X1457" s="420"/>
    </row>
    <row r="1458" s="148" customFormat="1" hidden="1" outlineLevel="3" spans="2:24">
      <c r="B1458" s="919"/>
      <c r="C1458" s="479"/>
      <c r="D1458" s="920"/>
      <c r="E1458" s="762">
        <f t="shared" si="152"/>
        <v>0</v>
      </c>
      <c r="F1458" s="929">
        <f>报表附注合并期初用!E1009</f>
        <v>0</v>
      </c>
      <c r="G1458" s="731"/>
      <c r="H1458" s="731"/>
      <c r="I1458" s="925">
        <f t="shared" si="151"/>
        <v>0</v>
      </c>
      <c r="J1458" s="135">
        <f t="shared" si="142"/>
        <v>0</v>
      </c>
      <c r="K1458" s="135">
        <f t="shared" si="143"/>
        <v>0</v>
      </c>
      <c r="L1458" s="908"/>
      <c r="M1458" s="908"/>
      <c r="N1458" s="908"/>
      <c r="O1458" s="908"/>
      <c r="X1458" s="420"/>
    </row>
    <row r="1459" s="148" customFormat="1" hidden="1" outlineLevel="3" spans="2:24">
      <c r="B1459" s="919"/>
      <c r="C1459" s="479"/>
      <c r="D1459" s="920"/>
      <c r="E1459" s="762">
        <f t="shared" si="152"/>
        <v>0</v>
      </c>
      <c r="F1459" s="929">
        <f>报表附注合并期初用!E1010</f>
        <v>0</v>
      </c>
      <c r="G1459" s="731"/>
      <c r="H1459" s="731"/>
      <c r="I1459" s="925">
        <f t="shared" si="151"/>
        <v>0</v>
      </c>
      <c r="J1459" s="135">
        <f t="shared" si="142"/>
        <v>0</v>
      </c>
      <c r="K1459" s="135">
        <f t="shared" si="143"/>
        <v>0</v>
      </c>
      <c r="L1459" s="908"/>
      <c r="M1459" s="908"/>
      <c r="N1459" s="908"/>
      <c r="O1459" s="908"/>
      <c r="X1459" s="420"/>
    </row>
    <row r="1460" s="148" customFormat="1" hidden="1" outlineLevel="3" spans="2:24">
      <c r="B1460" s="919"/>
      <c r="C1460" s="479"/>
      <c r="D1460" s="920"/>
      <c r="E1460" s="762">
        <f t="shared" si="152"/>
        <v>0</v>
      </c>
      <c r="F1460" s="929">
        <f>报表附注合并期初用!E1011</f>
        <v>0</v>
      </c>
      <c r="G1460" s="731"/>
      <c r="H1460" s="731"/>
      <c r="I1460" s="925">
        <f t="shared" si="151"/>
        <v>0</v>
      </c>
      <c r="J1460" s="135">
        <f t="shared" si="142"/>
        <v>0</v>
      </c>
      <c r="K1460" s="135">
        <f t="shared" si="143"/>
        <v>0</v>
      </c>
      <c r="L1460" s="908"/>
      <c r="M1460" s="908"/>
      <c r="N1460" s="908"/>
      <c r="O1460" s="908"/>
      <c r="X1460" s="420"/>
    </row>
    <row r="1461" s="148" customFormat="1" hidden="1" outlineLevel="3" spans="1:24">
      <c r="A1461" s="148" t="s">
        <v>1691</v>
      </c>
      <c r="B1461" s="919" t="s">
        <v>2834</v>
      </c>
      <c r="C1461" s="429" t="str">
        <f t="shared" ref="C1461:C1470" si="153">$G$1</f>
        <v>石嘴山市深阳蓝光市政工程有限公司</v>
      </c>
      <c r="D1461" s="891" t="s">
        <v>2840</v>
      </c>
      <c r="E1461" s="762">
        <f t="shared" si="152"/>
        <v>0</v>
      </c>
      <c r="F1461" s="929">
        <f>报表附注合并期初用!E1012</f>
        <v>0</v>
      </c>
      <c r="G1461" s="731"/>
      <c r="H1461" s="731"/>
      <c r="I1461" s="925">
        <f t="shared" si="151"/>
        <v>0</v>
      </c>
      <c r="J1461" s="135">
        <f t="shared" si="142"/>
        <v>0</v>
      </c>
      <c r="K1461" s="135">
        <f t="shared" si="143"/>
        <v>0</v>
      </c>
      <c r="L1461" s="908"/>
      <c r="M1461" s="908"/>
      <c r="N1461" s="908"/>
      <c r="O1461" s="908"/>
      <c r="X1461" s="501" t="b">
        <f t="shared" si="147"/>
        <v>0</v>
      </c>
    </row>
    <row r="1462" s="148" customFormat="1" hidden="1" outlineLevel="3" spans="1:24">
      <c r="A1462" s="148" t="s">
        <v>1692</v>
      </c>
      <c r="B1462" s="919" t="s">
        <v>2834</v>
      </c>
      <c r="C1462" s="429" t="str">
        <f t="shared" si="153"/>
        <v>石嘴山市深阳蓝光市政工程有限公司</v>
      </c>
      <c r="D1462" s="920" t="s">
        <v>2840</v>
      </c>
      <c r="E1462" s="762">
        <f t="shared" si="152"/>
        <v>0</v>
      </c>
      <c r="F1462" s="929">
        <f>报表附注合并期初用!E1013</f>
        <v>0</v>
      </c>
      <c r="G1462" s="731"/>
      <c r="H1462" s="731"/>
      <c r="I1462" s="925">
        <f t="shared" si="151"/>
        <v>0</v>
      </c>
      <c r="J1462" s="135">
        <f t="shared" si="142"/>
        <v>0</v>
      </c>
      <c r="K1462" s="135">
        <f t="shared" si="143"/>
        <v>0</v>
      </c>
      <c r="L1462" s="908"/>
      <c r="M1462" s="908"/>
      <c r="N1462" s="908"/>
      <c r="O1462" s="908"/>
      <c r="X1462" s="501" t="b">
        <f t="shared" si="147"/>
        <v>0</v>
      </c>
    </row>
    <row r="1463" s="148" customFormat="1" hidden="1" outlineLevel="3" spans="1:24">
      <c r="A1463" s="148" t="s">
        <v>1693</v>
      </c>
      <c r="B1463" s="919" t="s">
        <v>2834</v>
      </c>
      <c r="C1463" s="429" t="str">
        <f t="shared" si="153"/>
        <v>石嘴山市深阳蓝光市政工程有限公司</v>
      </c>
      <c r="D1463" s="891" t="s">
        <v>2840</v>
      </c>
      <c r="E1463" s="762">
        <f t="shared" si="152"/>
        <v>0</v>
      </c>
      <c r="F1463" s="929">
        <f>报表附注合并期初用!E1014</f>
        <v>0</v>
      </c>
      <c r="G1463" s="731"/>
      <c r="H1463" s="731"/>
      <c r="I1463" s="925">
        <f t="shared" si="151"/>
        <v>0</v>
      </c>
      <c r="J1463" s="135">
        <f t="shared" si="142"/>
        <v>0</v>
      </c>
      <c r="K1463" s="135">
        <f t="shared" si="143"/>
        <v>0</v>
      </c>
      <c r="L1463" s="908"/>
      <c r="M1463" s="908"/>
      <c r="N1463" s="908"/>
      <c r="O1463" s="908"/>
      <c r="X1463" s="501" t="b">
        <f t="shared" si="147"/>
        <v>0</v>
      </c>
    </row>
    <row r="1464" s="148" customFormat="1" hidden="1" outlineLevel="3" spans="1:24">
      <c r="A1464" s="148" t="s">
        <v>1694</v>
      </c>
      <c r="B1464" s="919" t="s">
        <v>2834</v>
      </c>
      <c r="C1464" s="429" t="str">
        <f t="shared" si="153"/>
        <v>石嘴山市深阳蓝光市政工程有限公司</v>
      </c>
      <c r="D1464" s="920" t="s">
        <v>2840</v>
      </c>
      <c r="E1464" s="762">
        <f t="shared" si="152"/>
        <v>0</v>
      </c>
      <c r="F1464" s="929">
        <f>报表附注合并期初用!E1015</f>
        <v>0</v>
      </c>
      <c r="G1464" s="731"/>
      <c r="H1464" s="731"/>
      <c r="I1464" s="925">
        <f t="shared" si="151"/>
        <v>0</v>
      </c>
      <c r="J1464" s="135">
        <f t="shared" si="142"/>
        <v>0</v>
      </c>
      <c r="K1464" s="135">
        <f t="shared" si="143"/>
        <v>0</v>
      </c>
      <c r="L1464" s="908"/>
      <c r="M1464" s="908"/>
      <c r="N1464" s="908"/>
      <c r="O1464" s="908"/>
      <c r="X1464" s="501" t="b">
        <f t="shared" si="147"/>
        <v>0</v>
      </c>
    </row>
    <row r="1465" s="148" customFormat="1" hidden="1" outlineLevel="3" spans="1:24">
      <c r="A1465" s="148" t="s">
        <v>1695</v>
      </c>
      <c r="B1465" s="919" t="s">
        <v>2834</v>
      </c>
      <c r="C1465" s="429" t="str">
        <f t="shared" si="153"/>
        <v>石嘴山市深阳蓝光市政工程有限公司</v>
      </c>
      <c r="D1465" s="891" t="s">
        <v>2840</v>
      </c>
      <c r="E1465" s="762">
        <f t="shared" si="152"/>
        <v>0</v>
      </c>
      <c r="F1465" s="929">
        <f>报表附注合并期初用!E1016</f>
        <v>0</v>
      </c>
      <c r="G1465" s="731"/>
      <c r="H1465" s="731"/>
      <c r="I1465" s="925">
        <f t="shared" si="151"/>
        <v>0</v>
      </c>
      <c r="J1465" s="135">
        <f t="shared" si="142"/>
        <v>0</v>
      </c>
      <c r="K1465" s="135">
        <f t="shared" si="143"/>
        <v>0</v>
      </c>
      <c r="L1465" s="908"/>
      <c r="M1465" s="908"/>
      <c r="N1465" s="908"/>
      <c r="O1465" s="908"/>
      <c r="X1465" s="501" t="b">
        <f t="shared" si="147"/>
        <v>0</v>
      </c>
    </row>
    <row r="1466" s="148" customFormat="1" outlineLevel="2" spans="1:24">
      <c r="A1466" s="148" t="s">
        <v>910</v>
      </c>
      <c r="B1466" s="919" t="s">
        <v>2834</v>
      </c>
      <c r="C1466" s="429" t="str">
        <f t="shared" si="153"/>
        <v>石嘴山市深阳蓝光市政工程有限公司</v>
      </c>
      <c r="D1466" s="920" t="s">
        <v>2840</v>
      </c>
      <c r="E1466" s="931" t="s">
        <v>910</v>
      </c>
      <c r="F1466" s="933">
        <f>SUM(F1467:F1480)</f>
        <v>0</v>
      </c>
      <c r="G1466" s="934"/>
      <c r="H1466" s="934"/>
      <c r="I1466" s="933">
        <f t="shared" ref="I1466:O1466" si="154">SUM(I1467:I1480)</f>
        <v>0</v>
      </c>
      <c r="J1466" s="933">
        <f t="shared" si="154"/>
        <v>0</v>
      </c>
      <c r="K1466" s="933">
        <f t="shared" si="154"/>
        <v>0</v>
      </c>
      <c r="L1466" s="933">
        <f t="shared" si="154"/>
        <v>0</v>
      </c>
      <c r="M1466" s="933">
        <f t="shared" si="154"/>
        <v>0</v>
      </c>
      <c r="N1466" s="933">
        <f t="shared" si="154"/>
        <v>0</v>
      </c>
      <c r="O1466" s="933">
        <f t="shared" si="154"/>
        <v>0</v>
      </c>
      <c r="X1466" s="501" t="b">
        <f t="shared" si="147"/>
        <v>1</v>
      </c>
    </row>
    <row r="1467" s="148" customFormat="1" outlineLevel="2" spans="1:24">
      <c r="A1467" s="148" t="s">
        <v>2841</v>
      </c>
      <c r="B1467" s="919" t="s">
        <v>2834</v>
      </c>
      <c r="C1467" s="429" t="str">
        <f t="shared" si="153"/>
        <v>石嘴山市深阳蓝光市政工程有限公司</v>
      </c>
      <c r="D1467" s="891" t="s">
        <v>2840</v>
      </c>
      <c r="E1467" s="932" t="str">
        <f>E1422</f>
        <v>1、土地使用权</v>
      </c>
      <c r="F1467" s="925">
        <f>ROUND(F1422-F1437-F1452,2)</f>
        <v>0</v>
      </c>
      <c r="G1467" s="935"/>
      <c r="H1467" s="935"/>
      <c r="I1467" s="925">
        <f>ROUND(I1422-I1437-I1452,2)</f>
        <v>0</v>
      </c>
      <c r="J1467" s="925">
        <f t="shared" ref="J1467:O1480" si="155">J1422-J1437-J1452</f>
        <v>0</v>
      </c>
      <c r="K1467" s="925">
        <f t="shared" si="155"/>
        <v>0</v>
      </c>
      <c r="L1467" s="925">
        <f t="shared" si="155"/>
        <v>0</v>
      </c>
      <c r="M1467" s="925">
        <f t="shared" si="155"/>
        <v>0</v>
      </c>
      <c r="N1467" s="925">
        <f t="shared" si="155"/>
        <v>0</v>
      </c>
      <c r="O1467" s="925">
        <f t="shared" si="155"/>
        <v>0</v>
      </c>
      <c r="X1467" s="501" t="b">
        <f t="shared" si="147"/>
        <v>0</v>
      </c>
    </row>
    <row r="1468" s="148" customFormat="1" outlineLevel="2" spans="1:24">
      <c r="A1468" s="148" t="s">
        <v>2843</v>
      </c>
      <c r="B1468" s="919" t="s">
        <v>2834</v>
      </c>
      <c r="C1468" s="429" t="str">
        <f t="shared" si="153"/>
        <v>石嘴山市深阳蓝光市政工程有限公司</v>
      </c>
      <c r="D1468" s="920" t="s">
        <v>2840</v>
      </c>
      <c r="E1468" s="932" t="str">
        <f>E1423</f>
        <v>2、软件</v>
      </c>
      <c r="F1468" s="925">
        <f t="shared" ref="F1468:F1480" si="156">ROUND(F1423-F1438-F1453,2)</f>
        <v>0</v>
      </c>
      <c r="G1468" s="935"/>
      <c r="H1468" s="935"/>
      <c r="I1468" s="925">
        <f t="shared" ref="I1468:I1480" si="157">ROUND(I1423-I1438-I1453,2)</f>
        <v>0</v>
      </c>
      <c r="J1468" s="925">
        <f t="shared" si="155"/>
        <v>0</v>
      </c>
      <c r="K1468" s="925">
        <f t="shared" si="155"/>
        <v>0</v>
      </c>
      <c r="L1468" s="925">
        <f t="shared" si="155"/>
        <v>0</v>
      </c>
      <c r="M1468" s="925">
        <f t="shared" si="155"/>
        <v>0</v>
      </c>
      <c r="N1468" s="925">
        <f t="shared" si="155"/>
        <v>0</v>
      </c>
      <c r="O1468" s="925">
        <f t="shared" si="155"/>
        <v>0</v>
      </c>
      <c r="X1468" s="501" t="b">
        <f t="shared" si="147"/>
        <v>0</v>
      </c>
    </row>
    <row r="1469" s="148" customFormat="1" outlineLevel="2" spans="1:24">
      <c r="A1469" s="148" t="s">
        <v>2845</v>
      </c>
      <c r="B1469" s="919" t="s">
        <v>2834</v>
      </c>
      <c r="C1469" s="429" t="str">
        <f t="shared" si="153"/>
        <v>石嘴山市深阳蓝光市政工程有限公司</v>
      </c>
      <c r="D1469" s="891" t="s">
        <v>2840</v>
      </c>
      <c r="E1469" s="932" t="str">
        <f>E1424</f>
        <v>3、专利权</v>
      </c>
      <c r="F1469" s="925">
        <f t="shared" si="156"/>
        <v>0</v>
      </c>
      <c r="G1469" s="935"/>
      <c r="H1469" s="935"/>
      <c r="I1469" s="925">
        <f t="shared" si="157"/>
        <v>0</v>
      </c>
      <c r="J1469" s="925">
        <f t="shared" si="155"/>
        <v>0</v>
      </c>
      <c r="K1469" s="925">
        <f t="shared" si="155"/>
        <v>0</v>
      </c>
      <c r="L1469" s="925">
        <f t="shared" si="155"/>
        <v>0</v>
      </c>
      <c r="M1469" s="925">
        <f t="shared" si="155"/>
        <v>0</v>
      </c>
      <c r="N1469" s="925">
        <f t="shared" si="155"/>
        <v>0</v>
      </c>
      <c r="O1469" s="925">
        <f t="shared" si="155"/>
        <v>0</v>
      </c>
      <c r="X1469" s="501" t="b">
        <f t="shared" si="147"/>
        <v>0</v>
      </c>
    </row>
    <row r="1470" s="148" customFormat="1" outlineLevel="2" collapsed="1" spans="1:24">
      <c r="A1470" s="148" t="s">
        <v>2847</v>
      </c>
      <c r="B1470" s="919" t="s">
        <v>2834</v>
      </c>
      <c r="C1470" s="429" t="str">
        <f t="shared" si="153"/>
        <v>石嘴山市深阳蓝光市政工程有限公司</v>
      </c>
      <c r="D1470" s="920" t="s">
        <v>2840</v>
      </c>
      <c r="E1470" s="762" t="str">
        <f>E1425</f>
        <v>4、其它</v>
      </c>
      <c r="F1470" s="925">
        <f t="shared" si="156"/>
        <v>0</v>
      </c>
      <c r="G1470" s="935"/>
      <c r="H1470" s="935"/>
      <c r="I1470" s="925">
        <f t="shared" si="157"/>
        <v>0</v>
      </c>
      <c r="J1470" s="925">
        <f t="shared" si="155"/>
        <v>0</v>
      </c>
      <c r="K1470" s="925">
        <f t="shared" si="155"/>
        <v>0</v>
      </c>
      <c r="L1470" s="925">
        <f t="shared" si="155"/>
        <v>0</v>
      </c>
      <c r="M1470" s="925">
        <f t="shared" si="155"/>
        <v>0</v>
      </c>
      <c r="N1470" s="925">
        <f t="shared" si="155"/>
        <v>0</v>
      </c>
      <c r="O1470" s="925">
        <f t="shared" si="155"/>
        <v>0</v>
      </c>
      <c r="X1470" s="501" t="b">
        <f t="shared" si="147"/>
        <v>0</v>
      </c>
    </row>
    <row r="1471" s="148" customFormat="1" hidden="1" outlineLevel="3" spans="2:24">
      <c r="B1471" s="919"/>
      <c r="C1471" s="479"/>
      <c r="D1471" s="920"/>
      <c r="E1471" s="762">
        <f t="shared" ref="E1471:E1480" si="158">E1426</f>
        <v>0</v>
      </c>
      <c r="F1471" s="925">
        <f t="shared" si="156"/>
        <v>0</v>
      </c>
      <c r="G1471" s="935"/>
      <c r="H1471" s="935"/>
      <c r="I1471" s="925">
        <f t="shared" si="157"/>
        <v>0</v>
      </c>
      <c r="J1471" s="925">
        <f t="shared" si="155"/>
        <v>0</v>
      </c>
      <c r="K1471" s="925">
        <f t="shared" si="155"/>
        <v>0</v>
      </c>
      <c r="L1471" s="935"/>
      <c r="M1471" s="935"/>
      <c r="N1471" s="935"/>
      <c r="O1471" s="935"/>
      <c r="X1471" s="420"/>
    </row>
    <row r="1472" s="148" customFormat="1" hidden="1" outlineLevel="3" spans="2:24">
      <c r="B1472" s="919"/>
      <c r="C1472" s="479"/>
      <c r="D1472" s="920"/>
      <c r="E1472" s="762">
        <f t="shared" si="158"/>
        <v>0</v>
      </c>
      <c r="F1472" s="925">
        <f t="shared" si="156"/>
        <v>0</v>
      </c>
      <c r="G1472" s="935"/>
      <c r="H1472" s="935"/>
      <c r="I1472" s="925">
        <f t="shared" si="157"/>
        <v>0</v>
      </c>
      <c r="J1472" s="925">
        <f t="shared" si="155"/>
        <v>0</v>
      </c>
      <c r="K1472" s="925">
        <f t="shared" si="155"/>
        <v>0</v>
      </c>
      <c r="L1472" s="935"/>
      <c r="M1472" s="935"/>
      <c r="N1472" s="935"/>
      <c r="O1472" s="935"/>
      <c r="X1472" s="420"/>
    </row>
    <row r="1473" s="148" customFormat="1" hidden="1" outlineLevel="3" spans="2:24">
      <c r="B1473" s="919"/>
      <c r="C1473" s="479"/>
      <c r="D1473" s="920"/>
      <c r="E1473" s="762">
        <f t="shared" si="158"/>
        <v>0</v>
      </c>
      <c r="F1473" s="925">
        <f t="shared" si="156"/>
        <v>0</v>
      </c>
      <c r="G1473" s="935"/>
      <c r="H1473" s="935"/>
      <c r="I1473" s="925">
        <f t="shared" si="157"/>
        <v>0</v>
      </c>
      <c r="J1473" s="925">
        <f t="shared" si="155"/>
        <v>0</v>
      </c>
      <c r="K1473" s="925">
        <f t="shared" si="155"/>
        <v>0</v>
      </c>
      <c r="L1473" s="935"/>
      <c r="M1473" s="935"/>
      <c r="N1473" s="935"/>
      <c r="O1473" s="935"/>
      <c r="X1473" s="420"/>
    </row>
    <row r="1474" s="148" customFormat="1" hidden="1" outlineLevel="3" spans="2:24">
      <c r="B1474" s="919"/>
      <c r="C1474" s="479"/>
      <c r="D1474" s="920"/>
      <c r="E1474" s="762">
        <f t="shared" si="158"/>
        <v>0</v>
      </c>
      <c r="F1474" s="925">
        <f t="shared" si="156"/>
        <v>0</v>
      </c>
      <c r="G1474" s="935"/>
      <c r="H1474" s="935"/>
      <c r="I1474" s="925">
        <f t="shared" si="157"/>
        <v>0</v>
      </c>
      <c r="J1474" s="925">
        <f t="shared" si="155"/>
        <v>0</v>
      </c>
      <c r="K1474" s="925">
        <f t="shared" si="155"/>
        <v>0</v>
      </c>
      <c r="L1474" s="935"/>
      <c r="M1474" s="935"/>
      <c r="N1474" s="935"/>
      <c r="O1474" s="935"/>
      <c r="X1474" s="420"/>
    </row>
    <row r="1475" s="148" customFormat="1" hidden="1" outlineLevel="3" spans="2:24">
      <c r="B1475" s="919"/>
      <c r="C1475" s="479"/>
      <c r="D1475" s="920"/>
      <c r="E1475" s="762">
        <f t="shared" si="158"/>
        <v>0</v>
      </c>
      <c r="F1475" s="925">
        <f t="shared" si="156"/>
        <v>0</v>
      </c>
      <c r="G1475" s="935"/>
      <c r="H1475" s="935"/>
      <c r="I1475" s="925">
        <f t="shared" si="157"/>
        <v>0</v>
      </c>
      <c r="J1475" s="925">
        <f t="shared" si="155"/>
        <v>0</v>
      </c>
      <c r="K1475" s="925">
        <f t="shared" si="155"/>
        <v>0</v>
      </c>
      <c r="L1475" s="935"/>
      <c r="M1475" s="935"/>
      <c r="N1475" s="935"/>
      <c r="O1475" s="935"/>
      <c r="X1475" s="420"/>
    </row>
    <row r="1476" s="148" customFormat="1" hidden="1" outlineLevel="3" spans="1:24">
      <c r="A1476" s="148" t="s">
        <v>1691</v>
      </c>
      <c r="B1476" s="919" t="s">
        <v>2834</v>
      </c>
      <c r="C1476" s="429" t="str">
        <f t="shared" ref="C1476:C1523" si="159">$G$1</f>
        <v>石嘴山市深阳蓝光市政工程有限公司</v>
      </c>
      <c r="D1476" s="891" t="s">
        <v>2840</v>
      </c>
      <c r="E1476" s="762">
        <f t="shared" si="158"/>
        <v>0</v>
      </c>
      <c r="F1476" s="925">
        <f t="shared" si="156"/>
        <v>0</v>
      </c>
      <c r="G1476" s="935"/>
      <c r="H1476" s="935"/>
      <c r="I1476" s="925">
        <f t="shared" si="157"/>
        <v>0</v>
      </c>
      <c r="J1476" s="925">
        <f t="shared" si="155"/>
        <v>0</v>
      </c>
      <c r="K1476" s="925">
        <f t="shared" si="155"/>
        <v>0</v>
      </c>
      <c r="L1476" s="925">
        <f t="shared" si="155"/>
        <v>0</v>
      </c>
      <c r="M1476" s="925">
        <f t="shared" si="155"/>
        <v>0</v>
      </c>
      <c r="N1476" s="925">
        <f t="shared" si="155"/>
        <v>0</v>
      </c>
      <c r="O1476" s="925">
        <f t="shared" si="155"/>
        <v>0</v>
      </c>
      <c r="X1476" s="501" t="b">
        <f t="shared" si="147"/>
        <v>0</v>
      </c>
    </row>
    <row r="1477" s="148" customFormat="1" hidden="1" outlineLevel="3" spans="1:24">
      <c r="A1477" s="148" t="s">
        <v>1692</v>
      </c>
      <c r="B1477" s="919" t="s">
        <v>2834</v>
      </c>
      <c r="C1477" s="429" t="str">
        <f t="shared" si="159"/>
        <v>石嘴山市深阳蓝光市政工程有限公司</v>
      </c>
      <c r="D1477" s="920" t="s">
        <v>2840</v>
      </c>
      <c r="E1477" s="762">
        <f t="shared" si="158"/>
        <v>0</v>
      </c>
      <c r="F1477" s="925">
        <f t="shared" si="156"/>
        <v>0</v>
      </c>
      <c r="G1477" s="935"/>
      <c r="H1477" s="935"/>
      <c r="I1477" s="925">
        <f t="shared" si="157"/>
        <v>0</v>
      </c>
      <c r="J1477" s="925">
        <f t="shared" si="155"/>
        <v>0</v>
      </c>
      <c r="K1477" s="925">
        <f t="shared" si="155"/>
        <v>0</v>
      </c>
      <c r="L1477" s="925">
        <f t="shared" si="155"/>
        <v>0</v>
      </c>
      <c r="M1477" s="925">
        <f t="shared" si="155"/>
        <v>0</v>
      </c>
      <c r="N1477" s="925">
        <f t="shared" si="155"/>
        <v>0</v>
      </c>
      <c r="O1477" s="925">
        <f t="shared" si="155"/>
        <v>0</v>
      </c>
      <c r="X1477" s="501" t="b">
        <f t="shared" si="147"/>
        <v>0</v>
      </c>
    </row>
    <row r="1478" s="148" customFormat="1" hidden="1" outlineLevel="3" spans="1:24">
      <c r="A1478" s="148" t="s">
        <v>1693</v>
      </c>
      <c r="B1478" s="919" t="s">
        <v>2834</v>
      </c>
      <c r="C1478" s="429" t="str">
        <f t="shared" si="159"/>
        <v>石嘴山市深阳蓝光市政工程有限公司</v>
      </c>
      <c r="D1478" s="891" t="s">
        <v>2840</v>
      </c>
      <c r="E1478" s="762">
        <f t="shared" si="158"/>
        <v>0</v>
      </c>
      <c r="F1478" s="925">
        <f t="shared" si="156"/>
        <v>0</v>
      </c>
      <c r="G1478" s="935"/>
      <c r="H1478" s="935"/>
      <c r="I1478" s="925">
        <f t="shared" si="157"/>
        <v>0</v>
      </c>
      <c r="J1478" s="925">
        <f t="shared" si="155"/>
        <v>0</v>
      </c>
      <c r="K1478" s="925">
        <f t="shared" si="155"/>
        <v>0</v>
      </c>
      <c r="L1478" s="925">
        <f t="shared" si="155"/>
        <v>0</v>
      </c>
      <c r="M1478" s="925">
        <f t="shared" si="155"/>
        <v>0</v>
      </c>
      <c r="N1478" s="925">
        <f t="shared" si="155"/>
        <v>0</v>
      </c>
      <c r="O1478" s="925">
        <f t="shared" si="155"/>
        <v>0</v>
      </c>
      <c r="X1478" s="501" t="b">
        <f t="shared" si="147"/>
        <v>0</v>
      </c>
    </row>
    <row r="1479" s="148" customFormat="1" hidden="1" outlineLevel="3" spans="1:24">
      <c r="A1479" s="148" t="s">
        <v>1694</v>
      </c>
      <c r="B1479" s="919" t="s">
        <v>2834</v>
      </c>
      <c r="C1479" s="429" t="str">
        <f t="shared" si="159"/>
        <v>石嘴山市深阳蓝光市政工程有限公司</v>
      </c>
      <c r="D1479" s="920" t="s">
        <v>2840</v>
      </c>
      <c r="E1479" s="762">
        <f t="shared" si="158"/>
        <v>0</v>
      </c>
      <c r="F1479" s="925">
        <f t="shared" si="156"/>
        <v>0</v>
      </c>
      <c r="G1479" s="934"/>
      <c r="H1479" s="934"/>
      <c r="I1479" s="925">
        <f t="shared" si="157"/>
        <v>0</v>
      </c>
      <c r="J1479" s="925">
        <f t="shared" si="155"/>
        <v>0</v>
      </c>
      <c r="K1479" s="925">
        <f t="shared" si="155"/>
        <v>0</v>
      </c>
      <c r="L1479" s="925">
        <f t="shared" si="155"/>
        <v>0</v>
      </c>
      <c r="M1479" s="925">
        <f t="shared" si="155"/>
        <v>0</v>
      </c>
      <c r="N1479" s="925">
        <f t="shared" si="155"/>
        <v>0</v>
      </c>
      <c r="O1479" s="925">
        <f t="shared" si="155"/>
        <v>0</v>
      </c>
      <c r="X1479" s="501" t="b">
        <f t="shared" si="147"/>
        <v>0</v>
      </c>
    </row>
    <row r="1480" s="148" customFormat="1" hidden="1" outlineLevel="3" spans="1:24">
      <c r="A1480" s="148" t="s">
        <v>1695</v>
      </c>
      <c r="B1480" s="919" t="s">
        <v>2834</v>
      </c>
      <c r="C1480" s="429" t="str">
        <f t="shared" si="159"/>
        <v>石嘴山市深阳蓝光市政工程有限公司</v>
      </c>
      <c r="D1480" s="891" t="s">
        <v>2840</v>
      </c>
      <c r="E1480" s="762">
        <f t="shared" si="158"/>
        <v>0</v>
      </c>
      <c r="F1480" s="925">
        <f t="shared" si="156"/>
        <v>0</v>
      </c>
      <c r="G1480" s="934"/>
      <c r="H1480" s="934"/>
      <c r="I1480" s="925">
        <f t="shared" si="157"/>
        <v>0</v>
      </c>
      <c r="J1480" s="925">
        <f t="shared" si="155"/>
        <v>0</v>
      </c>
      <c r="K1480" s="925">
        <f t="shared" si="155"/>
        <v>0</v>
      </c>
      <c r="L1480" s="925">
        <f t="shared" si="155"/>
        <v>0</v>
      </c>
      <c r="M1480" s="925">
        <f t="shared" si="155"/>
        <v>0</v>
      </c>
      <c r="N1480" s="925">
        <f t="shared" si="155"/>
        <v>0</v>
      </c>
      <c r="O1480" s="925">
        <f t="shared" si="155"/>
        <v>0</v>
      </c>
      <c r="X1480" s="501" t="b">
        <f t="shared" si="147"/>
        <v>0</v>
      </c>
    </row>
    <row r="1481" s="148" customFormat="1" outlineLevel="2" spans="1:24">
      <c r="A1481" s="148" t="s">
        <v>1444</v>
      </c>
      <c r="B1481" s="919" t="s">
        <v>2834</v>
      </c>
      <c r="C1481" s="429" t="str">
        <f t="shared" si="159"/>
        <v>石嘴山市深阳蓝光市政工程有限公司</v>
      </c>
      <c r="D1481" s="920" t="s">
        <v>2840</v>
      </c>
      <c r="E1481" s="819" t="s">
        <v>1444</v>
      </c>
      <c r="F1481" s="549">
        <f>审定资负表!D33</f>
        <v>0</v>
      </c>
      <c r="G1481" s="141"/>
      <c r="H1481" s="141"/>
      <c r="I1481" s="549">
        <f>审定资负表!C33</f>
        <v>0</v>
      </c>
      <c r="X1481" s="501" t="b">
        <f t="shared" si="147"/>
        <v>1</v>
      </c>
    </row>
    <row r="1482" s="148" customFormat="1" outlineLevel="1" spans="1:24">
      <c r="A1482" s="148" t="s">
        <v>1394</v>
      </c>
      <c r="B1482" s="919" t="s">
        <v>2834</v>
      </c>
      <c r="C1482" s="429" t="str">
        <f t="shared" si="159"/>
        <v>石嘴山市深阳蓝光市政工程有限公司</v>
      </c>
      <c r="D1482" s="891" t="s">
        <v>2840</v>
      </c>
      <c r="E1482" s="821" t="s">
        <v>1394</v>
      </c>
      <c r="F1482" s="87">
        <f>ROUND(F1466-F1481,2)</f>
        <v>0</v>
      </c>
      <c r="G1482" s="141"/>
      <c r="H1482" s="141"/>
      <c r="I1482" s="87">
        <f>ROUND(I1466-I1481,2)</f>
        <v>0</v>
      </c>
      <c r="X1482" s="501" t="b">
        <f t="shared" si="147"/>
        <v>1</v>
      </c>
    </row>
    <row r="1483" s="148" customFormat="1" outlineLevel="2" spans="1:24">
      <c r="A1483" s="148" t="s">
        <v>2849</v>
      </c>
      <c r="B1483" s="919" t="s">
        <v>2834</v>
      </c>
      <c r="C1483" s="429" t="str">
        <f t="shared" si="159"/>
        <v>石嘴山市深阳蓝光市政工程有限公司</v>
      </c>
      <c r="D1483" s="920" t="s">
        <v>2840</v>
      </c>
      <c r="E1483" s="502" t="s">
        <v>2850</v>
      </c>
      <c r="F1483" s="141"/>
      <c r="G1483" s="141"/>
      <c r="H1483" s="141"/>
      <c r="I1483" s="141"/>
      <c r="X1483" s="501" t="b">
        <f t="shared" si="147"/>
        <v>1</v>
      </c>
    </row>
    <row r="1484" s="148" customFormat="1" outlineLevel="2" spans="2:24">
      <c r="B1484" s="919" t="s">
        <v>2834</v>
      </c>
      <c r="C1484" s="429" t="str">
        <f t="shared" si="159"/>
        <v>石嘴山市深阳蓝光市政工程有限公司</v>
      </c>
      <c r="D1484" s="891" t="s">
        <v>2840</v>
      </c>
      <c r="E1484" s="936"/>
      <c r="F1484" s="141"/>
      <c r="G1484" s="141"/>
      <c r="H1484" s="141"/>
      <c r="I1484" s="141"/>
      <c r="X1484" s="501" t="b">
        <f t="shared" si="147"/>
        <v>1</v>
      </c>
    </row>
    <row r="1485" s="148" customFormat="1" outlineLevel="2" spans="1:24">
      <c r="A1485" s="148" t="s">
        <v>1701</v>
      </c>
      <c r="B1485" s="919" t="s">
        <v>2834</v>
      </c>
      <c r="C1485" s="429" t="str">
        <f t="shared" si="159"/>
        <v>石嘴山市深阳蓝光市政工程有限公司</v>
      </c>
      <c r="D1485" s="891" t="s">
        <v>2851</v>
      </c>
      <c r="E1485" s="937" t="s">
        <v>2852</v>
      </c>
      <c r="F1485" s="141"/>
      <c r="G1485" s="141"/>
      <c r="H1485" s="141"/>
      <c r="I1485" s="141"/>
      <c r="X1485" s="501" t="b">
        <f t="shared" si="147"/>
        <v>1</v>
      </c>
    </row>
    <row r="1486" s="148" customFormat="1" outlineLevel="2" spans="1:24">
      <c r="A1486" s="148" t="s">
        <v>2853</v>
      </c>
      <c r="B1486" s="919" t="s">
        <v>2834</v>
      </c>
      <c r="C1486" s="429" t="str">
        <f t="shared" si="159"/>
        <v>石嘴山市深阳蓝光市政工程有限公司</v>
      </c>
      <c r="D1486" s="891" t="s">
        <v>2851</v>
      </c>
      <c r="E1486" s="937" t="s">
        <v>2853</v>
      </c>
      <c r="F1486" s="141"/>
      <c r="G1486" s="896" t="s">
        <v>2635</v>
      </c>
      <c r="H1486" s="141"/>
      <c r="I1486" s="141"/>
      <c r="X1486" s="501" t="b">
        <f t="shared" si="147"/>
        <v>1</v>
      </c>
    </row>
    <row r="1487" s="148" customFormat="1" outlineLevel="2" spans="2:24">
      <c r="B1487" s="919" t="s">
        <v>2834</v>
      </c>
      <c r="C1487" s="429" t="str">
        <f t="shared" si="159"/>
        <v>石嘴山市深阳蓝光市政工程有限公司</v>
      </c>
      <c r="D1487" s="891" t="s">
        <v>2854</v>
      </c>
      <c r="E1487" s="149"/>
      <c r="F1487" s="141"/>
      <c r="G1487" s="141"/>
      <c r="H1487" s="141"/>
      <c r="I1487" s="141"/>
      <c r="X1487" s="501" t="b">
        <f t="shared" si="147"/>
        <v>1</v>
      </c>
    </row>
    <row r="1488" s="148" customFormat="1" outlineLevel="2" spans="1:24">
      <c r="A1488" s="148" t="s">
        <v>60</v>
      </c>
      <c r="B1488" s="919" t="s">
        <v>2834</v>
      </c>
      <c r="C1488" s="429" t="str">
        <f t="shared" si="159"/>
        <v>石嘴山市深阳蓝光市政工程有限公司</v>
      </c>
      <c r="D1488" s="891" t="s">
        <v>2854</v>
      </c>
      <c r="E1488" s="938" t="s">
        <v>60</v>
      </c>
      <c r="F1488" s="938" t="s">
        <v>670</v>
      </c>
      <c r="G1488" s="938" t="s">
        <v>671</v>
      </c>
      <c r="H1488" s="938" t="s">
        <v>672</v>
      </c>
      <c r="I1488" s="938" t="s">
        <v>515</v>
      </c>
      <c r="X1488" s="501" t="b">
        <f t="shared" si="147"/>
        <v>1</v>
      </c>
    </row>
    <row r="1489" s="148" customFormat="1" outlineLevel="2" spans="2:24">
      <c r="B1489" s="919" t="s">
        <v>2834</v>
      </c>
      <c r="C1489" s="429" t="str">
        <f t="shared" si="159"/>
        <v>石嘴山市深阳蓝光市政工程有限公司</v>
      </c>
      <c r="D1489" s="891" t="s">
        <v>2854</v>
      </c>
      <c r="E1489" s="487"/>
      <c r="F1489" s="132"/>
      <c r="G1489" s="132"/>
      <c r="H1489" s="132"/>
      <c r="I1489" s="135">
        <f>F1489+G1489-H1489</f>
        <v>0</v>
      </c>
      <c r="X1489" s="501" t="b">
        <f t="shared" si="147"/>
        <v>1</v>
      </c>
    </row>
    <row r="1490" s="148" customFormat="1" outlineLevel="2" spans="2:24">
      <c r="B1490" s="919" t="s">
        <v>2834</v>
      </c>
      <c r="C1490" s="429" t="str">
        <f t="shared" si="159"/>
        <v>石嘴山市深阳蓝光市政工程有限公司</v>
      </c>
      <c r="D1490" s="891" t="s">
        <v>2854</v>
      </c>
      <c r="E1490" s="487"/>
      <c r="F1490" s="132"/>
      <c r="G1490" s="132"/>
      <c r="H1490" s="132"/>
      <c r="I1490" s="135">
        <f t="shared" ref="I1490:I1501" si="160">F1490+G1490-H1490</f>
        <v>0</v>
      </c>
      <c r="X1490" s="501" t="b">
        <f t="shared" si="147"/>
        <v>1</v>
      </c>
    </row>
    <row r="1491" s="148" customFormat="1" outlineLevel="2" spans="2:24">
      <c r="B1491" s="919" t="s">
        <v>2834</v>
      </c>
      <c r="C1491" s="429" t="str">
        <f t="shared" si="159"/>
        <v>石嘴山市深阳蓝光市政工程有限公司</v>
      </c>
      <c r="D1491" s="891" t="s">
        <v>2854</v>
      </c>
      <c r="E1491" s="487"/>
      <c r="F1491" s="132"/>
      <c r="G1491" s="132"/>
      <c r="H1491" s="132"/>
      <c r="I1491" s="135">
        <f t="shared" si="160"/>
        <v>0</v>
      </c>
      <c r="X1491" s="501" t="b">
        <f t="shared" si="147"/>
        <v>1</v>
      </c>
    </row>
    <row r="1492" s="148" customFormat="1" outlineLevel="2" spans="2:24">
      <c r="B1492" s="919" t="s">
        <v>2834</v>
      </c>
      <c r="C1492" s="429" t="str">
        <f t="shared" si="159"/>
        <v>石嘴山市深阳蓝光市政工程有限公司</v>
      </c>
      <c r="D1492" s="891" t="s">
        <v>2854</v>
      </c>
      <c r="E1492" s="487"/>
      <c r="F1492" s="132"/>
      <c r="G1492" s="132"/>
      <c r="H1492" s="132"/>
      <c r="I1492" s="135">
        <f t="shared" si="160"/>
        <v>0</v>
      </c>
      <c r="X1492" s="501" t="b">
        <f t="shared" si="147"/>
        <v>1</v>
      </c>
    </row>
    <row r="1493" s="148" customFormat="1" outlineLevel="2" spans="2:24">
      <c r="B1493" s="919" t="s">
        <v>2834</v>
      </c>
      <c r="C1493" s="429" t="str">
        <f t="shared" si="159"/>
        <v>石嘴山市深阳蓝光市政工程有限公司</v>
      </c>
      <c r="D1493" s="891" t="s">
        <v>2854</v>
      </c>
      <c r="E1493" s="487"/>
      <c r="F1493" s="132"/>
      <c r="G1493" s="132"/>
      <c r="H1493" s="132"/>
      <c r="I1493" s="135">
        <f t="shared" si="160"/>
        <v>0</v>
      </c>
      <c r="X1493" s="501" t="b">
        <f t="shared" si="147"/>
        <v>1</v>
      </c>
    </row>
    <row r="1494" s="148" customFormat="1" outlineLevel="2" spans="2:24">
      <c r="B1494" s="919" t="s">
        <v>2834</v>
      </c>
      <c r="C1494" s="429" t="str">
        <f t="shared" si="159"/>
        <v>石嘴山市深阳蓝光市政工程有限公司</v>
      </c>
      <c r="D1494" s="891" t="s">
        <v>2854</v>
      </c>
      <c r="E1494" s="487"/>
      <c r="F1494" s="132"/>
      <c r="G1494" s="132"/>
      <c r="H1494" s="132"/>
      <c r="I1494" s="135">
        <f t="shared" si="160"/>
        <v>0</v>
      </c>
      <c r="X1494" s="501" t="b">
        <f t="shared" si="147"/>
        <v>1</v>
      </c>
    </row>
    <row r="1495" s="148" customFormat="1" outlineLevel="2" spans="2:24">
      <c r="B1495" s="919" t="s">
        <v>2834</v>
      </c>
      <c r="C1495" s="429" t="str">
        <f t="shared" si="159"/>
        <v>石嘴山市深阳蓝光市政工程有限公司</v>
      </c>
      <c r="D1495" s="891" t="s">
        <v>2854</v>
      </c>
      <c r="E1495" s="487"/>
      <c r="F1495" s="132"/>
      <c r="G1495" s="132"/>
      <c r="H1495" s="132"/>
      <c r="I1495" s="135">
        <f t="shared" si="160"/>
        <v>0</v>
      </c>
      <c r="X1495" s="501" t="b">
        <f t="shared" si="147"/>
        <v>1</v>
      </c>
    </row>
    <row r="1496" s="148" customFormat="1" outlineLevel="2" spans="2:24">
      <c r="B1496" s="919" t="s">
        <v>2834</v>
      </c>
      <c r="C1496" s="429" t="str">
        <f t="shared" si="159"/>
        <v>石嘴山市深阳蓝光市政工程有限公司</v>
      </c>
      <c r="D1496" s="891" t="s">
        <v>2854</v>
      </c>
      <c r="E1496" s="487"/>
      <c r="F1496" s="132"/>
      <c r="G1496" s="132"/>
      <c r="H1496" s="132"/>
      <c r="I1496" s="135">
        <f t="shared" si="160"/>
        <v>0</v>
      </c>
      <c r="X1496" s="501" t="b">
        <f t="shared" si="147"/>
        <v>1</v>
      </c>
    </row>
    <row r="1497" s="148" customFormat="1" outlineLevel="2" spans="2:24">
      <c r="B1497" s="919" t="s">
        <v>2834</v>
      </c>
      <c r="C1497" s="429" t="str">
        <f t="shared" si="159"/>
        <v>石嘴山市深阳蓝光市政工程有限公司</v>
      </c>
      <c r="D1497" s="891" t="s">
        <v>2854</v>
      </c>
      <c r="E1497" s="487"/>
      <c r="F1497" s="132"/>
      <c r="G1497" s="132"/>
      <c r="H1497" s="132"/>
      <c r="I1497" s="135">
        <f t="shared" si="160"/>
        <v>0</v>
      </c>
      <c r="X1497" s="501" t="b">
        <f t="shared" si="147"/>
        <v>1</v>
      </c>
    </row>
    <row r="1498" s="148" customFormat="1" outlineLevel="2" spans="2:24">
      <c r="B1498" s="919" t="s">
        <v>2834</v>
      </c>
      <c r="C1498" s="429" t="str">
        <f t="shared" si="159"/>
        <v>石嘴山市深阳蓝光市政工程有限公司</v>
      </c>
      <c r="D1498" s="891" t="s">
        <v>2854</v>
      </c>
      <c r="E1498" s="487"/>
      <c r="F1498" s="132"/>
      <c r="G1498" s="132"/>
      <c r="H1498" s="132"/>
      <c r="I1498" s="135">
        <f t="shared" si="160"/>
        <v>0</v>
      </c>
      <c r="X1498" s="501" t="b">
        <f t="shared" si="147"/>
        <v>1</v>
      </c>
    </row>
    <row r="1499" s="148" customFormat="1" outlineLevel="2" spans="2:24">
      <c r="B1499" s="919" t="s">
        <v>2834</v>
      </c>
      <c r="C1499" s="429" t="str">
        <f t="shared" si="159"/>
        <v>石嘴山市深阳蓝光市政工程有限公司</v>
      </c>
      <c r="D1499" s="891" t="s">
        <v>2854</v>
      </c>
      <c r="E1499" s="487"/>
      <c r="F1499" s="132"/>
      <c r="G1499" s="132"/>
      <c r="H1499" s="132"/>
      <c r="I1499" s="135">
        <f t="shared" si="160"/>
        <v>0</v>
      </c>
      <c r="X1499" s="501" t="b">
        <f t="shared" si="147"/>
        <v>1</v>
      </c>
    </row>
    <row r="1500" s="148" customFormat="1" outlineLevel="2" spans="2:24">
      <c r="B1500" s="919" t="s">
        <v>2834</v>
      </c>
      <c r="C1500" s="429" t="str">
        <f t="shared" si="159"/>
        <v>石嘴山市深阳蓝光市政工程有限公司</v>
      </c>
      <c r="D1500" s="891" t="s">
        <v>2854</v>
      </c>
      <c r="E1500" s="487"/>
      <c r="F1500" s="132"/>
      <c r="G1500" s="132"/>
      <c r="H1500" s="132"/>
      <c r="I1500" s="135">
        <f t="shared" si="160"/>
        <v>0</v>
      </c>
      <c r="X1500" s="501" t="b">
        <f t="shared" si="147"/>
        <v>1</v>
      </c>
    </row>
    <row r="1501" s="148" customFormat="1" outlineLevel="2" spans="2:24">
      <c r="B1501" s="919" t="s">
        <v>2834</v>
      </c>
      <c r="C1501" s="429" t="str">
        <f t="shared" si="159"/>
        <v>石嘴山市深阳蓝光市政工程有限公司</v>
      </c>
      <c r="D1501" s="891" t="s">
        <v>2854</v>
      </c>
      <c r="E1501" s="487"/>
      <c r="F1501" s="132"/>
      <c r="G1501" s="132"/>
      <c r="H1501" s="132"/>
      <c r="I1501" s="135">
        <f t="shared" si="160"/>
        <v>0</v>
      </c>
      <c r="X1501" s="501" t="b">
        <f t="shared" si="147"/>
        <v>1</v>
      </c>
    </row>
    <row r="1502" s="148" customFormat="1" outlineLevel="2" spans="1:24">
      <c r="A1502" s="148" t="s">
        <v>1580</v>
      </c>
      <c r="B1502" s="919" t="s">
        <v>2834</v>
      </c>
      <c r="C1502" s="429" t="str">
        <f t="shared" si="159"/>
        <v>石嘴山市深阳蓝光市政工程有限公司</v>
      </c>
      <c r="D1502" s="891" t="s">
        <v>2854</v>
      </c>
      <c r="E1502" s="649" t="s">
        <v>1580</v>
      </c>
      <c r="F1502" s="135">
        <f>SUM(F1489:F1501)</f>
        <v>0</v>
      </c>
      <c r="G1502" s="135">
        <f>SUM(G1489:G1501)</f>
        <v>0</v>
      </c>
      <c r="H1502" s="135">
        <f>SUM(H1489:H1501)</f>
        <v>0</v>
      </c>
      <c r="I1502" s="135">
        <f>SUM(I1489:I1501)</f>
        <v>0</v>
      </c>
      <c r="X1502" s="501" t="b">
        <f t="shared" si="147"/>
        <v>1</v>
      </c>
    </row>
    <row r="1503" s="148" customFormat="1" outlineLevel="2" spans="1:24">
      <c r="A1503" s="148" t="s">
        <v>1444</v>
      </c>
      <c r="B1503" s="919" t="s">
        <v>2834</v>
      </c>
      <c r="C1503" s="429" t="str">
        <f t="shared" si="159"/>
        <v>石嘴山市深阳蓝光市政工程有限公司</v>
      </c>
      <c r="D1503" s="891" t="s">
        <v>2854</v>
      </c>
      <c r="E1503" s="819" t="s">
        <v>1444</v>
      </c>
      <c r="F1503" s="549">
        <f>审定资负表!D34</f>
        <v>0</v>
      </c>
      <c r="G1503" s="141"/>
      <c r="H1503" s="141"/>
      <c r="I1503" s="549">
        <f>审定资负表!C34</f>
        <v>0</v>
      </c>
      <c r="X1503" s="501" t="b">
        <f t="shared" si="147"/>
        <v>1</v>
      </c>
    </row>
    <row r="1504" s="148" customFormat="1" outlineLevel="2" spans="1:24">
      <c r="A1504" s="148" t="s">
        <v>1394</v>
      </c>
      <c r="B1504" s="919" t="s">
        <v>2834</v>
      </c>
      <c r="C1504" s="429" t="str">
        <f t="shared" si="159"/>
        <v>石嘴山市深阳蓝光市政工程有限公司</v>
      </c>
      <c r="D1504" s="891" t="s">
        <v>2854</v>
      </c>
      <c r="E1504" s="821" t="s">
        <v>1394</v>
      </c>
      <c r="F1504" s="87">
        <f>ROUND(F1502-F1503,2)</f>
        <v>0</v>
      </c>
      <c r="G1504" s="141"/>
      <c r="H1504" s="141"/>
      <c r="I1504" s="87">
        <f>ROUND(I1502-I1503,2)</f>
        <v>0</v>
      </c>
      <c r="X1504" s="501" t="b">
        <f t="shared" si="147"/>
        <v>1</v>
      </c>
    </row>
    <row r="1505" s="148" customFormat="1" outlineLevel="2" spans="2:24">
      <c r="B1505" s="919" t="s">
        <v>2834</v>
      </c>
      <c r="C1505" s="429" t="str">
        <f t="shared" si="159"/>
        <v>石嘴山市深阳蓝光市政工程有限公司</v>
      </c>
      <c r="D1505" s="891" t="s">
        <v>2854</v>
      </c>
      <c r="E1505" s="821"/>
      <c r="F1505" s="141"/>
      <c r="G1505" s="141"/>
      <c r="H1505" s="141"/>
      <c r="I1505" s="141"/>
      <c r="X1505" s="501" t="b">
        <f t="shared" si="147"/>
        <v>1</v>
      </c>
    </row>
    <row r="1506" s="148" customFormat="1" outlineLevel="2" spans="2:24">
      <c r="B1506" s="919" t="s">
        <v>2834</v>
      </c>
      <c r="C1506" s="429" t="str">
        <f t="shared" si="159"/>
        <v>石嘴山市深阳蓝光市政工程有限公司</v>
      </c>
      <c r="D1506" s="891" t="s">
        <v>2854</v>
      </c>
      <c r="E1506" s="821"/>
      <c r="F1506" s="141"/>
      <c r="G1506" s="141"/>
      <c r="H1506" s="141"/>
      <c r="I1506" s="141"/>
      <c r="X1506" s="501" t="b">
        <f t="shared" si="147"/>
        <v>1</v>
      </c>
    </row>
    <row r="1507" s="148" customFormat="1" outlineLevel="2" spans="1:24">
      <c r="A1507" s="148" t="s">
        <v>60</v>
      </c>
      <c r="B1507" s="919" t="s">
        <v>2834</v>
      </c>
      <c r="C1507" s="429" t="str">
        <f t="shared" si="159"/>
        <v>石嘴山市深阳蓝光市政工程有限公司</v>
      </c>
      <c r="D1507" s="891" t="s">
        <v>2854</v>
      </c>
      <c r="E1507" s="581" t="s">
        <v>60</v>
      </c>
      <c r="F1507" s="581" t="s">
        <v>670</v>
      </c>
      <c r="G1507" s="581" t="s">
        <v>671</v>
      </c>
      <c r="H1507" s="581" t="s">
        <v>672</v>
      </c>
      <c r="I1507" s="581"/>
      <c r="J1507" s="581" t="s">
        <v>515</v>
      </c>
      <c r="X1507" s="501" t="b">
        <f t="shared" si="147"/>
        <v>1</v>
      </c>
    </row>
    <row r="1508" s="148" customFormat="1" outlineLevel="2" spans="2:24">
      <c r="B1508" s="919" t="s">
        <v>2834</v>
      </c>
      <c r="C1508" s="429" t="str">
        <f t="shared" si="159"/>
        <v>石嘴山市深阳蓝光市政工程有限公司</v>
      </c>
      <c r="D1508" s="891" t="s">
        <v>2854</v>
      </c>
      <c r="E1508" s="581"/>
      <c r="F1508" s="581"/>
      <c r="G1508" s="581"/>
      <c r="H1508" s="581" t="s">
        <v>2855</v>
      </c>
      <c r="I1508" s="581" t="s">
        <v>2856</v>
      </c>
      <c r="J1508" s="581"/>
      <c r="X1508" s="501" t="b">
        <f t="shared" si="147"/>
        <v>1</v>
      </c>
    </row>
    <row r="1509" s="148" customFormat="1" outlineLevel="2" spans="1:24">
      <c r="A1509" s="148" t="s">
        <v>1702</v>
      </c>
      <c r="B1509" s="919" t="s">
        <v>2834</v>
      </c>
      <c r="C1509" s="429" t="str">
        <f t="shared" si="159"/>
        <v>石嘴山市深阳蓝光市政工程有限公司</v>
      </c>
      <c r="D1509" s="891" t="s">
        <v>2854</v>
      </c>
      <c r="E1509" s="939" t="s">
        <v>1702</v>
      </c>
      <c r="F1509" s="940">
        <f>报表附注合并期初用!E1174</f>
        <v>0</v>
      </c>
      <c r="G1509" s="941"/>
      <c r="H1509" s="942"/>
      <c r="I1509" s="942"/>
      <c r="J1509" s="945">
        <f>F1509+G1509-H1509-I1509</f>
        <v>0</v>
      </c>
      <c r="K1509" s="567" t="str">
        <f>IF(J1509=0,"相符","余额不为0，请检查")</f>
        <v>相符</v>
      </c>
      <c r="X1509" s="501" t="b">
        <f t="shared" si="147"/>
        <v>1</v>
      </c>
    </row>
    <row r="1510" s="148" customFormat="1" outlineLevel="2" spans="1:24">
      <c r="A1510" s="148" t="s">
        <v>246</v>
      </c>
      <c r="B1510" s="919" t="s">
        <v>2834</v>
      </c>
      <c r="C1510" s="429" t="str">
        <f t="shared" si="159"/>
        <v>石嘴山市深阳蓝光市政工程有限公司</v>
      </c>
      <c r="D1510" s="891" t="s">
        <v>2854</v>
      </c>
      <c r="E1510" s="521" t="s">
        <v>246</v>
      </c>
      <c r="F1510" s="943">
        <f>报表附注合并期初用!E1175</f>
        <v>0</v>
      </c>
      <c r="G1510" s="942"/>
      <c r="H1510" s="941"/>
      <c r="I1510" s="941"/>
      <c r="J1510" s="945">
        <f>F1510+G1510-H1510-I1510</f>
        <v>0</v>
      </c>
      <c r="X1510" s="501" t="b">
        <f t="shared" si="147"/>
        <v>1</v>
      </c>
    </row>
    <row r="1511" s="148" customFormat="1" outlineLevel="2" spans="1:24">
      <c r="A1511" s="148" t="s">
        <v>1580</v>
      </c>
      <c r="B1511" s="919" t="s">
        <v>2834</v>
      </c>
      <c r="C1511" s="429" t="str">
        <f t="shared" si="159"/>
        <v>石嘴山市深阳蓝光市政工程有限公司</v>
      </c>
      <c r="D1511" s="891" t="s">
        <v>2854</v>
      </c>
      <c r="E1511" s="944" t="s">
        <v>1580</v>
      </c>
      <c r="F1511" s="945">
        <f>F1509+F1510</f>
        <v>0</v>
      </c>
      <c r="G1511" s="945">
        <f>G1509+G1510</f>
        <v>0</v>
      </c>
      <c r="H1511" s="945">
        <f>H1509+H1510</f>
        <v>0</v>
      </c>
      <c r="I1511" s="945">
        <f>I1509+I1510</f>
        <v>0</v>
      </c>
      <c r="J1511" s="945">
        <f>J1509+J1510</f>
        <v>0</v>
      </c>
      <c r="X1511" s="501" t="b">
        <f t="shared" si="147"/>
        <v>1</v>
      </c>
    </row>
    <row r="1512" s="148" customFormat="1" outlineLevel="2" spans="1:24">
      <c r="A1512" s="148" t="s">
        <v>1556</v>
      </c>
      <c r="B1512" s="919" t="s">
        <v>2834</v>
      </c>
      <c r="C1512" s="429" t="str">
        <f t="shared" si="159"/>
        <v>石嘴山市深阳蓝光市政工程有限公司</v>
      </c>
      <c r="D1512" s="891" t="s">
        <v>2854</v>
      </c>
      <c r="E1512" s="946" t="s">
        <v>1556</v>
      </c>
      <c r="F1512" s="721">
        <f>ROUND(F1502-F1511,2)</f>
        <v>0</v>
      </c>
      <c r="G1512" s="721">
        <f>ROUND(G1502-G1511,2)</f>
        <v>0</v>
      </c>
      <c r="H1512" s="721">
        <f>ROUND(H1502-H1511-I1511,2)</f>
        <v>0</v>
      </c>
      <c r="I1512" s="951"/>
      <c r="J1512" s="951"/>
      <c r="X1512" s="501" t="b">
        <f t="shared" si="147"/>
        <v>1</v>
      </c>
    </row>
    <row r="1513" s="148" customFormat="1" outlineLevel="2" spans="1:24">
      <c r="A1513" s="148" t="s">
        <v>2857</v>
      </c>
      <c r="B1513" s="919" t="s">
        <v>2834</v>
      </c>
      <c r="C1513" s="429" t="str">
        <f t="shared" si="159"/>
        <v>石嘴山市深阳蓝光市政工程有限公司</v>
      </c>
      <c r="D1513" s="891" t="s">
        <v>2854</v>
      </c>
      <c r="E1513" s="149" t="s">
        <v>2858</v>
      </c>
      <c r="F1513" s="141"/>
      <c r="G1513" s="141"/>
      <c r="H1513" s="141"/>
      <c r="I1513" s="141"/>
      <c r="X1513" s="501" t="b">
        <f t="shared" si="147"/>
        <v>1</v>
      </c>
    </row>
    <row r="1514" s="148" customFormat="1" outlineLevel="2" spans="1:24">
      <c r="A1514" s="148" t="s">
        <v>2315</v>
      </c>
      <c r="B1514" s="919" t="s">
        <v>2834</v>
      </c>
      <c r="C1514" s="429" t="str">
        <f t="shared" si="159"/>
        <v>石嘴山市深阳蓝光市政工程有限公司</v>
      </c>
      <c r="D1514" s="891" t="s">
        <v>2854</v>
      </c>
      <c r="E1514" s="149" t="s">
        <v>2334</v>
      </c>
      <c r="F1514" s="719"/>
      <c r="G1514" s="719"/>
      <c r="H1514" s="719"/>
      <c r="I1514" s="141"/>
      <c r="X1514" s="501" t="b">
        <f t="shared" si="147"/>
        <v>1</v>
      </c>
    </row>
    <row r="1515" s="148" customFormat="1" outlineLevel="2" spans="1:24">
      <c r="A1515" s="148" t="s">
        <v>2859</v>
      </c>
      <c r="B1515" s="919" t="s">
        <v>2834</v>
      </c>
      <c r="C1515" s="429" t="str">
        <f t="shared" si="159"/>
        <v>石嘴山市深阳蓝光市政工程有限公司</v>
      </c>
      <c r="D1515" s="868" t="s">
        <v>2859</v>
      </c>
      <c r="E1515" s="149" t="s">
        <v>2860</v>
      </c>
      <c r="F1515" s="141"/>
      <c r="G1515" s="141"/>
      <c r="H1515" s="141"/>
      <c r="I1515" s="141"/>
      <c r="X1515" s="501" t="b">
        <f t="shared" si="147"/>
        <v>1</v>
      </c>
    </row>
    <row r="1516" s="148" customFormat="1" outlineLevel="2" spans="1:24">
      <c r="A1516" s="148" t="s">
        <v>2315</v>
      </c>
      <c r="B1516" s="919" t="s">
        <v>2834</v>
      </c>
      <c r="C1516" s="429" t="str">
        <f t="shared" si="159"/>
        <v>石嘴山市深阳蓝光市政工程有限公司</v>
      </c>
      <c r="D1516" s="868" t="s">
        <v>2859</v>
      </c>
      <c r="E1516" s="149" t="s">
        <v>2334</v>
      </c>
      <c r="F1516" s="719"/>
      <c r="G1516" s="719"/>
      <c r="H1516" s="719"/>
      <c r="I1516" s="141"/>
      <c r="X1516" s="501" t="b">
        <f t="shared" si="147"/>
        <v>1</v>
      </c>
    </row>
    <row r="1517" s="148" customFormat="1" outlineLevel="2" spans="2:24">
      <c r="B1517" s="919" t="s">
        <v>2834</v>
      </c>
      <c r="C1517" s="429" t="str">
        <f t="shared" si="159"/>
        <v>石嘴山市深阳蓝光市政工程有限公司</v>
      </c>
      <c r="D1517" s="868"/>
      <c r="E1517" s="149"/>
      <c r="F1517" s="141"/>
      <c r="G1517" s="141"/>
      <c r="H1517" s="141"/>
      <c r="I1517" s="141"/>
      <c r="X1517" s="501" t="b">
        <f t="shared" si="147"/>
        <v>1</v>
      </c>
    </row>
    <row r="1518" s="148" customFormat="1" outlineLevel="2" spans="1:24">
      <c r="A1518" s="148" t="s">
        <v>2315</v>
      </c>
      <c r="B1518" s="919" t="s">
        <v>2834</v>
      </c>
      <c r="C1518" s="429" t="str">
        <f t="shared" si="159"/>
        <v>石嘴山市深阳蓝光市政工程有限公司</v>
      </c>
      <c r="D1518" s="868"/>
      <c r="E1518" s="149" t="s">
        <v>2334</v>
      </c>
      <c r="F1518" s="719"/>
      <c r="G1518" s="719"/>
      <c r="H1518" s="719"/>
      <c r="I1518" s="141"/>
      <c r="X1518" s="501" t="b">
        <f t="shared" ref="X1518:X1523" si="161">EXACT(A1518,E1518)</f>
        <v>1</v>
      </c>
    </row>
    <row r="1519" s="148" customFormat="1" outlineLevel="2" spans="2:24">
      <c r="B1519" s="919" t="s">
        <v>2834</v>
      </c>
      <c r="C1519" s="429" t="str">
        <f t="shared" si="159"/>
        <v>石嘴山市深阳蓝光市政工程有限公司</v>
      </c>
      <c r="D1519" s="868"/>
      <c r="E1519" s="149"/>
      <c r="F1519" s="141"/>
      <c r="G1519" s="141"/>
      <c r="H1519" s="141"/>
      <c r="I1519" s="141"/>
      <c r="X1519" s="501" t="b">
        <f t="shared" si="161"/>
        <v>1</v>
      </c>
    </row>
    <row r="1520" s="148" customFormat="1" spans="1:24">
      <c r="A1520" s="148" t="s">
        <v>2861</v>
      </c>
      <c r="B1520" s="911" t="s">
        <v>2862</v>
      </c>
      <c r="C1520" s="429" t="str">
        <f t="shared" si="159"/>
        <v>石嘴山市深阳蓝光市政工程有限公司</v>
      </c>
      <c r="D1520" s="891" t="s">
        <v>2863</v>
      </c>
      <c r="E1520" s="937" t="s">
        <v>2864</v>
      </c>
      <c r="F1520" s="896" t="s">
        <v>2635</v>
      </c>
      <c r="G1520" s="141"/>
      <c r="H1520" s="141"/>
      <c r="I1520" s="141"/>
      <c r="X1520" s="501" t="b">
        <f t="shared" si="161"/>
        <v>0</v>
      </c>
    </row>
    <row r="1521" s="148" customFormat="1" outlineLevel="2" spans="1:24">
      <c r="A1521" s="148" t="s">
        <v>60</v>
      </c>
      <c r="B1521" s="911" t="s">
        <v>2862</v>
      </c>
      <c r="C1521" s="429" t="str">
        <f t="shared" si="159"/>
        <v>石嘴山市深阳蓝光市政工程有限公司</v>
      </c>
      <c r="D1521" s="914" t="s">
        <v>2863</v>
      </c>
      <c r="E1521" s="128" t="s">
        <v>60</v>
      </c>
      <c r="F1521" s="128" t="s">
        <v>928</v>
      </c>
      <c r="G1521" s="128" t="s">
        <v>1473</v>
      </c>
      <c r="H1521" s="128" t="s">
        <v>1219</v>
      </c>
      <c r="I1521" s="128" t="s">
        <v>2865</v>
      </c>
      <c r="J1521" s="128" t="s">
        <v>817</v>
      </c>
      <c r="K1521" s="128" t="s">
        <v>1472</v>
      </c>
      <c r="L1521" s="136" t="s">
        <v>2866</v>
      </c>
      <c r="X1521" s="501" t="b">
        <f t="shared" si="161"/>
        <v>1</v>
      </c>
    </row>
    <row r="1522" s="148" customFormat="1" outlineLevel="2" spans="2:24">
      <c r="B1522" s="911" t="s">
        <v>2862</v>
      </c>
      <c r="C1522" s="429" t="str">
        <f t="shared" si="159"/>
        <v>石嘴山市深阳蓝光市政工程有限公司</v>
      </c>
      <c r="D1522" s="891" t="s">
        <v>2863</v>
      </c>
      <c r="E1522" s="947" t="s">
        <v>2867</v>
      </c>
      <c r="F1522" s="948"/>
      <c r="G1522" s="948"/>
      <c r="H1522" s="948"/>
      <c r="I1522" s="948"/>
      <c r="J1522" s="948"/>
      <c r="K1522" s="952">
        <f>ROUND(G1522+H1522-I1522-J1522,2)</f>
        <v>0</v>
      </c>
      <c r="L1522" s="908"/>
      <c r="X1522" s="501" t="b">
        <f t="shared" si="161"/>
        <v>0</v>
      </c>
    </row>
    <row r="1523" s="148" customFormat="1" outlineLevel="2" spans="2:24">
      <c r="B1523" s="911" t="s">
        <v>2862</v>
      </c>
      <c r="C1523" s="429" t="str">
        <f t="shared" si="159"/>
        <v>石嘴山市深阳蓝光市政工程有限公司</v>
      </c>
      <c r="D1523" s="914" t="s">
        <v>2863</v>
      </c>
      <c r="E1523" s="949" t="s">
        <v>2868</v>
      </c>
      <c r="F1523" s="950"/>
      <c r="G1523" s="948"/>
      <c r="H1523" s="948"/>
      <c r="I1523" s="948"/>
      <c r="J1523" s="948"/>
      <c r="K1523" s="952">
        <f t="shared" ref="K1523:K1551" si="162">ROUND(G1523+H1523-I1523-J1523,2)</f>
        <v>0</v>
      </c>
      <c r="L1523" s="908"/>
      <c r="X1523" s="501" t="b">
        <f t="shared" si="161"/>
        <v>0</v>
      </c>
    </row>
    <row r="1524" s="148" customFormat="1" outlineLevel="2" spans="2:24">
      <c r="B1524" s="911" t="s">
        <v>2862</v>
      </c>
      <c r="C1524" s="429" t="str">
        <f t="shared" ref="C1524:C1543" si="163">$G$1</f>
        <v>石嘴山市深阳蓝光市政工程有限公司</v>
      </c>
      <c r="D1524" s="914" t="s">
        <v>2863</v>
      </c>
      <c r="E1524" s="949" t="s">
        <v>2869</v>
      </c>
      <c r="F1524" s="950"/>
      <c r="G1524" s="948"/>
      <c r="H1524" s="948"/>
      <c r="I1524" s="948"/>
      <c r="J1524" s="948"/>
      <c r="K1524" s="952">
        <f t="shared" si="162"/>
        <v>0</v>
      </c>
      <c r="L1524" s="908"/>
      <c r="X1524" s="501" t="b">
        <f t="shared" ref="X1524:X1530" si="164">EXACT(A1524,E1524)</f>
        <v>0</v>
      </c>
    </row>
    <row r="1525" s="148" customFormat="1" outlineLevel="2" spans="2:24">
      <c r="B1525" s="911" t="s">
        <v>2862</v>
      </c>
      <c r="C1525" s="429" t="str">
        <f t="shared" si="163"/>
        <v>石嘴山市深阳蓝光市政工程有限公司</v>
      </c>
      <c r="D1525" s="914" t="s">
        <v>2863</v>
      </c>
      <c r="E1525" s="949" t="s">
        <v>2870</v>
      </c>
      <c r="F1525" s="950"/>
      <c r="G1525" s="948"/>
      <c r="H1525" s="948"/>
      <c r="I1525" s="948"/>
      <c r="J1525" s="948"/>
      <c r="K1525" s="952">
        <f t="shared" si="162"/>
        <v>0</v>
      </c>
      <c r="L1525" s="908"/>
      <c r="X1525" s="501" t="b">
        <f t="shared" si="164"/>
        <v>0</v>
      </c>
    </row>
    <row r="1526" s="148" customFormat="1" outlineLevel="2" spans="2:24">
      <c r="B1526" s="911" t="s">
        <v>2862</v>
      </c>
      <c r="C1526" s="429" t="str">
        <f t="shared" si="163"/>
        <v>石嘴山市深阳蓝光市政工程有限公司</v>
      </c>
      <c r="D1526" s="914" t="s">
        <v>2863</v>
      </c>
      <c r="E1526" s="949" t="s">
        <v>2871</v>
      </c>
      <c r="F1526" s="950"/>
      <c r="G1526" s="948"/>
      <c r="H1526" s="948"/>
      <c r="I1526" s="948"/>
      <c r="J1526" s="948"/>
      <c r="K1526" s="952">
        <f t="shared" si="162"/>
        <v>0</v>
      </c>
      <c r="L1526" s="908"/>
      <c r="X1526" s="501" t="b">
        <f t="shared" si="164"/>
        <v>0</v>
      </c>
    </row>
    <row r="1527" s="148" customFormat="1" outlineLevel="2" spans="2:24">
      <c r="B1527" s="911" t="s">
        <v>2862</v>
      </c>
      <c r="C1527" s="429" t="str">
        <f t="shared" si="163"/>
        <v>石嘴山市深阳蓝光市政工程有限公司</v>
      </c>
      <c r="D1527" s="914" t="s">
        <v>2863</v>
      </c>
      <c r="E1527" s="949" t="s">
        <v>2872</v>
      </c>
      <c r="F1527" s="950"/>
      <c r="G1527" s="948"/>
      <c r="H1527" s="948"/>
      <c r="I1527" s="948"/>
      <c r="J1527" s="948"/>
      <c r="K1527" s="952">
        <f t="shared" si="162"/>
        <v>0</v>
      </c>
      <c r="L1527" s="908"/>
      <c r="X1527" s="501" t="b">
        <f t="shared" si="164"/>
        <v>0</v>
      </c>
    </row>
    <row r="1528" s="148" customFormat="1" outlineLevel="2" spans="2:24">
      <c r="B1528" s="911" t="s">
        <v>2862</v>
      </c>
      <c r="C1528" s="429" t="str">
        <f t="shared" si="163"/>
        <v>石嘴山市深阳蓝光市政工程有限公司</v>
      </c>
      <c r="D1528" s="914" t="s">
        <v>2863</v>
      </c>
      <c r="E1528" s="949" t="s">
        <v>2873</v>
      </c>
      <c r="F1528" s="950"/>
      <c r="G1528" s="948"/>
      <c r="H1528" s="948"/>
      <c r="I1528" s="948"/>
      <c r="J1528" s="948"/>
      <c r="K1528" s="952">
        <f t="shared" si="162"/>
        <v>0</v>
      </c>
      <c r="L1528" s="908"/>
      <c r="X1528" s="501" t="b">
        <f t="shared" si="164"/>
        <v>0</v>
      </c>
    </row>
    <row r="1529" s="148" customFormat="1" outlineLevel="2" spans="2:24">
      <c r="B1529" s="911" t="s">
        <v>2862</v>
      </c>
      <c r="C1529" s="429" t="str">
        <f t="shared" si="163"/>
        <v>石嘴山市深阳蓝光市政工程有限公司</v>
      </c>
      <c r="D1529" s="914" t="s">
        <v>2863</v>
      </c>
      <c r="E1529" s="949" t="s">
        <v>2874</v>
      </c>
      <c r="F1529" s="950"/>
      <c r="G1529" s="948"/>
      <c r="H1529" s="948"/>
      <c r="I1529" s="948"/>
      <c r="J1529" s="948"/>
      <c r="K1529" s="952">
        <f t="shared" si="162"/>
        <v>0</v>
      </c>
      <c r="L1529" s="908"/>
      <c r="X1529" s="501" t="b">
        <f t="shared" si="164"/>
        <v>0</v>
      </c>
    </row>
    <row r="1530" s="148" customFormat="1" outlineLevel="2" spans="2:24">
      <c r="B1530" s="911" t="s">
        <v>2862</v>
      </c>
      <c r="C1530" s="429" t="str">
        <f t="shared" si="163"/>
        <v>石嘴山市深阳蓝光市政工程有限公司</v>
      </c>
      <c r="D1530" s="914" t="s">
        <v>2863</v>
      </c>
      <c r="E1530" s="949" t="s">
        <v>2875</v>
      </c>
      <c r="F1530" s="950"/>
      <c r="G1530" s="948"/>
      <c r="H1530" s="948"/>
      <c r="I1530" s="948"/>
      <c r="J1530" s="948"/>
      <c r="K1530" s="952">
        <f t="shared" si="162"/>
        <v>0</v>
      </c>
      <c r="L1530" s="908"/>
      <c r="X1530" s="501" t="b">
        <f t="shared" si="164"/>
        <v>0</v>
      </c>
    </row>
    <row r="1531" s="148" customFormat="1" outlineLevel="2" spans="2:24">
      <c r="B1531" s="911" t="s">
        <v>2862</v>
      </c>
      <c r="C1531" s="429" t="str">
        <f t="shared" si="163"/>
        <v>石嘴山市深阳蓝光市政工程有限公司</v>
      </c>
      <c r="D1531" s="914" t="s">
        <v>2863</v>
      </c>
      <c r="E1531" s="949" t="s">
        <v>2876</v>
      </c>
      <c r="F1531" s="950"/>
      <c r="G1531" s="948"/>
      <c r="H1531" s="948"/>
      <c r="I1531" s="948"/>
      <c r="J1531" s="948"/>
      <c r="K1531" s="952">
        <f t="shared" si="162"/>
        <v>0</v>
      </c>
      <c r="L1531" s="908"/>
      <c r="X1531" s="501" t="b">
        <f t="shared" ref="X1531:X1543" si="165">EXACT(A1531,E1531)</f>
        <v>0</v>
      </c>
    </row>
    <row r="1532" s="148" customFormat="1" outlineLevel="3" spans="2:24">
      <c r="B1532" s="911" t="s">
        <v>2862</v>
      </c>
      <c r="C1532" s="429" t="str">
        <f t="shared" si="163"/>
        <v>石嘴山市深阳蓝光市政工程有限公司</v>
      </c>
      <c r="D1532" s="914" t="s">
        <v>2863</v>
      </c>
      <c r="E1532" s="949" t="s">
        <v>2877</v>
      </c>
      <c r="F1532" s="950"/>
      <c r="G1532" s="948"/>
      <c r="H1532" s="948"/>
      <c r="I1532" s="948"/>
      <c r="J1532" s="948"/>
      <c r="K1532" s="952">
        <f t="shared" si="162"/>
        <v>0</v>
      </c>
      <c r="L1532" s="908"/>
      <c r="X1532" s="501" t="b">
        <f t="shared" si="165"/>
        <v>0</v>
      </c>
    </row>
    <row r="1533" s="148" customFormat="1" outlineLevel="3" spans="2:24">
      <c r="B1533" s="911" t="s">
        <v>2862</v>
      </c>
      <c r="C1533" s="429" t="str">
        <f t="shared" si="163"/>
        <v>石嘴山市深阳蓝光市政工程有限公司</v>
      </c>
      <c r="D1533" s="914" t="s">
        <v>2863</v>
      </c>
      <c r="E1533" s="949" t="s">
        <v>2878</v>
      </c>
      <c r="F1533" s="950"/>
      <c r="G1533" s="948"/>
      <c r="H1533" s="948"/>
      <c r="I1533" s="948"/>
      <c r="J1533" s="948"/>
      <c r="K1533" s="952">
        <f t="shared" si="162"/>
        <v>0</v>
      </c>
      <c r="L1533" s="908"/>
      <c r="X1533" s="501" t="b">
        <f t="shared" si="165"/>
        <v>0</v>
      </c>
    </row>
    <row r="1534" s="148" customFormat="1" outlineLevel="3" spans="2:24">
      <c r="B1534" s="911" t="s">
        <v>2862</v>
      </c>
      <c r="C1534" s="429" t="str">
        <f t="shared" si="163"/>
        <v>石嘴山市深阳蓝光市政工程有限公司</v>
      </c>
      <c r="D1534" s="914" t="s">
        <v>2863</v>
      </c>
      <c r="E1534" s="949" t="s">
        <v>2879</v>
      </c>
      <c r="F1534" s="950"/>
      <c r="G1534" s="948"/>
      <c r="H1534" s="948"/>
      <c r="I1534" s="948"/>
      <c r="J1534" s="948"/>
      <c r="K1534" s="952">
        <f t="shared" si="162"/>
        <v>0</v>
      </c>
      <c r="L1534" s="908"/>
      <c r="X1534" s="501" t="b">
        <f t="shared" si="165"/>
        <v>0</v>
      </c>
    </row>
    <row r="1535" s="148" customFormat="1" outlineLevel="3" spans="2:24">
      <c r="B1535" s="911" t="s">
        <v>2862</v>
      </c>
      <c r="C1535" s="429" t="str">
        <f t="shared" si="163"/>
        <v>石嘴山市深阳蓝光市政工程有限公司</v>
      </c>
      <c r="D1535" s="914" t="s">
        <v>2863</v>
      </c>
      <c r="E1535" s="949" t="s">
        <v>2880</v>
      </c>
      <c r="F1535" s="950"/>
      <c r="G1535" s="948"/>
      <c r="H1535" s="948"/>
      <c r="I1535" s="948"/>
      <c r="J1535" s="948"/>
      <c r="K1535" s="952">
        <f t="shared" si="162"/>
        <v>0</v>
      </c>
      <c r="L1535" s="908"/>
      <c r="X1535" s="501" t="b">
        <f t="shared" si="165"/>
        <v>0</v>
      </c>
    </row>
    <row r="1536" s="148" customFormat="1" outlineLevel="3" spans="2:24">
      <c r="B1536" s="911" t="s">
        <v>2862</v>
      </c>
      <c r="C1536" s="429" t="str">
        <f t="shared" si="163"/>
        <v>石嘴山市深阳蓝光市政工程有限公司</v>
      </c>
      <c r="D1536" s="914" t="s">
        <v>2863</v>
      </c>
      <c r="E1536" s="949" t="s">
        <v>2881</v>
      </c>
      <c r="F1536" s="950"/>
      <c r="G1536" s="948"/>
      <c r="H1536" s="948"/>
      <c r="I1536" s="948"/>
      <c r="J1536" s="948"/>
      <c r="K1536" s="952">
        <f t="shared" si="162"/>
        <v>0</v>
      </c>
      <c r="L1536" s="908"/>
      <c r="X1536" s="501" t="b">
        <f t="shared" si="165"/>
        <v>0</v>
      </c>
    </row>
    <row r="1537" s="148" customFormat="1" hidden="1" outlineLevel="3" spans="2:24">
      <c r="B1537" s="911" t="s">
        <v>2862</v>
      </c>
      <c r="C1537" s="429" t="str">
        <f t="shared" si="163"/>
        <v>石嘴山市深阳蓝光市政工程有限公司</v>
      </c>
      <c r="D1537" s="914" t="s">
        <v>2863</v>
      </c>
      <c r="E1537" s="949" t="s">
        <v>2882</v>
      </c>
      <c r="F1537" s="950"/>
      <c r="G1537" s="948"/>
      <c r="H1537" s="948"/>
      <c r="I1537" s="948"/>
      <c r="J1537" s="948"/>
      <c r="K1537" s="952">
        <f t="shared" si="162"/>
        <v>0</v>
      </c>
      <c r="L1537" s="908"/>
      <c r="X1537" s="501" t="b">
        <f t="shared" si="165"/>
        <v>0</v>
      </c>
    </row>
    <row r="1538" s="148" customFormat="1" hidden="1" outlineLevel="3" spans="2:24">
      <c r="B1538" s="911" t="s">
        <v>2862</v>
      </c>
      <c r="C1538" s="429" t="str">
        <f t="shared" si="163"/>
        <v>石嘴山市深阳蓝光市政工程有限公司</v>
      </c>
      <c r="D1538" s="914" t="s">
        <v>2863</v>
      </c>
      <c r="E1538" s="949" t="s">
        <v>2883</v>
      </c>
      <c r="F1538" s="950"/>
      <c r="G1538" s="948"/>
      <c r="H1538" s="948"/>
      <c r="I1538" s="948"/>
      <c r="J1538" s="948"/>
      <c r="K1538" s="952">
        <f t="shared" si="162"/>
        <v>0</v>
      </c>
      <c r="L1538" s="908"/>
      <c r="X1538" s="501" t="b">
        <f t="shared" si="165"/>
        <v>0</v>
      </c>
    </row>
    <row r="1539" s="148" customFormat="1" hidden="1" outlineLevel="3" spans="2:24">
      <c r="B1539" s="911" t="s">
        <v>2862</v>
      </c>
      <c r="C1539" s="429" t="str">
        <f t="shared" si="163"/>
        <v>石嘴山市深阳蓝光市政工程有限公司</v>
      </c>
      <c r="D1539" s="914" t="s">
        <v>2863</v>
      </c>
      <c r="E1539" s="949" t="s">
        <v>2884</v>
      </c>
      <c r="F1539" s="950"/>
      <c r="G1539" s="948"/>
      <c r="H1539" s="948"/>
      <c r="I1539" s="948"/>
      <c r="J1539" s="948"/>
      <c r="K1539" s="952">
        <f t="shared" si="162"/>
        <v>0</v>
      </c>
      <c r="L1539" s="908"/>
      <c r="X1539" s="501" t="b">
        <f t="shared" si="165"/>
        <v>0</v>
      </c>
    </row>
    <row r="1540" s="148" customFormat="1" hidden="1" outlineLevel="3" spans="2:24">
      <c r="B1540" s="911" t="s">
        <v>2862</v>
      </c>
      <c r="C1540" s="429" t="str">
        <f t="shared" si="163"/>
        <v>石嘴山市深阳蓝光市政工程有限公司</v>
      </c>
      <c r="D1540" s="914" t="s">
        <v>2863</v>
      </c>
      <c r="E1540" s="949" t="s">
        <v>2885</v>
      </c>
      <c r="F1540" s="950"/>
      <c r="G1540" s="948"/>
      <c r="H1540" s="948"/>
      <c r="I1540" s="948"/>
      <c r="J1540" s="948"/>
      <c r="K1540" s="952">
        <f t="shared" si="162"/>
        <v>0</v>
      </c>
      <c r="L1540" s="908"/>
      <c r="X1540" s="501" t="b">
        <f t="shared" si="165"/>
        <v>0</v>
      </c>
    </row>
    <row r="1541" s="148" customFormat="1" hidden="1" outlineLevel="3" spans="2:24">
      <c r="B1541" s="911" t="s">
        <v>2862</v>
      </c>
      <c r="C1541" s="429" t="str">
        <f t="shared" si="163"/>
        <v>石嘴山市深阳蓝光市政工程有限公司</v>
      </c>
      <c r="D1541" s="914" t="s">
        <v>2863</v>
      </c>
      <c r="E1541" s="949" t="s">
        <v>2886</v>
      </c>
      <c r="F1541" s="950"/>
      <c r="G1541" s="948"/>
      <c r="H1541" s="948"/>
      <c r="I1541" s="948"/>
      <c r="J1541" s="948"/>
      <c r="K1541" s="952">
        <f t="shared" si="162"/>
        <v>0</v>
      </c>
      <c r="L1541" s="908"/>
      <c r="X1541" s="501" t="b">
        <f t="shared" si="165"/>
        <v>0</v>
      </c>
    </row>
    <row r="1542" s="148" customFormat="1" hidden="1" outlineLevel="3" spans="2:24">
      <c r="B1542" s="911" t="s">
        <v>2862</v>
      </c>
      <c r="C1542" s="429" t="str">
        <f t="shared" si="163"/>
        <v>石嘴山市深阳蓝光市政工程有限公司</v>
      </c>
      <c r="D1542" s="914" t="s">
        <v>2863</v>
      </c>
      <c r="E1542" s="949" t="s">
        <v>2887</v>
      </c>
      <c r="F1542" s="950"/>
      <c r="G1542" s="948"/>
      <c r="H1542" s="948"/>
      <c r="I1542" s="948"/>
      <c r="J1542" s="948"/>
      <c r="K1542" s="952">
        <f t="shared" si="162"/>
        <v>0</v>
      </c>
      <c r="L1542" s="908"/>
      <c r="X1542" s="501" t="b">
        <f t="shared" si="165"/>
        <v>0</v>
      </c>
    </row>
    <row r="1543" s="148" customFormat="1" hidden="1" outlineLevel="3" spans="2:24">
      <c r="B1543" s="911" t="s">
        <v>2862</v>
      </c>
      <c r="C1543" s="429" t="str">
        <f t="shared" si="163"/>
        <v>石嘴山市深阳蓝光市政工程有限公司</v>
      </c>
      <c r="D1543" s="914" t="s">
        <v>2863</v>
      </c>
      <c r="E1543" s="949" t="s">
        <v>2888</v>
      </c>
      <c r="F1543" s="950"/>
      <c r="G1543" s="948"/>
      <c r="H1543" s="948"/>
      <c r="I1543" s="948"/>
      <c r="J1543" s="948"/>
      <c r="K1543" s="952">
        <f t="shared" si="162"/>
        <v>0</v>
      </c>
      <c r="L1543" s="908"/>
      <c r="X1543" s="501" t="b">
        <f t="shared" si="165"/>
        <v>0</v>
      </c>
    </row>
    <row r="1544" s="148" customFormat="1" hidden="1" outlineLevel="3" spans="2:24">
      <c r="B1544" s="911" t="s">
        <v>2862</v>
      </c>
      <c r="C1544" s="429" t="str">
        <f t="shared" ref="C1544:C1607" si="166">$G$1</f>
        <v>石嘴山市深阳蓝光市政工程有限公司</v>
      </c>
      <c r="D1544" s="891" t="s">
        <v>2863</v>
      </c>
      <c r="E1544" s="949" t="s">
        <v>2889</v>
      </c>
      <c r="F1544" s="950"/>
      <c r="G1544" s="948"/>
      <c r="H1544" s="948"/>
      <c r="I1544" s="948"/>
      <c r="J1544" s="948"/>
      <c r="K1544" s="952">
        <f t="shared" si="162"/>
        <v>0</v>
      </c>
      <c r="L1544" s="908"/>
      <c r="X1544" s="501" t="b">
        <f t="shared" ref="X1544:X1607" si="167">EXACT(A1544,E1544)</f>
        <v>0</v>
      </c>
    </row>
    <row r="1545" s="148" customFormat="1" hidden="1" outlineLevel="3" spans="2:24">
      <c r="B1545" s="911" t="s">
        <v>2862</v>
      </c>
      <c r="C1545" s="429" t="str">
        <f t="shared" si="166"/>
        <v>石嘴山市深阳蓝光市政工程有限公司</v>
      </c>
      <c r="D1545" s="914" t="s">
        <v>2863</v>
      </c>
      <c r="E1545" s="949" t="s">
        <v>2890</v>
      </c>
      <c r="F1545" s="950"/>
      <c r="G1545" s="948"/>
      <c r="H1545" s="948"/>
      <c r="I1545" s="948"/>
      <c r="J1545" s="948"/>
      <c r="K1545" s="952">
        <f t="shared" si="162"/>
        <v>0</v>
      </c>
      <c r="L1545" s="908"/>
      <c r="X1545" s="501" t="b">
        <f t="shared" si="167"/>
        <v>0</v>
      </c>
    </row>
    <row r="1546" s="148" customFormat="1" hidden="1" outlineLevel="3" spans="2:24">
      <c r="B1546" s="911" t="s">
        <v>2862</v>
      </c>
      <c r="C1546" s="429" t="str">
        <f t="shared" si="166"/>
        <v>石嘴山市深阳蓝光市政工程有限公司</v>
      </c>
      <c r="D1546" s="891" t="s">
        <v>2863</v>
      </c>
      <c r="E1546" s="949" t="s">
        <v>2891</v>
      </c>
      <c r="F1546" s="132"/>
      <c r="G1546" s="132"/>
      <c r="H1546" s="132"/>
      <c r="I1546" s="132"/>
      <c r="J1546" s="547"/>
      <c r="K1546" s="952">
        <f t="shared" si="162"/>
        <v>0</v>
      </c>
      <c r="L1546" s="908"/>
      <c r="X1546" s="501" t="b">
        <f t="shared" si="167"/>
        <v>0</v>
      </c>
    </row>
    <row r="1547" s="148" customFormat="1" hidden="1" outlineLevel="3" spans="2:24">
      <c r="B1547" s="911" t="s">
        <v>2862</v>
      </c>
      <c r="C1547" s="429" t="str">
        <f t="shared" si="166"/>
        <v>石嘴山市深阳蓝光市政工程有限公司</v>
      </c>
      <c r="D1547" s="914" t="s">
        <v>2863</v>
      </c>
      <c r="E1547" s="949" t="s">
        <v>2892</v>
      </c>
      <c r="F1547" s="132"/>
      <c r="G1547" s="132"/>
      <c r="H1547" s="132"/>
      <c r="I1547" s="132"/>
      <c r="J1547" s="547"/>
      <c r="K1547" s="952">
        <f t="shared" si="162"/>
        <v>0</v>
      </c>
      <c r="L1547" s="908"/>
      <c r="X1547" s="501" t="b">
        <f t="shared" si="167"/>
        <v>0</v>
      </c>
    </row>
    <row r="1548" s="148" customFormat="1" hidden="1" outlineLevel="3" spans="2:24">
      <c r="B1548" s="911" t="s">
        <v>2862</v>
      </c>
      <c r="C1548" s="429" t="str">
        <f t="shared" si="166"/>
        <v>石嘴山市深阳蓝光市政工程有限公司</v>
      </c>
      <c r="D1548" s="891" t="s">
        <v>2863</v>
      </c>
      <c r="E1548" s="949" t="s">
        <v>2893</v>
      </c>
      <c r="F1548" s="132"/>
      <c r="G1548" s="132"/>
      <c r="H1548" s="132"/>
      <c r="I1548" s="132"/>
      <c r="J1548" s="547"/>
      <c r="K1548" s="952">
        <f t="shared" si="162"/>
        <v>0</v>
      </c>
      <c r="L1548" s="908"/>
      <c r="X1548" s="501" t="b">
        <f t="shared" si="167"/>
        <v>0</v>
      </c>
    </row>
    <row r="1549" s="148" customFormat="1" hidden="1" outlineLevel="3" spans="2:24">
      <c r="B1549" s="911" t="s">
        <v>2862</v>
      </c>
      <c r="C1549" s="429" t="str">
        <f t="shared" si="166"/>
        <v>石嘴山市深阳蓝光市政工程有限公司</v>
      </c>
      <c r="D1549" s="914" t="s">
        <v>2863</v>
      </c>
      <c r="E1549" s="949" t="s">
        <v>2894</v>
      </c>
      <c r="F1549" s="132"/>
      <c r="G1549" s="132"/>
      <c r="H1549" s="132"/>
      <c r="I1549" s="132"/>
      <c r="J1549" s="547"/>
      <c r="K1549" s="952">
        <f t="shared" si="162"/>
        <v>0</v>
      </c>
      <c r="L1549" s="908"/>
      <c r="X1549" s="501" t="b">
        <f t="shared" si="167"/>
        <v>0</v>
      </c>
    </row>
    <row r="1550" s="148" customFormat="1" hidden="1" outlineLevel="3" spans="2:24">
      <c r="B1550" s="911" t="s">
        <v>2862</v>
      </c>
      <c r="C1550" s="429" t="str">
        <f t="shared" si="166"/>
        <v>石嘴山市深阳蓝光市政工程有限公司</v>
      </c>
      <c r="D1550" s="914" t="s">
        <v>2863</v>
      </c>
      <c r="E1550" s="949" t="s">
        <v>2895</v>
      </c>
      <c r="F1550" s="132"/>
      <c r="G1550" s="132"/>
      <c r="H1550" s="132"/>
      <c r="I1550" s="132"/>
      <c r="J1550" s="547"/>
      <c r="K1550" s="952">
        <f t="shared" si="162"/>
        <v>0</v>
      </c>
      <c r="L1550" s="908"/>
      <c r="X1550" s="501" t="b">
        <f t="shared" si="167"/>
        <v>0</v>
      </c>
    </row>
    <row r="1551" s="148" customFormat="1" hidden="1" outlineLevel="3" spans="2:24">
      <c r="B1551" s="911" t="s">
        <v>2862</v>
      </c>
      <c r="C1551" s="429" t="str">
        <f t="shared" si="166"/>
        <v>石嘴山市深阳蓝光市政工程有限公司</v>
      </c>
      <c r="D1551" s="891" t="s">
        <v>2863</v>
      </c>
      <c r="E1551" s="949" t="s">
        <v>2896</v>
      </c>
      <c r="F1551" s="132"/>
      <c r="G1551" s="132"/>
      <c r="H1551" s="132"/>
      <c r="I1551" s="132"/>
      <c r="J1551" s="547"/>
      <c r="K1551" s="952">
        <f t="shared" si="162"/>
        <v>0</v>
      </c>
      <c r="L1551" s="908"/>
      <c r="X1551" s="501" t="b">
        <f t="shared" si="167"/>
        <v>0</v>
      </c>
    </row>
    <row r="1552" s="148" customFormat="1" outlineLevel="2" spans="1:24">
      <c r="A1552" s="148" t="s">
        <v>1580</v>
      </c>
      <c r="B1552" s="911" t="s">
        <v>2862</v>
      </c>
      <c r="C1552" s="429" t="str">
        <f t="shared" si="166"/>
        <v>石嘴山市深阳蓝光市政工程有限公司</v>
      </c>
      <c r="D1552" s="914" t="s">
        <v>2863</v>
      </c>
      <c r="E1552" s="649" t="s">
        <v>1580</v>
      </c>
      <c r="F1552" s="135">
        <f t="shared" ref="F1552:K1552" si="168">ROUND(SUM(F1522:F1551),2)</f>
        <v>0</v>
      </c>
      <c r="G1552" s="135">
        <f t="shared" si="168"/>
        <v>0</v>
      </c>
      <c r="H1552" s="135">
        <f t="shared" si="168"/>
        <v>0</v>
      </c>
      <c r="I1552" s="135">
        <f t="shared" si="168"/>
        <v>0</v>
      </c>
      <c r="J1552" s="135">
        <f t="shared" si="168"/>
        <v>0</v>
      </c>
      <c r="K1552" s="135">
        <f t="shared" si="168"/>
        <v>0</v>
      </c>
      <c r="L1552" s="909"/>
      <c r="X1552" s="501" t="b">
        <f t="shared" si="167"/>
        <v>1</v>
      </c>
    </row>
    <row r="1553" s="148" customFormat="1" outlineLevel="2" spans="1:24">
      <c r="A1553" s="148" t="s">
        <v>1444</v>
      </c>
      <c r="B1553" s="911" t="s">
        <v>2862</v>
      </c>
      <c r="C1553" s="429" t="str">
        <f t="shared" si="166"/>
        <v>石嘴山市深阳蓝光市政工程有限公司</v>
      </c>
      <c r="D1553" s="891" t="s">
        <v>2863</v>
      </c>
      <c r="E1553" s="819" t="s">
        <v>1444</v>
      </c>
      <c r="F1553" s="141"/>
      <c r="G1553" s="549">
        <f>审定资负表!D36</f>
        <v>0</v>
      </c>
      <c r="H1553" s="141"/>
      <c r="I1553" s="141"/>
      <c r="J1553" s="141"/>
      <c r="K1553" s="549">
        <f>审定资负表!C36</f>
        <v>0</v>
      </c>
      <c r="X1553" s="501" t="b">
        <f t="shared" si="167"/>
        <v>1</v>
      </c>
    </row>
    <row r="1554" s="148" customFormat="1" outlineLevel="1" collapsed="1" spans="1:24">
      <c r="A1554" s="148" t="s">
        <v>1394</v>
      </c>
      <c r="B1554" s="911" t="s">
        <v>2862</v>
      </c>
      <c r="C1554" s="429" t="str">
        <f t="shared" si="166"/>
        <v>石嘴山市深阳蓝光市政工程有限公司</v>
      </c>
      <c r="D1554" s="914" t="s">
        <v>2863</v>
      </c>
      <c r="E1554" s="821" t="s">
        <v>1394</v>
      </c>
      <c r="F1554" s="141"/>
      <c r="G1554" s="87">
        <f>ROUND(G1552-G1553,2)</f>
        <v>0</v>
      </c>
      <c r="H1554" s="141"/>
      <c r="I1554" s="141"/>
      <c r="J1554" s="141"/>
      <c r="K1554" s="87">
        <f>ROUND(K1552-K1553,2)</f>
        <v>0</v>
      </c>
      <c r="X1554" s="501" t="b">
        <f t="shared" si="167"/>
        <v>1</v>
      </c>
    </row>
    <row r="1555" s="148" customFormat="1" hidden="1" outlineLevel="2" spans="2:24">
      <c r="B1555" s="911" t="s">
        <v>2862</v>
      </c>
      <c r="C1555" s="429" t="str">
        <f t="shared" si="166"/>
        <v>石嘴山市深阳蓝光市政工程有限公司</v>
      </c>
      <c r="D1555" s="891" t="s">
        <v>2863</v>
      </c>
      <c r="E1555" s="149"/>
      <c r="F1555" s="141"/>
      <c r="G1555" s="141"/>
      <c r="H1555" s="141"/>
      <c r="I1555" s="141"/>
      <c r="J1555" s="141"/>
      <c r="K1555" s="141"/>
      <c r="X1555" s="501" t="b">
        <f t="shared" si="167"/>
        <v>1</v>
      </c>
    </row>
    <row r="1556" s="148" customFormat="1" hidden="1" outlineLevel="2" spans="1:24">
      <c r="A1556" s="148" t="s">
        <v>2315</v>
      </c>
      <c r="B1556" s="911" t="s">
        <v>2862</v>
      </c>
      <c r="C1556" s="429" t="str">
        <f t="shared" si="166"/>
        <v>石嘴山市深阳蓝光市政工程有限公司</v>
      </c>
      <c r="D1556" s="914" t="s">
        <v>2863</v>
      </c>
      <c r="E1556" s="149" t="s">
        <v>2334</v>
      </c>
      <c r="F1556" s="719"/>
      <c r="G1556" s="719"/>
      <c r="H1556" s="719"/>
      <c r="I1556" s="141"/>
      <c r="X1556" s="501" t="b">
        <f t="shared" si="167"/>
        <v>1</v>
      </c>
    </row>
    <row r="1557" s="148" customFormat="1" ht="18" customHeight="1" spans="1:24">
      <c r="A1557" s="148" t="s">
        <v>2897</v>
      </c>
      <c r="B1557" s="911" t="s">
        <v>2898</v>
      </c>
      <c r="C1557" s="429" t="str">
        <f t="shared" si="166"/>
        <v>石嘴山市深阳蓝光市政工程有限公司</v>
      </c>
      <c r="D1557" s="914" t="s">
        <v>2899</v>
      </c>
      <c r="E1557" s="65" t="s">
        <v>2900</v>
      </c>
      <c r="F1557" s="896" t="s">
        <v>2635</v>
      </c>
      <c r="G1557" s="141"/>
      <c r="H1557" s="141"/>
      <c r="I1557" s="141"/>
      <c r="X1557" s="501" t="b">
        <f t="shared" si="167"/>
        <v>1</v>
      </c>
    </row>
    <row r="1558" s="148" customFormat="1" outlineLevel="2" spans="1:24">
      <c r="A1558" s="148" t="s">
        <v>2901</v>
      </c>
      <c r="B1558" s="911" t="s">
        <v>2898</v>
      </c>
      <c r="C1558" s="429" t="str">
        <f t="shared" si="166"/>
        <v>石嘴山市深阳蓝光市政工程有限公司</v>
      </c>
      <c r="D1558" s="953" t="s">
        <v>2899</v>
      </c>
      <c r="E1558" s="954" t="s">
        <v>2902</v>
      </c>
      <c r="F1558" s="955"/>
      <c r="G1558" s="955"/>
      <c r="H1558" s="955"/>
      <c r="I1558" s="955"/>
      <c r="X1558" s="501" t="b">
        <f t="shared" si="167"/>
        <v>1</v>
      </c>
    </row>
    <row r="1559" s="148" customFormat="1" outlineLevel="2" spans="1:24">
      <c r="A1559" s="148" t="s">
        <v>668</v>
      </c>
      <c r="B1559" s="911" t="s">
        <v>2898</v>
      </c>
      <c r="C1559" s="429" t="str">
        <f t="shared" si="166"/>
        <v>石嘴山市深阳蓝光市政工程有限公司</v>
      </c>
      <c r="D1559" s="914" t="s">
        <v>2903</v>
      </c>
      <c r="E1559" s="956" t="s">
        <v>668</v>
      </c>
      <c r="F1559" s="956" t="s">
        <v>925</v>
      </c>
      <c r="G1559" s="956" t="s">
        <v>2602</v>
      </c>
      <c r="H1559" s="956" t="s">
        <v>671</v>
      </c>
      <c r="I1559" s="956" t="s">
        <v>672</v>
      </c>
      <c r="J1559" s="956" t="s">
        <v>626</v>
      </c>
      <c r="X1559" s="501" t="b">
        <f t="shared" si="167"/>
        <v>1</v>
      </c>
    </row>
    <row r="1560" s="148" customFormat="1" outlineLevel="2" spans="2:24">
      <c r="B1560" s="911" t="s">
        <v>2898</v>
      </c>
      <c r="C1560" s="429" t="str">
        <f t="shared" si="166"/>
        <v>石嘴山市深阳蓝光市政工程有限公司</v>
      </c>
      <c r="D1560" s="953" t="s">
        <v>2903</v>
      </c>
      <c r="E1560" s="957"/>
      <c r="F1560" s="957"/>
      <c r="G1560" s="958"/>
      <c r="H1560" s="958"/>
      <c r="I1560" s="958"/>
      <c r="J1560" s="961">
        <f>G1560+H1560-I1560</f>
        <v>0</v>
      </c>
      <c r="X1560" s="501" t="b">
        <f t="shared" si="167"/>
        <v>1</v>
      </c>
    </row>
    <row r="1561" s="148" customFormat="1" outlineLevel="2" spans="2:24">
      <c r="B1561" s="911" t="s">
        <v>2898</v>
      </c>
      <c r="C1561" s="429" t="str">
        <f t="shared" si="166"/>
        <v>石嘴山市深阳蓝光市政工程有限公司</v>
      </c>
      <c r="D1561" s="914" t="s">
        <v>2903</v>
      </c>
      <c r="E1561" s="957"/>
      <c r="F1561" s="957"/>
      <c r="G1561" s="958"/>
      <c r="H1561" s="958"/>
      <c r="I1561" s="958"/>
      <c r="J1561" s="961">
        <f>G1561+H1561-I1561</f>
        <v>0</v>
      </c>
      <c r="X1561" s="501" t="b">
        <f t="shared" si="167"/>
        <v>1</v>
      </c>
    </row>
    <row r="1562" s="148" customFormat="1" outlineLevel="2" spans="2:24">
      <c r="B1562" s="911" t="s">
        <v>2898</v>
      </c>
      <c r="C1562" s="429" t="str">
        <f t="shared" si="166"/>
        <v>石嘴山市深阳蓝光市政工程有限公司</v>
      </c>
      <c r="D1562" s="953" t="s">
        <v>2903</v>
      </c>
      <c r="E1562" s="957"/>
      <c r="F1562" s="957"/>
      <c r="G1562" s="958"/>
      <c r="H1562" s="958"/>
      <c r="I1562" s="958"/>
      <c r="J1562" s="961">
        <f>G1562+H1562-I1562</f>
        <v>0</v>
      </c>
      <c r="X1562" s="501" t="b">
        <f t="shared" si="167"/>
        <v>1</v>
      </c>
    </row>
    <row r="1563" s="148" customFormat="1" outlineLevel="2" spans="2:24">
      <c r="B1563" s="911" t="s">
        <v>2898</v>
      </c>
      <c r="C1563" s="429" t="str">
        <f t="shared" si="166"/>
        <v>石嘴山市深阳蓝光市政工程有限公司</v>
      </c>
      <c r="D1563" s="914" t="s">
        <v>2903</v>
      </c>
      <c r="E1563" s="957"/>
      <c r="F1563" s="957"/>
      <c r="G1563" s="958"/>
      <c r="H1563" s="958"/>
      <c r="I1563" s="958"/>
      <c r="J1563" s="961">
        <f>G1563+H1563-I1563</f>
        <v>0</v>
      </c>
      <c r="X1563" s="501" t="b">
        <f t="shared" si="167"/>
        <v>1</v>
      </c>
    </row>
    <row r="1564" s="148" customFormat="1" outlineLevel="2" spans="2:24">
      <c r="B1564" s="911" t="s">
        <v>2898</v>
      </c>
      <c r="C1564" s="429" t="str">
        <f t="shared" si="166"/>
        <v>石嘴山市深阳蓝光市政工程有限公司</v>
      </c>
      <c r="D1564" s="953" t="s">
        <v>2903</v>
      </c>
      <c r="E1564" s="957"/>
      <c r="F1564" s="957"/>
      <c r="G1564" s="958"/>
      <c r="H1564" s="958"/>
      <c r="I1564" s="958"/>
      <c r="J1564" s="961">
        <f>G1564+H1564-I1564</f>
        <v>0</v>
      </c>
      <c r="X1564" s="501" t="b">
        <f t="shared" si="167"/>
        <v>1</v>
      </c>
    </row>
    <row r="1565" s="148" customFormat="1" outlineLevel="2" spans="2:24">
      <c r="B1565" s="911" t="s">
        <v>2898</v>
      </c>
      <c r="C1565" s="429" t="str">
        <f t="shared" si="166"/>
        <v>石嘴山市深阳蓝光市政工程有限公司</v>
      </c>
      <c r="D1565" s="914" t="s">
        <v>2903</v>
      </c>
      <c r="E1565" s="959"/>
      <c r="F1565" s="960" t="s">
        <v>2904</v>
      </c>
      <c r="G1565" s="961">
        <f>SUM(G1560:G1564)</f>
        <v>0</v>
      </c>
      <c r="H1565" s="961">
        <f>SUM(H1560:H1564)</f>
        <v>0</v>
      </c>
      <c r="I1565" s="961">
        <f>SUM(I1560:I1564)</f>
        <v>0</v>
      </c>
      <c r="J1565" s="961">
        <f>SUM(J1560:J1564)</f>
        <v>0</v>
      </c>
      <c r="X1565" s="501" t="b">
        <f t="shared" si="167"/>
        <v>1</v>
      </c>
    </row>
    <row r="1566" s="148" customFormat="1" outlineLevel="2" spans="2:24">
      <c r="B1566" s="911" t="s">
        <v>2898</v>
      </c>
      <c r="C1566" s="429" t="str">
        <f t="shared" si="166"/>
        <v>石嘴山市深阳蓝光市政工程有限公司</v>
      </c>
      <c r="D1566" s="953" t="s">
        <v>2903</v>
      </c>
      <c r="E1566" s="962"/>
      <c r="F1566" s="955"/>
      <c r="G1566" s="955"/>
      <c r="H1566" s="955"/>
      <c r="I1566" s="955"/>
      <c r="X1566" s="501" t="b">
        <f t="shared" si="167"/>
        <v>1</v>
      </c>
    </row>
    <row r="1567" s="148" customFormat="1" outlineLevel="2" spans="1:24">
      <c r="A1567" s="148" t="s">
        <v>2905</v>
      </c>
      <c r="B1567" s="911" t="s">
        <v>2898</v>
      </c>
      <c r="C1567" s="429" t="str">
        <f t="shared" si="166"/>
        <v>石嘴山市深阳蓝光市政工程有限公司</v>
      </c>
      <c r="D1567" s="963" t="s">
        <v>2906</v>
      </c>
      <c r="E1567" s="954" t="s">
        <v>2907</v>
      </c>
      <c r="F1567" s="955"/>
      <c r="G1567" s="955"/>
      <c r="H1567" s="955"/>
      <c r="I1567" s="955"/>
      <c r="X1567" s="501" t="b">
        <f t="shared" si="167"/>
        <v>1</v>
      </c>
    </row>
    <row r="1568" s="148" customFormat="1" outlineLevel="2" spans="1:24">
      <c r="A1568" s="148" t="s">
        <v>60</v>
      </c>
      <c r="B1568" s="911" t="s">
        <v>2898</v>
      </c>
      <c r="C1568" s="429" t="str">
        <f t="shared" si="166"/>
        <v>石嘴山市深阳蓝光市政工程有限公司</v>
      </c>
      <c r="D1568" s="963" t="s">
        <v>2906</v>
      </c>
      <c r="E1568" s="956" t="s">
        <v>60</v>
      </c>
      <c r="F1568" s="956" t="s">
        <v>1579</v>
      </c>
      <c r="G1568" s="956" t="s">
        <v>1757</v>
      </c>
      <c r="H1568" s="956" t="s">
        <v>672</v>
      </c>
      <c r="I1568" s="956" t="s">
        <v>315</v>
      </c>
      <c r="X1568" s="501" t="b">
        <f t="shared" si="167"/>
        <v>1</v>
      </c>
    </row>
    <row r="1569" s="148" customFormat="1" outlineLevel="2" spans="2:24">
      <c r="B1569" s="911" t="s">
        <v>2898</v>
      </c>
      <c r="C1569" s="429" t="str">
        <f t="shared" si="166"/>
        <v>石嘴山市深阳蓝光市政工程有限公司</v>
      </c>
      <c r="D1569" s="963" t="s">
        <v>2906</v>
      </c>
      <c r="E1569" s="964"/>
      <c r="F1569" s="964"/>
      <c r="G1569" s="964"/>
      <c r="H1569" s="964"/>
      <c r="I1569" s="961">
        <f>F1569+G1569-H1569</f>
        <v>0</v>
      </c>
      <c r="X1569" s="501" t="b">
        <f t="shared" si="167"/>
        <v>1</v>
      </c>
    </row>
    <row r="1570" s="148" customFormat="1" outlineLevel="2" spans="2:24">
      <c r="B1570" s="911" t="s">
        <v>2898</v>
      </c>
      <c r="C1570" s="429" t="str">
        <f t="shared" si="166"/>
        <v>石嘴山市深阳蓝光市政工程有限公司</v>
      </c>
      <c r="D1570" s="963" t="s">
        <v>2906</v>
      </c>
      <c r="E1570" s="964"/>
      <c r="F1570" s="964"/>
      <c r="G1570" s="964"/>
      <c r="H1570" s="964"/>
      <c r="I1570" s="961">
        <f>F1570+G1570-H1570</f>
        <v>0</v>
      </c>
      <c r="X1570" s="501" t="b">
        <f t="shared" si="167"/>
        <v>1</v>
      </c>
    </row>
    <row r="1571" s="148" customFormat="1" outlineLevel="2" spans="2:24">
      <c r="B1571" s="911" t="s">
        <v>2898</v>
      </c>
      <c r="C1571" s="429" t="str">
        <f t="shared" si="166"/>
        <v>石嘴山市深阳蓝光市政工程有限公司</v>
      </c>
      <c r="D1571" s="963" t="s">
        <v>2906</v>
      </c>
      <c r="E1571" s="965"/>
      <c r="F1571" s="958"/>
      <c r="G1571" s="958"/>
      <c r="H1571" s="958"/>
      <c r="I1571" s="961">
        <f>F1571+G1571-H1571</f>
        <v>0</v>
      </c>
      <c r="X1571" s="501" t="b">
        <f t="shared" si="167"/>
        <v>1</v>
      </c>
    </row>
    <row r="1572" s="148" customFormat="1" outlineLevel="2" spans="2:24">
      <c r="B1572" s="911" t="s">
        <v>2898</v>
      </c>
      <c r="C1572" s="429" t="str">
        <f t="shared" si="166"/>
        <v>石嘴山市深阳蓝光市政工程有限公司</v>
      </c>
      <c r="D1572" s="963" t="s">
        <v>2906</v>
      </c>
      <c r="E1572" s="965"/>
      <c r="F1572" s="958"/>
      <c r="G1572" s="958"/>
      <c r="H1572" s="958"/>
      <c r="I1572" s="961">
        <f>F1572+G1572-H1572</f>
        <v>0</v>
      </c>
      <c r="X1572" s="501" t="b">
        <f t="shared" si="167"/>
        <v>1</v>
      </c>
    </row>
    <row r="1573" s="148" customFormat="1" outlineLevel="2" spans="1:24">
      <c r="A1573" s="148" t="s">
        <v>1580</v>
      </c>
      <c r="B1573" s="911" t="s">
        <v>2898</v>
      </c>
      <c r="C1573" s="429" t="str">
        <f t="shared" si="166"/>
        <v>石嘴山市深阳蓝光市政工程有限公司</v>
      </c>
      <c r="D1573" s="963" t="s">
        <v>2906</v>
      </c>
      <c r="E1573" s="956" t="s">
        <v>1580</v>
      </c>
      <c r="F1573" s="961">
        <f>SUM(F1569:F1572)</f>
        <v>0</v>
      </c>
      <c r="G1573" s="961">
        <f>SUM(G1569:G1572)</f>
        <v>0</v>
      </c>
      <c r="H1573" s="961">
        <f>SUM(H1569:H1572)</f>
        <v>0</v>
      </c>
      <c r="I1573" s="961">
        <f>SUM(I1569:I1572)</f>
        <v>0</v>
      </c>
      <c r="X1573" s="501" t="b">
        <f t="shared" si="167"/>
        <v>1</v>
      </c>
    </row>
    <row r="1574" s="148" customFormat="1" outlineLevel="2" spans="1:24">
      <c r="A1574" s="148" t="s">
        <v>1444</v>
      </c>
      <c r="B1574" s="911" t="s">
        <v>2898</v>
      </c>
      <c r="C1574" s="429" t="str">
        <f t="shared" si="166"/>
        <v>石嘴山市深阳蓝光市政工程有限公司</v>
      </c>
      <c r="D1574" s="963" t="s">
        <v>2906</v>
      </c>
      <c r="E1574" s="819" t="s">
        <v>1444</v>
      </c>
      <c r="F1574" s="549">
        <f>审定资负表!D35</f>
        <v>0</v>
      </c>
      <c r="G1574" s="141"/>
      <c r="H1574" s="141"/>
      <c r="I1574" s="549">
        <f>审定资负表!C35</f>
        <v>0</v>
      </c>
      <c r="X1574" s="501" t="b">
        <f t="shared" si="167"/>
        <v>1</v>
      </c>
    </row>
    <row r="1575" s="148" customFormat="1" outlineLevel="1" spans="1:24">
      <c r="A1575" s="148" t="s">
        <v>1394</v>
      </c>
      <c r="B1575" s="911" t="s">
        <v>2898</v>
      </c>
      <c r="C1575" s="429" t="str">
        <f t="shared" si="166"/>
        <v>石嘴山市深阳蓝光市政工程有限公司</v>
      </c>
      <c r="D1575" s="963" t="s">
        <v>2906</v>
      </c>
      <c r="E1575" s="821" t="s">
        <v>1394</v>
      </c>
      <c r="F1575" s="721">
        <f>ROUND(G1565-F1573-F1574,2)</f>
        <v>0</v>
      </c>
      <c r="G1575" s="141"/>
      <c r="H1575" s="141"/>
      <c r="I1575" s="721">
        <f>ROUND(J1565-I1573-I1574,2)</f>
        <v>0</v>
      </c>
      <c r="X1575" s="501" t="b">
        <f t="shared" si="167"/>
        <v>1</v>
      </c>
    </row>
    <row r="1576" s="148" customFormat="1" outlineLevel="2" spans="1:24">
      <c r="A1576" s="148" t="s">
        <v>2908</v>
      </c>
      <c r="B1576" s="911" t="s">
        <v>2898</v>
      </c>
      <c r="C1576" s="429" t="str">
        <f t="shared" si="166"/>
        <v>石嘴山市深阳蓝光市政工程有限公司</v>
      </c>
      <c r="D1576" s="966" t="s">
        <v>2908</v>
      </c>
      <c r="E1576" s="624" t="s">
        <v>2908</v>
      </c>
      <c r="F1576" s="141"/>
      <c r="G1576" s="141"/>
      <c r="H1576" s="141"/>
      <c r="I1576" s="141"/>
      <c r="X1576" s="501" t="b">
        <f t="shared" si="167"/>
        <v>1</v>
      </c>
    </row>
    <row r="1577" s="148" customFormat="1" outlineLevel="2" spans="1:24">
      <c r="A1577" s="148" t="s">
        <v>2315</v>
      </c>
      <c r="B1577" s="911" t="s">
        <v>2898</v>
      </c>
      <c r="C1577" s="429" t="str">
        <f t="shared" si="166"/>
        <v>石嘴山市深阳蓝光市政工程有限公司</v>
      </c>
      <c r="D1577" s="966" t="s">
        <v>2908</v>
      </c>
      <c r="E1577" s="149" t="s">
        <v>2334</v>
      </c>
      <c r="F1577" s="719"/>
      <c r="G1577" s="719"/>
      <c r="H1577" s="719"/>
      <c r="I1577" s="141"/>
      <c r="X1577" s="501" t="b">
        <f t="shared" si="167"/>
        <v>1</v>
      </c>
    </row>
    <row r="1578" s="148" customFormat="1" outlineLevel="2" spans="2:24">
      <c r="B1578" s="911" t="s">
        <v>2898</v>
      </c>
      <c r="C1578" s="429" t="str">
        <f t="shared" si="166"/>
        <v>石嘴山市深阳蓝光市政工程有限公司</v>
      </c>
      <c r="D1578" s="966" t="s">
        <v>2908</v>
      </c>
      <c r="E1578" s="149"/>
      <c r="F1578" s="141"/>
      <c r="G1578" s="141"/>
      <c r="H1578" s="141"/>
      <c r="I1578" s="141"/>
      <c r="X1578" s="501" t="b">
        <f t="shared" si="167"/>
        <v>1</v>
      </c>
    </row>
    <row r="1579" s="148" customFormat="1" outlineLevel="2" spans="2:24">
      <c r="B1579" s="911" t="s">
        <v>2898</v>
      </c>
      <c r="C1579" s="429" t="str">
        <f t="shared" si="166"/>
        <v>石嘴山市深阳蓝光市政工程有限公司</v>
      </c>
      <c r="D1579" s="868"/>
      <c r="E1579" s="149"/>
      <c r="F1579" s="141"/>
      <c r="G1579" s="141"/>
      <c r="H1579" s="141"/>
      <c r="I1579" s="141"/>
      <c r="X1579" s="501" t="b">
        <f t="shared" si="167"/>
        <v>1</v>
      </c>
    </row>
    <row r="1580" s="148" customFormat="1" outlineLevel="2" spans="1:24">
      <c r="A1580" s="148" t="s">
        <v>2315</v>
      </c>
      <c r="B1580" s="911" t="s">
        <v>2898</v>
      </c>
      <c r="C1580" s="429" t="str">
        <f t="shared" si="166"/>
        <v>石嘴山市深阳蓝光市政工程有限公司</v>
      </c>
      <c r="D1580" s="868"/>
      <c r="E1580" s="149" t="s">
        <v>2334</v>
      </c>
      <c r="F1580" s="719"/>
      <c r="G1580" s="719"/>
      <c r="H1580" s="719"/>
      <c r="I1580" s="141"/>
      <c r="X1580" s="501" t="b">
        <f t="shared" si="167"/>
        <v>1</v>
      </c>
    </row>
    <row r="1581" s="148" customFormat="1" outlineLevel="2" spans="2:24">
      <c r="B1581" s="911" t="s">
        <v>2898</v>
      </c>
      <c r="C1581" s="429" t="str">
        <f t="shared" si="166"/>
        <v>石嘴山市深阳蓝光市政工程有限公司</v>
      </c>
      <c r="D1581" s="868"/>
      <c r="E1581" s="149"/>
      <c r="F1581" s="141"/>
      <c r="G1581" s="141"/>
      <c r="H1581" s="141"/>
      <c r="I1581" s="141"/>
      <c r="X1581" s="501" t="b">
        <f t="shared" si="167"/>
        <v>1</v>
      </c>
    </row>
    <row r="1582" s="148" customFormat="1" spans="1:24">
      <c r="A1582" s="148" t="s">
        <v>2909</v>
      </c>
      <c r="B1582" s="911" t="s">
        <v>2910</v>
      </c>
      <c r="C1582" s="429" t="str">
        <f t="shared" si="166"/>
        <v>石嘴山市深阳蓝光市政工程有限公司</v>
      </c>
      <c r="D1582" s="914" t="s">
        <v>2804</v>
      </c>
      <c r="E1582" s="937" t="s">
        <v>2911</v>
      </c>
      <c r="F1582" s="896" t="s">
        <v>2635</v>
      </c>
      <c r="G1582" s="141"/>
      <c r="H1582" s="141"/>
      <c r="I1582" s="141"/>
      <c r="X1582" s="501" t="b">
        <f t="shared" si="167"/>
        <v>1</v>
      </c>
    </row>
    <row r="1583" s="148" customFormat="1" outlineLevel="2" spans="1:24">
      <c r="A1583" s="148" t="s">
        <v>2806</v>
      </c>
      <c r="B1583" s="911" t="s">
        <v>2910</v>
      </c>
      <c r="C1583" s="429" t="str">
        <f t="shared" si="166"/>
        <v>石嘴山市深阳蓝光市政工程有限公司</v>
      </c>
      <c r="D1583" s="914" t="s">
        <v>2804</v>
      </c>
      <c r="E1583" s="149" t="s">
        <v>2807</v>
      </c>
      <c r="F1583" s="141"/>
      <c r="G1583" s="141"/>
      <c r="H1583" s="141"/>
      <c r="I1583" s="141"/>
      <c r="X1583" s="501" t="b">
        <f t="shared" si="167"/>
        <v>1</v>
      </c>
    </row>
    <row r="1584" s="148" customFormat="1" outlineLevel="2" spans="1:24">
      <c r="A1584" s="148" t="s">
        <v>60</v>
      </c>
      <c r="B1584" s="911" t="s">
        <v>2910</v>
      </c>
      <c r="C1584" s="429" t="str">
        <f t="shared" si="166"/>
        <v>石嘴山市深阳蓝光市政工程有限公司</v>
      </c>
      <c r="D1584" s="914" t="s">
        <v>2808</v>
      </c>
      <c r="E1584" s="967" t="s">
        <v>60</v>
      </c>
      <c r="F1584" s="967" t="s">
        <v>572</v>
      </c>
      <c r="G1584" s="967" t="s">
        <v>515</v>
      </c>
      <c r="H1584" s="967" t="s">
        <v>670</v>
      </c>
      <c r="I1584" s="141"/>
      <c r="X1584" s="501" t="b">
        <f t="shared" si="167"/>
        <v>1</v>
      </c>
    </row>
    <row r="1585" s="148" customFormat="1" outlineLevel="2" spans="2:24">
      <c r="B1585" s="911" t="s">
        <v>2910</v>
      </c>
      <c r="C1585" s="429" t="str">
        <f t="shared" si="166"/>
        <v>石嘴山市深阳蓝光市政工程有限公司</v>
      </c>
      <c r="D1585" s="914" t="s">
        <v>2808</v>
      </c>
      <c r="E1585" s="967" t="s">
        <v>2912</v>
      </c>
      <c r="F1585" s="968"/>
      <c r="G1585" s="968"/>
      <c r="H1585" s="132"/>
      <c r="I1585" s="141"/>
      <c r="X1585" s="501" t="b">
        <f t="shared" si="167"/>
        <v>0</v>
      </c>
    </row>
    <row r="1586" s="148" customFormat="1" outlineLevel="2" collapsed="1" spans="2:24">
      <c r="B1586" s="911" t="s">
        <v>2910</v>
      </c>
      <c r="C1586" s="429" t="str">
        <f t="shared" si="166"/>
        <v>石嘴山市深阳蓝光市政工程有限公司</v>
      </c>
      <c r="D1586" s="914" t="s">
        <v>2808</v>
      </c>
      <c r="E1586" s="967" t="s">
        <v>2913</v>
      </c>
      <c r="F1586" s="968"/>
      <c r="G1586" s="968"/>
      <c r="H1586" s="968"/>
      <c r="I1586" s="141"/>
      <c r="K1586" s="148">
        <v>1</v>
      </c>
      <c r="X1586" s="501" t="b">
        <f t="shared" si="167"/>
        <v>0</v>
      </c>
    </row>
    <row r="1587" s="148" customFormat="1" hidden="1" outlineLevel="3" spans="2:24">
      <c r="B1587" s="911" t="s">
        <v>2910</v>
      </c>
      <c r="C1587" s="429" t="str">
        <f t="shared" si="166"/>
        <v>石嘴山市深阳蓝光市政工程有限公司</v>
      </c>
      <c r="D1587" s="914" t="s">
        <v>2808</v>
      </c>
      <c r="E1587" s="968"/>
      <c r="F1587" s="968"/>
      <c r="G1587" s="968"/>
      <c r="H1587" s="132"/>
      <c r="I1587" s="141"/>
      <c r="K1587" s="975"/>
      <c r="X1587" s="501" t="b">
        <f t="shared" si="167"/>
        <v>1</v>
      </c>
    </row>
    <row r="1588" s="148" customFormat="1" hidden="1" outlineLevel="3" spans="2:24">
      <c r="B1588" s="911" t="s">
        <v>2910</v>
      </c>
      <c r="C1588" s="429" t="str">
        <f t="shared" si="166"/>
        <v>石嘴山市深阳蓝光市政工程有限公司</v>
      </c>
      <c r="D1588" s="914" t="s">
        <v>2808</v>
      </c>
      <c r="E1588" s="968"/>
      <c r="F1588" s="968"/>
      <c r="G1588" s="968"/>
      <c r="H1588" s="132"/>
      <c r="I1588" s="141"/>
      <c r="K1588" s="772"/>
      <c r="X1588" s="501" t="b">
        <f t="shared" si="167"/>
        <v>1</v>
      </c>
    </row>
    <row r="1589" s="148" customFormat="1" hidden="1" outlineLevel="3" spans="2:24">
      <c r="B1589" s="911" t="s">
        <v>2910</v>
      </c>
      <c r="C1589" s="429" t="str">
        <f t="shared" si="166"/>
        <v>石嘴山市深阳蓝光市政工程有限公司</v>
      </c>
      <c r="D1589" s="914" t="s">
        <v>2808</v>
      </c>
      <c r="E1589" s="968"/>
      <c r="F1589" s="968"/>
      <c r="G1589" s="968"/>
      <c r="H1589" s="132"/>
      <c r="I1589" s="141"/>
      <c r="K1589" s="975"/>
      <c r="X1589" s="501" t="b">
        <f t="shared" si="167"/>
        <v>1</v>
      </c>
    </row>
    <row r="1590" s="148" customFormat="1" hidden="1" outlineLevel="3" spans="2:24">
      <c r="B1590" s="911" t="s">
        <v>2910</v>
      </c>
      <c r="C1590" s="429" t="str">
        <f t="shared" si="166"/>
        <v>石嘴山市深阳蓝光市政工程有限公司</v>
      </c>
      <c r="D1590" s="914" t="s">
        <v>2808</v>
      </c>
      <c r="E1590" s="968"/>
      <c r="F1590" s="968"/>
      <c r="G1590" s="968"/>
      <c r="H1590" s="132"/>
      <c r="I1590" s="141"/>
      <c r="X1590" s="501" t="b">
        <f t="shared" si="167"/>
        <v>1</v>
      </c>
    </row>
    <row r="1591" s="148" customFormat="1" outlineLevel="2" spans="1:24">
      <c r="A1591" s="148" t="s">
        <v>1580</v>
      </c>
      <c r="B1591" s="911" t="s">
        <v>2910</v>
      </c>
      <c r="C1591" s="429" t="str">
        <f t="shared" si="166"/>
        <v>石嘴山市深阳蓝光市政工程有限公司</v>
      </c>
      <c r="D1591" s="914" t="s">
        <v>2808</v>
      </c>
      <c r="E1591" s="967" t="s">
        <v>1580</v>
      </c>
      <c r="F1591" s="969"/>
      <c r="G1591" s="970">
        <f>SUM(G1585:G1590)</f>
        <v>0</v>
      </c>
      <c r="H1591" s="970">
        <f>SUM(H1585:H1590)</f>
        <v>0</v>
      </c>
      <c r="I1591" s="141"/>
      <c r="X1591" s="501" t="b">
        <f t="shared" si="167"/>
        <v>1</v>
      </c>
    </row>
    <row r="1592" s="148" customFormat="1" outlineLevel="2" spans="1:24">
      <c r="A1592" s="148" t="s">
        <v>1444</v>
      </c>
      <c r="B1592" s="911" t="s">
        <v>2910</v>
      </c>
      <c r="C1592" s="429" t="str">
        <f t="shared" si="166"/>
        <v>石嘴山市深阳蓝光市政工程有限公司</v>
      </c>
      <c r="D1592" s="914" t="s">
        <v>2808</v>
      </c>
      <c r="E1592" s="821" t="s">
        <v>1444</v>
      </c>
      <c r="F1592" s="141"/>
      <c r="G1592" s="549">
        <f>审定资负表!C38</f>
        <v>0</v>
      </c>
      <c r="H1592" s="549">
        <f>审定资负表!D38</f>
        <v>0</v>
      </c>
      <c r="I1592" s="141"/>
      <c r="X1592" s="501" t="b">
        <f t="shared" si="167"/>
        <v>1</v>
      </c>
    </row>
    <row r="1593" s="148" customFormat="1" outlineLevel="1" collapsed="1" spans="1:24">
      <c r="A1593" s="148" t="s">
        <v>1394</v>
      </c>
      <c r="B1593" s="911" t="s">
        <v>2910</v>
      </c>
      <c r="C1593" s="429" t="str">
        <f t="shared" si="166"/>
        <v>石嘴山市深阳蓝光市政工程有限公司</v>
      </c>
      <c r="D1593" s="914" t="s">
        <v>2808</v>
      </c>
      <c r="E1593" s="821" t="s">
        <v>1394</v>
      </c>
      <c r="F1593" s="141"/>
      <c r="G1593" s="721">
        <f>ROUND(G1591-G1592,2)</f>
        <v>0</v>
      </c>
      <c r="H1593" s="721">
        <f>ROUND(H1591-H1592,2)</f>
        <v>0</v>
      </c>
      <c r="I1593" s="141"/>
      <c r="X1593" s="501" t="b">
        <f t="shared" si="167"/>
        <v>1</v>
      </c>
    </row>
    <row r="1594" s="148" customFormat="1" hidden="1" outlineLevel="2" spans="2:24">
      <c r="B1594" s="911" t="s">
        <v>2910</v>
      </c>
      <c r="C1594" s="429" t="str">
        <f t="shared" si="166"/>
        <v>石嘴山市深阳蓝光市政工程有限公司</v>
      </c>
      <c r="D1594" s="868"/>
      <c r="E1594" s="149"/>
      <c r="F1594" s="141"/>
      <c r="G1594" s="141"/>
      <c r="H1594" s="141"/>
      <c r="I1594" s="141"/>
      <c r="X1594" s="501" t="b">
        <f t="shared" si="167"/>
        <v>1</v>
      </c>
    </row>
    <row r="1595" s="148" customFormat="1" hidden="1" outlineLevel="2" spans="1:24">
      <c r="A1595" s="148" t="s">
        <v>2315</v>
      </c>
      <c r="B1595" s="911" t="s">
        <v>2910</v>
      </c>
      <c r="C1595" s="429" t="str">
        <f t="shared" si="166"/>
        <v>石嘴山市深阳蓝光市政工程有限公司</v>
      </c>
      <c r="D1595" s="868"/>
      <c r="E1595" s="149" t="s">
        <v>2334</v>
      </c>
      <c r="F1595" s="719"/>
      <c r="G1595" s="719"/>
      <c r="H1595" s="719"/>
      <c r="I1595" s="141"/>
      <c r="X1595" s="501" t="b">
        <f t="shared" si="167"/>
        <v>1</v>
      </c>
    </row>
    <row r="1596" s="148" customFormat="1" hidden="1" outlineLevel="2" spans="2:24">
      <c r="B1596" s="911" t="s">
        <v>2910</v>
      </c>
      <c r="C1596" s="429" t="str">
        <f t="shared" si="166"/>
        <v>石嘴山市深阳蓝光市政工程有限公司</v>
      </c>
      <c r="D1596" s="868"/>
      <c r="E1596" s="149"/>
      <c r="F1596" s="141"/>
      <c r="G1596" s="141"/>
      <c r="H1596" s="141"/>
      <c r="I1596" s="141"/>
      <c r="X1596" s="501" t="b">
        <f t="shared" si="167"/>
        <v>1</v>
      </c>
    </row>
    <row r="1597" s="148" customFormat="1" spans="1:24">
      <c r="A1597" s="148" t="s">
        <v>1708</v>
      </c>
      <c r="B1597" s="911" t="s">
        <v>2914</v>
      </c>
      <c r="C1597" s="429" t="str">
        <f t="shared" si="166"/>
        <v>石嘴山市深阳蓝光市政工程有限公司</v>
      </c>
      <c r="D1597" s="914" t="s">
        <v>2915</v>
      </c>
      <c r="E1597" s="65" t="s">
        <v>2916</v>
      </c>
      <c r="F1597" s="141"/>
      <c r="G1597" s="141"/>
      <c r="H1597" s="141"/>
      <c r="I1597" s="141"/>
      <c r="X1597" s="501" t="b">
        <f t="shared" si="167"/>
        <v>1</v>
      </c>
    </row>
    <row r="1598" s="148" customFormat="1" outlineLevel="2" spans="1:24">
      <c r="A1598" s="148" t="s">
        <v>2917</v>
      </c>
      <c r="B1598" s="911" t="s">
        <v>2914</v>
      </c>
      <c r="C1598" s="429" t="str">
        <f t="shared" si="166"/>
        <v>石嘴山市深阳蓝光市政工程有限公司</v>
      </c>
      <c r="D1598" s="914" t="s">
        <v>2915</v>
      </c>
      <c r="E1598" s="813" t="s">
        <v>2918</v>
      </c>
      <c r="F1598" s="141"/>
      <c r="G1598" s="141"/>
      <c r="H1598" s="141"/>
      <c r="I1598" s="141"/>
      <c r="X1598" s="501" t="b">
        <f t="shared" si="167"/>
        <v>1</v>
      </c>
    </row>
    <row r="1599" s="148" customFormat="1" outlineLevel="2" spans="1:24">
      <c r="A1599" s="148" t="s">
        <v>2919</v>
      </c>
      <c r="B1599" s="911" t="s">
        <v>2914</v>
      </c>
      <c r="C1599" s="429" t="str">
        <f t="shared" si="166"/>
        <v>石嘴山市深阳蓝光市政工程有限公司</v>
      </c>
      <c r="D1599" s="914" t="s">
        <v>2915</v>
      </c>
      <c r="E1599" s="65" t="s">
        <v>2920</v>
      </c>
      <c r="F1599" s="141"/>
      <c r="G1599" s="141"/>
      <c r="H1599" s="869" t="s">
        <v>2921</v>
      </c>
      <c r="I1599" s="869" t="s">
        <v>2921</v>
      </c>
      <c r="X1599" s="501" t="b">
        <f t="shared" si="167"/>
        <v>1</v>
      </c>
    </row>
    <row r="1600" s="148" customFormat="1" outlineLevel="2" spans="1:24">
      <c r="A1600" s="148" t="s">
        <v>2922</v>
      </c>
      <c r="B1600" s="911" t="s">
        <v>2914</v>
      </c>
      <c r="C1600" s="429" t="str">
        <f t="shared" si="166"/>
        <v>石嘴山市深阳蓝光市政工程有限公司</v>
      </c>
      <c r="D1600" s="971" t="s">
        <v>2915</v>
      </c>
      <c r="E1600" s="972" t="s">
        <v>2923</v>
      </c>
      <c r="F1600" s="973" t="s">
        <v>2924</v>
      </c>
      <c r="G1600" s="974"/>
      <c r="H1600" s="973" t="s">
        <v>2925</v>
      </c>
      <c r="I1600" s="976"/>
      <c r="X1600" s="501" t="b">
        <f t="shared" si="167"/>
        <v>1</v>
      </c>
    </row>
    <row r="1601" s="148" customFormat="1" outlineLevel="2" spans="1:24">
      <c r="A1601" s="148" t="s">
        <v>60</v>
      </c>
      <c r="B1601" s="911" t="s">
        <v>2914</v>
      </c>
      <c r="C1601" s="429" t="str">
        <f t="shared" si="166"/>
        <v>石嘴山市深阳蓝光市政工程有限公司</v>
      </c>
      <c r="D1601" s="914" t="s">
        <v>2926</v>
      </c>
      <c r="E1601" s="977" t="s">
        <v>60</v>
      </c>
      <c r="F1601" s="977" t="s">
        <v>315</v>
      </c>
      <c r="G1601" s="978" t="s">
        <v>2927</v>
      </c>
      <c r="H1601" s="977" t="s">
        <v>1579</v>
      </c>
      <c r="I1601" s="977" t="s">
        <v>2927</v>
      </c>
      <c r="J1601" s="1002" t="s">
        <v>2928</v>
      </c>
      <c r="K1601" s="1002" t="s">
        <v>2524</v>
      </c>
      <c r="X1601" s="501" t="b">
        <f t="shared" si="167"/>
        <v>1</v>
      </c>
    </row>
    <row r="1602" s="148" customFormat="1" outlineLevel="2" spans="1:24">
      <c r="A1602" s="148" t="s">
        <v>934</v>
      </c>
      <c r="B1602" s="911" t="s">
        <v>2914</v>
      </c>
      <c r="C1602" s="429" t="str">
        <f t="shared" si="166"/>
        <v>石嘴山市深阳蓝光市政工程有限公司</v>
      </c>
      <c r="D1602" s="914" t="s">
        <v>2926</v>
      </c>
      <c r="E1602" s="979" t="s">
        <v>934</v>
      </c>
      <c r="F1602" s="970">
        <f>ROUND(F1603+SUM(F1611:F1616),2)</f>
        <v>0</v>
      </c>
      <c r="G1602" s="970">
        <f>ROUND(G1603+SUM(G1611:G1616),2)</f>
        <v>0</v>
      </c>
      <c r="H1602" s="970">
        <f>ROUND(H1603+SUM(H1611:H1616),2)</f>
        <v>0</v>
      </c>
      <c r="I1602" s="970">
        <f>ROUND(I1603+SUM(I1611:I1616),2)</f>
        <v>0</v>
      </c>
      <c r="J1602" s="1003" t="str">
        <f>IF(ROUND((G1602*$G$1600-F1602),2)=0,"合理","不合理，差异："&amp;ROUND((G1602*$G$1600-F1602),2))</f>
        <v>合理</v>
      </c>
      <c r="K1602" s="1004"/>
      <c r="X1602" s="501" t="b">
        <f t="shared" si="167"/>
        <v>1</v>
      </c>
    </row>
    <row r="1603" s="148" customFormat="1" outlineLevel="2" spans="1:24">
      <c r="A1603" s="148" t="s">
        <v>1709</v>
      </c>
      <c r="B1603" s="911" t="s">
        <v>2914</v>
      </c>
      <c r="C1603" s="429" t="str">
        <f t="shared" si="166"/>
        <v>石嘴山市深阳蓝光市政工程有限公司</v>
      </c>
      <c r="D1603" s="914" t="s">
        <v>2926</v>
      </c>
      <c r="E1603" s="523" t="s">
        <v>2929</v>
      </c>
      <c r="F1603" s="970">
        <f>ROUND(SUM(F1604:F1610),2)</f>
        <v>0</v>
      </c>
      <c r="G1603" s="970">
        <f>ROUND(SUM(G1604:G1610),2)</f>
        <v>0</v>
      </c>
      <c r="H1603" s="970">
        <f>ROUND(SUM(H1604:H1610),2)</f>
        <v>0</v>
      </c>
      <c r="I1603" s="970">
        <f>ROUND(SUM(I1604:I1610),2)</f>
        <v>0</v>
      </c>
      <c r="J1603" s="1003" t="str">
        <f t="shared" ref="J1603:J1629" si="169">IF(ROUND((G1603*$G$1600-F1603),2)=0,"合理","不合理，差异："&amp;ROUND((G1603*$G$1600-F1603),2))</f>
        <v>合理</v>
      </c>
      <c r="K1603" s="1004"/>
      <c r="X1603" s="501" t="b">
        <f t="shared" si="167"/>
        <v>0</v>
      </c>
    </row>
    <row r="1604" s="148" customFormat="1" outlineLevel="2" spans="1:24">
      <c r="A1604" s="148" t="s">
        <v>1710</v>
      </c>
      <c r="B1604" s="911" t="s">
        <v>2914</v>
      </c>
      <c r="C1604" s="429" t="str">
        <f t="shared" si="166"/>
        <v>石嘴山市深阳蓝光市政工程有限公司</v>
      </c>
      <c r="D1604" s="971" t="s">
        <v>2926</v>
      </c>
      <c r="E1604" s="980" t="s">
        <v>2930</v>
      </c>
      <c r="F1604" s="968"/>
      <c r="G1604" s="968"/>
      <c r="H1604" s="981">
        <f>报表附注合并期初用!E1259</f>
        <v>0</v>
      </c>
      <c r="I1604" s="981">
        <f>报表附注合并期初用!E1288</f>
        <v>0</v>
      </c>
      <c r="J1604" s="1003" t="str">
        <f t="shared" si="169"/>
        <v>合理</v>
      </c>
      <c r="K1604" s="1004"/>
      <c r="X1604" s="501" t="b">
        <f t="shared" si="167"/>
        <v>1</v>
      </c>
    </row>
    <row r="1605" s="148" customFormat="1" outlineLevel="2" spans="1:24">
      <c r="A1605" s="148" t="s">
        <v>1711</v>
      </c>
      <c r="B1605" s="911" t="s">
        <v>2914</v>
      </c>
      <c r="C1605" s="429" t="str">
        <f t="shared" si="166"/>
        <v>石嘴山市深阳蓝光市政工程有限公司</v>
      </c>
      <c r="D1605" s="914" t="s">
        <v>2926</v>
      </c>
      <c r="E1605" s="980" t="s">
        <v>2931</v>
      </c>
      <c r="F1605" s="968"/>
      <c r="G1605" s="968"/>
      <c r="H1605" s="981">
        <f>报表附注合并期初用!E1260</f>
        <v>0</v>
      </c>
      <c r="I1605" s="981">
        <f>报表附注合并期初用!E1289</f>
        <v>0</v>
      </c>
      <c r="J1605" s="1003" t="str">
        <f t="shared" si="169"/>
        <v>合理</v>
      </c>
      <c r="K1605" s="1004"/>
      <c r="X1605" s="501" t="b">
        <f t="shared" si="167"/>
        <v>1</v>
      </c>
    </row>
    <row r="1606" s="148" customFormat="1" outlineLevel="2" spans="1:24">
      <c r="A1606" s="148" t="s">
        <v>1712</v>
      </c>
      <c r="B1606" s="911" t="s">
        <v>2914</v>
      </c>
      <c r="C1606" s="429" t="str">
        <f t="shared" si="166"/>
        <v>石嘴山市深阳蓝光市政工程有限公司</v>
      </c>
      <c r="D1606" s="914" t="s">
        <v>2926</v>
      </c>
      <c r="E1606" s="980" t="s">
        <v>2932</v>
      </c>
      <c r="F1606" s="982"/>
      <c r="G1606" s="982"/>
      <c r="H1606" s="983">
        <f>报表附注合并期初用!E1261</f>
        <v>0</v>
      </c>
      <c r="I1606" s="981">
        <f>报表附注合并期初用!E1290</f>
        <v>0</v>
      </c>
      <c r="J1606" s="1003" t="str">
        <f t="shared" si="169"/>
        <v>合理</v>
      </c>
      <c r="K1606" s="1004"/>
      <c r="X1606" s="501" t="b">
        <f t="shared" si="167"/>
        <v>1</v>
      </c>
    </row>
    <row r="1607" s="148" customFormat="1" outlineLevel="2" spans="1:24">
      <c r="A1607" s="148" t="s">
        <v>1713</v>
      </c>
      <c r="B1607" s="911" t="s">
        <v>2914</v>
      </c>
      <c r="C1607" s="429" t="str">
        <f t="shared" si="166"/>
        <v>石嘴山市深阳蓝光市政工程有限公司</v>
      </c>
      <c r="D1607" s="914" t="s">
        <v>2926</v>
      </c>
      <c r="E1607" s="980" t="s">
        <v>2933</v>
      </c>
      <c r="F1607" s="982"/>
      <c r="G1607" s="982"/>
      <c r="H1607" s="983">
        <f>报表附注合并期初用!E1262</f>
        <v>0</v>
      </c>
      <c r="I1607" s="981">
        <f>报表附注合并期初用!E1291</f>
        <v>0</v>
      </c>
      <c r="J1607" s="1003" t="str">
        <f t="shared" si="169"/>
        <v>合理</v>
      </c>
      <c r="K1607" s="1004"/>
      <c r="X1607" s="501" t="b">
        <f t="shared" si="167"/>
        <v>1</v>
      </c>
    </row>
    <row r="1608" s="148" customFormat="1" outlineLevel="2" spans="1:24">
      <c r="A1608" s="148" t="s">
        <v>1714</v>
      </c>
      <c r="B1608" s="911" t="s">
        <v>2914</v>
      </c>
      <c r="C1608" s="429" t="str">
        <f t="shared" ref="C1608:C1671" si="170">$G$1</f>
        <v>石嘴山市深阳蓝光市政工程有限公司</v>
      </c>
      <c r="D1608" s="971" t="s">
        <v>2926</v>
      </c>
      <c r="E1608" s="980" t="s">
        <v>2934</v>
      </c>
      <c r="F1608" s="982"/>
      <c r="G1608" s="982"/>
      <c r="H1608" s="983">
        <f>报表附注合并期初用!E1263</f>
        <v>0</v>
      </c>
      <c r="I1608" s="981">
        <f>报表附注合并期初用!E1292</f>
        <v>0</v>
      </c>
      <c r="J1608" s="1003" t="str">
        <f t="shared" si="169"/>
        <v>合理</v>
      </c>
      <c r="K1608" s="1004"/>
      <c r="X1608" s="501" t="b">
        <f t="shared" ref="X1608:X1671" si="171">EXACT(A1608,E1608)</f>
        <v>1</v>
      </c>
    </row>
    <row r="1609" s="148" customFormat="1" outlineLevel="2" spans="1:24">
      <c r="A1609" s="148" t="s">
        <v>1715</v>
      </c>
      <c r="B1609" s="911" t="s">
        <v>2914</v>
      </c>
      <c r="C1609" s="429" t="str">
        <f t="shared" si="170"/>
        <v>石嘴山市深阳蓝光市政工程有限公司</v>
      </c>
      <c r="D1609" s="914" t="s">
        <v>2926</v>
      </c>
      <c r="E1609" s="984" t="s">
        <v>2935</v>
      </c>
      <c r="F1609" s="982"/>
      <c r="G1609" s="982"/>
      <c r="H1609" s="983">
        <f>报表附注合并期初用!E1264</f>
        <v>0</v>
      </c>
      <c r="I1609" s="981">
        <f>报表附注合并期初用!E1293</f>
        <v>0</v>
      </c>
      <c r="J1609" s="1003" t="str">
        <f t="shared" si="169"/>
        <v>合理</v>
      </c>
      <c r="K1609" s="1004"/>
      <c r="X1609" s="501" t="b">
        <f t="shared" si="171"/>
        <v>1</v>
      </c>
    </row>
    <row r="1610" s="148" customFormat="1" outlineLevel="2" spans="1:24">
      <c r="A1610" s="148" t="s">
        <v>1716</v>
      </c>
      <c r="B1610" s="911" t="s">
        <v>2914</v>
      </c>
      <c r="C1610" s="429" t="str">
        <f t="shared" si="170"/>
        <v>石嘴山市深阳蓝光市政工程有限公司</v>
      </c>
      <c r="D1610" s="914" t="s">
        <v>2926</v>
      </c>
      <c r="E1610" s="984" t="s">
        <v>2936</v>
      </c>
      <c r="F1610" s="982"/>
      <c r="G1610" s="982"/>
      <c r="H1610" s="983">
        <f>报表附注合并期初用!E1265</f>
        <v>0</v>
      </c>
      <c r="I1610" s="981">
        <f>报表附注合并期初用!E1294</f>
        <v>0</v>
      </c>
      <c r="J1610" s="1003" t="str">
        <f t="shared" si="169"/>
        <v>合理</v>
      </c>
      <c r="K1610" s="1004"/>
      <c r="X1610" s="501" t="b">
        <f t="shared" si="171"/>
        <v>1</v>
      </c>
    </row>
    <row r="1611" s="148" customFormat="1" outlineLevel="2" spans="1:24">
      <c r="A1611" s="148" t="s">
        <v>1717</v>
      </c>
      <c r="B1611" s="911" t="s">
        <v>2914</v>
      </c>
      <c r="C1611" s="429" t="str">
        <f t="shared" si="170"/>
        <v>石嘴山市深阳蓝光市政工程有限公司</v>
      </c>
      <c r="D1611" s="914" t="s">
        <v>2926</v>
      </c>
      <c r="E1611" s="984" t="s">
        <v>2937</v>
      </c>
      <c r="F1611" s="982"/>
      <c r="G1611" s="982"/>
      <c r="H1611" s="983">
        <f>报表附注合并期初用!E1266</f>
        <v>0</v>
      </c>
      <c r="I1611" s="981">
        <f>报表附注合并期初用!E1295</f>
        <v>0</v>
      </c>
      <c r="J1611" s="1003" t="str">
        <f t="shared" si="169"/>
        <v>合理</v>
      </c>
      <c r="K1611" s="1004"/>
      <c r="X1611" s="501" t="b">
        <f t="shared" si="171"/>
        <v>0</v>
      </c>
    </row>
    <row r="1612" s="148" customFormat="1" outlineLevel="2" spans="1:24">
      <c r="A1612" s="148" t="s">
        <v>1718</v>
      </c>
      <c r="B1612" s="911" t="s">
        <v>2914</v>
      </c>
      <c r="C1612" s="429" t="str">
        <f t="shared" si="170"/>
        <v>石嘴山市深阳蓝光市政工程有限公司</v>
      </c>
      <c r="D1612" s="971" t="s">
        <v>2926</v>
      </c>
      <c r="E1612" s="984" t="s">
        <v>2938</v>
      </c>
      <c r="F1612" s="982"/>
      <c r="G1612" s="982"/>
      <c r="H1612" s="983">
        <f>报表附注合并期初用!E1267</f>
        <v>0</v>
      </c>
      <c r="I1612" s="981">
        <f>报表附注合并期初用!E1296</f>
        <v>0</v>
      </c>
      <c r="J1612" s="1003" t="str">
        <f t="shared" si="169"/>
        <v>合理</v>
      </c>
      <c r="K1612" s="1004"/>
      <c r="X1612" s="501" t="b">
        <f t="shared" si="171"/>
        <v>0</v>
      </c>
    </row>
    <row r="1613" s="148" customFormat="1" outlineLevel="2" spans="1:24">
      <c r="A1613" s="148" t="s">
        <v>1719</v>
      </c>
      <c r="B1613" s="911" t="s">
        <v>2914</v>
      </c>
      <c r="C1613" s="429" t="str">
        <f t="shared" si="170"/>
        <v>石嘴山市深阳蓝光市政工程有限公司</v>
      </c>
      <c r="D1613" s="914" t="s">
        <v>2926</v>
      </c>
      <c r="E1613" s="984" t="s">
        <v>2939</v>
      </c>
      <c r="F1613" s="982"/>
      <c r="G1613" s="982"/>
      <c r="H1613" s="983">
        <f>报表附注合并期初用!E1268</f>
        <v>0</v>
      </c>
      <c r="I1613" s="981">
        <f>报表附注合并期初用!E1297</f>
        <v>0</v>
      </c>
      <c r="J1613" s="1003" t="str">
        <f t="shared" si="169"/>
        <v>合理</v>
      </c>
      <c r="K1613" s="1004"/>
      <c r="X1613" s="501" t="b">
        <f t="shared" si="171"/>
        <v>0</v>
      </c>
    </row>
    <row r="1614" s="148" customFormat="1" outlineLevel="2" spans="1:24">
      <c r="A1614" s="148" t="s">
        <v>1720</v>
      </c>
      <c r="B1614" s="911" t="s">
        <v>2914</v>
      </c>
      <c r="C1614" s="429" t="str">
        <f t="shared" si="170"/>
        <v>石嘴山市深阳蓝光市政工程有限公司</v>
      </c>
      <c r="D1614" s="914" t="s">
        <v>2926</v>
      </c>
      <c r="E1614" s="984" t="s">
        <v>2940</v>
      </c>
      <c r="F1614" s="982"/>
      <c r="G1614" s="982"/>
      <c r="H1614" s="983">
        <f>报表附注合并期初用!E1269</f>
        <v>0</v>
      </c>
      <c r="I1614" s="981">
        <f>报表附注合并期初用!E1298</f>
        <v>0</v>
      </c>
      <c r="J1614" s="1003" t="str">
        <f t="shared" si="169"/>
        <v>合理</v>
      </c>
      <c r="K1614" s="1004"/>
      <c r="X1614" s="501" t="b">
        <f t="shared" si="171"/>
        <v>0</v>
      </c>
    </row>
    <row r="1615" s="148" customFormat="1" outlineLevel="2" spans="1:24">
      <c r="A1615" s="148" t="s">
        <v>1721</v>
      </c>
      <c r="B1615" s="911" t="s">
        <v>2914</v>
      </c>
      <c r="C1615" s="429" t="str">
        <f t="shared" si="170"/>
        <v>石嘴山市深阳蓝光市政工程有限公司</v>
      </c>
      <c r="D1615" s="914" t="s">
        <v>2926</v>
      </c>
      <c r="E1615" s="984" t="s">
        <v>2941</v>
      </c>
      <c r="F1615" s="982"/>
      <c r="G1615" s="982"/>
      <c r="H1615" s="983">
        <f>报表附注合并期初用!E1270</f>
        <v>0</v>
      </c>
      <c r="I1615" s="981">
        <f>报表附注合并期初用!E1299</f>
        <v>0</v>
      </c>
      <c r="J1615" s="1003" t="str">
        <f t="shared" si="169"/>
        <v>合理</v>
      </c>
      <c r="K1615" s="1004"/>
      <c r="X1615" s="501" t="b">
        <f t="shared" si="171"/>
        <v>0</v>
      </c>
    </row>
    <row r="1616" s="148" customFormat="1" outlineLevel="2" spans="1:24">
      <c r="A1616" s="148" t="s">
        <v>1722</v>
      </c>
      <c r="B1616" s="911" t="s">
        <v>2914</v>
      </c>
      <c r="C1616" s="429" t="str">
        <f t="shared" si="170"/>
        <v>石嘴山市深阳蓝光市政工程有限公司</v>
      </c>
      <c r="D1616" s="971" t="s">
        <v>2926</v>
      </c>
      <c r="E1616" s="984" t="s">
        <v>2942</v>
      </c>
      <c r="F1616" s="982"/>
      <c r="G1616" s="982"/>
      <c r="H1616" s="983">
        <f>报表附注合并期初用!E1271</f>
        <v>0</v>
      </c>
      <c r="I1616" s="981">
        <f>报表附注合并期初用!E1300</f>
        <v>0</v>
      </c>
      <c r="J1616" s="1003" t="str">
        <f t="shared" si="169"/>
        <v>合理</v>
      </c>
      <c r="K1616" s="1004"/>
      <c r="X1616" s="501" t="b">
        <f t="shared" si="171"/>
        <v>0</v>
      </c>
    </row>
    <row r="1617" s="148" customFormat="1" outlineLevel="2" spans="1:24">
      <c r="A1617" s="148" t="s">
        <v>936</v>
      </c>
      <c r="B1617" s="911" t="s">
        <v>2914</v>
      </c>
      <c r="C1617" s="429" t="str">
        <f t="shared" si="170"/>
        <v>石嘴山市深阳蓝光市政工程有限公司</v>
      </c>
      <c r="D1617" s="914" t="s">
        <v>2926</v>
      </c>
      <c r="E1617" s="979" t="s">
        <v>936</v>
      </c>
      <c r="F1617" s="985">
        <f>ROUND(SUM(F1618:F1629),2)</f>
        <v>0</v>
      </c>
      <c r="G1617" s="985">
        <f>ROUND(SUM(G1618:G1629),2)</f>
        <v>0</v>
      </c>
      <c r="H1617" s="985">
        <f>ROUND(SUM(H1618:H1629),2)</f>
        <v>0</v>
      </c>
      <c r="I1617" s="985">
        <f>ROUND(SUM(I1618:I1629),2)</f>
        <v>0</v>
      </c>
      <c r="J1617" s="1003" t="str">
        <f t="shared" si="169"/>
        <v>合理</v>
      </c>
      <c r="K1617" s="1004"/>
      <c r="X1617" s="501" t="b">
        <f t="shared" si="171"/>
        <v>1</v>
      </c>
    </row>
    <row r="1618" s="148" customFormat="1" outlineLevel="2" spans="1:24">
      <c r="A1618" s="148" t="s">
        <v>1723</v>
      </c>
      <c r="B1618" s="911" t="s">
        <v>2914</v>
      </c>
      <c r="C1618" s="429" t="str">
        <f t="shared" si="170"/>
        <v>石嘴山市深阳蓝光市政工程有限公司</v>
      </c>
      <c r="D1618" s="914" t="s">
        <v>2926</v>
      </c>
      <c r="E1618" s="984" t="s">
        <v>2943</v>
      </c>
      <c r="F1618" s="982"/>
      <c r="G1618" s="982"/>
      <c r="H1618" s="981">
        <f>报表附注合并期初用!E1273</f>
        <v>0</v>
      </c>
      <c r="I1618" s="981">
        <f>报表附注合并期初用!E1302</f>
        <v>0</v>
      </c>
      <c r="J1618" s="1003" t="str">
        <f t="shared" si="169"/>
        <v>合理</v>
      </c>
      <c r="K1618" s="1004"/>
      <c r="X1618" s="501" t="b">
        <f t="shared" si="171"/>
        <v>0</v>
      </c>
    </row>
    <row r="1619" s="148" customFormat="1" outlineLevel="2" spans="1:24">
      <c r="A1619" s="148" t="s">
        <v>1724</v>
      </c>
      <c r="B1619" s="911" t="s">
        <v>2914</v>
      </c>
      <c r="C1619" s="429" t="str">
        <f t="shared" si="170"/>
        <v>石嘴山市深阳蓝光市政工程有限公司</v>
      </c>
      <c r="D1619" s="914" t="s">
        <v>2926</v>
      </c>
      <c r="E1619" s="984" t="s">
        <v>2944</v>
      </c>
      <c r="F1619" s="982"/>
      <c r="G1619" s="982"/>
      <c r="H1619" s="981">
        <f>报表附注合并期初用!E1274</f>
        <v>0</v>
      </c>
      <c r="I1619" s="981">
        <f>报表附注合并期初用!E1303</f>
        <v>0</v>
      </c>
      <c r="J1619" s="1003" t="str">
        <f t="shared" si="169"/>
        <v>合理</v>
      </c>
      <c r="K1619" s="1004"/>
      <c r="X1619" s="501" t="b">
        <f t="shared" si="171"/>
        <v>0</v>
      </c>
    </row>
    <row r="1620" s="148" customFormat="1" outlineLevel="2" spans="1:24">
      <c r="A1620" s="148" t="s">
        <v>1721</v>
      </c>
      <c r="B1620" s="911" t="s">
        <v>2914</v>
      </c>
      <c r="C1620" s="429" t="str">
        <f t="shared" si="170"/>
        <v>石嘴山市深阳蓝光市政工程有限公司</v>
      </c>
      <c r="D1620" s="971" t="s">
        <v>2926</v>
      </c>
      <c r="E1620" s="984" t="s">
        <v>2945</v>
      </c>
      <c r="F1620" s="982"/>
      <c r="G1620" s="982"/>
      <c r="H1620" s="981">
        <f>报表附注合并期初用!E1275</f>
        <v>0</v>
      </c>
      <c r="I1620" s="981">
        <f>报表附注合并期初用!E1304</f>
        <v>0</v>
      </c>
      <c r="J1620" s="1003" t="str">
        <f t="shared" si="169"/>
        <v>合理</v>
      </c>
      <c r="K1620" s="1004"/>
      <c r="X1620" s="501" t="b">
        <f t="shared" si="171"/>
        <v>0</v>
      </c>
    </row>
    <row r="1621" s="148" customFormat="1" outlineLevel="2" collapsed="1" spans="1:24">
      <c r="A1621" s="148" t="s">
        <v>1722</v>
      </c>
      <c r="B1621" s="911" t="s">
        <v>2914</v>
      </c>
      <c r="C1621" s="429" t="str">
        <f t="shared" si="170"/>
        <v>石嘴山市深阳蓝光市政工程有限公司</v>
      </c>
      <c r="D1621" s="914" t="s">
        <v>2926</v>
      </c>
      <c r="E1621" s="984" t="s">
        <v>2946</v>
      </c>
      <c r="F1621" s="982"/>
      <c r="G1621" s="982"/>
      <c r="H1621" s="981">
        <f>报表附注合并期初用!E1276</f>
        <v>0</v>
      </c>
      <c r="I1621" s="981">
        <f>报表附注合并期初用!E1305</f>
        <v>0</v>
      </c>
      <c r="J1621" s="1003" t="str">
        <f t="shared" si="169"/>
        <v>合理</v>
      </c>
      <c r="K1621" s="1004"/>
      <c r="X1621" s="501" t="b">
        <f t="shared" si="171"/>
        <v>0</v>
      </c>
    </row>
    <row r="1622" s="148" customFormat="1" hidden="1" outlineLevel="3" spans="1:24">
      <c r="A1622" s="148" t="s">
        <v>1725</v>
      </c>
      <c r="B1622" s="911" t="s">
        <v>2914</v>
      </c>
      <c r="C1622" s="429" t="str">
        <f t="shared" si="170"/>
        <v>石嘴山市深阳蓝光市政工程有限公司</v>
      </c>
      <c r="D1622" s="914" t="s">
        <v>2926</v>
      </c>
      <c r="E1622" s="984" t="s">
        <v>2947</v>
      </c>
      <c r="F1622" s="982"/>
      <c r="G1622" s="982"/>
      <c r="H1622" s="981">
        <f>报表附注合并期初用!E1277</f>
        <v>0</v>
      </c>
      <c r="I1622" s="981">
        <f>报表附注合并期初用!E1306</f>
        <v>0</v>
      </c>
      <c r="J1622" s="1003" t="str">
        <f t="shared" si="169"/>
        <v>合理</v>
      </c>
      <c r="K1622" s="1004"/>
      <c r="X1622" s="501" t="b">
        <f t="shared" si="171"/>
        <v>0</v>
      </c>
    </row>
    <row r="1623" s="148" customFormat="1" hidden="1" outlineLevel="3" spans="1:24">
      <c r="A1623" s="148" t="s">
        <v>1726</v>
      </c>
      <c r="B1623" s="911" t="s">
        <v>2914</v>
      </c>
      <c r="C1623" s="429" t="str">
        <f t="shared" si="170"/>
        <v>石嘴山市深阳蓝光市政工程有限公司</v>
      </c>
      <c r="D1623" s="914" t="s">
        <v>2926</v>
      </c>
      <c r="E1623" s="986" t="s">
        <v>2948</v>
      </c>
      <c r="F1623" s="982"/>
      <c r="G1623" s="982"/>
      <c r="H1623" s="981">
        <f>报表附注合并期初用!E1278</f>
        <v>0</v>
      </c>
      <c r="I1623" s="981">
        <f>报表附注合并期初用!E1307</f>
        <v>0</v>
      </c>
      <c r="J1623" s="1003" t="str">
        <f t="shared" si="169"/>
        <v>合理</v>
      </c>
      <c r="K1623" s="1004"/>
      <c r="X1623" s="501" t="b">
        <f t="shared" si="171"/>
        <v>1</v>
      </c>
    </row>
    <row r="1624" s="148" customFormat="1" hidden="1" outlineLevel="3" spans="1:24">
      <c r="A1624" s="148" t="s">
        <v>1727</v>
      </c>
      <c r="B1624" s="911" t="s">
        <v>2914</v>
      </c>
      <c r="C1624" s="429" t="str">
        <f t="shared" si="170"/>
        <v>石嘴山市深阳蓝光市政工程有限公司</v>
      </c>
      <c r="D1624" s="971" t="s">
        <v>2926</v>
      </c>
      <c r="E1624" s="986" t="s">
        <v>2949</v>
      </c>
      <c r="F1624" s="982"/>
      <c r="G1624" s="982"/>
      <c r="H1624" s="981">
        <f>报表附注合并期初用!E1279</f>
        <v>0</v>
      </c>
      <c r="I1624" s="981">
        <f>报表附注合并期初用!E1308</f>
        <v>0</v>
      </c>
      <c r="J1624" s="1003" t="str">
        <f t="shared" si="169"/>
        <v>合理</v>
      </c>
      <c r="K1624" s="1004"/>
      <c r="X1624" s="501" t="b">
        <f t="shared" si="171"/>
        <v>1</v>
      </c>
    </row>
    <row r="1625" s="148" customFormat="1" hidden="1" outlineLevel="3" spans="1:24">
      <c r="A1625" s="148" t="s">
        <v>1728</v>
      </c>
      <c r="B1625" s="911" t="s">
        <v>2914</v>
      </c>
      <c r="C1625" s="429" t="str">
        <f t="shared" si="170"/>
        <v>石嘴山市深阳蓝光市政工程有限公司</v>
      </c>
      <c r="D1625" s="914" t="s">
        <v>2926</v>
      </c>
      <c r="E1625" s="986" t="s">
        <v>2950</v>
      </c>
      <c r="F1625" s="982"/>
      <c r="G1625" s="982"/>
      <c r="H1625" s="981">
        <f>报表附注合并期初用!E1280</f>
        <v>0</v>
      </c>
      <c r="I1625" s="981">
        <f>报表附注合并期初用!E1309</f>
        <v>0</v>
      </c>
      <c r="J1625" s="1003" t="str">
        <f t="shared" si="169"/>
        <v>合理</v>
      </c>
      <c r="K1625" s="1004"/>
      <c r="X1625" s="501" t="b">
        <f t="shared" si="171"/>
        <v>1</v>
      </c>
    </row>
    <row r="1626" s="148" customFormat="1" hidden="1" outlineLevel="3" spans="1:24">
      <c r="A1626" s="148" t="s">
        <v>1729</v>
      </c>
      <c r="B1626" s="911" t="s">
        <v>2914</v>
      </c>
      <c r="C1626" s="429" t="str">
        <f t="shared" si="170"/>
        <v>石嘴山市深阳蓝光市政工程有限公司</v>
      </c>
      <c r="D1626" s="914" t="s">
        <v>2926</v>
      </c>
      <c r="E1626" s="986" t="s">
        <v>2951</v>
      </c>
      <c r="F1626" s="982"/>
      <c r="G1626" s="982"/>
      <c r="H1626" s="981">
        <f>报表附注合并期初用!E1281</f>
        <v>0</v>
      </c>
      <c r="I1626" s="981">
        <f>报表附注合并期初用!E1310</f>
        <v>0</v>
      </c>
      <c r="J1626" s="1003" t="str">
        <f t="shared" si="169"/>
        <v>合理</v>
      </c>
      <c r="K1626" s="1004"/>
      <c r="X1626" s="501" t="b">
        <f t="shared" si="171"/>
        <v>1</v>
      </c>
    </row>
    <row r="1627" s="148" customFormat="1" hidden="1" outlineLevel="3" spans="1:24">
      <c r="A1627" s="148" t="s">
        <v>1730</v>
      </c>
      <c r="B1627" s="911" t="s">
        <v>2914</v>
      </c>
      <c r="C1627" s="429" t="str">
        <f t="shared" si="170"/>
        <v>石嘴山市深阳蓝光市政工程有限公司</v>
      </c>
      <c r="D1627" s="914" t="s">
        <v>2926</v>
      </c>
      <c r="E1627" s="986" t="s">
        <v>2952</v>
      </c>
      <c r="F1627" s="132"/>
      <c r="G1627" s="132"/>
      <c r="H1627" s="477">
        <f>报表附注合并期初用!E1282</f>
        <v>0</v>
      </c>
      <c r="I1627" s="477">
        <f>报表附注合并期初用!E1311</f>
        <v>0</v>
      </c>
      <c r="J1627" s="1003" t="str">
        <f t="shared" si="169"/>
        <v>合理</v>
      </c>
      <c r="K1627" s="1004"/>
      <c r="X1627" s="501" t="b">
        <f t="shared" si="171"/>
        <v>1</v>
      </c>
    </row>
    <row r="1628" s="148" customFormat="1" hidden="1" outlineLevel="3" spans="1:24">
      <c r="A1628" s="148" t="s">
        <v>1731</v>
      </c>
      <c r="B1628" s="911" t="s">
        <v>2914</v>
      </c>
      <c r="C1628" s="429" t="str">
        <f t="shared" si="170"/>
        <v>石嘴山市深阳蓝光市政工程有限公司</v>
      </c>
      <c r="D1628" s="971" t="s">
        <v>2926</v>
      </c>
      <c r="E1628" s="986" t="s">
        <v>2953</v>
      </c>
      <c r="F1628" s="132"/>
      <c r="G1628" s="132"/>
      <c r="H1628" s="477">
        <f>报表附注合并期初用!E1283</f>
        <v>0</v>
      </c>
      <c r="I1628" s="477">
        <f>报表附注合并期初用!E1312</f>
        <v>0</v>
      </c>
      <c r="J1628" s="1003" t="str">
        <f t="shared" si="169"/>
        <v>合理</v>
      </c>
      <c r="K1628" s="1004"/>
      <c r="X1628" s="501" t="b">
        <f t="shared" si="171"/>
        <v>1</v>
      </c>
    </row>
    <row r="1629" s="148" customFormat="1" hidden="1" outlineLevel="3" spans="1:24">
      <c r="A1629" s="148" t="s">
        <v>1732</v>
      </c>
      <c r="B1629" s="911" t="s">
        <v>2914</v>
      </c>
      <c r="C1629" s="429" t="str">
        <f t="shared" si="170"/>
        <v>石嘴山市深阳蓝光市政工程有限公司</v>
      </c>
      <c r="D1629" s="914" t="s">
        <v>2926</v>
      </c>
      <c r="E1629" s="986" t="s">
        <v>2954</v>
      </c>
      <c r="F1629" s="132"/>
      <c r="G1629" s="132"/>
      <c r="H1629" s="477">
        <f>报表附注合并期初用!E1284</f>
        <v>0</v>
      </c>
      <c r="I1629" s="477">
        <f>报表附注合并期初用!E1313</f>
        <v>0</v>
      </c>
      <c r="J1629" s="1003" t="str">
        <f t="shared" si="169"/>
        <v>合理</v>
      </c>
      <c r="K1629" s="1004"/>
      <c r="X1629" s="501" t="b">
        <f t="shared" si="171"/>
        <v>1</v>
      </c>
    </row>
    <row r="1630" s="148" customFormat="1" outlineLevel="2" spans="1:24">
      <c r="A1630" s="148" t="s">
        <v>2955</v>
      </c>
      <c r="B1630" s="911" t="s">
        <v>2914</v>
      </c>
      <c r="C1630" s="429" t="str">
        <f t="shared" si="170"/>
        <v>石嘴山市深阳蓝光市政工程有限公司</v>
      </c>
      <c r="D1630" s="914" t="s">
        <v>2926</v>
      </c>
      <c r="E1630" s="819" t="s">
        <v>2956</v>
      </c>
      <c r="F1630" s="549">
        <f>审定资负表!C37</f>
        <v>0</v>
      </c>
      <c r="G1630" s="141"/>
      <c r="H1630" s="549">
        <f>审定资负表!D37</f>
        <v>0</v>
      </c>
      <c r="I1630" s="141"/>
      <c r="X1630" s="501" t="b">
        <f t="shared" si="171"/>
        <v>1</v>
      </c>
    </row>
    <row r="1631" s="148" customFormat="1" outlineLevel="1" spans="1:24">
      <c r="A1631" s="148" t="s">
        <v>1394</v>
      </c>
      <c r="B1631" s="911" t="s">
        <v>2914</v>
      </c>
      <c r="C1631" s="429" t="str">
        <f t="shared" si="170"/>
        <v>石嘴山市深阳蓝光市政工程有限公司</v>
      </c>
      <c r="D1631" s="914" t="s">
        <v>2926</v>
      </c>
      <c r="E1631" s="821" t="s">
        <v>1394</v>
      </c>
      <c r="F1631" s="721">
        <f>ROUND(F1602-F1630,2)</f>
        <v>0</v>
      </c>
      <c r="G1631" s="141"/>
      <c r="H1631" s="721">
        <f>ROUND(H1602-H1630,2)</f>
        <v>0</v>
      </c>
      <c r="I1631" s="141"/>
      <c r="X1631" s="501" t="b">
        <f t="shared" si="171"/>
        <v>1</v>
      </c>
    </row>
    <row r="1632" s="148" customFormat="1" outlineLevel="2" spans="1:24">
      <c r="A1632" s="148" t="s">
        <v>2957</v>
      </c>
      <c r="B1632" s="911" t="s">
        <v>2914</v>
      </c>
      <c r="C1632" s="429" t="str">
        <f t="shared" si="170"/>
        <v>石嘴山市深阳蓝光市政工程有限公司</v>
      </c>
      <c r="D1632" s="971" t="s">
        <v>2926</v>
      </c>
      <c r="E1632" s="821" t="s">
        <v>2958</v>
      </c>
      <c r="F1632" s="549">
        <f>审定资负表!G28</f>
        <v>0</v>
      </c>
      <c r="G1632" s="141"/>
      <c r="H1632" s="549">
        <f>审定资负表!H28</f>
        <v>0</v>
      </c>
      <c r="I1632" s="141"/>
      <c r="X1632" s="501" t="b">
        <f t="shared" si="171"/>
        <v>1</v>
      </c>
    </row>
    <row r="1633" s="148" customFormat="1" outlineLevel="2" spans="1:24">
      <c r="A1633" s="148" t="s">
        <v>1394</v>
      </c>
      <c r="B1633" s="911" t="s">
        <v>2914</v>
      </c>
      <c r="C1633" s="429" t="str">
        <f t="shared" si="170"/>
        <v>石嘴山市深阳蓝光市政工程有限公司</v>
      </c>
      <c r="D1633" s="914" t="s">
        <v>2926</v>
      </c>
      <c r="E1633" s="821" t="s">
        <v>1394</v>
      </c>
      <c r="F1633" s="721">
        <f>ROUND(F1617-F1632,2)</f>
        <v>0</v>
      </c>
      <c r="G1633" s="141"/>
      <c r="H1633" s="721">
        <f>ROUND(H1617-H1632,2)</f>
        <v>0</v>
      </c>
      <c r="I1633" s="141"/>
      <c r="X1633" s="501" t="b">
        <f t="shared" si="171"/>
        <v>1</v>
      </c>
    </row>
    <row r="1634" s="148" customFormat="1" outlineLevel="2" spans="2:24">
      <c r="B1634" s="911" t="s">
        <v>2914</v>
      </c>
      <c r="C1634" s="429" t="str">
        <f t="shared" si="170"/>
        <v>石嘴山市深阳蓝光市政工程有限公司</v>
      </c>
      <c r="D1634" s="914" t="s">
        <v>2926</v>
      </c>
      <c r="E1634" s="821"/>
      <c r="F1634" s="821"/>
      <c r="G1634" s="821"/>
      <c r="H1634" s="821"/>
      <c r="I1634" s="821"/>
      <c r="X1634" s="501" t="b">
        <f t="shared" si="171"/>
        <v>1</v>
      </c>
    </row>
    <row r="1635" s="148" customFormat="1" outlineLevel="2" spans="1:24">
      <c r="A1635" s="148" t="s">
        <v>1735</v>
      </c>
      <c r="B1635" s="911" t="s">
        <v>2914</v>
      </c>
      <c r="C1635" s="429" t="str">
        <f t="shared" si="170"/>
        <v>石嘴山市深阳蓝光市政工程有限公司</v>
      </c>
      <c r="D1635" s="914" t="s">
        <v>2959</v>
      </c>
      <c r="E1635" s="149" t="s">
        <v>2960</v>
      </c>
      <c r="F1635" s="821"/>
      <c r="G1635" s="821"/>
      <c r="H1635" s="821"/>
      <c r="I1635" s="821"/>
      <c r="X1635" s="501" t="b">
        <f t="shared" si="171"/>
        <v>1</v>
      </c>
    </row>
    <row r="1636" s="148" customFormat="1" outlineLevel="2" spans="1:24">
      <c r="A1636" s="148" t="s">
        <v>60</v>
      </c>
      <c r="B1636" s="911" t="s">
        <v>2914</v>
      </c>
      <c r="C1636" s="429" t="str">
        <f t="shared" si="170"/>
        <v>石嘴山市深阳蓝光市政工程有限公司</v>
      </c>
      <c r="D1636" s="914" t="s">
        <v>2959</v>
      </c>
      <c r="E1636" s="581" t="s">
        <v>60</v>
      </c>
      <c r="F1636" s="581" t="s">
        <v>515</v>
      </c>
      <c r="G1636" s="581" t="s">
        <v>670</v>
      </c>
      <c r="H1636" s="821"/>
      <c r="I1636" s="821"/>
      <c r="X1636" s="501" t="b">
        <f t="shared" si="171"/>
        <v>1</v>
      </c>
    </row>
    <row r="1637" s="148" customFormat="1" outlineLevel="2" spans="1:24">
      <c r="A1637" s="148" t="s">
        <v>1736</v>
      </c>
      <c r="B1637" s="911" t="s">
        <v>2914</v>
      </c>
      <c r="C1637" s="429" t="str">
        <f t="shared" si="170"/>
        <v>石嘴山市深阳蓝光市政工程有限公司</v>
      </c>
      <c r="D1637" s="914" t="s">
        <v>2961</v>
      </c>
      <c r="E1637" s="939" t="s">
        <v>1736</v>
      </c>
      <c r="F1637" s="987">
        <f>K1730+K1731-G1604-G1605</f>
        <v>0</v>
      </c>
      <c r="G1637" s="988">
        <f>F1730+F1731-I1604-I1605</f>
        <v>0</v>
      </c>
      <c r="H1637" s="821"/>
      <c r="I1637" s="821"/>
      <c r="X1637" s="501" t="b">
        <f t="shared" si="171"/>
        <v>1</v>
      </c>
    </row>
    <row r="1638" s="148" customFormat="1" outlineLevel="2" collapsed="1" spans="1:24">
      <c r="A1638" s="148" t="s">
        <v>1720</v>
      </c>
      <c r="B1638" s="911" t="s">
        <v>2914</v>
      </c>
      <c r="C1638" s="429" t="str">
        <f t="shared" si="170"/>
        <v>石嘴山市深阳蓝光市政工程有限公司</v>
      </c>
      <c r="D1638" s="914" t="s">
        <v>2961</v>
      </c>
      <c r="E1638" s="521" t="s">
        <v>1720</v>
      </c>
      <c r="F1638" s="989">
        <f>O3084+O3085+O3086+O3087+O3088-G1612</f>
        <v>0</v>
      </c>
      <c r="G1638" s="988">
        <f>O3084+O3085+O3086+O3087-I1612</f>
        <v>0</v>
      </c>
      <c r="H1638" s="821"/>
      <c r="I1638" s="821"/>
      <c r="X1638" s="501" t="b">
        <f t="shared" si="171"/>
        <v>1</v>
      </c>
    </row>
    <row r="1639" s="148" customFormat="1" hidden="1" outlineLevel="3" spans="1:24">
      <c r="A1639" s="148" t="s">
        <v>1721</v>
      </c>
      <c r="B1639" s="911" t="s">
        <v>2914</v>
      </c>
      <c r="C1639" s="429" t="str">
        <f t="shared" si="170"/>
        <v>石嘴山市深阳蓝光市政工程有限公司</v>
      </c>
      <c r="D1639" s="914" t="s">
        <v>2961</v>
      </c>
      <c r="E1639" s="986" t="s">
        <v>2962</v>
      </c>
      <c r="F1639" s="990"/>
      <c r="G1639" s="988">
        <f>报表附注合并期初用!E1328</f>
        <v>0</v>
      </c>
      <c r="H1639" s="821"/>
      <c r="I1639" s="821"/>
      <c r="X1639" s="501" t="b">
        <f t="shared" si="171"/>
        <v>1</v>
      </c>
    </row>
    <row r="1640" s="148" customFormat="1" hidden="1" outlineLevel="3" spans="1:24">
      <c r="A1640" s="148" t="s">
        <v>1722</v>
      </c>
      <c r="B1640" s="911" t="s">
        <v>2914</v>
      </c>
      <c r="C1640" s="429" t="str">
        <f t="shared" si="170"/>
        <v>石嘴山市深阳蓝光市政工程有限公司</v>
      </c>
      <c r="D1640" s="914" t="s">
        <v>2961</v>
      </c>
      <c r="E1640" s="986" t="s">
        <v>2963</v>
      </c>
      <c r="F1640" s="990"/>
      <c r="G1640" s="988">
        <f>报表附注合并期初用!E1329</f>
        <v>0</v>
      </c>
      <c r="H1640" s="821"/>
      <c r="I1640" s="821"/>
      <c r="X1640" s="501" t="b">
        <f t="shared" si="171"/>
        <v>1</v>
      </c>
    </row>
    <row r="1641" s="148" customFormat="1" hidden="1" outlineLevel="3" spans="1:24">
      <c r="A1641" s="148" t="s">
        <v>1725</v>
      </c>
      <c r="B1641" s="911" t="s">
        <v>2914</v>
      </c>
      <c r="C1641" s="429" t="str">
        <f t="shared" si="170"/>
        <v>石嘴山市深阳蓝光市政工程有限公司</v>
      </c>
      <c r="D1641" s="914" t="s">
        <v>2961</v>
      </c>
      <c r="E1641" s="986" t="s">
        <v>2964</v>
      </c>
      <c r="F1641" s="990"/>
      <c r="G1641" s="988">
        <f>报表附注合并期初用!E1330</f>
        <v>0</v>
      </c>
      <c r="H1641" s="821"/>
      <c r="I1641" s="821"/>
      <c r="X1641" s="501" t="b">
        <f t="shared" si="171"/>
        <v>1</v>
      </c>
    </row>
    <row r="1642" s="148" customFormat="1" hidden="1" outlineLevel="3" spans="1:24">
      <c r="A1642" s="148" t="s">
        <v>1726</v>
      </c>
      <c r="B1642" s="911" t="s">
        <v>2914</v>
      </c>
      <c r="C1642" s="429" t="str">
        <f t="shared" si="170"/>
        <v>石嘴山市深阳蓝光市政工程有限公司</v>
      </c>
      <c r="D1642" s="914" t="s">
        <v>2961</v>
      </c>
      <c r="E1642" s="986" t="s">
        <v>2948</v>
      </c>
      <c r="F1642" s="990"/>
      <c r="G1642" s="988">
        <f>报表附注合并期初用!E1331</f>
        <v>0</v>
      </c>
      <c r="H1642" s="821"/>
      <c r="I1642" s="821"/>
      <c r="X1642" s="501" t="b">
        <f t="shared" si="171"/>
        <v>1</v>
      </c>
    </row>
    <row r="1643" s="148" customFormat="1" hidden="1" outlineLevel="3" spans="1:24">
      <c r="A1643" s="148" t="s">
        <v>1727</v>
      </c>
      <c r="B1643" s="911" t="s">
        <v>2914</v>
      </c>
      <c r="C1643" s="429" t="str">
        <f t="shared" si="170"/>
        <v>石嘴山市深阳蓝光市政工程有限公司</v>
      </c>
      <c r="D1643" s="914" t="s">
        <v>2961</v>
      </c>
      <c r="E1643" s="986" t="s">
        <v>2949</v>
      </c>
      <c r="F1643" s="991"/>
      <c r="G1643" s="992">
        <f>报表附注合并期初用!E1332</f>
        <v>0</v>
      </c>
      <c r="H1643" s="821"/>
      <c r="I1643" s="821"/>
      <c r="X1643" s="501" t="b">
        <f t="shared" si="171"/>
        <v>1</v>
      </c>
    </row>
    <row r="1644" s="148" customFormat="1" outlineLevel="2" spans="1:24">
      <c r="A1644" s="148" t="s">
        <v>1580</v>
      </c>
      <c r="B1644" s="911" t="s">
        <v>2914</v>
      </c>
      <c r="C1644" s="429" t="str">
        <f t="shared" si="170"/>
        <v>石嘴山市深阳蓝光市政工程有限公司</v>
      </c>
      <c r="D1644" s="914" t="s">
        <v>2961</v>
      </c>
      <c r="E1644" s="993" t="s">
        <v>1580</v>
      </c>
      <c r="F1644" s="989">
        <f>SUM(F1637:F1643)</f>
        <v>0</v>
      </c>
      <c r="G1644" s="989">
        <f>SUM(G1637:G1643)</f>
        <v>0</v>
      </c>
      <c r="H1644" s="821"/>
      <c r="I1644" s="821"/>
      <c r="X1644" s="501" t="b">
        <f t="shared" si="171"/>
        <v>1</v>
      </c>
    </row>
    <row r="1645" s="148" customFormat="1" outlineLevel="2" spans="2:24">
      <c r="B1645" s="911" t="s">
        <v>2914</v>
      </c>
      <c r="C1645" s="429" t="str">
        <f t="shared" si="170"/>
        <v>石嘴山市深阳蓝光市政工程有限公司</v>
      </c>
      <c r="D1645" s="914" t="s">
        <v>2961</v>
      </c>
      <c r="E1645" s="994"/>
      <c r="F1645" s="995"/>
      <c r="G1645" s="995"/>
      <c r="H1645" s="821"/>
      <c r="I1645" s="821"/>
      <c r="X1645" s="501" t="b">
        <f t="shared" si="171"/>
        <v>1</v>
      </c>
    </row>
    <row r="1646" s="148" customFormat="1" outlineLevel="2" spans="1:24">
      <c r="A1646" s="148" t="s">
        <v>1737</v>
      </c>
      <c r="B1646" s="911" t="s">
        <v>2914</v>
      </c>
      <c r="C1646" s="429" t="str">
        <f t="shared" si="170"/>
        <v>石嘴山市深阳蓝光市政工程有限公司</v>
      </c>
      <c r="D1646" s="868" t="s">
        <v>1737</v>
      </c>
      <c r="E1646" s="149" t="s">
        <v>2965</v>
      </c>
      <c r="F1646" s="995"/>
      <c r="G1646" s="995"/>
      <c r="H1646" s="821"/>
      <c r="I1646" s="821"/>
      <c r="X1646" s="501" t="b">
        <f t="shared" si="171"/>
        <v>1</v>
      </c>
    </row>
    <row r="1647" s="148" customFormat="1" outlineLevel="2" spans="1:24">
      <c r="A1647" s="148" t="s">
        <v>2966</v>
      </c>
      <c r="B1647" s="911" t="s">
        <v>2914</v>
      </c>
      <c r="C1647" s="429" t="str">
        <f t="shared" si="170"/>
        <v>石嘴山市深阳蓝光市政工程有限公司</v>
      </c>
      <c r="D1647" s="868" t="s">
        <v>1737</v>
      </c>
      <c r="E1647" s="581" t="s">
        <v>2966</v>
      </c>
      <c r="F1647" s="581" t="s">
        <v>515</v>
      </c>
      <c r="G1647" s="581" t="s">
        <v>670</v>
      </c>
      <c r="H1647" s="581" t="s">
        <v>353</v>
      </c>
      <c r="I1647" s="821"/>
      <c r="X1647" s="501" t="b">
        <f t="shared" si="171"/>
        <v>1</v>
      </c>
    </row>
    <row r="1648" s="148" customFormat="1" outlineLevel="2" spans="1:24">
      <c r="A1648" s="148">
        <v>2011</v>
      </c>
      <c r="B1648" s="911" t="s">
        <v>2914</v>
      </c>
      <c r="C1648" s="429" t="str">
        <f t="shared" si="170"/>
        <v>石嘴山市深阳蓝光市政工程有限公司</v>
      </c>
      <c r="D1648" s="868" t="s">
        <v>1737</v>
      </c>
      <c r="E1648" s="996">
        <v>2016</v>
      </c>
      <c r="F1648" s="997">
        <f>O3084</f>
        <v>0</v>
      </c>
      <c r="G1648" s="998">
        <f>报表附注合并期初用!E1344</f>
        <v>0</v>
      </c>
      <c r="H1648" s="999"/>
      <c r="I1648" s="821"/>
      <c r="X1648" s="501" t="b">
        <f t="shared" si="171"/>
        <v>0</v>
      </c>
    </row>
    <row r="1649" s="148" customFormat="1" outlineLevel="2" spans="1:24">
      <c r="A1649" s="148">
        <v>2012</v>
      </c>
      <c r="B1649" s="911" t="s">
        <v>2914</v>
      </c>
      <c r="C1649" s="429" t="str">
        <f t="shared" si="170"/>
        <v>石嘴山市深阳蓝光市政工程有限公司</v>
      </c>
      <c r="D1649" s="868" t="s">
        <v>1737</v>
      </c>
      <c r="E1649" s="996">
        <v>2017</v>
      </c>
      <c r="F1649" s="997">
        <f>O3085</f>
        <v>0</v>
      </c>
      <c r="G1649" s="998">
        <f>报表附注合并期初用!E1345</f>
        <v>0</v>
      </c>
      <c r="H1649" s="999"/>
      <c r="I1649" s="821"/>
      <c r="X1649" s="501" t="b">
        <f t="shared" si="171"/>
        <v>0</v>
      </c>
    </row>
    <row r="1650" s="148" customFormat="1" outlineLevel="2" spans="1:24">
      <c r="A1650" s="148">
        <v>2013</v>
      </c>
      <c r="B1650" s="911" t="s">
        <v>2914</v>
      </c>
      <c r="C1650" s="429" t="str">
        <f t="shared" si="170"/>
        <v>石嘴山市深阳蓝光市政工程有限公司</v>
      </c>
      <c r="D1650" s="868" t="s">
        <v>1737</v>
      </c>
      <c r="E1650" s="996">
        <v>2018</v>
      </c>
      <c r="F1650" s="997">
        <f>O3086</f>
        <v>0</v>
      </c>
      <c r="G1650" s="998">
        <f>报表附注合并期初用!E1346</f>
        <v>0</v>
      </c>
      <c r="H1650" s="999"/>
      <c r="I1650" s="821"/>
      <c r="X1650" s="501" t="b">
        <f t="shared" si="171"/>
        <v>0</v>
      </c>
    </row>
    <row r="1651" s="148" customFormat="1" outlineLevel="2" spans="1:24">
      <c r="A1651" s="148">
        <v>2014</v>
      </c>
      <c r="B1651" s="911" t="s">
        <v>2914</v>
      </c>
      <c r="C1651" s="429" t="str">
        <f t="shared" si="170"/>
        <v>石嘴山市深阳蓝光市政工程有限公司</v>
      </c>
      <c r="D1651" s="868" t="s">
        <v>1737</v>
      </c>
      <c r="E1651" s="996">
        <v>2019</v>
      </c>
      <c r="F1651" s="997">
        <f>O3087</f>
        <v>0</v>
      </c>
      <c r="G1651" s="998">
        <f>报表附注合并期初用!E1347</f>
        <v>0</v>
      </c>
      <c r="H1651" s="999"/>
      <c r="I1651" s="821"/>
      <c r="X1651" s="501" t="b">
        <f t="shared" si="171"/>
        <v>0</v>
      </c>
    </row>
    <row r="1652" s="148" customFormat="1" outlineLevel="2" spans="1:24">
      <c r="A1652" s="148">
        <v>2015</v>
      </c>
      <c r="B1652" s="911" t="s">
        <v>2914</v>
      </c>
      <c r="C1652" s="429" t="str">
        <f t="shared" si="170"/>
        <v>石嘴山市深阳蓝光市政工程有限公司</v>
      </c>
      <c r="D1652" s="868" t="s">
        <v>1737</v>
      </c>
      <c r="E1652" s="996">
        <v>2020</v>
      </c>
      <c r="F1652" s="997">
        <f>O3088</f>
        <v>0</v>
      </c>
      <c r="G1652" s="998">
        <f>报表附注合并期初用!E1348</f>
        <v>0</v>
      </c>
      <c r="H1652" s="999"/>
      <c r="I1652" s="821"/>
      <c r="X1652" s="501" t="b">
        <f t="shared" si="171"/>
        <v>0</v>
      </c>
    </row>
    <row r="1653" s="148" customFormat="1" outlineLevel="2" spans="1:24">
      <c r="A1653" s="148" t="s">
        <v>1580</v>
      </c>
      <c r="B1653" s="911" t="s">
        <v>2914</v>
      </c>
      <c r="C1653" s="429" t="str">
        <f t="shared" si="170"/>
        <v>石嘴山市深阳蓝光市政工程有限公司</v>
      </c>
      <c r="D1653" s="868" t="s">
        <v>1737</v>
      </c>
      <c r="E1653" s="944" t="s">
        <v>1580</v>
      </c>
      <c r="F1653" s="858">
        <f>SUM(F1648:F1652)</f>
        <v>0</v>
      </c>
      <c r="G1653" s="858">
        <f>SUM(G1648:G1652)</f>
        <v>0</v>
      </c>
      <c r="H1653" s="151"/>
      <c r="I1653" s="821"/>
      <c r="X1653" s="501" t="b">
        <f t="shared" si="171"/>
        <v>1</v>
      </c>
    </row>
    <row r="1654" s="148" customFormat="1" outlineLevel="2" spans="2:24">
      <c r="B1654" s="911" t="s">
        <v>2914</v>
      </c>
      <c r="C1654" s="429" t="str">
        <f t="shared" si="170"/>
        <v>石嘴山市深阳蓝光市政工程有限公司</v>
      </c>
      <c r="D1654" s="868" t="s">
        <v>1737</v>
      </c>
      <c r="E1654" s="994"/>
      <c r="F1654" s="995"/>
      <c r="G1654" s="995"/>
      <c r="H1654" s="821"/>
      <c r="I1654" s="821"/>
      <c r="X1654" s="501" t="b">
        <f t="shared" si="171"/>
        <v>1</v>
      </c>
    </row>
    <row r="1655" s="148" customFormat="1" outlineLevel="2" collapsed="1" spans="1:24">
      <c r="A1655" s="148" t="s">
        <v>2967</v>
      </c>
      <c r="B1655" s="911" t="s">
        <v>2914</v>
      </c>
      <c r="C1655" s="429" t="str">
        <f t="shared" si="170"/>
        <v>石嘴山市深阳蓝光市政工程有限公司</v>
      </c>
      <c r="D1655" s="868" t="s">
        <v>2967</v>
      </c>
      <c r="E1655" s="149" t="s">
        <v>2968</v>
      </c>
      <c r="F1655" s="995"/>
      <c r="G1655" s="995"/>
      <c r="H1655" s="821"/>
      <c r="I1655" s="821"/>
      <c r="X1655" s="501" t="b">
        <f t="shared" si="171"/>
        <v>1</v>
      </c>
    </row>
    <row r="1656" s="148" customFormat="1" hidden="1" outlineLevel="3" spans="1:24">
      <c r="A1656" s="148" t="s">
        <v>60</v>
      </c>
      <c r="B1656" s="911" t="s">
        <v>2914</v>
      </c>
      <c r="C1656" s="429" t="str">
        <f t="shared" si="170"/>
        <v>石嘴山市深阳蓝光市政工程有限公司</v>
      </c>
      <c r="D1656" s="868" t="s">
        <v>2967</v>
      </c>
      <c r="E1656" s="1000" t="s">
        <v>60</v>
      </c>
      <c r="F1656" s="1000" t="s">
        <v>2927</v>
      </c>
      <c r="G1656" s="995"/>
      <c r="H1656" s="821"/>
      <c r="I1656" s="821"/>
      <c r="X1656" s="501" t="b">
        <f t="shared" si="171"/>
        <v>1</v>
      </c>
    </row>
    <row r="1657" s="148" customFormat="1" hidden="1" outlineLevel="3" spans="2:24">
      <c r="B1657" s="911" t="s">
        <v>2914</v>
      </c>
      <c r="C1657" s="429" t="str">
        <f t="shared" si="170"/>
        <v>石嘴山市深阳蓝光市政工程有限公司</v>
      </c>
      <c r="D1657" s="868" t="s">
        <v>2967</v>
      </c>
      <c r="E1657" s="1001" t="s">
        <v>2969</v>
      </c>
      <c r="F1657" s="945">
        <f>SUM(F1658:F1666)</f>
        <v>0</v>
      </c>
      <c r="G1657" s="995"/>
      <c r="H1657" s="821"/>
      <c r="I1657" s="821"/>
      <c r="X1657" s="501" t="b">
        <f t="shared" si="171"/>
        <v>0</v>
      </c>
    </row>
    <row r="1658" s="148" customFormat="1" hidden="1" outlineLevel="3" spans="2:24">
      <c r="B1658" s="911" t="s">
        <v>2914</v>
      </c>
      <c r="C1658" s="429" t="str">
        <f t="shared" si="170"/>
        <v>石嘴山市深阳蓝光市政工程有限公司</v>
      </c>
      <c r="D1658" s="868" t="s">
        <v>2967</v>
      </c>
      <c r="E1658" s="732"/>
      <c r="F1658" s="991"/>
      <c r="G1658" s="995"/>
      <c r="H1658" s="821"/>
      <c r="I1658" s="821"/>
      <c r="X1658" s="501" t="b">
        <f t="shared" si="171"/>
        <v>1</v>
      </c>
    </row>
    <row r="1659" s="148" customFormat="1" hidden="1" outlineLevel="3" spans="2:24">
      <c r="B1659" s="911" t="s">
        <v>2914</v>
      </c>
      <c r="C1659" s="429" t="str">
        <f t="shared" si="170"/>
        <v>石嘴山市深阳蓝光市政工程有限公司</v>
      </c>
      <c r="D1659" s="868" t="s">
        <v>2967</v>
      </c>
      <c r="E1659" s="732"/>
      <c r="F1659" s="991"/>
      <c r="G1659" s="995"/>
      <c r="H1659" s="821"/>
      <c r="I1659" s="821"/>
      <c r="X1659" s="501" t="b">
        <f t="shared" si="171"/>
        <v>1</v>
      </c>
    </row>
    <row r="1660" s="148" customFormat="1" hidden="1" outlineLevel="3" spans="2:24">
      <c r="B1660" s="911" t="s">
        <v>2914</v>
      </c>
      <c r="C1660" s="429" t="str">
        <f t="shared" si="170"/>
        <v>石嘴山市深阳蓝光市政工程有限公司</v>
      </c>
      <c r="D1660" s="868" t="s">
        <v>2967</v>
      </c>
      <c r="E1660" s="732"/>
      <c r="F1660" s="991"/>
      <c r="G1660" s="995"/>
      <c r="H1660" s="821"/>
      <c r="I1660" s="821"/>
      <c r="X1660" s="501" t="b">
        <f t="shared" si="171"/>
        <v>1</v>
      </c>
    </row>
    <row r="1661" s="148" customFormat="1" hidden="1" outlineLevel="3" spans="2:24">
      <c r="B1661" s="911" t="s">
        <v>2914</v>
      </c>
      <c r="C1661" s="429" t="str">
        <f t="shared" si="170"/>
        <v>石嘴山市深阳蓝光市政工程有限公司</v>
      </c>
      <c r="D1661" s="868" t="s">
        <v>2967</v>
      </c>
      <c r="E1661" s="732"/>
      <c r="F1661" s="991"/>
      <c r="G1661" s="995"/>
      <c r="H1661" s="821"/>
      <c r="I1661" s="821"/>
      <c r="X1661" s="501" t="b">
        <f t="shared" si="171"/>
        <v>1</v>
      </c>
    </row>
    <row r="1662" s="148" customFormat="1" hidden="1" outlineLevel="3" spans="2:24">
      <c r="B1662" s="911" t="s">
        <v>2914</v>
      </c>
      <c r="C1662" s="429" t="str">
        <f t="shared" si="170"/>
        <v>石嘴山市深阳蓝光市政工程有限公司</v>
      </c>
      <c r="D1662" s="868" t="s">
        <v>2967</v>
      </c>
      <c r="E1662" s="732"/>
      <c r="F1662" s="991"/>
      <c r="G1662" s="995"/>
      <c r="H1662" s="821"/>
      <c r="I1662" s="821"/>
      <c r="X1662" s="501" t="b">
        <f t="shared" si="171"/>
        <v>1</v>
      </c>
    </row>
    <row r="1663" s="148" customFormat="1" hidden="1" outlineLevel="3" spans="2:24">
      <c r="B1663" s="911" t="s">
        <v>2914</v>
      </c>
      <c r="C1663" s="429" t="str">
        <f t="shared" si="170"/>
        <v>石嘴山市深阳蓝光市政工程有限公司</v>
      </c>
      <c r="D1663" s="868" t="s">
        <v>2967</v>
      </c>
      <c r="E1663" s="732"/>
      <c r="F1663" s="991"/>
      <c r="G1663" s="995"/>
      <c r="H1663" s="821"/>
      <c r="I1663" s="821"/>
      <c r="X1663" s="501" t="b">
        <f t="shared" si="171"/>
        <v>1</v>
      </c>
    </row>
    <row r="1664" s="148" customFormat="1" hidden="1" outlineLevel="3" spans="2:24">
      <c r="B1664" s="911" t="s">
        <v>2914</v>
      </c>
      <c r="C1664" s="429" t="str">
        <f t="shared" si="170"/>
        <v>石嘴山市深阳蓝光市政工程有限公司</v>
      </c>
      <c r="D1664" s="868" t="s">
        <v>2967</v>
      </c>
      <c r="E1664" s="732"/>
      <c r="F1664" s="991"/>
      <c r="G1664" s="995"/>
      <c r="H1664" s="821"/>
      <c r="I1664" s="821"/>
      <c r="X1664" s="501" t="b">
        <f t="shared" si="171"/>
        <v>1</v>
      </c>
    </row>
    <row r="1665" s="148" customFormat="1" hidden="1" outlineLevel="3" spans="2:24">
      <c r="B1665" s="911" t="s">
        <v>2914</v>
      </c>
      <c r="C1665" s="429" t="str">
        <f t="shared" si="170"/>
        <v>石嘴山市深阳蓝光市政工程有限公司</v>
      </c>
      <c r="D1665" s="868" t="s">
        <v>2967</v>
      </c>
      <c r="E1665" s="732"/>
      <c r="F1665" s="991"/>
      <c r="G1665" s="995"/>
      <c r="H1665" s="821"/>
      <c r="I1665" s="821"/>
      <c r="X1665" s="501" t="b">
        <f t="shared" si="171"/>
        <v>1</v>
      </c>
    </row>
    <row r="1666" s="148" customFormat="1" hidden="1" outlineLevel="3" spans="2:24">
      <c r="B1666" s="911" t="s">
        <v>2914</v>
      </c>
      <c r="C1666" s="429" t="str">
        <f t="shared" si="170"/>
        <v>石嘴山市深阳蓝光市政工程有限公司</v>
      </c>
      <c r="D1666" s="868" t="s">
        <v>2967</v>
      </c>
      <c r="E1666" s="732"/>
      <c r="F1666" s="991"/>
      <c r="G1666" s="995"/>
      <c r="H1666" s="821"/>
      <c r="I1666" s="821"/>
      <c r="X1666" s="501" t="b">
        <f t="shared" si="171"/>
        <v>1</v>
      </c>
    </row>
    <row r="1667" s="148" customFormat="1" hidden="1" outlineLevel="3" spans="2:24">
      <c r="B1667" s="911" t="s">
        <v>2914</v>
      </c>
      <c r="C1667" s="429" t="str">
        <f t="shared" si="170"/>
        <v>石嘴山市深阳蓝光市政工程有限公司</v>
      </c>
      <c r="D1667" s="868" t="s">
        <v>2967</v>
      </c>
      <c r="E1667" s="1001" t="s">
        <v>2970</v>
      </c>
      <c r="F1667" s="945">
        <f>SUM(F1668:F1678)</f>
        <v>0</v>
      </c>
      <c r="G1667" s="995"/>
      <c r="H1667" s="821"/>
      <c r="I1667" s="821"/>
      <c r="X1667" s="501" t="b">
        <f t="shared" si="171"/>
        <v>0</v>
      </c>
    </row>
    <row r="1668" s="148" customFormat="1" hidden="1" outlineLevel="3" spans="2:24">
      <c r="B1668" s="911" t="s">
        <v>2914</v>
      </c>
      <c r="C1668" s="429" t="str">
        <f t="shared" si="170"/>
        <v>石嘴山市深阳蓝光市政工程有限公司</v>
      </c>
      <c r="D1668" s="868" t="s">
        <v>2967</v>
      </c>
      <c r="E1668" s="732"/>
      <c r="F1668" s="991"/>
      <c r="G1668" s="995"/>
      <c r="H1668" s="821"/>
      <c r="I1668" s="821"/>
      <c r="X1668" s="501" t="b">
        <f t="shared" si="171"/>
        <v>1</v>
      </c>
    </row>
    <row r="1669" s="148" customFormat="1" hidden="1" outlineLevel="3" spans="2:24">
      <c r="B1669" s="911" t="s">
        <v>2914</v>
      </c>
      <c r="C1669" s="429" t="str">
        <f t="shared" si="170"/>
        <v>石嘴山市深阳蓝光市政工程有限公司</v>
      </c>
      <c r="D1669" s="868" t="s">
        <v>2967</v>
      </c>
      <c r="E1669" s="732"/>
      <c r="F1669" s="991"/>
      <c r="G1669" s="995"/>
      <c r="H1669" s="821"/>
      <c r="I1669" s="821"/>
      <c r="X1669" s="501" t="b">
        <f t="shared" si="171"/>
        <v>1</v>
      </c>
    </row>
    <row r="1670" s="148" customFormat="1" hidden="1" outlineLevel="3" spans="2:24">
      <c r="B1670" s="911" t="s">
        <v>2914</v>
      </c>
      <c r="C1670" s="429" t="str">
        <f t="shared" si="170"/>
        <v>石嘴山市深阳蓝光市政工程有限公司</v>
      </c>
      <c r="D1670" s="868" t="s">
        <v>2967</v>
      </c>
      <c r="E1670" s="732"/>
      <c r="F1670" s="991"/>
      <c r="G1670" s="995"/>
      <c r="H1670" s="821"/>
      <c r="I1670" s="821"/>
      <c r="X1670" s="501" t="b">
        <f t="shared" si="171"/>
        <v>1</v>
      </c>
    </row>
    <row r="1671" s="148" customFormat="1" hidden="1" outlineLevel="3" spans="2:24">
      <c r="B1671" s="911" t="s">
        <v>2914</v>
      </c>
      <c r="C1671" s="429" t="str">
        <f t="shared" si="170"/>
        <v>石嘴山市深阳蓝光市政工程有限公司</v>
      </c>
      <c r="D1671" s="868" t="s">
        <v>2967</v>
      </c>
      <c r="E1671" s="732"/>
      <c r="F1671" s="991"/>
      <c r="G1671" s="995"/>
      <c r="H1671" s="821"/>
      <c r="I1671" s="821"/>
      <c r="X1671" s="501" t="b">
        <f t="shared" si="171"/>
        <v>1</v>
      </c>
    </row>
    <row r="1672" s="148" customFormat="1" hidden="1" outlineLevel="3" spans="2:24">
      <c r="B1672" s="911" t="s">
        <v>2914</v>
      </c>
      <c r="C1672" s="429" t="str">
        <f t="shared" ref="C1672:C1735" si="172">$G$1</f>
        <v>石嘴山市深阳蓝光市政工程有限公司</v>
      </c>
      <c r="D1672" s="868" t="s">
        <v>2967</v>
      </c>
      <c r="E1672" s="732"/>
      <c r="F1672" s="991"/>
      <c r="G1672" s="995"/>
      <c r="H1672" s="821"/>
      <c r="I1672" s="821"/>
      <c r="X1672" s="501" t="b">
        <f t="shared" ref="X1672:X1735" si="173">EXACT(A1672,E1672)</f>
        <v>1</v>
      </c>
    </row>
    <row r="1673" s="148" customFormat="1" hidden="1" outlineLevel="3" spans="2:24">
      <c r="B1673" s="911" t="s">
        <v>2914</v>
      </c>
      <c r="C1673" s="429" t="str">
        <f t="shared" si="172"/>
        <v>石嘴山市深阳蓝光市政工程有限公司</v>
      </c>
      <c r="D1673" s="868" t="s">
        <v>2967</v>
      </c>
      <c r="E1673" s="732"/>
      <c r="F1673" s="991"/>
      <c r="G1673" s="995"/>
      <c r="H1673" s="821"/>
      <c r="I1673" s="821"/>
      <c r="X1673" s="501" t="b">
        <f t="shared" si="173"/>
        <v>1</v>
      </c>
    </row>
    <row r="1674" s="148" customFormat="1" hidden="1" outlineLevel="3" spans="2:24">
      <c r="B1674" s="911" t="s">
        <v>2914</v>
      </c>
      <c r="C1674" s="429" t="str">
        <f t="shared" si="172"/>
        <v>石嘴山市深阳蓝光市政工程有限公司</v>
      </c>
      <c r="D1674" s="868" t="s">
        <v>2967</v>
      </c>
      <c r="E1674" s="732"/>
      <c r="F1674" s="991"/>
      <c r="G1674" s="995"/>
      <c r="H1674" s="821"/>
      <c r="I1674" s="821"/>
      <c r="X1674" s="501" t="b">
        <f t="shared" si="173"/>
        <v>1</v>
      </c>
    </row>
    <row r="1675" s="148" customFormat="1" hidden="1" outlineLevel="3" spans="2:24">
      <c r="B1675" s="911" t="s">
        <v>2914</v>
      </c>
      <c r="C1675" s="429" t="str">
        <f t="shared" si="172"/>
        <v>石嘴山市深阳蓝光市政工程有限公司</v>
      </c>
      <c r="D1675" s="868" t="s">
        <v>2967</v>
      </c>
      <c r="E1675" s="732"/>
      <c r="F1675" s="991"/>
      <c r="G1675" s="995"/>
      <c r="H1675" s="821"/>
      <c r="I1675" s="821"/>
      <c r="X1675" s="501" t="b">
        <f t="shared" si="173"/>
        <v>1</v>
      </c>
    </row>
    <row r="1676" s="148" customFormat="1" hidden="1" outlineLevel="3" spans="2:24">
      <c r="B1676" s="911" t="s">
        <v>2914</v>
      </c>
      <c r="C1676" s="429" t="str">
        <f t="shared" si="172"/>
        <v>石嘴山市深阳蓝光市政工程有限公司</v>
      </c>
      <c r="D1676" s="868" t="s">
        <v>2967</v>
      </c>
      <c r="E1676" s="732"/>
      <c r="F1676" s="991"/>
      <c r="G1676" s="995"/>
      <c r="H1676" s="821"/>
      <c r="I1676" s="821"/>
      <c r="X1676" s="501" t="b">
        <f t="shared" si="173"/>
        <v>1</v>
      </c>
    </row>
    <row r="1677" s="148" customFormat="1" hidden="1" outlineLevel="3" spans="2:24">
      <c r="B1677" s="911" t="s">
        <v>2914</v>
      </c>
      <c r="C1677" s="429" t="str">
        <f t="shared" si="172"/>
        <v>石嘴山市深阳蓝光市政工程有限公司</v>
      </c>
      <c r="D1677" s="868" t="s">
        <v>2967</v>
      </c>
      <c r="E1677" s="732"/>
      <c r="F1677" s="991"/>
      <c r="G1677" s="995"/>
      <c r="H1677" s="821"/>
      <c r="I1677" s="821"/>
      <c r="X1677" s="501" t="b">
        <f t="shared" si="173"/>
        <v>1</v>
      </c>
    </row>
    <row r="1678" s="148" customFormat="1" hidden="1" outlineLevel="3" spans="2:24">
      <c r="B1678" s="911" t="s">
        <v>2914</v>
      </c>
      <c r="C1678" s="429" t="str">
        <f t="shared" si="172"/>
        <v>石嘴山市深阳蓝光市政工程有限公司</v>
      </c>
      <c r="D1678" s="868" t="s">
        <v>2967</v>
      </c>
      <c r="E1678" s="732"/>
      <c r="F1678" s="991"/>
      <c r="G1678" s="995"/>
      <c r="H1678" s="821"/>
      <c r="I1678" s="821"/>
      <c r="X1678" s="501" t="b">
        <f t="shared" si="173"/>
        <v>1</v>
      </c>
    </row>
    <row r="1679" s="148" customFormat="1" outlineLevel="2" spans="2:24">
      <c r="B1679" s="911" t="s">
        <v>2914</v>
      </c>
      <c r="C1679" s="429" t="str">
        <f t="shared" si="172"/>
        <v>石嘴山市深阳蓝光市政工程有限公司</v>
      </c>
      <c r="D1679" s="868" t="s">
        <v>2967</v>
      </c>
      <c r="E1679" s="994"/>
      <c r="F1679" s="995"/>
      <c r="G1679" s="995"/>
      <c r="H1679" s="821"/>
      <c r="I1679" s="821"/>
      <c r="X1679" s="501" t="b">
        <f t="shared" si="173"/>
        <v>1</v>
      </c>
    </row>
    <row r="1680" s="404" customFormat="1" hidden="1" outlineLevel="2" spans="1:24">
      <c r="A1680" s="404" t="s">
        <v>1738</v>
      </c>
      <c r="B1680" s="911" t="s">
        <v>2914</v>
      </c>
      <c r="C1680" s="429" t="str">
        <f t="shared" si="172"/>
        <v>石嘴山市深阳蓝光市政工程有限公司</v>
      </c>
      <c r="D1680" s="868" t="s">
        <v>1739</v>
      </c>
      <c r="E1680" s="937" t="s">
        <v>1738</v>
      </c>
      <c r="F1680" s="1005"/>
      <c r="G1680" s="1005"/>
      <c r="H1680" s="1006"/>
      <c r="I1680" s="1006"/>
      <c r="X1680" s="501" t="b">
        <f t="shared" si="173"/>
        <v>1</v>
      </c>
    </row>
    <row r="1681" s="404" customFormat="1" hidden="1" outlineLevel="2" spans="1:24">
      <c r="A1681" s="404" t="s">
        <v>1739</v>
      </c>
      <c r="B1681" s="911" t="s">
        <v>2914</v>
      </c>
      <c r="C1681" s="429" t="str">
        <f t="shared" si="172"/>
        <v>石嘴山市深阳蓝光市政工程有限公司</v>
      </c>
      <c r="D1681" s="868" t="s">
        <v>1739</v>
      </c>
      <c r="E1681" s="937" t="s">
        <v>2971</v>
      </c>
      <c r="F1681" s="1005"/>
      <c r="G1681" s="1005"/>
      <c r="H1681" s="1006"/>
      <c r="I1681" s="1006"/>
      <c r="X1681" s="501" t="b">
        <f t="shared" si="173"/>
        <v>1</v>
      </c>
    </row>
    <row r="1682" s="148" customFormat="1" ht="22.5" hidden="1" outlineLevel="2" spans="1:24">
      <c r="A1682" s="148" t="s">
        <v>60</v>
      </c>
      <c r="B1682" s="911" t="s">
        <v>2914</v>
      </c>
      <c r="C1682" s="429" t="str">
        <f t="shared" si="172"/>
        <v>石嘴山市深阳蓝光市政工程有限公司</v>
      </c>
      <c r="D1682" s="868" t="s">
        <v>1739</v>
      </c>
      <c r="E1682" s="581" t="s">
        <v>60</v>
      </c>
      <c r="F1682" s="1007" t="s">
        <v>1740</v>
      </c>
      <c r="G1682" s="1007" t="s">
        <v>1741</v>
      </c>
      <c r="H1682" s="1007" t="s">
        <v>1742</v>
      </c>
      <c r="I1682" s="1007" t="s">
        <v>1743</v>
      </c>
      <c r="X1682" s="501" t="b">
        <f t="shared" si="173"/>
        <v>1</v>
      </c>
    </row>
    <row r="1683" s="148" customFormat="1" hidden="1" outlineLevel="2" spans="1:24">
      <c r="A1683" s="148" t="s">
        <v>934</v>
      </c>
      <c r="B1683" s="911" t="s">
        <v>2914</v>
      </c>
      <c r="C1683" s="429" t="str">
        <f t="shared" si="172"/>
        <v>石嘴山市深阳蓝光市政工程有限公司</v>
      </c>
      <c r="D1683" s="868" t="s">
        <v>1739</v>
      </c>
      <c r="E1683" s="1008" t="str">
        <f t="shared" ref="E1683:E1710" si="174">E1602</f>
        <v>一、递延所得税资产</v>
      </c>
      <c r="F1683" s="970">
        <f>ROUND(F1684+SUM(F1692:F1697),2)</f>
        <v>0</v>
      </c>
      <c r="G1683" s="970">
        <f>ROUND(G1684+SUM(G1692:G1697),2)</f>
        <v>0</v>
      </c>
      <c r="H1683" s="970">
        <f>ROUND(H1684+SUM(H1692:H1697),2)</f>
        <v>0</v>
      </c>
      <c r="I1683" s="970">
        <f>ROUND(I1684+SUM(I1692:I1697),2)</f>
        <v>0</v>
      </c>
      <c r="X1683" s="501" t="b">
        <f t="shared" si="173"/>
        <v>1</v>
      </c>
    </row>
    <row r="1684" s="148" customFormat="1" hidden="1" outlineLevel="2" spans="1:24">
      <c r="A1684" s="148" t="s">
        <v>1709</v>
      </c>
      <c r="B1684" s="911" t="s">
        <v>2914</v>
      </c>
      <c r="C1684" s="429" t="str">
        <f t="shared" si="172"/>
        <v>石嘴山市深阳蓝光市政工程有限公司</v>
      </c>
      <c r="D1684" s="868" t="s">
        <v>1739</v>
      </c>
      <c r="E1684" s="1009" t="str">
        <f t="shared" si="174"/>
        <v>1、资产减值准备：</v>
      </c>
      <c r="F1684" s="970">
        <f>ROUND(SUM(F1685:F1691),2)</f>
        <v>0</v>
      </c>
      <c r="G1684" s="970">
        <f>ROUND(SUM(G1685:G1691),2)</f>
        <v>0</v>
      </c>
      <c r="H1684" s="970">
        <f>ROUND(SUM(H1685:H1691),2)</f>
        <v>0</v>
      </c>
      <c r="I1684" s="970">
        <f>ROUND(SUM(I1685:I1691),2)</f>
        <v>0</v>
      </c>
      <c r="X1684" s="501" t="b">
        <f t="shared" si="173"/>
        <v>0</v>
      </c>
    </row>
    <row r="1685" s="148" customFormat="1" hidden="1" outlineLevel="2" spans="1:24">
      <c r="A1685" s="148" t="s">
        <v>1710</v>
      </c>
      <c r="B1685" s="911" t="s">
        <v>2914</v>
      </c>
      <c r="C1685" s="429" t="str">
        <f t="shared" si="172"/>
        <v>石嘴山市深阳蓝光市政工程有限公司</v>
      </c>
      <c r="D1685" s="868" t="s">
        <v>1739</v>
      </c>
      <c r="E1685" s="1009" t="str">
        <f t="shared" si="174"/>
        <v>      其中：坏账准备</v>
      </c>
      <c r="F1685" s="132"/>
      <c r="G1685" s="132"/>
      <c r="H1685" s="477">
        <f>报表附注合并期初用!E1414</f>
        <v>0</v>
      </c>
      <c r="I1685" s="477">
        <f>报表附注合并期初用!E1443</f>
        <v>0</v>
      </c>
      <c r="X1685" s="501" t="b">
        <f t="shared" si="173"/>
        <v>1</v>
      </c>
    </row>
    <row r="1686" s="148" customFormat="1" hidden="1" outlineLevel="2" spans="1:24">
      <c r="A1686" s="148" t="s">
        <v>1711</v>
      </c>
      <c r="B1686" s="911" t="s">
        <v>2914</v>
      </c>
      <c r="C1686" s="429" t="str">
        <f t="shared" si="172"/>
        <v>石嘴山市深阳蓝光市政工程有限公司</v>
      </c>
      <c r="D1686" s="868" t="s">
        <v>1739</v>
      </c>
      <c r="E1686" s="1009" t="str">
        <f t="shared" si="174"/>
        <v>           存货减值</v>
      </c>
      <c r="F1686" s="132"/>
      <c r="G1686" s="132"/>
      <c r="H1686" s="477">
        <f>报表附注合并期初用!E1415</f>
        <v>0</v>
      </c>
      <c r="I1686" s="477">
        <f>报表附注合并期初用!E1444</f>
        <v>0</v>
      </c>
      <c r="X1686" s="501" t="b">
        <f t="shared" si="173"/>
        <v>1</v>
      </c>
    </row>
    <row r="1687" s="148" customFormat="1" hidden="1" outlineLevel="2" spans="1:24">
      <c r="A1687" s="148" t="s">
        <v>1712</v>
      </c>
      <c r="B1687" s="911" t="s">
        <v>2914</v>
      </c>
      <c r="C1687" s="429" t="str">
        <f t="shared" si="172"/>
        <v>石嘴山市深阳蓝光市政工程有限公司</v>
      </c>
      <c r="D1687" s="868" t="s">
        <v>1739</v>
      </c>
      <c r="E1687" s="1009" t="str">
        <f t="shared" si="174"/>
        <v>           在建工程减值</v>
      </c>
      <c r="F1687" s="132"/>
      <c r="G1687" s="132"/>
      <c r="H1687" s="477">
        <f>报表附注合并期初用!E1416</f>
        <v>0</v>
      </c>
      <c r="I1687" s="477">
        <f>报表附注合并期初用!E1445</f>
        <v>0</v>
      </c>
      <c r="X1687" s="501" t="b">
        <f t="shared" si="173"/>
        <v>1</v>
      </c>
    </row>
    <row r="1688" s="148" customFormat="1" hidden="1" outlineLevel="2" spans="1:24">
      <c r="A1688" s="148" t="s">
        <v>1713</v>
      </c>
      <c r="B1688" s="911" t="s">
        <v>2914</v>
      </c>
      <c r="C1688" s="429" t="str">
        <f t="shared" si="172"/>
        <v>石嘴山市深阳蓝光市政工程有限公司</v>
      </c>
      <c r="D1688" s="868" t="s">
        <v>1739</v>
      </c>
      <c r="E1688" s="1009" t="str">
        <f t="shared" si="174"/>
        <v>           长期股权投资减值</v>
      </c>
      <c r="F1688" s="132"/>
      <c r="G1688" s="132"/>
      <c r="H1688" s="477">
        <f>报表附注合并期初用!E1417</f>
        <v>0</v>
      </c>
      <c r="I1688" s="477">
        <f>报表附注合并期初用!E1446</f>
        <v>0</v>
      </c>
      <c r="X1688" s="501" t="b">
        <f t="shared" si="173"/>
        <v>1</v>
      </c>
    </row>
    <row r="1689" s="148" customFormat="1" hidden="1" outlineLevel="2" spans="1:24">
      <c r="A1689" s="148" t="s">
        <v>1714</v>
      </c>
      <c r="B1689" s="911" t="s">
        <v>2914</v>
      </c>
      <c r="C1689" s="429" t="str">
        <f t="shared" si="172"/>
        <v>石嘴山市深阳蓝光市政工程有限公司</v>
      </c>
      <c r="D1689" s="868" t="s">
        <v>1739</v>
      </c>
      <c r="E1689" s="1009" t="str">
        <f t="shared" si="174"/>
        <v>           固定资产减值</v>
      </c>
      <c r="F1689" s="132"/>
      <c r="G1689" s="132"/>
      <c r="H1689" s="477">
        <f>报表附注合并期初用!E1418</f>
        <v>0</v>
      </c>
      <c r="I1689" s="477">
        <f>报表附注合并期初用!E1447</f>
        <v>0</v>
      </c>
      <c r="X1689" s="501" t="b">
        <f t="shared" si="173"/>
        <v>1</v>
      </c>
    </row>
    <row r="1690" s="148" customFormat="1" hidden="1" outlineLevel="2" spans="1:24">
      <c r="A1690" s="148" t="s">
        <v>1715</v>
      </c>
      <c r="B1690" s="911" t="s">
        <v>2914</v>
      </c>
      <c r="C1690" s="429" t="str">
        <f t="shared" si="172"/>
        <v>石嘴山市深阳蓝光市政工程有限公司</v>
      </c>
      <c r="D1690" s="868" t="s">
        <v>1739</v>
      </c>
      <c r="E1690" s="1009" t="str">
        <f t="shared" si="174"/>
        <v>            无形资产减值</v>
      </c>
      <c r="F1690" s="132"/>
      <c r="G1690" s="132"/>
      <c r="H1690" s="477">
        <f>报表附注合并期初用!E1419</f>
        <v>0</v>
      </c>
      <c r="I1690" s="477">
        <f>报表附注合并期初用!E1448</f>
        <v>0</v>
      </c>
      <c r="X1690" s="501" t="b">
        <f t="shared" si="173"/>
        <v>1</v>
      </c>
    </row>
    <row r="1691" s="148" customFormat="1" hidden="1" outlineLevel="2" spans="1:24">
      <c r="A1691" s="148" t="s">
        <v>1716</v>
      </c>
      <c r="B1691" s="911" t="s">
        <v>2914</v>
      </c>
      <c r="C1691" s="429" t="str">
        <f t="shared" si="172"/>
        <v>石嘴山市深阳蓝光市政工程有限公司</v>
      </c>
      <c r="D1691" s="868" t="s">
        <v>1739</v>
      </c>
      <c r="E1691" s="1009" t="str">
        <f t="shared" si="174"/>
        <v>            商誉减值</v>
      </c>
      <c r="F1691" s="132"/>
      <c r="G1691" s="132"/>
      <c r="H1691" s="477">
        <f>报表附注合并期初用!E1420</f>
        <v>0</v>
      </c>
      <c r="I1691" s="477">
        <f>报表附注合并期初用!E1449</f>
        <v>0</v>
      </c>
      <c r="X1691" s="501" t="b">
        <f t="shared" si="173"/>
        <v>1</v>
      </c>
    </row>
    <row r="1692" s="148" customFormat="1" hidden="1" outlineLevel="2" spans="1:24">
      <c r="A1692" s="148" t="s">
        <v>1717</v>
      </c>
      <c r="B1692" s="911" t="s">
        <v>2914</v>
      </c>
      <c r="C1692" s="429" t="str">
        <f t="shared" si="172"/>
        <v>石嘴山市深阳蓝光市政工程有限公司</v>
      </c>
      <c r="D1692" s="868" t="s">
        <v>1739</v>
      </c>
      <c r="E1692" s="1009" t="str">
        <f t="shared" si="174"/>
        <v>2、开办费</v>
      </c>
      <c r="F1692" s="132"/>
      <c r="G1692" s="132"/>
      <c r="H1692" s="477">
        <f>报表附注合并期初用!E1421</f>
        <v>0</v>
      </c>
      <c r="I1692" s="477">
        <f>报表附注合并期初用!E1450</f>
        <v>0</v>
      </c>
      <c r="X1692" s="501" t="b">
        <f t="shared" si="173"/>
        <v>0</v>
      </c>
    </row>
    <row r="1693" s="148" customFormat="1" hidden="1" outlineLevel="2" spans="1:24">
      <c r="A1693" s="148" t="s">
        <v>1718</v>
      </c>
      <c r="B1693" s="911" t="s">
        <v>2914</v>
      </c>
      <c r="C1693" s="429" t="str">
        <f t="shared" si="172"/>
        <v>石嘴山市深阳蓝光市政工程有限公司</v>
      </c>
      <c r="D1693" s="868" t="s">
        <v>1739</v>
      </c>
      <c r="E1693" s="1009" t="str">
        <f t="shared" si="174"/>
        <v>3、可抵扣亏损</v>
      </c>
      <c r="F1693" s="132"/>
      <c r="G1693" s="132"/>
      <c r="H1693" s="477">
        <f>报表附注合并期初用!E1422</f>
        <v>0</v>
      </c>
      <c r="I1693" s="477">
        <f>报表附注合并期初用!E1451</f>
        <v>0</v>
      </c>
      <c r="X1693" s="501" t="b">
        <f t="shared" si="173"/>
        <v>0</v>
      </c>
    </row>
    <row r="1694" s="148" customFormat="1" hidden="1" outlineLevel="2" spans="1:24">
      <c r="A1694" s="148" t="s">
        <v>1719</v>
      </c>
      <c r="B1694" s="911" t="s">
        <v>2914</v>
      </c>
      <c r="C1694" s="429" t="str">
        <f t="shared" si="172"/>
        <v>石嘴山市深阳蓝光市政工程有限公司</v>
      </c>
      <c r="D1694" s="868" t="s">
        <v>1739</v>
      </c>
      <c r="E1694" s="1009" t="str">
        <f t="shared" si="174"/>
        <v>4、非同一控制下企业合并产生递延所得税资产</v>
      </c>
      <c r="F1694" s="132"/>
      <c r="G1694" s="132"/>
      <c r="H1694" s="477">
        <f>报表附注合并期初用!E1423</f>
        <v>0</v>
      </c>
      <c r="I1694" s="477">
        <f>报表附注合并期初用!E1452</f>
        <v>0</v>
      </c>
      <c r="X1694" s="501" t="b">
        <f t="shared" si="173"/>
        <v>0</v>
      </c>
    </row>
    <row r="1695" s="148" customFormat="1" hidden="1" outlineLevel="2" spans="1:24">
      <c r="A1695" s="148" t="s">
        <v>1720</v>
      </c>
      <c r="B1695" s="911" t="s">
        <v>2914</v>
      </c>
      <c r="C1695" s="429" t="str">
        <f t="shared" si="172"/>
        <v>石嘴山市深阳蓝光市政工程有限公司</v>
      </c>
      <c r="D1695" s="868" t="s">
        <v>1739</v>
      </c>
      <c r="E1695" s="1009" t="str">
        <f t="shared" si="174"/>
        <v>5、计提未付的工资</v>
      </c>
      <c r="F1695" s="132"/>
      <c r="G1695" s="132"/>
      <c r="H1695" s="477">
        <f>报表附注合并期初用!E1424</f>
        <v>0</v>
      </c>
      <c r="I1695" s="477">
        <f>报表附注合并期初用!E1453</f>
        <v>0</v>
      </c>
      <c r="X1695" s="501" t="b">
        <f t="shared" si="173"/>
        <v>0</v>
      </c>
    </row>
    <row r="1696" s="148" customFormat="1" hidden="1" outlineLevel="2" spans="1:24">
      <c r="A1696" s="148" t="s">
        <v>1721</v>
      </c>
      <c r="B1696" s="911" t="s">
        <v>2914</v>
      </c>
      <c r="C1696" s="429" t="str">
        <f t="shared" si="172"/>
        <v>石嘴山市深阳蓝光市政工程有限公司</v>
      </c>
      <c r="D1696" s="868" t="s">
        <v>1739</v>
      </c>
      <c r="E1696" s="1009" t="str">
        <f t="shared" si="174"/>
        <v>6、递延收益</v>
      </c>
      <c r="F1696" s="132"/>
      <c r="G1696" s="132"/>
      <c r="H1696" s="477">
        <f>报表附注合并期初用!E1425</f>
        <v>0</v>
      </c>
      <c r="I1696" s="477">
        <f>报表附注合并期初用!E1454</f>
        <v>0</v>
      </c>
      <c r="X1696" s="501" t="b">
        <f t="shared" si="173"/>
        <v>0</v>
      </c>
    </row>
    <row r="1697" s="148" customFormat="1" hidden="1" outlineLevel="2" spans="1:24">
      <c r="A1697" s="148" t="s">
        <v>1722</v>
      </c>
      <c r="B1697" s="911" t="s">
        <v>2914</v>
      </c>
      <c r="C1697" s="429" t="str">
        <f t="shared" si="172"/>
        <v>石嘴山市深阳蓝光市政工程有限公司</v>
      </c>
      <c r="D1697" s="868" t="s">
        <v>1739</v>
      </c>
      <c r="E1697" s="1009" t="str">
        <f t="shared" si="174"/>
        <v>7、内部交易未实现损益</v>
      </c>
      <c r="F1697" s="132"/>
      <c r="G1697" s="132"/>
      <c r="H1697" s="477">
        <f>报表附注合并期初用!E1426</f>
        <v>0</v>
      </c>
      <c r="I1697" s="477">
        <f>报表附注合并期初用!E1455</f>
        <v>0</v>
      </c>
      <c r="X1697" s="501" t="b">
        <f t="shared" si="173"/>
        <v>0</v>
      </c>
    </row>
    <row r="1698" s="148" customFormat="1" hidden="1" outlineLevel="2" spans="1:24">
      <c r="A1698" s="148" t="s">
        <v>936</v>
      </c>
      <c r="B1698" s="911" t="s">
        <v>2914</v>
      </c>
      <c r="C1698" s="429" t="str">
        <f t="shared" si="172"/>
        <v>石嘴山市深阳蓝光市政工程有限公司</v>
      </c>
      <c r="D1698" s="868" t="s">
        <v>1739</v>
      </c>
      <c r="E1698" s="1008" t="str">
        <f t="shared" si="174"/>
        <v>二、递延所得税负债</v>
      </c>
      <c r="F1698" s="985">
        <f>ROUND(SUM(F1699:F1710),2)</f>
        <v>0</v>
      </c>
      <c r="G1698" s="985">
        <f>ROUND(SUM(G1699:G1710),2)</f>
        <v>0</v>
      </c>
      <c r="H1698" s="985">
        <f>ROUND(SUM(H1699:H1710),2)</f>
        <v>0</v>
      </c>
      <c r="I1698" s="985">
        <f>ROUND(SUM(I1699:I1710),2)</f>
        <v>0</v>
      </c>
      <c r="X1698" s="501" t="b">
        <f t="shared" si="173"/>
        <v>1</v>
      </c>
    </row>
    <row r="1699" s="148" customFormat="1" hidden="1" outlineLevel="2" spans="1:24">
      <c r="A1699" s="148" t="s">
        <v>1723</v>
      </c>
      <c r="B1699" s="911" t="s">
        <v>2914</v>
      </c>
      <c r="C1699" s="429" t="str">
        <f t="shared" si="172"/>
        <v>石嘴山市深阳蓝光市政工程有限公司</v>
      </c>
      <c r="D1699" s="868" t="s">
        <v>1739</v>
      </c>
      <c r="E1699" s="1009" t="str">
        <f t="shared" si="174"/>
        <v>1、交易性金融工具、衍生金融工具的估值</v>
      </c>
      <c r="F1699" s="991"/>
      <c r="G1699" s="991"/>
      <c r="H1699" s="1010">
        <f>报表附注合并期初用!E1428</f>
        <v>0</v>
      </c>
      <c r="I1699" s="1010">
        <f>报表附注合并期初用!E1457</f>
        <v>0</v>
      </c>
      <c r="X1699" s="501" t="b">
        <f t="shared" si="173"/>
        <v>0</v>
      </c>
    </row>
    <row r="1700" s="148" customFormat="1" hidden="1" outlineLevel="2" spans="1:24">
      <c r="A1700" s="148" t="s">
        <v>1724</v>
      </c>
      <c r="B1700" s="911" t="s">
        <v>2914</v>
      </c>
      <c r="C1700" s="429" t="str">
        <f t="shared" si="172"/>
        <v>石嘴山市深阳蓝光市政工程有限公司</v>
      </c>
      <c r="D1700" s="868" t="s">
        <v>1739</v>
      </c>
      <c r="E1700" s="1009" t="str">
        <f t="shared" si="174"/>
        <v>2、计入资本公积的可供出售金融资产公允价值变动</v>
      </c>
      <c r="F1700" s="991"/>
      <c r="G1700" s="991"/>
      <c r="H1700" s="1010">
        <f>报表附注合并期初用!E1429</f>
        <v>0</v>
      </c>
      <c r="I1700" s="1010">
        <f>报表附注合并期初用!E1458</f>
        <v>0</v>
      </c>
      <c r="X1700" s="501" t="b">
        <f t="shared" si="173"/>
        <v>0</v>
      </c>
    </row>
    <row r="1701" s="148" customFormat="1" hidden="1" outlineLevel="2" spans="1:24">
      <c r="A1701" s="148" t="s">
        <v>1721</v>
      </c>
      <c r="B1701" s="911" t="s">
        <v>2914</v>
      </c>
      <c r="C1701" s="429" t="str">
        <f t="shared" si="172"/>
        <v>石嘴山市深阳蓝光市政工程有限公司</v>
      </c>
      <c r="D1701" s="868" t="s">
        <v>1739</v>
      </c>
      <c r="E1701" s="1009" t="str">
        <f t="shared" si="174"/>
        <v>3、非同一控制下企业合并产生递延所得税负债</v>
      </c>
      <c r="F1701" s="991"/>
      <c r="G1701" s="991"/>
      <c r="H1701" s="1010">
        <f>报表附注合并期初用!E1430</f>
        <v>0</v>
      </c>
      <c r="I1701" s="1010">
        <f>报表附注合并期初用!E1459</f>
        <v>0</v>
      </c>
      <c r="X1701" s="501" t="b">
        <f t="shared" si="173"/>
        <v>0</v>
      </c>
    </row>
    <row r="1702" s="148" customFormat="1" hidden="1" outlineLevel="2" collapsed="1" spans="1:24">
      <c r="A1702" s="148" t="s">
        <v>1722</v>
      </c>
      <c r="B1702" s="911" t="s">
        <v>2914</v>
      </c>
      <c r="C1702" s="429" t="str">
        <f t="shared" si="172"/>
        <v>石嘴山市深阳蓝光市政工程有限公司</v>
      </c>
      <c r="D1702" s="868" t="s">
        <v>1739</v>
      </c>
      <c r="E1702" s="1009" t="str">
        <f t="shared" si="174"/>
        <v>4、内部交易未实现损益</v>
      </c>
      <c r="F1702" s="991"/>
      <c r="G1702" s="991"/>
      <c r="H1702" s="1010">
        <f>报表附注合并期初用!E1431</f>
        <v>0</v>
      </c>
      <c r="I1702" s="1010">
        <f>报表附注合并期初用!E1460</f>
        <v>0</v>
      </c>
      <c r="X1702" s="501" t="b">
        <f t="shared" si="173"/>
        <v>0</v>
      </c>
    </row>
    <row r="1703" s="148" customFormat="1" hidden="1" outlineLevel="3" spans="1:24">
      <c r="A1703" s="148" t="s">
        <v>1725</v>
      </c>
      <c r="B1703" s="911" t="s">
        <v>2914</v>
      </c>
      <c r="C1703" s="429" t="str">
        <f t="shared" si="172"/>
        <v>石嘴山市深阳蓝光市政工程有限公司</v>
      </c>
      <c r="D1703" s="868" t="s">
        <v>1739</v>
      </c>
      <c r="E1703" s="1009" t="str">
        <f t="shared" si="174"/>
        <v>5、固定资产评估增值</v>
      </c>
      <c r="F1703" s="991"/>
      <c r="G1703" s="991"/>
      <c r="H1703" s="1010">
        <f>报表附注合并期初用!E1432</f>
        <v>0</v>
      </c>
      <c r="I1703" s="1010">
        <f>报表附注合并期初用!E1461</f>
        <v>0</v>
      </c>
      <c r="X1703" s="501" t="b">
        <f t="shared" si="173"/>
        <v>0</v>
      </c>
    </row>
    <row r="1704" s="148" customFormat="1" hidden="1" outlineLevel="3" spans="1:24">
      <c r="A1704" s="148" t="s">
        <v>1726</v>
      </c>
      <c r="B1704" s="911" t="s">
        <v>2914</v>
      </c>
      <c r="C1704" s="429" t="str">
        <f t="shared" si="172"/>
        <v>石嘴山市深阳蓝光市政工程有限公司</v>
      </c>
      <c r="D1704" s="868" t="s">
        <v>1739</v>
      </c>
      <c r="E1704" s="1009" t="str">
        <f t="shared" si="174"/>
        <v>新增项目4……</v>
      </c>
      <c r="F1704" s="991"/>
      <c r="G1704" s="991"/>
      <c r="H1704" s="1010">
        <f>报表附注合并期初用!E1433</f>
        <v>0</v>
      </c>
      <c r="I1704" s="1010">
        <f>报表附注合并期初用!E1462</f>
        <v>0</v>
      </c>
      <c r="X1704" s="501" t="b">
        <f t="shared" si="173"/>
        <v>1</v>
      </c>
    </row>
    <row r="1705" s="148" customFormat="1" hidden="1" outlineLevel="3" spans="1:24">
      <c r="A1705" s="148" t="s">
        <v>1727</v>
      </c>
      <c r="B1705" s="911" t="s">
        <v>2914</v>
      </c>
      <c r="C1705" s="429" t="str">
        <f t="shared" si="172"/>
        <v>石嘴山市深阳蓝光市政工程有限公司</v>
      </c>
      <c r="D1705" s="868" t="s">
        <v>1739</v>
      </c>
      <c r="E1705" s="1009" t="str">
        <f t="shared" si="174"/>
        <v>新增项目5……</v>
      </c>
      <c r="F1705" s="991"/>
      <c r="G1705" s="991"/>
      <c r="H1705" s="1010">
        <f>报表附注合并期初用!E1434</f>
        <v>0</v>
      </c>
      <c r="I1705" s="1010">
        <f>报表附注合并期初用!E1463</f>
        <v>0</v>
      </c>
      <c r="X1705" s="501" t="b">
        <f t="shared" si="173"/>
        <v>1</v>
      </c>
    </row>
    <row r="1706" s="148" customFormat="1" hidden="1" outlineLevel="3" spans="1:24">
      <c r="A1706" s="148" t="s">
        <v>1728</v>
      </c>
      <c r="B1706" s="911" t="s">
        <v>2914</v>
      </c>
      <c r="C1706" s="429" t="str">
        <f t="shared" si="172"/>
        <v>石嘴山市深阳蓝光市政工程有限公司</v>
      </c>
      <c r="D1706" s="868" t="s">
        <v>1739</v>
      </c>
      <c r="E1706" s="1009" t="str">
        <f t="shared" si="174"/>
        <v>新增项目6……</v>
      </c>
      <c r="F1706" s="991"/>
      <c r="G1706" s="991"/>
      <c r="H1706" s="1010">
        <f>报表附注合并期初用!E1435</f>
        <v>0</v>
      </c>
      <c r="I1706" s="1010">
        <f>报表附注合并期初用!E1464</f>
        <v>0</v>
      </c>
      <c r="X1706" s="501" t="b">
        <f t="shared" si="173"/>
        <v>1</v>
      </c>
    </row>
    <row r="1707" s="148" customFormat="1" hidden="1" outlineLevel="3" spans="1:24">
      <c r="A1707" s="148" t="s">
        <v>1729</v>
      </c>
      <c r="B1707" s="911" t="s">
        <v>2914</v>
      </c>
      <c r="C1707" s="429" t="str">
        <f t="shared" si="172"/>
        <v>石嘴山市深阳蓝光市政工程有限公司</v>
      </c>
      <c r="D1707" s="868" t="s">
        <v>1739</v>
      </c>
      <c r="E1707" s="1009" t="str">
        <f t="shared" si="174"/>
        <v>新增项目7……</v>
      </c>
      <c r="F1707" s="991"/>
      <c r="G1707" s="991"/>
      <c r="H1707" s="1010">
        <f>报表附注合并期初用!E1436</f>
        <v>0</v>
      </c>
      <c r="I1707" s="1010">
        <f>报表附注合并期初用!E1465</f>
        <v>0</v>
      </c>
      <c r="X1707" s="501" t="b">
        <f t="shared" si="173"/>
        <v>1</v>
      </c>
    </row>
    <row r="1708" s="148" customFormat="1" hidden="1" outlineLevel="3" spans="1:24">
      <c r="A1708" s="148" t="s">
        <v>1730</v>
      </c>
      <c r="B1708" s="911" t="s">
        <v>2914</v>
      </c>
      <c r="C1708" s="429" t="str">
        <f t="shared" si="172"/>
        <v>石嘴山市深阳蓝光市政工程有限公司</v>
      </c>
      <c r="D1708" s="868" t="s">
        <v>1739</v>
      </c>
      <c r="E1708" s="1009" t="str">
        <f t="shared" si="174"/>
        <v>新增项目8……</v>
      </c>
      <c r="F1708" s="991"/>
      <c r="G1708" s="991"/>
      <c r="H1708" s="1010">
        <f>报表附注合并期初用!E1437</f>
        <v>0</v>
      </c>
      <c r="I1708" s="1010">
        <f>报表附注合并期初用!E1466</f>
        <v>0</v>
      </c>
      <c r="X1708" s="501" t="b">
        <f t="shared" si="173"/>
        <v>1</v>
      </c>
    </row>
    <row r="1709" s="148" customFormat="1" hidden="1" outlineLevel="3" spans="1:24">
      <c r="A1709" s="148" t="s">
        <v>1731</v>
      </c>
      <c r="B1709" s="911" t="s">
        <v>2914</v>
      </c>
      <c r="C1709" s="429" t="str">
        <f t="shared" si="172"/>
        <v>石嘴山市深阳蓝光市政工程有限公司</v>
      </c>
      <c r="D1709" s="868" t="s">
        <v>1739</v>
      </c>
      <c r="E1709" s="1009" t="str">
        <f t="shared" si="174"/>
        <v>新增项目9……</v>
      </c>
      <c r="F1709" s="991"/>
      <c r="G1709" s="991"/>
      <c r="H1709" s="1010">
        <f>报表附注合并期初用!E1438</f>
        <v>0</v>
      </c>
      <c r="I1709" s="1010">
        <f>报表附注合并期初用!E1467</f>
        <v>0</v>
      </c>
      <c r="X1709" s="501" t="b">
        <f t="shared" si="173"/>
        <v>1</v>
      </c>
    </row>
    <row r="1710" s="148" customFormat="1" hidden="1" outlineLevel="3" spans="1:24">
      <c r="A1710" s="148" t="s">
        <v>1732</v>
      </c>
      <c r="B1710" s="911" t="s">
        <v>2914</v>
      </c>
      <c r="C1710" s="429" t="str">
        <f t="shared" si="172"/>
        <v>石嘴山市深阳蓝光市政工程有限公司</v>
      </c>
      <c r="D1710" s="868" t="s">
        <v>1739</v>
      </c>
      <c r="E1710" s="1009" t="str">
        <f t="shared" si="174"/>
        <v>新增项目10……</v>
      </c>
      <c r="F1710" s="991"/>
      <c r="G1710" s="991"/>
      <c r="H1710" s="1010">
        <f>报表附注合并期初用!E1439</f>
        <v>0</v>
      </c>
      <c r="I1710" s="1010">
        <f>报表附注合并期初用!E1468</f>
        <v>0</v>
      </c>
      <c r="X1710" s="501" t="b">
        <f t="shared" si="173"/>
        <v>1</v>
      </c>
    </row>
    <row r="1711" s="148" customFormat="1" outlineLevel="2" spans="2:24">
      <c r="B1711" s="911" t="s">
        <v>2914</v>
      </c>
      <c r="C1711" s="429" t="str">
        <f t="shared" si="172"/>
        <v>石嘴山市深阳蓝光市政工程有限公司</v>
      </c>
      <c r="D1711" s="868" t="s">
        <v>1739</v>
      </c>
      <c r="E1711" s="994"/>
      <c r="F1711" s="995"/>
      <c r="G1711" s="995"/>
      <c r="H1711" s="821"/>
      <c r="I1711" s="821"/>
      <c r="X1711" s="501" t="b">
        <f t="shared" si="173"/>
        <v>1</v>
      </c>
    </row>
    <row r="1712" s="148" customFormat="1" outlineLevel="2" spans="1:24">
      <c r="A1712" s="148" t="s">
        <v>2972</v>
      </c>
      <c r="B1712" s="911" t="s">
        <v>2914</v>
      </c>
      <c r="C1712" s="429" t="str">
        <f t="shared" si="172"/>
        <v>石嘴山市深阳蓝光市政工程有限公司</v>
      </c>
      <c r="D1712" s="868" t="s">
        <v>2972</v>
      </c>
      <c r="E1712" s="748" t="s">
        <v>2973</v>
      </c>
      <c r="F1712" s="995"/>
      <c r="G1712" s="995"/>
      <c r="H1712" s="821"/>
      <c r="I1712" s="821"/>
      <c r="X1712" s="501" t="b">
        <f t="shared" si="173"/>
        <v>1</v>
      </c>
    </row>
    <row r="1713" s="148" customFormat="1" outlineLevel="2" spans="1:24">
      <c r="A1713" s="148" t="s">
        <v>60</v>
      </c>
      <c r="B1713" s="911" t="s">
        <v>2914</v>
      </c>
      <c r="C1713" s="429" t="str">
        <f t="shared" si="172"/>
        <v>石嘴山市深阳蓝光市政工程有限公司</v>
      </c>
      <c r="D1713" s="868" t="s">
        <v>2972</v>
      </c>
      <c r="E1713" s="581" t="s">
        <v>60</v>
      </c>
      <c r="F1713" s="581" t="s">
        <v>2974</v>
      </c>
      <c r="G1713" s="995"/>
      <c r="H1713" s="821"/>
      <c r="I1713" s="821"/>
      <c r="X1713" s="501" t="b">
        <f t="shared" si="173"/>
        <v>1</v>
      </c>
    </row>
    <row r="1714" s="148" customFormat="1" outlineLevel="2" spans="2:24">
      <c r="B1714" s="911" t="s">
        <v>2914</v>
      </c>
      <c r="C1714" s="429" t="str">
        <f t="shared" si="172"/>
        <v>石嘴山市深阳蓝光市政工程有限公司</v>
      </c>
      <c r="D1714" s="868" t="s">
        <v>2972</v>
      </c>
      <c r="E1714" s="1011"/>
      <c r="F1714" s="991"/>
      <c r="G1714" s="995"/>
      <c r="H1714" s="821"/>
      <c r="I1714" s="821"/>
      <c r="X1714" s="501" t="b">
        <f t="shared" si="173"/>
        <v>1</v>
      </c>
    </row>
    <row r="1715" s="148" customFormat="1" outlineLevel="2" spans="2:24">
      <c r="B1715" s="911" t="s">
        <v>2914</v>
      </c>
      <c r="C1715" s="429" t="str">
        <f t="shared" si="172"/>
        <v>石嘴山市深阳蓝光市政工程有限公司</v>
      </c>
      <c r="D1715" s="868" t="s">
        <v>2972</v>
      </c>
      <c r="E1715" s="1011"/>
      <c r="F1715" s="991"/>
      <c r="G1715" s="995"/>
      <c r="H1715" s="821"/>
      <c r="I1715" s="821"/>
      <c r="X1715" s="501" t="b">
        <f t="shared" si="173"/>
        <v>1</v>
      </c>
    </row>
    <row r="1716" s="148" customFormat="1" outlineLevel="2" spans="2:24">
      <c r="B1716" s="911" t="s">
        <v>2914</v>
      </c>
      <c r="C1716" s="429" t="str">
        <f t="shared" si="172"/>
        <v>石嘴山市深阳蓝光市政工程有限公司</v>
      </c>
      <c r="D1716" s="868" t="s">
        <v>2972</v>
      </c>
      <c r="E1716" s="1011"/>
      <c r="F1716" s="991"/>
      <c r="G1716" s="995"/>
      <c r="H1716" s="821"/>
      <c r="I1716" s="821"/>
      <c r="X1716" s="501" t="b">
        <f t="shared" si="173"/>
        <v>1</v>
      </c>
    </row>
    <row r="1717" s="148" customFormat="1" outlineLevel="2" spans="2:24">
      <c r="B1717" s="911" t="s">
        <v>2914</v>
      </c>
      <c r="C1717" s="429" t="str">
        <f t="shared" si="172"/>
        <v>石嘴山市深阳蓝光市政工程有限公司</v>
      </c>
      <c r="D1717" s="868" t="s">
        <v>2972</v>
      </c>
      <c r="E1717" s="1011"/>
      <c r="F1717" s="991"/>
      <c r="G1717" s="995"/>
      <c r="H1717" s="821"/>
      <c r="I1717" s="821"/>
      <c r="X1717" s="501" t="b">
        <f t="shared" si="173"/>
        <v>1</v>
      </c>
    </row>
    <row r="1718" s="148" customFormat="1" outlineLevel="2" spans="2:24">
      <c r="B1718" s="911" t="s">
        <v>2914</v>
      </c>
      <c r="C1718" s="429" t="str">
        <f t="shared" si="172"/>
        <v>石嘴山市深阳蓝光市政工程有限公司</v>
      </c>
      <c r="D1718" s="868" t="s">
        <v>2972</v>
      </c>
      <c r="E1718" s="1011"/>
      <c r="F1718" s="991"/>
      <c r="G1718" s="995"/>
      <c r="H1718" s="821"/>
      <c r="I1718" s="821"/>
      <c r="X1718" s="501" t="b">
        <f t="shared" si="173"/>
        <v>1</v>
      </c>
    </row>
    <row r="1719" s="148" customFormat="1" outlineLevel="2" spans="2:24">
      <c r="B1719" s="911" t="s">
        <v>2914</v>
      </c>
      <c r="C1719" s="429" t="str">
        <f t="shared" si="172"/>
        <v>石嘴山市深阳蓝光市政工程有限公司</v>
      </c>
      <c r="D1719" s="868" t="s">
        <v>2972</v>
      </c>
      <c r="E1719" s="1011"/>
      <c r="F1719" s="991"/>
      <c r="G1719" s="995"/>
      <c r="H1719" s="821"/>
      <c r="I1719" s="821"/>
      <c r="X1719" s="501" t="b">
        <f t="shared" si="173"/>
        <v>1</v>
      </c>
    </row>
    <row r="1720" s="148" customFormat="1" outlineLevel="2" spans="2:24">
      <c r="B1720" s="911" t="s">
        <v>2914</v>
      </c>
      <c r="C1720" s="429" t="str">
        <f t="shared" si="172"/>
        <v>石嘴山市深阳蓝光市政工程有限公司</v>
      </c>
      <c r="D1720" s="868" t="s">
        <v>2972</v>
      </c>
      <c r="E1720" s="1011"/>
      <c r="F1720" s="991"/>
      <c r="G1720" s="995"/>
      <c r="H1720" s="821"/>
      <c r="I1720" s="821"/>
      <c r="X1720" s="501" t="b">
        <f t="shared" si="173"/>
        <v>1</v>
      </c>
    </row>
    <row r="1721" s="148" customFormat="1" outlineLevel="2" spans="2:24">
      <c r="B1721" s="911" t="s">
        <v>2914</v>
      </c>
      <c r="C1721" s="429" t="str">
        <f t="shared" si="172"/>
        <v>石嘴山市深阳蓝光市政工程有限公司</v>
      </c>
      <c r="D1721" s="868" t="s">
        <v>2972</v>
      </c>
      <c r="E1721" s="1011"/>
      <c r="F1721" s="991"/>
      <c r="G1721" s="995"/>
      <c r="H1721" s="821"/>
      <c r="I1721" s="821"/>
      <c r="X1721" s="501" t="b">
        <f t="shared" si="173"/>
        <v>1</v>
      </c>
    </row>
    <row r="1722" s="148" customFormat="1" outlineLevel="2" spans="2:24">
      <c r="B1722" s="911" t="s">
        <v>2914</v>
      </c>
      <c r="C1722" s="429" t="str">
        <f t="shared" si="172"/>
        <v>石嘴山市深阳蓝光市政工程有限公司</v>
      </c>
      <c r="D1722" s="868" t="s">
        <v>2972</v>
      </c>
      <c r="E1722" s="1011"/>
      <c r="F1722" s="991"/>
      <c r="G1722" s="995"/>
      <c r="H1722" s="821"/>
      <c r="I1722" s="821"/>
      <c r="X1722" s="501" t="b">
        <f t="shared" si="173"/>
        <v>1</v>
      </c>
    </row>
    <row r="1723" s="148" customFormat="1" outlineLevel="2" spans="1:24">
      <c r="A1723" s="148" t="s">
        <v>2975</v>
      </c>
      <c r="B1723" s="911" t="s">
        <v>2914</v>
      </c>
      <c r="C1723" s="429" t="str">
        <f t="shared" si="172"/>
        <v>石嘴山市深阳蓝光市政工程有限公司</v>
      </c>
      <c r="D1723" s="868" t="s">
        <v>2972</v>
      </c>
      <c r="E1723" s="885" t="s">
        <v>2975</v>
      </c>
      <c r="F1723" s="995"/>
      <c r="G1723" s="995"/>
      <c r="H1723" s="821"/>
      <c r="I1723" s="821"/>
      <c r="X1723" s="501" t="b">
        <f t="shared" si="173"/>
        <v>1</v>
      </c>
    </row>
    <row r="1724" s="148" customFormat="1" outlineLevel="2" spans="1:24">
      <c r="A1724" s="148" t="s">
        <v>2315</v>
      </c>
      <c r="B1724" s="911" t="s">
        <v>2914</v>
      </c>
      <c r="C1724" s="429" t="str">
        <f t="shared" si="172"/>
        <v>石嘴山市深阳蓝光市政工程有限公司</v>
      </c>
      <c r="D1724" s="868" t="s">
        <v>2972</v>
      </c>
      <c r="E1724" s="788" t="s">
        <v>2334</v>
      </c>
      <c r="F1724" s="1012"/>
      <c r="G1724" s="1012"/>
      <c r="H1724" s="821"/>
      <c r="I1724" s="821"/>
      <c r="X1724" s="501" t="b">
        <f t="shared" si="173"/>
        <v>1</v>
      </c>
    </row>
    <row r="1725" s="148" customFormat="1" outlineLevel="2" spans="2:24">
      <c r="B1725" s="911" t="s">
        <v>2914</v>
      </c>
      <c r="C1725" s="429" t="str">
        <f t="shared" si="172"/>
        <v>石嘴山市深阳蓝光市政工程有限公司</v>
      </c>
      <c r="D1725" s="868" t="s">
        <v>2972</v>
      </c>
      <c r="E1725" s="821"/>
      <c r="F1725" s="821"/>
      <c r="G1725" s="821"/>
      <c r="H1725" s="821"/>
      <c r="I1725" s="821"/>
      <c r="X1725" s="501" t="b">
        <f t="shared" si="173"/>
        <v>1</v>
      </c>
    </row>
    <row r="1726" s="148" customFormat="1" outlineLevel="2" spans="2:24">
      <c r="B1726" s="911" t="s">
        <v>2914</v>
      </c>
      <c r="C1726" s="429" t="str">
        <f t="shared" si="172"/>
        <v>石嘴山市深阳蓝光市政工程有限公司</v>
      </c>
      <c r="D1726" s="868" t="s">
        <v>2972</v>
      </c>
      <c r="E1726" s="821"/>
      <c r="F1726" s="821"/>
      <c r="G1726" s="821"/>
      <c r="H1726" s="821"/>
      <c r="I1726" s="821"/>
      <c r="X1726" s="501" t="b">
        <f t="shared" si="173"/>
        <v>1</v>
      </c>
    </row>
    <row r="1727" s="148" customFormat="1" spans="1:24">
      <c r="A1727" s="148" t="s">
        <v>1744</v>
      </c>
      <c r="B1727" s="911" t="s">
        <v>2976</v>
      </c>
      <c r="C1727" s="429" t="str">
        <f t="shared" si="172"/>
        <v>石嘴山市深阳蓝光市政工程有限公司</v>
      </c>
      <c r="D1727" s="868" t="s">
        <v>1744</v>
      </c>
      <c r="E1727" s="912" t="s">
        <v>2977</v>
      </c>
      <c r="F1727" s="869" t="s">
        <v>2921</v>
      </c>
      <c r="G1727" s="821"/>
      <c r="H1727" s="821"/>
      <c r="I1727" s="821"/>
      <c r="X1727" s="501" t="b">
        <f t="shared" si="173"/>
        <v>1</v>
      </c>
    </row>
    <row r="1728" s="148" customFormat="1" ht="14.25" customHeight="1" outlineLevel="2" spans="1:24">
      <c r="A1728" s="148" t="s">
        <v>60</v>
      </c>
      <c r="B1728" s="911" t="s">
        <v>2976</v>
      </c>
      <c r="C1728" s="429" t="str">
        <f t="shared" si="172"/>
        <v>石嘴山市深阳蓝光市政工程有限公司</v>
      </c>
      <c r="D1728" s="868" t="s">
        <v>1744</v>
      </c>
      <c r="E1728" s="742" t="s">
        <v>60</v>
      </c>
      <c r="F1728" s="742" t="s">
        <v>670</v>
      </c>
      <c r="G1728" s="742" t="s">
        <v>1757</v>
      </c>
      <c r="H1728" s="742" t="s">
        <v>672</v>
      </c>
      <c r="I1728" s="742"/>
      <c r="J1728" s="742"/>
      <c r="K1728" s="742" t="s">
        <v>515</v>
      </c>
      <c r="L1728" s="1013" t="s">
        <v>2978</v>
      </c>
      <c r="M1728" s="1013" t="s">
        <v>2979</v>
      </c>
      <c r="N1728" s="884" t="s">
        <v>2740</v>
      </c>
      <c r="O1728" s="884" t="s">
        <v>2741</v>
      </c>
      <c r="P1728" s="884" t="s">
        <v>2742</v>
      </c>
      <c r="Q1728" s="884" t="s">
        <v>2743</v>
      </c>
      <c r="R1728" s="1014" t="s">
        <v>2980</v>
      </c>
      <c r="S1728" s="1015" t="s">
        <v>2981</v>
      </c>
      <c r="X1728" s="501" t="b">
        <f t="shared" si="173"/>
        <v>1</v>
      </c>
    </row>
    <row r="1729" s="148" customFormat="1" ht="20.25" customHeight="1" outlineLevel="2" spans="2:24">
      <c r="B1729" s="911" t="s">
        <v>2976</v>
      </c>
      <c r="C1729" s="429" t="str">
        <f t="shared" si="172"/>
        <v>石嘴山市深阳蓝光市政工程有限公司</v>
      </c>
      <c r="D1729" s="868" t="s">
        <v>1744</v>
      </c>
      <c r="E1729" s="742"/>
      <c r="F1729" s="742"/>
      <c r="G1729" s="742"/>
      <c r="H1729" s="153" t="s">
        <v>611</v>
      </c>
      <c r="I1729" s="153" t="s">
        <v>612</v>
      </c>
      <c r="J1729" s="153" t="s">
        <v>1580</v>
      </c>
      <c r="K1729" s="742"/>
      <c r="L1729" s="872"/>
      <c r="M1729" s="872"/>
      <c r="N1729" s="884"/>
      <c r="O1729" s="884"/>
      <c r="P1729" s="884"/>
      <c r="Q1729" s="884"/>
      <c r="R1729" s="1052"/>
      <c r="S1729" s="1053"/>
      <c r="X1729" s="501" t="b">
        <f t="shared" si="173"/>
        <v>1</v>
      </c>
    </row>
    <row r="1730" s="148" customFormat="1" outlineLevel="2" spans="1:24">
      <c r="A1730" s="148" t="s">
        <v>470</v>
      </c>
      <c r="B1730" s="911" t="s">
        <v>2976</v>
      </c>
      <c r="C1730" s="429" t="str">
        <f t="shared" si="172"/>
        <v>石嘴山市深阳蓝光市政工程有限公司</v>
      </c>
      <c r="D1730" s="868" t="s">
        <v>1744</v>
      </c>
      <c r="E1730" s="763" t="s">
        <v>470</v>
      </c>
      <c r="F1730" s="477">
        <f>报表附注合并期初用!E1473</f>
        <v>0</v>
      </c>
      <c r="G1730" s="132"/>
      <c r="H1730" s="132"/>
      <c r="I1730" s="132"/>
      <c r="J1730" s="135">
        <f>ROUND(H1730+I1730+M1730,2)</f>
        <v>0</v>
      </c>
      <c r="K1730" s="135">
        <f>ROUND(F1730+G1730-J1730,2)</f>
        <v>0</v>
      </c>
      <c r="L1730" s="135">
        <f>SUM(IF(N1730&gt;0,N1730,0),IF(O1730&gt;0,O1730,0),IF(P1730&gt;0,P1730,0),IF(Q1730&gt;0,Q1730,0))</f>
        <v>0</v>
      </c>
      <c r="M1730" s="135">
        <f>SUM(IF(N1730&gt;0,0,-N1730),IF(O1730&gt;0,0,-O1730),IF(P1730&gt;0,0,-P1730),IF(Q1730&gt;0,0,-Q1730))</f>
        <v>0</v>
      </c>
      <c r="N1730" s="731"/>
      <c r="O1730" s="731"/>
      <c r="P1730" s="731"/>
      <c r="Q1730" s="731"/>
      <c r="R1730" s="1054" t="str">
        <f>IF(ROUND((报表附注!H205+报表附注!H571-报表附注!K1730),2)=0,"相符","不相符,差异:"&amp;(报表附注!H205+报表附注!H571-报表附注!K1730))</f>
        <v>相符</v>
      </c>
      <c r="S1730" s="1054" t="str">
        <f>IF(ROUND((L571+L205-F1730),2)=0,"相符","不相符，差异："&amp;(L571+L205-F1730))</f>
        <v>相符</v>
      </c>
      <c r="X1730" s="501" t="b">
        <f t="shared" si="173"/>
        <v>1</v>
      </c>
    </row>
    <row r="1731" s="148" customFormat="1" ht="14.25" customHeight="1" outlineLevel="2" spans="1:24">
      <c r="A1731" s="148" t="s">
        <v>1745</v>
      </c>
      <c r="B1731" s="911" t="s">
        <v>2976</v>
      </c>
      <c r="C1731" s="429" t="str">
        <f t="shared" si="172"/>
        <v>石嘴山市深阳蓝光市政工程有限公司</v>
      </c>
      <c r="D1731" s="868" t="s">
        <v>1744</v>
      </c>
      <c r="E1731" s="763" t="s">
        <v>1745</v>
      </c>
      <c r="F1731" s="477">
        <f>报表附注合并期初用!E1474</f>
        <v>0</v>
      </c>
      <c r="G1731" s="132"/>
      <c r="H1731" s="132"/>
      <c r="I1731" s="132"/>
      <c r="J1731" s="135">
        <f t="shared" ref="J1731:J1744" si="175">ROUND(H1731+I1731+M1731,2)</f>
        <v>0</v>
      </c>
      <c r="K1731" s="135">
        <f t="shared" ref="K1731:K1744" si="176">ROUND(F1731+G1731-J1731,2)</f>
        <v>0</v>
      </c>
      <c r="L1731" s="135">
        <f t="shared" ref="L1731:L1744" si="177">SUM(IF(N1731&gt;0,N1731,0),IF(O1731&gt;0,O1731,0),IF(P1731&gt;0,P1731,0),IF(Q1731&gt;0,Q1731,0))</f>
        <v>0</v>
      </c>
      <c r="M1731" s="135">
        <f t="shared" ref="M1731:M1744" si="178">SUM(IF(N1731&gt;0,0,-N1731),IF(O1731&gt;0,0,-O1731),IF(P1731&gt;0,0,-P1731),IF(Q1731&gt;0,0,-Q1731))</f>
        <v>0</v>
      </c>
      <c r="N1731" s="731"/>
      <c r="O1731" s="731"/>
      <c r="P1731" s="731"/>
      <c r="Q1731" s="731"/>
      <c r="R1731" s="1054" t="str">
        <f>IF(ROUND((G864-报表附注!K1731),2)=0,"相符","不相符，差异："&amp;(G864-报表附注!K1731))</f>
        <v>相符</v>
      </c>
      <c r="S1731" s="1054" t="str">
        <f>IF(ROUND((F920-F1731),2)=0,"相符","不相符，差异："&amp;(F920-F1731))</f>
        <v>相符</v>
      </c>
      <c r="X1731" s="501" t="b">
        <f t="shared" si="173"/>
        <v>1</v>
      </c>
    </row>
    <row r="1732" s="148" customFormat="1" outlineLevel="2" spans="1:24">
      <c r="A1732" s="148" t="s">
        <v>1746</v>
      </c>
      <c r="B1732" s="911" t="s">
        <v>2976</v>
      </c>
      <c r="C1732" s="429" t="str">
        <f t="shared" si="172"/>
        <v>石嘴山市深阳蓝光市政工程有限公司</v>
      </c>
      <c r="D1732" s="868" t="s">
        <v>1744</v>
      </c>
      <c r="E1732" s="1016" t="s">
        <v>1746</v>
      </c>
      <c r="F1732" s="477">
        <f>报表附注合并期初用!E1475</f>
        <v>0</v>
      </c>
      <c r="G1732" s="132"/>
      <c r="H1732" s="132"/>
      <c r="I1732" s="132"/>
      <c r="J1732" s="135">
        <f t="shared" si="175"/>
        <v>0</v>
      </c>
      <c r="K1732" s="135">
        <f t="shared" si="176"/>
        <v>0</v>
      </c>
      <c r="L1732" s="135">
        <f t="shared" si="177"/>
        <v>0</v>
      </c>
      <c r="M1732" s="135">
        <f t="shared" si="178"/>
        <v>0</v>
      </c>
      <c r="N1732" s="731"/>
      <c r="O1732" s="731"/>
      <c r="P1732" s="731"/>
      <c r="Q1732" s="731"/>
      <c r="X1732" s="501" t="b">
        <f t="shared" si="173"/>
        <v>1</v>
      </c>
    </row>
    <row r="1733" s="148" customFormat="1" outlineLevel="2" spans="1:24">
      <c r="A1733" s="148" t="s">
        <v>1747</v>
      </c>
      <c r="B1733" s="911" t="s">
        <v>2976</v>
      </c>
      <c r="C1733" s="429" t="str">
        <f t="shared" si="172"/>
        <v>石嘴山市深阳蓝光市政工程有限公司</v>
      </c>
      <c r="D1733" s="868" t="s">
        <v>1744</v>
      </c>
      <c r="E1733" s="1016" t="s">
        <v>1747</v>
      </c>
      <c r="F1733" s="477">
        <f>报表附注合并期初用!E1476</f>
        <v>0</v>
      </c>
      <c r="G1733" s="132"/>
      <c r="H1733" s="132"/>
      <c r="I1733" s="132"/>
      <c r="J1733" s="135">
        <f t="shared" si="175"/>
        <v>0</v>
      </c>
      <c r="K1733" s="135">
        <f t="shared" si="176"/>
        <v>0</v>
      </c>
      <c r="L1733" s="135">
        <f t="shared" si="177"/>
        <v>0</v>
      </c>
      <c r="M1733" s="135">
        <f t="shared" si="178"/>
        <v>0</v>
      </c>
      <c r="N1733" s="731"/>
      <c r="O1733" s="731"/>
      <c r="P1733" s="731"/>
      <c r="Q1733" s="731"/>
      <c r="X1733" s="501" t="b">
        <f t="shared" si="173"/>
        <v>1</v>
      </c>
    </row>
    <row r="1734" s="148" customFormat="1" outlineLevel="2" spans="1:24">
      <c r="A1734" s="148" t="s">
        <v>1748</v>
      </c>
      <c r="B1734" s="911" t="s">
        <v>2976</v>
      </c>
      <c r="C1734" s="429" t="str">
        <f t="shared" si="172"/>
        <v>石嘴山市深阳蓝光市政工程有限公司</v>
      </c>
      <c r="D1734" s="868" t="s">
        <v>1744</v>
      </c>
      <c r="E1734" s="763" t="s">
        <v>1748</v>
      </c>
      <c r="F1734" s="477">
        <f>报表附注合并期初用!E1477</f>
        <v>0</v>
      </c>
      <c r="G1734" s="132"/>
      <c r="H1734" s="132"/>
      <c r="I1734" s="132"/>
      <c r="J1734" s="135">
        <f t="shared" si="175"/>
        <v>0</v>
      </c>
      <c r="K1734" s="135">
        <f t="shared" si="176"/>
        <v>0</v>
      </c>
      <c r="L1734" s="135">
        <f t="shared" si="177"/>
        <v>0</v>
      </c>
      <c r="M1734" s="135">
        <f t="shared" si="178"/>
        <v>0</v>
      </c>
      <c r="N1734" s="731"/>
      <c r="O1734" s="731"/>
      <c r="P1734" s="731"/>
      <c r="Q1734" s="731"/>
      <c r="R1734" s="1054" t="str">
        <f>IF(ROUND((O1081-报表附注!K1734),2)=0,"相符","不相符，差异"&amp;(O1081-报表附注!K1734))</f>
        <v>相符</v>
      </c>
      <c r="S1734" s="1054" t="str">
        <f>IF(ROUND((O1081-P1081-F1734),2)=0,"相符","不相符，差异："&amp;(O1081-P1081-F1734))</f>
        <v>相符</v>
      </c>
      <c r="X1734" s="501" t="b">
        <f t="shared" si="173"/>
        <v>1</v>
      </c>
    </row>
    <row r="1735" s="148" customFormat="1" outlineLevel="2" spans="1:24">
      <c r="A1735" s="148" t="s">
        <v>1749</v>
      </c>
      <c r="B1735" s="911" t="s">
        <v>2976</v>
      </c>
      <c r="C1735" s="429" t="str">
        <f t="shared" si="172"/>
        <v>石嘴山市深阳蓝光市政工程有限公司</v>
      </c>
      <c r="D1735" s="868" t="s">
        <v>1744</v>
      </c>
      <c r="E1735" s="763" t="s">
        <v>1749</v>
      </c>
      <c r="F1735" s="477">
        <f>报表附注合并期初用!E1478</f>
        <v>0</v>
      </c>
      <c r="G1735" s="132"/>
      <c r="H1735" s="132"/>
      <c r="I1735" s="132"/>
      <c r="J1735" s="135">
        <f t="shared" si="175"/>
        <v>0</v>
      </c>
      <c r="K1735" s="135">
        <f t="shared" si="176"/>
        <v>0</v>
      </c>
      <c r="L1735" s="135">
        <f t="shared" si="177"/>
        <v>0</v>
      </c>
      <c r="M1735" s="135">
        <f t="shared" si="178"/>
        <v>0</v>
      </c>
      <c r="N1735" s="731"/>
      <c r="O1735" s="731"/>
      <c r="P1735" s="731"/>
      <c r="Q1735" s="731"/>
      <c r="R1735" s="1054" t="str">
        <f>IF(ROUND((I1110-报表附注!K1735),2)=0,"相符","不相符，差异："&amp;(I1110-报表附注!K1735))</f>
        <v>相符</v>
      </c>
      <c r="S1735" s="1054" t="str">
        <f>IF((F1110-F1735)=0,"相符","不相符，请检查")</f>
        <v>相符</v>
      </c>
      <c r="X1735" s="501" t="b">
        <f t="shared" si="173"/>
        <v>1</v>
      </c>
    </row>
    <row r="1736" s="148" customFormat="1" outlineLevel="2" spans="1:24">
      <c r="A1736" s="148" t="s">
        <v>1750</v>
      </c>
      <c r="B1736" s="911" t="s">
        <v>2976</v>
      </c>
      <c r="C1736" s="429" t="str">
        <f t="shared" ref="C1736:C1775" si="179">$G$1</f>
        <v>石嘴山市深阳蓝光市政工程有限公司</v>
      </c>
      <c r="D1736" s="868" t="s">
        <v>1744</v>
      </c>
      <c r="E1736" s="763" t="s">
        <v>1750</v>
      </c>
      <c r="F1736" s="477">
        <f>报表附注合并期初用!E1479</f>
        <v>0</v>
      </c>
      <c r="G1736" s="132"/>
      <c r="H1736" s="132"/>
      <c r="I1736" s="132"/>
      <c r="J1736" s="135">
        <f t="shared" si="175"/>
        <v>0</v>
      </c>
      <c r="K1736" s="135">
        <f t="shared" si="176"/>
        <v>0</v>
      </c>
      <c r="L1736" s="135">
        <f t="shared" si="177"/>
        <v>0</v>
      </c>
      <c r="M1736" s="135">
        <f t="shared" si="178"/>
        <v>0</v>
      </c>
      <c r="N1736" s="731"/>
      <c r="O1736" s="731"/>
      <c r="P1736" s="731"/>
      <c r="Q1736" s="731"/>
      <c r="R1736" s="1054" t="str">
        <f>IF((J1157-报表附注!K1736)=0,"相符","不相符，请检查")</f>
        <v>相符</v>
      </c>
      <c r="S1736" s="1054" t="str">
        <f>IF((F1157-F1736)=0,"相符","不相符，请检查")</f>
        <v>相符</v>
      </c>
      <c r="X1736" s="501" t="b">
        <f t="shared" ref="X1736:X1775" si="180">EXACT(A1736,E1736)</f>
        <v>1</v>
      </c>
    </row>
    <row r="1737" s="148" customFormat="1" outlineLevel="2" spans="1:24">
      <c r="A1737" s="148" t="s">
        <v>1751</v>
      </c>
      <c r="B1737" s="911" t="s">
        <v>2976</v>
      </c>
      <c r="C1737" s="429" t="str">
        <f t="shared" si="179"/>
        <v>石嘴山市深阳蓝光市政工程有限公司</v>
      </c>
      <c r="D1737" s="868" t="s">
        <v>1744</v>
      </c>
      <c r="E1737" s="763" t="s">
        <v>1751</v>
      </c>
      <c r="F1737" s="477">
        <f>报表附注合并期初用!E1480</f>
        <v>0</v>
      </c>
      <c r="G1737" s="132"/>
      <c r="H1737" s="132"/>
      <c r="I1737" s="132"/>
      <c r="J1737" s="135">
        <f t="shared" si="175"/>
        <v>0</v>
      </c>
      <c r="K1737" s="135">
        <f t="shared" si="176"/>
        <v>0</v>
      </c>
      <c r="L1737" s="135">
        <f t="shared" si="177"/>
        <v>0</v>
      </c>
      <c r="M1737" s="135">
        <f t="shared" si="178"/>
        <v>0</v>
      </c>
      <c r="N1737" s="731"/>
      <c r="O1737" s="731"/>
      <c r="P1737" s="731"/>
      <c r="Q1737" s="731"/>
      <c r="X1737" s="501" t="b">
        <f t="shared" si="180"/>
        <v>1</v>
      </c>
    </row>
    <row r="1738" s="148" customFormat="1" outlineLevel="2" spans="1:24">
      <c r="A1738" s="148" t="s">
        <v>1752</v>
      </c>
      <c r="B1738" s="911" t="s">
        <v>2976</v>
      </c>
      <c r="C1738" s="429" t="str">
        <f t="shared" si="179"/>
        <v>石嘴山市深阳蓝光市政工程有限公司</v>
      </c>
      <c r="D1738" s="868" t="s">
        <v>1744</v>
      </c>
      <c r="E1738" s="763" t="s">
        <v>1752</v>
      </c>
      <c r="F1738" s="477">
        <f>报表附注合并期初用!E1481</f>
        <v>0</v>
      </c>
      <c r="G1738" s="132"/>
      <c r="H1738" s="132"/>
      <c r="I1738" s="132"/>
      <c r="J1738" s="135">
        <f t="shared" si="175"/>
        <v>0</v>
      </c>
      <c r="K1738" s="135">
        <f t="shared" si="176"/>
        <v>0</v>
      </c>
      <c r="L1738" s="135">
        <f t="shared" si="177"/>
        <v>0</v>
      </c>
      <c r="M1738" s="135">
        <f t="shared" si="178"/>
        <v>0</v>
      </c>
      <c r="N1738" s="731"/>
      <c r="O1738" s="731"/>
      <c r="P1738" s="731"/>
      <c r="Q1738" s="731"/>
      <c r="R1738" s="1054" t="str">
        <f>IF((I1319-报表附注!K1738)=0,"相符","不相符，请检查")</f>
        <v>相符</v>
      </c>
      <c r="S1738" s="1054" t="str">
        <f>IF((J1274-F1738)=0,"相符","不相符，请检查")</f>
        <v>相符</v>
      </c>
      <c r="X1738" s="501" t="b">
        <f t="shared" si="180"/>
        <v>1</v>
      </c>
    </row>
    <row r="1739" s="148" customFormat="1" outlineLevel="2" spans="1:24">
      <c r="A1739" s="148" t="s">
        <v>1753</v>
      </c>
      <c r="B1739" s="911" t="s">
        <v>2976</v>
      </c>
      <c r="C1739" s="429" t="str">
        <f t="shared" si="179"/>
        <v>石嘴山市深阳蓝光市政工程有限公司</v>
      </c>
      <c r="D1739" s="868" t="s">
        <v>1744</v>
      </c>
      <c r="E1739" s="763" t="s">
        <v>1753</v>
      </c>
      <c r="F1739" s="477">
        <f>报表附注合并期初用!E1482</f>
        <v>0</v>
      </c>
      <c r="G1739" s="132"/>
      <c r="H1739" s="132"/>
      <c r="I1739" s="132"/>
      <c r="J1739" s="135">
        <f t="shared" si="175"/>
        <v>0</v>
      </c>
      <c r="K1739" s="135">
        <f t="shared" si="176"/>
        <v>0</v>
      </c>
      <c r="L1739" s="135">
        <f t="shared" si="177"/>
        <v>0</v>
      </c>
      <c r="M1739" s="135">
        <f t="shared" si="178"/>
        <v>0</v>
      </c>
      <c r="N1739" s="731"/>
      <c r="O1739" s="731"/>
      <c r="P1739" s="731"/>
      <c r="Q1739" s="731"/>
      <c r="R1739" s="1054" t="str">
        <f>IF((I1378-报表附注!K1739)=0,"相符","不相符，请检查")</f>
        <v>相符</v>
      </c>
      <c r="S1739" s="1054" t="str">
        <f>IF((F1378-F1739)=0,"相符","不相符，请检查")</f>
        <v>相符</v>
      </c>
      <c r="X1739" s="501" t="b">
        <f t="shared" si="180"/>
        <v>1</v>
      </c>
    </row>
    <row r="1740" s="148" customFormat="1" outlineLevel="2" spans="1:24">
      <c r="A1740" s="148" t="s">
        <v>959</v>
      </c>
      <c r="B1740" s="911" t="s">
        <v>2976</v>
      </c>
      <c r="C1740" s="429" t="str">
        <f t="shared" si="179"/>
        <v>石嘴山市深阳蓝光市政工程有限公司</v>
      </c>
      <c r="D1740" s="868" t="s">
        <v>1744</v>
      </c>
      <c r="E1740" s="763" t="s">
        <v>959</v>
      </c>
      <c r="F1740" s="477">
        <f>报表附注合并期初用!E1483</f>
        <v>0</v>
      </c>
      <c r="G1740" s="132"/>
      <c r="H1740" s="132"/>
      <c r="I1740" s="132"/>
      <c r="J1740" s="135">
        <f t="shared" si="175"/>
        <v>0</v>
      </c>
      <c r="K1740" s="135">
        <f t="shared" si="176"/>
        <v>0</v>
      </c>
      <c r="L1740" s="135">
        <f t="shared" si="177"/>
        <v>0</v>
      </c>
      <c r="M1740" s="135">
        <f t="shared" si="178"/>
        <v>0</v>
      </c>
      <c r="N1740" s="731"/>
      <c r="O1740" s="731"/>
      <c r="P1740" s="731"/>
      <c r="Q1740" s="731"/>
      <c r="X1740" s="501" t="b">
        <f t="shared" si="180"/>
        <v>1</v>
      </c>
    </row>
    <row r="1741" s="148" customFormat="1" outlineLevel="2" spans="1:24">
      <c r="A1741" s="148" t="s">
        <v>1754</v>
      </c>
      <c r="B1741" s="911" t="s">
        <v>2976</v>
      </c>
      <c r="C1741" s="429" t="str">
        <f t="shared" si="179"/>
        <v>石嘴山市深阳蓝光市政工程有限公司</v>
      </c>
      <c r="D1741" s="868" t="s">
        <v>1744</v>
      </c>
      <c r="E1741" s="763" t="s">
        <v>1754</v>
      </c>
      <c r="F1741" s="477">
        <f>报表附注合并期初用!E1484</f>
        <v>0</v>
      </c>
      <c r="G1741" s="132"/>
      <c r="H1741" s="132"/>
      <c r="I1741" s="132"/>
      <c r="J1741" s="135">
        <f t="shared" si="175"/>
        <v>0</v>
      </c>
      <c r="K1741" s="135">
        <f t="shared" si="176"/>
        <v>0</v>
      </c>
      <c r="L1741" s="135">
        <f t="shared" si="177"/>
        <v>0</v>
      </c>
      <c r="M1741" s="135">
        <f t="shared" si="178"/>
        <v>0</v>
      </c>
      <c r="N1741" s="731"/>
      <c r="O1741" s="731"/>
      <c r="P1741" s="731"/>
      <c r="Q1741" s="731"/>
      <c r="R1741" s="1054" t="str">
        <f>IF((I1403-报表附注!K1741)=0,"相符","不相符，请检查")</f>
        <v>相符</v>
      </c>
      <c r="S1741" s="1054" t="str">
        <f>IF((F1403-F1741)=0,"相符","不相符，请检查")</f>
        <v>相符</v>
      </c>
      <c r="X1741" s="501" t="b">
        <f t="shared" si="180"/>
        <v>1</v>
      </c>
    </row>
    <row r="1742" s="148" customFormat="1" outlineLevel="2" spans="1:24">
      <c r="A1742" s="148" t="s">
        <v>1755</v>
      </c>
      <c r="B1742" s="911" t="s">
        <v>2976</v>
      </c>
      <c r="C1742" s="429" t="str">
        <f t="shared" si="179"/>
        <v>石嘴山市深阳蓝光市政工程有限公司</v>
      </c>
      <c r="D1742" s="868" t="s">
        <v>1744</v>
      </c>
      <c r="E1742" s="763" t="s">
        <v>1755</v>
      </c>
      <c r="F1742" s="477">
        <f>报表附注合并期初用!E1485</f>
        <v>0</v>
      </c>
      <c r="G1742" s="132"/>
      <c r="H1742" s="132"/>
      <c r="I1742" s="132"/>
      <c r="J1742" s="135">
        <f t="shared" si="175"/>
        <v>0</v>
      </c>
      <c r="K1742" s="135">
        <f t="shared" si="176"/>
        <v>0</v>
      </c>
      <c r="L1742" s="135">
        <f t="shared" si="177"/>
        <v>0</v>
      </c>
      <c r="M1742" s="135">
        <f t="shared" si="178"/>
        <v>0</v>
      </c>
      <c r="N1742" s="731"/>
      <c r="O1742" s="731"/>
      <c r="P1742" s="731"/>
      <c r="Q1742" s="731"/>
      <c r="R1742" s="1054" t="str">
        <f>IF((I1451-报表附注!K1742)=0,"相符","不相符，请检查")</f>
        <v>相符</v>
      </c>
      <c r="S1742" s="1054" t="str">
        <f>IF((F1451-F1742)=0,"相符","不相符，请检查")</f>
        <v>相符</v>
      </c>
      <c r="X1742" s="501" t="b">
        <f t="shared" si="180"/>
        <v>1</v>
      </c>
    </row>
    <row r="1743" s="148" customFormat="1" outlineLevel="2" spans="1:24">
      <c r="A1743" s="148" t="s">
        <v>1756</v>
      </c>
      <c r="B1743" s="911" t="s">
        <v>2976</v>
      </c>
      <c r="C1743" s="429" t="str">
        <f t="shared" si="179"/>
        <v>石嘴山市深阳蓝光市政工程有限公司</v>
      </c>
      <c r="D1743" s="868" t="s">
        <v>1744</v>
      </c>
      <c r="E1743" s="763" t="s">
        <v>1756</v>
      </c>
      <c r="F1743" s="477">
        <f>报表附注合并期初用!E1486</f>
        <v>0</v>
      </c>
      <c r="G1743" s="132"/>
      <c r="H1743" s="132"/>
      <c r="I1743" s="132"/>
      <c r="J1743" s="135">
        <f t="shared" si="175"/>
        <v>0</v>
      </c>
      <c r="K1743" s="135">
        <f t="shared" si="176"/>
        <v>0</v>
      </c>
      <c r="L1743" s="135">
        <f t="shared" si="177"/>
        <v>0</v>
      </c>
      <c r="M1743" s="135">
        <f t="shared" si="178"/>
        <v>0</v>
      </c>
      <c r="N1743" s="731"/>
      <c r="O1743" s="731"/>
      <c r="P1743" s="731"/>
      <c r="Q1743" s="731"/>
      <c r="R1743" s="1054" t="str">
        <f>IF((I1573-报表附注!K1743)=0,"相符","不相符，请检查")</f>
        <v>相符</v>
      </c>
      <c r="S1743" s="1054" t="str">
        <f>IF(ROUND((F1573-F1743),2)=0,"相符","不相符，差异："&amp;(ROUND((F1573-F1743),2)))</f>
        <v>相符</v>
      </c>
      <c r="X1743" s="501" t="b">
        <f t="shared" si="180"/>
        <v>1</v>
      </c>
    </row>
    <row r="1744" s="148" customFormat="1" outlineLevel="2" spans="1:24">
      <c r="A1744" s="148" t="s">
        <v>279</v>
      </c>
      <c r="B1744" s="911" t="s">
        <v>2976</v>
      </c>
      <c r="C1744" s="429" t="str">
        <f t="shared" si="179"/>
        <v>石嘴山市深阳蓝光市政工程有限公司</v>
      </c>
      <c r="D1744" s="868" t="s">
        <v>1744</v>
      </c>
      <c r="E1744" s="763" t="s">
        <v>279</v>
      </c>
      <c r="F1744" s="477">
        <f>报表附注合并期初用!E1487</f>
        <v>0</v>
      </c>
      <c r="G1744" s="132"/>
      <c r="H1744" s="132"/>
      <c r="I1744" s="132"/>
      <c r="J1744" s="135">
        <f t="shared" si="175"/>
        <v>0</v>
      </c>
      <c r="K1744" s="135">
        <f t="shared" si="176"/>
        <v>0</v>
      </c>
      <c r="L1744" s="135">
        <f t="shared" si="177"/>
        <v>0</v>
      </c>
      <c r="M1744" s="135">
        <f t="shared" si="178"/>
        <v>0</v>
      </c>
      <c r="N1744" s="731"/>
      <c r="O1744" s="731"/>
      <c r="P1744" s="731"/>
      <c r="Q1744" s="731"/>
      <c r="X1744" s="501" t="b">
        <f t="shared" si="180"/>
        <v>1</v>
      </c>
    </row>
    <row r="1745" s="148" customFormat="1" outlineLevel="2" spans="1:24">
      <c r="A1745" s="148" t="s">
        <v>346</v>
      </c>
      <c r="B1745" s="911" t="s">
        <v>2976</v>
      </c>
      <c r="C1745" s="429" t="str">
        <f t="shared" si="179"/>
        <v>石嘴山市深阳蓝光市政工程有限公司</v>
      </c>
      <c r="D1745" s="868" t="s">
        <v>1744</v>
      </c>
      <c r="E1745" s="763" t="s">
        <v>346</v>
      </c>
      <c r="F1745" s="135">
        <f>SUM(F1730:F1744)-F1740</f>
        <v>0</v>
      </c>
      <c r="G1745" s="135">
        <f>ROUND(SUM(G1730:G1744)-G1740,2)</f>
        <v>0</v>
      </c>
      <c r="H1745" s="135">
        <f>ROUND(SUM(H1730:H1744)-H1740,2)</f>
        <v>0</v>
      </c>
      <c r="I1745" s="135">
        <f>ROUND(SUM(I1730:I1744)-I1740,2)</f>
        <v>0</v>
      </c>
      <c r="J1745" s="135">
        <f>ROUND(SUM(J1730:J1744)-J1740,2)</f>
        <v>0</v>
      </c>
      <c r="K1745" s="135">
        <f>ROUND(SUM(K1730:K1744)-K1740,2)</f>
        <v>0</v>
      </c>
      <c r="L1745" s="135">
        <f t="shared" ref="L1745:Q1745" si="181">SUM(L1730:L1744)-L1740</f>
        <v>0</v>
      </c>
      <c r="M1745" s="135">
        <f t="shared" si="181"/>
        <v>0</v>
      </c>
      <c r="N1745" s="135">
        <f t="shared" si="181"/>
        <v>0</v>
      </c>
      <c r="O1745" s="135">
        <f t="shared" si="181"/>
        <v>0</v>
      </c>
      <c r="P1745" s="135">
        <f t="shared" si="181"/>
        <v>0</v>
      </c>
      <c r="Q1745" s="135">
        <f t="shared" si="181"/>
        <v>0</v>
      </c>
      <c r="X1745" s="501" t="b">
        <f t="shared" si="180"/>
        <v>1</v>
      </c>
    </row>
    <row r="1746" s="148" customFormat="1" outlineLevel="2" spans="2:24">
      <c r="B1746" s="911" t="s">
        <v>2976</v>
      </c>
      <c r="C1746" s="429" t="str">
        <f t="shared" si="179"/>
        <v>石嘴山市深阳蓝光市政工程有限公司</v>
      </c>
      <c r="D1746" s="868" t="s">
        <v>1744</v>
      </c>
      <c r="E1746" s="1017"/>
      <c r="F1746" s="821"/>
      <c r="G1746" s="821"/>
      <c r="H1746" s="821"/>
      <c r="I1746" s="821"/>
      <c r="X1746" s="501" t="b">
        <f t="shared" si="180"/>
        <v>1</v>
      </c>
    </row>
    <row r="1747" s="148" customFormat="1" spans="1:24">
      <c r="A1747" s="148" t="s">
        <v>2982</v>
      </c>
      <c r="B1747" s="911" t="s">
        <v>2983</v>
      </c>
      <c r="C1747" s="429" t="str">
        <f t="shared" si="179"/>
        <v>石嘴山市深阳蓝光市政工程有限公司</v>
      </c>
      <c r="D1747" s="868" t="s">
        <v>2984</v>
      </c>
      <c r="E1747" s="1018" t="s">
        <v>2985</v>
      </c>
      <c r="F1747" s="821"/>
      <c r="G1747" s="821"/>
      <c r="H1747" s="821"/>
      <c r="I1747" s="821"/>
      <c r="X1747" s="501" t="b">
        <f t="shared" si="180"/>
        <v>1</v>
      </c>
    </row>
    <row r="1748" s="148" customFormat="1" outlineLevel="2" spans="1:24">
      <c r="A1748" s="148" t="s">
        <v>2984</v>
      </c>
      <c r="B1748" s="911" t="s">
        <v>2983</v>
      </c>
      <c r="C1748" s="429" t="str">
        <f t="shared" si="179"/>
        <v>石嘴山市深阳蓝光市政工程有限公司</v>
      </c>
      <c r="D1748" s="868" t="s">
        <v>2984</v>
      </c>
      <c r="E1748" s="149" t="s">
        <v>2986</v>
      </c>
      <c r="F1748" s="821"/>
      <c r="G1748" s="821"/>
      <c r="H1748" s="821"/>
      <c r="I1748" s="821"/>
      <c r="X1748" s="501" t="b">
        <f t="shared" si="180"/>
        <v>1</v>
      </c>
    </row>
    <row r="1749" s="148" customFormat="1" outlineLevel="2" spans="1:24">
      <c r="A1749" s="148" t="s">
        <v>2987</v>
      </c>
      <c r="B1749" s="911" t="s">
        <v>2983</v>
      </c>
      <c r="C1749" s="429" t="str">
        <f t="shared" si="179"/>
        <v>石嘴山市深阳蓝光市政工程有限公司</v>
      </c>
      <c r="D1749" s="868" t="s">
        <v>2984</v>
      </c>
      <c r="E1749" s="1019" t="s">
        <v>2987</v>
      </c>
      <c r="F1749" s="1019" t="s">
        <v>2602</v>
      </c>
      <c r="G1749" s="1019" t="s">
        <v>671</v>
      </c>
      <c r="H1749" s="1019" t="s">
        <v>672</v>
      </c>
      <c r="I1749" s="1019" t="s">
        <v>626</v>
      </c>
      <c r="X1749" s="501" t="b">
        <f t="shared" si="180"/>
        <v>1</v>
      </c>
    </row>
    <row r="1750" s="148" customFormat="1" outlineLevel="2" spans="1:24">
      <c r="A1750" s="148" t="s">
        <v>973</v>
      </c>
      <c r="B1750" s="911" t="s">
        <v>2983</v>
      </c>
      <c r="C1750" s="429" t="str">
        <f t="shared" si="179"/>
        <v>石嘴山市深阳蓝光市政工程有限公司</v>
      </c>
      <c r="D1750" s="868" t="s">
        <v>2984</v>
      </c>
      <c r="E1750" s="1020" t="s">
        <v>973</v>
      </c>
      <c r="F1750" s="1021">
        <f>SUM(F1751:F1757)</f>
        <v>0</v>
      </c>
      <c r="G1750" s="1021">
        <f>SUM(G1751:G1757)</f>
        <v>0</v>
      </c>
      <c r="H1750" s="1021">
        <f>SUM(H1751:H1757)</f>
        <v>0</v>
      </c>
      <c r="I1750" s="1021">
        <f>F1750+G1750-H1750</f>
        <v>0</v>
      </c>
      <c r="X1750" s="501" t="b">
        <f t="shared" si="180"/>
        <v>1</v>
      </c>
    </row>
    <row r="1751" s="148" customFormat="1" outlineLevel="2" spans="2:24">
      <c r="B1751" s="911" t="s">
        <v>2983</v>
      </c>
      <c r="C1751" s="429" t="str">
        <f t="shared" si="179"/>
        <v>石嘴山市深阳蓝光市政工程有限公司</v>
      </c>
      <c r="D1751" s="868" t="s">
        <v>2984</v>
      </c>
      <c r="E1751" s="1020" t="s">
        <v>2988</v>
      </c>
      <c r="F1751" s="1022"/>
      <c r="G1751" s="1022"/>
      <c r="H1751" s="1022"/>
      <c r="I1751" s="1021">
        <f t="shared" ref="I1751:I1765" si="182">F1751+G1751-H1751</f>
        <v>0</v>
      </c>
      <c r="X1751" s="501" t="b">
        <f t="shared" si="180"/>
        <v>0</v>
      </c>
    </row>
    <row r="1752" s="148" customFormat="1" outlineLevel="2" spans="2:24">
      <c r="B1752" s="911" t="s">
        <v>2983</v>
      </c>
      <c r="C1752" s="429" t="str">
        <f t="shared" si="179"/>
        <v>石嘴山市深阳蓝光市政工程有限公司</v>
      </c>
      <c r="D1752" s="868" t="s">
        <v>2984</v>
      </c>
      <c r="E1752" s="1020" t="s">
        <v>2989</v>
      </c>
      <c r="F1752" s="1022"/>
      <c r="G1752" s="1022"/>
      <c r="H1752" s="1022"/>
      <c r="I1752" s="1021">
        <f t="shared" si="182"/>
        <v>0</v>
      </c>
      <c r="X1752" s="501" t="b">
        <f t="shared" si="180"/>
        <v>0</v>
      </c>
    </row>
    <row r="1753" s="148" customFormat="1" outlineLevel="2" spans="2:24">
      <c r="B1753" s="911" t="s">
        <v>2983</v>
      </c>
      <c r="C1753" s="429" t="str">
        <f t="shared" si="179"/>
        <v>石嘴山市深阳蓝光市政工程有限公司</v>
      </c>
      <c r="D1753" s="868" t="s">
        <v>2984</v>
      </c>
      <c r="E1753" s="1020" t="s">
        <v>2990</v>
      </c>
      <c r="F1753" s="1022"/>
      <c r="G1753" s="1022"/>
      <c r="H1753" s="1022"/>
      <c r="I1753" s="1021">
        <f t="shared" si="182"/>
        <v>0</v>
      </c>
      <c r="X1753" s="501" t="b">
        <f t="shared" si="180"/>
        <v>0</v>
      </c>
    </row>
    <row r="1754" s="148" customFormat="1" outlineLevel="2" spans="2:24">
      <c r="B1754" s="911" t="s">
        <v>2983</v>
      </c>
      <c r="C1754" s="429" t="str">
        <f t="shared" si="179"/>
        <v>石嘴山市深阳蓝光市政工程有限公司</v>
      </c>
      <c r="D1754" s="868" t="s">
        <v>2984</v>
      </c>
      <c r="E1754" s="1020" t="s">
        <v>2991</v>
      </c>
      <c r="F1754" s="1022"/>
      <c r="G1754" s="1022"/>
      <c r="H1754" s="1022"/>
      <c r="I1754" s="1021">
        <f t="shared" si="182"/>
        <v>0</v>
      </c>
      <c r="X1754" s="501" t="b">
        <f t="shared" si="180"/>
        <v>0</v>
      </c>
    </row>
    <row r="1755" s="148" customFormat="1" outlineLevel="2" spans="2:24">
      <c r="B1755" s="911" t="s">
        <v>2983</v>
      </c>
      <c r="C1755" s="429" t="str">
        <f t="shared" si="179"/>
        <v>石嘴山市深阳蓝光市政工程有限公司</v>
      </c>
      <c r="D1755" s="868" t="s">
        <v>2984</v>
      </c>
      <c r="E1755" s="1023"/>
      <c r="F1755" s="1022"/>
      <c r="G1755" s="1022"/>
      <c r="H1755" s="1022"/>
      <c r="I1755" s="1021">
        <f t="shared" si="182"/>
        <v>0</v>
      </c>
      <c r="X1755" s="501" t="b">
        <f t="shared" si="180"/>
        <v>1</v>
      </c>
    </row>
    <row r="1756" s="148" customFormat="1" outlineLevel="2" spans="2:24">
      <c r="B1756" s="911" t="s">
        <v>2983</v>
      </c>
      <c r="C1756" s="429" t="str">
        <f t="shared" si="179"/>
        <v>石嘴山市深阳蓝光市政工程有限公司</v>
      </c>
      <c r="D1756" s="868" t="s">
        <v>2984</v>
      </c>
      <c r="E1756" s="1024"/>
      <c r="F1756" s="1025"/>
      <c r="G1756" s="1025"/>
      <c r="H1756" s="1025"/>
      <c r="I1756" s="1021">
        <f t="shared" si="182"/>
        <v>0</v>
      </c>
      <c r="X1756" s="501" t="b">
        <f t="shared" si="180"/>
        <v>1</v>
      </c>
    </row>
    <row r="1757" s="148" customFormat="1" outlineLevel="2" spans="2:24">
      <c r="B1757" s="911" t="s">
        <v>2983</v>
      </c>
      <c r="C1757" s="429" t="str">
        <f t="shared" si="179"/>
        <v>石嘴山市深阳蓝光市政工程有限公司</v>
      </c>
      <c r="D1757" s="868" t="s">
        <v>2984</v>
      </c>
      <c r="E1757" s="1024"/>
      <c r="F1757" s="1025"/>
      <c r="G1757" s="1025"/>
      <c r="H1757" s="1025"/>
      <c r="I1757" s="1021">
        <f t="shared" si="182"/>
        <v>0</v>
      </c>
      <c r="X1757" s="501" t="b">
        <f t="shared" si="180"/>
        <v>1</v>
      </c>
    </row>
    <row r="1758" s="148" customFormat="1" outlineLevel="2" spans="1:24">
      <c r="A1758" s="148" t="s">
        <v>976</v>
      </c>
      <c r="B1758" s="911" t="s">
        <v>2983</v>
      </c>
      <c r="C1758" s="429" t="str">
        <f t="shared" si="179"/>
        <v>石嘴山市深阳蓝光市政工程有限公司</v>
      </c>
      <c r="D1758" s="868" t="s">
        <v>2984</v>
      </c>
      <c r="E1758" s="1026" t="s">
        <v>976</v>
      </c>
      <c r="F1758" s="782">
        <f>SUM(F1759:F1764)</f>
        <v>0</v>
      </c>
      <c r="G1758" s="782">
        <f>SUM(G1759:G1764)</f>
        <v>0</v>
      </c>
      <c r="H1758" s="782">
        <f>SUM(H1759:H1764)</f>
        <v>0</v>
      </c>
      <c r="I1758" s="1021">
        <f t="shared" si="182"/>
        <v>0</v>
      </c>
      <c r="X1758" s="501" t="b">
        <f t="shared" si="180"/>
        <v>1</v>
      </c>
    </row>
    <row r="1759" s="148" customFormat="1" outlineLevel="2" spans="2:24">
      <c r="B1759" s="911" t="s">
        <v>2983</v>
      </c>
      <c r="C1759" s="429" t="str">
        <f t="shared" si="179"/>
        <v>石嘴山市深阳蓝光市政工程有限公司</v>
      </c>
      <c r="D1759" s="868" t="s">
        <v>2984</v>
      </c>
      <c r="E1759" s="1026" t="s">
        <v>2992</v>
      </c>
      <c r="F1759" s="1024"/>
      <c r="G1759" s="1024"/>
      <c r="H1759" s="1024"/>
      <c r="I1759" s="1021">
        <f t="shared" si="182"/>
        <v>0</v>
      </c>
      <c r="X1759" s="501" t="b">
        <f t="shared" si="180"/>
        <v>0</v>
      </c>
    </row>
    <row r="1760" s="148" customFormat="1" outlineLevel="2" spans="2:24">
      <c r="B1760" s="911" t="s">
        <v>2983</v>
      </c>
      <c r="C1760" s="429" t="str">
        <f t="shared" si="179"/>
        <v>石嘴山市深阳蓝光市政工程有限公司</v>
      </c>
      <c r="D1760" s="868" t="s">
        <v>2984</v>
      </c>
      <c r="E1760" s="1026" t="s">
        <v>2993</v>
      </c>
      <c r="F1760" s="1024"/>
      <c r="G1760" s="1024"/>
      <c r="H1760" s="1024"/>
      <c r="I1760" s="1021">
        <f t="shared" si="182"/>
        <v>0</v>
      </c>
      <c r="X1760" s="501" t="b">
        <f t="shared" si="180"/>
        <v>0</v>
      </c>
    </row>
    <row r="1761" s="148" customFormat="1" outlineLevel="2" spans="2:24">
      <c r="B1761" s="911" t="s">
        <v>2983</v>
      </c>
      <c r="C1761" s="429" t="str">
        <f t="shared" si="179"/>
        <v>石嘴山市深阳蓝光市政工程有限公司</v>
      </c>
      <c r="D1761" s="868" t="s">
        <v>2984</v>
      </c>
      <c r="E1761" s="1026" t="s">
        <v>2994</v>
      </c>
      <c r="F1761" s="1024"/>
      <c r="G1761" s="1024"/>
      <c r="H1761" s="1024"/>
      <c r="I1761" s="1021">
        <f t="shared" si="182"/>
        <v>0</v>
      </c>
      <c r="X1761" s="501" t="b">
        <f t="shared" si="180"/>
        <v>0</v>
      </c>
    </row>
    <row r="1762" s="148" customFormat="1" outlineLevel="2" spans="2:24">
      <c r="B1762" s="911" t="s">
        <v>2983</v>
      </c>
      <c r="C1762" s="429" t="str">
        <f t="shared" si="179"/>
        <v>石嘴山市深阳蓝光市政工程有限公司</v>
      </c>
      <c r="D1762" s="868" t="s">
        <v>2984</v>
      </c>
      <c r="E1762" s="1024"/>
      <c r="F1762" s="1024"/>
      <c r="G1762" s="1024"/>
      <c r="H1762" s="1024"/>
      <c r="I1762" s="1021">
        <f t="shared" si="182"/>
        <v>0</v>
      </c>
      <c r="X1762" s="501" t="b">
        <f t="shared" si="180"/>
        <v>1</v>
      </c>
    </row>
    <row r="1763" s="148" customFormat="1" outlineLevel="2" spans="2:24">
      <c r="B1763" s="911" t="s">
        <v>2983</v>
      </c>
      <c r="C1763" s="429" t="str">
        <f t="shared" si="179"/>
        <v>石嘴山市深阳蓝光市政工程有限公司</v>
      </c>
      <c r="D1763" s="868" t="s">
        <v>2984</v>
      </c>
      <c r="E1763" s="1024"/>
      <c r="F1763" s="1024"/>
      <c r="G1763" s="1024"/>
      <c r="H1763" s="1024"/>
      <c r="I1763" s="1021">
        <f t="shared" si="182"/>
        <v>0</v>
      </c>
      <c r="X1763" s="501" t="b">
        <f t="shared" si="180"/>
        <v>1</v>
      </c>
    </row>
    <row r="1764" s="148" customFormat="1" outlineLevel="2" spans="2:24">
      <c r="B1764" s="911" t="s">
        <v>2983</v>
      </c>
      <c r="C1764" s="429" t="str">
        <f t="shared" si="179"/>
        <v>石嘴山市深阳蓝光市政工程有限公司</v>
      </c>
      <c r="D1764" s="868" t="s">
        <v>2984</v>
      </c>
      <c r="E1764" s="1024"/>
      <c r="F1764" s="1024"/>
      <c r="G1764" s="1024"/>
      <c r="H1764" s="1024"/>
      <c r="I1764" s="1021">
        <f t="shared" si="182"/>
        <v>0</v>
      </c>
      <c r="X1764" s="501" t="b">
        <f t="shared" si="180"/>
        <v>1</v>
      </c>
    </row>
    <row r="1765" s="148" customFormat="1" outlineLevel="2" spans="1:24">
      <c r="A1765" s="148" t="s">
        <v>1577</v>
      </c>
      <c r="B1765" s="911" t="s">
        <v>2983</v>
      </c>
      <c r="C1765" s="429" t="str">
        <f t="shared" si="179"/>
        <v>石嘴山市深阳蓝光市政工程有限公司</v>
      </c>
      <c r="D1765" s="868" t="s">
        <v>2984</v>
      </c>
      <c r="E1765" s="1027" t="s">
        <v>2995</v>
      </c>
      <c r="F1765" s="1021">
        <f>F1750+F1758</f>
        <v>0</v>
      </c>
      <c r="G1765" s="1021">
        <f>G1750+G1758</f>
        <v>0</v>
      </c>
      <c r="H1765" s="1021">
        <f>H1750+H1758</f>
        <v>0</v>
      </c>
      <c r="I1765" s="1021">
        <f t="shared" si="182"/>
        <v>0</v>
      </c>
      <c r="X1765" s="501" t="b">
        <f t="shared" si="180"/>
        <v>1</v>
      </c>
    </row>
    <row r="1766" s="148" customFormat="1" outlineLevel="2" spans="2:24">
      <c r="B1766" s="911" t="s">
        <v>2983</v>
      </c>
      <c r="C1766" s="429" t="str">
        <f t="shared" si="179"/>
        <v>石嘴山市深阳蓝光市政工程有限公司</v>
      </c>
      <c r="D1766" s="868" t="s">
        <v>2984</v>
      </c>
      <c r="E1766" s="1017"/>
      <c r="F1766" s="821"/>
      <c r="G1766" s="821"/>
      <c r="H1766" s="821"/>
      <c r="I1766" s="821"/>
      <c r="X1766" s="501" t="b">
        <f t="shared" si="180"/>
        <v>1</v>
      </c>
    </row>
    <row r="1767" s="148" customFormat="1" outlineLevel="2" spans="1:24">
      <c r="A1767" s="148" t="s">
        <v>2996</v>
      </c>
      <c r="B1767" s="911" t="s">
        <v>2983</v>
      </c>
      <c r="C1767" s="429" t="str">
        <f t="shared" si="179"/>
        <v>石嘴山市深阳蓝光市政工程有限公司</v>
      </c>
      <c r="D1767" s="868" t="s">
        <v>2996</v>
      </c>
      <c r="E1767" s="485" t="s">
        <v>2997</v>
      </c>
      <c r="I1767" s="821"/>
      <c r="X1767" s="501" t="b">
        <f t="shared" si="180"/>
        <v>0</v>
      </c>
    </row>
    <row r="1768" s="148" customFormat="1" outlineLevel="2" spans="1:24">
      <c r="A1768" s="148" t="s">
        <v>2315</v>
      </c>
      <c r="B1768" s="911" t="s">
        <v>2983</v>
      </c>
      <c r="C1768" s="429" t="str">
        <f t="shared" si="179"/>
        <v>石嘴山市深阳蓝光市政工程有限公司</v>
      </c>
      <c r="D1768" s="868" t="s">
        <v>2996</v>
      </c>
      <c r="E1768" s="1017" t="s">
        <v>2334</v>
      </c>
      <c r="F1768" s="1028"/>
      <c r="G1768" s="1028"/>
      <c r="H1768" s="1028"/>
      <c r="I1768" s="821"/>
      <c r="X1768" s="501" t="b">
        <f t="shared" si="180"/>
        <v>1</v>
      </c>
    </row>
    <row r="1769" s="148" customFormat="1" outlineLevel="2" spans="2:24">
      <c r="B1769" s="911" t="s">
        <v>2983</v>
      </c>
      <c r="C1769" s="429" t="str">
        <f t="shared" si="179"/>
        <v>石嘴山市深阳蓝光市政工程有限公司</v>
      </c>
      <c r="D1769" s="868" t="s">
        <v>2996</v>
      </c>
      <c r="E1769" s="821"/>
      <c r="F1769" s="821"/>
      <c r="G1769" s="821"/>
      <c r="H1769" s="821"/>
      <c r="I1769" s="821"/>
      <c r="X1769" s="501" t="b">
        <f t="shared" si="180"/>
        <v>1</v>
      </c>
    </row>
    <row r="1770" s="405" customFormat="1" spans="1:24">
      <c r="A1770" s="405" t="s">
        <v>1761</v>
      </c>
      <c r="B1770" s="428" t="s">
        <v>2998</v>
      </c>
      <c r="C1770" s="429" t="str">
        <f t="shared" si="179"/>
        <v>石嘴山市深阳蓝光市政工程有限公司</v>
      </c>
      <c r="D1770" s="1029" t="s">
        <v>2999</v>
      </c>
      <c r="E1770" s="65" t="s">
        <v>3000</v>
      </c>
      <c r="F1770" s="1030"/>
      <c r="G1770" s="869" t="s">
        <v>2921</v>
      </c>
      <c r="H1770" s="1031"/>
      <c r="I1770" s="1031"/>
      <c r="J1770" s="1031"/>
      <c r="K1770" s="1031"/>
      <c r="X1770" s="501" t="b">
        <f t="shared" si="180"/>
        <v>1</v>
      </c>
    </row>
    <row r="1771" s="405" customFormat="1" ht="15" customHeight="1" outlineLevel="2" spans="1:24">
      <c r="A1771" s="405" t="s">
        <v>3001</v>
      </c>
      <c r="B1771" s="428" t="s">
        <v>2998</v>
      </c>
      <c r="C1771" s="429" t="str">
        <f t="shared" si="179"/>
        <v>石嘴山市深阳蓝光市政工程有限公司</v>
      </c>
      <c r="D1771" s="1029" t="s">
        <v>2999</v>
      </c>
      <c r="E1771" s="1032" t="s">
        <v>3001</v>
      </c>
      <c r="F1771" s="1032" t="s">
        <v>315</v>
      </c>
      <c r="G1771" s="1032" t="s">
        <v>1579</v>
      </c>
      <c r="H1771" s="1031"/>
      <c r="I1771" s="1031"/>
      <c r="J1771" s="1031"/>
      <c r="K1771" s="1031"/>
      <c r="X1771" s="501" t="b">
        <f t="shared" si="180"/>
        <v>1</v>
      </c>
    </row>
    <row r="1772" s="405" customFormat="1" ht="15" customHeight="1" outlineLevel="2" spans="1:24">
      <c r="A1772" s="405" t="s">
        <v>982</v>
      </c>
      <c r="B1772" s="428" t="s">
        <v>2998</v>
      </c>
      <c r="C1772" s="429" t="str">
        <f t="shared" si="179"/>
        <v>石嘴山市深阳蓝光市政工程有限公司</v>
      </c>
      <c r="D1772" s="1029" t="s">
        <v>2999</v>
      </c>
      <c r="E1772" s="1033" t="s">
        <v>988</v>
      </c>
      <c r="F1772" s="132"/>
      <c r="G1772" s="477">
        <f>报表附注合并期初用!E1570</f>
        <v>0</v>
      </c>
      <c r="H1772" s="1034"/>
      <c r="I1772" s="1034"/>
      <c r="J1772" s="1034"/>
      <c r="K1772" s="1031"/>
      <c r="X1772" s="501" t="b">
        <f t="shared" si="180"/>
        <v>0</v>
      </c>
    </row>
    <row r="1773" s="405" customFormat="1" ht="15" customHeight="1" outlineLevel="2" spans="1:24">
      <c r="A1773" s="405" t="s">
        <v>984</v>
      </c>
      <c r="B1773" s="428" t="s">
        <v>2998</v>
      </c>
      <c r="C1773" s="429" t="str">
        <f t="shared" si="179"/>
        <v>石嘴山市深阳蓝光市政工程有限公司</v>
      </c>
      <c r="D1773" s="1029" t="s">
        <v>2999</v>
      </c>
      <c r="E1773" s="1033" t="s">
        <v>984</v>
      </c>
      <c r="F1773" s="132"/>
      <c r="G1773" s="477">
        <f>报表附注合并期初用!E1571</f>
        <v>0</v>
      </c>
      <c r="H1773" s="1035"/>
      <c r="I1773" s="1035"/>
      <c r="J1773" s="1035"/>
      <c r="K1773" s="1031"/>
      <c r="X1773" s="501" t="b">
        <f t="shared" si="180"/>
        <v>1</v>
      </c>
    </row>
    <row r="1774" s="405" customFormat="1" ht="15" customHeight="1" outlineLevel="2" spans="1:24">
      <c r="A1774" s="405" t="s">
        <v>986</v>
      </c>
      <c r="B1774" s="428" t="s">
        <v>2998</v>
      </c>
      <c r="C1774" s="429" t="str">
        <f t="shared" si="179"/>
        <v>石嘴山市深阳蓝光市政工程有限公司</v>
      </c>
      <c r="D1774" s="1029" t="s">
        <v>2999</v>
      </c>
      <c r="E1774" s="1033" t="s">
        <v>986</v>
      </c>
      <c r="F1774" s="132"/>
      <c r="G1774" s="477">
        <f>报表附注合并期初用!E1572</f>
        <v>0</v>
      </c>
      <c r="H1774" s="1034"/>
      <c r="I1774" s="1034"/>
      <c r="J1774" s="1034"/>
      <c r="K1774" s="1031"/>
      <c r="X1774" s="501" t="b">
        <f t="shared" si="180"/>
        <v>1</v>
      </c>
    </row>
    <row r="1775" s="405" customFormat="1" ht="15" customHeight="1" outlineLevel="2" spans="1:24">
      <c r="A1775" s="405" t="s">
        <v>988</v>
      </c>
      <c r="B1775" s="428" t="s">
        <v>2998</v>
      </c>
      <c r="C1775" s="429" t="str">
        <f t="shared" si="179"/>
        <v>石嘴山市深阳蓝光市政工程有限公司</v>
      </c>
      <c r="D1775" s="1029" t="s">
        <v>2999</v>
      </c>
      <c r="E1775" s="1033" t="s">
        <v>982</v>
      </c>
      <c r="F1775" s="132"/>
      <c r="G1775" s="477">
        <f>报表附注合并期初用!E1573</f>
        <v>0</v>
      </c>
      <c r="H1775" s="1030"/>
      <c r="I1775" s="1030"/>
      <c r="J1775" s="1030"/>
      <c r="K1775" s="1030"/>
      <c r="X1775" s="501" t="b">
        <f t="shared" si="180"/>
        <v>0</v>
      </c>
    </row>
    <row r="1776" s="405" customFormat="1" ht="15" customHeight="1" outlineLevel="2" spans="2:24">
      <c r="B1776" s="428"/>
      <c r="C1776" s="429"/>
      <c r="D1776" s="1029"/>
      <c r="E1776" s="1033" t="s">
        <v>3002</v>
      </c>
      <c r="F1776" s="132"/>
      <c r="G1776" s="477"/>
      <c r="H1776" s="1030"/>
      <c r="I1776" s="1030"/>
      <c r="J1776" s="1030"/>
      <c r="K1776" s="1030"/>
      <c r="X1776" s="501"/>
    </row>
    <row r="1777" s="405" customFormat="1" ht="15" customHeight="1" outlineLevel="2" spans="2:24">
      <c r="B1777" s="428"/>
      <c r="C1777" s="429"/>
      <c r="D1777" s="1029"/>
      <c r="E1777" s="1033" t="s">
        <v>3003</v>
      </c>
      <c r="F1777" s="132"/>
      <c r="G1777" s="477"/>
      <c r="H1777" s="1030"/>
      <c r="I1777" s="1030"/>
      <c r="J1777" s="1030"/>
      <c r="K1777" s="1030"/>
      <c r="X1777" s="501"/>
    </row>
    <row r="1778" s="405" customFormat="1" ht="15" customHeight="1" outlineLevel="2" spans="1:24">
      <c r="A1778" s="405" t="s">
        <v>1762</v>
      </c>
      <c r="B1778" s="428" t="s">
        <v>2998</v>
      </c>
      <c r="C1778" s="429" t="str">
        <f t="shared" ref="C1778:C1812" si="183">$G$1</f>
        <v>石嘴山市深阳蓝光市政工程有限公司</v>
      </c>
      <c r="D1778" s="1029" t="s">
        <v>2999</v>
      </c>
      <c r="E1778" s="1032" t="s">
        <v>3004</v>
      </c>
      <c r="F1778" s="565">
        <f>SUM(F1772:F1777)</f>
        <v>0</v>
      </c>
      <c r="G1778" s="565">
        <f>SUM(G1772:G1777)</f>
        <v>0</v>
      </c>
      <c r="H1778" s="1030"/>
      <c r="I1778" s="1030"/>
      <c r="J1778" s="1030"/>
      <c r="K1778" s="1030"/>
      <c r="X1778" s="501" t="b">
        <f t="shared" ref="X1778:X1812" si="184">EXACT(A1778,E1778)</f>
        <v>1</v>
      </c>
    </row>
    <row r="1779" s="405" customFormat="1" ht="15" customHeight="1" outlineLevel="2" spans="1:24">
      <c r="A1779" s="405" t="s">
        <v>1444</v>
      </c>
      <c r="B1779" s="428" t="s">
        <v>2998</v>
      </c>
      <c r="C1779" s="429" t="str">
        <f t="shared" si="183"/>
        <v>石嘴山市深阳蓝光市政工程有限公司</v>
      </c>
      <c r="D1779" s="1029" t="s">
        <v>2999</v>
      </c>
      <c r="E1779" s="1017" t="s">
        <v>1444</v>
      </c>
      <c r="F1779" s="566">
        <f>审定资负表!G7</f>
        <v>0</v>
      </c>
      <c r="G1779" s="566">
        <f>审定资负表!H7</f>
        <v>0</v>
      </c>
      <c r="H1779" s="1030"/>
      <c r="I1779" s="1030"/>
      <c r="J1779" s="1030"/>
      <c r="K1779" s="1030"/>
      <c r="X1779" s="501" t="b">
        <f t="shared" si="184"/>
        <v>1</v>
      </c>
    </row>
    <row r="1780" s="405" customFormat="1" ht="15" customHeight="1" outlineLevel="1" spans="1:24">
      <c r="A1780" s="405" t="s">
        <v>1394</v>
      </c>
      <c r="B1780" s="428" t="s">
        <v>2998</v>
      </c>
      <c r="C1780" s="429" t="str">
        <f t="shared" si="183"/>
        <v>石嘴山市深阳蓝光市政工程有限公司</v>
      </c>
      <c r="D1780" s="1029" t="s">
        <v>2999</v>
      </c>
      <c r="E1780" s="1017" t="s">
        <v>1394</v>
      </c>
      <c r="F1780" s="87">
        <f>ROUND(F1778-F1779,2)</f>
        <v>0</v>
      </c>
      <c r="G1780" s="87">
        <f>ROUND(G1778-G1779,2)</f>
        <v>0</v>
      </c>
      <c r="H1780" s="1030"/>
      <c r="I1780" s="1030"/>
      <c r="J1780" s="1030"/>
      <c r="K1780" s="1030"/>
      <c r="X1780" s="501" t="b">
        <f t="shared" si="184"/>
        <v>1</v>
      </c>
    </row>
    <row r="1781" s="405" customFormat="1" ht="15" customHeight="1" outlineLevel="2" spans="1:24">
      <c r="A1781" s="405" t="s">
        <v>3005</v>
      </c>
      <c r="B1781" s="428" t="s">
        <v>2998</v>
      </c>
      <c r="C1781" s="429" t="str">
        <f t="shared" si="183"/>
        <v>石嘴山市深阳蓝光市政工程有限公司</v>
      </c>
      <c r="D1781" s="1029" t="s">
        <v>3005</v>
      </c>
      <c r="E1781" s="1036" t="s">
        <v>3006</v>
      </c>
      <c r="F1781" s="1030"/>
      <c r="G1781" s="1030"/>
      <c r="H1781" s="1030"/>
      <c r="I1781" s="1030"/>
      <c r="J1781" s="1030"/>
      <c r="K1781" s="1030"/>
      <c r="L1781" s="645" t="s">
        <v>2462</v>
      </c>
      <c r="X1781" s="501" t="b">
        <f t="shared" si="184"/>
        <v>1</v>
      </c>
    </row>
    <row r="1782" s="405" customFormat="1" ht="15" customHeight="1" outlineLevel="2" spans="1:24">
      <c r="A1782" s="405" t="s">
        <v>992</v>
      </c>
      <c r="B1782" s="428" t="s">
        <v>2998</v>
      </c>
      <c r="C1782" s="429" t="str">
        <f t="shared" si="183"/>
        <v>石嘴山市深阳蓝光市政工程有限公司</v>
      </c>
      <c r="D1782" s="1029" t="s">
        <v>3005</v>
      </c>
      <c r="E1782" s="1032" t="s">
        <v>992</v>
      </c>
      <c r="F1782" s="1032" t="s">
        <v>3007</v>
      </c>
      <c r="G1782" s="1032" t="s">
        <v>641</v>
      </c>
      <c r="H1782" s="1032" t="s">
        <v>3008</v>
      </c>
      <c r="I1782" s="1032" t="s">
        <v>1027</v>
      </c>
      <c r="J1782" s="1032" t="s">
        <v>997</v>
      </c>
      <c r="K1782" s="1032" t="s">
        <v>3009</v>
      </c>
      <c r="L1782" s="627" t="s">
        <v>2573</v>
      </c>
      <c r="X1782" s="501" t="b">
        <f t="shared" si="184"/>
        <v>1</v>
      </c>
    </row>
    <row r="1783" s="405" customFormat="1" ht="15" customHeight="1" outlineLevel="2" spans="2:24">
      <c r="B1783" s="428" t="s">
        <v>2998</v>
      </c>
      <c r="C1783" s="429" t="str">
        <f t="shared" si="183"/>
        <v>石嘴山市深阳蓝光市政工程有限公司</v>
      </c>
      <c r="D1783" s="1029" t="s">
        <v>3005</v>
      </c>
      <c r="E1783" s="1037"/>
      <c r="F1783" s="1038"/>
      <c r="G1783" s="1039"/>
      <c r="H1783" s="1037"/>
      <c r="I1783" s="1037"/>
      <c r="J1783" s="1049"/>
      <c r="K1783" s="1037"/>
      <c r="X1783" s="501" t="b">
        <f t="shared" si="184"/>
        <v>1</v>
      </c>
    </row>
    <row r="1784" s="405" customFormat="1" ht="15" customHeight="1" outlineLevel="2" spans="2:24">
      <c r="B1784" s="428" t="s">
        <v>2998</v>
      </c>
      <c r="C1784" s="429" t="str">
        <f t="shared" si="183"/>
        <v>石嘴山市深阳蓝光市政工程有限公司</v>
      </c>
      <c r="D1784" s="1029" t="s">
        <v>3005</v>
      </c>
      <c r="E1784" s="1037"/>
      <c r="F1784" s="1038"/>
      <c r="G1784" s="1039"/>
      <c r="H1784" s="1037"/>
      <c r="I1784" s="1037"/>
      <c r="J1784" s="1049"/>
      <c r="K1784" s="1037"/>
      <c r="X1784" s="501" t="b">
        <f t="shared" si="184"/>
        <v>1</v>
      </c>
    </row>
    <row r="1785" s="405" customFormat="1" ht="15" customHeight="1" outlineLevel="2" spans="2:24">
      <c r="B1785" s="428" t="s">
        <v>2998</v>
      </c>
      <c r="C1785" s="429" t="str">
        <f t="shared" si="183"/>
        <v>石嘴山市深阳蓝光市政工程有限公司</v>
      </c>
      <c r="D1785" s="1029" t="s">
        <v>3005</v>
      </c>
      <c r="E1785" s="1037"/>
      <c r="F1785" s="1038"/>
      <c r="G1785" s="1039"/>
      <c r="H1785" s="1037"/>
      <c r="I1785" s="1037"/>
      <c r="J1785" s="1049"/>
      <c r="K1785" s="1037"/>
      <c r="X1785" s="501" t="b">
        <f t="shared" si="184"/>
        <v>1</v>
      </c>
    </row>
    <row r="1786" s="405" customFormat="1" ht="15" customHeight="1" outlineLevel="2" spans="2:24">
      <c r="B1786" s="428" t="s">
        <v>2998</v>
      </c>
      <c r="C1786" s="429" t="str">
        <f t="shared" si="183"/>
        <v>石嘴山市深阳蓝光市政工程有限公司</v>
      </c>
      <c r="D1786" s="1029" t="s">
        <v>3005</v>
      </c>
      <c r="E1786" s="1037"/>
      <c r="F1786" s="1038"/>
      <c r="G1786" s="1039"/>
      <c r="H1786" s="1037"/>
      <c r="I1786" s="1037"/>
      <c r="J1786" s="1049"/>
      <c r="K1786" s="1037"/>
      <c r="X1786" s="501" t="b">
        <f t="shared" si="184"/>
        <v>1</v>
      </c>
    </row>
    <row r="1787" s="405" customFormat="1" ht="15" customHeight="1" outlineLevel="2" spans="2:24">
      <c r="B1787" s="428" t="s">
        <v>2998</v>
      </c>
      <c r="C1787" s="429" t="str">
        <f t="shared" si="183"/>
        <v>石嘴山市深阳蓝光市政工程有限公司</v>
      </c>
      <c r="D1787" s="1029" t="s">
        <v>3005</v>
      </c>
      <c r="E1787" s="1037"/>
      <c r="F1787" s="1038"/>
      <c r="G1787" s="1039"/>
      <c r="H1787" s="1037"/>
      <c r="I1787" s="1037"/>
      <c r="J1787" s="1049"/>
      <c r="K1787" s="1037"/>
      <c r="X1787" s="501" t="b">
        <f t="shared" si="184"/>
        <v>1</v>
      </c>
    </row>
    <row r="1788" s="405" customFormat="1" ht="15" customHeight="1" outlineLevel="2" spans="2:24">
      <c r="B1788" s="428" t="s">
        <v>2998</v>
      </c>
      <c r="C1788" s="429" t="str">
        <f t="shared" si="183"/>
        <v>石嘴山市深阳蓝光市政工程有限公司</v>
      </c>
      <c r="D1788" s="1029" t="s">
        <v>3005</v>
      </c>
      <c r="E1788" s="1037"/>
      <c r="F1788" s="1038"/>
      <c r="G1788" s="1039"/>
      <c r="H1788" s="1037"/>
      <c r="I1788" s="1037"/>
      <c r="J1788" s="1049"/>
      <c r="K1788" s="1037"/>
      <c r="X1788" s="501" t="b">
        <f t="shared" si="184"/>
        <v>1</v>
      </c>
    </row>
    <row r="1789" s="405" customFormat="1" ht="15" customHeight="1" outlineLevel="2" spans="1:24">
      <c r="A1789" s="405" t="s">
        <v>1580</v>
      </c>
      <c r="B1789" s="428" t="s">
        <v>2998</v>
      </c>
      <c r="C1789" s="429" t="str">
        <f t="shared" si="183"/>
        <v>石嘴山市深阳蓝光市政工程有限公司</v>
      </c>
      <c r="D1789" s="1029" t="s">
        <v>3005</v>
      </c>
      <c r="E1789" s="1040" t="s">
        <v>1580</v>
      </c>
      <c r="F1789" s="1041">
        <f>SUM(F1783:F1788)</f>
        <v>0</v>
      </c>
      <c r="G1789" s="1042"/>
      <c r="H1789" s="1033"/>
      <c r="I1789" s="1033"/>
      <c r="J1789" s="1050"/>
      <c r="K1789" s="1033"/>
      <c r="X1789" s="501" t="b">
        <f t="shared" si="184"/>
        <v>1</v>
      </c>
    </row>
    <row r="1790" s="405" customFormat="1" ht="15" customHeight="1" outlineLevel="2" spans="2:24">
      <c r="B1790" s="428" t="s">
        <v>2998</v>
      </c>
      <c r="C1790" s="429" t="str">
        <f t="shared" si="183"/>
        <v>石嘴山市深阳蓝光市政工程有限公司</v>
      </c>
      <c r="D1790" s="1029" t="s">
        <v>3005</v>
      </c>
      <c r="E1790" s="1043"/>
      <c r="F1790" s="1044"/>
      <c r="G1790" s="1045"/>
      <c r="H1790" s="1043"/>
      <c r="I1790" s="1043"/>
      <c r="J1790" s="1051"/>
      <c r="K1790" s="1043"/>
      <c r="X1790" s="501" t="b">
        <f t="shared" si="184"/>
        <v>1</v>
      </c>
    </row>
    <row r="1791" s="405" customFormat="1" ht="15" customHeight="1" outlineLevel="2" spans="1:24">
      <c r="A1791" s="405" t="s">
        <v>3010</v>
      </c>
      <c r="B1791" s="428" t="s">
        <v>2998</v>
      </c>
      <c r="C1791" s="429" t="str">
        <f t="shared" si="183"/>
        <v>石嘴山市深阳蓝光市政工程有限公司</v>
      </c>
      <c r="D1791" s="1029" t="s">
        <v>3010</v>
      </c>
      <c r="E1791" s="748" t="s">
        <v>3011</v>
      </c>
      <c r="F1791" s="1044"/>
      <c r="G1791" s="1045"/>
      <c r="H1791" s="1043"/>
      <c r="I1791" s="1043"/>
      <c r="J1791" s="1051"/>
      <c r="K1791" s="1043"/>
      <c r="X1791" s="501" t="b">
        <f t="shared" si="184"/>
        <v>1</v>
      </c>
    </row>
    <row r="1792" s="405" customFormat="1" ht="15" customHeight="1" outlineLevel="2" spans="1:24">
      <c r="A1792" s="405" t="s">
        <v>2315</v>
      </c>
      <c r="B1792" s="428" t="s">
        <v>2998</v>
      </c>
      <c r="C1792" s="429" t="str">
        <f t="shared" si="183"/>
        <v>石嘴山市深阳蓝光市政工程有限公司</v>
      </c>
      <c r="D1792" s="1029" t="s">
        <v>3010</v>
      </c>
      <c r="E1792" s="748" t="s">
        <v>2334</v>
      </c>
      <c r="F1792" s="1046"/>
      <c r="G1792" s="1047"/>
      <c r="H1792" s="1048"/>
      <c r="I1792" s="1043"/>
      <c r="J1792" s="1051"/>
      <c r="K1792" s="1043"/>
      <c r="X1792" s="501" t="b">
        <f t="shared" si="184"/>
        <v>1</v>
      </c>
    </row>
    <row r="1793" s="405" customFormat="1" ht="15" customHeight="1" outlineLevel="2" spans="2:24">
      <c r="B1793" s="428" t="s">
        <v>2998</v>
      </c>
      <c r="C1793" s="429" t="str">
        <f t="shared" si="183"/>
        <v>石嘴山市深阳蓝光市政工程有限公司</v>
      </c>
      <c r="D1793" s="1029"/>
      <c r="E1793" s="748"/>
      <c r="F1793" s="451"/>
      <c r="G1793" s="451"/>
      <c r="H1793" s="1030"/>
      <c r="I1793" s="1030"/>
      <c r="J1793" s="1030"/>
      <c r="K1793" s="1030"/>
      <c r="X1793" s="501" t="b">
        <f t="shared" si="184"/>
        <v>1</v>
      </c>
    </row>
    <row r="1794" s="405" customFormat="1" ht="15" customHeight="1" outlineLevel="2" spans="1:24">
      <c r="A1794" s="405" t="s">
        <v>2315</v>
      </c>
      <c r="B1794" s="428" t="s">
        <v>2998</v>
      </c>
      <c r="C1794" s="429" t="str">
        <f t="shared" si="183"/>
        <v>石嘴山市深阳蓝光市政工程有限公司</v>
      </c>
      <c r="D1794" s="1029"/>
      <c r="E1794" s="748" t="s">
        <v>2334</v>
      </c>
      <c r="F1794" s="471"/>
      <c r="G1794" s="471"/>
      <c r="H1794" s="1055"/>
      <c r="I1794" s="1030"/>
      <c r="J1794" s="1030"/>
      <c r="K1794" s="1030"/>
      <c r="X1794" s="501" t="b">
        <f t="shared" si="184"/>
        <v>1</v>
      </c>
    </row>
    <row r="1795" s="405" customFormat="1" ht="15" customHeight="1" outlineLevel="2" spans="2:24">
      <c r="B1795" s="428" t="s">
        <v>2998</v>
      </c>
      <c r="C1795" s="429" t="str">
        <f t="shared" si="183"/>
        <v>石嘴山市深阳蓝光市政工程有限公司</v>
      </c>
      <c r="D1795" s="1029"/>
      <c r="E1795" s="748"/>
      <c r="F1795" s="451"/>
      <c r="G1795" s="451"/>
      <c r="H1795" s="1030"/>
      <c r="I1795" s="1030"/>
      <c r="J1795" s="1030"/>
      <c r="K1795" s="1030"/>
      <c r="X1795" s="501" t="b">
        <f t="shared" si="184"/>
        <v>1</v>
      </c>
    </row>
    <row r="1796" s="406" customFormat="1" spans="1:24">
      <c r="A1796" s="406" t="s">
        <v>1763</v>
      </c>
      <c r="B1796" s="428" t="s">
        <v>3012</v>
      </c>
      <c r="C1796" s="429" t="str">
        <f t="shared" si="183"/>
        <v>石嘴山市深阳蓝光市政工程有限公司</v>
      </c>
      <c r="D1796" s="1056" t="s">
        <v>1763</v>
      </c>
      <c r="E1796" s="65" t="s">
        <v>3013</v>
      </c>
      <c r="F1796" s="1057"/>
      <c r="G1796" s="1057"/>
      <c r="X1796" s="501" t="b">
        <f t="shared" si="184"/>
        <v>1</v>
      </c>
    </row>
    <row r="1797" s="406" customFormat="1" outlineLevel="2" spans="1:24">
      <c r="A1797" s="406" t="s">
        <v>314</v>
      </c>
      <c r="B1797" s="428" t="s">
        <v>3012</v>
      </c>
      <c r="C1797" s="429" t="str">
        <f t="shared" si="183"/>
        <v>石嘴山市深阳蓝光市政工程有限公司</v>
      </c>
      <c r="D1797" s="1056" t="s">
        <v>1763</v>
      </c>
      <c r="E1797" s="1058" t="s">
        <v>3014</v>
      </c>
      <c r="F1797" s="1058" t="s">
        <v>373</v>
      </c>
      <c r="G1797" s="1058" t="s">
        <v>1570</v>
      </c>
      <c r="X1797" s="501" t="b">
        <f t="shared" si="184"/>
        <v>1</v>
      </c>
    </row>
    <row r="1798" s="406" customFormat="1" outlineLevel="2" spans="1:24">
      <c r="A1798" s="406" t="s">
        <v>1006</v>
      </c>
      <c r="B1798" s="428" t="s">
        <v>3012</v>
      </c>
      <c r="C1798" s="429" t="str">
        <f t="shared" si="183"/>
        <v>石嘴山市深阳蓝光市政工程有限公司</v>
      </c>
      <c r="D1798" s="1056" t="s">
        <v>1763</v>
      </c>
      <c r="E1798" s="1059" t="s">
        <v>1006</v>
      </c>
      <c r="F1798" s="132"/>
      <c r="G1798" s="477">
        <f>报表附注合并期初用!E1586</f>
        <v>0</v>
      </c>
      <c r="X1798" s="501" t="b">
        <f t="shared" si="184"/>
        <v>1</v>
      </c>
    </row>
    <row r="1799" s="406" customFormat="1" ht="22.5" outlineLevel="2" spans="1:24">
      <c r="A1799" s="406" t="s">
        <v>1008</v>
      </c>
      <c r="B1799" s="428" t="s">
        <v>3012</v>
      </c>
      <c r="C1799" s="429" t="str">
        <f t="shared" si="183"/>
        <v>石嘴山市深阳蓝光市政工程有限公司</v>
      </c>
      <c r="D1799" s="1056" t="s">
        <v>1763</v>
      </c>
      <c r="E1799" s="1059" t="s">
        <v>1008</v>
      </c>
      <c r="F1799" s="132"/>
      <c r="G1799" s="477">
        <f>报表附注合并期初用!E1587</f>
        <v>0</v>
      </c>
      <c r="X1799" s="501" t="b">
        <f t="shared" si="184"/>
        <v>1</v>
      </c>
    </row>
    <row r="1800" s="406" customFormat="1" outlineLevel="2" spans="1:24">
      <c r="A1800" s="406" t="s">
        <v>1010</v>
      </c>
      <c r="B1800" s="428" t="s">
        <v>3012</v>
      </c>
      <c r="C1800" s="429" t="str">
        <f t="shared" si="183"/>
        <v>石嘴山市深阳蓝光市政工程有限公司</v>
      </c>
      <c r="D1800" s="1056" t="s">
        <v>1763</v>
      </c>
      <c r="E1800" s="1059" t="s">
        <v>1010</v>
      </c>
      <c r="F1800" s="132"/>
      <c r="G1800" s="477">
        <f>报表附注合并期初用!E1588</f>
        <v>0</v>
      </c>
      <c r="X1800" s="501" t="b">
        <f t="shared" si="184"/>
        <v>1</v>
      </c>
    </row>
    <row r="1801" s="406" customFormat="1" outlineLevel="2" spans="1:24">
      <c r="A1801" s="406" t="s">
        <v>279</v>
      </c>
      <c r="B1801" s="428" t="s">
        <v>3012</v>
      </c>
      <c r="C1801" s="429" t="str">
        <f t="shared" si="183"/>
        <v>石嘴山市深阳蓝光市政工程有限公司</v>
      </c>
      <c r="D1801" s="1056" t="s">
        <v>1763</v>
      </c>
      <c r="E1801" s="1059" t="s">
        <v>279</v>
      </c>
      <c r="F1801" s="132"/>
      <c r="G1801" s="477">
        <f>报表附注合并期初用!E1589</f>
        <v>0</v>
      </c>
      <c r="X1801" s="501" t="b">
        <f t="shared" si="184"/>
        <v>1</v>
      </c>
    </row>
    <row r="1802" s="406" customFormat="1" outlineLevel="2" spans="1:24">
      <c r="A1802" s="406" t="s">
        <v>346</v>
      </c>
      <c r="B1802" s="428" t="s">
        <v>3012</v>
      </c>
      <c r="C1802" s="429" t="str">
        <f t="shared" si="183"/>
        <v>石嘴山市深阳蓝光市政工程有限公司</v>
      </c>
      <c r="D1802" s="1056" t="s">
        <v>1763</v>
      </c>
      <c r="E1802" s="1058" t="s">
        <v>3015</v>
      </c>
      <c r="F1802" s="565">
        <f>SUM(F1798:F1801)</f>
        <v>0</v>
      </c>
      <c r="G1802" s="565">
        <f>SUM(G1798:G1801)</f>
        <v>0</v>
      </c>
      <c r="X1802" s="501" t="b">
        <f t="shared" si="184"/>
        <v>1</v>
      </c>
    </row>
    <row r="1803" s="406" customFormat="1" outlineLevel="2" spans="1:24">
      <c r="A1803" s="406" t="s">
        <v>1444</v>
      </c>
      <c r="B1803" s="428" t="s">
        <v>3012</v>
      </c>
      <c r="C1803" s="429" t="str">
        <f t="shared" si="183"/>
        <v>石嘴山市深阳蓝光市政工程有限公司</v>
      </c>
      <c r="D1803" s="1056" t="s">
        <v>1763</v>
      </c>
      <c r="E1803" s="1060" t="s">
        <v>1444</v>
      </c>
      <c r="F1803" s="88">
        <f>审定资负表!G8</f>
        <v>0</v>
      </c>
      <c r="G1803" s="88">
        <f>审定资负表!H8</f>
        <v>0</v>
      </c>
      <c r="X1803" s="501" t="b">
        <f t="shared" si="184"/>
        <v>1</v>
      </c>
    </row>
    <row r="1804" s="406" customFormat="1" outlineLevel="1" spans="1:24">
      <c r="A1804" s="406" t="s">
        <v>1394</v>
      </c>
      <c r="B1804" s="428" t="s">
        <v>3012</v>
      </c>
      <c r="C1804" s="429" t="str">
        <f t="shared" si="183"/>
        <v>石嘴山市深阳蓝光市政工程有限公司</v>
      </c>
      <c r="D1804" s="1056" t="s">
        <v>1763</v>
      </c>
      <c r="E1804" s="1060" t="s">
        <v>1394</v>
      </c>
      <c r="F1804" s="87">
        <f>ROUND(F1802-F1803,2)</f>
        <v>0</v>
      </c>
      <c r="G1804" s="87">
        <f>ROUND(G1802-G1803,2)</f>
        <v>0</v>
      </c>
      <c r="X1804" s="501" t="b">
        <f t="shared" si="184"/>
        <v>1</v>
      </c>
    </row>
    <row r="1805" s="406" customFormat="1" outlineLevel="2" spans="2:24">
      <c r="B1805" s="428" t="s">
        <v>3012</v>
      </c>
      <c r="C1805" s="429" t="str">
        <f t="shared" si="183"/>
        <v>石嘴山市深阳蓝光市政工程有限公司</v>
      </c>
      <c r="D1805" s="1056" t="s">
        <v>1763</v>
      </c>
      <c r="E1805" s="1061"/>
      <c r="X1805" s="501" t="b">
        <f t="shared" si="184"/>
        <v>1</v>
      </c>
    </row>
    <row r="1806" s="406" customFormat="1" outlineLevel="2" spans="1:24">
      <c r="A1806" s="406" t="s">
        <v>3016</v>
      </c>
      <c r="B1806" s="428" t="s">
        <v>3012</v>
      </c>
      <c r="C1806" s="429" t="str">
        <f t="shared" si="183"/>
        <v>石嘴山市深阳蓝光市政工程有限公司</v>
      </c>
      <c r="D1806" s="1056" t="s">
        <v>3016</v>
      </c>
      <c r="E1806" s="149" t="s">
        <v>3017</v>
      </c>
      <c r="G1806" s="451"/>
      <c r="X1806" s="501" t="b">
        <f t="shared" si="184"/>
        <v>1</v>
      </c>
    </row>
    <row r="1807" s="406" customFormat="1" outlineLevel="2" spans="1:24">
      <c r="A1807" s="406" t="s">
        <v>2315</v>
      </c>
      <c r="B1807" s="428" t="s">
        <v>3012</v>
      </c>
      <c r="C1807" s="429" t="str">
        <f t="shared" si="183"/>
        <v>石嘴山市深阳蓝光市政工程有限公司</v>
      </c>
      <c r="D1807" s="1056" t="s">
        <v>3016</v>
      </c>
      <c r="E1807" s="149" t="s">
        <v>2334</v>
      </c>
      <c r="F1807" s="1062"/>
      <c r="G1807" s="1062"/>
      <c r="X1807" s="501" t="b">
        <f t="shared" si="184"/>
        <v>1</v>
      </c>
    </row>
    <row r="1808" s="406" customFormat="1" outlineLevel="2" spans="2:24">
      <c r="B1808" s="428" t="s">
        <v>3012</v>
      </c>
      <c r="C1808" s="429" t="str">
        <f t="shared" si="183"/>
        <v>石嘴山市深阳蓝光市政工程有限公司</v>
      </c>
      <c r="D1808" s="1056" t="s">
        <v>3016</v>
      </c>
      <c r="E1808" s="1061"/>
      <c r="G1808" s="451"/>
      <c r="X1808" s="501" t="b">
        <f t="shared" si="184"/>
        <v>1</v>
      </c>
    </row>
    <row r="1809" s="407" customFormat="1" spans="1:24">
      <c r="A1809" s="407" t="s">
        <v>1764</v>
      </c>
      <c r="B1809" s="428" t="s">
        <v>3018</v>
      </c>
      <c r="C1809" s="429" t="str">
        <f t="shared" si="183"/>
        <v>石嘴山市深阳蓝光市政工程有限公司</v>
      </c>
      <c r="D1809" s="1063" t="s">
        <v>1764</v>
      </c>
      <c r="E1809" s="65" t="s">
        <v>3019</v>
      </c>
      <c r="F1809" s="1064"/>
      <c r="G1809" s="869" t="s">
        <v>2921</v>
      </c>
      <c r="X1809" s="501" t="b">
        <f t="shared" si="184"/>
        <v>1</v>
      </c>
    </row>
    <row r="1810" s="407" customFormat="1" outlineLevel="2" spans="1:24">
      <c r="A1810" s="407" t="s">
        <v>390</v>
      </c>
      <c r="B1810" s="428" t="s">
        <v>3018</v>
      </c>
      <c r="C1810" s="429" t="str">
        <f t="shared" si="183"/>
        <v>石嘴山市深阳蓝光市政工程有限公司</v>
      </c>
      <c r="D1810" s="1063" t="s">
        <v>1764</v>
      </c>
      <c r="E1810" s="1065" t="s">
        <v>390</v>
      </c>
      <c r="F1810" s="1065" t="s">
        <v>315</v>
      </c>
      <c r="G1810" s="1065" t="s">
        <v>1579</v>
      </c>
      <c r="X1810" s="501" t="b">
        <f t="shared" si="184"/>
        <v>1</v>
      </c>
    </row>
    <row r="1811" s="407" customFormat="1" outlineLevel="2" spans="1:24">
      <c r="A1811" s="407" t="s">
        <v>391</v>
      </c>
      <c r="B1811" s="428" t="s">
        <v>3018</v>
      </c>
      <c r="C1811" s="429" t="str">
        <f t="shared" si="183"/>
        <v>石嘴山市深阳蓝光市政工程有限公司</v>
      </c>
      <c r="D1811" s="1063" t="s">
        <v>1764</v>
      </c>
      <c r="E1811" s="1066" t="s">
        <v>391</v>
      </c>
      <c r="F1811" s="132"/>
      <c r="G1811" s="477">
        <f>报表附注合并期初用!E1601</f>
        <v>0</v>
      </c>
      <c r="X1811" s="501" t="b">
        <f t="shared" si="184"/>
        <v>1</v>
      </c>
    </row>
    <row r="1812" s="407" customFormat="1" outlineLevel="2" spans="1:24">
      <c r="A1812" s="407" t="s">
        <v>393</v>
      </c>
      <c r="B1812" s="428" t="s">
        <v>3018</v>
      </c>
      <c r="C1812" s="429" t="str">
        <f t="shared" si="183"/>
        <v>石嘴山市深阳蓝光市政工程有限公司</v>
      </c>
      <c r="D1812" s="1063" t="s">
        <v>1764</v>
      </c>
      <c r="E1812" s="1066" t="s">
        <v>393</v>
      </c>
      <c r="F1812" s="132"/>
      <c r="G1812" s="477">
        <f>报表附注合并期初用!E1602</f>
        <v>0</v>
      </c>
      <c r="X1812" s="501" t="b">
        <f t="shared" si="184"/>
        <v>1</v>
      </c>
    </row>
    <row r="1813" s="407" customFormat="1" outlineLevel="2" spans="2:24">
      <c r="B1813" s="428"/>
      <c r="C1813" s="479"/>
      <c r="D1813" s="1063"/>
      <c r="E1813" s="1066" t="s">
        <v>1765</v>
      </c>
      <c r="F1813" s="132"/>
      <c r="G1813" s="477">
        <f>报表附注合并期初用!E1603</f>
        <v>0</v>
      </c>
      <c r="X1813" s="420"/>
    </row>
    <row r="1814" s="407" customFormat="1" outlineLevel="2" spans="2:24">
      <c r="B1814" s="428"/>
      <c r="C1814" s="479"/>
      <c r="D1814" s="1063"/>
      <c r="E1814" s="1066" t="s">
        <v>1766</v>
      </c>
      <c r="F1814" s="132"/>
      <c r="G1814" s="477">
        <f>报表附注合并期初用!E1604</f>
        <v>0</v>
      </c>
      <c r="X1814" s="420"/>
    </row>
    <row r="1815" s="407" customFormat="1" outlineLevel="2" spans="2:24">
      <c r="B1815" s="428"/>
      <c r="C1815" s="479"/>
      <c r="D1815" s="1063"/>
      <c r="E1815" s="1066" t="s">
        <v>279</v>
      </c>
      <c r="F1815" s="132"/>
      <c r="G1815" s="477">
        <f>报表附注合并期初用!E1605</f>
        <v>0</v>
      </c>
      <c r="X1815" s="420"/>
    </row>
    <row r="1816" s="407" customFormat="1" outlineLevel="2" spans="1:24">
      <c r="A1816" s="407" t="s">
        <v>1580</v>
      </c>
      <c r="B1816" s="428" t="s">
        <v>3018</v>
      </c>
      <c r="C1816" s="429" t="str">
        <f t="shared" ref="C1816:C1879" si="185">$G$1</f>
        <v>石嘴山市深阳蓝光市政工程有限公司</v>
      </c>
      <c r="D1816" s="1063" t="s">
        <v>1764</v>
      </c>
      <c r="E1816" s="1066" t="s">
        <v>1580</v>
      </c>
      <c r="F1816" s="1067">
        <f>SUM(F1811:F1815)</f>
        <v>0</v>
      </c>
      <c r="G1816" s="1067">
        <f>SUM(G1811:G1815)</f>
        <v>0</v>
      </c>
      <c r="X1816" s="501" t="b">
        <f t="shared" ref="X1816:X1879" si="186">EXACT(A1816,E1816)</f>
        <v>1</v>
      </c>
    </row>
    <row r="1817" s="407" customFormat="1" outlineLevel="2" spans="1:24">
      <c r="A1817" s="407" t="s">
        <v>1444</v>
      </c>
      <c r="B1817" s="428" t="s">
        <v>3018</v>
      </c>
      <c r="C1817" s="429" t="str">
        <f t="shared" si="185"/>
        <v>石嘴山市深阳蓝光市政工程有限公司</v>
      </c>
      <c r="D1817" s="1063" t="s">
        <v>1764</v>
      </c>
      <c r="E1817" s="1060" t="s">
        <v>1444</v>
      </c>
      <c r="F1817" s="1068">
        <f>审定资负表!G9</f>
        <v>0</v>
      </c>
      <c r="G1817" s="1068">
        <f>审定资负表!H9</f>
        <v>0</v>
      </c>
      <c r="X1817" s="501" t="b">
        <f t="shared" si="186"/>
        <v>1</v>
      </c>
    </row>
    <row r="1818" s="407" customFormat="1" outlineLevel="1" collapsed="1" spans="1:24">
      <c r="A1818" s="407" t="s">
        <v>1394</v>
      </c>
      <c r="B1818" s="428" t="s">
        <v>3018</v>
      </c>
      <c r="C1818" s="429" t="str">
        <f t="shared" si="185"/>
        <v>石嘴山市深阳蓝光市政工程有限公司</v>
      </c>
      <c r="D1818" s="1063" t="s">
        <v>1764</v>
      </c>
      <c r="E1818" s="1060" t="s">
        <v>1394</v>
      </c>
      <c r="F1818" s="87">
        <f>ROUND(F1816-F1817,2)</f>
        <v>0</v>
      </c>
      <c r="G1818" s="87">
        <f>ROUND(G1816-G1817,2)</f>
        <v>0</v>
      </c>
      <c r="X1818" s="501" t="b">
        <f t="shared" si="186"/>
        <v>1</v>
      </c>
    </row>
    <row r="1819" s="408" customFormat="1" hidden="1" outlineLevel="2" spans="1:24">
      <c r="A1819" s="408" t="s">
        <v>3020</v>
      </c>
      <c r="B1819" s="428" t="s">
        <v>3018</v>
      </c>
      <c r="C1819" s="429" t="str">
        <f t="shared" si="185"/>
        <v>石嘴山市深阳蓝光市政工程有限公司</v>
      </c>
      <c r="D1819" s="1063" t="s">
        <v>1764</v>
      </c>
      <c r="E1819" s="813" t="s">
        <v>3021</v>
      </c>
      <c r="F1819" s="1069"/>
      <c r="G1819" s="1069"/>
      <c r="X1819" s="501" t="b">
        <f t="shared" si="186"/>
        <v>1</v>
      </c>
    </row>
    <row r="1820" s="408" customFormat="1" hidden="1" outlineLevel="2" spans="1:24">
      <c r="A1820" s="408" t="s">
        <v>2315</v>
      </c>
      <c r="B1820" s="428" t="s">
        <v>3018</v>
      </c>
      <c r="C1820" s="429" t="str">
        <f t="shared" si="185"/>
        <v>石嘴山市深阳蓝光市政工程有限公司</v>
      </c>
      <c r="D1820" s="1063" t="s">
        <v>1764</v>
      </c>
      <c r="E1820" s="885" t="s">
        <v>2752</v>
      </c>
      <c r="F1820" s="1062"/>
      <c r="G1820" s="1062"/>
      <c r="X1820" s="501" t="b">
        <f t="shared" si="186"/>
        <v>1</v>
      </c>
    </row>
    <row r="1821" s="408" customFormat="1" hidden="1" outlineLevel="2" spans="2:24">
      <c r="B1821" s="428" t="s">
        <v>3018</v>
      </c>
      <c r="C1821" s="429" t="str">
        <f t="shared" si="185"/>
        <v>石嘴山市深阳蓝光市政工程有限公司</v>
      </c>
      <c r="D1821" s="1070"/>
      <c r="E1821" s="149"/>
      <c r="F1821" s="1069"/>
      <c r="G1821" s="1069"/>
      <c r="X1821" s="501" t="b">
        <f t="shared" si="186"/>
        <v>1</v>
      </c>
    </row>
    <row r="1822" s="408" customFormat="1" hidden="1" outlineLevel="2" spans="1:24">
      <c r="A1822" s="408" t="s">
        <v>2315</v>
      </c>
      <c r="B1822" s="428" t="s">
        <v>3018</v>
      </c>
      <c r="C1822" s="429" t="str">
        <f t="shared" si="185"/>
        <v>石嘴山市深阳蓝光市政工程有限公司</v>
      </c>
      <c r="D1822" s="1070"/>
      <c r="E1822" s="149" t="s">
        <v>2334</v>
      </c>
      <c r="F1822" s="1062"/>
      <c r="G1822" s="1062"/>
      <c r="X1822" s="501" t="b">
        <f t="shared" si="186"/>
        <v>1</v>
      </c>
    </row>
    <row r="1823" s="407" customFormat="1" hidden="1" outlineLevel="2" spans="2:24">
      <c r="B1823" s="428" t="s">
        <v>3018</v>
      </c>
      <c r="C1823" s="429" t="str">
        <f t="shared" si="185"/>
        <v>石嘴山市深阳蓝光市政工程有限公司</v>
      </c>
      <c r="D1823" s="1063"/>
      <c r="E1823" s="1071"/>
      <c r="F1823" s="1072"/>
      <c r="G1823" s="1072"/>
      <c r="X1823" s="501" t="b">
        <f t="shared" si="186"/>
        <v>1</v>
      </c>
    </row>
    <row r="1824" s="407" customFormat="1" spans="1:24">
      <c r="A1824" s="407" t="s">
        <v>1767</v>
      </c>
      <c r="B1824" s="428" t="s">
        <v>3022</v>
      </c>
      <c r="C1824" s="429" t="str">
        <f t="shared" si="185"/>
        <v>石嘴山市深阳蓝光市政工程有限公司</v>
      </c>
      <c r="D1824" s="1063" t="s">
        <v>1767</v>
      </c>
      <c r="E1824" s="65" t="s">
        <v>3023</v>
      </c>
      <c r="F1824" s="1072"/>
      <c r="G1824" s="869" t="s">
        <v>2921</v>
      </c>
      <c r="X1824" s="501" t="b">
        <f t="shared" si="186"/>
        <v>1</v>
      </c>
    </row>
    <row r="1825" outlineLevel="2" spans="1:24">
      <c r="A1825" s="85" t="s">
        <v>202</v>
      </c>
      <c r="B1825" s="1073" t="s">
        <v>3022</v>
      </c>
      <c r="C1825" s="429" t="str">
        <f t="shared" si="185"/>
        <v>石嘴山市深阳蓝光市政工程有限公司</v>
      </c>
      <c r="D1825" s="1074" t="s">
        <v>1767</v>
      </c>
      <c r="E1825" s="559" t="s">
        <v>202</v>
      </c>
      <c r="F1825" s="559"/>
      <c r="G1825" s="559"/>
      <c r="X1825" s="501" t="b">
        <f t="shared" si="186"/>
        <v>1</v>
      </c>
    </row>
    <row r="1826" outlineLevel="2" spans="1:24">
      <c r="A1826" s="85" t="s">
        <v>2412</v>
      </c>
      <c r="B1826" s="1073" t="s">
        <v>3022</v>
      </c>
      <c r="C1826" s="429" t="str">
        <f t="shared" si="185"/>
        <v>石嘴山市深阳蓝光市政工程有限公司</v>
      </c>
      <c r="D1826" s="1074" t="s">
        <v>1767</v>
      </c>
      <c r="E1826" s="561" t="s">
        <v>2412</v>
      </c>
      <c r="F1826" s="561" t="s">
        <v>315</v>
      </c>
      <c r="G1826" s="561" t="s">
        <v>1579</v>
      </c>
      <c r="H1826" s="1075" t="s">
        <v>3024</v>
      </c>
      <c r="I1826" s="1075" t="s">
        <v>2524</v>
      </c>
      <c r="X1826" s="501" t="b">
        <f t="shared" si="186"/>
        <v>1</v>
      </c>
    </row>
    <row r="1827" outlineLevel="2" spans="1:24">
      <c r="A1827" s="85" t="s">
        <v>1585</v>
      </c>
      <c r="B1827" s="1073" t="s">
        <v>3022</v>
      </c>
      <c r="C1827" s="429" t="str">
        <f t="shared" si="185"/>
        <v>石嘴山市深阳蓝光市政工程有限公司</v>
      </c>
      <c r="D1827" s="1076" t="s">
        <v>1767</v>
      </c>
      <c r="E1827" s="561" t="s">
        <v>2423</v>
      </c>
      <c r="F1827" s="132"/>
      <c r="G1827" s="477">
        <f>报表附注合并期初用!E1618</f>
        <v>0</v>
      </c>
      <c r="H1827" s="1077"/>
      <c r="I1827" s="98"/>
      <c r="X1827" s="501" t="b">
        <f t="shared" si="186"/>
        <v>1</v>
      </c>
    </row>
    <row r="1828" outlineLevel="2" spans="1:24">
      <c r="A1828" s="85" t="s">
        <v>1586</v>
      </c>
      <c r="B1828" s="1073" t="s">
        <v>3022</v>
      </c>
      <c r="C1828" s="429" t="str">
        <f t="shared" si="185"/>
        <v>石嘴山市深阳蓝光市政工程有限公司</v>
      </c>
      <c r="D1828" s="1076" t="s">
        <v>1767</v>
      </c>
      <c r="E1828" s="561" t="s">
        <v>2424</v>
      </c>
      <c r="F1828" s="132"/>
      <c r="G1828" s="477">
        <f>报表附注合并期初用!E1619</f>
        <v>0</v>
      </c>
      <c r="H1828" s="682" t="str">
        <f>IF(F1828&lt;=G1827,"合理","1-2年账不合理")</f>
        <v>合理</v>
      </c>
      <c r="I1828" s="98"/>
      <c r="X1828" s="501" t="b">
        <f t="shared" si="186"/>
        <v>1</v>
      </c>
    </row>
    <row r="1829" outlineLevel="2" spans="1:24">
      <c r="A1829" s="85" t="s">
        <v>1587</v>
      </c>
      <c r="B1829" s="1073" t="s">
        <v>3022</v>
      </c>
      <c r="C1829" s="429" t="str">
        <f t="shared" si="185"/>
        <v>石嘴山市深阳蓝光市政工程有限公司</v>
      </c>
      <c r="D1829" s="1076" t="s">
        <v>1767</v>
      </c>
      <c r="E1829" s="561" t="s">
        <v>2425</v>
      </c>
      <c r="F1829" s="132"/>
      <c r="G1829" s="477">
        <f>报表附注合并期初用!E1620</f>
        <v>0</v>
      </c>
      <c r="H1829" s="682" t="str">
        <f>IF(F1829&lt;=G1828,"合理","2-3年账不合理")</f>
        <v>合理</v>
      </c>
      <c r="I1829" s="98"/>
      <c r="X1829" s="501" t="b">
        <f t="shared" si="186"/>
        <v>1</v>
      </c>
    </row>
    <row r="1830" outlineLevel="2" spans="1:24">
      <c r="A1830" s="85" t="s">
        <v>1588</v>
      </c>
      <c r="B1830" s="1073" t="s">
        <v>3022</v>
      </c>
      <c r="C1830" s="429" t="str">
        <f t="shared" si="185"/>
        <v>石嘴山市深阳蓝光市政工程有限公司</v>
      </c>
      <c r="D1830" s="1076" t="s">
        <v>1767</v>
      </c>
      <c r="E1830" s="561" t="s">
        <v>2426</v>
      </c>
      <c r="F1830" s="132"/>
      <c r="G1830" s="477">
        <f>报表附注合并期初用!E1621</f>
        <v>0</v>
      </c>
      <c r="H1830" s="682" t="str">
        <f>IF(F1830&lt;=G1829,"合理","3-4年账不合理")</f>
        <v>合理</v>
      </c>
      <c r="I1830" s="98"/>
      <c r="X1830" s="501" t="b">
        <f t="shared" si="186"/>
        <v>1</v>
      </c>
    </row>
    <row r="1831" outlineLevel="2" spans="1:24">
      <c r="A1831" s="85" t="s">
        <v>1589</v>
      </c>
      <c r="B1831" s="1073" t="s">
        <v>3022</v>
      </c>
      <c r="C1831" s="429" t="str">
        <f t="shared" si="185"/>
        <v>石嘴山市深阳蓝光市政工程有限公司</v>
      </c>
      <c r="D1831" s="1076" t="s">
        <v>1767</v>
      </c>
      <c r="E1831" s="561" t="s">
        <v>2427</v>
      </c>
      <c r="F1831" s="132">
        <v>0</v>
      </c>
      <c r="G1831" s="477">
        <f>报表附注合并期初用!E1622</f>
        <v>0</v>
      </c>
      <c r="H1831" s="682" t="str">
        <f>IF(F1831&lt;=G1830,"合理","3-4年账龄不合理")</f>
        <v>合理</v>
      </c>
      <c r="I1831" s="98"/>
      <c r="X1831" s="501" t="b">
        <f t="shared" si="186"/>
        <v>1</v>
      </c>
    </row>
    <row r="1832" outlineLevel="2" spans="1:24">
      <c r="A1832" s="85" t="s">
        <v>1590</v>
      </c>
      <c r="B1832" s="1073" t="s">
        <v>3022</v>
      </c>
      <c r="C1832" s="429" t="str">
        <f t="shared" si="185"/>
        <v>石嘴山市深阳蓝光市政工程有限公司</v>
      </c>
      <c r="D1832" s="1076" t="s">
        <v>1767</v>
      </c>
      <c r="E1832" s="561" t="s">
        <v>2428</v>
      </c>
      <c r="F1832" s="132">
        <v>0</v>
      </c>
      <c r="G1832" s="477">
        <f>报表附注合并期初用!E1623</f>
        <v>0</v>
      </c>
      <c r="H1832" s="682" t="str">
        <f>IF(F1832&lt;=(G1832+G1831),"合理","5年以上账龄不合理")</f>
        <v>合理</v>
      </c>
      <c r="I1832" s="98"/>
      <c r="X1832" s="501" t="b">
        <f t="shared" si="186"/>
        <v>1</v>
      </c>
    </row>
    <row r="1833" outlineLevel="2" spans="1:24">
      <c r="A1833" s="85" t="s">
        <v>1580</v>
      </c>
      <c r="B1833" s="1073" t="s">
        <v>3022</v>
      </c>
      <c r="C1833" s="429" t="str">
        <f t="shared" si="185"/>
        <v>石嘴山市深阳蓝光市政工程有限公司</v>
      </c>
      <c r="D1833" s="1074" t="s">
        <v>1767</v>
      </c>
      <c r="E1833" s="561" t="s">
        <v>1580</v>
      </c>
      <c r="F1833" s="565">
        <f>SUM(F1827:F1832)</f>
        <v>0</v>
      </c>
      <c r="G1833" s="565">
        <f>SUM(G1827:G1832)</f>
        <v>0</v>
      </c>
      <c r="X1833" s="501" t="b">
        <f t="shared" si="186"/>
        <v>1</v>
      </c>
    </row>
    <row r="1834" outlineLevel="2" spans="1:24">
      <c r="A1834" s="85" t="s">
        <v>1444</v>
      </c>
      <c r="B1834" s="1073" t="s">
        <v>3022</v>
      </c>
      <c r="C1834" s="429" t="str">
        <f t="shared" si="185"/>
        <v>石嘴山市深阳蓝光市政工程有限公司</v>
      </c>
      <c r="D1834" s="1074" t="s">
        <v>1767</v>
      </c>
      <c r="E1834" s="1060" t="s">
        <v>1444</v>
      </c>
      <c r="F1834" s="566">
        <f>审定资负表!G10</f>
        <v>0</v>
      </c>
      <c r="G1834" s="566">
        <f>审定资负表!H10</f>
        <v>0</v>
      </c>
      <c r="X1834" s="501" t="b">
        <f t="shared" si="186"/>
        <v>1</v>
      </c>
    </row>
    <row r="1835" outlineLevel="1" spans="1:24">
      <c r="A1835" s="85" t="s">
        <v>1394</v>
      </c>
      <c r="B1835" s="1078" t="s">
        <v>3022</v>
      </c>
      <c r="C1835" s="429" t="str">
        <f t="shared" si="185"/>
        <v>石嘴山市深阳蓝光市政工程有限公司</v>
      </c>
      <c r="D1835" s="1074" t="s">
        <v>1767</v>
      </c>
      <c r="E1835" s="1060" t="s">
        <v>1394</v>
      </c>
      <c r="F1835" s="87">
        <f>ROUND(F1833-F1834,2)</f>
        <v>0</v>
      </c>
      <c r="G1835" s="87">
        <f>ROUND(G1833-G1834,2)</f>
        <v>0</v>
      </c>
      <c r="X1835" s="501" t="b">
        <f t="shared" si="186"/>
        <v>1</v>
      </c>
    </row>
    <row r="1836" outlineLevel="2" spans="2:24">
      <c r="B1836" s="1078" t="s">
        <v>3022</v>
      </c>
      <c r="C1836" s="429" t="str">
        <f t="shared" si="185"/>
        <v>石嘴山市深阳蓝光市政工程有限公司</v>
      </c>
      <c r="D1836" s="1074" t="s">
        <v>1767</v>
      </c>
      <c r="E1836" s="621"/>
      <c r="F1836" s="451"/>
      <c r="G1836" s="451"/>
      <c r="X1836" s="501" t="b">
        <f t="shared" si="186"/>
        <v>1</v>
      </c>
    </row>
    <row r="1837" customHeight="1" outlineLevel="2" spans="1:24">
      <c r="A1837" s="85" t="s">
        <v>3025</v>
      </c>
      <c r="B1837" s="1078" t="s">
        <v>3022</v>
      </c>
      <c r="C1837" s="429" t="str">
        <f t="shared" si="185"/>
        <v>石嘴山市深阳蓝光市政工程有限公司</v>
      </c>
      <c r="D1837" s="1079" t="s">
        <v>3025</v>
      </c>
      <c r="E1837" s="149" t="s">
        <v>3026</v>
      </c>
      <c r="F1837" s="1080"/>
      <c r="G1837" s="1080"/>
      <c r="X1837" s="501" t="b">
        <f t="shared" si="186"/>
        <v>0</v>
      </c>
    </row>
    <row r="1838" customHeight="1" outlineLevel="2" spans="1:24">
      <c r="A1838" s="85" t="s">
        <v>3027</v>
      </c>
      <c r="B1838" s="1078" t="s">
        <v>3022</v>
      </c>
      <c r="C1838" s="429" t="str">
        <f t="shared" si="185"/>
        <v>石嘴山市深阳蓝光市政工程有限公司</v>
      </c>
      <c r="D1838" s="1079" t="s">
        <v>3025</v>
      </c>
      <c r="E1838" s="149" t="s">
        <v>3027</v>
      </c>
      <c r="F1838" s="1080"/>
      <c r="G1838" s="1080"/>
      <c r="L1838" s="645" t="s">
        <v>2462</v>
      </c>
      <c r="X1838" s="501" t="b">
        <f t="shared" si="186"/>
        <v>1</v>
      </c>
    </row>
    <row r="1839" ht="24.75" customHeight="1" outlineLevel="2" spans="1:24">
      <c r="A1839" s="85" t="s">
        <v>2532</v>
      </c>
      <c r="B1839" s="1078" t="s">
        <v>3022</v>
      </c>
      <c r="C1839" s="429" t="str">
        <f t="shared" si="185"/>
        <v>石嘴山市深阳蓝光市政工程有限公司</v>
      </c>
      <c r="D1839" s="1079" t="s">
        <v>3025</v>
      </c>
      <c r="E1839" s="742" t="s">
        <v>2532</v>
      </c>
      <c r="F1839" s="742" t="s">
        <v>2440</v>
      </c>
      <c r="G1839" s="742" t="s">
        <v>365</v>
      </c>
      <c r="H1839" s="742" t="s">
        <v>3028</v>
      </c>
      <c r="I1839" s="742" t="s">
        <v>2412</v>
      </c>
      <c r="J1839" s="153" t="s">
        <v>2533</v>
      </c>
      <c r="K1839" s="1082" t="s">
        <v>3029</v>
      </c>
      <c r="L1839" s="627" t="s">
        <v>2573</v>
      </c>
      <c r="X1839" s="501" t="b">
        <f t="shared" si="186"/>
        <v>1</v>
      </c>
    </row>
    <row r="1840" customHeight="1" outlineLevel="2" spans="2:24">
      <c r="B1840" s="1078" t="s">
        <v>3022</v>
      </c>
      <c r="C1840" s="429" t="str">
        <f t="shared" si="185"/>
        <v>石嘴山市深阳蓝光市政工程有限公司</v>
      </c>
      <c r="D1840" s="1079" t="s">
        <v>3025</v>
      </c>
      <c r="E1840" s="132"/>
      <c r="F1840" s="132"/>
      <c r="G1840" s="132"/>
      <c r="H1840" s="1081">
        <f>IFERROR(ROUND(G1840/$F$1833,4),0)</f>
        <v>0</v>
      </c>
      <c r="I1840" s="132"/>
      <c r="J1840" s="132"/>
      <c r="K1840" s="132"/>
      <c r="X1840" s="501" t="b">
        <f t="shared" si="186"/>
        <v>1</v>
      </c>
    </row>
    <row r="1841" customHeight="1" outlineLevel="2" spans="2:24">
      <c r="B1841" s="1078" t="s">
        <v>3022</v>
      </c>
      <c r="C1841" s="429" t="str">
        <f t="shared" si="185"/>
        <v>石嘴山市深阳蓝光市政工程有限公司</v>
      </c>
      <c r="D1841" s="1079" t="s">
        <v>3025</v>
      </c>
      <c r="E1841" s="132"/>
      <c r="F1841" s="132"/>
      <c r="G1841" s="132"/>
      <c r="H1841" s="1081">
        <f t="shared" ref="H1841:H1862" si="187">IFERROR(ROUND(G1841/$F$1833,4),0)</f>
        <v>0</v>
      </c>
      <c r="I1841" s="132"/>
      <c r="J1841" s="132"/>
      <c r="K1841" s="132"/>
      <c r="X1841" s="501" t="b">
        <f t="shared" si="186"/>
        <v>1</v>
      </c>
    </row>
    <row r="1842" customHeight="1" outlineLevel="2" spans="2:24">
      <c r="B1842" s="1078" t="s">
        <v>3022</v>
      </c>
      <c r="C1842" s="429" t="str">
        <f t="shared" si="185"/>
        <v>石嘴山市深阳蓝光市政工程有限公司</v>
      </c>
      <c r="D1842" s="1079" t="s">
        <v>3025</v>
      </c>
      <c r="E1842" s="132"/>
      <c r="F1842" s="132"/>
      <c r="G1842" s="132"/>
      <c r="H1842" s="1081">
        <f t="shared" si="187"/>
        <v>0</v>
      </c>
      <c r="I1842" s="132"/>
      <c r="J1842" s="132"/>
      <c r="K1842" s="132"/>
      <c r="X1842" s="501" t="b">
        <f t="shared" si="186"/>
        <v>1</v>
      </c>
    </row>
    <row r="1843" customHeight="1" outlineLevel="2" spans="2:24">
      <c r="B1843" s="1078" t="s">
        <v>3022</v>
      </c>
      <c r="C1843" s="429" t="str">
        <f t="shared" si="185"/>
        <v>石嘴山市深阳蓝光市政工程有限公司</v>
      </c>
      <c r="D1843" s="1079" t="s">
        <v>3025</v>
      </c>
      <c r="E1843" s="132"/>
      <c r="F1843" s="132"/>
      <c r="G1843" s="132"/>
      <c r="H1843" s="1081">
        <f t="shared" si="187"/>
        <v>0</v>
      </c>
      <c r="I1843" s="132"/>
      <c r="J1843" s="132"/>
      <c r="K1843" s="132"/>
      <c r="X1843" s="501" t="b">
        <f t="shared" si="186"/>
        <v>1</v>
      </c>
    </row>
    <row r="1844" customHeight="1" outlineLevel="2" spans="2:24">
      <c r="B1844" s="1078" t="s">
        <v>3022</v>
      </c>
      <c r="C1844" s="429" t="str">
        <f t="shared" si="185"/>
        <v>石嘴山市深阳蓝光市政工程有限公司</v>
      </c>
      <c r="D1844" s="1079" t="s">
        <v>3025</v>
      </c>
      <c r="E1844" s="132"/>
      <c r="F1844" s="132"/>
      <c r="G1844" s="132"/>
      <c r="H1844" s="1081">
        <f t="shared" si="187"/>
        <v>0</v>
      </c>
      <c r="I1844" s="132"/>
      <c r="J1844" s="132"/>
      <c r="K1844" s="132"/>
      <c r="X1844" s="501" t="b">
        <f t="shared" si="186"/>
        <v>1</v>
      </c>
    </row>
    <row r="1845" customHeight="1" outlineLevel="2" spans="2:24">
      <c r="B1845" s="1078" t="s">
        <v>3022</v>
      </c>
      <c r="C1845" s="429" t="str">
        <f t="shared" si="185"/>
        <v>石嘴山市深阳蓝光市政工程有限公司</v>
      </c>
      <c r="D1845" s="1079" t="s">
        <v>3025</v>
      </c>
      <c r="E1845" s="132"/>
      <c r="F1845" s="132"/>
      <c r="G1845" s="132"/>
      <c r="H1845" s="1081">
        <f t="shared" si="187"/>
        <v>0</v>
      </c>
      <c r="I1845" s="132"/>
      <c r="J1845" s="132"/>
      <c r="K1845" s="132"/>
      <c r="X1845" s="501" t="b">
        <f t="shared" si="186"/>
        <v>1</v>
      </c>
    </row>
    <row r="1846" customHeight="1" outlineLevel="2" spans="2:24">
      <c r="B1846" s="1078" t="s">
        <v>3022</v>
      </c>
      <c r="C1846" s="429" t="str">
        <f t="shared" si="185"/>
        <v>石嘴山市深阳蓝光市政工程有限公司</v>
      </c>
      <c r="D1846" s="1079" t="s">
        <v>3025</v>
      </c>
      <c r="E1846" s="132"/>
      <c r="F1846" s="132"/>
      <c r="G1846" s="132"/>
      <c r="H1846" s="1081">
        <f t="shared" si="187"/>
        <v>0</v>
      </c>
      <c r="I1846" s="132"/>
      <c r="J1846" s="132"/>
      <c r="K1846" s="132"/>
      <c r="X1846" s="501" t="b">
        <f t="shared" si="186"/>
        <v>1</v>
      </c>
    </row>
    <row r="1847" customHeight="1" outlineLevel="2" spans="2:24">
      <c r="B1847" s="1078" t="s">
        <v>3022</v>
      </c>
      <c r="C1847" s="429" t="str">
        <f t="shared" si="185"/>
        <v>石嘴山市深阳蓝光市政工程有限公司</v>
      </c>
      <c r="D1847" s="1079" t="s">
        <v>3025</v>
      </c>
      <c r="E1847" s="132"/>
      <c r="F1847" s="132"/>
      <c r="G1847" s="132"/>
      <c r="H1847" s="1081">
        <f t="shared" si="187"/>
        <v>0</v>
      </c>
      <c r="I1847" s="132"/>
      <c r="J1847" s="132"/>
      <c r="K1847" s="132"/>
      <c r="X1847" s="501" t="b">
        <f t="shared" si="186"/>
        <v>1</v>
      </c>
    </row>
    <row r="1848" customHeight="1" outlineLevel="2" spans="2:24">
      <c r="B1848" s="1078" t="s">
        <v>3022</v>
      </c>
      <c r="C1848" s="429" t="str">
        <f t="shared" si="185"/>
        <v>石嘴山市深阳蓝光市政工程有限公司</v>
      </c>
      <c r="D1848" s="1079" t="s">
        <v>3025</v>
      </c>
      <c r="E1848" s="132"/>
      <c r="F1848" s="132"/>
      <c r="G1848" s="132"/>
      <c r="H1848" s="1081">
        <f t="shared" si="187"/>
        <v>0</v>
      </c>
      <c r="I1848" s="132"/>
      <c r="J1848" s="132"/>
      <c r="K1848" s="132"/>
      <c r="X1848" s="501" t="b">
        <f t="shared" si="186"/>
        <v>1</v>
      </c>
    </row>
    <row r="1849" customHeight="1" outlineLevel="2" spans="2:24">
      <c r="B1849" s="1078" t="s">
        <v>3022</v>
      </c>
      <c r="C1849" s="429" t="str">
        <f t="shared" si="185"/>
        <v>石嘴山市深阳蓝光市政工程有限公司</v>
      </c>
      <c r="D1849" s="1079" t="s">
        <v>3025</v>
      </c>
      <c r="E1849" s="132"/>
      <c r="F1849" s="132"/>
      <c r="G1849" s="132"/>
      <c r="H1849" s="1081">
        <f t="shared" si="187"/>
        <v>0</v>
      </c>
      <c r="I1849" s="132"/>
      <c r="J1849" s="132"/>
      <c r="K1849" s="132"/>
      <c r="X1849" s="501" t="b">
        <f t="shared" si="186"/>
        <v>1</v>
      </c>
    </row>
    <row r="1850" customHeight="1" outlineLevel="2" spans="2:24">
      <c r="B1850" s="1078" t="s">
        <v>3022</v>
      </c>
      <c r="C1850" s="429" t="str">
        <f t="shared" si="185"/>
        <v>石嘴山市深阳蓝光市政工程有限公司</v>
      </c>
      <c r="D1850" s="1079" t="s">
        <v>3025</v>
      </c>
      <c r="E1850" s="132"/>
      <c r="F1850" s="132"/>
      <c r="G1850" s="132"/>
      <c r="H1850" s="1081">
        <f t="shared" si="187"/>
        <v>0</v>
      </c>
      <c r="I1850" s="132"/>
      <c r="J1850" s="132"/>
      <c r="K1850" s="132"/>
      <c r="X1850" s="501" t="b">
        <f t="shared" si="186"/>
        <v>1</v>
      </c>
    </row>
    <row r="1851" customHeight="1" outlineLevel="2" spans="2:24">
      <c r="B1851" s="1078" t="s">
        <v>3022</v>
      </c>
      <c r="C1851" s="429" t="str">
        <f t="shared" si="185"/>
        <v>石嘴山市深阳蓝光市政工程有限公司</v>
      </c>
      <c r="D1851" s="1079" t="s">
        <v>3025</v>
      </c>
      <c r="E1851" s="132"/>
      <c r="F1851" s="132"/>
      <c r="G1851" s="132"/>
      <c r="H1851" s="1081">
        <f t="shared" si="187"/>
        <v>0</v>
      </c>
      <c r="I1851" s="132"/>
      <c r="J1851" s="132"/>
      <c r="K1851" s="132"/>
      <c r="X1851" s="501" t="b">
        <f t="shared" si="186"/>
        <v>1</v>
      </c>
    </row>
    <row r="1852" customHeight="1" outlineLevel="2" spans="2:24">
      <c r="B1852" s="1078" t="s">
        <v>3022</v>
      </c>
      <c r="C1852" s="429" t="str">
        <f t="shared" si="185"/>
        <v>石嘴山市深阳蓝光市政工程有限公司</v>
      </c>
      <c r="D1852" s="1079" t="s">
        <v>3025</v>
      </c>
      <c r="E1852" s="132"/>
      <c r="F1852" s="132"/>
      <c r="G1852" s="132"/>
      <c r="H1852" s="1081">
        <f t="shared" si="187"/>
        <v>0</v>
      </c>
      <c r="I1852" s="132"/>
      <c r="J1852" s="132"/>
      <c r="K1852" s="132"/>
      <c r="X1852" s="501" t="b">
        <f t="shared" si="186"/>
        <v>1</v>
      </c>
    </row>
    <row r="1853" customHeight="1" outlineLevel="2" spans="2:24">
      <c r="B1853" s="1078" t="s">
        <v>3022</v>
      </c>
      <c r="C1853" s="429" t="str">
        <f t="shared" si="185"/>
        <v>石嘴山市深阳蓝光市政工程有限公司</v>
      </c>
      <c r="D1853" s="1079" t="s">
        <v>3025</v>
      </c>
      <c r="E1853" s="132"/>
      <c r="F1853" s="132"/>
      <c r="G1853" s="132"/>
      <c r="H1853" s="1081">
        <f t="shared" si="187"/>
        <v>0</v>
      </c>
      <c r="I1853" s="132"/>
      <c r="J1853" s="132"/>
      <c r="K1853" s="132"/>
      <c r="X1853" s="501" t="b">
        <f t="shared" si="186"/>
        <v>1</v>
      </c>
    </row>
    <row r="1854" customHeight="1" outlineLevel="2" spans="2:24">
      <c r="B1854" s="1078" t="s">
        <v>3022</v>
      </c>
      <c r="C1854" s="429" t="str">
        <f t="shared" si="185"/>
        <v>石嘴山市深阳蓝光市政工程有限公司</v>
      </c>
      <c r="D1854" s="1079" t="s">
        <v>3025</v>
      </c>
      <c r="E1854" s="132"/>
      <c r="F1854" s="132"/>
      <c r="G1854" s="132"/>
      <c r="H1854" s="1081">
        <f t="shared" si="187"/>
        <v>0</v>
      </c>
      <c r="I1854" s="132"/>
      <c r="J1854" s="132"/>
      <c r="K1854" s="132"/>
      <c r="X1854" s="501" t="b">
        <f t="shared" si="186"/>
        <v>1</v>
      </c>
    </row>
    <row r="1855" customHeight="1" outlineLevel="2" spans="2:24">
      <c r="B1855" s="1078" t="s">
        <v>3022</v>
      </c>
      <c r="C1855" s="429" t="str">
        <f t="shared" si="185"/>
        <v>石嘴山市深阳蓝光市政工程有限公司</v>
      </c>
      <c r="D1855" s="1079" t="s">
        <v>3025</v>
      </c>
      <c r="E1855" s="132"/>
      <c r="F1855" s="132"/>
      <c r="G1855" s="132"/>
      <c r="H1855" s="1081">
        <f t="shared" si="187"/>
        <v>0</v>
      </c>
      <c r="I1855" s="132"/>
      <c r="J1855" s="132"/>
      <c r="K1855" s="132"/>
      <c r="X1855" s="501" t="b">
        <f t="shared" si="186"/>
        <v>1</v>
      </c>
    </row>
    <row r="1856" customHeight="1" outlineLevel="2" spans="2:24">
      <c r="B1856" s="1078" t="s">
        <v>3022</v>
      </c>
      <c r="C1856" s="429" t="str">
        <f t="shared" si="185"/>
        <v>石嘴山市深阳蓝光市政工程有限公司</v>
      </c>
      <c r="D1856" s="1079" t="s">
        <v>3025</v>
      </c>
      <c r="E1856" s="132"/>
      <c r="F1856" s="132"/>
      <c r="G1856" s="132"/>
      <c r="H1856" s="1081">
        <f t="shared" si="187"/>
        <v>0</v>
      </c>
      <c r="I1856" s="132"/>
      <c r="J1856" s="132"/>
      <c r="K1856" s="132"/>
      <c r="X1856" s="501" t="b">
        <f t="shared" si="186"/>
        <v>1</v>
      </c>
    </row>
    <row r="1857" customHeight="1" outlineLevel="2" spans="2:24">
      <c r="B1857" s="1078" t="s">
        <v>3022</v>
      </c>
      <c r="C1857" s="429" t="str">
        <f t="shared" si="185"/>
        <v>石嘴山市深阳蓝光市政工程有限公司</v>
      </c>
      <c r="D1857" s="1079" t="s">
        <v>3025</v>
      </c>
      <c r="E1857" s="132"/>
      <c r="F1857" s="132"/>
      <c r="G1857" s="132"/>
      <c r="H1857" s="1081">
        <f t="shared" si="187"/>
        <v>0</v>
      </c>
      <c r="I1857" s="132"/>
      <c r="J1857" s="132"/>
      <c r="K1857" s="132"/>
      <c r="X1857" s="501" t="b">
        <f t="shared" si="186"/>
        <v>1</v>
      </c>
    </row>
    <row r="1858" customHeight="1" outlineLevel="2" spans="2:24">
      <c r="B1858" s="1078" t="s">
        <v>3022</v>
      </c>
      <c r="C1858" s="429" t="str">
        <f t="shared" si="185"/>
        <v>石嘴山市深阳蓝光市政工程有限公司</v>
      </c>
      <c r="D1858" s="1079" t="s">
        <v>3025</v>
      </c>
      <c r="E1858" s="132"/>
      <c r="F1858" s="132"/>
      <c r="G1858" s="132"/>
      <c r="H1858" s="1081">
        <f t="shared" si="187"/>
        <v>0</v>
      </c>
      <c r="I1858" s="132"/>
      <c r="J1858" s="132"/>
      <c r="K1858" s="132"/>
      <c r="X1858" s="501" t="b">
        <f t="shared" si="186"/>
        <v>1</v>
      </c>
    </row>
    <row r="1859" customHeight="1" outlineLevel="2" spans="2:24">
      <c r="B1859" s="1078" t="s">
        <v>3022</v>
      </c>
      <c r="C1859" s="429" t="str">
        <f t="shared" si="185"/>
        <v>石嘴山市深阳蓝光市政工程有限公司</v>
      </c>
      <c r="D1859" s="1079" t="s">
        <v>3025</v>
      </c>
      <c r="E1859" s="132"/>
      <c r="F1859" s="132"/>
      <c r="G1859" s="132"/>
      <c r="H1859" s="1081">
        <f t="shared" si="187"/>
        <v>0</v>
      </c>
      <c r="I1859" s="132"/>
      <c r="J1859" s="132"/>
      <c r="K1859" s="132"/>
      <c r="X1859" s="501" t="b">
        <f t="shared" si="186"/>
        <v>1</v>
      </c>
    </row>
    <row r="1860" customHeight="1" outlineLevel="2" spans="2:24">
      <c r="B1860" s="1078" t="s">
        <v>3022</v>
      </c>
      <c r="C1860" s="429" t="str">
        <f t="shared" si="185"/>
        <v>石嘴山市深阳蓝光市政工程有限公司</v>
      </c>
      <c r="D1860" s="1079" t="s">
        <v>3025</v>
      </c>
      <c r="E1860" s="132"/>
      <c r="F1860" s="132"/>
      <c r="G1860" s="132"/>
      <c r="H1860" s="1081">
        <f t="shared" si="187"/>
        <v>0</v>
      </c>
      <c r="I1860" s="132"/>
      <c r="J1860" s="132"/>
      <c r="K1860" s="132"/>
      <c r="X1860" s="501" t="b">
        <f t="shared" si="186"/>
        <v>1</v>
      </c>
    </row>
    <row r="1861" customHeight="1" outlineLevel="2" spans="2:24">
      <c r="B1861" s="1078" t="s">
        <v>3022</v>
      </c>
      <c r="C1861" s="429" t="str">
        <f t="shared" si="185"/>
        <v>石嘴山市深阳蓝光市政工程有限公司</v>
      </c>
      <c r="D1861" s="1079" t="s">
        <v>3025</v>
      </c>
      <c r="E1861" s="132"/>
      <c r="F1861" s="132"/>
      <c r="G1861" s="132"/>
      <c r="H1861" s="1081">
        <f t="shared" si="187"/>
        <v>0</v>
      </c>
      <c r="I1861" s="132"/>
      <c r="J1861" s="132"/>
      <c r="K1861" s="132"/>
      <c r="X1861" s="501" t="b">
        <f t="shared" si="186"/>
        <v>1</v>
      </c>
    </row>
    <row r="1862" customHeight="1" outlineLevel="2" spans="1:24">
      <c r="A1862" s="85" t="s">
        <v>1580</v>
      </c>
      <c r="B1862" s="1078" t="s">
        <v>3022</v>
      </c>
      <c r="C1862" s="429" t="str">
        <f t="shared" si="185"/>
        <v>石嘴山市深阳蓝光市政工程有限公司</v>
      </c>
      <c r="D1862" s="1079" t="s">
        <v>3025</v>
      </c>
      <c r="E1862" s="153" t="s">
        <v>3030</v>
      </c>
      <c r="F1862" s="153"/>
      <c r="G1862" s="135">
        <f>SUM(G1840:G1861)</f>
        <v>0</v>
      </c>
      <c r="H1862" s="1081">
        <f t="shared" si="187"/>
        <v>0</v>
      </c>
      <c r="I1862" s="153"/>
      <c r="J1862" s="153"/>
      <c r="K1862" s="135">
        <f>SUM(K1840:K1861)</f>
        <v>0</v>
      </c>
      <c r="X1862" s="501" t="b">
        <f t="shared" si="186"/>
        <v>1</v>
      </c>
    </row>
    <row r="1863" outlineLevel="2" spans="2:24">
      <c r="B1863" s="1078" t="s">
        <v>3022</v>
      </c>
      <c r="C1863" s="429" t="str">
        <f t="shared" si="185"/>
        <v>石嘴山市深阳蓝光市政工程有限公司</v>
      </c>
      <c r="D1863" s="1079" t="s">
        <v>3025</v>
      </c>
      <c r="E1863" s="1083"/>
      <c r="F1863" s="1084"/>
      <c r="G1863" s="1084"/>
      <c r="X1863" s="501" t="b">
        <f t="shared" si="186"/>
        <v>1</v>
      </c>
    </row>
    <row r="1864" outlineLevel="2" spans="2:24">
      <c r="B1864" s="1078" t="s">
        <v>3022</v>
      </c>
      <c r="C1864" s="429" t="str">
        <f t="shared" si="185"/>
        <v>石嘴山市深阳蓝光市政工程有限公司</v>
      </c>
      <c r="D1864" s="1074" t="s">
        <v>3025</v>
      </c>
      <c r="E1864" s="621"/>
      <c r="F1864" s="451"/>
      <c r="G1864" s="451"/>
      <c r="X1864" s="501" t="b">
        <f t="shared" si="186"/>
        <v>1</v>
      </c>
    </row>
    <row r="1865" outlineLevel="2" spans="1:24">
      <c r="A1865" s="85" t="s">
        <v>3031</v>
      </c>
      <c r="B1865" s="1078" t="s">
        <v>3022</v>
      </c>
      <c r="C1865" s="429" t="str">
        <f t="shared" si="185"/>
        <v>石嘴山市深阳蓝光市政工程有限公司</v>
      </c>
      <c r="D1865" s="1074" t="s">
        <v>3032</v>
      </c>
      <c r="E1865" s="149" t="s">
        <v>3033</v>
      </c>
      <c r="F1865" s="451"/>
      <c r="G1865" s="451"/>
      <c r="X1865" s="501" t="b">
        <f t="shared" si="186"/>
        <v>1</v>
      </c>
    </row>
    <row r="1866" outlineLevel="2" spans="1:24">
      <c r="A1866" s="85" t="s">
        <v>2036</v>
      </c>
      <c r="B1866" s="1078" t="s">
        <v>3022</v>
      </c>
      <c r="C1866" s="429" t="str">
        <f t="shared" si="185"/>
        <v>石嘴山市深阳蓝光市政工程有限公司</v>
      </c>
      <c r="D1866" s="1074" t="s">
        <v>3032</v>
      </c>
      <c r="E1866" s="581" t="s">
        <v>2036</v>
      </c>
      <c r="F1866" s="581" t="s">
        <v>515</v>
      </c>
      <c r="G1866" s="581" t="s">
        <v>670</v>
      </c>
      <c r="X1866" s="501" t="b">
        <f t="shared" si="186"/>
        <v>1</v>
      </c>
    </row>
    <row r="1867" outlineLevel="2" spans="2:24">
      <c r="B1867" s="1078" t="s">
        <v>3022</v>
      </c>
      <c r="C1867" s="429" t="str">
        <f t="shared" si="185"/>
        <v>石嘴山市深阳蓝光市政工程有限公司</v>
      </c>
      <c r="D1867" s="1074" t="s">
        <v>3034</v>
      </c>
      <c r="E1867" s="997"/>
      <c r="F1867" s="1085"/>
      <c r="G1867" s="1085"/>
      <c r="X1867" s="501" t="b">
        <f t="shared" si="186"/>
        <v>1</v>
      </c>
    </row>
    <row r="1868" outlineLevel="2" spans="2:24">
      <c r="B1868" s="1078" t="s">
        <v>3022</v>
      </c>
      <c r="C1868" s="429" t="str">
        <f t="shared" si="185"/>
        <v>石嘴山市深阳蓝光市政工程有限公司</v>
      </c>
      <c r="D1868" s="1074" t="s">
        <v>3034</v>
      </c>
      <c r="E1868" s="997"/>
      <c r="F1868" s="1085"/>
      <c r="G1868" s="1085"/>
      <c r="X1868" s="501" t="b">
        <f t="shared" si="186"/>
        <v>1</v>
      </c>
    </row>
    <row r="1869" outlineLevel="2" spans="2:24">
      <c r="B1869" s="1078" t="s">
        <v>3022</v>
      </c>
      <c r="C1869" s="429" t="str">
        <f t="shared" si="185"/>
        <v>石嘴山市深阳蓝光市政工程有限公司</v>
      </c>
      <c r="D1869" s="1074" t="s">
        <v>3034</v>
      </c>
      <c r="E1869" s="997"/>
      <c r="F1869" s="1085"/>
      <c r="G1869" s="1085"/>
      <c r="X1869" s="501" t="b">
        <f t="shared" si="186"/>
        <v>1</v>
      </c>
    </row>
    <row r="1870" outlineLevel="2" spans="2:24">
      <c r="B1870" s="1078" t="s">
        <v>3022</v>
      </c>
      <c r="C1870" s="429" t="str">
        <f t="shared" si="185"/>
        <v>石嘴山市深阳蓝光市政工程有限公司</v>
      </c>
      <c r="D1870" s="1074" t="s">
        <v>3034</v>
      </c>
      <c r="E1870" s="997"/>
      <c r="F1870" s="1085"/>
      <c r="G1870" s="1085"/>
      <c r="X1870" s="501" t="b">
        <f t="shared" si="186"/>
        <v>1</v>
      </c>
    </row>
    <row r="1871" outlineLevel="2" spans="2:24">
      <c r="B1871" s="1078" t="s">
        <v>3022</v>
      </c>
      <c r="C1871" s="429" t="str">
        <f t="shared" si="185"/>
        <v>石嘴山市深阳蓝光市政工程有限公司</v>
      </c>
      <c r="D1871" s="1074" t="s">
        <v>3034</v>
      </c>
      <c r="E1871" s="644"/>
      <c r="F1871" s="132"/>
      <c r="G1871" s="132"/>
      <c r="X1871" s="501" t="b">
        <f t="shared" si="186"/>
        <v>1</v>
      </c>
    </row>
    <row r="1872" outlineLevel="2" spans="2:24">
      <c r="B1872" s="1078" t="s">
        <v>3022</v>
      </c>
      <c r="C1872" s="429" t="str">
        <f t="shared" si="185"/>
        <v>石嘴山市深阳蓝光市政工程有限公司</v>
      </c>
      <c r="D1872" s="1074" t="s">
        <v>3034</v>
      </c>
      <c r="E1872" s="644"/>
      <c r="F1872" s="132"/>
      <c r="G1872" s="132"/>
      <c r="X1872" s="501" t="b">
        <f t="shared" si="186"/>
        <v>1</v>
      </c>
    </row>
    <row r="1873" outlineLevel="2" spans="2:24">
      <c r="B1873" s="1078" t="s">
        <v>3022</v>
      </c>
      <c r="C1873" s="429" t="str">
        <f t="shared" si="185"/>
        <v>石嘴山市深阳蓝光市政工程有限公司</v>
      </c>
      <c r="D1873" s="1074" t="s">
        <v>3034</v>
      </c>
      <c r="E1873" s="644"/>
      <c r="F1873" s="132"/>
      <c r="G1873" s="132"/>
      <c r="X1873" s="501" t="b">
        <f t="shared" si="186"/>
        <v>1</v>
      </c>
    </row>
    <row r="1874" outlineLevel="2" spans="1:24">
      <c r="A1874" s="85" t="s">
        <v>1580</v>
      </c>
      <c r="B1874" s="1078" t="s">
        <v>3022</v>
      </c>
      <c r="C1874" s="429" t="str">
        <f t="shared" si="185"/>
        <v>石嘴山市深阳蓝光市政工程有限公司</v>
      </c>
      <c r="D1874" s="1074" t="s">
        <v>3034</v>
      </c>
      <c r="E1874" s="1086" t="s">
        <v>1580</v>
      </c>
      <c r="F1874" s="135">
        <f>SUM(F1867:F1873)</f>
        <v>0</v>
      </c>
      <c r="G1874" s="135">
        <f>SUM(G1867:G1873)</f>
        <v>0</v>
      </c>
      <c r="X1874" s="501" t="b">
        <f t="shared" si="186"/>
        <v>1</v>
      </c>
    </row>
    <row r="1875" outlineLevel="2" spans="1:24">
      <c r="A1875" s="85" t="s">
        <v>3035</v>
      </c>
      <c r="B1875" s="1078" t="s">
        <v>3022</v>
      </c>
      <c r="C1875" s="429" t="str">
        <f t="shared" si="185"/>
        <v>石嘴山市深阳蓝光市政工程有限公司</v>
      </c>
      <c r="D1875" s="1074" t="s">
        <v>3034</v>
      </c>
      <c r="E1875" s="813" t="s">
        <v>3035</v>
      </c>
      <c r="F1875" s="451"/>
      <c r="G1875" s="451"/>
      <c r="X1875" s="501" t="b">
        <f t="shared" si="186"/>
        <v>1</v>
      </c>
    </row>
    <row r="1876" outlineLevel="2" spans="2:24">
      <c r="B1876" s="1078" t="s">
        <v>3022</v>
      </c>
      <c r="C1876" s="429" t="str">
        <f t="shared" si="185"/>
        <v>石嘴山市深阳蓝光市政工程有限公司</v>
      </c>
      <c r="D1876" s="1074" t="s">
        <v>3034</v>
      </c>
      <c r="E1876" s="149"/>
      <c r="F1876" s="451"/>
      <c r="G1876" s="451"/>
      <c r="X1876" s="501" t="b">
        <f t="shared" si="186"/>
        <v>1</v>
      </c>
    </row>
    <row r="1877" outlineLevel="2" spans="2:24">
      <c r="B1877" s="1078" t="s">
        <v>3022</v>
      </c>
      <c r="C1877" s="429" t="str">
        <f t="shared" si="185"/>
        <v>石嘴山市深阳蓝光市政工程有限公司</v>
      </c>
      <c r="D1877" s="1074" t="s">
        <v>3034</v>
      </c>
      <c r="E1877" s="149"/>
      <c r="F1877" s="451"/>
      <c r="G1877" s="451"/>
      <c r="X1877" s="501" t="b">
        <f t="shared" si="186"/>
        <v>1</v>
      </c>
    </row>
    <row r="1878" outlineLevel="2" spans="2:24">
      <c r="B1878" s="1078" t="s">
        <v>3022</v>
      </c>
      <c r="C1878" s="429" t="str">
        <f t="shared" si="185"/>
        <v>石嘴山市深阳蓝光市政工程有限公司</v>
      </c>
      <c r="D1878" s="1074"/>
      <c r="E1878" s="149"/>
      <c r="F1878" s="451"/>
      <c r="G1878" s="451"/>
      <c r="X1878" s="501" t="b">
        <f t="shared" si="186"/>
        <v>1</v>
      </c>
    </row>
    <row r="1879" outlineLevel="2" spans="1:24">
      <c r="A1879" s="85" t="s">
        <v>2315</v>
      </c>
      <c r="B1879" s="1078" t="s">
        <v>3022</v>
      </c>
      <c r="C1879" s="429" t="str">
        <f t="shared" si="185"/>
        <v>石嘴山市深阳蓝光市政工程有限公司</v>
      </c>
      <c r="D1879" s="1074"/>
      <c r="E1879" s="149" t="s">
        <v>2334</v>
      </c>
      <c r="F1879" s="471"/>
      <c r="G1879" s="471"/>
      <c r="H1879" s="102"/>
      <c r="X1879" s="501" t="b">
        <f t="shared" si="186"/>
        <v>1</v>
      </c>
    </row>
    <row r="1880" hidden="1" outlineLevel="2" spans="2:24">
      <c r="B1880" s="1078" t="s">
        <v>3022</v>
      </c>
      <c r="C1880" s="429" t="str">
        <f t="shared" ref="C1880:C1943" si="188">$G$1</f>
        <v>石嘴山市深阳蓝光市政工程有限公司</v>
      </c>
      <c r="D1880" s="1074"/>
      <c r="E1880" s="149"/>
      <c r="F1880" s="451"/>
      <c r="G1880" s="451"/>
      <c r="X1880" s="501" t="b">
        <f t="shared" ref="X1880:X1943" si="189">EXACT(A1880,E1880)</f>
        <v>1</v>
      </c>
    </row>
    <row r="1881" hidden="1" outlineLevel="2" spans="1:24">
      <c r="A1881" s="85" t="s">
        <v>3036</v>
      </c>
      <c r="B1881" s="1078" t="s">
        <v>3022</v>
      </c>
      <c r="C1881" s="429" t="str">
        <f t="shared" si="188"/>
        <v>石嘴山市深阳蓝光市政工程有限公司</v>
      </c>
      <c r="D1881" s="1074" t="s">
        <v>3036</v>
      </c>
      <c r="E1881" s="149" t="s">
        <v>3037</v>
      </c>
      <c r="F1881" s="451"/>
      <c r="G1881" s="451"/>
      <c r="I1881" s="645" t="s">
        <v>2462</v>
      </c>
      <c r="X1881" s="501" t="b">
        <f t="shared" si="189"/>
        <v>1</v>
      </c>
    </row>
    <row r="1882" hidden="1" outlineLevel="2" spans="1:24">
      <c r="A1882" s="85" t="s">
        <v>2532</v>
      </c>
      <c r="B1882" s="1078" t="s">
        <v>3022</v>
      </c>
      <c r="C1882" s="429" t="str">
        <f t="shared" si="188"/>
        <v>石嘴山市深阳蓝光市政工程有限公司</v>
      </c>
      <c r="D1882" s="1074" t="s">
        <v>3036</v>
      </c>
      <c r="E1882" s="742" t="s">
        <v>2532</v>
      </c>
      <c r="F1882" s="742" t="s">
        <v>2440</v>
      </c>
      <c r="G1882" s="742" t="s">
        <v>365</v>
      </c>
      <c r="H1882" s="742" t="s">
        <v>2412</v>
      </c>
      <c r="I1882" s="742" t="s">
        <v>3038</v>
      </c>
      <c r="X1882" s="501" t="b">
        <f t="shared" si="189"/>
        <v>1</v>
      </c>
    </row>
    <row r="1883" hidden="1" outlineLevel="2" spans="2:24">
      <c r="B1883" s="1078" t="s">
        <v>3022</v>
      </c>
      <c r="C1883" s="429" t="str">
        <f t="shared" si="188"/>
        <v>石嘴山市深阳蓝光市政工程有限公司</v>
      </c>
      <c r="D1883" s="1074" t="s">
        <v>3036</v>
      </c>
      <c r="E1883" s="454"/>
      <c r="F1883" s="454"/>
      <c r="G1883" s="454"/>
      <c r="H1883" s="454"/>
      <c r="I1883" s="1095">
        <f t="shared" ref="I1883:I1888" si="190">IFERROR(ROUND(G1883/$F$1833,4),0)</f>
        <v>0</v>
      </c>
      <c r="X1883" s="501" t="b">
        <f t="shared" si="189"/>
        <v>1</v>
      </c>
    </row>
    <row r="1884" hidden="1" outlineLevel="2" spans="2:24">
      <c r="B1884" s="1078" t="s">
        <v>3022</v>
      </c>
      <c r="C1884" s="429" t="str">
        <f t="shared" si="188"/>
        <v>石嘴山市深阳蓝光市政工程有限公司</v>
      </c>
      <c r="D1884" s="1074" t="s">
        <v>3036</v>
      </c>
      <c r="E1884" s="454"/>
      <c r="F1884" s="454"/>
      <c r="G1884" s="454"/>
      <c r="H1884" s="454"/>
      <c r="I1884" s="1095">
        <f t="shared" si="190"/>
        <v>0</v>
      </c>
      <c r="X1884" s="501" t="b">
        <f t="shared" si="189"/>
        <v>1</v>
      </c>
    </row>
    <row r="1885" hidden="1" outlineLevel="2" spans="2:24">
      <c r="B1885" s="1078" t="s">
        <v>3022</v>
      </c>
      <c r="C1885" s="429" t="str">
        <f t="shared" si="188"/>
        <v>石嘴山市深阳蓝光市政工程有限公司</v>
      </c>
      <c r="D1885" s="1074" t="s">
        <v>3036</v>
      </c>
      <c r="E1885" s="454"/>
      <c r="F1885" s="454"/>
      <c r="G1885" s="454"/>
      <c r="H1885" s="454"/>
      <c r="I1885" s="1095">
        <f t="shared" si="190"/>
        <v>0</v>
      </c>
      <c r="X1885" s="501" t="b">
        <f t="shared" si="189"/>
        <v>1</v>
      </c>
    </row>
    <row r="1886" hidden="1" outlineLevel="2" spans="2:24">
      <c r="B1886" s="1078" t="s">
        <v>3022</v>
      </c>
      <c r="C1886" s="429" t="str">
        <f t="shared" si="188"/>
        <v>石嘴山市深阳蓝光市政工程有限公司</v>
      </c>
      <c r="D1886" s="1074" t="s">
        <v>3036</v>
      </c>
      <c r="E1886" s="454"/>
      <c r="F1886" s="454"/>
      <c r="G1886" s="454"/>
      <c r="H1886" s="454"/>
      <c r="I1886" s="1095">
        <f t="shared" si="190"/>
        <v>0</v>
      </c>
      <c r="X1886" s="501" t="b">
        <f t="shared" si="189"/>
        <v>1</v>
      </c>
    </row>
    <row r="1887" hidden="1" outlineLevel="2" spans="2:24">
      <c r="B1887" s="1078" t="s">
        <v>3022</v>
      </c>
      <c r="C1887" s="429" t="str">
        <f t="shared" si="188"/>
        <v>石嘴山市深阳蓝光市政工程有限公司</v>
      </c>
      <c r="D1887" s="1074" t="s">
        <v>3036</v>
      </c>
      <c r="E1887" s="454"/>
      <c r="F1887" s="454"/>
      <c r="G1887" s="454"/>
      <c r="H1887" s="454"/>
      <c r="I1887" s="1095">
        <f t="shared" si="190"/>
        <v>0</v>
      </c>
      <c r="X1887" s="501" t="b">
        <f t="shared" si="189"/>
        <v>1</v>
      </c>
    </row>
    <row r="1888" hidden="1" outlineLevel="2" spans="1:24">
      <c r="A1888" s="85" t="s">
        <v>1580</v>
      </c>
      <c r="B1888" s="1078" t="s">
        <v>3022</v>
      </c>
      <c r="C1888" s="429" t="str">
        <f t="shared" si="188"/>
        <v>石嘴山市深阳蓝光市政工程有限公司</v>
      </c>
      <c r="D1888" s="1074" t="s">
        <v>3036</v>
      </c>
      <c r="E1888" s="742" t="s">
        <v>1580</v>
      </c>
      <c r="F1888" s="742"/>
      <c r="G1888" s="787">
        <f>SUM(G1883:G1887)</f>
        <v>0</v>
      </c>
      <c r="H1888" s="742"/>
      <c r="I1888" s="1095">
        <f t="shared" si="190"/>
        <v>0</v>
      </c>
      <c r="X1888" s="501" t="b">
        <f t="shared" si="189"/>
        <v>1</v>
      </c>
    </row>
    <row r="1889" outlineLevel="2" spans="2:24">
      <c r="B1889" s="1078" t="s">
        <v>3022</v>
      </c>
      <c r="C1889" s="429" t="str">
        <f t="shared" si="188"/>
        <v>石嘴山市深阳蓝光市政工程有限公司</v>
      </c>
      <c r="D1889" s="1074" t="s">
        <v>3036</v>
      </c>
      <c r="E1889" s="450"/>
      <c r="F1889" s="450"/>
      <c r="G1889" s="450"/>
      <c r="H1889" s="450"/>
      <c r="X1889" s="501" t="b">
        <f t="shared" si="189"/>
        <v>1</v>
      </c>
    </row>
    <row r="1890" spans="1:24">
      <c r="A1890" s="85" t="s">
        <v>1768</v>
      </c>
      <c r="B1890" s="1078" t="s">
        <v>3039</v>
      </c>
      <c r="C1890" s="429" t="str">
        <f t="shared" si="188"/>
        <v>石嘴山市深阳蓝光市政工程有限公司</v>
      </c>
      <c r="D1890" s="1074" t="s">
        <v>1768</v>
      </c>
      <c r="E1890" s="65" t="s">
        <v>3040</v>
      </c>
      <c r="F1890" s="485"/>
      <c r="G1890" s="869" t="s">
        <v>2921</v>
      </c>
      <c r="X1890" s="501" t="b">
        <f t="shared" si="189"/>
        <v>1</v>
      </c>
    </row>
    <row r="1891" outlineLevel="2" spans="1:24">
      <c r="A1891" s="85" t="s">
        <v>3041</v>
      </c>
      <c r="B1891" s="919" t="s">
        <v>3039</v>
      </c>
      <c r="C1891" s="429" t="str">
        <f t="shared" si="188"/>
        <v>石嘴山市深阳蓝光市政工程有限公司</v>
      </c>
      <c r="D1891" s="484" t="s">
        <v>1768</v>
      </c>
      <c r="E1891" s="621" t="s">
        <v>3041</v>
      </c>
      <c r="F1891" s="485"/>
      <c r="G1891" s="485"/>
      <c r="X1891" s="501" t="b">
        <f t="shared" si="189"/>
        <v>1</v>
      </c>
    </row>
    <row r="1892" outlineLevel="2" spans="1:24">
      <c r="A1892" s="85" t="s">
        <v>2412</v>
      </c>
      <c r="B1892" s="919" t="s">
        <v>3039</v>
      </c>
      <c r="C1892" s="429" t="str">
        <f t="shared" si="188"/>
        <v>石嘴山市深阳蓝光市政工程有限公司</v>
      </c>
      <c r="D1892" s="1087" t="s">
        <v>1768</v>
      </c>
      <c r="E1892" s="664" t="s">
        <v>2412</v>
      </c>
      <c r="F1892" s="664" t="s">
        <v>315</v>
      </c>
      <c r="G1892" s="664" t="s">
        <v>1579</v>
      </c>
      <c r="H1892" s="1088" t="s">
        <v>3024</v>
      </c>
      <c r="I1892" s="1088" t="s">
        <v>2524</v>
      </c>
      <c r="X1892" s="501" t="b">
        <f t="shared" si="189"/>
        <v>1</v>
      </c>
    </row>
    <row r="1893" outlineLevel="2" spans="1:24">
      <c r="A1893" s="85" t="s">
        <v>1600</v>
      </c>
      <c r="B1893" s="919" t="s">
        <v>3039</v>
      </c>
      <c r="C1893" s="429" t="str">
        <f t="shared" si="188"/>
        <v>石嘴山市深阳蓝光市政工程有限公司</v>
      </c>
      <c r="D1893" s="1076" t="s">
        <v>1768</v>
      </c>
      <c r="E1893" s="665" t="s">
        <v>2525</v>
      </c>
      <c r="F1893" s="132"/>
      <c r="G1893" s="477">
        <f>报表附注合并期初用!E1634</f>
        <v>0</v>
      </c>
      <c r="H1893" s="1089"/>
      <c r="I1893" s="102"/>
      <c r="X1893" s="501" t="b">
        <f t="shared" si="189"/>
        <v>1</v>
      </c>
    </row>
    <row r="1894" outlineLevel="2" spans="1:24">
      <c r="A1894" s="85" t="s">
        <v>1601</v>
      </c>
      <c r="B1894" s="919" t="s">
        <v>3039</v>
      </c>
      <c r="C1894" s="429" t="str">
        <f t="shared" si="188"/>
        <v>石嘴山市深阳蓝光市政工程有限公司</v>
      </c>
      <c r="D1894" s="1076" t="s">
        <v>1768</v>
      </c>
      <c r="E1894" s="665" t="s">
        <v>2526</v>
      </c>
      <c r="F1894" s="132"/>
      <c r="G1894" s="477">
        <f>报表附注合并期初用!E1635</f>
        <v>0</v>
      </c>
      <c r="H1894" s="594" t="str">
        <f>IF(F1894&lt;=G1893,"合理","1-2年账不合理")</f>
        <v>合理</v>
      </c>
      <c r="I1894" s="102"/>
      <c r="X1894" s="501" t="b">
        <f t="shared" si="189"/>
        <v>1</v>
      </c>
    </row>
    <row r="1895" outlineLevel="2" spans="1:24">
      <c r="A1895" s="85" t="s">
        <v>1602</v>
      </c>
      <c r="B1895" s="919" t="s">
        <v>3039</v>
      </c>
      <c r="C1895" s="429" t="str">
        <f t="shared" si="188"/>
        <v>石嘴山市深阳蓝光市政工程有限公司</v>
      </c>
      <c r="D1895" s="1076" t="s">
        <v>1768</v>
      </c>
      <c r="E1895" s="665" t="s">
        <v>2527</v>
      </c>
      <c r="F1895" s="132"/>
      <c r="G1895" s="477">
        <f>报表附注合并期初用!E1636</f>
        <v>0</v>
      </c>
      <c r="H1895" s="594" t="str">
        <f>IF(F1895&lt;=G1894,"合理","2-3年账不合理")</f>
        <v>合理</v>
      </c>
      <c r="I1895" s="102"/>
      <c r="X1895" s="501" t="b">
        <f t="shared" si="189"/>
        <v>1</v>
      </c>
    </row>
    <row r="1896" outlineLevel="2" spans="1:24">
      <c r="A1896" s="85" t="s">
        <v>1603</v>
      </c>
      <c r="B1896" s="919" t="s">
        <v>3039</v>
      </c>
      <c r="C1896" s="429" t="str">
        <f t="shared" si="188"/>
        <v>石嘴山市深阳蓝光市政工程有限公司</v>
      </c>
      <c r="D1896" s="1076" t="s">
        <v>1768</v>
      </c>
      <c r="E1896" s="665" t="s">
        <v>2528</v>
      </c>
      <c r="F1896" s="132"/>
      <c r="G1896" s="477">
        <f>报表附注合并期初用!E1637</f>
        <v>0</v>
      </c>
      <c r="H1896" s="594" t="str">
        <f>IF(F1896&lt;=(G1896+G1895),"合理","3年以上账不合理")</f>
        <v>合理</v>
      </c>
      <c r="I1896" s="102"/>
      <c r="X1896" s="501" t="b">
        <f t="shared" si="189"/>
        <v>1</v>
      </c>
    </row>
    <row r="1897" outlineLevel="2" spans="1:24">
      <c r="A1897" s="85" t="s">
        <v>1580</v>
      </c>
      <c r="B1897" s="919" t="s">
        <v>3039</v>
      </c>
      <c r="C1897" s="429" t="str">
        <f t="shared" si="188"/>
        <v>石嘴山市深阳蓝光市政工程有限公司</v>
      </c>
      <c r="D1897" s="1087" t="s">
        <v>1768</v>
      </c>
      <c r="E1897" s="664" t="s">
        <v>1580</v>
      </c>
      <c r="F1897" s="565">
        <f>SUM(F1891:F1896)</f>
        <v>0</v>
      </c>
      <c r="G1897" s="565">
        <f>SUM(G1891:G1896)</f>
        <v>0</v>
      </c>
      <c r="X1897" s="501" t="b">
        <f t="shared" si="189"/>
        <v>1</v>
      </c>
    </row>
    <row r="1898" s="407" customFormat="1" outlineLevel="2" spans="1:24">
      <c r="A1898" s="407" t="s">
        <v>1444</v>
      </c>
      <c r="B1898" s="428" t="s">
        <v>3039</v>
      </c>
      <c r="C1898" s="429" t="str">
        <f t="shared" si="188"/>
        <v>石嘴山市深阳蓝光市政工程有限公司</v>
      </c>
      <c r="D1898" s="1063" t="s">
        <v>1768</v>
      </c>
      <c r="E1898" s="1060" t="s">
        <v>1444</v>
      </c>
      <c r="F1898" s="1068">
        <f>审定资负表!G11</f>
        <v>0</v>
      </c>
      <c r="G1898" s="1068">
        <f>审定资负表!H11</f>
        <v>0</v>
      </c>
      <c r="X1898" s="501" t="b">
        <f t="shared" si="189"/>
        <v>1</v>
      </c>
    </row>
    <row r="1899" s="407" customFormat="1" outlineLevel="1" spans="1:24">
      <c r="A1899" s="407" t="s">
        <v>1394</v>
      </c>
      <c r="B1899" s="575" t="s">
        <v>3039</v>
      </c>
      <c r="C1899" s="429" t="str">
        <f t="shared" si="188"/>
        <v>石嘴山市深阳蓝光市政工程有限公司</v>
      </c>
      <c r="D1899" s="1090" t="s">
        <v>1768</v>
      </c>
      <c r="E1899" s="1060" t="s">
        <v>1394</v>
      </c>
      <c r="F1899" s="87">
        <f>ROUND(F1897-F1898,2)</f>
        <v>0</v>
      </c>
      <c r="G1899" s="87">
        <f>ROUND(G1897-G1898,2)</f>
        <v>0</v>
      </c>
      <c r="X1899" s="501" t="b">
        <f t="shared" si="189"/>
        <v>1</v>
      </c>
    </row>
    <row r="1900" s="407" customFormat="1" outlineLevel="2" spans="2:24">
      <c r="B1900" s="575" t="s">
        <v>3039</v>
      </c>
      <c r="C1900" s="429" t="str">
        <f t="shared" si="188"/>
        <v>石嘴山市深阳蓝光市政工程有限公司</v>
      </c>
      <c r="D1900" s="1090" t="s">
        <v>1768</v>
      </c>
      <c r="E1900" s="1071"/>
      <c r="F1900" s="1072"/>
      <c r="G1900" s="1072"/>
      <c r="X1900" s="501" t="b">
        <f t="shared" si="189"/>
        <v>1</v>
      </c>
    </row>
    <row r="1901" s="407" customFormat="1" outlineLevel="2" spans="1:24">
      <c r="A1901" s="407" t="s">
        <v>3042</v>
      </c>
      <c r="B1901" s="575" t="s">
        <v>3039</v>
      </c>
      <c r="C1901" s="429" t="str">
        <f t="shared" si="188"/>
        <v>石嘴山市深阳蓝光市政工程有限公司</v>
      </c>
      <c r="D1901" s="1091" t="s">
        <v>3042</v>
      </c>
      <c r="E1901" s="1092" t="s">
        <v>3043</v>
      </c>
      <c r="F1901" s="1092"/>
      <c r="G1901" s="1092"/>
      <c r="X1901" s="501" t="b">
        <f t="shared" si="189"/>
        <v>1</v>
      </c>
    </row>
    <row r="1902" s="407" customFormat="1" outlineLevel="2" spans="1:24">
      <c r="A1902" s="407" t="s">
        <v>3044</v>
      </c>
      <c r="B1902" s="575" t="s">
        <v>3039</v>
      </c>
      <c r="C1902" s="429" t="str">
        <f t="shared" si="188"/>
        <v>石嘴山市深阳蓝光市政工程有限公司</v>
      </c>
      <c r="D1902" s="1091" t="s">
        <v>3042</v>
      </c>
      <c r="E1902" s="1093" t="s">
        <v>3044</v>
      </c>
      <c r="F1902" s="1092"/>
      <c r="G1902" s="1092"/>
      <c r="K1902" s="645" t="s">
        <v>2462</v>
      </c>
      <c r="X1902" s="501" t="b">
        <f t="shared" si="189"/>
        <v>1</v>
      </c>
    </row>
    <row r="1903" ht="24.75" customHeight="1" outlineLevel="2" spans="1:24">
      <c r="A1903" s="85" t="s">
        <v>2532</v>
      </c>
      <c r="B1903" s="575" t="s">
        <v>3039</v>
      </c>
      <c r="C1903" s="429" t="str">
        <f t="shared" si="188"/>
        <v>石嘴山市深阳蓝光市政工程有限公司</v>
      </c>
      <c r="D1903" s="1094" t="s">
        <v>3042</v>
      </c>
      <c r="E1903" s="742" t="s">
        <v>2532</v>
      </c>
      <c r="F1903" s="742" t="s">
        <v>2440</v>
      </c>
      <c r="G1903" s="742" t="s">
        <v>365</v>
      </c>
      <c r="H1903" s="742" t="s">
        <v>3028</v>
      </c>
      <c r="I1903" s="742" t="s">
        <v>2412</v>
      </c>
      <c r="J1903" s="153" t="s">
        <v>3045</v>
      </c>
      <c r="K1903" s="627" t="s">
        <v>2573</v>
      </c>
      <c r="X1903" s="501" t="b">
        <f t="shared" si="189"/>
        <v>1</v>
      </c>
    </row>
    <row r="1904" customHeight="1" outlineLevel="2" spans="2:24">
      <c r="B1904" s="575" t="s">
        <v>3039</v>
      </c>
      <c r="C1904" s="429" t="str">
        <f t="shared" si="188"/>
        <v>石嘴山市深阳蓝光市政工程有限公司</v>
      </c>
      <c r="D1904" s="1094" t="s">
        <v>3042</v>
      </c>
      <c r="E1904" s="132"/>
      <c r="F1904" s="132"/>
      <c r="G1904" s="132"/>
      <c r="H1904" s="1081">
        <f>IFERROR(ROUND(G1904/$F$1897,4),0)</f>
        <v>0</v>
      </c>
      <c r="I1904" s="132"/>
      <c r="J1904" s="132"/>
      <c r="X1904" s="501" t="b">
        <f t="shared" si="189"/>
        <v>1</v>
      </c>
    </row>
    <row r="1905" customHeight="1" outlineLevel="2" spans="2:24">
      <c r="B1905" s="575" t="s">
        <v>3039</v>
      </c>
      <c r="C1905" s="429" t="str">
        <f t="shared" si="188"/>
        <v>石嘴山市深阳蓝光市政工程有限公司</v>
      </c>
      <c r="D1905" s="1094" t="s">
        <v>3042</v>
      </c>
      <c r="E1905" s="132"/>
      <c r="F1905" s="132"/>
      <c r="G1905" s="132"/>
      <c r="H1905" s="1081">
        <f t="shared" ref="H1905:H1926" si="191">IFERROR(ROUND(G1905/$F$1897,4),0)</f>
        <v>0</v>
      </c>
      <c r="I1905" s="132"/>
      <c r="J1905" s="132"/>
      <c r="X1905" s="501" t="b">
        <f t="shared" si="189"/>
        <v>1</v>
      </c>
    </row>
    <row r="1906" customHeight="1" outlineLevel="2" spans="2:24">
      <c r="B1906" s="575" t="s">
        <v>3039</v>
      </c>
      <c r="C1906" s="429" t="str">
        <f t="shared" si="188"/>
        <v>石嘴山市深阳蓝光市政工程有限公司</v>
      </c>
      <c r="D1906" s="1094" t="s">
        <v>3042</v>
      </c>
      <c r="E1906" s="132"/>
      <c r="F1906" s="132"/>
      <c r="G1906" s="132"/>
      <c r="H1906" s="1081">
        <f t="shared" si="191"/>
        <v>0</v>
      </c>
      <c r="I1906" s="132"/>
      <c r="J1906" s="132"/>
      <c r="X1906" s="501" t="b">
        <f t="shared" si="189"/>
        <v>1</v>
      </c>
    </row>
    <row r="1907" customHeight="1" outlineLevel="2" spans="2:24">
      <c r="B1907" s="575" t="s">
        <v>3039</v>
      </c>
      <c r="C1907" s="429" t="str">
        <f t="shared" si="188"/>
        <v>石嘴山市深阳蓝光市政工程有限公司</v>
      </c>
      <c r="D1907" s="1094" t="s">
        <v>3042</v>
      </c>
      <c r="E1907" s="132"/>
      <c r="F1907" s="132"/>
      <c r="G1907" s="132"/>
      <c r="H1907" s="1081">
        <f t="shared" si="191"/>
        <v>0</v>
      </c>
      <c r="I1907" s="132"/>
      <c r="J1907" s="132"/>
      <c r="X1907" s="501" t="b">
        <f t="shared" si="189"/>
        <v>1</v>
      </c>
    </row>
    <row r="1908" customHeight="1" outlineLevel="2" spans="2:24">
      <c r="B1908" s="575" t="s">
        <v>3039</v>
      </c>
      <c r="C1908" s="429" t="str">
        <f t="shared" si="188"/>
        <v>石嘴山市深阳蓝光市政工程有限公司</v>
      </c>
      <c r="D1908" s="1094" t="s">
        <v>3042</v>
      </c>
      <c r="E1908" s="132"/>
      <c r="F1908" s="132"/>
      <c r="G1908" s="132"/>
      <c r="H1908" s="1081">
        <f t="shared" si="191"/>
        <v>0</v>
      </c>
      <c r="I1908" s="132"/>
      <c r="J1908" s="132"/>
      <c r="X1908" s="501" t="b">
        <f t="shared" si="189"/>
        <v>1</v>
      </c>
    </row>
    <row r="1909" customHeight="1" outlineLevel="2" spans="2:24">
      <c r="B1909" s="575" t="s">
        <v>3039</v>
      </c>
      <c r="C1909" s="429" t="str">
        <f t="shared" si="188"/>
        <v>石嘴山市深阳蓝光市政工程有限公司</v>
      </c>
      <c r="D1909" s="1094" t="s">
        <v>3042</v>
      </c>
      <c r="E1909" s="132"/>
      <c r="F1909" s="132"/>
      <c r="G1909" s="132"/>
      <c r="H1909" s="1081">
        <f t="shared" si="191"/>
        <v>0</v>
      </c>
      <c r="I1909" s="132"/>
      <c r="J1909" s="132"/>
      <c r="X1909" s="501" t="b">
        <f t="shared" si="189"/>
        <v>1</v>
      </c>
    </row>
    <row r="1910" customHeight="1" outlineLevel="2" spans="2:24">
      <c r="B1910" s="575" t="s">
        <v>3039</v>
      </c>
      <c r="C1910" s="429" t="str">
        <f t="shared" si="188"/>
        <v>石嘴山市深阳蓝光市政工程有限公司</v>
      </c>
      <c r="D1910" s="1094" t="s">
        <v>3042</v>
      </c>
      <c r="E1910" s="132"/>
      <c r="F1910" s="132"/>
      <c r="G1910" s="132"/>
      <c r="H1910" s="1081">
        <f t="shared" si="191"/>
        <v>0</v>
      </c>
      <c r="I1910" s="132"/>
      <c r="J1910" s="132"/>
      <c r="X1910" s="501" t="b">
        <f t="shared" si="189"/>
        <v>1</v>
      </c>
    </row>
    <row r="1911" customHeight="1" outlineLevel="2" spans="2:24">
      <c r="B1911" s="575" t="s">
        <v>3039</v>
      </c>
      <c r="C1911" s="429" t="str">
        <f t="shared" si="188"/>
        <v>石嘴山市深阳蓝光市政工程有限公司</v>
      </c>
      <c r="D1911" s="1094" t="s">
        <v>3042</v>
      </c>
      <c r="E1911" s="132"/>
      <c r="F1911" s="132"/>
      <c r="G1911" s="132"/>
      <c r="H1911" s="1081">
        <f t="shared" si="191"/>
        <v>0</v>
      </c>
      <c r="I1911" s="132"/>
      <c r="J1911" s="132"/>
      <c r="X1911" s="501" t="b">
        <f t="shared" si="189"/>
        <v>1</v>
      </c>
    </row>
    <row r="1912" customHeight="1" outlineLevel="2" spans="2:24">
      <c r="B1912" s="575" t="s">
        <v>3039</v>
      </c>
      <c r="C1912" s="429" t="str">
        <f t="shared" si="188"/>
        <v>石嘴山市深阳蓝光市政工程有限公司</v>
      </c>
      <c r="D1912" s="1094" t="s">
        <v>3042</v>
      </c>
      <c r="E1912" s="132"/>
      <c r="F1912" s="132"/>
      <c r="G1912" s="132"/>
      <c r="H1912" s="1081">
        <f t="shared" si="191"/>
        <v>0</v>
      </c>
      <c r="I1912" s="132"/>
      <c r="J1912" s="132"/>
      <c r="X1912" s="501" t="b">
        <f t="shared" si="189"/>
        <v>1</v>
      </c>
    </row>
    <row r="1913" customHeight="1" outlineLevel="2" spans="2:24">
      <c r="B1913" s="575" t="s">
        <v>3039</v>
      </c>
      <c r="C1913" s="429" t="str">
        <f t="shared" si="188"/>
        <v>石嘴山市深阳蓝光市政工程有限公司</v>
      </c>
      <c r="D1913" s="1094" t="s">
        <v>3042</v>
      </c>
      <c r="E1913" s="132"/>
      <c r="F1913" s="132"/>
      <c r="G1913" s="132"/>
      <c r="H1913" s="1081">
        <f t="shared" si="191"/>
        <v>0</v>
      </c>
      <c r="I1913" s="132"/>
      <c r="J1913" s="132"/>
      <c r="X1913" s="501" t="b">
        <f t="shared" si="189"/>
        <v>1</v>
      </c>
    </row>
    <row r="1914" customHeight="1" outlineLevel="2" spans="2:24">
      <c r="B1914" s="575" t="s">
        <v>3039</v>
      </c>
      <c r="C1914" s="429" t="str">
        <f t="shared" si="188"/>
        <v>石嘴山市深阳蓝光市政工程有限公司</v>
      </c>
      <c r="D1914" s="1094" t="s">
        <v>3042</v>
      </c>
      <c r="E1914" s="132"/>
      <c r="F1914" s="132"/>
      <c r="G1914" s="132"/>
      <c r="H1914" s="1081">
        <f t="shared" si="191"/>
        <v>0</v>
      </c>
      <c r="I1914" s="132"/>
      <c r="J1914" s="132"/>
      <c r="X1914" s="501" t="b">
        <f t="shared" si="189"/>
        <v>1</v>
      </c>
    </row>
    <row r="1915" customHeight="1" outlineLevel="2" spans="2:24">
      <c r="B1915" s="575" t="s">
        <v>3039</v>
      </c>
      <c r="C1915" s="429" t="str">
        <f t="shared" si="188"/>
        <v>石嘴山市深阳蓝光市政工程有限公司</v>
      </c>
      <c r="D1915" s="1094" t="s">
        <v>3042</v>
      </c>
      <c r="E1915" s="132"/>
      <c r="F1915" s="132"/>
      <c r="G1915" s="132"/>
      <c r="H1915" s="1081">
        <f t="shared" si="191"/>
        <v>0</v>
      </c>
      <c r="I1915" s="132"/>
      <c r="J1915" s="132"/>
      <c r="X1915" s="501" t="b">
        <f t="shared" si="189"/>
        <v>1</v>
      </c>
    </row>
    <row r="1916" customHeight="1" outlineLevel="2" spans="2:24">
      <c r="B1916" s="575" t="s">
        <v>3039</v>
      </c>
      <c r="C1916" s="429" t="str">
        <f t="shared" si="188"/>
        <v>石嘴山市深阳蓝光市政工程有限公司</v>
      </c>
      <c r="D1916" s="1094" t="s">
        <v>3042</v>
      </c>
      <c r="E1916" s="132"/>
      <c r="F1916" s="132"/>
      <c r="G1916" s="132"/>
      <c r="H1916" s="1081">
        <f t="shared" si="191"/>
        <v>0</v>
      </c>
      <c r="I1916" s="132"/>
      <c r="J1916" s="132"/>
      <c r="X1916" s="501" t="b">
        <f t="shared" si="189"/>
        <v>1</v>
      </c>
    </row>
    <row r="1917" customHeight="1" outlineLevel="2" spans="2:24">
      <c r="B1917" s="575" t="s">
        <v>3039</v>
      </c>
      <c r="C1917" s="429" t="str">
        <f t="shared" si="188"/>
        <v>石嘴山市深阳蓝光市政工程有限公司</v>
      </c>
      <c r="D1917" s="1094" t="s">
        <v>3042</v>
      </c>
      <c r="E1917" s="132"/>
      <c r="F1917" s="132"/>
      <c r="G1917" s="132"/>
      <c r="H1917" s="1081">
        <f t="shared" si="191"/>
        <v>0</v>
      </c>
      <c r="I1917" s="132"/>
      <c r="J1917" s="132"/>
      <c r="X1917" s="501" t="b">
        <f t="shared" si="189"/>
        <v>1</v>
      </c>
    </row>
    <row r="1918" customHeight="1" outlineLevel="2" spans="2:24">
      <c r="B1918" s="575" t="s">
        <v>3039</v>
      </c>
      <c r="C1918" s="429" t="str">
        <f t="shared" si="188"/>
        <v>石嘴山市深阳蓝光市政工程有限公司</v>
      </c>
      <c r="D1918" s="1094" t="s">
        <v>3042</v>
      </c>
      <c r="E1918" s="132"/>
      <c r="F1918" s="132"/>
      <c r="G1918" s="132"/>
      <c r="H1918" s="1081">
        <f t="shared" si="191"/>
        <v>0</v>
      </c>
      <c r="I1918" s="132"/>
      <c r="J1918" s="132"/>
      <c r="X1918" s="501" t="b">
        <f t="shared" si="189"/>
        <v>1</v>
      </c>
    </row>
    <row r="1919" customHeight="1" outlineLevel="2" spans="2:24">
      <c r="B1919" s="575" t="s">
        <v>3039</v>
      </c>
      <c r="C1919" s="429" t="str">
        <f t="shared" si="188"/>
        <v>石嘴山市深阳蓝光市政工程有限公司</v>
      </c>
      <c r="D1919" s="1094" t="s">
        <v>3042</v>
      </c>
      <c r="E1919" s="132"/>
      <c r="F1919" s="132"/>
      <c r="G1919" s="132"/>
      <c r="H1919" s="1081">
        <f t="shared" si="191"/>
        <v>0</v>
      </c>
      <c r="I1919" s="132"/>
      <c r="J1919" s="132"/>
      <c r="X1919" s="501" t="b">
        <f t="shared" si="189"/>
        <v>1</v>
      </c>
    </row>
    <row r="1920" customHeight="1" outlineLevel="2" spans="2:24">
      <c r="B1920" s="575" t="s">
        <v>3039</v>
      </c>
      <c r="C1920" s="429" t="str">
        <f t="shared" si="188"/>
        <v>石嘴山市深阳蓝光市政工程有限公司</v>
      </c>
      <c r="D1920" s="1094" t="s">
        <v>3042</v>
      </c>
      <c r="E1920" s="132"/>
      <c r="F1920" s="132"/>
      <c r="G1920" s="132"/>
      <c r="H1920" s="1081">
        <f t="shared" si="191"/>
        <v>0</v>
      </c>
      <c r="I1920" s="132"/>
      <c r="J1920" s="132"/>
      <c r="X1920" s="501" t="b">
        <f t="shared" si="189"/>
        <v>1</v>
      </c>
    </row>
    <row r="1921" customHeight="1" outlineLevel="2" spans="2:24">
      <c r="B1921" s="575" t="s">
        <v>3039</v>
      </c>
      <c r="C1921" s="429" t="str">
        <f t="shared" si="188"/>
        <v>石嘴山市深阳蓝光市政工程有限公司</v>
      </c>
      <c r="D1921" s="1094" t="s">
        <v>3042</v>
      </c>
      <c r="E1921" s="132"/>
      <c r="F1921" s="132"/>
      <c r="G1921" s="132"/>
      <c r="H1921" s="1081">
        <f t="shared" si="191"/>
        <v>0</v>
      </c>
      <c r="I1921" s="132"/>
      <c r="J1921" s="132"/>
      <c r="X1921" s="501" t="b">
        <f t="shared" si="189"/>
        <v>1</v>
      </c>
    </row>
    <row r="1922" customHeight="1" outlineLevel="2" spans="2:24">
      <c r="B1922" s="575" t="s">
        <v>3039</v>
      </c>
      <c r="C1922" s="429" t="str">
        <f t="shared" si="188"/>
        <v>石嘴山市深阳蓝光市政工程有限公司</v>
      </c>
      <c r="D1922" s="1094" t="s">
        <v>3042</v>
      </c>
      <c r="E1922" s="132"/>
      <c r="F1922" s="132"/>
      <c r="G1922" s="132"/>
      <c r="H1922" s="1081">
        <f t="shared" si="191"/>
        <v>0</v>
      </c>
      <c r="I1922" s="132"/>
      <c r="J1922" s="132"/>
      <c r="X1922" s="501" t="b">
        <f t="shared" si="189"/>
        <v>1</v>
      </c>
    </row>
    <row r="1923" customHeight="1" outlineLevel="2" spans="2:24">
      <c r="B1923" s="575" t="s">
        <v>3039</v>
      </c>
      <c r="C1923" s="429" t="str">
        <f t="shared" si="188"/>
        <v>石嘴山市深阳蓝光市政工程有限公司</v>
      </c>
      <c r="D1923" s="1094" t="s">
        <v>3042</v>
      </c>
      <c r="E1923" s="132"/>
      <c r="F1923" s="132"/>
      <c r="G1923" s="132"/>
      <c r="H1923" s="1081">
        <f t="shared" si="191"/>
        <v>0</v>
      </c>
      <c r="I1923" s="132"/>
      <c r="J1923" s="132"/>
      <c r="X1923" s="501" t="b">
        <f t="shared" si="189"/>
        <v>1</v>
      </c>
    </row>
    <row r="1924" customHeight="1" outlineLevel="2" spans="2:24">
      <c r="B1924" s="575" t="s">
        <v>3039</v>
      </c>
      <c r="C1924" s="429" t="str">
        <f t="shared" si="188"/>
        <v>石嘴山市深阳蓝光市政工程有限公司</v>
      </c>
      <c r="D1924" s="1094" t="s">
        <v>3042</v>
      </c>
      <c r="E1924" s="132"/>
      <c r="F1924" s="132"/>
      <c r="G1924" s="132"/>
      <c r="H1924" s="1081">
        <f t="shared" si="191"/>
        <v>0</v>
      </c>
      <c r="I1924" s="132"/>
      <c r="J1924" s="132"/>
      <c r="X1924" s="501" t="b">
        <f t="shared" si="189"/>
        <v>1</v>
      </c>
    </row>
    <row r="1925" customHeight="1" outlineLevel="2" spans="2:24">
      <c r="B1925" s="575" t="s">
        <v>3039</v>
      </c>
      <c r="C1925" s="429" t="str">
        <f t="shared" si="188"/>
        <v>石嘴山市深阳蓝光市政工程有限公司</v>
      </c>
      <c r="D1925" s="1094" t="s">
        <v>3042</v>
      </c>
      <c r="E1925" s="132"/>
      <c r="F1925" s="132"/>
      <c r="G1925" s="132"/>
      <c r="H1925" s="1081">
        <f t="shared" si="191"/>
        <v>0</v>
      </c>
      <c r="I1925" s="132"/>
      <c r="J1925" s="132"/>
      <c r="X1925" s="501" t="b">
        <f t="shared" si="189"/>
        <v>1</v>
      </c>
    </row>
    <row r="1926" customHeight="1" outlineLevel="2" spans="1:24">
      <c r="A1926" s="85" t="s">
        <v>1580</v>
      </c>
      <c r="B1926" s="575" t="s">
        <v>3039</v>
      </c>
      <c r="C1926" s="429" t="str">
        <f t="shared" si="188"/>
        <v>石嘴山市深阳蓝光市政工程有限公司</v>
      </c>
      <c r="D1926" s="1094" t="s">
        <v>3042</v>
      </c>
      <c r="E1926" s="742" t="s">
        <v>1580</v>
      </c>
      <c r="F1926" s="153"/>
      <c r="G1926" s="135">
        <f>SUM(G1904:G1925)</f>
        <v>0</v>
      </c>
      <c r="H1926" s="1081">
        <f t="shared" si="191"/>
        <v>0</v>
      </c>
      <c r="I1926" s="153"/>
      <c r="J1926" s="153"/>
      <c r="X1926" s="501" t="b">
        <f t="shared" si="189"/>
        <v>1</v>
      </c>
    </row>
    <row r="1927" s="407" customFormat="1" outlineLevel="2" spans="2:24">
      <c r="B1927" s="575" t="s">
        <v>3039</v>
      </c>
      <c r="C1927" s="429" t="str">
        <f t="shared" si="188"/>
        <v>石嘴山市深阳蓝光市政工程有限公司</v>
      </c>
      <c r="D1927" s="1091" t="s">
        <v>3042</v>
      </c>
      <c r="E1927" s="1092"/>
      <c r="F1927" s="1092"/>
      <c r="G1927" s="1092"/>
      <c r="X1927" s="501" t="b">
        <f t="shared" si="189"/>
        <v>1</v>
      </c>
    </row>
    <row r="1928" s="407" customFormat="1" outlineLevel="2" spans="2:24">
      <c r="B1928" s="575" t="s">
        <v>3039</v>
      </c>
      <c r="C1928" s="429" t="str">
        <f t="shared" si="188"/>
        <v>石嘴山市深阳蓝光市政工程有限公司</v>
      </c>
      <c r="D1928" s="1091" t="s">
        <v>3042</v>
      </c>
      <c r="E1928" s="1092"/>
      <c r="F1928" s="1092"/>
      <c r="G1928" s="1092"/>
      <c r="X1928" s="501" t="b">
        <f t="shared" si="189"/>
        <v>1</v>
      </c>
    </row>
    <row r="1929" s="407" customFormat="1" outlineLevel="2" spans="1:24">
      <c r="A1929" s="407" t="s">
        <v>3031</v>
      </c>
      <c r="B1929" s="575" t="s">
        <v>3039</v>
      </c>
      <c r="C1929" s="429" t="str">
        <f t="shared" si="188"/>
        <v>石嘴山市深阳蓝光市政工程有限公司</v>
      </c>
      <c r="D1929" s="1090" t="s">
        <v>3031</v>
      </c>
      <c r="E1929" s="149" t="s">
        <v>3033</v>
      </c>
      <c r="F1929" s="451"/>
      <c r="G1929" s="451"/>
      <c r="X1929" s="501" t="b">
        <f t="shared" si="189"/>
        <v>1</v>
      </c>
    </row>
    <row r="1930" s="407" customFormat="1" outlineLevel="2" spans="1:24">
      <c r="A1930" s="407" t="s">
        <v>2036</v>
      </c>
      <c r="B1930" s="575" t="s">
        <v>3039</v>
      </c>
      <c r="C1930" s="429" t="str">
        <f t="shared" si="188"/>
        <v>石嘴山市深阳蓝光市政工程有限公司</v>
      </c>
      <c r="D1930" s="1090" t="s">
        <v>3031</v>
      </c>
      <c r="E1930" s="581" t="s">
        <v>2036</v>
      </c>
      <c r="F1930" s="581" t="s">
        <v>515</v>
      </c>
      <c r="G1930" s="581" t="s">
        <v>670</v>
      </c>
      <c r="X1930" s="501" t="b">
        <f t="shared" si="189"/>
        <v>1</v>
      </c>
    </row>
    <row r="1931" s="407" customFormat="1" outlineLevel="2" spans="2:24">
      <c r="B1931" s="575" t="s">
        <v>3039</v>
      </c>
      <c r="C1931" s="429" t="str">
        <f t="shared" si="188"/>
        <v>石嘴山市深阳蓝光市政工程有限公司</v>
      </c>
      <c r="D1931" s="1090" t="s">
        <v>3031</v>
      </c>
      <c r="E1931" s="997"/>
      <c r="F1931" s="1085"/>
      <c r="G1931" s="1085"/>
      <c r="X1931" s="501" t="b">
        <f t="shared" si="189"/>
        <v>1</v>
      </c>
    </row>
    <row r="1932" s="407" customFormat="1" outlineLevel="2" spans="2:24">
      <c r="B1932" s="575" t="s">
        <v>3039</v>
      </c>
      <c r="C1932" s="429" t="str">
        <f t="shared" si="188"/>
        <v>石嘴山市深阳蓝光市政工程有限公司</v>
      </c>
      <c r="D1932" s="1090" t="s">
        <v>3031</v>
      </c>
      <c r="E1932" s="997"/>
      <c r="F1932" s="1085"/>
      <c r="G1932" s="1085"/>
      <c r="X1932" s="501" t="b">
        <f t="shared" si="189"/>
        <v>1</v>
      </c>
    </row>
    <row r="1933" s="407" customFormat="1" outlineLevel="2" spans="2:24">
      <c r="B1933" s="575" t="s">
        <v>3039</v>
      </c>
      <c r="C1933" s="429" t="str">
        <f t="shared" si="188"/>
        <v>石嘴山市深阳蓝光市政工程有限公司</v>
      </c>
      <c r="D1933" s="1090" t="s">
        <v>3031</v>
      </c>
      <c r="E1933" s="997"/>
      <c r="F1933" s="1085"/>
      <c r="G1933" s="1085"/>
      <c r="X1933" s="501" t="b">
        <f t="shared" si="189"/>
        <v>1</v>
      </c>
    </row>
    <row r="1934" s="407" customFormat="1" outlineLevel="2" spans="2:24">
      <c r="B1934" s="575" t="s">
        <v>3039</v>
      </c>
      <c r="C1934" s="429" t="str">
        <f t="shared" si="188"/>
        <v>石嘴山市深阳蓝光市政工程有限公司</v>
      </c>
      <c r="D1934" s="1090" t="s">
        <v>3031</v>
      </c>
      <c r="E1934" s="997"/>
      <c r="F1934" s="1085"/>
      <c r="G1934" s="1085"/>
      <c r="X1934" s="501" t="b">
        <f t="shared" si="189"/>
        <v>1</v>
      </c>
    </row>
    <row r="1935" s="407" customFormat="1" outlineLevel="2" spans="2:24">
      <c r="B1935" s="575" t="s">
        <v>3039</v>
      </c>
      <c r="C1935" s="429" t="str">
        <f t="shared" si="188"/>
        <v>石嘴山市深阳蓝光市政工程有限公司</v>
      </c>
      <c r="D1935" s="1090" t="s">
        <v>3031</v>
      </c>
      <c r="E1935" s="644"/>
      <c r="F1935" s="132"/>
      <c r="G1935" s="132"/>
      <c r="X1935" s="501" t="b">
        <f t="shared" si="189"/>
        <v>1</v>
      </c>
    </row>
    <row r="1936" s="407" customFormat="1" outlineLevel="2" spans="2:24">
      <c r="B1936" s="575" t="s">
        <v>3039</v>
      </c>
      <c r="C1936" s="429" t="str">
        <f t="shared" si="188"/>
        <v>石嘴山市深阳蓝光市政工程有限公司</v>
      </c>
      <c r="D1936" s="1090" t="s">
        <v>3031</v>
      </c>
      <c r="E1936" s="644"/>
      <c r="F1936" s="132"/>
      <c r="G1936" s="132"/>
      <c r="X1936" s="501" t="b">
        <f t="shared" si="189"/>
        <v>1</v>
      </c>
    </row>
    <row r="1937" s="407" customFormat="1" outlineLevel="2" spans="2:24">
      <c r="B1937" s="575" t="s">
        <v>3039</v>
      </c>
      <c r="C1937" s="429" t="str">
        <f t="shared" si="188"/>
        <v>石嘴山市深阳蓝光市政工程有限公司</v>
      </c>
      <c r="D1937" s="1090" t="s">
        <v>3031</v>
      </c>
      <c r="E1937" s="644"/>
      <c r="F1937" s="132"/>
      <c r="G1937" s="132"/>
      <c r="X1937" s="501" t="b">
        <f t="shared" si="189"/>
        <v>1</v>
      </c>
    </row>
    <row r="1938" s="407" customFormat="1" outlineLevel="2" spans="1:24">
      <c r="A1938" s="407" t="s">
        <v>1580</v>
      </c>
      <c r="B1938" s="575" t="s">
        <v>3039</v>
      </c>
      <c r="C1938" s="429" t="str">
        <f t="shared" si="188"/>
        <v>石嘴山市深阳蓝光市政工程有限公司</v>
      </c>
      <c r="D1938" s="1090" t="s">
        <v>3031</v>
      </c>
      <c r="E1938" s="1086" t="s">
        <v>1580</v>
      </c>
      <c r="F1938" s="135">
        <f>SUM(F1931:F1937)</f>
        <v>0</v>
      </c>
      <c r="G1938" s="135">
        <f>SUM(G1931:G1937)</f>
        <v>0</v>
      </c>
      <c r="X1938" s="501" t="b">
        <f t="shared" si="189"/>
        <v>1</v>
      </c>
    </row>
    <row r="1939" s="407" customFormat="1" outlineLevel="2" spans="1:24">
      <c r="A1939" s="407" t="s">
        <v>3035</v>
      </c>
      <c r="B1939" s="575" t="s">
        <v>3039</v>
      </c>
      <c r="C1939" s="429" t="str">
        <f t="shared" si="188"/>
        <v>石嘴山市深阳蓝光市政工程有限公司</v>
      </c>
      <c r="D1939" s="1090" t="s">
        <v>3031</v>
      </c>
      <c r="E1939" s="813" t="s">
        <v>3035</v>
      </c>
      <c r="F1939" s="451"/>
      <c r="G1939" s="451"/>
      <c r="X1939" s="501" t="b">
        <f t="shared" si="189"/>
        <v>1</v>
      </c>
    </row>
    <row r="1940" s="407" customFormat="1" outlineLevel="2" spans="2:24">
      <c r="B1940" s="575" t="s">
        <v>3039</v>
      </c>
      <c r="C1940" s="429" t="str">
        <f t="shared" si="188"/>
        <v>石嘴山市深阳蓝光市政工程有限公司</v>
      </c>
      <c r="D1940" s="1090" t="s">
        <v>3031</v>
      </c>
      <c r="E1940" s="149"/>
      <c r="F1940" s="1072"/>
      <c r="G1940" s="1072"/>
      <c r="X1940" s="501" t="b">
        <f t="shared" si="189"/>
        <v>1</v>
      </c>
    </row>
    <row r="1941" s="407" customFormat="1" outlineLevel="2" spans="2:24">
      <c r="B1941" s="575" t="s">
        <v>3039</v>
      </c>
      <c r="C1941" s="429" t="str">
        <f t="shared" si="188"/>
        <v>石嘴山市深阳蓝光市政工程有限公司</v>
      </c>
      <c r="D1941" s="1090"/>
      <c r="E1941" s="149"/>
      <c r="F1941" s="1072"/>
      <c r="G1941" s="1072"/>
      <c r="X1941" s="501" t="b">
        <f t="shared" si="189"/>
        <v>1</v>
      </c>
    </row>
    <row r="1942" s="407" customFormat="1" hidden="1" outlineLevel="2" spans="1:24">
      <c r="A1942" s="407" t="s">
        <v>2315</v>
      </c>
      <c r="B1942" s="575" t="s">
        <v>3039</v>
      </c>
      <c r="C1942" s="429" t="str">
        <f t="shared" si="188"/>
        <v>石嘴山市深阳蓝光市政工程有限公司</v>
      </c>
      <c r="D1942" s="1090"/>
      <c r="E1942" s="149" t="s">
        <v>2334</v>
      </c>
      <c r="F1942" s="1096"/>
      <c r="G1942" s="1096"/>
      <c r="H1942" s="1097"/>
      <c r="X1942" s="501" t="b">
        <f t="shared" si="189"/>
        <v>1</v>
      </c>
    </row>
    <row r="1943" hidden="1" outlineLevel="2" spans="1:24">
      <c r="A1943" s="85" t="s">
        <v>3046</v>
      </c>
      <c r="B1943" s="575" t="s">
        <v>3039</v>
      </c>
      <c r="C1943" s="429" t="str">
        <f t="shared" si="188"/>
        <v>石嘴山市深阳蓝光市政工程有限公司</v>
      </c>
      <c r="D1943" s="1098" t="s">
        <v>3046</v>
      </c>
      <c r="E1943" s="624" t="s">
        <v>3047</v>
      </c>
      <c r="F1943" s="451"/>
      <c r="G1943" s="451"/>
      <c r="I1943" s="645" t="s">
        <v>2462</v>
      </c>
      <c r="X1943" s="501" t="b">
        <f t="shared" si="189"/>
        <v>0</v>
      </c>
    </row>
    <row r="1944" hidden="1" outlineLevel="2" spans="1:24">
      <c r="A1944" s="85" t="s">
        <v>2532</v>
      </c>
      <c r="B1944" s="428" t="s">
        <v>3039</v>
      </c>
      <c r="C1944" s="429" t="str">
        <f t="shared" ref="C1944:C2017" si="192">$G$1</f>
        <v>石嘴山市深阳蓝光市政工程有限公司</v>
      </c>
      <c r="D1944" s="1074" t="s">
        <v>3046</v>
      </c>
      <c r="E1944" s="742" t="s">
        <v>2532</v>
      </c>
      <c r="F1944" s="742" t="s">
        <v>2440</v>
      </c>
      <c r="G1944" s="742" t="s">
        <v>365</v>
      </c>
      <c r="H1944" s="742" t="s">
        <v>2412</v>
      </c>
      <c r="I1944" s="627"/>
      <c r="X1944" s="501" t="b">
        <f t="shared" ref="X1944:X2017" si="193">EXACT(A1944,E1944)</f>
        <v>1</v>
      </c>
    </row>
    <row r="1945" hidden="1" outlineLevel="2" spans="2:24">
      <c r="B1945" s="428" t="s">
        <v>3039</v>
      </c>
      <c r="C1945" s="429" t="str">
        <f t="shared" si="192"/>
        <v>石嘴山市深阳蓝光市政工程有限公司</v>
      </c>
      <c r="D1945" s="1074" t="s">
        <v>3046</v>
      </c>
      <c r="E1945" s="454"/>
      <c r="F1945" s="454"/>
      <c r="G1945" s="454"/>
      <c r="H1945" s="454"/>
      <c r="X1945" s="501" t="b">
        <f t="shared" si="193"/>
        <v>1</v>
      </c>
    </row>
    <row r="1946" hidden="1" outlineLevel="2" spans="2:24">
      <c r="B1946" s="428" t="s">
        <v>3039</v>
      </c>
      <c r="C1946" s="429" t="str">
        <f t="shared" si="192"/>
        <v>石嘴山市深阳蓝光市政工程有限公司</v>
      </c>
      <c r="D1946" s="1074" t="s">
        <v>3046</v>
      </c>
      <c r="E1946" s="454"/>
      <c r="F1946" s="454"/>
      <c r="G1946" s="454"/>
      <c r="H1946" s="454"/>
      <c r="X1946" s="501" t="b">
        <f t="shared" si="193"/>
        <v>1</v>
      </c>
    </row>
    <row r="1947" hidden="1" outlineLevel="2" spans="2:24">
      <c r="B1947" s="428" t="s">
        <v>3039</v>
      </c>
      <c r="C1947" s="429" t="str">
        <f t="shared" si="192"/>
        <v>石嘴山市深阳蓝光市政工程有限公司</v>
      </c>
      <c r="D1947" s="1074" t="s">
        <v>3046</v>
      </c>
      <c r="E1947" s="454"/>
      <c r="F1947" s="454"/>
      <c r="G1947" s="454"/>
      <c r="H1947" s="454"/>
      <c r="X1947" s="501" t="b">
        <f t="shared" si="193"/>
        <v>1</v>
      </c>
    </row>
    <row r="1948" hidden="1" outlineLevel="2" spans="2:24">
      <c r="B1948" s="428" t="s">
        <v>3039</v>
      </c>
      <c r="C1948" s="429" t="str">
        <f t="shared" si="192"/>
        <v>石嘴山市深阳蓝光市政工程有限公司</v>
      </c>
      <c r="D1948" s="1074" t="s">
        <v>3046</v>
      </c>
      <c r="E1948" s="454"/>
      <c r="F1948" s="454"/>
      <c r="G1948" s="454"/>
      <c r="H1948" s="454"/>
      <c r="X1948" s="501" t="b">
        <f t="shared" si="193"/>
        <v>1</v>
      </c>
    </row>
    <row r="1949" hidden="1" outlineLevel="2" spans="2:24">
      <c r="B1949" s="428" t="s">
        <v>3039</v>
      </c>
      <c r="C1949" s="429" t="str">
        <f t="shared" si="192"/>
        <v>石嘴山市深阳蓝光市政工程有限公司</v>
      </c>
      <c r="D1949" s="1074" t="s">
        <v>3046</v>
      </c>
      <c r="E1949" s="454"/>
      <c r="F1949" s="454"/>
      <c r="G1949" s="454"/>
      <c r="H1949" s="454"/>
      <c r="X1949" s="501" t="b">
        <f t="shared" si="193"/>
        <v>1</v>
      </c>
    </row>
    <row r="1950" hidden="1" outlineLevel="2" spans="1:24">
      <c r="A1950" s="85" t="s">
        <v>1580</v>
      </c>
      <c r="B1950" s="428" t="s">
        <v>3039</v>
      </c>
      <c r="C1950" s="429" t="str">
        <f t="shared" si="192"/>
        <v>石嘴山市深阳蓝光市政工程有限公司</v>
      </c>
      <c r="D1950" s="1074" t="s">
        <v>3046</v>
      </c>
      <c r="E1950" s="742" t="s">
        <v>1580</v>
      </c>
      <c r="F1950" s="742"/>
      <c r="G1950" s="787">
        <f>SUM(G1945:G1949)</f>
        <v>0</v>
      </c>
      <c r="H1950" s="742"/>
      <c r="X1950" s="501" t="b">
        <f t="shared" si="193"/>
        <v>1</v>
      </c>
    </row>
    <row r="1951" s="407" customFormat="1" outlineLevel="2" spans="2:24">
      <c r="B1951" s="428" t="s">
        <v>3039</v>
      </c>
      <c r="C1951" s="429" t="str">
        <f t="shared" si="192"/>
        <v>石嘴山市深阳蓝光市政工程有限公司</v>
      </c>
      <c r="D1951" s="1063" t="s">
        <v>3046</v>
      </c>
      <c r="E1951" s="1071"/>
      <c r="F1951" s="1072"/>
      <c r="G1951" s="1072"/>
      <c r="X1951" s="501" t="b">
        <f t="shared" si="193"/>
        <v>1</v>
      </c>
    </row>
    <row r="1952" s="409" customFormat="1" spans="1:24">
      <c r="A1952" s="409" t="s">
        <v>1769</v>
      </c>
      <c r="B1952" s="428" t="s">
        <v>3048</v>
      </c>
      <c r="C1952" s="429" t="str">
        <f t="shared" si="192"/>
        <v>石嘴山市深阳蓝光市政工程有限公司</v>
      </c>
      <c r="D1952" s="1099" t="s">
        <v>1769</v>
      </c>
      <c r="E1952" s="65" t="s">
        <v>3049</v>
      </c>
      <c r="F1952" s="869" t="s">
        <v>2921</v>
      </c>
      <c r="G1952" s="1100"/>
      <c r="H1952" s="1100"/>
      <c r="I1952" s="1100"/>
      <c r="X1952" s="501" t="b">
        <f t="shared" si="193"/>
        <v>1</v>
      </c>
    </row>
    <row r="1953" s="409" customFormat="1" outlineLevel="2" spans="1:24">
      <c r="A1953" s="409" t="s">
        <v>2477</v>
      </c>
      <c r="B1953" s="428" t="s">
        <v>3048</v>
      </c>
      <c r="C1953" s="429" t="str">
        <f t="shared" si="192"/>
        <v>石嘴山市深阳蓝光市政工程有限公司</v>
      </c>
      <c r="D1953" s="1099" t="s">
        <v>1769</v>
      </c>
      <c r="E1953" s="1101" t="s">
        <v>2477</v>
      </c>
      <c r="F1953" s="1101" t="s">
        <v>1579</v>
      </c>
      <c r="G1953" s="1101" t="s">
        <v>671</v>
      </c>
      <c r="H1953" s="1101" t="s">
        <v>1782</v>
      </c>
      <c r="I1953" s="1101" t="s">
        <v>315</v>
      </c>
      <c r="X1953" s="501" t="b">
        <f t="shared" si="193"/>
        <v>1</v>
      </c>
    </row>
    <row r="1954" s="409" customFormat="1" outlineLevel="2" spans="1:24">
      <c r="A1954" s="409" t="s">
        <v>1052</v>
      </c>
      <c r="B1954" s="428" t="s">
        <v>3048</v>
      </c>
      <c r="C1954" s="429" t="str">
        <f t="shared" si="192"/>
        <v>石嘴山市深阳蓝光市政工程有限公司</v>
      </c>
      <c r="D1954" s="1099" t="s">
        <v>1769</v>
      </c>
      <c r="E1954" s="1102" t="s">
        <v>3050</v>
      </c>
      <c r="F1954" s="1103">
        <f>ROUND(SUM(F1955:F1957,F1961:F1966),2)</f>
        <v>0</v>
      </c>
      <c r="G1954" s="1103">
        <f>ROUND(SUM(G1955:G1957,G1961:G1966),2)</f>
        <v>0</v>
      </c>
      <c r="H1954" s="1103">
        <f>ROUND(SUM(H1955:H1957,H1961:H1966),2)</f>
        <v>0</v>
      </c>
      <c r="I1954" s="135">
        <f>ROUND(F1954+G1954-H1954,2)</f>
        <v>0</v>
      </c>
      <c r="J1954" s="1115"/>
      <c r="X1954" s="501" t="b">
        <f t="shared" si="193"/>
        <v>0</v>
      </c>
    </row>
    <row r="1955" s="409" customFormat="1" outlineLevel="2" spans="1:24">
      <c r="A1955" s="409" t="s">
        <v>1054</v>
      </c>
      <c r="B1955" s="428" t="s">
        <v>3048</v>
      </c>
      <c r="C1955" s="429" t="str">
        <f t="shared" si="192"/>
        <v>石嘴山市深阳蓝光市政工程有限公司</v>
      </c>
      <c r="D1955" s="1099" t="s">
        <v>1769</v>
      </c>
      <c r="E1955" s="1104" t="s">
        <v>3051</v>
      </c>
      <c r="F1955" s="135">
        <f>报表附注合并期初用!E1643</f>
        <v>0</v>
      </c>
      <c r="G1955" s="456"/>
      <c r="H1955" s="456"/>
      <c r="I1955" s="135">
        <f t="shared" ref="I1955:I1979" si="194">ROUND(F1955+G1955-H1955,2)</f>
        <v>0</v>
      </c>
      <c r="J1955" s="1115" t="str">
        <f>IF(I1955&lt;0,"期末为负数，请作说明","")</f>
        <v/>
      </c>
      <c r="X1955" s="501" t="b">
        <f t="shared" si="193"/>
        <v>0</v>
      </c>
    </row>
    <row r="1956" s="409" customFormat="1" outlineLevel="2" spans="1:24">
      <c r="A1956" s="409" t="s">
        <v>1056</v>
      </c>
      <c r="B1956" s="428" t="s">
        <v>3048</v>
      </c>
      <c r="C1956" s="429" t="str">
        <f t="shared" si="192"/>
        <v>石嘴山市深阳蓝光市政工程有限公司</v>
      </c>
      <c r="D1956" s="1099" t="s">
        <v>1769</v>
      </c>
      <c r="E1956" s="1104" t="s">
        <v>3052</v>
      </c>
      <c r="F1956" s="135">
        <f>报表附注合并期初用!E1644</f>
        <v>0</v>
      </c>
      <c r="G1956" s="456"/>
      <c r="H1956" s="456"/>
      <c r="I1956" s="135">
        <f t="shared" si="194"/>
        <v>0</v>
      </c>
      <c r="J1956" s="1115" t="str">
        <f t="shared" ref="J1956:J1979" si="195">IF(I1956&lt;0,"期末为负数，请作说明","")</f>
        <v/>
      </c>
      <c r="X1956" s="501" t="b">
        <f t="shared" si="193"/>
        <v>0</v>
      </c>
    </row>
    <row r="1957" s="409" customFormat="1" outlineLevel="2" spans="1:24">
      <c r="A1957" s="409" t="s">
        <v>1770</v>
      </c>
      <c r="B1957" s="428" t="s">
        <v>3048</v>
      </c>
      <c r="C1957" s="429" t="str">
        <f t="shared" si="192"/>
        <v>石嘴山市深阳蓝光市政工程有限公司</v>
      </c>
      <c r="D1957" s="1099" t="s">
        <v>1769</v>
      </c>
      <c r="E1957" s="1104" t="s">
        <v>3053</v>
      </c>
      <c r="F1957" s="1103">
        <f>ROUND(SUM(F1958:F1960),2)</f>
        <v>0</v>
      </c>
      <c r="G1957" s="1103">
        <f>ROUND(SUM(G1958:G1960),2)</f>
        <v>0</v>
      </c>
      <c r="H1957" s="1103">
        <f>ROUND(SUM(H1958:H1960),2)</f>
        <v>0</v>
      </c>
      <c r="I1957" s="135">
        <f t="shared" si="194"/>
        <v>0</v>
      </c>
      <c r="J1957" s="1115"/>
      <c r="X1957" s="501" t="b">
        <f t="shared" si="193"/>
        <v>0</v>
      </c>
    </row>
    <row r="1958" s="409" customFormat="1" outlineLevel="2" spans="1:24">
      <c r="A1958" s="409" t="s">
        <v>1771</v>
      </c>
      <c r="B1958" s="428" t="s">
        <v>3048</v>
      </c>
      <c r="C1958" s="429" t="str">
        <f t="shared" si="192"/>
        <v>石嘴山市深阳蓝光市政工程有限公司</v>
      </c>
      <c r="D1958" s="1099" t="s">
        <v>1769</v>
      </c>
      <c r="E1958" s="1104" t="s">
        <v>3054</v>
      </c>
      <c r="F1958" s="135">
        <f>报表附注合并期初用!E1646</f>
        <v>0</v>
      </c>
      <c r="G1958" s="456"/>
      <c r="H1958" s="456"/>
      <c r="I1958" s="135">
        <f t="shared" si="194"/>
        <v>0</v>
      </c>
      <c r="J1958" s="1115" t="str">
        <f t="shared" si="195"/>
        <v/>
      </c>
      <c r="X1958" s="501" t="b">
        <f t="shared" si="193"/>
        <v>0</v>
      </c>
    </row>
    <row r="1959" s="409" customFormat="1" outlineLevel="2" spans="1:24">
      <c r="A1959" s="409" t="s">
        <v>1772</v>
      </c>
      <c r="B1959" s="428" t="s">
        <v>3048</v>
      </c>
      <c r="C1959" s="429" t="str">
        <f t="shared" si="192"/>
        <v>石嘴山市深阳蓝光市政工程有限公司</v>
      </c>
      <c r="D1959" s="1099" t="s">
        <v>1769</v>
      </c>
      <c r="E1959" s="1104" t="s">
        <v>3055</v>
      </c>
      <c r="F1959" s="135">
        <f>报表附注合并期初用!E1647</f>
        <v>0</v>
      </c>
      <c r="G1959" s="456"/>
      <c r="H1959" s="456"/>
      <c r="I1959" s="135">
        <f t="shared" si="194"/>
        <v>0</v>
      </c>
      <c r="J1959" s="1115" t="str">
        <f t="shared" si="195"/>
        <v/>
      </c>
      <c r="X1959" s="501" t="b">
        <f t="shared" si="193"/>
        <v>0</v>
      </c>
    </row>
    <row r="1960" s="409" customFormat="1" outlineLevel="2" spans="1:24">
      <c r="A1960" s="409" t="s">
        <v>1773</v>
      </c>
      <c r="B1960" s="428" t="s">
        <v>3048</v>
      </c>
      <c r="C1960" s="429" t="str">
        <f t="shared" si="192"/>
        <v>石嘴山市深阳蓝光市政工程有限公司</v>
      </c>
      <c r="D1960" s="1099" t="s">
        <v>1769</v>
      </c>
      <c r="E1960" s="1104" t="s">
        <v>3056</v>
      </c>
      <c r="F1960" s="135">
        <f>报表附注合并期初用!E1648</f>
        <v>0</v>
      </c>
      <c r="G1960" s="456"/>
      <c r="H1960" s="456"/>
      <c r="I1960" s="135">
        <f t="shared" si="194"/>
        <v>0</v>
      </c>
      <c r="J1960" s="1115" t="str">
        <f t="shared" si="195"/>
        <v/>
      </c>
      <c r="X1960" s="501" t="b">
        <f t="shared" si="193"/>
        <v>0</v>
      </c>
    </row>
    <row r="1961" s="409" customFormat="1" outlineLevel="2" spans="1:24">
      <c r="A1961" s="409" t="s">
        <v>1774</v>
      </c>
      <c r="B1961" s="428" t="s">
        <v>3048</v>
      </c>
      <c r="C1961" s="429" t="str">
        <f t="shared" si="192"/>
        <v>石嘴山市深阳蓝光市政工程有限公司</v>
      </c>
      <c r="D1961" s="1099" t="s">
        <v>1769</v>
      </c>
      <c r="E1961" s="1104" t="s">
        <v>3057</v>
      </c>
      <c r="F1961" s="135">
        <f>报表附注合并期初用!E1649</f>
        <v>0</v>
      </c>
      <c r="G1961" s="456"/>
      <c r="H1961" s="456"/>
      <c r="I1961" s="135">
        <f t="shared" si="194"/>
        <v>0</v>
      </c>
      <c r="J1961" s="1115" t="str">
        <f t="shared" si="195"/>
        <v/>
      </c>
      <c r="X1961" s="501" t="b">
        <f t="shared" si="193"/>
        <v>0</v>
      </c>
    </row>
    <row r="1962" s="409" customFormat="1" outlineLevel="2" spans="1:24">
      <c r="A1962" s="409" t="s">
        <v>1775</v>
      </c>
      <c r="B1962" s="428" t="s">
        <v>3048</v>
      </c>
      <c r="C1962" s="429" t="str">
        <f t="shared" si="192"/>
        <v>石嘴山市深阳蓝光市政工程有限公司</v>
      </c>
      <c r="D1962" s="1099" t="s">
        <v>1769</v>
      </c>
      <c r="E1962" s="1105" t="s">
        <v>3058</v>
      </c>
      <c r="F1962" s="135">
        <f>报表附注合并期初用!E1650</f>
        <v>0</v>
      </c>
      <c r="G1962" s="456"/>
      <c r="H1962" s="456"/>
      <c r="I1962" s="135">
        <f t="shared" si="194"/>
        <v>0</v>
      </c>
      <c r="J1962" s="1115" t="str">
        <f t="shared" si="195"/>
        <v/>
      </c>
      <c r="X1962" s="501" t="b">
        <f t="shared" si="193"/>
        <v>0</v>
      </c>
    </row>
    <row r="1963" s="409" customFormat="1" outlineLevel="2" spans="1:24">
      <c r="A1963" s="409" t="s">
        <v>1070</v>
      </c>
      <c r="B1963" s="428" t="s">
        <v>3048</v>
      </c>
      <c r="C1963" s="429" t="str">
        <f t="shared" si="192"/>
        <v>石嘴山市深阳蓝光市政工程有限公司</v>
      </c>
      <c r="D1963" s="1099" t="s">
        <v>1769</v>
      </c>
      <c r="E1963" s="1105" t="s">
        <v>3059</v>
      </c>
      <c r="F1963" s="135">
        <f>报表附注合并期初用!E1651</f>
        <v>0</v>
      </c>
      <c r="G1963" s="456"/>
      <c r="H1963" s="456"/>
      <c r="I1963" s="135">
        <f t="shared" si="194"/>
        <v>0</v>
      </c>
      <c r="J1963" s="1115" t="str">
        <f t="shared" si="195"/>
        <v/>
      </c>
      <c r="X1963" s="501" t="b">
        <f t="shared" si="193"/>
        <v>0</v>
      </c>
    </row>
    <row r="1964" s="409" customFormat="1" outlineLevel="2" spans="1:24">
      <c r="A1964" s="409" t="s">
        <v>1776</v>
      </c>
      <c r="B1964" s="428" t="s">
        <v>3048</v>
      </c>
      <c r="C1964" s="429" t="str">
        <f t="shared" si="192"/>
        <v>石嘴山市深阳蓝光市政工程有限公司</v>
      </c>
      <c r="D1964" s="1099" t="s">
        <v>1769</v>
      </c>
      <c r="E1964" s="1105" t="s">
        <v>3060</v>
      </c>
      <c r="F1964" s="135">
        <f>报表附注合并期初用!E1652</f>
        <v>0</v>
      </c>
      <c r="G1964" s="456"/>
      <c r="H1964" s="456"/>
      <c r="I1964" s="135">
        <f t="shared" si="194"/>
        <v>0</v>
      </c>
      <c r="J1964" s="1115" t="str">
        <f t="shared" si="195"/>
        <v/>
      </c>
      <c r="X1964" s="501" t="b">
        <f t="shared" si="193"/>
        <v>0</v>
      </c>
    </row>
    <row r="1965" s="409" customFormat="1" outlineLevel="2" spans="1:24">
      <c r="A1965" s="409" t="s">
        <v>1777</v>
      </c>
      <c r="B1965" s="428" t="s">
        <v>3048</v>
      </c>
      <c r="C1965" s="429" t="str">
        <f t="shared" si="192"/>
        <v>石嘴山市深阳蓝光市政工程有限公司</v>
      </c>
      <c r="D1965" s="1099" t="s">
        <v>1769</v>
      </c>
      <c r="E1965" s="1105" t="s">
        <v>3061</v>
      </c>
      <c r="F1965" s="135">
        <f>报表附注合并期初用!E1653</f>
        <v>0</v>
      </c>
      <c r="G1965" s="456"/>
      <c r="H1965" s="456"/>
      <c r="I1965" s="135">
        <f t="shared" si="194"/>
        <v>0</v>
      </c>
      <c r="J1965" s="1115" t="str">
        <f t="shared" si="195"/>
        <v/>
      </c>
      <c r="X1965" s="501" t="b">
        <f t="shared" si="193"/>
        <v>0</v>
      </c>
    </row>
    <row r="1966" s="409" customFormat="1" outlineLevel="2" spans="1:24">
      <c r="A1966" s="409" t="s">
        <v>1778</v>
      </c>
      <c r="B1966" s="428" t="s">
        <v>3048</v>
      </c>
      <c r="C1966" s="429" t="str">
        <f t="shared" si="192"/>
        <v>石嘴山市深阳蓝光市政工程有限公司</v>
      </c>
      <c r="D1966" s="1099" t="s">
        <v>1769</v>
      </c>
      <c r="E1966" s="1105"/>
      <c r="F1966" s="135">
        <f>报表附注合并期初用!E1654</f>
        <v>0</v>
      </c>
      <c r="G1966" s="456"/>
      <c r="H1966" s="456"/>
      <c r="I1966" s="135">
        <f t="shared" si="194"/>
        <v>0</v>
      </c>
      <c r="J1966" s="1115" t="str">
        <f t="shared" si="195"/>
        <v/>
      </c>
      <c r="X1966" s="501" t="b">
        <f t="shared" si="193"/>
        <v>0</v>
      </c>
    </row>
    <row r="1967" s="409" customFormat="1" outlineLevel="2" spans="1:24">
      <c r="A1967" s="409" t="s">
        <v>1779</v>
      </c>
      <c r="B1967" s="428" t="s">
        <v>3048</v>
      </c>
      <c r="C1967" s="429" t="str">
        <f t="shared" si="192"/>
        <v>石嘴山市深阳蓝光市政工程有限公司</v>
      </c>
      <c r="D1967" s="1099" t="s">
        <v>1769</v>
      </c>
      <c r="E1967" s="1102" t="s">
        <v>3062</v>
      </c>
      <c r="F1967" s="1103">
        <f>ROUND(SUM(F1968:F1972),2)</f>
        <v>0</v>
      </c>
      <c r="G1967" s="1103">
        <f>ROUND(SUM(G1968:G1972),2)</f>
        <v>0</v>
      </c>
      <c r="H1967" s="1103">
        <f>ROUND(SUM(H1968:H1972),2)</f>
        <v>0</v>
      </c>
      <c r="I1967" s="135">
        <f t="shared" si="194"/>
        <v>0</v>
      </c>
      <c r="J1967" s="1115"/>
      <c r="X1967" s="501" t="b">
        <f t="shared" si="193"/>
        <v>0</v>
      </c>
    </row>
    <row r="1968" s="409" customFormat="1" outlineLevel="2" spans="1:24">
      <c r="A1968" s="409" t="s">
        <v>1780</v>
      </c>
      <c r="B1968" s="428" t="s">
        <v>3048</v>
      </c>
      <c r="C1968" s="429" t="str">
        <f t="shared" si="192"/>
        <v>石嘴山市深阳蓝光市政工程有限公司</v>
      </c>
      <c r="D1968" s="1099" t="s">
        <v>1769</v>
      </c>
      <c r="E1968" s="1106" t="s">
        <v>3063</v>
      </c>
      <c r="F1968" s="135">
        <f>报表附注合并期初用!E1656</f>
        <v>0</v>
      </c>
      <c r="G1968" s="456"/>
      <c r="H1968" s="456"/>
      <c r="I1968" s="135">
        <f t="shared" si="194"/>
        <v>0</v>
      </c>
      <c r="J1968" s="1115" t="str">
        <f t="shared" si="195"/>
        <v/>
      </c>
      <c r="X1968" s="501" t="b">
        <f t="shared" si="193"/>
        <v>0</v>
      </c>
    </row>
    <row r="1969" s="409" customFormat="1" outlineLevel="2" spans="1:24">
      <c r="A1969" s="409" t="s">
        <v>1781</v>
      </c>
      <c r="B1969" s="428" t="s">
        <v>3048</v>
      </c>
      <c r="C1969" s="429" t="str">
        <f t="shared" si="192"/>
        <v>石嘴山市深阳蓝光市政工程有限公司</v>
      </c>
      <c r="D1969" s="1099" t="s">
        <v>1769</v>
      </c>
      <c r="E1969" s="1105" t="s">
        <v>3064</v>
      </c>
      <c r="F1969" s="135">
        <f>报表附注合并期初用!E1657</f>
        <v>0</v>
      </c>
      <c r="G1969" s="456"/>
      <c r="H1969" s="456"/>
      <c r="I1969" s="135">
        <f t="shared" si="194"/>
        <v>0</v>
      </c>
      <c r="J1969" s="1115" t="str">
        <f t="shared" si="195"/>
        <v/>
      </c>
      <c r="X1969" s="501" t="b">
        <f t="shared" si="193"/>
        <v>0</v>
      </c>
    </row>
    <row r="1970" s="409" customFormat="1" outlineLevel="2" spans="2:24">
      <c r="B1970" s="428"/>
      <c r="C1970" s="429"/>
      <c r="D1970" s="1099" t="s">
        <v>1769</v>
      </c>
      <c r="E1970" s="1105" t="s">
        <v>3065</v>
      </c>
      <c r="F1970" s="153">
        <f>报表附注合并期初用!E1658</f>
        <v>0</v>
      </c>
      <c r="G1970" s="456"/>
      <c r="H1970" s="456"/>
      <c r="I1970" s="135">
        <f t="shared" si="194"/>
        <v>0</v>
      </c>
      <c r="J1970" s="1115" t="str">
        <f t="shared" si="195"/>
        <v/>
      </c>
      <c r="X1970" s="501"/>
    </row>
    <row r="1971" s="409" customFormat="1" outlineLevel="2" spans="2:24">
      <c r="B1971" s="428"/>
      <c r="C1971" s="429"/>
      <c r="D1971" s="1099" t="s">
        <v>1769</v>
      </c>
      <c r="E1971" s="1105" t="s">
        <v>3066</v>
      </c>
      <c r="F1971" s="153">
        <f>报表附注合并期初用!E1659</f>
        <v>0</v>
      </c>
      <c r="G1971" s="456"/>
      <c r="H1971" s="456"/>
      <c r="I1971" s="135">
        <f t="shared" si="194"/>
        <v>0</v>
      </c>
      <c r="J1971" s="1115" t="str">
        <f t="shared" si="195"/>
        <v/>
      </c>
      <c r="X1971" s="501"/>
    </row>
    <row r="1972" s="409" customFormat="1" outlineLevel="2" spans="2:24">
      <c r="B1972" s="428"/>
      <c r="C1972" s="429"/>
      <c r="D1972" s="1099" t="s">
        <v>1769</v>
      </c>
      <c r="E1972" s="1105"/>
      <c r="F1972" s="153"/>
      <c r="G1972" s="456"/>
      <c r="H1972" s="456"/>
      <c r="I1972" s="135">
        <f t="shared" si="194"/>
        <v>0</v>
      </c>
      <c r="J1972" s="1115" t="str">
        <f t="shared" si="195"/>
        <v/>
      </c>
      <c r="X1972" s="501"/>
    </row>
    <row r="1973" s="409" customFormat="1" outlineLevel="2" spans="2:24">
      <c r="B1973" s="428"/>
      <c r="C1973" s="429"/>
      <c r="D1973" s="1099" t="s">
        <v>1769</v>
      </c>
      <c r="E1973" s="1107" t="s">
        <v>3067</v>
      </c>
      <c r="F1973" s="1103">
        <f>ROUND(SUM(F1974:F1975),2)</f>
        <v>0</v>
      </c>
      <c r="G1973" s="1103">
        <f>ROUND(SUM(G1974:G1975),2)</f>
        <v>0</v>
      </c>
      <c r="H1973" s="1103">
        <f>ROUND(SUM(H1974:H1975),2)</f>
        <v>0</v>
      </c>
      <c r="I1973" s="135">
        <f t="shared" si="194"/>
        <v>0</v>
      </c>
      <c r="J1973" s="1115"/>
      <c r="X1973" s="501"/>
    </row>
    <row r="1974" s="409" customFormat="1" outlineLevel="2" spans="2:24">
      <c r="B1974" s="428"/>
      <c r="C1974" s="429"/>
      <c r="D1974" s="1099" t="s">
        <v>1769</v>
      </c>
      <c r="E1974" s="1105" t="s">
        <v>3068</v>
      </c>
      <c r="F1974" s="153">
        <f>报表附注合并期初用!E1662</f>
        <v>0</v>
      </c>
      <c r="G1974" s="456"/>
      <c r="H1974" s="456"/>
      <c r="I1974" s="135">
        <f t="shared" si="194"/>
        <v>0</v>
      </c>
      <c r="J1974" s="1115" t="str">
        <f t="shared" si="195"/>
        <v/>
      </c>
      <c r="X1974" s="501"/>
    </row>
    <row r="1975" s="409" customFormat="1" outlineLevel="2" spans="2:24">
      <c r="B1975" s="428"/>
      <c r="C1975" s="429"/>
      <c r="D1975" s="1099" t="s">
        <v>1769</v>
      </c>
      <c r="E1975" s="1105" t="s">
        <v>3069</v>
      </c>
      <c r="F1975" s="153">
        <f>报表附注合并期初用!E1663</f>
        <v>0</v>
      </c>
      <c r="G1975" s="456"/>
      <c r="H1975" s="456"/>
      <c r="I1975" s="135">
        <f t="shared" si="194"/>
        <v>0</v>
      </c>
      <c r="J1975" s="1115" t="str">
        <f t="shared" si="195"/>
        <v/>
      </c>
      <c r="X1975" s="501"/>
    </row>
    <row r="1976" s="409" customFormat="1" outlineLevel="2" spans="2:24">
      <c r="B1976" s="428"/>
      <c r="C1976" s="429"/>
      <c r="D1976" s="1099" t="s">
        <v>1769</v>
      </c>
      <c r="E1976" s="1105"/>
      <c r="F1976" s="153"/>
      <c r="G1976" s="456"/>
      <c r="H1976" s="456"/>
      <c r="I1976" s="135">
        <f t="shared" si="194"/>
        <v>0</v>
      </c>
      <c r="J1976" s="1115" t="str">
        <f t="shared" si="195"/>
        <v/>
      </c>
      <c r="X1976" s="501"/>
    </row>
    <row r="1977" s="409" customFormat="1" outlineLevel="2" spans="2:24">
      <c r="B1977" s="428"/>
      <c r="C1977" s="429"/>
      <c r="D1977" s="1099" t="s">
        <v>1769</v>
      </c>
      <c r="E1977" s="1108" t="s">
        <v>3070</v>
      </c>
      <c r="F1977" s="1103">
        <f>ROUND(SUM(F1978:F1979),2)</f>
        <v>0</v>
      </c>
      <c r="G1977" s="1103">
        <f>ROUND(SUM(G1978:G1979),2)</f>
        <v>0</v>
      </c>
      <c r="H1977" s="1103">
        <f>ROUND(SUM(H1978:H1979),2)</f>
        <v>0</v>
      </c>
      <c r="I1977" s="135">
        <f t="shared" si="194"/>
        <v>0</v>
      </c>
      <c r="J1977" s="1115"/>
      <c r="X1977" s="501"/>
    </row>
    <row r="1978" s="409" customFormat="1" outlineLevel="2" spans="2:24">
      <c r="B1978" s="428"/>
      <c r="C1978" s="429"/>
      <c r="D1978" s="1099" t="s">
        <v>1769</v>
      </c>
      <c r="E1978" s="1105" t="s">
        <v>3071</v>
      </c>
      <c r="F1978" s="153">
        <f>报表附注合并期初用!E1666</f>
        <v>0</v>
      </c>
      <c r="G1978" s="456"/>
      <c r="H1978" s="456"/>
      <c r="I1978" s="135">
        <f t="shared" si="194"/>
        <v>0</v>
      </c>
      <c r="J1978" s="1115" t="str">
        <f t="shared" si="195"/>
        <v/>
      </c>
      <c r="X1978" s="501"/>
    </row>
    <row r="1979" s="409" customFormat="1" outlineLevel="2" spans="2:24">
      <c r="B1979" s="428"/>
      <c r="C1979" s="429"/>
      <c r="D1979" s="1099" t="s">
        <v>1769</v>
      </c>
      <c r="E1979" s="1105" t="s">
        <v>3072</v>
      </c>
      <c r="F1979" s="153">
        <f>报表附注合并期初用!E1667</f>
        <v>0</v>
      </c>
      <c r="G1979" s="456"/>
      <c r="H1979" s="456"/>
      <c r="I1979" s="135">
        <f t="shared" si="194"/>
        <v>0</v>
      </c>
      <c r="J1979" s="1115" t="str">
        <f t="shared" si="195"/>
        <v/>
      </c>
      <c r="X1979" s="501"/>
    </row>
    <row r="1980" s="409" customFormat="1" outlineLevel="2" spans="1:24">
      <c r="A1980" s="409" t="s">
        <v>1206</v>
      </c>
      <c r="B1980" s="428" t="s">
        <v>3048</v>
      </c>
      <c r="C1980" s="429" t="str">
        <f t="shared" si="192"/>
        <v>石嘴山市深阳蓝光市政工程有限公司</v>
      </c>
      <c r="D1980" s="1099" t="s">
        <v>1769</v>
      </c>
      <c r="E1980" s="1105" t="s">
        <v>3073</v>
      </c>
      <c r="F1980" s="1109">
        <f>ROUND(SUM(F1954,F1967,F1973,F1977),2)</f>
        <v>0</v>
      </c>
      <c r="G1980" s="1109">
        <f>ROUND(SUM(G1954,G1967,G1973,G1977),2)</f>
        <v>0</v>
      </c>
      <c r="H1980" s="1109">
        <f>ROUND(SUM(H1954,H1967,H1973,H1977),2)</f>
        <v>0</v>
      </c>
      <c r="I1980" s="1109">
        <f>ROUND(SUM(I1954,I1967,I1973,I1977),2)</f>
        <v>0</v>
      </c>
      <c r="J1980" s="1115"/>
      <c r="X1980" s="501" t="b">
        <f t="shared" si="193"/>
        <v>1</v>
      </c>
    </row>
    <row r="1981" s="409" customFormat="1" outlineLevel="2" spans="1:24">
      <c r="A1981" s="409" t="s">
        <v>1444</v>
      </c>
      <c r="B1981" s="428" t="s">
        <v>3048</v>
      </c>
      <c r="C1981" s="429" t="str">
        <f t="shared" si="192"/>
        <v>石嘴山市深阳蓝光市政工程有限公司</v>
      </c>
      <c r="D1981" s="1099" t="s">
        <v>1769</v>
      </c>
      <c r="E1981" s="1060" t="s">
        <v>1444</v>
      </c>
      <c r="F1981" s="1110">
        <f>审定资负表!H12</f>
        <v>0</v>
      </c>
      <c r="G1981" s="1111"/>
      <c r="H1981" s="1111"/>
      <c r="I1981" s="1110">
        <f>审定资负表!G12</f>
        <v>0</v>
      </c>
      <c r="X1981" s="501" t="b">
        <f t="shared" si="193"/>
        <v>1</v>
      </c>
    </row>
    <row r="1982" s="409" customFormat="1" outlineLevel="1" spans="1:24">
      <c r="A1982" s="409" t="s">
        <v>1394</v>
      </c>
      <c r="B1982" s="428" t="s">
        <v>3048</v>
      </c>
      <c r="C1982" s="429" t="str">
        <f t="shared" si="192"/>
        <v>石嘴山市深阳蓝光市政工程有限公司</v>
      </c>
      <c r="D1982" s="1099" t="s">
        <v>1769</v>
      </c>
      <c r="E1982" s="1060" t="s">
        <v>1394</v>
      </c>
      <c r="F1982" s="87">
        <f>ROUND(F1980-F1981,2)</f>
        <v>0</v>
      </c>
      <c r="G1982" s="1111"/>
      <c r="H1982" s="87">
        <f>H1980-审定现流表!C12</f>
        <v>0</v>
      </c>
      <c r="I1982" s="87">
        <f>ROUND(I1980-I1981,2)</f>
        <v>0</v>
      </c>
      <c r="X1982" s="501" t="b">
        <f t="shared" si="193"/>
        <v>1</v>
      </c>
    </row>
    <row r="1983" s="409" customFormat="1" outlineLevel="2" spans="2:24">
      <c r="B1983" s="1112" t="s">
        <v>3074</v>
      </c>
      <c r="C1983" s="1113" t="str">
        <f t="shared" si="192"/>
        <v>石嘴山市深阳蓝光市政工程有限公司</v>
      </c>
      <c r="D1983" s="1099" t="s">
        <v>1769</v>
      </c>
      <c r="E1983" s="1114"/>
      <c r="F1983" s="1111"/>
      <c r="G1983" s="1111"/>
      <c r="H1983" s="1111"/>
      <c r="I1983" s="1111"/>
      <c r="X1983" s="501" t="b">
        <f t="shared" si="193"/>
        <v>1</v>
      </c>
    </row>
    <row r="1984" s="409" customFormat="1" outlineLevel="2" spans="1:24">
      <c r="A1984" s="409" t="s">
        <v>3075</v>
      </c>
      <c r="B1984" s="428" t="s">
        <v>3048</v>
      </c>
      <c r="C1984" s="429" t="str">
        <f t="shared" si="192"/>
        <v>石嘴山市深阳蓝光市政工程有限公司</v>
      </c>
      <c r="D1984" s="1099" t="s">
        <v>3075</v>
      </c>
      <c r="E1984" s="538" t="str">
        <f>"（2）应付职工薪酬中属于拖欠性质的金额"&amp;TEXT(F1985,"#,#0.00")&amp;"元。工会经费和职工教育经费金额"&amp;TEXT(G1985,"#,#0.00")&amp;"元，非货币性福利金额"&amp;TEXT(H1985,"#,#0.00")&amp;"元，因解除劳动关系给予补偿"&amp;TEXT(I1985,"#,#0.00")&amp;"元。"</f>
        <v>（2）应付职工薪酬中属于拖欠性质的金额0.00元。工会经费和职工教育经费金额0.00元，非货币性福利金额0.00元，因解除劳动关系给予补偿0.00元。</v>
      </c>
      <c r="F1984" s="1111"/>
      <c r="G1984" s="1111"/>
      <c r="H1984" s="1111"/>
      <c r="I1984" s="1111"/>
      <c r="X1984" s="501" t="b">
        <f t="shared" si="193"/>
        <v>0</v>
      </c>
    </row>
    <row r="1985" s="409" customFormat="1" outlineLevel="2" spans="1:24">
      <c r="A1985" s="409" t="s">
        <v>2315</v>
      </c>
      <c r="B1985" s="428" t="s">
        <v>3048</v>
      </c>
      <c r="C1985" s="429" t="str">
        <f t="shared" si="192"/>
        <v>石嘴山市深阳蓝光市政工程有限公司</v>
      </c>
      <c r="D1985" s="1099" t="s">
        <v>3075</v>
      </c>
      <c r="E1985" s="149" t="s">
        <v>2334</v>
      </c>
      <c r="F1985" s="1116">
        <v>0</v>
      </c>
      <c r="G1985" s="1116">
        <v>0</v>
      </c>
      <c r="H1985" s="1116">
        <v>0</v>
      </c>
      <c r="I1985" s="1116">
        <v>0</v>
      </c>
      <c r="X1985" s="501" t="b">
        <f t="shared" si="193"/>
        <v>1</v>
      </c>
    </row>
    <row r="1986" s="409" customFormat="1" outlineLevel="2" spans="1:24">
      <c r="A1986" s="409" t="s">
        <v>3076</v>
      </c>
      <c r="B1986" s="428" t="s">
        <v>3048</v>
      </c>
      <c r="C1986" s="429" t="str">
        <f t="shared" si="192"/>
        <v>石嘴山市深阳蓝光市政工程有限公司</v>
      </c>
      <c r="D1986" s="1099" t="s">
        <v>3076</v>
      </c>
      <c r="E1986" s="149" t="s">
        <v>3077</v>
      </c>
      <c r="F1986" s="1111"/>
      <c r="G1986" s="1111"/>
      <c r="H1986" s="1111"/>
      <c r="I1986" s="1111"/>
      <c r="X1986" s="501" t="b">
        <f t="shared" si="193"/>
        <v>1</v>
      </c>
    </row>
    <row r="1987" s="409" customFormat="1" outlineLevel="2" spans="1:24">
      <c r="A1987" s="409" t="s">
        <v>2315</v>
      </c>
      <c r="B1987" s="428" t="s">
        <v>3048</v>
      </c>
      <c r="C1987" s="429" t="str">
        <f t="shared" si="192"/>
        <v>石嘴山市深阳蓝光市政工程有限公司</v>
      </c>
      <c r="D1987" s="1099" t="s">
        <v>3076</v>
      </c>
      <c r="E1987" s="149" t="s">
        <v>2334</v>
      </c>
      <c r="F1987" s="1116"/>
      <c r="G1987" s="1116"/>
      <c r="H1987" s="1116"/>
      <c r="I1987" s="1111"/>
      <c r="X1987" s="501" t="b">
        <f t="shared" si="193"/>
        <v>1</v>
      </c>
    </row>
    <row r="1988" s="409" customFormat="1" outlineLevel="2" spans="2:24">
      <c r="B1988" s="428" t="s">
        <v>3048</v>
      </c>
      <c r="C1988" s="429" t="str">
        <f t="shared" si="192"/>
        <v>石嘴山市深阳蓝光市政工程有限公司</v>
      </c>
      <c r="D1988" s="1099"/>
      <c r="E1988" s="149"/>
      <c r="F1988" s="1111"/>
      <c r="G1988" s="1111"/>
      <c r="H1988" s="1111"/>
      <c r="I1988" s="1111"/>
      <c r="X1988" s="501" t="b">
        <f t="shared" si="193"/>
        <v>1</v>
      </c>
    </row>
    <row r="1989" s="409" customFormat="1" outlineLevel="2" spans="1:24">
      <c r="A1989" s="409" t="s">
        <v>2315</v>
      </c>
      <c r="B1989" s="428" t="s">
        <v>3048</v>
      </c>
      <c r="C1989" s="429" t="str">
        <f t="shared" si="192"/>
        <v>石嘴山市深阳蓝光市政工程有限公司</v>
      </c>
      <c r="D1989" s="1099"/>
      <c r="E1989" s="149" t="s">
        <v>2334</v>
      </c>
      <c r="F1989" s="1116"/>
      <c r="G1989" s="1116"/>
      <c r="H1989" s="1116"/>
      <c r="I1989" s="1111"/>
      <c r="X1989" s="501" t="b">
        <f t="shared" si="193"/>
        <v>1</v>
      </c>
    </row>
    <row r="1990" s="409" customFormat="1" outlineLevel="2" spans="2:24">
      <c r="B1990" s="428" t="s">
        <v>3048</v>
      </c>
      <c r="C1990" s="429" t="str">
        <f t="shared" si="192"/>
        <v>石嘴山市深阳蓝光市政工程有限公司</v>
      </c>
      <c r="D1990" s="1099"/>
      <c r="E1990" s="1114"/>
      <c r="F1990" s="1111"/>
      <c r="G1990" s="1111"/>
      <c r="H1990" s="1111"/>
      <c r="I1990" s="1111"/>
      <c r="X1990" s="501" t="b">
        <f t="shared" si="193"/>
        <v>1</v>
      </c>
    </row>
    <row r="1991" s="410" customFormat="1" spans="1:24">
      <c r="A1991" s="410" t="s">
        <v>1783</v>
      </c>
      <c r="B1991" s="428" t="s">
        <v>3078</v>
      </c>
      <c r="C1991" s="429" t="str">
        <f t="shared" si="192"/>
        <v>石嘴山市深阳蓝光市政工程有限公司</v>
      </c>
      <c r="D1991" s="1117" t="s">
        <v>1783</v>
      </c>
      <c r="E1991" s="65" t="s">
        <v>3079</v>
      </c>
      <c r="F1991" s="1118" t="s">
        <v>2921</v>
      </c>
      <c r="G1991" s="1119"/>
      <c r="X1991" s="501" t="b">
        <f t="shared" si="193"/>
        <v>1</v>
      </c>
    </row>
    <row r="1992" s="410" customFormat="1" outlineLevel="2" spans="1:24">
      <c r="A1992" s="410" t="s">
        <v>1084</v>
      </c>
      <c r="B1992" s="428" t="s">
        <v>3078</v>
      </c>
      <c r="C1992" s="429" t="str">
        <f t="shared" si="192"/>
        <v>石嘴山市深阳蓝光市政工程有限公司</v>
      </c>
      <c r="D1992" s="1117" t="s">
        <v>1783</v>
      </c>
      <c r="E1992" s="1120" t="s">
        <v>1084</v>
      </c>
      <c r="F1992" s="1120" t="s">
        <v>1579</v>
      </c>
      <c r="G1992" s="1120" t="s">
        <v>1808</v>
      </c>
      <c r="H1992" s="1120" t="s">
        <v>1809</v>
      </c>
      <c r="I1992" s="1120" t="s">
        <v>1618</v>
      </c>
      <c r="X1992" s="501" t="b">
        <f t="shared" si="193"/>
        <v>1</v>
      </c>
    </row>
    <row r="1993" s="410" customFormat="1" outlineLevel="2" spans="1:24">
      <c r="A1993" s="410" t="s">
        <v>1784</v>
      </c>
      <c r="B1993" s="428" t="s">
        <v>3078</v>
      </c>
      <c r="C1993" s="429" t="str">
        <f t="shared" si="192"/>
        <v>石嘴山市深阳蓝光市政工程有限公司</v>
      </c>
      <c r="D1993" s="1117" t="s">
        <v>1783</v>
      </c>
      <c r="E1993" s="1121" t="s">
        <v>3080</v>
      </c>
      <c r="F1993" s="477">
        <f>报表附注合并期初用!E1756</f>
        <v>0</v>
      </c>
      <c r="G1993" s="132"/>
      <c r="H1993" s="132"/>
      <c r="I1993" s="135">
        <f>F1993+G1993-H1993</f>
        <v>0</v>
      </c>
      <c r="X1993" s="501" t="b">
        <f t="shared" si="193"/>
        <v>0</v>
      </c>
    </row>
    <row r="1994" s="410" customFormat="1" outlineLevel="2" spans="1:24">
      <c r="A1994" s="410" t="s">
        <v>1785</v>
      </c>
      <c r="B1994" s="428" t="s">
        <v>3078</v>
      </c>
      <c r="C1994" s="429" t="str">
        <f t="shared" si="192"/>
        <v>石嘴山市深阳蓝光市政工程有限公司</v>
      </c>
      <c r="D1994" s="1117" t="s">
        <v>1783</v>
      </c>
      <c r="E1994" s="1121" t="s">
        <v>3081</v>
      </c>
      <c r="F1994" s="477">
        <f>报表附注合并期初用!E1757</f>
        <v>0</v>
      </c>
      <c r="G1994" s="132"/>
      <c r="H1994" s="132"/>
      <c r="I1994" s="135">
        <f t="shared" ref="I1994:I2016" si="196">F1994+G1994-H1994</f>
        <v>0</v>
      </c>
      <c r="X1994" s="501" t="b">
        <f t="shared" si="193"/>
        <v>0</v>
      </c>
    </row>
    <row r="1995" s="410" customFormat="1" outlineLevel="2" spans="1:24">
      <c r="A1995" s="410" t="s">
        <v>1786</v>
      </c>
      <c r="B1995" s="428" t="s">
        <v>3078</v>
      </c>
      <c r="C1995" s="429" t="str">
        <f t="shared" si="192"/>
        <v>石嘴山市深阳蓝光市政工程有限公司</v>
      </c>
      <c r="D1995" s="1117" t="s">
        <v>1783</v>
      </c>
      <c r="E1995" s="1121" t="s">
        <v>3082</v>
      </c>
      <c r="F1995" s="477">
        <f>报表附注合并期初用!E1758</f>
        <v>0</v>
      </c>
      <c r="G1995" s="132"/>
      <c r="H1995" s="132"/>
      <c r="I1995" s="135">
        <f t="shared" si="196"/>
        <v>0</v>
      </c>
      <c r="X1995" s="501" t="b">
        <f t="shared" si="193"/>
        <v>0</v>
      </c>
    </row>
    <row r="1996" s="410" customFormat="1" outlineLevel="2" spans="1:24">
      <c r="A1996" s="410" t="s">
        <v>1787</v>
      </c>
      <c r="B1996" s="428" t="s">
        <v>3078</v>
      </c>
      <c r="C1996" s="429" t="str">
        <f t="shared" si="192"/>
        <v>石嘴山市深阳蓝光市政工程有限公司</v>
      </c>
      <c r="D1996" s="1117" t="s">
        <v>1783</v>
      </c>
      <c r="E1996" s="1121" t="s">
        <v>3083</v>
      </c>
      <c r="F1996" s="477">
        <f>报表附注合并期初用!E1759</f>
        <v>0</v>
      </c>
      <c r="G1996" s="132"/>
      <c r="H1996" s="132"/>
      <c r="I1996" s="135">
        <f t="shared" si="196"/>
        <v>0</v>
      </c>
      <c r="X1996" s="501" t="b">
        <f t="shared" si="193"/>
        <v>0</v>
      </c>
    </row>
    <row r="1997" s="410" customFormat="1" outlineLevel="2" spans="1:24">
      <c r="A1997" s="410" t="s">
        <v>1788</v>
      </c>
      <c r="B1997" s="428" t="s">
        <v>3078</v>
      </c>
      <c r="C1997" s="429" t="str">
        <f t="shared" si="192"/>
        <v>石嘴山市深阳蓝光市政工程有限公司</v>
      </c>
      <c r="D1997" s="1117" t="s">
        <v>1783</v>
      </c>
      <c r="E1997" s="1121" t="s">
        <v>3084</v>
      </c>
      <c r="F1997" s="477">
        <f>报表附注合并期初用!E1760</f>
        <v>0</v>
      </c>
      <c r="G1997" s="132"/>
      <c r="H1997" s="132"/>
      <c r="I1997" s="135">
        <f t="shared" si="196"/>
        <v>0</v>
      </c>
      <c r="X1997" s="501" t="b">
        <f t="shared" si="193"/>
        <v>0</v>
      </c>
    </row>
    <row r="1998" s="410" customFormat="1" outlineLevel="2" spans="1:24">
      <c r="A1998" s="410" t="s">
        <v>1789</v>
      </c>
      <c r="B1998" s="428" t="s">
        <v>3078</v>
      </c>
      <c r="C1998" s="429" t="str">
        <f t="shared" si="192"/>
        <v>石嘴山市深阳蓝光市政工程有限公司</v>
      </c>
      <c r="D1998" s="1117" t="s">
        <v>1783</v>
      </c>
      <c r="E1998" s="1121" t="s">
        <v>3085</v>
      </c>
      <c r="F1998" s="477">
        <f>报表附注合并期初用!E1761</f>
        <v>0</v>
      </c>
      <c r="G1998" s="132"/>
      <c r="H1998" s="132"/>
      <c r="I1998" s="135">
        <f t="shared" si="196"/>
        <v>0</v>
      </c>
      <c r="X1998" s="501" t="b">
        <f t="shared" si="193"/>
        <v>0</v>
      </c>
    </row>
    <row r="1999" s="410" customFormat="1" outlineLevel="2" spans="1:24">
      <c r="A1999" s="410" t="s">
        <v>1790</v>
      </c>
      <c r="B1999" s="428" t="s">
        <v>3078</v>
      </c>
      <c r="C1999" s="429" t="str">
        <f t="shared" si="192"/>
        <v>石嘴山市深阳蓝光市政工程有限公司</v>
      </c>
      <c r="D1999" s="1117" t="s">
        <v>1783</v>
      </c>
      <c r="E1999" s="1121" t="s">
        <v>3086</v>
      </c>
      <c r="F1999" s="477">
        <f>报表附注合并期初用!E1762</f>
        <v>0</v>
      </c>
      <c r="G1999" s="132"/>
      <c r="H1999" s="132"/>
      <c r="I1999" s="135">
        <f t="shared" si="196"/>
        <v>0</v>
      </c>
      <c r="X1999" s="501" t="b">
        <f t="shared" si="193"/>
        <v>0</v>
      </c>
    </row>
    <row r="2000" s="410" customFormat="1" outlineLevel="2" spans="1:24">
      <c r="A2000" s="410" t="s">
        <v>1791</v>
      </c>
      <c r="B2000" s="428" t="s">
        <v>3078</v>
      </c>
      <c r="C2000" s="429" t="str">
        <f t="shared" si="192"/>
        <v>石嘴山市深阳蓝光市政工程有限公司</v>
      </c>
      <c r="D2000" s="1117" t="s">
        <v>1783</v>
      </c>
      <c r="E2000" s="1121" t="s">
        <v>3087</v>
      </c>
      <c r="F2000" s="477">
        <f>报表附注合并期初用!E1763</f>
        <v>0</v>
      </c>
      <c r="G2000" s="132"/>
      <c r="H2000" s="132"/>
      <c r="I2000" s="135">
        <f t="shared" si="196"/>
        <v>0</v>
      </c>
      <c r="X2000" s="501" t="b">
        <f t="shared" si="193"/>
        <v>0</v>
      </c>
    </row>
    <row r="2001" s="410" customFormat="1" outlineLevel="2" spans="1:24">
      <c r="A2001" s="410" t="s">
        <v>1792</v>
      </c>
      <c r="B2001" s="428" t="s">
        <v>3078</v>
      </c>
      <c r="C2001" s="429" t="str">
        <f t="shared" si="192"/>
        <v>石嘴山市深阳蓝光市政工程有限公司</v>
      </c>
      <c r="D2001" s="1117" t="s">
        <v>1783</v>
      </c>
      <c r="E2001" s="1121" t="s">
        <v>3088</v>
      </c>
      <c r="F2001" s="477">
        <f>报表附注合并期初用!E1764</f>
        <v>0</v>
      </c>
      <c r="G2001" s="132"/>
      <c r="H2001" s="132"/>
      <c r="I2001" s="135">
        <f t="shared" si="196"/>
        <v>0</v>
      </c>
      <c r="X2001" s="501" t="b">
        <f t="shared" si="193"/>
        <v>0</v>
      </c>
    </row>
    <row r="2002" s="410" customFormat="1" outlineLevel="2" spans="1:24">
      <c r="A2002" s="410" t="s">
        <v>1793</v>
      </c>
      <c r="B2002" s="428" t="s">
        <v>3078</v>
      </c>
      <c r="C2002" s="429" t="str">
        <f t="shared" si="192"/>
        <v>石嘴山市深阳蓝光市政工程有限公司</v>
      </c>
      <c r="D2002" s="1117" t="s">
        <v>1783</v>
      </c>
      <c r="E2002" s="1121" t="s">
        <v>3089</v>
      </c>
      <c r="F2002" s="477">
        <f>报表附注合并期初用!E1765</f>
        <v>0</v>
      </c>
      <c r="G2002" s="132"/>
      <c r="H2002" s="132"/>
      <c r="I2002" s="135">
        <f t="shared" si="196"/>
        <v>0</v>
      </c>
      <c r="X2002" s="501" t="b">
        <f t="shared" si="193"/>
        <v>0</v>
      </c>
    </row>
    <row r="2003" s="410" customFormat="1" outlineLevel="2" spans="1:24">
      <c r="A2003" s="410" t="s">
        <v>1794</v>
      </c>
      <c r="B2003" s="428" t="s">
        <v>3078</v>
      </c>
      <c r="C2003" s="429" t="str">
        <f t="shared" si="192"/>
        <v>石嘴山市深阳蓝光市政工程有限公司</v>
      </c>
      <c r="D2003" s="1117" t="s">
        <v>1783</v>
      </c>
      <c r="E2003" s="1121" t="s">
        <v>3090</v>
      </c>
      <c r="F2003" s="477">
        <f>报表附注合并期初用!E1766</f>
        <v>0</v>
      </c>
      <c r="G2003" s="132"/>
      <c r="H2003" s="132"/>
      <c r="I2003" s="135">
        <f t="shared" si="196"/>
        <v>0</v>
      </c>
      <c r="X2003" s="501" t="b">
        <f t="shared" si="193"/>
        <v>0</v>
      </c>
    </row>
    <row r="2004" s="410" customFormat="1" outlineLevel="2" spans="1:24">
      <c r="A2004" s="410" t="s">
        <v>1795</v>
      </c>
      <c r="B2004" s="428" t="s">
        <v>3078</v>
      </c>
      <c r="C2004" s="429" t="str">
        <f t="shared" si="192"/>
        <v>石嘴山市深阳蓝光市政工程有限公司</v>
      </c>
      <c r="D2004" s="1117" t="s">
        <v>1783</v>
      </c>
      <c r="E2004" s="1121" t="s">
        <v>3091</v>
      </c>
      <c r="F2004" s="477">
        <f>报表附注合并期初用!E1767</f>
        <v>0</v>
      </c>
      <c r="G2004" s="132"/>
      <c r="H2004" s="132"/>
      <c r="I2004" s="135">
        <f t="shared" si="196"/>
        <v>0</v>
      </c>
      <c r="X2004" s="501" t="b">
        <f t="shared" si="193"/>
        <v>0</v>
      </c>
    </row>
    <row r="2005" s="410" customFormat="1" outlineLevel="2" spans="1:24">
      <c r="A2005" s="410" t="s">
        <v>1796</v>
      </c>
      <c r="B2005" s="428" t="s">
        <v>3078</v>
      </c>
      <c r="C2005" s="429" t="str">
        <f t="shared" si="192"/>
        <v>石嘴山市深阳蓝光市政工程有限公司</v>
      </c>
      <c r="D2005" s="1117" t="s">
        <v>1783</v>
      </c>
      <c r="E2005" s="1121" t="s">
        <v>3092</v>
      </c>
      <c r="F2005" s="477">
        <f>报表附注合并期初用!E1768</f>
        <v>0</v>
      </c>
      <c r="G2005" s="132"/>
      <c r="H2005" s="132"/>
      <c r="I2005" s="135">
        <f t="shared" si="196"/>
        <v>0</v>
      </c>
      <c r="X2005" s="501" t="b">
        <f t="shared" si="193"/>
        <v>0</v>
      </c>
    </row>
    <row r="2006" s="410" customFormat="1" outlineLevel="2" spans="1:24">
      <c r="A2006" s="410" t="s">
        <v>1797</v>
      </c>
      <c r="B2006" s="428" t="s">
        <v>3078</v>
      </c>
      <c r="C2006" s="429" t="str">
        <f t="shared" si="192"/>
        <v>石嘴山市深阳蓝光市政工程有限公司</v>
      </c>
      <c r="D2006" s="1117" t="s">
        <v>1783</v>
      </c>
      <c r="E2006" s="1121" t="s">
        <v>3093</v>
      </c>
      <c r="F2006" s="477">
        <f>报表附注合并期初用!E1769</f>
        <v>0</v>
      </c>
      <c r="G2006" s="132"/>
      <c r="H2006" s="132"/>
      <c r="I2006" s="135">
        <f t="shared" si="196"/>
        <v>0</v>
      </c>
      <c r="X2006" s="501" t="b">
        <f t="shared" si="193"/>
        <v>0</v>
      </c>
    </row>
    <row r="2007" s="410" customFormat="1" outlineLevel="2" spans="1:24">
      <c r="A2007" s="410" t="s">
        <v>1798</v>
      </c>
      <c r="B2007" s="428" t="s">
        <v>3078</v>
      </c>
      <c r="C2007" s="429" t="str">
        <f t="shared" si="192"/>
        <v>石嘴山市深阳蓝光市政工程有限公司</v>
      </c>
      <c r="D2007" s="1117" t="s">
        <v>1783</v>
      </c>
      <c r="E2007" s="1121" t="s">
        <v>3094</v>
      </c>
      <c r="F2007" s="477">
        <f>报表附注合并期初用!E1770</f>
        <v>0</v>
      </c>
      <c r="G2007" s="132"/>
      <c r="H2007" s="132"/>
      <c r="I2007" s="135">
        <f t="shared" si="196"/>
        <v>0</v>
      </c>
      <c r="X2007" s="501" t="b">
        <f t="shared" si="193"/>
        <v>0</v>
      </c>
    </row>
    <row r="2008" s="410" customFormat="1" outlineLevel="2" spans="1:24">
      <c r="A2008" s="410" t="s">
        <v>1799</v>
      </c>
      <c r="B2008" s="428" t="s">
        <v>3078</v>
      </c>
      <c r="C2008" s="429" t="str">
        <f t="shared" si="192"/>
        <v>石嘴山市深阳蓝光市政工程有限公司</v>
      </c>
      <c r="D2008" s="1117" t="s">
        <v>1783</v>
      </c>
      <c r="E2008" s="1121" t="s">
        <v>3095</v>
      </c>
      <c r="F2008" s="477">
        <f>报表附注合并期初用!E1771</f>
        <v>0</v>
      </c>
      <c r="G2008" s="132"/>
      <c r="H2008" s="132"/>
      <c r="I2008" s="135">
        <f t="shared" si="196"/>
        <v>0</v>
      </c>
      <c r="X2008" s="501" t="b">
        <f t="shared" si="193"/>
        <v>0</v>
      </c>
    </row>
    <row r="2009" s="410" customFormat="1" outlineLevel="2" spans="1:24">
      <c r="A2009" s="410" t="s">
        <v>1800</v>
      </c>
      <c r="B2009" s="428" t="s">
        <v>3078</v>
      </c>
      <c r="C2009" s="429" t="str">
        <f t="shared" si="192"/>
        <v>石嘴山市深阳蓝光市政工程有限公司</v>
      </c>
      <c r="D2009" s="1117" t="s">
        <v>1783</v>
      </c>
      <c r="E2009" s="1121" t="s">
        <v>3096</v>
      </c>
      <c r="F2009" s="477">
        <f>报表附注合并期初用!E1772</f>
        <v>0</v>
      </c>
      <c r="G2009" s="132"/>
      <c r="H2009" s="132"/>
      <c r="I2009" s="135">
        <f t="shared" si="196"/>
        <v>0</v>
      </c>
      <c r="X2009" s="501" t="b">
        <f t="shared" si="193"/>
        <v>0</v>
      </c>
    </row>
    <row r="2010" s="410" customFormat="1" outlineLevel="2" spans="1:24">
      <c r="A2010" s="410" t="s">
        <v>1801</v>
      </c>
      <c r="B2010" s="428" t="s">
        <v>3078</v>
      </c>
      <c r="C2010" s="429" t="str">
        <f t="shared" si="192"/>
        <v>石嘴山市深阳蓝光市政工程有限公司</v>
      </c>
      <c r="D2010" s="1117" t="s">
        <v>1783</v>
      </c>
      <c r="E2010" s="1121" t="s">
        <v>3097</v>
      </c>
      <c r="F2010" s="477">
        <f>报表附注合并期初用!E1773</f>
        <v>0</v>
      </c>
      <c r="G2010" s="132"/>
      <c r="H2010" s="132"/>
      <c r="I2010" s="135">
        <f t="shared" si="196"/>
        <v>0</v>
      </c>
      <c r="X2010" s="501" t="b">
        <f t="shared" si="193"/>
        <v>0</v>
      </c>
    </row>
    <row r="2011" s="410" customFormat="1" outlineLevel="2" spans="1:24">
      <c r="A2011" s="410" t="s">
        <v>1802</v>
      </c>
      <c r="B2011" s="428" t="s">
        <v>3078</v>
      </c>
      <c r="C2011" s="429" t="str">
        <f t="shared" si="192"/>
        <v>石嘴山市深阳蓝光市政工程有限公司</v>
      </c>
      <c r="D2011" s="1117" t="s">
        <v>1783</v>
      </c>
      <c r="E2011" s="1121" t="s">
        <v>3098</v>
      </c>
      <c r="F2011" s="477">
        <f>报表附注合并期初用!E1774</f>
        <v>0</v>
      </c>
      <c r="G2011" s="132"/>
      <c r="H2011" s="132"/>
      <c r="I2011" s="135">
        <f t="shared" si="196"/>
        <v>0</v>
      </c>
      <c r="X2011" s="501" t="b">
        <f t="shared" si="193"/>
        <v>0</v>
      </c>
    </row>
    <row r="2012" s="410" customFormat="1" outlineLevel="2" spans="1:24">
      <c r="A2012" s="410" t="s">
        <v>1803</v>
      </c>
      <c r="B2012" s="428" t="s">
        <v>3078</v>
      </c>
      <c r="C2012" s="429" t="str">
        <f t="shared" si="192"/>
        <v>石嘴山市深阳蓝光市政工程有限公司</v>
      </c>
      <c r="D2012" s="1117" t="s">
        <v>1783</v>
      </c>
      <c r="E2012" s="1122" t="s">
        <v>3099</v>
      </c>
      <c r="F2012" s="477">
        <f>报表附注合并期初用!E1775</f>
        <v>0</v>
      </c>
      <c r="G2012" s="132"/>
      <c r="H2012" s="132"/>
      <c r="I2012" s="135">
        <f t="shared" si="196"/>
        <v>0</v>
      </c>
      <c r="X2012" s="501" t="b">
        <f t="shared" si="193"/>
        <v>0</v>
      </c>
    </row>
    <row r="2013" s="410" customFormat="1" outlineLevel="2" spans="1:24">
      <c r="A2013" s="410" t="s">
        <v>1804</v>
      </c>
      <c r="B2013" s="428" t="s">
        <v>3078</v>
      </c>
      <c r="C2013" s="429" t="str">
        <f t="shared" si="192"/>
        <v>石嘴山市深阳蓝光市政工程有限公司</v>
      </c>
      <c r="D2013" s="1117" t="s">
        <v>1783</v>
      </c>
      <c r="E2013" s="1122" t="s">
        <v>3100</v>
      </c>
      <c r="F2013" s="477">
        <f>报表附注合并期初用!E1776</f>
        <v>0</v>
      </c>
      <c r="G2013" s="132"/>
      <c r="H2013" s="132"/>
      <c r="I2013" s="135">
        <f t="shared" si="196"/>
        <v>0</v>
      </c>
      <c r="X2013" s="501" t="b">
        <f t="shared" si="193"/>
        <v>0</v>
      </c>
    </row>
    <row r="2014" s="410" customFormat="1" outlineLevel="2" spans="1:24">
      <c r="A2014" s="410" t="s">
        <v>1805</v>
      </c>
      <c r="B2014" s="428" t="s">
        <v>3078</v>
      </c>
      <c r="C2014" s="429" t="str">
        <f t="shared" si="192"/>
        <v>石嘴山市深阳蓝光市政工程有限公司</v>
      </c>
      <c r="D2014" s="1117" t="s">
        <v>1783</v>
      </c>
      <c r="E2014" s="1122" t="s">
        <v>3101</v>
      </c>
      <c r="F2014" s="477">
        <f>报表附注合并期初用!E1777</f>
        <v>0</v>
      </c>
      <c r="G2014" s="132"/>
      <c r="H2014" s="132"/>
      <c r="I2014" s="135">
        <f t="shared" si="196"/>
        <v>0</v>
      </c>
      <c r="X2014" s="501" t="b">
        <f t="shared" si="193"/>
        <v>0</v>
      </c>
    </row>
    <row r="2015" s="410" customFormat="1" outlineLevel="2" spans="1:24">
      <c r="A2015" s="410" t="s">
        <v>1806</v>
      </c>
      <c r="B2015" s="428" t="s">
        <v>3078</v>
      </c>
      <c r="C2015" s="429" t="str">
        <f t="shared" si="192"/>
        <v>石嘴山市深阳蓝光市政工程有限公司</v>
      </c>
      <c r="D2015" s="1117" t="s">
        <v>1783</v>
      </c>
      <c r="E2015" s="1122" t="s">
        <v>3102</v>
      </c>
      <c r="F2015" s="477">
        <f>报表附注合并期初用!E1778</f>
        <v>0</v>
      </c>
      <c r="G2015" s="132"/>
      <c r="H2015" s="132"/>
      <c r="I2015" s="135">
        <f t="shared" si="196"/>
        <v>0</v>
      </c>
      <c r="X2015" s="501" t="b">
        <f t="shared" si="193"/>
        <v>0</v>
      </c>
    </row>
    <row r="2016" s="410" customFormat="1" outlineLevel="2" spans="1:24">
      <c r="A2016" s="410" t="s">
        <v>1807</v>
      </c>
      <c r="B2016" s="428" t="s">
        <v>3078</v>
      </c>
      <c r="C2016" s="429" t="str">
        <f t="shared" si="192"/>
        <v>石嘴山市深阳蓝光市政工程有限公司</v>
      </c>
      <c r="D2016" s="1117" t="s">
        <v>1783</v>
      </c>
      <c r="E2016" s="1122" t="s">
        <v>3103</v>
      </c>
      <c r="F2016" s="477">
        <f>报表附注合并期初用!E1779</f>
        <v>0</v>
      </c>
      <c r="G2016" s="132"/>
      <c r="H2016" s="132"/>
      <c r="I2016" s="135">
        <f t="shared" si="196"/>
        <v>0</v>
      </c>
      <c r="X2016" s="501" t="b">
        <f t="shared" si="193"/>
        <v>0</v>
      </c>
    </row>
    <row r="2017" s="410" customFormat="1" outlineLevel="2" spans="1:24">
      <c r="A2017" s="410" t="s">
        <v>1580</v>
      </c>
      <c r="B2017" s="428" t="s">
        <v>3078</v>
      </c>
      <c r="C2017" s="429" t="str">
        <f t="shared" si="192"/>
        <v>石嘴山市深阳蓝光市政工程有限公司</v>
      </c>
      <c r="D2017" s="1117" t="s">
        <v>1783</v>
      </c>
      <c r="E2017" s="1123" t="s">
        <v>1580</v>
      </c>
      <c r="F2017" s="1124">
        <f>SUM(F1993:F2016)</f>
        <v>0</v>
      </c>
      <c r="G2017" s="1124">
        <f>SUM(G1993:G2016)</f>
        <v>0</v>
      </c>
      <c r="H2017" s="1124">
        <f>SUM(H1993:H2016)</f>
        <v>0</v>
      </c>
      <c r="I2017" s="1124">
        <f>SUM(I1993:I2016)</f>
        <v>0</v>
      </c>
      <c r="X2017" s="501" t="b">
        <f t="shared" si="193"/>
        <v>1</v>
      </c>
    </row>
    <row r="2018" s="410" customFormat="1" outlineLevel="2" spans="1:24">
      <c r="A2018" s="410" t="s">
        <v>1444</v>
      </c>
      <c r="B2018" s="428" t="s">
        <v>3078</v>
      </c>
      <c r="C2018" s="429" t="str">
        <f t="shared" ref="C2018:C2081" si="197">$G$1</f>
        <v>石嘴山市深阳蓝光市政工程有限公司</v>
      </c>
      <c r="D2018" s="1117" t="s">
        <v>1783</v>
      </c>
      <c r="E2018" s="1060" t="s">
        <v>1444</v>
      </c>
      <c r="F2018" s="1125">
        <f>审定资负表!H13</f>
        <v>0</v>
      </c>
      <c r="I2018" s="1125">
        <f>审定资负表!G13</f>
        <v>0</v>
      </c>
      <c r="X2018" s="501" t="b">
        <f t="shared" ref="X2018:X2081" si="198">EXACT(A2018,E2018)</f>
        <v>1</v>
      </c>
    </row>
    <row r="2019" s="410" customFormat="1" outlineLevel="1" collapsed="1" spans="1:24">
      <c r="A2019" s="410" t="s">
        <v>1394</v>
      </c>
      <c r="B2019" s="428" t="s">
        <v>3078</v>
      </c>
      <c r="C2019" s="429" t="str">
        <f t="shared" si="197"/>
        <v>石嘴山市深阳蓝光市政工程有限公司</v>
      </c>
      <c r="D2019" s="1117" t="s">
        <v>1783</v>
      </c>
      <c r="E2019" s="1060" t="s">
        <v>1394</v>
      </c>
      <c r="F2019" s="87">
        <f>ROUND(F2017-F2018,2)</f>
        <v>0</v>
      </c>
      <c r="I2019" s="87">
        <f>ROUND(I2017-I2018,2)</f>
        <v>0</v>
      </c>
      <c r="X2019" s="501" t="b">
        <f t="shared" si="198"/>
        <v>1</v>
      </c>
    </row>
    <row r="2020" s="410" customFormat="1" hidden="1" outlineLevel="2" spans="2:24">
      <c r="B2020" s="428" t="s">
        <v>3078</v>
      </c>
      <c r="C2020" s="429" t="str">
        <f t="shared" si="197"/>
        <v>石嘴山市深阳蓝光市政工程有限公司</v>
      </c>
      <c r="D2020" s="1117" t="s">
        <v>1783</v>
      </c>
      <c r="E2020" s="1126"/>
      <c r="F2020" s="1127"/>
      <c r="G2020" s="1127"/>
      <c r="X2020" s="501" t="b">
        <f t="shared" si="198"/>
        <v>1</v>
      </c>
    </row>
    <row r="2021" s="410" customFormat="1" hidden="1" outlineLevel="2" spans="1:24">
      <c r="A2021" s="410" t="s">
        <v>3104</v>
      </c>
      <c r="B2021" s="428" t="s">
        <v>3078</v>
      </c>
      <c r="C2021" s="429" t="str">
        <f t="shared" si="197"/>
        <v>石嘴山市深阳蓝光市政工程有限公司</v>
      </c>
      <c r="D2021" s="1117" t="s">
        <v>3104</v>
      </c>
      <c r="E2021" s="149" t="s">
        <v>3105</v>
      </c>
      <c r="F2021" s="1127"/>
      <c r="G2021" s="1127"/>
      <c r="X2021" s="501" t="b">
        <f t="shared" si="198"/>
        <v>1</v>
      </c>
    </row>
    <row r="2022" s="410" customFormat="1" hidden="1" outlineLevel="2" spans="1:24">
      <c r="A2022" s="410" t="s">
        <v>2315</v>
      </c>
      <c r="B2022" s="428" t="s">
        <v>3078</v>
      </c>
      <c r="C2022" s="429" t="str">
        <f t="shared" si="197"/>
        <v>石嘴山市深阳蓝光市政工程有限公司</v>
      </c>
      <c r="D2022" s="1117" t="s">
        <v>3104</v>
      </c>
      <c r="E2022" s="1128" t="s">
        <v>2334</v>
      </c>
      <c r="F2022" s="1129"/>
      <c r="G2022" s="1129"/>
      <c r="H2022" s="1130"/>
      <c r="X2022" s="501" t="b">
        <f t="shared" si="198"/>
        <v>1</v>
      </c>
    </row>
    <row r="2023" s="410" customFormat="1" hidden="1" outlineLevel="2" spans="2:24">
      <c r="B2023" s="428" t="s">
        <v>3078</v>
      </c>
      <c r="C2023" s="429" t="str">
        <f t="shared" si="197"/>
        <v>石嘴山市深阳蓝光市政工程有限公司</v>
      </c>
      <c r="D2023" s="1117"/>
      <c r="E2023" s="149"/>
      <c r="F2023" s="1127"/>
      <c r="G2023" s="1127"/>
      <c r="X2023" s="501" t="b">
        <f t="shared" si="198"/>
        <v>1</v>
      </c>
    </row>
    <row r="2024" s="410" customFormat="1" hidden="1" outlineLevel="2" spans="1:24">
      <c r="A2024" s="410" t="s">
        <v>2315</v>
      </c>
      <c r="B2024" s="428" t="s">
        <v>3078</v>
      </c>
      <c r="C2024" s="429" t="str">
        <f t="shared" si="197"/>
        <v>石嘴山市深阳蓝光市政工程有限公司</v>
      </c>
      <c r="D2024" s="1117"/>
      <c r="E2024" s="1128" t="s">
        <v>2334</v>
      </c>
      <c r="F2024" s="1129"/>
      <c r="G2024" s="1129"/>
      <c r="H2024" s="1130"/>
      <c r="X2024" s="501" t="b">
        <f t="shared" si="198"/>
        <v>1</v>
      </c>
    </row>
    <row r="2025" s="410" customFormat="1" spans="1:24">
      <c r="A2025" s="410" t="s">
        <v>1810</v>
      </c>
      <c r="B2025" s="428" t="s">
        <v>3106</v>
      </c>
      <c r="C2025" s="429" t="str">
        <f t="shared" si="197"/>
        <v>石嘴山市深阳蓝光市政工程有限公司</v>
      </c>
      <c r="D2025" s="1117" t="s">
        <v>2899</v>
      </c>
      <c r="E2025" s="937" t="s">
        <v>3107</v>
      </c>
      <c r="F2025" s="1127"/>
      <c r="G2025" s="1127"/>
      <c r="X2025" s="501" t="b">
        <f t="shared" si="198"/>
        <v>1</v>
      </c>
    </row>
    <row r="2026" s="410" customFormat="1" outlineLevel="2" spans="1:24">
      <c r="A2026" s="410" t="s">
        <v>2901</v>
      </c>
      <c r="B2026" s="428" t="s">
        <v>3106</v>
      </c>
      <c r="C2026" s="429" t="str">
        <f t="shared" si="197"/>
        <v>石嘴山市深阳蓝光市政工程有限公司</v>
      </c>
      <c r="D2026" s="1131" t="s">
        <v>2899</v>
      </c>
      <c r="E2026" s="748" t="s">
        <v>2902</v>
      </c>
      <c r="F2026" s="485"/>
      <c r="G2026" s="485"/>
      <c r="X2026" s="501" t="b">
        <f t="shared" si="198"/>
        <v>1</v>
      </c>
    </row>
    <row r="2027" s="410" customFormat="1" outlineLevel="2" spans="1:24">
      <c r="A2027" s="410" t="s">
        <v>60</v>
      </c>
      <c r="B2027" s="428" t="s">
        <v>3106</v>
      </c>
      <c r="C2027" s="429" t="str">
        <f t="shared" si="197"/>
        <v>石嘴山市深阳蓝光市政工程有限公司</v>
      </c>
      <c r="D2027" s="1117" t="s">
        <v>2903</v>
      </c>
      <c r="E2027" s="581" t="s">
        <v>60</v>
      </c>
      <c r="F2027" s="581" t="s">
        <v>515</v>
      </c>
      <c r="G2027" s="613" t="s">
        <v>670</v>
      </c>
      <c r="X2027" s="501" t="b">
        <f t="shared" si="198"/>
        <v>1</v>
      </c>
    </row>
    <row r="2028" s="410" customFormat="1" outlineLevel="2" spans="1:24">
      <c r="A2028" s="410" t="s">
        <v>1811</v>
      </c>
      <c r="B2028" s="428" t="s">
        <v>3106</v>
      </c>
      <c r="C2028" s="429" t="str">
        <f t="shared" si="197"/>
        <v>石嘴山市深阳蓝光市政工程有限公司</v>
      </c>
      <c r="D2028" s="1131" t="s">
        <v>2903</v>
      </c>
      <c r="E2028" s="1132" t="s">
        <v>1811</v>
      </c>
      <c r="F2028" s="1133"/>
      <c r="G2028" s="942"/>
      <c r="X2028" s="501" t="b">
        <f t="shared" si="198"/>
        <v>1</v>
      </c>
    </row>
    <row r="2029" s="410" customFormat="1" outlineLevel="2" spans="1:24">
      <c r="A2029" s="410" t="s">
        <v>1812</v>
      </c>
      <c r="B2029" s="428" t="s">
        <v>3106</v>
      </c>
      <c r="C2029" s="429" t="str">
        <f t="shared" si="197"/>
        <v>石嘴山市深阳蓝光市政工程有限公司</v>
      </c>
      <c r="D2029" s="1117" t="s">
        <v>2903</v>
      </c>
      <c r="E2029" s="1132" t="s">
        <v>1812</v>
      </c>
      <c r="F2029" s="1133"/>
      <c r="G2029" s="1134"/>
      <c r="X2029" s="501" t="b">
        <f t="shared" si="198"/>
        <v>1</v>
      </c>
    </row>
    <row r="2030" s="410" customFormat="1" outlineLevel="2" spans="1:24">
      <c r="A2030" s="410" t="s">
        <v>1813</v>
      </c>
      <c r="B2030" s="428" t="s">
        <v>3106</v>
      </c>
      <c r="C2030" s="429" t="str">
        <f t="shared" si="197"/>
        <v>石嘴山市深阳蓝光市政工程有限公司</v>
      </c>
      <c r="D2030" s="1131" t="s">
        <v>2903</v>
      </c>
      <c r="E2030" s="1132" t="s">
        <v>1813</v>
      </c>
      <c r="F2030" s="1133"/>
      <c r="G2030" s="1134"/>
      <c r="X2030" s="501" t="b">
        <f t="shared" si="198"/>
        <v>1</v>
      </c>
    </row>
    <row r="2031" s="410" customFormat="1" outlineLevel="2" spans="1:24">
      <c r="A2031" s="410" t="s">
        <v>1580</v>
      </c>
      <c r="B2031" s="428" t="s">
        <v>3106</v>
      </c>
      <c r="C2031" s="429" t="str">
        <f t="shared" si="197"/>
        <v>石嘴山市深阳蓝光市政工程有限公司</v>
      </c>
      <c r="D2031" s="1117" t="s">
        <v>2903</v>
      </c>
      <c r="E2031" s="1135" t="s">
        <v>1580</v>
      </c>
      <c r="F2031" s="945">
        <f>SUM(F2028:F2030)</f>
        <v>0</v>
      </c>
      <c r="G2031" s="945">
        <f>SUM(G2028:G2030)</f>
        <v>0</v>
      </c>
      <c r="X2031" s="501" t="b">
        <f t="shared" si="198"/>
        <v>1</v>
      </c>
    </row>
    <row r="2032" s="410" customFormat="1" outlineLevel="2" spans="1:24">
      <c r="A2032" s="410" t="s">
        <v>1444</v>
      </c>
      <c r="B2032" s="428" t="s">
        <v>3106</v>
      </c>
      <c r="C2032" s="429" t="str">
        <f t="shared" si="197"/>
        <v>石嘴山市深阳蓝光市政工程有限公司</v>
      </c>
      <c r="D2032" s="1131" t="s">
        <v>2903</v>
      </c>
      <c r="E2032" s="1060" t="s">
        <v>1444</v>
      </c>
      <c r="F2032" s="1136">
        <f>审定资负表!G14</f>
        <v>0</v>
      </c>
      <c r="G2032" s="1136">
        <f>审定资负表!H14</f>
        <v>0</v>
      </c>
      <c r="X2032" s="501" t="b">
        <f t="shared" si="198"/>
        <v>1</v>
      </c>
    </row>
    <row r="2033" s="410" customFormat="1" outlineLevel="1" spans="1:24">
      <c r="A2033" s="410" t="s">
        <v>1394</v>
      </c>
      <c r="B2033" s="428" t="s">
        <v>3106</v>
      </c>
      <c r="C2033" s="429" t="str">
        <f t="shared" si="197"/>
        <v>石嘴山市深阳蓝光市政工程有限公司</v>
      </c>
      <c r="D2033" s="1117" t="s">
        <v>2903</v>
      </c>
      <c r="E2033" s="1060" t="s">
        <v>1394</v>
      </c>
      <c r="F2033" s="87">
        <f>ROUND(F2031-F2032,2)</f>
        <v>0</v>
      </c>
      <c r="G2033" s="87">
        <f>ROUND(G2031-G2032,2)</f>
        <v>0</v>
      </c>
      <c r="X2033" s="501" t="b">
        <f t="shared" si="198"/>
        <v>1</v>
      </c>
    </row>
    <row r="2034" s="410" customFormat="1" outlineLevel="2" spans="2:24">
      <c r="B2034" s="428" t="s">
        <v>3106</v>
      </c>
      <c r="C2034" s="429" t="str">
        <f t="shared" si="197"/>
        <v>石嘴山市深阳蓝光市政工程有限公司</v>
      </c>
      <c r="D2034" s="1117"/>
      <c r="E2034" s="149"/>
      <c r="F2034" s="1127"/>
      <c r="G2034" s="1127"/>
      <c r="X2034" s="501" t="b">
        <f t="shared" si="198"/>
        <v>1</v>
      </c>
    </row>
    <row r="2035" s="410" customFormat="1" outlineLevel="2" spans="1:24">
      <c r="A2035" s="410" t="s">
        <v>2315</v>
      </c>
      <c r="B2035" s="428" t="s">
        <v>3106</v>
      </c>
      <c r="C2035" s="429" t="str">
        <f t="shared" si="197"/>
        <v>石嘴山市深阳蓝光市政工程有限公司</v>
      </c>
      <c r="D2035" s="1117"/>
      <c r="E2035" s="149" t="s">
        <v>2334</v>
      </c>
      <c r="F2035" s="1129"/>
      <c r="G2035" s="1129"/>
      <c r="H2035" s="1130"/>
      <c r="X2035" s="501" t="b">
        <f t="shared" si="198"/>
        <v>1</v>
      </c>
    </row>
    <row r="2036" s="410" customFormat="1" outlineLevel="2" spans="2:24">
      <c r="B2036" s="428" t="s">
        <v>3106</v>
      </c>
      <c r="C2036" s="429" t="str">
        <f t="shared" si="197"/>
        <v>石嘴山市深阳蓝光市政工程有限公司</v>
      </c>
      <c r="D2036" s="1117"/>
      <c r="E2036" s="149"/>
      <c r="F2036" s="1127"/>
      <c r="G2036" s="1127"/>
      <c r="X2036" s="501" t="b">
        <f t="shared" si="198"/>
        <v>1</v>
      </c>
    </row>
    <row r="2037" s="410" customFormat="1" spans="1:24">
      <c r="A2037" s="410" t="s">
        <v>3108</v>
      </c>
      <c r="B2037" s="428" t="s">
        <v>3109</v>
      </c>
      <c r="C2037" s="429" t="str">
        <f t="shared" si="197"/>
        <v>石嘴山市深阳蓝光市政工程有限公司</v>
      </c>
      <c r="D2037" s="1117" t="s">
        <v>2899</v>
      </c>
      <c r="E2037" s="65" t="s">
        <v>3110</v>
      </c>
      <c r="F2037" s="1137" t="s">
        <v>2635</v>
      </c>
      <c r="G2037" s="1127"/>
      <c r="X2037" s="501" t="b">
        <f t="shared" si="198"/>
        <v>1</v>
      </c>
    </row>
    <row r="2038" s="410" customFormat="1" outlineLevel="2" spans="1:24">
      <c r="A2038" s="410" t="s">
        <v>2901</v>
      </c>
      <c r="B2038" s="428" t="s">
        <v>3109</v>
      </c>
      <c r="C2038" s="429" t="str">
        <f t="shared" si="197"/>
        <v>石嘴山市深阳蓝光市政工程有限公司</v>
      </c>
      <c r="D2038" s="1138" t="s">
        <v>2899</v>
      </c>
      <c r="E2038" s="1139" t="s">
        <v>2902</v>
      </c>
      <c r="F2038" s="1140"/>
      <c r="G2038" s="1140"/>
      <c r="X2038" s="501" t="b">
        <f t="shared" si="198"/>
        <v>1</v>
      </c>
    </row>
    <row r="2039" s="410" customFormat="1" outlineLevel="2" spans="1:24">
      <c r="A2039" s="410" t="s">
        <v>3111</v>
      </c>
      <c r="B2039" s="428" t="s">
        <v>3109</v>
      </c>
      <c r="C2039" s="429" t="str">
        <f t="shared" si="197"/>
        <v>石嘴山市深阳蓝光市政工程有限公司</v>
      </c>
      <c r="D2039" s="1117" t="s">
        <v>2903</v>
      </c>
      <c r="E2039" s="1141" t="s">
        <v>3111</v>
      </c>
      <c r="F2039" s="1141" t="s">
        <v>315</v>
      </c>
      <c r="G2039" s="1141" t="s">
        <v>1579</v>
      </c>
      <c r="H2039" s="1141" t="s">
        <v>3112</v>
      </c>
      <c r="X2039" s="501" t="b">
        <f t="shared" si="198"/>
        <v>1</v>
      </c>
    </row>
    <row r="2040" s="410" customFormat="1" outlineLevel="2" spans="2:24">
      <c r="B2040" s="428" t="s">
        <v>3109</v>
      </c>
      <c r="C2040" s="429" t="str">
        <f t="shared" si="197"/>
        <v>石嘴山市深阳蓝光市政工程有限公司</v>
      </c>
      <c r="D2040" s="1138" t="s">
        <v>2903</v>
      </c>
      <c r="E2040" s="1142"/>
      <c r="F2040" s="1142"/>
      <c r="G2040" s="1142"/>
      <c r="H2040" s="1142"/>
      <c r="X2040" s="501" t="b">
        <f t="shared" si="198"/>
        <v>1</v>
      </c>
    </row>
    <row r="2041" s="410" customFormat="1" outlineLevel="2" spans="2:24">
      <c r="B2041" s="428" t="s">
        <v>3109</v>
      </c>
      <c r="C2041" s="429" t="str">
        <f t="shared" si="197"/>
        <v>石嘴山市深阳蓝光市政工程有限公司</v>
      </c>
      <c r="D2041" s="1117" t="s">
        <v>2903</v>
      </c>
      <c r="E2041" s="1142"/>
      <c r="F2041" s="1142"/>
      <c r="G2041" s="1142"/>
      <c r="H2041" s="1142"/>
      <c r="X2041" s="501" t="b">
        <f t="shared" si="198"/>
        <v>1</v>
      </c>
    </row>
    <row r="2042" s="410" customFormat="1" outlineLevel="2" spans="2:24">
      <c r="B2042" s="428" t="s">
        <v>3109</v>
      </c>
      <c r="C2042" s="429" t="str">
        <f t="shared" si="197"/>
        <v>石嘴山市深阳蓝光市政工程有限公司</v>
      </c>
      <c r="D2042" s="1138" t="s">
        <v>2903</v>
      </c>
      <c r="E2042" s="1143"/>
      <c r="F2042" s="1142"/>
      <c r="G2042" s="1142"/>
      <c r="H2042" s="1142"/>
      <c r="X2042" s="501" t="b">
        <f t="shared" si="198"/>
        <v>1</v>
      </c>
    </row>
    <row r="2043" s="410" customFormat="1" outlineLevel="2" spans="2:24">
      <c r="B2043" s="428" t="s">
        <v>3109</v>
      </c>
      <c r="C2043" s="429" t="str">
        <f t="shared" si="197"/>
        <v>石嘴山市深阳蓝光市政工程有限公司</v>
      </c>
      <c r="D2043" s="1117" t="s">
        <v>2903</v>
      </c>
      <c r="E2043" s="1142"/>
      <c r="F2043" s="1142"/>
      <c r="G2043" s="1142"/>
      <c r="H2043" s="1142"/>
      <c r="X2043" s="501" t="b">
        <f t="shared" si="198"/>
        <v>1</v>
      </c>
    </row>
    <row r="2044" s="410" customFormat="1" outlineLevel="2" spans="2:24">
      <c r="B2044" s="428" t="s">
        <v>3109</v>
      </c>
      <c r="C2044" s="429" t="str">
        <f t="shared" si="197"/>
        <v>石嘴山市深阳蓝光市政工程有限公司</v>
      </c>
      <c r="D2044" s="1138" t="s">
        <v>2903</v>
      </c>
      <c r="E2044" s="1142"/>
      <c r="F2044" s="1142"/>
      <c r="G2044" s="1142"/>
      <c r="H2044" s="1142"/>
      <c r="X2044" s="501" t="b">
        <f t="shared" si="198"/>
        <v>1</v>
      </c>
    </row>
    <row r="2045" s="410" customFormat="1" outlineLevel="2" spans="2:24">
      <c r="B2045" s="428" t="s">
        <v>3109</v>
      </c>
      <c r="C2045" s="429" t="str">
        <f t="shared" si="197"/>
        <v>石嘴山市深阳蓝光市政工程有限公司</v>
      </c>
      <c r="D2045" s="1117" t="s">
        <v>2903</v>
      </c>
      <c r="E2045" s="1142"/>
      <c r="F2045" s="1142"/>
      <c r="G2045" s="1142"/>
      <c r="H2045" s="1142"/>
      <c r="X2045" s="501" t="b">
        <f t="shared" si="198"/>
        <v>1</v>
      </c>
    </row>
    <row r="2046" s="410" customFormat="1" outlineLevel="2" spans="2:24">
      <c r="B2046" s="428" t="s">
        <v>3109</v>
      </c>
      <c r="C2046" s="429" t="str">
        <f t="shared" si="197"/>
        <v>石嘴山市深阳蓝光市政工程有限公司</v>
      </c>
      <c r="D2046" s="1138" t="s">
        <v>2903</v>
      </c>
      <c r="E2046" s="1142"/>
      <c r="F2046" s="1142"/>
      <c r="G2046" s="1142"/>
      <c r="H2046" s="1142"/>
      <c r="X2046" s="501" t="b">
        <f t="shared" si="198"/>
        <v>1</v>
      </c>
    </row>
    <row r="2047" s="410" customFormat="1" outlineLevel="2" spans="2:24">
      <c r="B2047" s="428" t="s">
        <v>3109</v>
      </c>
      <c r="C2047" s="429" t="str">
        <f t="shared" si="197"/>
        <v>石嘴山市深阳蓝光市政工程有限公司</v>
      </c>
      <c r="D2047" s="1117" t="s">
        <v>2903</v>
      </c>
      <c r="E2047" s="1142"/>
      <c r="F2047" s="1142"/>
      <c r="G2047" s="1142"/>
      <c r="H2047" s="1142"/>
      <c r="X2047" s="501" t="b">
        <f t="shared" si="198"/>
        <v>1</v>
      </c>
    </row>
    <row r="2048" s="410" customFormat="1" outlineLevel="2" spans="2:24">
      <c r="B2048" s="428" t="s">
        <v>3109</v>
      </c>
      <c r="C2048" s="429" t="str">
        <f t="shared" si="197"/>
        <v>石嘴山市深阳蓝光市政工程有限公司</v>
      </c>
      <c r="D2048" s="1138" t="s">
        <v>2903</v>
      </c>
      <c r="E2048" s="1142"/>
      <c r="F2048" s="1142"/>
      <c r="G2048" s="1142"/>
      <c r="H2048" s="1142"/>
      <c r="X2048" s="501" t="b">
        <f t="shared" si="198"/>
        <v>1</v>
      </c>
    </row>
    <row r="2049" s="410" customFormat="1" outlineLevel="2" spans="2:24">
      <c r="B2049" s="428" t="s">
        <v>3109</v>
      </c>
      <c r="C2049" s="429" t="str">
        <f t="shared" si="197"/>
        <v>石嘴山市深阳蓝光市政工程有限公司</v>
      </c>
      <c r="D2049" s="1117" t="s">
        <v>2903</v>
      </c>
      <c r="E2049" s="1142"/>
      <c r="F2049" s="1142"/>
      <c r="G2049" s="1142"/>
      <c r="H2049" s="1142"/>
      <c r="X2049" s="501" t="b">
        <f t="shared" si="198"/>
        <v>1</v>
      </c>
    </row>
    <row r="2050" s="410" customFormat="1" outlineLevel="2" spans="2:24">
      <c r="B2050" s="428" t="s">
        <v>3109</v>
      </c>
      <c r="C2050" s="429" t="str">
        <f t="shared" si="197"/>
        <v>石嘴山市深阳蓝光市政工程有限公司</v>
      </c>
      <c r="D2050" s="1138" t="s">
        <v>2903</v>
      </c>
      <c r="E2050" s="1144"/>
      <c r="F2050" s="982"/>
      <c r="G2050" s="982"/>
      <c r="H2050" s="1144"/>
      <c r="X2050" s="501" t="b">
        <f t="shared" si="198"/>
        <v>1</v>
      </c>
    </row>
    <row r="2051" s="410" customFormat="1" outlineLevel="2" spans="2:24">
      <c r="B2051" s="428" t="s">
        <v>3109</v>
      </c>
      <c r="C2051" s="429" t="str">
        <f t="shared" si="197"/>
        <v>石嘴山市深阳蓝光市政工程有限公司</v>
      </c>
      <c r="D2051" s="1117" t="s">
        <v>2903</v>
      </c>
      <c r="E2051" s="1144"/>
      <c r="F2051" s="982"/>
      <c r="G2051" s="982"/>
      <c r="H2051" s="1144"/>
      <c r="X2051" s="501" t="b">
        <f t="shared" si="198"/>
        <v>1</v>
      </c>
    </row>
    <row r="2052" s="410" customFormat="1" outlineLevel="2" spans="2:24">
      <c r="B2052" s="428" t="s">
        <v>3109</v>
      </c>
      <c r="C2052" s="429" t="str">
        <f t="shared" si="197"/>
        <v>石嘴山市深阳蓝光市政工程有限公司</v>
      </c>
      <c r="D2052" s="1138" t="s">
        <v>2903</v>
      </c>
      <c r="E2052" s="1144"/>
      <c r="F2052" s="982"/>
      <c r="G2052" s="982"/>
      <c r="H2052" s="1144"/>
      <c r="X2052" s="501" t="b">
        <f t="shared" si="198"/>
        <v>1</v>
      </c>
    </row>
    <row r="2053" s="410" customFormat="1" outlineLevel="2" spans="2:24">
      <c r="B2053" s="428" t="s">
        <v>3109</v>
      </c>
      <c r="C2053" s="429" t="str">
        <f t="shared" si="197"/>
        <v>石嘴山市深阳蓝光市政工程有限公司</v>
      </c>
      <c r="D2053" s="1117" t="s">
        <v>2903</v>
      </c>
      <c r="E2053" s="1144"/>
      <c r="F2053" s="982"/>
      <c r="G2053" s="982"/>
      <c r="H2053" s="1144"/>
      <c r="X2053" s="501" t="b">
        <f t="shared" si="198"/>
        <v>1</v>
      </c>
    </row>
    <row r="2054" s="410" customFormat="1" outlineLevel="2" spans="2:24">
      <c r="B2054" s="428" t="s">
        <v>3109</v>
      </c>
      <c r="C2054" s="429" t="str">
        <f t="shared" si="197"/>
        <v>石嘴山市深阳蓝光市政工程有限公司</v>
      </c>
      <c r="D2054" s="1138" t="s">
        <v>2903</v>
      </c>
      <c r="E2054" s="1144"/>
      <c r="F2054" s="982"/>
      <c r="G2054" s="982"/>
      <c r="H2054" s="1144"/>
      <c r="X2054" s="501" t="b">
        <f t="shared" si="198"/>
        <v>1</v>
      </c>
    </row>
    <row r="2055" s="410" customFormat="1" outlineLevel="2" spans="2:24">
      <c r="B2055" s="428" t="s">
        <v>3109</v>
      </c>
      <c r="C2055" s="429" t="str">
        <f t="shared" si="197"/>
        <v>石嘴山市深阳蓝光市政工程有限公司</v>
      </c>
      <c r="D2055" s="1117" t="s">
        <v>2903</v>
      </c>
      <c r="E2055" s="1144"/>
      <c r="F2055" s="982"/>
      <c r="G2055" s="982"/>
      <c r="H2055" s="1144"/>
      <c r="X2055" s="501" t="b">
        <f t="shared" si="198"/>
        <v>1</v>
      </c>
    </row>
    <row r="2056" s="410" customFormat="1" outlineLevel="2" spans="2:24">
      <c r="B2056" s="428" t="s">
        <v>3109</v>
      </c>
      <c r="C2056" s="429" t="str">
        <f t="shared" si="197"/>
        <v>石嘴山市深阳蓝光市政工程有限公司</v>
      </c>
      <c r="D2056" s="1138" t="s">
        <v>2903</v>
      </c>
      <c r="E2056" s="1144"/>
      <c r="F2056" s="1145"/>
      <c r="G2056" s="1145"/>
      <c r="H2056" s="1144"/>
      <c r="X2056" s="501" t="b">
        <f t="shared" si="198"/>
        <v>1</v>
      </c>
    </row>
    <row r="2057" s="410" customFormat="1" outlineLevel="2" spans="1:24">
      <c r="A2057" s="410" t="s">
        <v>1580</v>
      </c>
      <c r="B2057" s="428" t="s">
        <v>3109</v>
      </c>
      <c r="C2057" s="429" t="str">
        <f t="shared" si="197"/>
        <v>石嘴山市深阳蓝光市政工程有限公司</v>
      </c>
      <c r="D2057" s="1117" t="s">
        <v>2903</v>
      </c>
      <c r="E2057" s="1141" t="s">
        <v>1580</v>
      </c>
      <c r="F2057" s="1146">
        <f>SUM(F2040:F2056)</f>
        <v>0</v>
      </c>
      <c r="G2057" s="1146">
        <f>SUM(G2040:G2056)</f>
        <v>0</v>
      </c>
      <c r="H2057" s="1147"/>
      <c r="X2057" s="501" t="b">
        <f t="shared" si="198"/>
        <v>1</v>
      </c>
    </row>
    <row r="2058" s="410" customFormat="1" outlineLevel="2" spans="1:24">
      <c r="A2058" s="410" t="s">
        <v>1444</v>
      </c>
      <c r="B2058" s="428" t="s">
        <v>3109</v>
      </c>
      <c r="C2058" s="429" t="str">
        <f t="shared" si="197"/>
        <v>石嘴山市深阳蓝光市政工程有限公司</v>
      </c>
      <c r="D2058" s="1138" t="s">
        <v>2903</v>
      </c>
      <c r="E2058" s="1060" t="s">
        <v>1444</v>
      </c>
      <c r="F2058" s="1125">
        <f>审定资负表!G15</f>
        <v>0</v>
      </c>
      <c r="G2058" s="1125">
        <f>审定资负表!H15</f>
        <v>0</v>
      </c>
      <c r="H2058" s="1127"/>
      <c r="X2058" s="501" t="b">
        <f t="shared" si="198"/>
        <v>1</v>
      </c>
    </row>
    <row r="2059" s="410" customFormat="1" outlineLevel="1" spans="1:24">
      <c r="A2059" s="410" t="s">
        <v>1394</v>
      </c>
      <c r="B2059" s="428" t="s">
        <v>3109</v>
      </c>
      <c r="C2059" s="429" t="str">
        <f t="shared" si="197"/>
        <v>石嘴山市深阳蓝光市政工程有限公司</v>
      </c>
      <c r="D2059" s="1117" t="s">
        <v>2903</v>
      </c>
      <c r="E2059" s="1060" t="s">
        <v>1394</v>
      </c>
      <c r="F2059" s="87">
        <f>ROUND(F2057-F2058,2)</f>
        <v>0</v>
      </c>
      <c r="G2059" s="87">
        <f>ROUND(G2057-G2058,2)</f>
        <v>0</v>
      </c>
      <c r="H2059" s="1127"/>
      <c r="X2059" s="501" t="b">
        <f t="shared" si="198"/>
        <v>1</v>
      </c>
    </row>
    <row r="2060" s="410" customFormat="1" outlineLevel="2" spans="2:24">
      <c r="B2060" s="428" t="s">
        <v>3109</v>
      </c>
      <c r="C2060" s="429" t="str">
        <f t="shared" si="197"/>
        <v>石嘴山市深阳蓝光市政工程有限公司</v>
      </c>
      <c r="D2060" s="1117"/>
      <c r="E2060" s="149"/>
      <c r="F2060" s="1127"/>
      <c r="G2060" s="1127"/>
      <c r="X2060" s="501" t="b">
        <f t="shared" si="198"/>
        <v>1</v>
      </c>
    </row>
    <row r="2061" s="410" customFormat="1" outlineLevel="2" spans="1:24">
      <c r="A2061" s="410" t="s">
        <v>2315</v>
      </c>
      <c r="B2061" s="428" t="s">
        <v>3109</v>
      </c>
      <c r="C2061" s="429" t="str">
        <f t="shared" si="197"/>
        <v>石嘴山市深阳蓝光市政工程有限公司</v>
      </c>
      <c r="D2061" s="1117"/>
      <c r="E2061" s="1128" t="s">
        <v>2334</v>
      </c>
      <c r="F2061" s="1129"/>
      <c r="G2061" s="1129"/>
      <c r="H2061" s="1130"/>
      <c r="X2061" s="501" t="b">
        <f t="shared" si="198"/>
        <v>1</v>
      </c>
    </row>
    <row r="2062" s="410" customFormat="1" spans="1:24">
      <c r="A2062" s="410" t="s">
        <v>1815</v>
      </c>
      <c r="B2062" s="428" t="s">
        <v>3113</v>
      </c>
      <c r="C2062" s="429" t="str">
        <f t="shared" si="197"/>
        <v>石嘴山市深阳蓝光市政工程有限公司</v>
      </c>
      <c r="D2062" s="1117" t="s">
        <v>3114</v>
      </c>
      <c r="E2062" s="65" t="s">
        <v>3115</v>
      </c>
      <c r="F2062" s="1127"/>
      <c r="G2062" s="1127"/>
      <c r="X2062" s="501" t="b">
        <f t="shared" si="198"/>
        <v>1</v>
      </c>
    </row>
    <row r="2063" outlineLevel="2" spans="1:24">
      <c r="A2063" s="85" t="s">
        <v>214</v>
      </c>
      <c r="B2063" s="1073" t="s">
        <v>3113</v>
      </c>
      <c r="C2063" s="429" t="str">
        <f t="shared" si="197"/>
        <v>石嘴山市深阳蓝光市政工程有限公司</v>
      </c>
      <c r="D2063" s="1074" t="s">
        <v>3114</v>
      </c>
      <c r="E2063" s="559" t="s">
        <v>214</v>
      </c>
      <c r="F2063" s="559"/>
      <c r="G2063" s="1118" t="s">
        <v>2921</v>
      </c>
      <c r="X2063" s="501" t="b">
        <f t="shared" si="198"/>
        <v>1</v>
      </c>
    </row>
    <row r="2064" outlineLevel="2" spans="1:24">
      <c r="A2064" s="85" t="s">
        <v>2412</v>
      </c>
      <c r="B2064" s="1073" t="s">
        <v>3113</v>
      </c>
      <c r="C2064" s="429" t="str">
        <f t="shared" si="197"/>
        <v>石嘴山市深阳蓝光市政工程有限公司</v>
      </c>
      <c r="D2064" s="1117" t="s">
        <v>3114</v>
      </c>
      <c r="E2064" s="561" t="s">
        <v>2412</v>
      </c>
      <c r="F2064" s="561" t="s">
        <v>315</v>
      </c>
      <c r="G2064" s="561" t="s">
        <v>1579</v>
      </c>
      <c r="H2064" s="1088" t="s">
        <v>3024</v>
      </c>
      <c r="I2064" s="1088" t="s">
        <v>2524</v>
      </c>
      <c r="X2064" s="501" t="b">
        <f t="shared" si="198"/>
        <v>1</v>
      </c>
    </row>
    <row r="2065" outlineLevel="2" spans="1:24">
      <c r="A2065" s="85" t="s">
        <v>1585</v>
      </c>
      <c r="B2065" s="1073" t="s">
        <v>3113</v>
      </c>
      <c r="C2065" s="429" t="str">
        <f t="shared" si="197"/>
        <v>石嘴山市深阳蓝光市政工程有限公司</v>
      </c>
      <c r="D2065" s="1074" t="s">
        <v>3114</v>
      </c>
      <c r="E2065" s="561" t="s">
        <v>2423</v>
      </c>
      <c r="F2065" s="132"/>
      <c r="G2065" s="477">
        <f>报表附注合并期初用!E1880</f>
        <v>0</v>
      </c>
      <c r="H2065" s="1089"/>
      <c r="I2065" s="102"/>
      <c r="X2065" s="501" t="b">
        <f t="shared" si="198"/>
        <v>1</v>
      </c>
    </row>
    <row r="2066" outlineLevel="2" spans="1:24">
      <c r="A2066" s="85" t="s">
        <v>1586</v>
      </c>
      <c r="B2066" s="1073" t="s">
        <v>3113</v>
      </c>
      <c r="C2066" s="429" t="str">
        <f t="shared" si="197"/>
        <v>石嘴山市深阳蓝光市政工程有限公司</v>
      </c>
      <c r="D2066" s="1117" t="s">
        <v>3114</v>
      </c>
      <c r="E2066" s="561" t="s">
        <v>2424</v>
      </c>
      <c r="F2066" s="132"/>
      <c r="G2066" s="477">
        <f>报表附注合并期初用!E1881</f>
        <v>0</v>
      </c>
      <c r="H2066" s="594" t="str">
        <f>IF(F2066&lt;=G2065,"合理","1-2年账不合理")</f>
        <v>合理</v>
      </c>
      <c r="I2066" s="102"/>
      <c r="X2066" s="501" t="b">
        <f t="shared" si="198"/>
        <v>1</v>
      </c>
    </row>
    <row r="2067" outlineLevel="2" spans="1:24">
      <c r="A2067" s="85" t="s">
        <v>1587</v>
      </c>
      <c r="B2067" s="1073" t="s">
        <v>3113</v>
      </c>
      <c r="C2067" s="429" t="str">
        <f t="shared" si="197"/>
        <v>石嘴山市深阳蓝光市政工程有限公司</v>
      </c>
      <c r="D2067" s="1074" t="s">
        <v>3114</v>
      </c>
      <c r="E2067" s="561" t="s">
        <v>2425</v>
      </c>
      <c r="F2067" s="132"/>
      <c r="G2067" s="477">
        <f>报表附注合并期初用!E1882</f>
        <v>0</v>
      </c>
      <c r="H2067" s="594" t="str">
        <f>IF(F2067&lt;=G2066,"合理","2-3年账不合理")</f>
        <v>合理</v>
      </c>
      <c r="I2067" s="102"/>
      <c r="X2067" s="501" t="b">
        <f t="shared" si="198"/>
        <v>1</v>
      </c>
    </row>
    <row r="2068" outlineLevel="2" spans="1:24">
      <c r="A2068" s="85" t="s">
        <v>1588</v>
      </c>
      <c r="B2068" s="1073" t="s">
        <v>3113</v>
      </c>
      <c r="C2068" s="429" t="str">
        <f t="shared" si="197"/>
        <v>石嘴山市深阳蓝光市政工程有限公司</v>
      </c>
      <c r="D2068" s="1117" t="s">
        <v>3114</v>
      </c>
      <c r="E2068" s="561" t="s">
        <v>2426</v>
      </c>
      <c r="F2068" s="132"/>
      <c r="G2068" s="477">
        <f>报表附注合并期初用!E1883</f>
        <v>0</v>
      </c>
      <c r="H2068" s="594" t="str">
        <f>IF(F2068&lt;=G2067,"合理","3-4年账不合理")</f>
        <v>合理</v>
      </c>
      <c r="I2068" s="102"/>
      <c r="X2068" s="501" t="b">
        <f t="shared" si="198"/>
        <v>1</v>
      </c>
    </row>
    <row r="2069" outlineLevel="2" spans="1:24">
      <c r="A2069" s="85" t="s">
        <v>1589</v>
      </c>
      <c r="B2069" s="1073" t="s">
        <v>3113</v>
      </c>
      <c r="C2069" s="429" t="str">
        <f t="shared" si="197"/>
        <v>石嘴山市深阳蓝光市政工程有限公司</v>
      </c>
      <c r="D2069" s="1074" t="s">
        <v>3114</v>
      </c>
      <c r="E2069" s="561" t="s">
        <v>2427</v>
      </c>
      <c r="F2069" s="132"/>
      <c r="G2069" s="477">
        <f>报表附注合并期初用!E1884</f>
        <v>0</v>
      </c>
      <c r="H2069" s="594" t="str">
        <f>IF(F2069&lt;=G2068,"合理","3-4年账龄不合理")</f>
        <v>合理</v>
      </c>
      <c r="I2069" s="102"/>
      <c r="X2069" s="501" t="b">
        <f t="shared" si="198"/>
        <v>1</v>
      </c>
    </row>
    <row r="2070" outlineLevel="2" spans="1:24">
      <c r="A2070" s="85" t="s">
        <v>1590</v>
      </c>
      <c r="B2070" s="1073" t="s">
        <v>3113</v>
      </c>
      <c r="C2070" s="429" t="str">
        <f t="shared" si="197"/>
        <v>石嘴山市深阳蓝光市政工程有限公司</v>
      </c>
      <c r="D2070" s="1117" t="s">
        <v>3114</v>
      </c>
      <c r="E2070" s="561" t="s">
        <v>2428</v>
      </c>
      <c r="F2070" s="132"/>
      <c r="G2070" s="477">
        <f>报表附注合并期初用!E1885</f>
        <v>0</v>
      </c>
      <c r="H2070" s="594" t="str">
        <f>IF(F2070&lt;=(G2070+G2069),"合理","5年以上账龄不合理")</f>
        <v>合理</v>
      </c>
      <c r="I2070" s="102"/>
      <c r="X2070" s="501" t="b">
        <f t="shared" si="198"/>
        <v>1</v>
      </c>
    </row>
    <row r="2071" outlineLevel="2" spans="1:24">
      <c r="A2071" s="85" t="s">
        <v>1580</v>
      </c>
      <c r="B2071" s="1073" t="s">
        <v>3113</v>
      </c>
      <c r="C2071" s="429" t="str">
        <f t="shared" si="197"/>
        <v>石嘴山市深阳蓝光市政工程有限公司</v>
      </c>
      <c r="D2071" s="1074" t="s">
        <v>3114</v>
      </c>
      <c r="E2071" s="561" t="s">
        <v>1580</v>
      </c>
      <c r="F2071" s="565">
        <f>SUM(F2065:F2070)</f>
        <v>0</v>
      </c>
      <c r="G2071" s="565">
        <f>SUM(G2065:G2070)</f>
        <v>0</v>
      </c>
      <c r="X2071" s="501" t="b">
        <f t="shared" si="198"/>
        <v>1</v>
      </c>
    </row>
    <row r="2072" outlineLevel="2" spans="1:24">
      <c r="A2072" s="85" t="s">
        <v>1444</v>
      </c>
      <c r="B2072" s="1078" t="s">
        <v>3113</v>
      </c>
      <c r="C2072" s="429" t="str">
        <f t="shared" si="197"/>
        <v>石嘴山市深阳蓝光市政工程有限公司</v>
      </c>
      <c r="D2072" s="1117" t="s">
        <v>3114</v>
      </c>
      <c r="E2072" s="1060" t="s">
        <v>1444</v>
      </c>
      <c r="F2072" s="566">
        <f>审定资负表!G16</f>
        <v>0</v>
      </c>
      <c r="G2072" s="566">
        <f>审定资负表!H16</f>
        <v>0</v>
      </c>
      <c r="X2072" s="501" t="b">
        <f t="shared" si="198"/>
        <v>1</v>
      </c>
    </row>
    <row r="2073" outlineLevel="1" spans="1:24">
      <c r="A2073" s="85" t="s">
        <v>1394</v>
      </c>
      <c r="B2073" s="1078" t="s">
        <v>3113</v>
      </c>
      <c r="C2073" s="429" t="str">
        <f t="shared" si="197"/>
        <v>石嘴山市深阳蓝光市政工程有限公司</v>
      </c>
      <c r="D2073" s="1074" t="s">
        <v>3114</v>
      </c>
      <c r="E2073" s="1060" t="s">
        <v>1394</v>
      </c>
      <c r="F2073" s="87">
        <f>ROUND(F2071-F2072,2)</f>
        <v>0</v>
      </c>
      <c r="G2073" s="87">
        <f>ROUND(G2071-G2072,2)</f>
        <v>0</v>
      </c>
      <c r="X2073" s="501" t="b">
        <f t="shared" si="198"/>
        <v>1</v>
      </c>
    </row>
    <row r="2074" outlineLevel="2" spans="2:24">
      <c r="B2074" s="1078" t="s">
        <v>3113</v>
      </c>
      <c r="C2074" s="429" t="str">
        <f t="shared" si="197"/>
        <v>石嘴山市深阳蓝光市政工程有限公司</v>
      </c>
      <c r="D2074" s="1117" t="s">
        <v>3114</v>
      </c>
      <c r="E2074" s="621"/>
      <c r="F2074" s="451"/>
      <c r="G2074" s="451"/>
      <c r="X2074" s="501" t="b">
        <f t="shared" si="198"/>
        <v>1</v>
      </c>
    </row>
    <row r="2075" outlineLevel="2" spans="1:24">
      <c r="A2075" s="85" t="s">
        <v>3116</v>
      </c>
      <c r="B2075" s="1078" t="s">
        <v>3113</v>
      </c>
      <c r="C2075" s="429" t="str">
        <f t="shared" si="197"/>
        <v>石嘴山市深阳蓝光市政工程有限公司</v>
      </c>
      <c r="D2075" s="1074" t="s">
        <v>3116</v>
      </c>
      <c r="E2075" s="149" t="s">
        <v>3117</v>
      </c>
      <c r="F2075" s="451"/>
      <c r="G2075" s="451"/>
      <c r="X2075" s="501" t="b">
        <f t="shared" si="198"/>
        <v>1</v>
      </c>
    </row>
    <row r="2076" customHeight="1" outlineLevel="2" spans="1:24">
      <c r="A2076" s="85" t="s">
        <v>3027</v>
      </c>
      <c r="B2076" s="1078" t="s">
        <v>3113</v>
      </c>
      <c r="C2076" s="429" t="str">
        <f t="shared" si="197"/>
        <v>石嘴山市深阳蓝光市政工程有限公司</v>
      </c>
      <c r="D2076" s="1079" t="s">
        <v>3116</v>
      </c>
      <c r="E2076" s="149" t="s">
        <v>3027</v>
      </c>
      <c r="F2076" s="1080"/>
      <c r="G2076" s="1080"/>
      <c r="L2076" s="645" t="s">
        <v>2462</v>
      </c>
      <c r="X2076" s="501" t="b">
        <f t="shared" si="198"/>
        <v>1</v>
      </c>
    </row>
    <row r="2077" ht="24.75" customHeight="1" outlineLevel="2" spans="1:24">
      <c r="A2077" s="85" t="s">
        <v>2532</v>
      </c>
      <c r="B2077" s="1078" t="s">
        <v>3113</v>
      </c>
      <c r="C2077" s="429" t="str">
        <f t="shared" si="197"/>
        <v>石嘴山市深阳蓝光市政工程有限公司</v>
      </c>
      <c r="D2077" s="1079" t="s">
        <v>3116</v>
      </c>
      <c r="E2077" s="742" t="s">
        <v>2532</v>
      </c>
      <c r="F2077" s="742" t="s">
        <v>2440</v>
      </c>
      <c r="G2077" s="742" t="s">
        <v>365</v>
      </c>
      <c r="H2077" s="742" t="s">
        <v>3028</v>
      </c>
      <c r="I2077" s="742" t="s">
        <v>2412</v>
      </c>
      <c r="J2077" s="153" t="s">
        <v>2533</v>
      </c>
      <c r="K2077" s="1082" t="s">
        <v>3029</v>
      </c>
      <c r="L2077" s="627" t="s">
        <v>2573</v>
      </c>
      <c r="X2077" s="501" t="b">
        <f t="shared" si="198"/>
        <v>1</v>
      </c>
    </row>
    <row r="2078" customHeight="1" outlineLevel="2" spans="2:24">
      <c r="B2078" s="1078" t="s">
        <v>3113</v>
      </c>
      <c r="C2078" s="429" t="str">
        <f t="shared" si="197"/>
        <v>石嘴山市深阳蓝光市政工程有限公司</v>
      </c>
      <c r="D2078" s="1079" t="s">
        <v>3116</v>
      </c>
      <c r="E2078" s="132"/>
      <c r="F2078" s="132"/>
      <c r="G2078" s="132"/>
      <c r="H2078" s="1081">
        <f>IFERROR(ROUND(G2078/$F$2071,4),0)</f>
        <v>0</v>
      </c>
      <c r="I2078" s="132"/>
      <c r="J2078" s="132"/>
      <c r="K2078" s="132"/>
      <c r="X2078" s="501" t="b">
        <f t="shared" si="198"/>
        <v>1</v>
      </c>
    </row>
    <row r="2079" customHeight="1" outlineLevel="2" spans="2:24">
      <c r="B2079" s="1078" t="s">
        <v>3113</v>
      </c>
      <c r="C2079" s="429" t="str">
        <f t="shared" si="197"/>
        <v>石嘴山市深阳蓝光市政工程有限公司</v>
      </c>
      <c r="D2079" s="1079" t="s">
        <v>3116</v>
      </c>
      <c r="E2079" s="132"/>
      <c r="F2079" s="132"/>
      <c r="G2079" s="132"/>
      <c r="H2079" s="1081">
        <f t="shared" ref="H2079:H2104" si="199">IFERROR(ROUND(G2079/$F$2071,4),0)</f>
        <v>0</v>
      </c>
      <c r="I2079" s="132"/>
      <c r="J2079" s="132"/>
      <c r="K2079" s="132"/>
      <c r="X2079" s="501" t="b">
        <f t="shared" si="198"/>
        <v>1</v>
      </c>
    </row>
    <row r="2080" customHeight="1" outlineLevel="2" spans="2:24">
      <c r="B2080" s="1078" t="s">
        <v>3113</v>
      </c>
      <c r="C2080" s="429" t="str">
        <f t="shared" si="197"/>
        <v>石嘴山市深阳蓝光市政工程有限公司</v>
      </c>
      <c r="D2080" s="1079" t="s">
        <v>3116</v>
      </c>
      <c r="E2080" s="132"/>
      <c r="F2080" s="132"/>
      <c r="G2080" s="132"/>
      <c r="H2080" s="1081">
        <f t="shared" si="199"/>
        <v>0</v>
      </c>
      <c r="I2080" s="132"/>
      <c r="J2080" s="132"/>
      <c r="K2080" s="132"/>
      <c r="X2080" s="501" t="b">
        <f t="shared" si="198"/>
        <v>1</v>
      </c>
    </row>
    <row r="2081" customHeight="1" outlineLevel="2" spans="2:24">
      <c r="B2081" s="1078" t="s">
        <v>3113</v>
      </c>
      <c r="C2081" s="429" t="str">
        <f t="shared" si="197"/>
        <v>石嘴山市深阳蓝光市政工程有限公司</v>
      </c>
      <c r="D2081" s="1079" t="s">
        <v>3116</v>
      </c>
      <c r="E2081" s="132"/>
      <c r="F2081" s="132"/>
      <c r="G2081" s="132"/>
      <c r="H2081" s="1081">
        <f t="shared" si="199"/>
        <v>0</v>
      </c>
      <c r="I2081" s="132"/>
      <c r="J2081" s="132"/>
      <c r="K2081" s="132"/>
      <c r="X2081" s="501" t="b">
        <f t="shared" si="198"/>
        <v>1</v>
      </c>
    </row>
    <row r="2082" customHeight="1" outlineLevel="2" spans="2:24">
      <c r="B2082" s="1078" t="s">
        <v>3113</v>
      </c>
      <c r="C2082" s="429" t="str">
        <f t="shared" ref="C2082:C2145" si="200">$G$1</f>
        <v>石嘴山市深阳蓝光市政工程有限公司</v>
      </c>
      <c r="D2082" s="1079" t="s">
        <v>3116</v>
      </c>
      <c r="E2082" s="132"/>
      <c r="F2082" s="132"/>
      <c r="G2082" s="132"/>
      <c r="H2082" s="1081">
        <f t="shared" si="199"/>
        <v>0</v>
      </c>
      <c r="I2082" s="132"/>
      <c r="J2082" s="132"/>
      <c r="K2082" s="132"/>
      <c r="X2082" s="501" t="b">
        <f t="shared" ref="X2082:X2145" si="201">EXACT(A2082,E2082)</f>
        <v>1</v>
      </c>
    </row>
    <row r="2083" customHeight="1" outlineLevel="2" spans="2:24">
      <c r="B2083" s="1078" t="s">
        <v>3113</v>
      </c>
      <c r="C2083" s="429" t="str">
        <f t="shared" si="200"/>
        <v>石嘴山市深阳蓝光市政工程有限公司</v>
      </c>
      <c r="D2083" s="1079" t="s">
        <v>3116</v>
      </c>
      <c r="E2083" s="132"/>
      <c r="F2083" s="132"/>
      <c r="G2083" s="132"/>
      <c r="H2083" s="1081">
        <f t="shared" si="199"/>
        <v>0</v>
      </c>
      <c r="I2083" s="132"/>
      <c r="J2083" s="132"/>
      <c r="K2083" s="132"/>
      <c r="X2083" s="501" t="b">
        <f t="shared" si="201"/>
        <v>1</v>
      </c>
    </row>
    <row r="2084" customHeight="1" outlineLevel="2" spans="2:24">
      <c r="B2084" s="1078" t="s">
        <v>3113</v>
      </c>
      <c r="C2084" s="429" t="str">
        <f t="shared" si="200"/>
        <v>石嘴山市深阳蓝光市政工程有限公司</v>
      </c>
      <c r="D2084" s="1079" t="s">
        <v>3116</v>
      </c>
      <c r="E2084" s="132"/>
      <c r="F2084" s="132"/>
      <c r="G2084" s="132"/>
      <c r="H2084" s="1081">
        <f t="shared" si="199"/>
        <v>0</v>
      </c>
      <c r="I2084" s="132"/>
      <c r="J2084" s="132"/>
      <c r="K2084" s="132"/>
      <c r="X2084" s="501" t="b">
        <f t="shared" si="201"/>
        <v>1</v>
      </c>
    </row>
    <row r="2085" customHeight="1" outlineLevel="2" spans="2:24">
      <c r="B2085" s="1078" t="s">
        <v>3113</v>
      </c>
      <c r="C2085" s="429" t="str">
        <f t="shared" si="200"/>
        <v>石嘴山市深阳蓝光市政工程有限公司</v>
      </c>
      <c r="D2085" s="1079" t="s">
        <v>3116</v>
      </c>
      <c r="E2085" s="132"/>
      <c r="F2085" s="132"/>
      <c r="G2085" s="132"/>
      <c r="H2085" s="1081">
        <f t="shared" si="199"/>
        <v>0</v>
      </c>
      <c r="I2085" s="132"/>
      <c r="J2085" s="132"/>
      <c r="K2085" s="132"/>
      <c r="X2085" s="501" t="b">
        <f t="shared" si="201"/>
        <v>1</v>
      </c>
    </row>
    <row r="2086" customHeight="1" outlineLevel="2" spans="2:24">
      <c r="B2086" s="1078" t="s">
        <v>3113</v>
      </c>
      <c r="C2086" s="429" t="str">
        <f t="shared" si="200"/>
        <v>石嘴山市深阳蓝光市政工程有限公司</v>
      </c>
      <c r="D2086" s="1079" t="s">
        <v>3116</v>
      </c>
      <c r="E2086" s="132"/>
      <c r="F2086" s="132"/>
      <c r="G2086" s="132"/>
      <c r="H2086" s="1081">
        <f t="shared" si="199"/>
        <v>0</v>
      </c>
      <c r="I2086" s="132"/>
      <c r="J2086" s="132"/>
      <c r="K2086" s="132"/>
      <c r="X2086" s="501" t="b">
        <f t="shared" si="201"/>
        <v>1</v>
      </c>
    </row>
    <row r="2087" customHeight="1" outlineLevel="2" spans="2:24">
      <c r="B2087" s="1078" t="s">
        <v>3113</v>
      </c>
      <c r="C2087" s="429" t="str">
        <f t="shared" si="200"/>
        <v>石嘴山市深阳蓝光市政工程有限公司</v>
      </c>
      <c r="D2087" s="1079" t="s">
        <v>3116</v>
      </c>
      <c r="E2087" s="132"/>
      <c r="F2087" s="132"/>
      <c r="G2087" s="132"/>
      <c r="H2087" s="1081">
        <f t="shared" si="199"/>
        <v>0</v>
      </c>
      <c r="I2087" s="132"/>
      <c r="J2087" s="132"/>
      <c r="K2087" s="132"/>
      <c r="X2087" s="501" t="b">
        <f t="shared" si="201"/>
        <v>1</v>
      </c>
    </row>
    <row r="2088" customHeight="1" outlineLevel="2" spans="2:24">
      <c r="B2088" s="1078" t="s">
        <v>3113</v>
      </c>
      <c r="C2088" s="429" t="str">
        <f t="shared" si="200"/>
        <v>石嘴山市深阳蓝光市政工程有限公司</v>
      </c>
      <c r="D2088" s="1079" t="s">
        <v>3116</v>
      </c>
      <c r="E2088" s="132"/>
      <c r="F2088" s="132"/>
      <c r="G2088" s="132"/>
      <c r="H2088" s="1081">
        <f t="shared" si="199"/>
        <v>0</v>
      </c>
      <c r="I2088" s="132"/>
      <c r="J2088" s="132"/>
      <c r="K2088" s="132"/>
      <c r="X2088" s="501" t="b">
        <f t="shared" si="201"/>
        <v>1</v>
      </c>
    </row>
    <row r="2089" customHeight="1" outlineLevel="2" spans="2:24">
      <c r="B2089" s="1078" t="s">
        <v>3113</v>
      </c>
      <c r="C2089" s="429" t="str">
        <f t="shared" si="200"/>
        <v>石嘴山市深阳蓝光市政工程有限公司</v>
      </c>
      <c r="D2089" s="1079" t="s">
        <v>3116</v>
      </c>
      <c r="E2089" s="132"/>
      <c r="F2089" s="132"/>
      <c r="G2089" s="132"/>
      <c r="H2089" s="1081">
        <f t="shared" si="199"/>
        <v>0</v>
      </c>
      <c r="I2089" s="132"/>
      <c r="J2089" s="132"/>
      <c r="K2089" s="132"/>
      <c r="X2089" s="501" t="b">
        <f t="shared" si="201"/>
        <v>1</v>
      </c>
    </row>
    <row r="2090" customHeight="1" outlineLevel="2" spans="2:24">
      <c r="B2090" s="1078" t="s">
        <v>3113</v>
      </c>
      <c r="C2090" s="429" t="str">
        <f t="shared" si="200"/>
        <v>石嘴山市深阳蓝光市政工程有限公司</v>
      </c>
      <c r="D2090" s="1079" t="s">
        <v>3116</v>
      </c>
      <c r="E2090" s="132"/>
      <c r="F2090" s="132"/>
      <c r="G2090" s="132"/>
      <c r="H2090" s="1081">
        <f t="shared" si="199"/>
        <v>0</v>
      </c>
      <c r="I2090" s="132"/>
      <c r="J2090" s="132"/>
      <c r="K2090" s="132"/>
      <c r="X2090" s="501" t="b">
        <f t="shared" si="201"/>
        <v>1</v>
      </c>
    </row>
    <row r="2091" customHeight="1" outlineLevel="2" spans="2:24">
      <c r="B2091" s="1078" t="s">
        <v>3113</v>
      </c>
      <c r="C2091" s="429" t="str">
        <f t="shared" si="200"/>
        <v>石嘴山市深阳蓝光市政工程有限公司</v>
      </c>
      <c r="D2091" s="1079" t="s">
        <v>3116</v>
      </c>
      <c r="E2091" s="132"/>
      <c r="F2091" s="132"/>
      <c r="G2091" s="132"/>
      <c r="H2091" s="1081">
        <f t="shared" si="199"/>
        <v>0</v>
      </c>
      <c r="I2091" s="132"/>
      <c r="J2091" s="132"/>
      <c r="K2091" s="132"/>
      <c r="X2091" s="501" t="b">
        <f t="shared" si="201"/>
        <v>1</v>
      </c>
    </row>
    <row r="2092" customHeight="1" outlineLevel="2" spans="2:24">
      <c r="B2092" s="1078" t="s">
        <v>3113</v>
      </c>
      <c r="C2092" s="429" t="str">
        <f t="shared" si="200"/>
        <v>石嘴山市深阳蓝光市政工程有限公司</v>
      </c>
      <c r="D2092" s="1079" t="s">
        <v>3116</v>
      </c>
      <c r="E2092" s="132"/>
      <c r="F2092" s="132"/>
      <c r="G2092" s="132"/>
      <c r="H2092" s="1081">
        <f t="shared" si="199"/>
        <v>0</v>
      </c>
      <c r="I2092" s="132"/>
      <c r="J2092" s="132"/>
      <c r="K2092" s="132"/>
      <c r="X2092" s="501" t="b">
        <f t="shared" si="201"/>
        <v>1</v>
      </c>
    </row>
    <row r="2093" customHeight="1" outlineLevel="2" spans="2:24">
      <c r="B2093" s="1078" t="s">
        <v>3113</v>
      </c>
      <c r="C2093" s="429" t="str">
        <f t="shared" si="200"/>
        <v>石嘴山市深阳蓝光市政工程有限公司</v>
      </c>
      <c r="D2093" s="1079" t="s">
        <v>3116</v>
      </c>
      <c r="E2093" s="132"/>
      <c r="F2093" s="132"/>
      <c r="G2093" s="132"/>
      <c r="H2093" s="1081">
        <f t="shared" si="199"/>
        <v>0</v>
      </c>
      <c r="I2093" s="132"/>
      <c r="J2093" s="132"/>
      <c r="K2093" s="132"/>
      <c r="X2093" s="501" t="b">
        <f t="shared" si="201"/>
        <v>1</v>
      </c>
    </row>
    <row r="2094" customHeight="1" outlineLevel="2" spans="2:24">
      <c r="B2094" s="1078" t="s">
        <v>3113</v>
      </c>
      <c r="C2094" s="429" t="str">
        <f t="shared" si="200"/>
        <v>石嘴山市深阳蓝光市政工程有限公司</v>
      </c>
      <c r="D2094" s="1079" t="s">
        <v>3116</v>
      </c>
      <c r="E2094" s="132"/>
      <c r="F2094" s="132"/>
      <c r="G2094" s="132"/>
      <c r="H2094" s="1081">
        <f t="shared" si="199"/>
        <v>0</v>
      </c>
      <c r="I2094" s="132"/>
      <c r="J2094" s="132"/>
      <c r="K2094" s="132"/>
      <c r="X2094" s="501" t="b">
        <f t="shared" si="201"/>
        <v>1</v>
      </c>
    </row>
    <row r="2095" customHeight="1" outlineLevel="2" spans="2:24">
      <c r="B2095" s="1078" t="s">
        <v>3113</v>
      </c>
      <c r="C2095" s="429" t="str">
        <f t="shared" si="200"/>
        <v>石嘴山市深阳蓝光市政工程有限公司</v>
      </c>
      <c r="D2095" s="1079" t="s">
        <v>3116</v>
      </c>
      <c r="E2095" s="132"/>
      <c r="F2095" s="132"/>
      <c r="G2095" s="132"/>
      <c r="H2095" s="1081">
        <f t="shared" si="199"/>
        <v>0</v>
      </c>
      <c r="I2095" s="132"/>
      <c r="J2095" s="132"/>
      <c r="K2095" s="132"/>
      <c r="X2095" s="501" t="b">
        <f t="shared" si="201"/>
        <v>1</v>
      </c>
    </row>
    <row r="2096" customHeight="1" outlineLevel="2" spans="2:24">
      <c r="B2096" s="1078" t="s">
        <v>3113</v>
      </c>
      <c r="C2096" s="429" t="str">
        <f t="shared" si="200"/>
        <v>石嘴山市深阳蓝光市政工程有限公司</v>
      </c>
      <c r="D2096" s="1079" t="s">
        <v>3116</v>
      </c>
      <c r="E2096" s="132"/>
      <c r="F2096" s="132"/>
      <c r="G2096" s="132"/>
      <c r="H2096" s="1081">
        <f t="shared" si="199"/>
        <v>0</v>
      </c>
      <c r="I2096" s="132"/>
      <c r="J2096" s="132"/>
      <c r="K2096" s="132"/>
      <c r="X2096" s="501" t="b">
        <f t="shared" si="201"/>
        <v>1</v>
      </c>
    </row>
    <row r="2097" customHeight="1" outlineLevel="2" spans="2:24">
      <c r="B2097" s="1078" t="s">
        <v>3113</v>
      </c>
      <c r="C2097" s="429" t="str">
        <f t="shared" si="200"/>
        <v>石嘴山市深阳蓝光市政工程有限公司</v>
      </c>
      <c r="D2097" s="1079" t="s">
        <v>3116</v>
      </c>
      <c r="E2097" s="132"/>
      <c r="F2097" s="132"/>
      <c r="G2097" s="132"/>
      <c r="H2097" s="1081">
        <f t="shared" si="199"/>
        <v>0</v>
      </c>
      <c r="I2097" s="132"/>
      <c r="J2097" s="132"/>
      <c r="K2097" s="132"/>
      <c r="X2097" s="501" t="b">
        <f t="shared" si="201"/>
        <v>1</v>
      </c>
    </row>
    <row r="2098" customHeight="1" outlineLevel="2" spans="2:24">
      <c r="B2098" s="1078" t="s">
        <v>3113</v>
      </c>
      <c r="C2098" s="429" t="str">
        <f t="shared" si="200"/>
        <v>石嘴山市深阳蓝光市政工程有限公司</v>
      </c>
      <c r="D2098" s="1079" t="s">
        <v>3116</v>
      </c>
      <c r="E2098" s="132"/>
      <c r="F2098" s="132"/>
      <c r="G2098" s="132"/>
      <c r="H2098" s="1081">
        <f t="shared" si="199"/>
        <v>0</v>
      </c>
      <c r="I2098" s="132"/>
      <c r="J2098" s="132"/>
      <c r="K2098" s="132"/>
      <c r="X2098" s="501" t="b">
        <f t="shared" si="201"/>
        <v>1</v>
      </c>
    </row>
    <row r="2099" customHeight="1" outlineLevel="2" spans="2:24">
      <c r="B2099" s="1078" t="s">
        <v>3113</v>
      </c>
      <c r="C2099" s="429" t="str">
        <f t="shared" si="200"/>
        <v>石嘴山市深阳蓝光市政工程有限公司</v>
      </c>
      <c r="D2099" s="1079" t="s">
        <v>3116</v>
      </c>
      <c r="E2099" s="132"/>
      <c r="F2099" s="132"/>
      <c r="G2099" s="132"/>
      <c r="H2099" s="1081">
        <f t="shared" si="199"/>
        <v>0</v>
      </c>
      <c r="I2099" s="132"/>
      <c r="J2099" s="132"/>
      <c r="K2099" s="132"/>
      <c r="X2099" s="501" t="b">
        <f t="shared" si="201"/>
        <v>1</v>
      </c>
    </row>
    <row r="2100" customHeight="1" outlineLevel="2" spans="2:24">
      <c r="B2100" s="1078" t="s">
        <v>3113</v>
      </c>
      <c r="C2100" s="429" t="str">
        <f t="shared" si="200"/>
        <v>石嘴山市深阳蓝光市政工程有限公司</v>
      </c>
      <c r="D2100" s="1079" t="s">
        <v>3116</v>
      </c>
      <c r="E2100" s="132"/>
      <c r="F2100" s="132"/>
      <c r="G2100" s="132"/>
      <c r="H2100" s="1081">
        <f t="shared" si="199"/>
        <v>0</v>
      </c>
      <c r="I2100" s="132"/>
      <c r="J2100" s="132"/>
      <c r="K2100" s="132"/>
      <c r="X2100" s="501" t="b">
        <f t="shared" si="201"/>
        <v>1</v>
      </c>
    </row>
    <row r="2101" customHeight="1" outlineLevel="2" spans="2:24">
      <c r="B2101" s="1078" t="s">
        <v>3113</v>
      </c>
      <c r="C2101" s="429" t="str">
        <f t="shared" si="200"/>
        <v>石嘴山市深阳蓝光市政工程有限公司</v>
      </c>
      <c r="D2101" s="1079" t="s">
        <v>3116</v>
      </c>
      <c r="E2101" s="132"/>
      <c r="F2101" s="132"/>
      <c r="G2101" s="132"/>
      <c r="H2101" s="1081">
        <f t="shared" si="199"/>
        <v>0</v>
      </c>
      <c r="I2101" s="132"/>
      <c r="J2101" s="132"/>
      <c r="K2101" s="132"/>
      <c r="X2101" s="501" t="b">
        <f t="shared" si="201"/>
        <v>1</v>
      </c>
    </row>
    <row r="2102" customHeight="1" outlineLevel="2" spans="2:24">
      <c r="B2102" s="1078" t="s">
        <v>3113</v>
      </c>
      <c r="C2102" s="429" t="str">
        <f t="shared" si="200"/>
        <v>石嘴山市深阳蓝光市政工程有限公司</v>
      </c>
      <c r="D2102" s="1079" t="s">
        <v>3116</v>
      </c>
      <c r="E2102" s="132"/>
      <c r="F2102" s="132"/>
      <c r="G2102" s="132"/>
      <c r="H2102" s="1081">
        <f t="shared" si="199"/>
        <v>0</v>
      </c>
      <c r="I2102" s="132"/>
      <c r="J2102" s="132"/>
      <c r="K2102" s="132"/>
      <c r="X2102" s="501" t="b">
        <f t="shared" si="201"/>
        <v>1</v>
      </c>
    </row>
    <row r="2103" customHeight="1" outlineLevel="2" spans="2:24">
      <c r="B2103" s="1078" t="s">
        <v>3113</v>
      </c>
      <c r="C2103" s="429" t="str">
        <f t="shared" si="200"/>
        <v>石嘴山市深阳蓝光市政工程有限公司</v>
      </c>
      <c r="D2103" s="1079" t="s">
        <v>3116</v>
      </c>
      <c r="E2103" s="132"/>
      <c r="F2103" s="132"/>
      <c r="G2103" s="132"/>
      <c r="H2103" s="1081">
        <f t="shared" si="199"/>
        <v>0</v>
      </c>
      <c r="I2103" s="132"/>
      <c r="J2103" s="132"/>
      <c r="K2103" s="132"/>
      <c r="X2103" s="501" t="b">
        <f t="shared" si="201"/>
        <v>1</v>
      </c>
    </row>
    <row r="2104" customHeight="1" outlineLevel="2" spans="1:24">
      <c r="A2104" s="85" t="s">
        <v>1580</v>
      </c>
      <c r="B2104" s="1078" t="s">
        <v>3113</v>
      </c>
      <c r="C2104" s="429" t="str">
        <f t="shared" si="200"/>
        <v>石嘴山市深阳蓝光市政工程有限公司</v>
      </c>
      <c r="D2104" s="1079" t="s">
        <v>3116</v>
      </c>
      <c r="E2104" s="153" t="s">
        <v>1580</v>
      </c>
      <c r="F2104" s="153"/>
      <c r="G2104" s="135">
        <f>SUM(G2078:G2103)</f>
        <v>0</v>
      </c>
      <c r="H2104" s="1081">
        <f t="shared" si="199"/>
        <v>0</v>
      </c>
      <c r="I2104" s="153"/>
      <c r="J2104" s="153"/>
      <c r="K2104" s="135">
        <f>SUM(K2078:K2103)</f>
        <v>0</v>
      </c>
      <c r="X2104" s="501" t="b">
        <f t="shared" si="201"/>
        <v>1</v>
      </c>
    </row>
    <row r="2105" outlineLevel="2" spans="2:24">
      <c r="B2105" s="1078" t="s">
        <v>3113</v>
      </c>
      <c r="C2105" s="429" t="str">
        <f t="shared" si="200"/>
        <v>石嘴山市深阳蓝光市政工程有限公司</v>
      </c>
      <c r="D2105" s="1074" t="s">
        <v>3116</v>
      </c>
      <c r="E2105" s="149"/>
      <c r="F2105" s="451"/>
      <c r="G2105" s="451"/>
      <c r="X2105" s="501" t="b">
        <f t="shared" si="201"/>
        <v>1</v>
      </c>
    </row>
    <row r="2106" outlineLevel="2" spans="1:24">
      <c r="A2106" s="85" t="s">
        <v>3118</v>
      </c>
      <c r="B2106" s="1078" t="s">
        <v>3113</v>
      </c>
      <c r="C2106" s="429" t="str">
        <f t="shared" si="200"/>
        <v>石嘴山市深阳蓝光市政工程有限公司</v>
      </c>
      <c r="D2106" s="1074" t="s">
        <v>3118</v>
      </c>
      <c r="E2106" s="149" t="s">
        <v>3119</v>
      </c>
      <c r="F2106" s="451"/>
      <c r="G2106" s="451"/>
      <c r="X2106" s="501" t="b">
        <f t="shared" si="201"/>
        <v>1</v>
      </c>
    </row>
    <row r="2107" outlineLevel="2" spans="1:24">
      <c r="A2107" s="85" t="s">
        <v>2036</v>
      </c>
      <c r="B2107" s="1078" t="s">
        <v>3113</v>
      </c>
      <c r="C2107" s="429" t="str">
        <f t="shared" si="200"/>
        <v>石嘴山市深阳蓝光市政工程有限公司</v>
      </c>
      <c r="D2107" s="1074" t="s">
        <v>3118</v>
      </c>
      <c r="E2107" s="581" t="s">
        <v>2036</v>
      </c>
      <c r="F2107" s="581" t="s">
        <v>515</v>
      </c>
      <c r="G2107" s="581" t="s">
        <v>670</v>
      </c>
      <c r="X2107" s="501" t="b">
        <f t="shared" si="201"/>
        <v>1</v>
      </c>
    </row>
    <row r="2108" outlineLevel="2" spans="2:24">
      <c r="B2108" s="1078" t="s">
        <v>3113</v>
      </c>
      <c r="C2108" s="429" t="str">
        <f t="shared" si="200"/>
        <v>石嘴山市深阳蓝光市政工程有限公司</v>
      </c>
      <c r="D2108" s="1074" t="s">
        <v>3118</v>
      </c>
      <c r="E2108" s="997"/>
      <c r="F2108" s="1085"/>
      <c r="G2108" s="1085"/>
      <c r="X2108" s="501" t="b">
        <f t="shared" si="201"/>
        <v>1</v>
      </c>
    </row>
    <row r="2109" outlineLevel="2" spans="2:24">
      <c r="B2109" s="1078" t="s">
        <v>3113</v>
      </c>
      <c r="C2109" s="429" t="str">
        <f t="shared" si="200"/>
        <v>石嘴山市深阳蓝光市政工程有限公司</v>
      </c>
      <c r="D2109" s="448" t="s">
        <v>3118</v>
      </c>
      <c r="E2109" s="997"/>
      <c r="F2109" s="1085"/>
      <c r="G2109" s="1085"/>
      <c r="X2109" s="501" t="b">
        <f t="shared" si="201"/>
        <v>1</v>
      </c>
    </row>
    <row r="2110" outlineLevel="2" spans="2:24">
      <c r="B2110" s="1078" t="s">
        <v>3113</v>
      </c>
      <c r="C2110" s="429" t="str">
        <f t="shared" si="200"/>
        <v>石嘴山市深阳蓝光市政工程有限公司</v>
      </c>
      <c r="D2110" s="448" t="s">
        <v>3118</v>
      </c>
      <c r="E2110" s="997"/>
      <c r="F2110" s="1085"/>
      <c r="G2110" s="1085"/>
      <c r="X2110" s="501" t="b">
        <f t="shared" si="201"/>
        <v>1</v>
      </c>
    </row>
    <row r="2111" ht="14.25" customHeight="1" outlineLevel="2" spans="2:24">
      <c r="B2111" s="1078" t="s">
        <v>3113</v>
      </c>
      <c r="C2111" s="429" t="str">
        <f t="shared" si="200"/>
        <v>石嘴山市深阳蓝光市政工程有限公司</v>
      </c>
      <c r="D2111" s="448" t="s">
        <v>3118</v>
      </c>
      <c r="E2111" s="997"/>
      <c r="F2111" s="1085"/>
      <c r="G2111" s="1085"/>
      <c r="X2111" s="501" t="b">
        <f t="shared" si="201"/>
        <v>1</v>
      </c>
    </row>
    <row r="2112" outlineLevel="2" spans="2:24">
      <c r="B2112" s="1078" t="s">
        <v>3113</v>
      </c>
      <c r="C2112" s="429" t="str">
        <f t="shared" si="200"/>
        <v>石嘴山市深阳蓝光市政工程有限公司</v>
      </c>
      <c r="D2112" s="448" t="s">
        <v>3118</v>
      </c>
      <c r="E2112" s="644"/>
      <c r="F2112" s="132"/>
      <c r="G2112" s="132"/>
      <c r="X2112" s="501" t="b">
        <f t="shared" si="201"/>
        <v>1</v>
      </c>
    </row>
    <row r="2113" outlineLevel="2" spans="2:24">
      <c r="B2113" s="1078" t="s">
        <v>3113</v>
      </c>
      <c r="C2113" s="429" t="str">
        <f t="shared" si="200"/>
        <v>石嘴山市深阳蓝光市政工程有限公司</v>
      </c>
      <c r="D2113" s="448" t="s">
        <v>3118</v>
      </c>
      <c r="E2113" s="644"/>
      <c r="F2113" s="132"/>
      <c r="G2113" s="132"/>
      <c r="X2113" s="501" t="b">
        <f t="shared" si="201"/>
        <v>1</v>
      </c>
    </row>
    <row r="2114" outlineLevel="2" spans="2:24">
      <c r="B2114" s="1078" t="s">
        <v>3113</v>
      </c>
      <c r="C2114" s="429" t="str">
        <f t="shared" si="200"/>
        <v>石嘴山市深阳蓝光市政工程有限公司</v>
      </c>
      <c r="D2114" s="448" t="s">
        <v>3118</v>
      </c>
      <c r="E2114" s="644"/>
      <c r="F2114" s="132"/>
      <c r="G2114" s="132"/>
      <c r="X2114" s="501" t="b">
        <f t="shared" si="201"/>
        <v>1</v>
      </c>
    </row>
    <row r="2115" outlineLevel="2" spans="1:24">
      <c r="A2115" s="85" t="s">
        <v>1580</v>
      </c>
      <c r="B2115" s="1078" t="s">
        <v>3113</v>
      </c>
      <c r="C2115" s="429" t="str">
        <f t="shared" si="200"/>
        <v>石嘴山市深阳蓝光市政工程有限公司</v>
      </c>
      <c r="D2115" s="448" t="s">
        <v>3118</v>
      </c>
      <c r="E2115" s="1086" t="s">
        <v>1580</v>
      </c>
      <c r="F2115" s="135">
        <f>SUM(F2108:F2114)</f>
        <v>0</v>
      </c>
      <c r="G2115" s="135">
        <f>SUM(G2108:G2114)</f>
        <v>0</v>
      </c>
      <c r="X2115" s="501" t="b">
        <f t="shared" si="201"/>
        <v>1</v>
      </c>
    </row>
    <row r="2116" outlineLevel="2" spans="1:24">
      <c r="A2116" s="85" t="s">
        <v>3035</v>
      </c>
      <c r="B2116" s="1078" t="s">
        <v>3113</v>
      </c>
      <c r="C2116" s="429" t="str">
        <f t="shared" si="200"/>
        <v>石嘴山市深阳蓝光市政工程有限公司</v>
      </c>
      <c r="D2116" s="448" t="s">
        <v>3118</v>
      </c>
      <c r="E2116" s="813" t="s">
        <v>3035</v>
      </c>
      <c r="F2116" s="451"/>
      <c r="G2116" s="451"/>
      <c r="X2116" s="501" t="b">
        <f t="shared" si="201"/>
        <v>1</v>
      </c>
    </row>
    <row r="2117" outlineLevel="2" spans="1:24">
      <c r="A2117" s="85" t="s">
        <v>2315</v>
      </c>
      <c r="B2117" s="1078" t="s">
        <v>3113</v>
      </c>
      <c r="C2117" s="429" t="str">
        <f t="shared" si="200"/>
        <v>石嘴山市深阳蓝光市政工程有限公司</v>
      </c>
      <c r="D2117" s="448" t="s">
        <v>3118</v>
      </c>
      <c r="E2117" s="1148" t="s">
        <v>2315</v>
      </c>
      <c r="F2117" s="471"/>
      <c r="G2117" s="471"/>
      <c r="X2117" s="501" t="b">
        <f t="shared" si="201"/>
        <v>1</v>
      </c>
    </row>
    <row r="2118" outlineLevel="2" spans="2:24">
      <c r="B2118" s="1078" t="s">
        <v>3113</v>
      </c>
      <c r="C2118" s="429" t="str">
        <f t="shared" si="200"/>
        <v>石嘴山市深阳蓝光市政工程有限公司</v>
      </c>
      <c r="D2118" s="448" t="s">
        <v>3118</v>
      </c>
      <c r="E2118" s="813"/>
      <c r="F2118" s="451"/>
      <c r="G2118" s="451"/>
      <c r="X2118" s="501" t="b">
        <f t="shared" si="201"/>
        <v>1</v>
      </c>
    </row>
    <row r="2119" hidden="1" outlineLevel="2" spans="1:24">
      <c r="A2119" s="85" t="s">
        <v>3120</v>
      </c>
      <c r="B2119" s="1078" t="s">
        <v>3113</v>
      </c>
      <c r="C2119" s="429" t="str">
        <f t="shared" si="200"/>
        <v>石嘴山市深阳蓝光市政工程有限公司</v>
      </c>
      <c r="D2119" s="448" t="s">
        <v>3121</v>
      </c>
      <c r="E2119" s="1149" t="s">
        <v>3122</v>
      </c>
      <c r="F2119" s="1149"/>
      <c r="G2119" s="1150" t="s">
        <v>3123</v>
      </c>
      <c r="H2119" s="619"/>
      <c r="J2119" s="645" t="s">
        <v>2462</v>
      </c>
      <c r="X2119" s="501" t="b">
        <f t="shared" si="201"/>
        <v>1</v>
      </c>
    </row>
    <row r="2120" hidden="1" outlineLevel="2" spans="1:24">
      <c r="A2120" s="85" t="s">
        <v>3124</v>
      </c>
      <c r="B2120" s="1078" t="s">
        <v>3113</v>
      </c>
      <c r="C2120" s="429" t="str">
        <f t="shared" si="200"/>
        <v>石嘴山市深阳蓝光市政工程有限公司</v>
      </c>
      <c r="D2120" s="448" t="s">
        <v>3121</v>
      </c>
      <c r="E2120" s="977" t="s">
        <v>3125</v>
      </c>
      <c r="F2120" s="977" t="s">
        <v>3126</v>
      </c>
      <c r="G2120" s="452" t="s">
        <v>2412</v>
      </c>
      <c r="H2120" s="93" t="s">
        <v>2596</v>
      </c>
      <c r="I2120" s="93" t="s">
        <v>3127</v>
      </c>
      <c r="J2120" s="627"/>
      <c r="X2120" s="501" t="b">
        <f t="shared" si="201"/>
        <v>1</v>
      </c>
    </row>
    <row r="2121" hidden="1" outlineLevel="2" spans="2:24">
      <c r="B2121" s="1078" t="s">
        <v>3113</v>
      </c>
      <c r="C2121" s="429" t="str">
        <f t="shared" si="200"/>
        <v>石嘴山市深阳蓝光市政工程有限公司</v>
      </c>
      <c r="D2121" s="448" t="s">
        <v>3128</v>
      </c>
      <c r="E2121" s="1151"/>
      <c r="F2121" s="133"/>
      <c r="G2121" s="1152"/>
      <c r="H2121" s="98"/>
      <c r="I2121" s="98"/>
      <c r="X2121" s="501" t="b">
        <f t="shared" si="201"/>
        <v>1</v>
      </c>
    </row>
    <row r="2122" hidden="1" outlineLevel="2" spans="2:24">
      <c r="B2122" s="1078" t="s">
        <v>3113</v>
      </c>
      <c r="C2122" s="429" t="str">
        <f t="shared" si="200"/>
        <v>石嘴山市深阳蓝光市政工程有限公司</v>
      </c>
      <c r="D2122" s="448" t="s">
        <v>3128</v>
      </c>
      <c r="E2122" s="1151"/>
      <c r="F2122" s="133"/>
      <c r="G2122" s="1152"/>
      <c r="H2122" s="98"/>
      <c r="I2122" s="98"/>
      <c r="X2122" s="501" t="b">
        <f t="shared" si="201"/>
        <v>1</v>
      </c>
    </row>
    <row r="2123" hidden="1" customHeight="1" outlineLevel="2" spans="2:24">
      <c r="B2123" s="1078" t="s">
        <v>3113</v>
      </c>
      <c r="C2123" s="429" t="str">
        <f t="shared" si="200"/>
        <v>石嘴山市深阳蓝光市政工程有限公司</v>
      </c>
      <c r="D2123" s="448" t="s">
        <v>3128</v>
      </c>
      <c r="E2123" s="1151"/>
      <c r="F2123" s="133"/>
      <c r="G2123" s="1152"/>
      <c r="H2123" s="98"/>
      <c r="I2123" s="98"/>
      <c r="X2123" s="501" t="b">
        <f t="shared" si="201"/>
        <v>1</v>
      </c>
    </row>
    <row r="2124" hidden="1" outlineLevel="2" spans="2:24">
      <c r="B2124" s="1078" t="s">
        <v>3113</v>
      </c>
      <c r="C2124" s="429" t="str">
        <f t="shared" si="200"/>
        <v>石嘴山市深阳蓝光市政工程有限公司</v>
      </c>
      <c r="D2124" s="448" t="s">
        <v>3128</v>
      </c>
      <c r="E2124" s="1151"/>
      <c r="F2124" s="133"/>
      <c r="G2124" s="1152"/>
      <c r="H2124" s="98"/>
      <c r="I2124" s="98"/>
      <c r="X2124" s="501" t="b">
        <f t="shared" si="201"/>
        <v>1</v>
      </c>
    </row>
    <row r="2125" hidden="1" outlineLevel="2" spans="2:24">
      <c r="B2125" s="1078" t="s">
        <v>3113</v>
      </c>
      <c r="C2125" s="429" t="str">
        <f t="shared" si="200"/>
        <v>石嘴山市深阳蓝光市政工程有限公司</v>
      </c>
      <c r="D2125" s="448" t="s">
        <v>3128</v>
      </c>
      <c r="E2125" s="1151"/>
      <c r="F2125" s="133"/>
      <c r="G2125" s="1152"/>
      <c r="H2125" s="98"/>
      <c r="I2125" s="98"/>
      <c r="X2125" s="501" t="b">
        <f t="shared" si="201"/>
        <v>1</v>
      </c>
    </row>
    <row r="2126" hidden="1" outlineLevel="2" spans="2:24">
      <c r="B2126" s="1078" t="s">
        <v>3113</v>
      </c>
      <c r="C2126" s="429" t="str">
        <f t="shared" si="200"/>
        <v>石嘴山市深阳蓝光市政工程有限公司</v>
      </c>
      <c r="D2126" s="448" t="s">
        <v>3128</v>
      </c>
      <c r="E2126" s="1151"/>
      <c r="F2126" s="133"/>
      <c r="G2126" s="1152"/>
      <c r="H2126" s="98"/>
      <c r="I2126" s="98"/>
      <c r="X2126" s="501" t="b">
        <f t="shared" si="201"/>
        <v>1</v>
      </c>
    </row>
    <row r="2127" hidden="1" outlineLevel="2" spans="2:24">
      <c r="B2127" s="1078" t="s">
        <v>3113</v>
      </c>
      <c r="C2127" s="429" t="str">
        <f t="shared" si="200"/>
        <v>石嘴山市深阳蓝光市政工程有限公司</v>
      </c>
      <c r="D2127" s="448" t="s">
        <v>3128</v>
      </c>
      <c r="E2127" s="1151"/>
      <c r="F2127" s="133"/>
      <c r="G2127" s="1152"/>
      <c r="H2127" s="98"/>
      <c r="I2127" s="98"/>
      <c r="X2127" s="501" t="b">
        <f t="shared" si="201"/>
        <v>1</v>
      </c>
    </row>
    <row r="2128" hidden="1" outlineLevel="2" spans="2:24">
      <c r="B2128" s="1078" t="s">
        <v>3113</v>
      </c>
      <c r="C2128" s="429" t="str">
        <f t="shared" si="200"/>
        <v>石嘴山市深阳蓝光市政工程有限公司</v>
      </c>
      <c r="D2128" s="448" t="s">
        <v>3128</v>
      </c>
      <c r="E2128" s="1151"/>
      <c r="F2128" s="133"/>
      <c r="G2128" s="1152"/>
      <c r="H2128" s="98"/>
      <c r="I2128" s="98"/>
      <c r="X2128" s="501" t="b">
        <f t="shared" si="201"/>
        <v>1</v>
      </c>
    </row>
    <row r="2129" hidden="1" outlineLevel="2" spans="2:24">
      <c r="B2129" s="1078" t="s">
        <v>3113</v>
      </c>
      <c r="C2129" s="429" t="str">
        <f t="shared" si="200"/>
        <v>石嘴山市深阳蓝光市政工程有限公司</v>
      </c>
      <c r="D2129" s="448" t="s">
        <v>3128</v>
      </c>
      <c r="E2129" s="1151"/>
      <c r="F2129" s="133"/>
      <c r="G2129" s="1152"/>
      <c r="H2129" s="98"/>
      <c r="I2129" s="98"/>
      <c r="X2129" s="501" t="b">
        <f t="shared" si="201"/>
        <v>1</v>
      </c>
    </row>
    <row r="2130" hidden="1" outlineLevel="2" spans="2:24">
      <c r="B2130" s="1078" t="s">
        <v>3113</v>
      </c>
      <c r="C2130" s="429" t="str">
        <f t="shared" si="200"/>
        <v>石嘴山市深阳蓝光市政工程有限公司</v>
      </c>
      <c r="D2130" s="448" t="s">
        <v>3128</v>
      </c>
      <c r="E2130" s="1151"/>
      <c r="F2130" s="133"/>
      <c r="G2130" s="1152"/>
      <c r="H2130" s="98"/>
      <c r="I2130" s="98"/>
      <c r="X2130" s="501" t="b">
        <f t="shared" si="201"/>
        <v>1</v>
      </c>
    </row>
    <row r="2131" hidden="1" outlineLevel="2" spans="2:24">
      <c r="B2131" s="1078" t="s">
        <v>3113</v>
      </c>
      <c r="C2131" s="429" t="str">
        <f t="shared" si="200"/>
        <v>石嘴山市深阳蓝光市政工程有限公司</v>
      </c>
      <c r="D2131" s="448" t="s">
        <v>3128</v>
      </c>
      <c r="E2131" s="1151"/>
      <c r="F2131" s="133"/>
      <c r="G2131" s="1152"/>
      <c r="H2131" s="98"/>
      <c r="I2131" s="98"/>
      <c r="X2131" s="501" t="b">
        <f t="shared" si="201"/>
        <v>1</v>
      </c>
    </row>
    <row r="2132" hidden="1" outlineLevel="2" spans="2:24">
      <c r="B2132" s="1078" t="s">
        <v>3113</v>
      </c>
      <c r="C2132" s="429" t="str">
        <f t="shared" si="200"/>
        <v>石嘴山市深阳蓝光市政工程有限公司</v>
      </c>
      <c r="D2132" s="448" t="s">
        <v>3128</v>
      </c>
      <c r="E2132" s="1151"/>
      <c r="F2132" s="133"/>
      <c r="G2132" s="1152"/>
      <c r="H2132" s="98"/>
      <c r="I2132" s="98"/>
      <c r="X2132" s="501" t="b">
        <f t="shared" si="201"/>
        <v>1</v>
      </c>
    </row>
    <row r="2133" hidden="1" outlineLevel="2" spans="2:24">
      <c r="B2133" s="1078" t="s">
        <v>3113</v>
      </c>
      <c r="C2133" s="429" t="str">
        <f t="shared" si="200"/>
        <v>石嘴山市深阳蓝光市政工程有限公司</v>
      </c>
      <c r="D2133" s="448" t="s">
        <v>3128</v>
      </c>
      <c r="E2133" s="1151"/>
      <c r="F2133" s="133"/>
      <c r="G2133" s="1152"/>
      <c r="H2133" s="98"/>
      <c r="I2133" s="98"/>
      <c r="X2133" s="501" t="b">
        <f t="shared" si="201"/>
        <v>1</v>
      </c>
    </row>
    <row r="2134" hidden="1" outlineLevel="2" spans="2:24">
      <c r="B2134" s="1078" t="s">
        <v>3113</v>
      </c>
      <c r="C2134" s="429" t="str">
        <f t="shared" si="200"/>
        <v>石嘴山市深阳蓝光市政工程有限公司</v>
      </c>
      <c r="D2134" s="448" t="s">
        <v>3128</v>
      </c>
      <c r="E2134" s="1151"/>
      <c r="F2134" s="133"/>
      <c r="G2134" s="1152"/>
      <c r="H2134" s="98"/>
      <c r="I2134" s="98"/>
      <c r="X2134" s="501" t="b">
        <f t="shared" si="201"/>
        <v>1</v>
      </c>
    </row>
    <row r="2135" hidden="1" outlineLevel="2" spans="2:24">
      <c r="B2135" s="1078" t="s">
        <v>3113</v>
      </c>
      <c r="C2135" s="429" t="str">
        <f t="shared" si="200"/>
        <v>石嘴山市深阳蓝光市政工程有限公司</v>
      </c>
      <c r="D2135" s="448" t="s">
        <v>3128</v>
      </c>
      <c r="E2135" s="1151"/>
      <c r="F2135" s="133"/>
      <c r="G2135" s="1152"/>
      <c r="H2135" s="98"/>
      <c r="I2135" s="98"/>
      <c r="X2135" s="501" t="b">
        <f t="shared" si="201"/>
        <v>1</v>
      </c>
    </row>
    <row r="2136" hidden="1" outlineLevel="2" spans="2:24">
      <c r="B2136" s="1078" t="s">
        <v>3113</v>
      </c>
      <c r="C2136" s="429" t="str">
        <f t="shared" si="200"/>
        <v>石嘴山市深阳蓝光市政工程有限公司</v>
      </c>
      <c r="D2136" s="448" t="s">
        <v>3128</v>
      </c>
      <c r="E2136" s="1151"/>
      <c r="F2136" s="133"/>
      <c r="G2136" s="1152"/>
      <c r="H2136" s="98"/>
      <c r="I2136" s="98"/>
      <c r="X2136" s="501" t="b">
        <f t="shared" si="201"/>
        <v>1</v>
      </c>
    </row>
    <row r="2137" hidden="1" outlineLevel="2" spans="2:24">
      <c r="B2137" s="1078" t="s">
        <v>3113</v>
      </c>
      <c r="C2137" s="429" t="str">
        <f t="shared" si="200"/>
        <v>石嘴山市深阳蓝光市政工程有限公司</v>
      </c>
      <c r="D2137" s="448" t="s">
        <v>3128</v>
      </c>
      <c r="E2137" s="1151"/>
      <c r="F2137" s="133"/>
      <c r="G2137" s="1152"/>
      <c r="H2137" s="98"/>
      <c r="I2137" s="98"/>
      <c r="X2137" s="501" t="b">
        <f t="shared" si="201"/>
        <v>1</v>
      </c>
    </row>
    <row r="2138" hidden="1" outlineLevel="2" spans="2:24">
      <c r="B2138" s="1078" t="s">
        <v>3113</v>
      </c>
      <c r="C2138" s="429" t="str">
        <f t="shared" si="200"/>
        <v>石嘴山市深阳蓝光市政工程有限公司</v>
      </c>
      <c r="D2138" s="448" t="s">
        <v>3128</v>
      </c>
      <c r="E2138" s="1151"/>
      <c r="F2138" s="133"/>
      <c r="G2138" s="1152"/>
      <c r="H2138" s="98"/>
      <c r="I2138" s="98"/>
      <c r="X2138" s="501" t="b">
        <f t="shared" si="201"/>
        <v>1</v>
      </c>
    </row>
    <row r="2139" hidden="1" outlineLevel="2" spans="2:24">
      <c r="B2139" s="1078" t="s">
        <v>3113</v>
      </c>
      <c r="C2139" s="429" t="str">
        <f t="shared" si="200"/>
        <v>石嘴山市深阳蓝光市政工程有限公司</v>
      </c>
      <c r="D2139" s="448" t="s">
        <v>3128</v>
      </c>
      <c r="E2139" s="1151"/>
      <c r="F2139" s="133"/>
      <c r="G2139" s="1152"/>
      <c r="H2139" s="98"/>
      <c r="I2139" s="98"/>
      <c r="X2139" s="501" t="b">
        <f t="shared" si="201"/>
        <v>1</v>
      </c>
    </row>
    <row r="2140" hidden="1" outlineLevel="2" spans="2:24">
      <c r="B2140" s="1078" t="s">
        <v>3113</v>
      </c>
      <c r="C2140" s="429" t="str">
        <f t="shared" si="200"/>
        <v>石嘴山市深阳蓝光市政工程有限公司</v>
      </c>
      <c r="D2140" s="448" t="s">
        <v>3128</v>
      </c>
      <c r="E2140" s="1151"/>
      <c r="F2140" s="133"/>
      <c r="G2140" s="1152"/>
      <c r="H2140" s="98"/>
      <c r="I2140" s="98"/>
      <c r="X2140" s="501" t="b">
        <f t="shared" si="201"/>
        <v>1</v>
      </c>
    </row>
    <row r="2141" hidden="1" outlineLevel="2" spans="2:24">
      <c r="B2141" s="1078" t="s">
        <v>3113</v>
      </c>
      <c r="C2141" s="429" t="str">
        <f t="shared" si="200"/>
        <v>石嘴山市深阳蓝光市政工程有限公司</v>
      </c>
      <c r="D2141" s="448" t="s">
        <v>3128</v>
      </c>
      <c r="E2141" s="1151"/>
      <c r="F2141" s="133"/>
      <c r="G2141" s="1152"/>
      <c r="H2141" s="98"/>
      <c r="I2141" s="98"/>
      <c r="X2141" s="501" t="b">
        <f t="shared" si="201"/>
        <v>1</v>
      </c>
    </row>
    <row r="2142" hidden="1" outlineLevel="2" spans="2:24">
      <c r="B2142" s="1078" t="s">
        <v>3113</v>
      </c>
      <c r="C2142" s="429" t="str">
        <f t="shared" si="200"/>
        <v>石嘴山市深阳蓝光市政工程有限公司</v>
      </c>
      <c r="D2142" s="448" t="s">
        <v>3128</v>
      </c>
      <c r="E2142" s="1151"/>
      <c r="F2142" s="133"/>
      <c r="G2142" s="1152"/>
      <c r="H2142" s="98"/>
      <c r="I2142" s="98"/>
      <c r="X2142" s="501" t="b">
        <f t="shared" si="201"/>
        <v>1</v>
      </c>
    </row>
    <row r="2143" hidden="1" outlineLevel="2" spans="2:24">
      <c r="B2143" s="1078" t="s">
        <v>3113</v>
      </c>
      <c r="C2143" s="429" t="str">
        <f t="shared" si="200"/>
        <v>石嘴山市深阳蓝光市政工程有限公司</v>
      </c>
      <c r="D2143" s="448" t="s">
        <v>3128</v>
      </c>
      <c r="E2143" s="1151"/>
      <c r="F2143" s="133"/>
      <c r="G2143" s="1152"/>
      <c r="H2143" s="98"/>
      <c r="I2143" s="98"/>
      <c r="X2143" s="501" t="b">
        <f t="shared" si="201"/>
        <v>1</v>
      </c>
    </row>
    <row r="2144" hidden="1" outlineLevel="2" spans="1:24">
      <c r="A2144" s="85" t="s">
        <v>1580</v>
      </c>
      <c r="B2144" s="1078" t="s">
        <v>3113</v>
      </c>
      <c r="C2144" s="429" t="str">
        <f t="shared" si="200"/>
        <v>石嘴山市深阳蓝光市政工程有限公司</v>
      </c>
      <c r="D2144" s="448" t="s">
        <v>3128</v>
      </c>
      <c r="E2144" s="621" t="s">
        <v>1580</v>
      </c>
      <c r="F2144" s="1153">
        <f>SUM(F2121:F2143)</f>
        <v>0</v>
      </c>
      <c r="G2144" s="621"/>
      <c r="H2144" s="621"/>
      <c r="I2144" s="621"/>
      <c r="X2144" s="501" t="b">
        <f t="shared" si="201"/>
        <v>1</v>
      </c>
    </row>
    <row r="2145" hidden="1" outlineLevel="2" spans="2:24">
      <c r="B2145" s="1078" t="s">
        <v>3113</v>
      </c>
      <c r="C2145" s="429" t="str">
        <f t="shared" si="200"/>
        <v>石嘴山市深阳蓝光市政工程有限公司</v>
      </c>
      <c r="D2145" s="448" t="s">
        <v>3128</v>
      </c>
      <c r="E2145" s="621"/>
      <c r="F2145" s="451"/>
      <c r="G2145" s="451"/>
      <c r="X2145" s="501" t="b">
        <f t="shared" si="201"/>
        <v>1</v>
      </c>
    </row>
    <row r="2146" hidden="1" outlineLevel="2" spans="2:24">
      <c r="B2146" s="1078" t="s">
        <v>3113</v>
      </c>
      <c r="C2146" s="429" t="str">
        <f t="shared" ref="C2146:C2209" si="202">$G$1</f>
        <v>石嘴山市深阳蓝光市政工程有限公司</v>
      </c>
      <c r="D2146" s="1074"/>
      <c r="E2146" s="149"/>
      <c r="F2146" s="451"/>
      <c r="G2146" s="451"/>
      <c r="X2146" s="501" t="b">
        <f t="shared" ref="X2146:X2209" si="203">EXACT(A2146,E2146)</f>
        <v>1</v>
      </c>
    </row>
    <row r="2147" hidden="1" outlineLevel="2" spans="1:24">
      <c r="A2147" s="85" t="s">
        <v>2315</v>
      </c>
      <c r="B2147" s="1078" t="s">
        <v>3113</v>
      </c>
      <c r="C2147" s="429" t="str">
        <f t="shared" si="202"/>
        <v>石嘴山市深阳蓝光市政工程有限公司</v>
      </c>
      <c r="D2147" s="1074"/>
      <c r="E2147" s="149" t="s">
        <v>2334</v>
      </c>
      <c r="F2147" s="471"/>
      <c r="G2147" s="471"/>
      <c r="H2147" s="102"/>
      <c r="X2147" s="501" t="b">
        <f t="shared" si="203"/>
        <v>1</v>
      </c>
    </row>
    <row r="2148" hidden="1" outlineLevel="2" spans="1:24">
      <c r="A2148" s="85" t="s">
        <v>3129</v>
      </c>
      <c r="B2148" s="1078" t="s">
        <v>3113</v>
      </c>
      <c r="C2148" s="429" t="str">
        <f t="shared" si="202"/>
        <v>石嘴山市深阳蓝光市政工程有限公司</v>
      </c>
      <c r="D2148" s="1074" t="s">
        <v>3129</v>
      </c>
      <c r="E2148" s="149" t="s">
        <v>3130</v>
      </c>
      <c r="F2148" s="451"/>
      <c r="G2148" s="451"/>
      <c r="I2148" s="645" t="s">
        <v>2462</v>
      </c>
      <c r="X2148" s="501" t="b">
        <f t="shared" si="203"/>
        <v>1</v>
      </c>
    </row>
    <row r="2149" hidden="1" outlineLevel="2" spans="1:24">
      <c r="A2149" s="85" t="s">
        <v>2532</v>
      </c>
      <c r="B2149" s="1078" t="s">
        <v>3113</v>
      </c>
      <c r="C2149" s="429" t="str">
        <f t="shared" si="202"/>
        <v>石嘴山市深阳蓝光市政工程有限公司</v>
      </c>
      <c r="D2149" s="1074" t="s">
        <v>3129</v>
      </c>
      <c r="E2149" s="742" t="s">
        <v>2532</v>
      </c>
      <c r="F2149" s="742" t="s">
        <v>2440</v>
      </c>
      <c r="G2149" s="742" t="s">
        <v>365</v>
      </c>
      <c r="H2149" s="742" t="s">
        <v>2412</v>
      </c>
      <c r="I2149" s="627"/>
      <c r="X2149" s="501" t="b">
        <f t="shared" si="203"/>
        <v>1</v>
      </c>
    </row>
    <row r="2150" hidden="1" outlineLevel="2" spans="2:24">
      <c r="B2150" s="1078" t="s">
        <v>3113</v>
      </c>
      <c r="C2150" s="429" t="str">
        <f t="shared" si="202"/>
        <v>石嘴山市深阳蓝光市政工程有限公司</v>
      </c>
      <c r="D2150" s="1074" t="s">
        <v>3129</v>
      </c>
      <c r="E2150" s="454"/>
      <c r="F2150" s="454"/>
      <c r="G2150" s="454"/>
      <c r="H2150" s="454"/>
      <c r="X2150" s="501" t="b">
        <f t="shared" si="203"/>
        <v>1</v>
      </c>
    </row>
    <row r="2151" hidden="1" outlineLevel="2" spans="2:24">
      <c r="B2151" s="1078" t="s">
        <v>3113</v>
      </c>
      <c r="C2151" s="429" t="str">
        <f t="shared" si="202"/>
        <v>石嘴山市深阳蓝光市政工程有限公司</v>
      </c>
      <c r="D2151" s="1074" t="s">
        <v>3129</v>
      </c>
      <c r="E2151" s="454"/>
      <c r="F2151" s="454"/>
      <c r="G2151" s="454"/>
      <c r="H2151" s="454"/>
      <c r="X2151" s="501" t="b">
        <f t="shared" si="203"/>
        <v>1</v>
      </c>
    </row>
    <row r="2152" hidden="1" outlineLevel="2" spans="2:24">
      <c r="B2152" s="1078" t="s">
        <v>3113</v>
      </c>
      <c r="C2152" s="429" t="str">
        <f t="shared" si="202"/>
        <v>石嘴山市深阳蓝光市政工程有限公司</v>
      </c>
      <c r="D2152" s="1074" t="s">
        <v>3129</v>
      </c>
      <c r="E2152" s="454"/>
      <c r="F2152" s="454"/>
      <c r="G2152" s="454"/>
      <c r="H2152" s="454"/>
      <c r="X2152" s="501" t="b">
        <f t="shared" si="203"/>
        <v>1</v>
      </c>
    </row>
    <row r="2153" hidden="1" outlineLevel="2" spans="2:24">
      <c r="B2153" s="1078" t="s">
        <v>3113</v>
      </c>
      <c r="C2153" s="429" t="str">
        <f t="shared" si="202"/>
        <v>石嘴山市深阳蓝光市政工程有限公司</v>
      </c>
      <c r="D2153" s="1074" t="s">
        <v>3129</v>
      </c>
      <c r="E2153" s="454"/>
      <c r="F2153" s="454"/>
      <c r="G2153" s="454"/>
      <c r="H2153" s="454"/>
      <c r="X2153" s="501" t="b">
        <f t="shared" si="203"/>
        <v>1</v>
      </c>
    </row>
    <row r="2154" hidden="1" outlineLevel="2" spans="2:24">
      <c r="B2154" s="1078" t="s">
        <v>3113</v>
      </c>
      <c r="C2154" s="429" t="str">
        <f t="shared" si="202"/>
        <v>石嘴山市深阳蓝光市政工程有限公司</v>
      </c>
      <c r="D2154" s="1074" t="s">
        <v>3129</v>
      </c>
      <c r="E2154" s="454"/>
      <c r="F2154" s="454"/>
      <c r="G2154" s="454"/>
      <c r="H2154" s="454"/>
      <c r="X2154" s="501" t="b">
        <f t="shared" si="203"/>
        <v>1</v>
      </c>
    </row>
    <row r="2155" hidden="1" outlineLevel="2" spans="1:24">
      <c r="A2155" s="85" t="s">
        <v>1580</v>
      </c>
      <c r="B2155" s="1078" t="s">
        <v>3113</v>
      </c>
      <c r="C2155" s="429" t="str">
        <f t="shared" si="202"/>
        <v>石嘴山市深阳蓝光市政工程有限公司</v>
      </c>
      <c r="D2155" s="1074" t="s">
        <v>3129</v>
      </c>
      <c r="E2155" s="742" t="s">
        <v>1580</v>
      </c>
      <c r="F2155" s="742"/>
      <c r="G2155" s="787">
        <f>SUM(G2150:G2154)</f>
        <v>0</v>
      </c>
      <c r="H2155" s="742"/>
      <c r="X2155" s="501" t="b">
        <f t="shared" si="203"/>
        <v>1</v>
      </c>
    </row>
    <row r="2156" outlineLevel="2" spans="2:24">
      <c r="B2156" s="1078" t="s">
        <v>3113</v>
      </c>
      <c r="C2156" s="429" t="str">
        <f t="shared" si="202"/>
        <v>石嘴山市深阳蓝光市政工程有限公司</v>
      </c>
      <c r="D2156" s="1074" t="s">
        <v>3129</v>
      </c>
      <c r="E2156" s="149"/>
      <c r="F2156" s="451"/>
      <c r="G2156" s="451"/>
      <c r="X2156" s="501" t="b">
        <f t="shared" si="203"/>
        <v>1</v>
      </c>
    </row>
    <row r="2157" spans="1:24">
      <c r="A2157" s="85" t="s">
        <v>1816</v>
      </c>
      <c r="B2157" s="1078" t="s">
        <v>3131</v>
      </c>
      <c r="C2157" s="429" t="str">
        <f t="shared" si="202"/>
        <v>石嘴山市深阳蓝光市政工程有限公司</v>
      </c>
      <c r="D2157" s="1074" t="s">
        <v>1816</v>
      </c>
      <c r="E2157" s="937" t="s">
        <v>3132</v>
      </c>
      <c r="F2157" s="451"/>
      <c r="G2157" s="451"/>
      <c r="X2157" s="501" t="b">
        <f t="shared" si="203"/>
        <v>1</v>
      </c>
    </row>
    <row r="2158" outlineLevel="2" spans="1:24">
      <c r="A2158" s="85" t="s">
        <v>3133</v>
      </c>
      <c r="B2158" s="1078" t="s">
        <v>3131</v>
      </c>
      <c r="C2158" s="429" t="str">
        <f t="shared" si="202"/>
        <v>石嘴山市深阳蓝光市政工程有限公司</v>
      </c>
      <c r="D2158" s="1074" t="s">
        <v>1816</v>
      </c>
      <c r="E2158" s="748" t="s">
        <v>3134</v>
      </c>
      <c r="F2158" s="1118" t="s">
        <v>2921</v>
      </c>
      <c r="G2158" s="485"/>
      <c r="H2158" s="485"/>
      <c r="I2158" s="485"/>
      <c r="X2158" s="501" t="b">
        <f t="shared" si="203"/>
        <v>1</v>
      </c>
    </row>
    <row r="2159" outlineLevel="2" spans="1:24">
      <c r="A2159" s="85" t="s">
        <v>1148</v>
      </c>
      <c r="B2159" s="1078" t="s">
        <v>3131</v>
      </c>
      <c r="C2159" s="429" t="str">
        <f t="shared" si="202"/>
        <v>石嘴山市深阳蓝光市政工程有限公司</v>
      </c>
      <c r="D2159" s="1074" t="s">
        <v>1816</v>
      </c>
      <c r="E2159" s="742" t="s">
        <v>1148</v>
      </c>
      <c r="F2159" s="742" t="s">
        <v>670</v>
      </c>
      <c r="G2159" s="742" t="s">
        <v>671</v>
      </c>
      <c r="H2159" s="742" t="s">
        <v>672</v>
      </c>
      <c r="I2159" s="742" t="s">
        <v>515</v>
      </c>
      <c r="X2159" s="501" t="b">
        <f t="shared" si="203"/>
        <v>1</v>
      </c>
    </row>
    <row r="2160" outlineLevel="2" spans="1:24">
      <c r="A2160" s="85" t="s">
        <v>1817</v>
      </c>
      <c r="B2160" s="1078" t="s">
        <v>3131</v>
      </c>
      <c r="C2160" s="429" t="str">
        <f t="shared" si="202"/>
        <v>石嘴山市深阳蓝光市政工程有限公司</v>
      </c>
      <c r="D2160" s="1074" t="s">
        <v>1816</v>
      </c>
      <c r="E2160" s="521" t="s">
        <v>1817</v>
      </c>
      <c r="F2160" s="943">
        <f>报表附注合并期初用!E1890</f>
        <v>0</v>
      </c>
      <c r="G2160" s="942"/>
      <c r="H2160" s="942"/>
      <c r="I2160" s="945">
        <f>F2160+G2160-H2160</f>
        <v>0</v>
      </c>
      <c r="X2160" s="501" t="b">
        <f t="shared" si="203"/>
        <v>1</v>
      </c>
    </row>
    <row r="2161" outlineLevel="2" spans="1:24">
      <c r="A2161" s="85" t="s">
        <v>1818</v>
      </c>
      <c r="B2161" s="1078" t="s">
        <v>3131</v>
      </c>
      <c r="C2161" s="429" t="str">
        <f t="shared" si="202"/>
        <v>石嘴山市深阳蓝光市政工程有限公司</v>
      </c>
      <c r="D2161" s="1074" t="s">
        <v>1816</v>
      </c>
      <c r="E2161" s="521" t="s">
        <v>1818</v>
      </c>
      <c r="F2161" s="943">
        <f>报表附注合并期初用!E1891</f>
        <v>0</v>
      </c>
      <c r="G2161" s="942"/>
      <c r="H2161" s="942"/>
      <c r="I2161" s="945">
        <f t="shared" ref="I2161:I2166" si="204">F2161+G2161-H2161</f>
        <v>0</v>
      </c>
      <c r="X2161" s="501" t="b">
        <f t="shared" si="203"/>
        <v>1</v>
      </c>
    </row>
    <row r="2162" outlineLevel="2" spans="1:24">
      <c r="A2162" s="85" t="s">
        <v>1819</v>
      </c>
      <c r="B2162" s="1078" t="s">
        <v>3131</v>
      </c>
      <c r="C2162" s="429" t="str">
        <f t="shared" si="202"/>
        <v>石嘴山市深阳蓝光市政工程有限公司</v>
      </c>
      <c r="D2162" s="1074" t="s">
        <v>1816</v>
      </c>
      <c r="E2162" s="521" t="s">
        <v>1819</v>
      </c>
      <c r="F2162" s="943">
        <f>报表附注合并期初用!E1892</f>
        <v>0</v>
      </c>
      <c r="G2162" s="942"/>
      <c r="H2162" s="942"/>
      <c r="I2162" s="945">
        <f t="shared" si="204"/>
        <v>0</v>
      </c>
      <c r="X2162" s="501" t="b">
        <f t="shared" si="203"/>
        <v>1</v>
      </c>
    </row>
    <row r="2163" outlineLevel="2" spans="1:24">
      <c r="A2163" s="85" t="s">
        <v>1820</v>
      </c>
      <c r="B2163" s="1078" t="s">
        <v>3131</v>
      </c>
      <c r="C2163" s="429" t="str">
        <f t="shared" si="202"/>
        <v>石嘴山市深阳蓝光市政工程有限公司</v>
      </c>
      <c r="D2163" s="1074" t="s">
        <v>1816</v>
      </c>
      <c r="E2163" s="521" t="s">
        <v>1820</v>
      </c>
      <c r="F2163" s="943">
        <f>报表附注合并期初用!E1893</f>
        <v>0</v>
      </c>
      <c r="G2163" s="942"/>
      <c r="H2163" s="942"/>
      <c r="I2163" s="945">
        <f t="shared" si="204"/>
        <v>0</v>
      </c>
      <c r="X2163" s="501" t="b">
        <f t="shared" si="203"/>
        <v>1</v>
      </c>
    </row>
    <row r="2164" outlineLevel="2" spans="1:24">
      <c r="A2164" s="85" t="s">
        <v>1821</v>
      </c>
      <c r="B2164" s="1078" t="s">
        <v>3131</v>
      </c>
      <c r="C2164" s="429" t="str">
        <f t="shared" si="202"/>
        <v>石嘴山市深阳蓝光市政工程有限公司</v>
      </c>
      <c r="D2164" s="1074" t="s">
        <v>1816</v>
      </c>
      <c r="E2164" s="521" t="s">
        <v>1821</v>
      </c>
      <c r="F2164" s="943">
        <f>报表附注合并期初用!E1894</f>
        <v>0</v>
      </c>
      <c r="G2164" s="942"/>
      <c r="H2164" s="942"/>
      <c r="I2164" s="945">
        <f t="shared" si="204"/>
        <v>0</v>
      </c>
      <c r="X2164" s="501" t="b">
        <f t="shared" si="203"/>
        <v>1</v>
      </c>
    </row>
    <row r="2165" outlineLevel="2" spans="1:24">
      <c r="A2165" s="85" t="s">
        <v>1822</v>
      </c>
      <c r="B2165" s="1078" t="s">
        <v>3131</v>
      </c>
      <c r="C2165" s="429" t="str">
        <f t="shared" si="202"/>
        <v>石嘴山市深阳蓝光市政工程有限公司</v>
      </c>
      <c r="D2165" s="1074" t="s">
        <v>1816</v>
      </c>
      <c r="E2165" s="521" t="s">
        <v>1822</v>
      </c>
      <c r="F2165" s="943">
        <f>报表附注合并期初用!E1895</f>
        <v>0</v>
      </c>
      <c r="G2165" s="942"/>
      <c r="H2165" s="942"/>
      <c r="I2165" s="945">
        <f t="shared" si="204"/>
        <v>0</v>
      </c>
      <c r="X2165" s="501" t="b">
        <f t="shared" si="203"/>
        <v>1</v>
      </c>
    </row>
    <row r="2166" outlineLevel="2" spans="1:24">
      <c r="A2166" s="85" t="s">
        <v>279</v>
      </c>
      <c r="B2166" s="1078" t="s">
        <v>3131</v>
      </c>
      <c r="C2166" s="429" t="str">
        <f t="shared" si="202"/>
        <v>石嘴山市深阳蓝光市政工程有限公司</v>
      </c>
      <c r="D2166" s="1074" t="s">
        <v>1816</v>
      </c>
      <c r="E2166" s="521" t="s">
        <v>279</v>
      </c>
      <c r="F2166" s="943">
        <f>报表附注合并期初用!E1896</f>
        <v>0</v>
      </c>
      <c r="G2166" s="942"/>
      <c r="H2166" s="942"/>
      <c r="I2166" s="945">
        <f t="shared" si="204"/>
        <v>0</v>
      </c>
      <c r="X2166" s="501" t="b">
        <f t="shared" si="203"/>
        <v>1</v>
      </c>
    </row>
    <row r="2167" outlineLevel="2" spans="1:24">
      <c r="A2167" s="85" t="s">
        <v>346</v>
      </c>
      <c r="B2167" s="1078" t="s">
        <v>3131</v>
      </c>
      <c r="C2167" s="429" t="str">
        <f t="shared" si="202"/>
        <v>石嘴山市深阳蓝光市政工程有限公司</v>
      </c>
      <c r="D2167" s="1074" t="s">
        <v>1816</v>
      </c>
      <c r="E2167" s="944" t="s">
        <v>3135</v>
      </c>
      <c r="F2167" s="945">
        <f>SUM(F2160:F2166)</f>
        <v>0</v>
      </c>
      <c r="G2167" s="945">
        <f>SUM(G2160:G2166)</f>
        <v>0</v>
      </c>
      <c r="H2167" s="945">
        <f>SUM(H2160:H2166)</f>
        <v>0</v>
      </c>
      <c r="I2167" s="945">
        <f>SUM(I2160:I2166)</f>
        <v>0</v>
      </c>
      <c r="X2167" s="501" t="b">
        <f t="shared" si="203"/>
        <v>1</v>
      </c>
    </row>
    <row r="2168" outlineLevel="2" spans="1:24">
      <c r="A2168" s="85" t="s">
        <v>1444</v>
      </c>
      <c r="B2168" s="1078" t="s">
        <v>3131</v>
      </c>
      <c r="C2168" s="429" t="str">
        <f t="shared" si="202"/>
        <v>石嘴山市深阳蓝光市政工程有限公司</v>
      </c>
      <c r="D2168" s="1074" t="s">
        <v>1816</v>
      </c>
      <c r="E2168" s="1060" t="s">
        <v>1444</v>
      </c>
      <c r="F2168" s="566">
        <f>审定资负表!H27</f>
        <v>0</v>
      </c>
      <c r="G2168" s="451"/>
      <c r="I2168" s="88">
        <f>审定资负表!G27</f>
        <v>0</v>
      </c>
      <c r="X2168" s="501" t="b">
        <f t="shared" si="203"/>
        <v>1</v>
      </c>
    </row>
    <row r="2169" outlineLevel="1" spans="1:24">
      <c r="A2169" s="85" t="s">
        <v>1394</v>
      </c>
      <c r="B2169" s="1078" t="s">
        <v>3131</v>
      </c>
      <c r="C2169" s="429" t="str">
        <f t="shared" si="202"/>
        <v>石嘴山市深阳蓝光市政工程有限公司</v>
      </c>
      <c r="D2169" s="1074" t="s">
        <v>1816</v>
      </c>
      <c r="E2169" s="1060" t="s">
        <v>1394</v>
      </c>
      <c r="F2169" s="87">
        <f>ROUND(F2167-F2168,2)</f>
        <v>0</v>
      </c>
      <c r="G2169" s="451"/>
      <c r="I2169" s="87">
        <f>ROUND(I2167-I2168,2)</f>
        <v>0</v>
      </c>
      <c r="X2169" s="501" t="b">
        <f t="shared" si="203"/>
        <v>1</v>
      </c>
    </row>
    <row r="2170" outlineLevel="2" spans="2:24">
      <c r="B2170" s="1078" t="s">
        <v>3131</v>
      </c>
      <c r="C2170" s="429" t="str">
        <f t="shared" si="202"/>
        <v>石嘴山市深阳蓝光市政工程有限公司</v>
      </c>
      <c r="D2170" s="1074"/>
      <c r="E2170" s="149"/>
      <c r="F2170" s="451"/>
      <c r="G2170" s="451"/>
      <c r="X2170" s="501" t="b">
        <f t="shared" si="203"/>
        <v>1</v>
      </c>
    </row>
    <row r="2171" outlineLevel="2" spans="1:24">
      <c r="A2171" s="85" t="s">
        <v>2315</v>
      </c>
      <c r="B2171" s="1078" t="s">
        <v>3131</v>
      </c>
      <c r="C2171" s="429" t="str">
        <f t="shared" si="202"/>
        <v>石嘴山市深阳蓝光市政工程有限公司</v>
      </c>
      <c r="D2171" s="1074"/>
      <c r="E2171" s="1154" t="s">
        <v>2334</v>
      </c>
      <c r="F2171" s="471"/>
      <c r="G2171" s="471"/>
      <c r="H2171" s="102"/>
      <c r="X2171" s="501" t="b">
        <f t="shared" si="203"/>
        <v>1</v>
      </c>
    </row>
    <row r="2172" outlineLevel="2" spans="2:24">
      <c r="B2172" s="1078" t="s">
        <v>3131</v>
      </c>
      <c r="C2172" s="429" t="str">
        <f t="shared" si="202"/>
        <v>石嘴山市深阳蓝光市政工程有限公司</v>
      </c>
      <c r="D2172" s="1074"/>
      <c r="E2172" s="621"/>
      <c r="F2172" s="451"/>
      <c r="G2172" s="451"/>
      <c r="X2172" s="501" t="b">
        <f t="shared" si="203"/>
        <v>1</v>
      </c>
    </row>
    <row r="2173" spans="1:24">
      <c r="A2173" s="85" t="s">
        <v>1823</v>
      </c>
      <c r="B2173" s="1078" t="s">
        <v>3136</v>
      </c>
      <c r="C2173" s="429" t="str">
        <f t="shared" si="202"/>
        <v>石嘴山市深阳蓝光市政工程有限公司</v>
      </c>
      <c r="D2173" s="1074" t="s">
        <v>3137</v>
      </c>
      <c r="E2173" s="65" t="s">
        <v>3138</v>
      </c>
      <c r="F2173" s="451"/>
      <c r="G2173" s="451"/>
      <c r="X2173" s="501" t="b">
        <f t="shared" si="203"/>
        <v>1</v>
      </c>
    </row>
    <row r="2174" outlineLevel="2" spans="1:24">
      <c r="A2174" s="85" t="s">
        <v>1824</v>
      </c>
      <c r="B2174" s="1078" t="s">
        <v>3136</v>
      </c>
      <c r="C2174" s="429" t="str">
        <f t="shared" si="202"/>
        <v>石嘴山市深阳蓝光市政工程有限公司</v>
      </c>
      <c r="D2174" s="1074" t="s">
        <v>3137</v>
      </c>
      <c r="E2174" s="748" t="s">
        <v>3139</v>
      </c>
      <c r="F2174" s="485"/>
      <c r="G2174" s="1118" t="s">
        <v>2921</v>
      </c>
      <c r="H2174" s="485"/>
      <c r="I2174" s="485"/>
      <c r="J2174" s="485"/>
      <c r="K2174" s="485"/>
      <c r="X2174" s="501" t="b">
        <f t="shared" si="203"/>
        <v>1</v>
      </c>
    </row>
    <row r="2175" outlineLevel="2" spans="1:24">
      <c r="A2175" s="85" t="s">
        <v>1148</v>
      </c>
      <c r="B2175" s="1078" t="s">
        <v>3136</v>
      </c>
      <c r="C2175" s="429" t="str">
        <f t="shared" si="202"/>
        <v>石嘴山市深阳蓝光市政工程有限公司</v>
      </c>
      <c r="D2175" s="1074" t="s">
        <v>3140</v>
      </c>
      <c r="E2175" s="128" t="s">
        <v>1148</v>
      </c>
      <c r="F2175" s="128" t="s">
        <v>515</v>
      </c>
      <c r="G2175" s="128" t="s">
        <v>670</v>
      </c>
      <c r="H2175" s="485"/>
      <c r="I2175" s="485"/>
      <c r="J2175" s="485"/>
      <c r="K2175" s="485"/>
      <c r="X2175" s="501" t="b">
        <f t="shared" si="203"/>
        <v>1</v>
      </c>
    </row>
    <row r="2176" outlineLevel="2" spans="1:24">
      <c r="A2176" s="85" t="s">
        <v>1825</v>
      </c>
      <c r="B2176" s="1078" t="s">
        <v>3136</v>
      </c>
      <c r="C2176" s="429" t="str">
        <f t="shared" si="202"/>
        <v>石嘴山市深阳蓝光市政工程有限公司</v>
      </c>
      <c r="D2176" s="1074" t="s">
        <v>3140</v>
      </c>
      <c r="E2176" s="939" t="s">
        <v>1825</v>
      </c>
      <c r="F2176" s="1155"/>
      <c r="G2176" s="1156">
        <f>报表附注合并期初用!E1927</f>
        <v>0</v>
      </c>
      <c r="H2176" s="485"/>
      <c r="I2176" s="485"/>
      <c r="J2176" s="485"/>
      <c r="K2176" s="485"/>
      <c r="X2176" s="501" t="b">
        <f t="shared" si="203"/>
        <v>1</v>
      </c>
    </row>
    <row r="2177" outlineLevel="2" spans="1:24">
      <c r="A2177" s="85" t="s">
        <v>1826</v>
      </c>
      <c r="B2177" s="1078" t="s">
        <v>3136</v>
      </c>
      <c r="C2177" s="429" t="str">
        <f t="shared" si="202"/>
        <v>石嘴山市深阳蓝光市政工程有限公司</v>
      </c>
      <c r="D2177" s="1074" t="s">
        <v>3140</v>
      </c>
      <c r="E2177" s="521" t="s">
        <v>1826</v>
      </c>
      <c r="F2177" s="1155"/>
      <c r="G2177" s="1156">
        <f>报表附注合并期初用!E1928</f>
        <v>0</v>
      </c>
      <c r="H2177" s="485"/>
      <c r="I2177" s="485"/>
      <c r="J2177" s="485"/>
      <c r="K2177" s="485"/>
      <c r="X2177" s="501" t="b">
        <f t="shared" si="203"/>
        <v>1</v>
      </c>
    </row>
    <row r="2178" outlineLevel="2" spans="1:24">
      <c r="A2178" s="85" t="s">
        <v>1827</v>
      </c>
      <c r="B2178" s="1078" t="s">
        <v>3136</v>
      </c>
      <c r="C2178" s="429" t="str">
        <f t="shared" si="202"/>
        <v>石嘴山市深阳蓝光市政工程有限公司</v>
      </c>
      <c r="D2178" s="1074" t="s">
        <v>3140</v>
      </c>
      <c r="E2178" s="521" t="s">
        <v>1827</v>
      </c>
      <c r="F2178" s="1155">
        <v>6935621.62</v>
      </c>
      <c r="G2178" s="1156">
        <f>报表附注合并期初用!E1929</f>
        <v>0</v>
      </c>
      <c r="H2178" s="485"/>
      <c r="I2178" s="485"/>
      <c r="J2178" s="485"/>
      <c r="K2178" s="485"/>
      <c r="X2178" s="501" t="b">
        <f t="shared" si="203"/>
        <v>1</v>
      </c>
    </row>
    <row r="2179" outlineLevel="2" spans="1:24">
      <c r="A2179" s="85" t="s">
        <v>1828</v>
      </c>
      <c r="B2179" s="1078" t="s">
        <v>3136</v>
      </c>
      <c r="C2179" s="429" t="str">
        <f t="shared" si="202"/>
        <v>石嘴山市深阳蓝光市政工程有限公司</v>
      </c>
      <c r="D2179" s="1074" t="s">
        <v>3140</v>
      </c>
      <c r="E2179" s="521" t="s">
        <v>1828</v>
      </c>
      <c r="F2179" s="1155"/>
      <c r="G2179" s="1156">
        <f>报表附注合并期初用!E1930</f>
        <v>0</v>
      </c>
      <c r="H2179" s="485"/>
      <c r="I2179" s="485"/>
      <c r="J2179" s="485"/>
      <c r="K2179" s="485"/>
      <c r="X2179" s="501" t="b">
        <f t="shared" si="203"/>
        <v>1</v>
      </c>
    </row>
    <row r="2180" outlineLevel="2" spans="1:24">
      <c r="A2180" s="85" t="s">
        <v>1762</v>
      </c>
      <c r="B2180" s="1078" t="s">
        <v>3136</v>
      </c>
      <c r="C2180" s="429" t="str">
        <f t="shared" si="202"/>
        <v>石嘴山市深阳蓝光市政工程有限公司</v>
      </c>
      <c r="D2180" s="1074" t="s">
        <v>3140</v>
      </c>
      <c r="E2180" s="1157" t="s">
        <v>3141</v>
      </c>
      <c r="F2180" s="1158">
        <f>SUM(F2176:F2179)</f>
        <v>6935621.62</v>
      </c>
      <c r="G2180" s="1158">
        <f>SUM(G2176:G2179)</f>
        <v>0</v>
      </c>
      <c r="H2180" s="485"/>
      <c r="I2180" s="485"/>
      <c r="J2180" s="485"/>
      <c r="K2180" s="485"/>
      <c r="X2180" s="501" t="b">
        <f t="shared" si="203"/>
        <v>1</v>
      </c>
    </row>
    <row r="2181" outlineLevel="2" spans="1:24">
      <c r="A2181" s="85" t="s">
        <v>1444</v>
      </c>
      <c r="B2181" s="1078" t="s">
        <v>3136</v>
      </c>
      <c r="C2181" s="429" t="str">
        <f t="shared" si="202"/>
        <v>石嘴山市深阳蓝光市政工程有限公司</v>
      </c>
      <c r="D2181" s="1074" t="s">
        <v>3140</v>
      </c>
      <c r="E2181" s="1060" t="s">
        <v>1444</v>
      </c>
      <c r="F2181" s="1159">
        <f>审定资负表!G17</f>
        <v>6935621.62</v>
      </c>
      <c r="G2181" s="1159">
        <f>审定资负表!H17</f>
        <v>0</v>
      </c>
      <c r="H2181" s="485"/>
      <c r="I2181" s="485"/>
      <c r="J2181" s="485"/>
      <c r="K2181" s="485"/>
      <c r="X2181" s="501" t="b">
        <f t="shared" si="203"/>
        <v>1</v>
      </c>
    </row>
    <row r="2182" outlineLevel="1" collapsed="1" spans="1:24">
      <c r="A2182" s="85" t="s">
        <v>1394</v>
      </c>
      <c r="B2182" s="1078" t="s">
        <v>3136</v>
      </c>
      <c r="C2182" s="429" t="str">
        <f t="shared" si="202"/>
        <v>石嘴山市深阳蓝光市政工程有限公司</v>
      </c>
      <c r="D2182" s="1074" t="s">
        <v>3140</v>
      </c>
      <c r="E2182" s="1060" t="s">
        <v>1394</v>
      </c>
      <c r="F2182" s="87">
        <f>ROUND(F2180-F2181,2)</f>
        <v>0</v>
      </c>
      <c r="G2182" s="87">
        <f>ROUND(G2180-G2181,2)</f>
        <v>0</v>
      </c>
      <c r="H2182" s="485"/>
      <c r="I2182" s="485"/>
      <c r="J2182" s="485"/>
      <c r="K2182" s="485"/>
      <c r="X2182" s="501" t="b">
        <f t="shared" si="203"/>
        <v>1</v>
      </c>
    </row>
    <row r="2183" hidden="1" outlineLevel="2" spans="1:24">
      <c r="A2183" s="85" t="s">
        <v>1829</v>
      </c>
      <c r="B2183" s="1078" t="s">
        <v>3136</v>
      </c>
      <c r="C2183" s="429" t="str">
        <f t="shared" si="202"/>
        <v>石嘴山市深阳蓝光市政工程有限公司</v>
      </c>
      <c r="D2183" s="1074" t="s">
        <v>1829</v>
      </c>
      <c r="E2183" s="149" t="s">
        <v>3142</v>
      </c>
      <c r="F2183" s="485"/>
      <c r="G2183" s="485"/>
      <c r="H2183" s="485"/>
      <c r="I2183" s="485"/>
      <c r="J2183" s="485"/>
      <c r="K2183" s="485"/>
      <c r="X2183" s="501" t="b">
        <f t="shared" si="203"/>
        <v>1</v>
      </c>
    </row>
    <row r="2184" hidden="1" outlineLevel="2" spans="1:24">
      <c r="A2184" s="85" t="s">
        <v>216</v>
      </c>
      <c r="B2184" s="421" t="s">
        <v>216</v>
      </c>
      <c r="C2184" s="429" t="str">
        <f t="shared" si="202"/>
        <v>石嘴山市深阳蓝光市政工程有限公司</v>
      </c>
      <c r="D2184" s="423" t="s">
        <v>1829</v>
      </c>
      <c r="E2184" s="85" t="s">
        <v>216</v>
      </c>
      <c r="X2184" s="501" t="b">
        <f t="shared" si="203"/>
        <v>1</v>
      </c>
    </row>
    <row r="2185" hidden="1" outlineLevel="2" spans="1:24">
      <c r="A2185" s="85" t="s">
        <v>3001</v>
      </c>
      <c r="B2185" s="421" t="s">
        <v>216</v>
      </c>
      <c r="C2185" s="429" t="str">
        <f t="shared" si="202"/>
        <v>石嘴山市深阳蓝光市政工程有限公司</v>
      </c>
      <c r="D2185" s="1160" t="s">
        <v>1829</v>
      </c>
      <c r="E2185" s="1161" t="s">
        <v>3001</v>
      </c>
      <c r="F2185" s="1161" t="s">
        <v>315</v>
      </c>
      <c r="G2185" s="1161" t="s">
        <v>1579</v>
      </c>
      <c r="X2185" s="501" t="b">
        <f t="shared" si="203"/>
        <v>1</v>
      </c>
    </row>
    <row r="2186" hidden="1" outlineLevel="2" spans="1:24">
      <c r="A2186" s="85" t="s">
        <v>982</v>
      </c>
      <c r="B2186" s="421" t="s">
        <v>216</v>
      </c>
      <c r="C2186" s="429" t="str">
        <f t="shared" si="202"/>
        <v>石嘴山市深阳蓝光市政工程有限公司</v>
      </c>
      <c r="D2186" s="1160" t="s">
        <v>1829</v>
      </c>
      <c r="E2186" s="1162" t="s">
        <v>982</v>
      </c>
      <c r="F2186" s="132"/>
      <c r="G2186" s="477">
        <f>报表附注合并期初用!E1941</f>
        <v>0</v>
      </c>
      <c r="X2186" s="501" t="b">
        <f t="shared" si="203"/>
        <v>1</v>
      </c>
    </row>
    <row r="2187" hidden="1" outlineLevel="2" spans="1:24">
      <c r="A2187" s="85" t="s">
        <v>984</v>
      </c>
      <c r="B2187" s="421" t="s">
        <v>216</v>
      </c>
      <c r="C2187" s="429" t="str">
        <f t="shared" si="202"/>
        <v>石嘴山市深阳蓝光市政工程有限公司</v>
      </c>
      <c r="D2187" s="1160" t="s">
        <v>1829</v>
      </c>
      <c r="E2187" s="1162" t="s">
        <v>984</v>
      </c>
      <c r="F2187" s="132"/>
      <c r="G2187" s="477">
        <f>报表附注合并期初用!E1942</f>
        <v>0</v>
      </c>
      <c r="X2187" s="501" t="b">
        <f t="shared" si="203"/>
        <v>1</v>
      </c>
    </row>
    <row r="2188" hidden="1" outlineLevel="2" spans="1:24">
      <c r="A2188" s="85" t="s">
        <v>986</v>
      </c>
      <c r="B2188" s="421" t="s">
        <v>216</v>
      </c>
      <c r="C2188" s="429" t="str">
        <f t="shared" si="202"/>
        <v>石嘴山市深阳蓝光市政工程有限公司</v>
      </c>
      <c r="D2188" s="1160" t="s">
        <v>1829</v>
      </c>
      <c r="E2188" s="1162" t="s">
        <v>986</v>
      </c>
      <c r="F2188" s="132"/>
      <c r="G2188" s="477">
        <f>报表附注合并期初用!E1943</f>
        <v>0</v>
      </c>
      <c r="X2188" s="501" t="b">
        <f t="shared" si="203"/>
        <v>1</v>
      </c>
    </row>
    <row r="2189" hidden="1" outlineLevel="2" spans="1:24">
      <c r="A2189" s="85" t="s">
        <v>988</v>
      </c>
      <c r="B2189" s="421" t="s">
        <v>216</v>
      </c>
      <c r="C2189" s="429" t="str">
        <f t="shared" si="202"/>
        <v>石嘴山市深阳蓝光市政工程有限公司</v>
      </c>
      <c r="D2189" s="1160" t="s">
        <v>1829</v>
      </c>
      <c r="E2189" s="1162" t="s">
        <v>988</v>
      </c>
      <c r="F2189" s="132"/>
      <c r="G2189" s="477">
        <f>报表附注合并期初用!E1944</f>
        <v>0</v>
      </c>
      <c r="X2189" s="501" t="b">
        <f t="shared" si="203"/>
        <v>1</v>
      </c>
    </row>
    <row r="2190" hidden="1" outlineLevel="2" spans="1:24">
      <c r="A2190" s="85" t="s">
        <v>1762</v>
      </c>
      <c r="B2190" s="421" t="s">
        <v>216</v>
      </c>
      <c r="C2190" s="429" t="str">
        <f t="shared" si="202"/>
        <v>石嘴山市深阳蓝光市政工程有限公司</v>
      </c>
      <c r="D2190" s="1160" t="s">
        <v>1829</v>
      </c>
      <c r="E2190" s="1162" t="s">
        <v>3004</v>
      </c>
      <c r="F2190" s="135">
        <f>SUM(F2186:F2189)</f>
        <v>0</v>
      </c>
      <c r="G2190" s="135">
        <f>SUM(G2186:G2189)</f>
        <v>0</v>
      </c>
      <c r="X2190" s="501" t="b">
        <f t="shared" si="203"/>
        <v>1</v>
      </c>
    </row>
    <row r="2191" hidden="1" outlineLevel="2" spans="1:24">
      <c r="A2191" s="85" t="s">
        <v>3143</v>
      </c>
      <c r="B2191" s="421" t="s">
        <v>216</v>
      </c>
      <c r="C2191" s="429" t="str">
        <f t="shared" si="202"/>
        <v>石嘴山市深阳蓝光市政工程有限公司</v>
      </c>
      <c r="D2191" s="1160" t="s">
        <v>1829</v>
      </c>
      <c r="E2191" s="1163" t="s">
        <v>3143</v>
      </c>
      <c r="F2191" s="721">
        <f>ROUND(F2176-F2190,2)</f>
        <v>0</v>
      </c>
      <c r="G2191" s="721">
        <f>ROUND(G2176-G2190,2)</f>
        <v>0</v>
      </c>
      <c r="X2191" s="501" t="b">
        <f t="shared" si="203"/>
        <v>1</v>
      </c>
    </row>
    <row r="2192" hidden="1" outlineLevel="2" spans="1:24">
      <c r="A2192" s="85" t="s">
        <v>3144</v>
      </c>
      <c r="B2192" s="1078" t="s">
        <v>3136</v>
      </c>
      <c r="C2192" s="429" t="str">
        <f t="shared" si="202"/>
        <v>石嘴山市深阳蓝光市政工程有限公司</v>
      </c>
      <c r="D2192" s="1074" t="s">
        <v>1829</v>
      </c>
      <c r="E2192" s="813" t="s">
        <v>3145</v>
      </c>
      <c r="F2192" s="485"/>
      <c r="G2192" s="485"/>
      <c r="H2192" s="485"/>
      <c r="I2192" s="485"/>
      <c r="J2192" s="485"/>
      <c r="K2192" s="485"/>
      <c r="X2192" s="501" t="b">
        <f t="shared" si="203"/>
        <v>1</v>
      </c>
    </row>
    <row r="2193" hidden="1" outlineLevel="2" spans="1:24">
      <c r="A2193" s="85" t="s">
        <v>2315</v>
      </c>
      <c r="B2193" s="1078" t="s">
        <v>3136</v>
      </c>
      <c r="C2193" s="429" t="str">
        <f t="shared" si="202"/>
        <v>石嘴山市深阳蓝光市政工程有限公司</v>
      </c>
      <c r="D2193" s="1074" t="s">
        <v>1829</v>
      </c>
      <c r="E2193" s="149" t="s">
        <v>2334</v>
      </c>
      <c r="F2193" s="1164"/>
      <c r="G2193" s="1164"/>
      <c r="H2193" s="485"/>
      <c r="I2193" s="485"/>
      <c r="J2193" s="485"/>
      <c r="K2193" s="485"/>
      <c r="X2193" s="501" t="b">
        <f t="shared" si="203"/>
        <v>1</v>
      </c>
    </row>
    <row r="2194" hidden="1" outlineLevel="2" spans="1:24">
      <c r="A2194" s="85" t="s">
        <v>3146</v>
      </c>
      <c r="B2194" s="1078" t="s">
        <v>3136</v>
      </c>
      <c r="C2194" s="429" t="str">
        <f t="shared" si="202"/>
        <v>石嘴山市深阳蓝光市政工程有限公司</v>
      </c>
      <c r="D2194" s="1074" t="s">
        <v>3146</v>
      </c>
      <c r="E2194" s="149" t="s">
        <v>3147</v>
      </c>
      <c r="F2194" s="718"/>
      <c r="G2194" s="485"/>
      <c r="H2194" s="485"/>
      <c r="I2194" s="485"/>
      <c r="J2194" s="485"/>
      <c r="K2194" s="485"/>
      <c r="L2194" s="645"/>
      <c r="X2194" s="501" t="b">
        <f t="shared" si="203"/>
        <v>0</v>
      </c>
    </row>
    <row r="2195" ht="11.25" hidden="1" customHeight="1" outlineLevel="2" spans="1:24">
      <c r="A2195" s="85" t="s">
        <v>992</v>
      </c>
      <c r="B2195" s="1078" t="s">
        <v>3136</v>
      </c>
      <c r="C2195" s="429" t="str">
        <f t="shared" si="202"/>
        <v>石嘴山市深阳蓝光市政工程有限公司</v>
      </c>
      <c r="D2195" s="1074" t="s">
        <v>3146</v>
      </c>
      <c r="E2195" s="581" t="s">
        <v>992</v>
      </c>
      <c r="F2195" s="581" t="s">
        <v>3148</v>
      </c>
      <c r="G2195" s="581" t="s">
        <v>3149</v>
      </c>
      <c r="H2195" s="581" t="s">
        <v>515</v>
      </c>
      <c r="I2195" s="581"/>
      <c r="J2195" s="581"/>
      <c r="K2195" s="581"/>
      <c r="L2195" s="581" t="s">
        <v>670</v>
      </c>
      <c r="M2195" s="581"/>
      <c r="N2195" s="581"/>
      <c r="O2195" s="581"/>
      <c r="X2195" s="501" t="b">
        <f t="shared" si="203"/>
        <v>1</v>
      </c>
    </row>
    <row r="2196" hidden="1" outlineLevel="2" spans="2:24">
      <c r="B2196" s="1078" t="s">
        <v>3136</v>
      </c>
      <c r="C2196" s="429" t="str">
        <f t="shared" si="202"/>
        <v>石嘴山市深阳蓝光市政工程有限公司</v>
      </c>
      <c r="D2196" s="1074" t="s">
        <v>3146</v>
      </c>
      <c r="E2196" s="581"/>
      <c r="F2196" s="581"/>
      <c r="G2196" s="581"/>
      <c r="H2196" s="581" t="s">
        <v>3150</v>
      </c>
      <c r="I2196" s="581" t="s">
        <v>3151</v>
      </c>
      <c r="J2196" s="581" t="s">
        <v>3152</v>
      </c>
      <c r="K2196" s="581" t="s">
        <v>3153</v>
      </c>
      <c r="L2196" s="581" t="s">
        <v>3150</v>
      </c>
      <c r="M2196" s="581" t="s">
        <v>3151</v>
      </c>
      <c r="N2196" s="581" t="s">
        <v>3152</v>
      </c>
      <c r="O2196" s="581" t="s">
        <v>3153</v>
      </c>
      <c r="X2196" s="501" t="b">
        <f t="shared" si="203"/>
        <v>1</v>
      </c>
    </row>
    <row r="2197" hidden="1" outlineLevel="2" spans="2:24">
      <c r="B2197" s="1078" t="s">
        <v>3136</v>
      </c>
      <c r="C2197" s="429" t="str">
        <f t="shared" si="202"/>
        <v>石嘴山市深阳蓝光市政工程有限公司</v>
      </c>
      <c r="D2197" s="1074" t="s">
        <v>3146</v>
      </c>
      <c r="E2197" s="777"/>
      <c r="F2197" s="777"/>
      <c r="G2197" s="777"/>
      <c r="H2197" s="777"/>
      <c r="I2197" s="777"/>
      <c r="J2197" s="777"/>
      <c r="K2197" s="777"/>
      <c r="L2197" s="777"/>
      <c r="M2197" s="777"/>
      <c r="N2197" s="777"/>
      <c r="O2197" s="777"/>
      <c r="X2197" s="501" t="b">
        <f t="shared" si="203"/>
        <v>1</v>
      </c>
    </row>
    <row r="2198" hidden="1" outlineLevel="2" spans="2:24">
      <c r="B2198" s="1078" t="s">
        <v>3136</v>
      </c>
      <c r="C2198" s="429" t="str">
        <f t="shared" si="202"/>
        <v>石嘴山市深阳蓝光市政工程有限公司</v>
      </c>
      <c r="D2198" s="1074" t="s">
        <v>3146</v>
      </c>
      <c r="E2198" s="777"/>
      <c r="F2198" s="777"/>
      <c r="G2198" s="777"/>
      <c r="H2198" s="777"/>
      <c r="I2198" s="777"/>
      <c r="J2198" s="777"/>
      <c r="K2198" s="777"/>
      <c r="L2198" s="777"/>
      <c r="M2198" s="777"/>
      <c r="N2198" s="777"/>
      <c r="O2198" s="777"/>
      <c r="X2198" s="501" t="b">
        <f t="shared" si="203"/>
        <v>1</v>
      </c>
    </row>
    <row r="2199" hidden="1" outlineLevel="2" spans="2:24">
      <c r="B2199" s="1078" t="s">
        <v>3136</v>
      </c>
      <c r="C2199" s="429" t="str">
        <f t="shared" si="202"/>
        <v>石嘴山市深阳蓝光市政工程有限公司</v>
      </c>
      <c r="D2199" s="1074" t="s">
        <v>3146</v>
      </c>
      <c r="E2199" s="777"/>
      <c r="F2199" s="777"/>
      <c r="G2199" s="777"/>
      <c r="H2199" s="777"/>
      <c r="I2199" s="777"/>
      <c r="J2199" s="777"/>
      <c r="K2199" s="777"/>
      <c r="L2199" s="777"/>
      <c r="M2199" s="777"/>
      <c r="N2199" s="777"/>
      <c r="O2199" s="777"/>
      <c r="X2199" s="501" t="b">
        <f t="shared" si="203"/>
        <v>1</v>
      </c>
    </row>
    <row r="2200" hidden="1" outlineLevel="2" spans="2:24">
      <c r="B2200" s="1078" t="s">
        <v>3136</v>
      </c>
      <c r="C2200" s="429" t="str">
        <f t="shared" si="202"/>
        <v>石嘴山市深阳蓝光市政工程有限公司</v>
      </c>
      <c r="D2200" s="1074" t="s">
        <v>3146</v>
      </c>
      <c r="E2200" s="777"/>
      <c r="F2200" s="777"/>
      <c r="G2200" s="777"/>
      <c r="H2200" s="777"/>
      <c r="I2200" s="777"/>
      <c r="J2200" s="777"/>
      <c r="K2200" s="777"/>
      <c r="L2200" s="777"/>
      <c r="M2200" s="777"/>
      <c r="N2200" s="777"/>
      <c r="O2200" s="777"/>
      <c r="X2200" s="501" t="b">
        <f t="shared" si="203"/>
        <v>1</v>
      </c>
    </row>
    <row r="2201" hidden="1" outlineLevel="2" spans="2:24">
      <c r="B2201" s="1078" t="s">
        <v>3136</v>
      </c>
      <c r="C2201" s="429" t="str">
        <f t="shared" si="202"/>
        <v>石嘴山市深阳蓝光市政工程有限公司</v>
      </c>
      <c r="D2201" s="1074" t="s">
        <v>3146</v>
      </c>
      <c r="E2201" s="777"/>
      <c r="F2201" s="777"/>
      <c r="G2201" s="777"/>
      <c r="H2201" s="777"/>
      <c r="I2201" s="1172"/>
      <c r="J2201" s="777"/>
      <c r="K2201" s="990"/>
      <c r="L2201" s="777"/>
      <c r="M2201" s="1172"/>
      <c r="N2201" s="777"/>
      <c r="O2201" s="777"/>
      <c r="X2201" s="501" t="b">
        <f t="shared" si="203"/>
        <v>1</v>
      </c>
    </row>
    <row r="2202" hidden="1" outlineLevel="2" spans="2:24">
      <c r="B2202" s="1078" t="s">
        <v>3136</v>
      </c>
      <c r="C2202" s="429" t="str">
        <f t="shared" si="202"/>
        <v>石嘴山市深阳蓝光市政工程有限公司</v>
      </c>
      <c r="D2202" s="1074" t="s">
        <v>3146</v>
      </c>
      <c r="E2202" s="777"/>
      <c r="F2202" s="777"/>
      <c r="G2202" s="777"/>
      <c r="H2202" s="777"/>
      <c r="I2202" s="1172"/>
      <c r="J2202" s="777"/>
      <c r="K2202" s="990"/>
      <c r="L2202" s="777"/>
      <c r="M2202" s="1172"/>
      <c r="N2202" s="777"/>
      <c r="O2202" s="777"/>
      <c r="X2202" s="501" t="b">
        <f t="shared" si="203"/>
        <v>1</v>
      </c>
    </row>
    <row r="2203" hidden="1" outlineLevel="2" spans="2:24">
      <c r="B2203" s="1078" t="s">
        <v>3136</v>
      </c>
      <c r="C2203" s="429" t="str">
        <f t="shared" si="202"/>
        <v>石嘴山市深阳蓝光市政工程有限公司</v>
      </c>
      <c r="D2203" s="1074" t="s">
        <v>3146</v>
      </c>
      <c r="E2203" s="777"/>
      <c r="F2203" s="777"/>
      <c r="G2203" s="777"/>
      <c r="H2203" s="777"/>
      <c r="I2203" s="1172"/>
      <c r="J2203" s="777"/>
      <c r="K2203" s="990"/>
      <c r="L2203" s="777"/>
      <c r="M2203" s="1172"/>
      <c r="N2203" s="777"/>
      <c r="O2203" s="777"/>
      <c r="X2203" s="501" t="b">
        <f t="shared" si="203"/>
        <v>1</v>
      </c>
    </row>
    <row r="2204" hidden="1" outlineLevel="2" spans="2:24">
      <c r="B2204" s="1078" t="s">
        <v>3136</v>
      </c>
      <c r="C2204" s="429" t="str">
        <f t="shared" si="202"/>
        <v>石嘴山市深阳蓝光市政工程有限公司</v>
      </c>
      <c r="D2204" s="1074" t="s">
        <v>3146</v>
      </c>
      <c r="E2204" s="777"/>
      <c r="F2204" s="777"/>
      <c r="G2204" s="777"/>
      <c r="H2204" s="777"/>
      <c r="I2204" s="1172"/>
      <c r="J2204" s="777"/>
      <c r="K2204" s="990"/>
      <c r="L2204" s="777"/>
      <c r="M2204" s="1172"/>
      <c r="N2204" s="777"/>
      <c r="O2204" s="777"/>
      <c r="X2204" s="501" t="b">
        <f t="shared" si="203"/>
        <v>1</v>
      </c>
    </row>
    <row r="2205" hidden="1" outlineLevel="2" spans="2:24">
      <c r="B2205" s="1078" t="s">
        <v>3136</v>
      </c>
      <c r="C2205" s="429" t="str">
        <f t="shared" si="202"/>
        <v>石嘴山市深阳蓝光市政工程有限公司</v>
      </c>
      <c r="D2205" s="1074" t="s">
        <v>3146</v>
      </c>
      <c r="E2205" s="777"/>
      <c r="F2205" s="777"/>
      <c r="G2205" s="777"/>
      <c r="H2205" s="777"/>
      <c r="I2205" s="1172"/>
      <c r="J2205" s="777"/>
      <c r="K2205" s="990"/>
      <c r="L2205" s="777"/>
      <c r="M2205" s="1172"/>
      <c r="N2205" s="777"/>
      <c r="O2205" s="777"/>
      <c r="X2205" s="501" t="b">
        <f t="shared" si="203"/>
        <v>1</v>
      </c>
    </row>
    <row r="2206" hidden="1" outlineLevel="2" spans="2:24">
      <c r="B2206" s="1078" t="s">
        <v>3136</v>
      </c>
      <c r="C2206" s="429" t="str">
        <f t="shared" si="202"/>
        <v>石嘴山市深阳蓝光市政工程有限公司</v>
      </c>
      <c r="D2206" s="1074" t="s">
        <v>3146</v>
      </c>
      <c r="E2206" s="755"/>
      <c r="F2206" s="1165"/>
      <c r="G2206" s="1165"/>
      <c r="H2206" s="1165"/>
      <c r="I2206" s="1165"/>
      <c r="J2206" s="1165"/>
      <c r="K2206" s="1173"/>
      <c r="L2206" s="1174"/>
      <c r="M2206" s="98"/>
      <c r="N2206" s="98"/>
      <c r="O2206" s="98"/>
      <c r="X2206" s="501" t="b">
        <f t="shared" si="203"/>
        <v>1</v>
      </c>
    </row>
    <row r="2207" hidden="1" outlineLevel="2" spans="1:24">
      <c r="A2207" s="85" t="s">
        <v>1580</v>
      </c>
      <c r="B2207" s="1078" t="s">
        <v>3136</v>
      </c>
      <c r="C2207" s="429" t="str">
        <f t="shared" si="202"/>
        <v>石嘴山市深阳蓝光市政工程有限公司</v>
      </c>
      <c r="D2207" s="1074" t="s">
        <v>3146</v>
      </c>
      <c r="E2207" s="1166" t="s">
        <v>1580</v>
      </c>
      <c r="F2207" s="523"/>
      <c r="G2207" s="523"/>
      <c r="H2207" s="523"/>
      <c r="I2207" s="523"/>
      <c r="J2207" s="523"/>
      <c r="K2207" s="1175">
        <f>SUM(K2201:K2206)</f>
        <v>0</v>
      </c>
      <c r="L2207" s="1176"/>
      <c r="M2207" s="99"/>
      <c r="N2207" s="99"/>
      <c r="O2207" s="1175">
        <f>SUM(O2201:O2206)</f>
        <v>0</v>
      </c>
      <c r="X2207" s="501" t="b">
        <f t="shared" si="203"/>
        <v>1</v>
      </c>
    </row>
    <row r="2208" hidden="1" outlineLevel="2" spans="2:24">
      <c r="B2208" s="1078" t="s">
        <v>3136</v>
      </c>
      <c r="C2208" s="429" t="str">
        <f t="shared" si="202"/>
        <v>石嘴山市深阳蓝光市政工程有限公司</v>
      </c>
      <c r="D2208" s="1074" t="s">
        <v>3146</v>
      </c>
      <c r="E2208" s="748"/>
      <c r="F2208" s="485"/>
      <c r="G2208" s="485"/>
      <c r="H2208" s="485"/>
      <c r="I2208" s="485"/>
      <c r="J2208" s="485"/>
      <c r="K2208" s="485"/>
      <c r="L2208" s="645"/>
      <c r="X2208" s="501" t="b">
        <f t="shared" si="203"/>
        <v>1</v>
      </c>
    </row>
    <row r="2209" hidden="1" outlineLevel="2" spans="1:24">
      <c r="A2209" s="85" t="s">
        <v>3154</v>
      </c>
      <c r="B2209" s="1078" t="s">
        <v>3136</v>
      </c>
      <c r="C2209" s="429" t="str">
        <f t="shared" si="202"/>
        <v>石嘴山市深阳蓝光市政工程有限公司</v>
      </c>
      <c r="D2209" s="1074" t="s">
        <v>3154</v>
      </c>
      <c r="E2209" s="624" t="s">
        <v>3154</v>
      </c>
      <c r="F2209" s="485"/>
      <c r="G2209" s="485"/>
      <c r="H2209" s="485"/>
      <c r="I2209" s="485"/>
      <c r="J2209" s="485"/>
      <c r="K2209" s="485"/>
      <c r="L2209" s="645"/>
      <c r="X2209" s="501" t="b">
        <f t="shared" si="203"/>
        <v>1</v>
      </c>
    </row>
    <row r="2210" hidden="1" outlineLevel="2" spans="2:24">
      <c r="B2210" s="1078" t="s">
        <v>3136</v>
      </c>
      <c r="C2210" s="429" t="str">
        <f t="shared" ref="C2210:C2273" si="205">$G$1</f>
        <v>石嘴山市深阳蓝光市政工程有限公司</v>
      </c>
      <c r="D2210" s="1074" t="s">
        <v>3154</v>
      </c>
      <c r="E2210" s="748"/>
      <c r="F2210" s="485"/>
      <c r="G2210" s="485"/>
      <c r="H2210" s="485"/>
      <c r="I2210" s="485"/>
      <c r="J2210" s="485"/>
      <c r="K2210" s="485"/>
      <c r="L2210" s="645"/>
      <c r="X2210" s="501" t="b">
        <f t="shared" ref="X2210:X2273" si="206">EXACT(A2210,E2210)</f>
        <v>1</v>
      </c>
    </row>
    <row r="2211" hidden="1" outlineLevel="2" spans="1:24">
      <c r="A2211" s="85" t="s">
        <v>992</v>
      </c>
      <c r="B2211" s="1078" t="s">
        <v>3136</v>
      </c>
      <c r="C2211" s="429" t="str">
        <f t="shared" si="205"/>
        <v>石嘴山市深阳蓝光市政工程有限公司</v>
      </c>
      <c r="D2211" s="1074" t="s">
        <v>3154</v>
      </c>
      <c r="E2211" s="581" t="s">
        <v>992</v>
      </c>
      <c r="F2211" s="581" t="s">
        <v>3155</v>
      </c>
      <c r="G2211" s="581" t="s">
        <v>1142</v>
      </c>
      <c r="H2211" s="581" t="s">
        <v>3156</v>
      </c>
      <c r="I2211" s="581" t="s">
        <v>3157</v>
      </c>
      <c r="J2211" s="581" t="s">
        <v>3158</v>
      </c>
      <c r="K2211" s="581" t="s">
        <v>3159</v>
      </c>
      <c r="L2211" s="581" t="s">
        <v>353</v>
      </c>
      <c r="X2211" s="501" t="b">
        <f t="shared" si="206"/>
        <v>1</v>
      </c>
    </row>
    <row r="2212" hidden="1" outlineLevel="2" spans="2:24">
      <c r="B2212" s="1078" t="s">
        <v>3136</v>
      </c>
      <c r="C2212" s="429" t="str">
        <f t="shared" si="205"/>
        <v>石嘴山市深阳蓝光市政工程有限公司</v>
      </c>
      <c r="D2212" s="1074" t="s">
        <v>3154</v>
      </c>
      <c r="E2212" s="777"/>
      <c r="F2212" s="777"/>
      <c r="G2212" s="777"/>
      <c r="H2212" s="777"/>
      <c r="I2212" s="777"/>
      <c r="J2212" s="777"/>
      <c r="K2212" s="777"/>
      <c r="L2212" s="98"/>
      <c r="X2212" s="501" t="b">
        <f t="shared" si="206"/>
        <v>1</v>
      </c>
    </row>
    <row r="2213" hidden="1" outlineLevel="2" spans="2:24">
      <c r="B2213" s="1078" t="s">
        <v>3136</v>
      </c>
      <c r="C2213" s="429" t="str">
        <f t="shared" si="205"/>
        <v>石嘴山市深阳蓝光市政工程有限公司</v>
      </c>
      <c r="D2213" s="1074" t="s">
        <v>3154</v>
      </c>
      <c r="E2213" s="777"/>
      <c r="F2213" s="777"/>
      <c r="G2213" s="777"/>
      <c r="H2213" s="777"/>
      <c r="I2213" s="777"/>
      <c r="J2213" s="777"/>
      <c r="K2213" s="777"/>
      <c r="L2213" s="98"/>
      <c r="X2213" s="501" t="b">
        <f t="shared" si="206"/>
        <v>1</v>
      </c>
    </row>
    <row r="2214" hidden="1" outlineLevel="2" spans="2:24">
      <c r="B2214" s="1078" t="s">
        <v>3136</v>
      </c>
      <c r="C2214" s="429" t="str">
        <f t="shared" si="205"/>
        <v>石嘴山市深阳蓝光市政工程有限公司</v>
      </c>
      <c r="D2214" s="1074" t="s">
        <v>3154</v>
      </c>
      <c r="E2214" s="777"/>
      <c r="F2214" s="777"/>
      <c r="G2214" s="777"/>
      <c r="H2214" s="777"/>
      <c r="I2214" s="777"/>
      <c r="J2214" s="777"/>
      <c r="K2214" s="777"/>
      <c r="L2214" s="98"/>
      <c r="X2214" s="501" t="b">
        <f t="shared" si="206"/>
        <v>1</v>
      </c>
    </row>
    <row r="2215" hidden="1" outlineLevel="2" spans="2:24">
      <c r="B2215" s="1078" t="s">
        <v>3136</v>
      </c>
      <c r="C2215" s="429" t="str">
        <f t="shared" si="205"/>
        <v>石嘴山市深阳蓝光市政工程有限公司</v>
      </c>
      <c r="D2215" s="1074" t="s">
        <v>3154</v>
      </c>
      <c r="E2215" s="777"/>
      <c r="F2215" s="777"/>
      <c r="G2215" s="777"/>
      <c r="H2215" s="777"/>
      <c r="I2215" s="777"/>
      <c r="J2215" s="777"/>
      <c r="K2215" s="777"/>
      <c r="L2215" s="98"/>
      <c r="X2215" s="501" t="b">
        <f t="shared" si="206"/>
        <v>1</v>
      </c>
    </row>
    <row r="2216" hidden="1" outlineLevel="2" spans="2:24">
      <c r="B2216" s="1078" t="s">
        <v>3136</v>
      </c>
      <c r="C2216" s="429" t="str">
        <f t="shared" si="205"/>
        <v>石嘴山市深阳蓝光市政工程有限公司</v>
      </c>
      <c r="D2216" s="1074" t="s">
        <v>3154</v>
      </c>
      <c r="E2216" s="777"/>
      <c r="F2216" s="777"/>
      <c r="G2216" s="777"/>
      <c r="H2216" s="777"/>
      <c r="I2216" s="777"/>
      <c r="J2216" s="777"/>
      <c r="K2216" s="777"/>
      <c r="L2216" s="98"/>
      <c r="X2216" s="501" t="b">
        <f t="shared" si="206"/>
        <v>1</v>
      </c>
    </row>
    <row r="2217" hidden="1" outlineLevel="2" spans="2:24">
      <c r="B2217" s="1078" t="s">
        <v>3136</v>
      </c>
      <c r="C2217" s="429" t="str">
        <f t="shared" si="205"/>
        <v>石嘴山市深阳蓝光市政工程有限公司</v>
      </c>
      <c r="D2217" s="1074" t="s">
        <v>3154</v>
      </c>
      <c r="E2217" s="777"/>
      <c r="F2217" s="777"/>
      <c r="G2217" s="777"/>
      <c r="H2217" s="777"/>
      <c r="I2217" s="777"/>
      <c r="J2217" s="777"/>
      <c r="K2217" s="777"/>
      <c r="L2217" s="98"/>
      <c r="X2217" s="501" t="b">
        <f t="shared" si="206"/>
        <v>1</v>
      </c>
    </row>
    <row r="2218" hidden="1" outlineLevel="2" spans="2:24">
      <c r="B2218" s="1078" t="s">
        <v>3136</v>
      </c>
      <c r="C2218" s="429" t="str">
        <f t="shared" si="205"/>
        <v>石嘴山市深阳蓝光市政工程有限公司</v>
      </c>
      <c r="D2218" s="1074" t="s">
        <v>3154</v>
      </c>
      <c r="E2218" s="1134"/>
      <c r="F2218" s="1134"/>
      <c r="G2218" s="1134"/>
      <c r="H2218" s="1134"/>
      <c r="I2218" s="1134"/>
      <c r="J2218" s="1134"/>
      <c r="K2218" s="1134"/>
      <c r="L2218" s="98"/>
      <c r="X2218" s="501" t="b">
        <f t="shared" si="206"/>
        <v>1</v>
      </c>
    </row>
    <row r="2219" hidden="1" outlineLevel="2" spans="2:24">
      <c r="B2219" s="1078" t="s">
        <v>3136</v>
      </c>
      <c r="C2219" s="429" t="str">
        <f t="shared" si="205"/>
        <v>石嘴山市深阳蓝光市政工程有限公司</v>
      </c>
      <c r="D2219" s="1074" t="s">
        <v>3154</v>
      </c>
      <c r="E2219" s="1134"/>
      <c r="F2219" s="1134"/>
      <c r="G2219" s="1134"/>
      <c r="H2219" s="1134"/>
      <c r="I2219" s="1134"/>
      <c r="J2219" s="1134"/>
      <c r="K2219" s="1134"/>
      <c r="L2219" s="98"/>
      <c r="X2219" s="501" t="b">
        <f t="shared" si="206"/>
        <v>1</v>
      </c>
    </row>
    <row r="2220" hidden="1" outlineLevel="2" spans="2:24">
      <c r="B2220" s="1078" t="s">
        <v>3136</v>
      </c>
      <c r="C2220" s="429" t="str">
        <f t="shared" si="205"/>
        <v>石嘴山市深阳蓝光市政工程有限公司</v>
      </c>
      <c r="D2220" s="1074" t="s">
        <v>3154</v>
      </c>
      <c r="E2220" s="755"/>
      <c r="F2220" s="1165"/>
      <c r="G2220" s="1165"/>
      <c r="H2220" s="1165"/>
      <c r="I2220" s="1165"/>
      <c r="J2220" s="1165"/>
      <c r="K2220" s="1165"/>
      <c r="L2220" s="98"/>
      <c r="X2220" s="501" t="b">
        <f t="shared" si="206"/>
        <v>1</v>
      </c>
    </row>
    <row r="2221" hidden="1" outlineLevel="2" spans="1:24">
      <c r="A2221" s="85" t="s">
        <v>3160</v>
      </c>
      <c r="B2221" s="1078" t="s">
        <v>3136</v>
      </c>
      <c r="C2221" s="429" t="str">
        <f t="shared" si="205"/>
        <v>石嘴山市深阳蓝光市政工程有限公司</v>
      </c>
      <c r="D2221" s="1074" t="s">
        <v>3154</v>
      </c>
      <c r="E2221" s="813" t="s">
        <v>3160</v>
      </c>
      <c r="F2221" s="485"/>
      <c r="G2221" s="485"/>
      <c r="H2221" s="485"/>
      <c r="I2221" s="485"/>
      <c r="J2221" s="485"/>
      <c r="K2221" s="485"/>
      <c r="X2221" s="501" t="b">
        <f t="shared" si="206"/>
        <v>1</v>
      </c>
    </row>
    <row r="2222" hidden="1" outlineLevel="2" spans="1:24">
      <c r="A2222" s="85" t="s">
        <v>2315</v>
      </c>
      <c r="B2222" s="1078" t="s">
        <v>3136</v>
      </c>
      <c r="C2222" s="429" t="str">
        <f t="shared" si="205"/>
        <v>石嘴山市深阳蓝光市政工程有限公司</v>
      </c>
      <c r="D2222" s="1074" t="s">
        <v>3154</v>
      </c>
      <c r="E2222" s="1167" t="s">
        <v>2315</v>
      </c>
      <c r="F2222" s="1164"/>
      <c r="G2222" s="1164"/>
      <c r="H2222" s="1164"/>
      <c r="I2222" s="1164"/>
      <c r="J2222" s="1164"/>
      <c r="K2222" s="1177"/>
      <c r="L2222" s="102"/>
      <c r="X2222" s="501" t="b">
        <f t="shared" si="206"/>
        <v>1</v>
      </c>
    </row>
    <row r="2223" hidden="1" outlineLevel="2" spans="1:24">
      <c r="A2223" s="85" t="s">
        <v>3161</v>
      </c>
      <c r="B2223" s="1078" t="s">
        <v>3136</v>
      </c>
      <c r="C2223" s="429" t="str">
        <f t="shared" si="205"/>
        <v>石嘴山市深阳蓝光市政工程有限公司</v>
      </c>
      <c r="D2223" s="1074" t="s">
        <v>3161</v>
      </c>
      <c r="E2223" s="149" t="s">
        <v>3162</v>
      </c>
      <c r="F2223" s="485"/>
      <c r="G2223" s="485"/>
      <c r="H2223" s="485"/>
      <c r="I2223" s="485"/>
      <c r="J2223" s="485"/>
      <c r="K2223" s="627"/>
      <c r="X2223" s="501" t="b">
        <f t="shared" si="206"/>
        <v>1</v>
      </c>
    </row>
    <row r="2224" hidden="1" outlineLevel="2" spans="1:24">
      <c r="A2224" s="85" t="s">
        <v>3163</v>
      </c>
      <c r="B2224" s="1078" t="s">
        <v>3136</v>
      </c>
      <c r="C2224" s="429" t="str">
        <f t="shared" si="205"/>
        <v>石嘴山市深阳蓝光市政工程有限公司</v>
      </c>
      <c r="D2224" s="1074" t="s">
        <v>3161</v>
      </c>
      <c r="E2224" s="581" t="s">
        <v>3163</v>
      </c>
      <c r="F2224" s="581" t="s">
        <v>1151</v>
      </c>
      <c r="G2224" s="581" t="s">
        <v>1150</v>
      </c>
      <c r="H2224" s="581" t="s">
        <v>3164</v>
      </c>
      <c r="I2224" s="581" t="s">
        <v>3165</v>
      </c>
      <c r="J2224" s="581" t="s">
        <v>3166</v>
      </c>
      <c r="K2224" s="581" t="s">
        <v>3167</v>
      </c>
      <c r="L2224" s="581" t="s">
        <v>3168</v>
      </c>
      <c r="M2224" s="581" t="s">
        <v>3169</v>
      </c>
      <c r="N2224" s="581" t="s">
        <v>515</v>
      </c>
      <c r="X2224" s="501" t="b">
        <f t="shared" si="206"/>
        <v>1</v>
      </c>
    </row>
    <row r="2225" hidden="1" outlineLevel="2" spans="2:24">
      <c r="B2225" s="1078" t="s">
        <v>3136</v>
      </c>
      <c r="C2225" s="429" t="str">
        <f t="shared" si="205"/>
        <v>石嘴山市深阳蓝光市政工程有限公司</v>
      </c>
      <c r="D2225" s="1074" t="s">
        <v>3161</v>
      </c>
      <c r="E2225" s="1168"/>
      <c r="F2225" s="1168"/>
      <c r="G2225" s="1168"/>
      <c r="H2225" s="1168"/>
      <c r="I2225" s="1168"/>
      <c r="J2225" s="1168"/>
      <c r="K2225" s="1165"/>
      <c r="L2225" s="98"/>
      <c r="M2225" s="534">
        <f>J2225+K2225-L2225</f>
        <v>0</v>
      </c>
      <c r="N2225" s="547"/>
      <c r="X2225" s="501" t="b">
        <f t="shared" si="206"/>
        <v>1</v>
      </c>
    </row>
    <row r="2226" hidden="1" outlineLevel="2" spans="2:24">
      <c r="B2226" s="1078" t="s">
        <v>3136</v>
      </c>
      <c r="C2226" s="429" t="str">
        <f t="shared" si="205"/>
        <v>石嘴山市深阳蓝光市政工程有限公司</v>
      </c>
      <c r="D2226" s="1074" t="s">
        <v>3161</v>
      </c>
      <c r="E2226" s="1168"/>
      <c r="F2226" s="1168"/>
      <c r="G2226" s="1168"/>
      <c r="H2226" s="1168"/>
      <c r="I2226" s="1168"/>
      <c r="J2226" s="1168"/>
      <c r="K2226" s="1165"/>
      <c r="L2226" s="98"/>
      <c r="M2226" s="534">
        <f t="shared" ref="M2226:M2231" si="207">J2226+K2226-L2226</f>
        <v>0</v>
      </c>
      <c r="N2226" s="547"/>
      <c r="X2226" s="501" t="b">
        <f t="shared" si="206"/>
        <v>1</v>
      </c>
    </row>
    <row r="2227" hidden="1" outlineLevel="2" spans="2:24">
      <c r="B2227" s="1078" t="s">
        <v>3136</v>
      </c>
      <c r="C2227" s="429" t="str">
        <f t="shared" si="205"/>
        <v>石嘴山市深阳蓝光市政工程有限公司</v>
      </c>
      <c r="D2227" s="1074" t="s">
        <v>3161</v>
      </c>
      <c r="E2227" s="1168"/>
      <c r="F2227" s="1168"/>
      <c r="G2227" s="1168"/>
      <c r="H2227" s="1168"/>
      <c r="I2227" s="1168"/>
      <c r="J2227" s="1168"/>
      <c r="K2227" s="1165"/>
      <c r="L2227" s="98"/>
      <c r="M2227" s="534">
        <f t="shared" si="207"/>
        <v>0</v>
      </c>
      <c r="N2227" s="547"/>
      <c r="X2227" s="501" t="b">
        <f t="shared" si="206"/>
        <v>1</v>
      </c>
    </row>
    <row r="2228" hidden="1" outlineLevel="2" spans="2:24">
      <c r="B2228" s="1078" t="s">
        <v>3136</v>
      </c>
      <c r="C2228" s="429" t="str">
        <f t="shared" si="205"/>
        <v>石嘴山市深阳蓝光市政工程有限公司</v>
      </c>
      <c r="D2228" s="1074" t="s">
        <v>3161</v>
      </c>
      <c r="E2228" s="1168"/>
      <c r="F2228" s="1168"/>
      <c r="G2228" s="1168"/>
      <c r="H2228" s="1168"/>
      <c r="I2228" s="1168"/>
      <c r="J2228" s="1168"/>
      <c r="K2228" s="1165"/>
      <c r="L2228" s="98"/>
      <c r="M2228" s="534">
        <f t="shared" si="207"/>
        <v>0</v>
      </c>
      <c r="N2228" s="547"/>
      <c r="X2228" s="501" t="b">
        <f t="shared" si="206"/>
        <v>1</v>
      </c>
    </row>
    <row r="2229" hidden="1" outlineLevel="2" spans="2:24">
      <c r="B2229" s="1078" t="s">
        <v>3136</v>
      </c>
      <c r="C2229" s="429" t="str">
        <f t="shared" si="205"/>
        <v>石嘴山市深阳蓝光市政工程有限公司</v>
      </c>
      <c r="D2229" s="1074" t="s">
        <v>3161</v>
      </c>
      <c r="E2229" s="1168"/>
      <c r="F2229" s="1168"/>
      <c r="G2229" s="1168"/>
      <c r="H2229" s="1168"/>
      <c r="I2229" s="1168"/>
      <c r="J2229" s="1168"/>
      <c r="K2229" s="1165"/>
      <c r="L2229" s="98"/>
      <c r="M2229" s="534">
        <f t="shared" si="207"/>
        <v>0</v>
      </c>
      <c r="N2229" s="547"/>
      <c r="X2229" s="501" t="b">
        <f t="shared" si="206"/>
        <v>1</v>
      </c>
    </row>
    <row r="2230" hidden="1" outlineLevel="2" spans="2:24">
      <c r="B2230" s="1078" t="s">
        <v>3136</v>
      </c>
      <c r="C2230" s="429" t="str">
        <f t="shared" si="205"/>
        <v>石嘴山市深阳蓝光市政工程有限公司</v>
      </c>
      <c r="D2230" s="1074" t="s">
        <v>3161</v>
      </c>
      <c r="E2230" s="1169"/>
      <c r="F2230" s="1169"/>
      <c r="G2230" s="1169"/>
      <c r="H2230" s="1169"/>
      <c r="I2230" s="1169"/>
      <c r="J2230" s="1169"/>
      <c r="K2230" s="1165"/>
      <c r="L2230" s="98"/>
      <c r="M2230" s="534">
        <f t="shared" si="207"/>
        <v>0</v>
      </c>
      <c r="N2230" s="547"/>
      <c r="X2230" s="501" t="b">
        <f t="shared" si="206"/>
        <v>1</v>
      </c>
    </row>
    <row r="2231" hidden="1" outlineLevel="2" spans="2:24">
      <c r="B2231" s="1078" t="s">
        <v>3136</v>
      </c>
      <c r="C2231" s="429" t="str">
        <f t="shared" si="205"/>
        <v>石嘴山市深阳蓝光市政工程有限公司</v>
      </c>
      <c r="D2231" s="1074" t="s">
        <v>3161</v>
      </c>
      <c r="E2231" s="1169"/>
      <c r="F2231" s="1169"/>
      <c r="G2231" s="1169"/>
      <c r="H2231" s="1169"/>
      <c r="I2231" s="1169"/>
      <c r="J2231" s="1169"/>
      <c r="K2231" s="1165"/>
      <c r="L2231" s="98"/>
      <c r="M2231" s="534">
        <f t="shared" si="207"/>
        <v>0</v>
      </c>
      <c r="N2231" s="547"/>
      <c r="X2231" s="501" t="b">
        <f t="shared" si="206"/>
        <v>1</v>
      </c>
    </row>
    <row r="2232" hidden="1" outlineLevel="2" spans="1:24">
      <c r="A2232" s="85" t="s">
        <v>1580</v>
      </c>
      <c r="B2232" s="1078" t="s">
        <v>3136</v>
      </c>
      <c r="C2232" s="429" t="str">
        <f t="shared" si="205"/>
        <v>石嘴山市深阳蓝光市政工程有限公司</v>
      </c>
      <c r="D2232" s="1074" t="s">
        <v>3161</v>
      </c>
      <c r="E2232" s="1170" t="s">
        <v>1580</v>
      </c>
      <c r="F2232" s="1170"/>
      <c r="G2232" s="634"/>
      <c r="H2232" s="634"/>
      <c r="I2232" s="634"/>
      <c r="J2232" s="636">
        <f>SUM(J2225:J2231)</f>
        <v>0</v>
      </c>
      <c r="K2232" s="636">
        <f>SUM(K2225:K2231)</f>
        <v>0</v>
      </c>
      <c r="L2232" s="636">
        <f>SUM(L2225:L2231)</f>
        <v>0</v>
      </c>
      <c r="M2232" s="636">
        <f>SUM(M2225:M2231)</f>
        <v>0</v>
      </c>
      <c r="N2232" s="636">
        <f>SUM(N2225:N2231)</f>
        <v>0</v>
      </c>
      <c r="X2232" s="501" t="b">
        <f t="shared" si="206"/>
        <v>1</v>
      </c>
    </row>
    <row r="2233" hidden="1" outlineLevel="2" spans="1:24">
      <c r="A2233" s="85" t="s">
        <v>3143</v>
      </c>
      <c r="B2233" s="1078" t="s">
        <v>3136</v>
      </c>
      <c r="C2233" s="429" t="str">
        <f t="shared" si="205"/>
        <v>石嘴山市深阳蓝光市政工程有限公司</v>
      </c>
      <c r="D2233" s="1074" t="s">
        <v>3161</v>
      </c>
      <c r="E2233" s="1171" t="s">
        <v>3143</v>
      </c>
      <c r="F2233" s="485"/>
      <c r="G2233" s="485"/>
      <c r="I2233" s="485"/>
      <c r="J2233" s="485"/>
      <c r="K2233" s="485"/>
      <c r="N2233" s="721">
        <f>ROUND(F2177-N2232,2)</f>
        <v>0</v>
      </c>
      <c r="X2233" s="501" t="b">
        <f t="shared" si="206"/>
        <v>1</v>
      </c>
    </row>
    <row r="2234" hidden="1" outlineLevel="2" spans="1:24">
      <c r="A2234" s="85" t="s">
        <v>3170</v>
      </c>
      <c r="B2234" s="1078" t="s">
        <v>3136</v>
      </c>
      <c r="C2234" s="429" t="str">
        <f t="shared" si="205"/>
        <v>石嘴山市深阳蓝光市政工程有限公司</v>
      </c>
      <c r="D2234" s="1074" t="s">
        <v>3161</v>
      </c>
      <c r="E2234" s="813" t="s">
        <v>3171</v>
      </c>
      <c r="F2234" s="451"/>
      <c r="G2234" s="451"/>
      <c r="X2234" s="501" t="b">
        <f t="shared" si="206"/>
        <v>1</v>
      </c>
    </row>
    <row r="2235" hidden="1" outlineLevel="2" spans="1:24">
      <c r="A2235" s="85" t="s">
        <v>2315</v>
      </c>
      <c r="B2235" s="1078" t="s">
        <v>3136</v>
      </c>
      <c r="C2235" s="429" t="str">
        <f t="shared" si="205"/>
        <v>石嘴山市深阳蓝光市政工程有限公司</v>
      </c>
      <c r="D2235" s="1074" t="s">
        <v>3161</v>
      </c>
      <c r="E2235" s="885" t="s">
        <v>2752</v>
      </c>
      <c r="F2235" s="471"/>
      <c r="G2235" s="471"/>
      <c r="H2235" s="102"/>
      <c r="X2235" s="501" t="b">
        <f t="shared" si="206"/>
        <v>1</v>
      </c>
    </row>
    <row r="2236" hidden="1" outlineLevel="2" spans="1:24">
      <c r="A2236" s="85" t="s">
        <v>3172</v>
      </c>
      <c r="B2236" s="1078" t="s">
        <v>3136</v>
      </c>
      <c r="C2236" s="429" t="str">
        <f t="shared" si="205"/>
        <v>石嘴山市深阳蓝光市政工程有限公司</v>
      </c>
      <c r="D2236" s="1074" t="s">
        <v>3172</v>
      </c>
      <c r="E2236" s="748" t="s">
        <v>3173</v>
      </c>
      <c r="F2236" s="718" t="s">
        <v>3174</v>
      </c>
      <c r="G2236" s="485"/>
      <c r="I2236" s="485"/>
      <c r="J2236" s="485"/>
      <c r="K2236" s="485"/>
      <c r="L2236" s="645" t="s">
        <v>2462</v>
      </c>
      <c r="X2236" s="501" t="b">
        <f t="shared" si="206"/>
        <v>1</v>
      </c>
    </row>
    <row r="2237" hidden="1" outlineLevel="2" spans="1:24">
      <c r="A2237" s="85" t="s">
        <v>3175</v>
      </c>
      <c r="B2237" s="1078" t="s">
        <v>3136</v>
      </c>
      <c r="C2237" s="429" t="str">
        <f t="shared" si="205"/>
        <v>石嘴山市深阳蓝光市政工程有限公司</v>
      </c>
      <c r="D2237" s="1074" t="s">
        <v>3172</v>
      </c>
      <c r="E2237" s="581" t="s">
        <v>3175</v>
      </c>
      <c r="F2237" s="581" t="s">
        <v>1149</v>
      </c>
      <c r="G2237" s="581" t="s">
        <v>669</v>
      </c>
      <c r="H2237" s="581" t="s">
        <v>3150</v>
      </c>
      <c r="I2237" s="581" t="s">
        <v>3176</v>
      </c>
      <c r="J2237" s="581" t="s">
        <v>515</v>
      </c>
      <c r="K2237" s="581" t="s">
        <v>3177</v>
      </c>
      <c r="L2237" s="627"/>
      <c r="X2237" s="501" t="b">
        <f t="shared" si="206"/>
        <v>1</v>
      </c>
    </row>
    <row r="2238" hidden="1" outlineLevel="2" spans="2:24">
      <c r="B2238" s="1078" t="s">
        <v>3136</v>
      </c>
      <c r="C2238" s="429" t="str">
        <f t="shared" si="205"/>
        <v>石嘴山市深阳蓝光市政工程有限公司</v>
      </c>
      <c r="D2238" s="1074" t="s">
        <v>3172</v>
      </c>
      <c r="E2238" s="777"/>
      <c r="F2238" s="777"/>
      <c r="G2238" s="777"/>
      <c r="H2238" s="1165"/>
      <c r="I2238" s="1165"/>
      <c r="J2238" s="1165"/>
      <c r="K2238" s="1165"/>
      <c r="X2238" s="501" t="b">
        <f t="shared" si="206"/>
        <v>1</v>
      </c>
    </row>
    <row r="2239" hidden="1" outlineLevel="2" spans="2:24">
      <c r="B2239" s="1078" t="s">
        <v>3136</v>
      </c>
      <c r="C2239" s="429" t="str">
        <f t="shared" si="205"/>
        <v>石嘴山市深阳蓝光市政工程有限公司</v>
      </c>
      <c r="D2239" s="1074" t="s">
        <v>3172</v>
      </c>
      <c r="E2239" s="777"/>
      <c r="F2239" s="777"/>
      <c r="G2239" s="777"/>
      <c r="H2239" s="1165"/>
      <c r="I2239" s="1165"/>
      <c r="J2239" s="1165"/>
      <c r="K2239" s="1165"/>
      <c r="X2239" s="501" t="b">
        <f t="shared" si="206"/>
        <v>1</v>
      </c>
    </row>
    <row r="2240" hidden="1" outlineLevel="2" spans="2:24">
      <c r="B2240" s="1078" t="s">
        <v>3136</v>
      </c>
      <c r="C2240" s="429" t="str">
        <f t="shared" si="205"/>
        <v>石嘴山市深阳蓝光市政工程有限公司</v>
      </c>
      <c r="D2240" s="1074" t="s">
        <v>3172</v>
      </c>
      <c r="E2240" s="777"/>
      <c r="F2240" s="777"/>
      <c r="G2240" s="777"/>
      <c r="H2240" s="1165"/>
      <c r="I2240" s="1165"/>
      <c r="J2240" s="1165"/>
      <c r="K2240" s="1165"/>
      <c r="X2240" s="501" t="b">
        <f t="shared" si="206"/>
        <v>1</v>
      </c>
    </row>
    <row r="2241" hidden="1" outlineLevel="2" spans="2:24">
      <c r="B2241" s="1078" t="s">
        <v>3136</v>
      </c>
      <c r="C2241" s="429" t="str">
        <f t="shared" si="205"/>
        <v>石嘴山市深阳蓝光市政工程有限公司</v>
      </c>
      <c r="D2241" s="1074" t="s">
        <v>3172</v>
      </c>
      <c r="E2241" s="777"/>
      <c r="F2241" s="777"/>
      <c r="G2241" s="777"/>
      <c r="H2241" s="1165"/>
      <c r="I2241" s="1165"/>
      <c r="J2241" s="1165"/>
      <c r="K2241" s="1165"/>
      <c r="X2241" s="501" t="b">
        <f t="shared" si="206"/>
        <v>1</v>
      </c>
    </row>
    <row r="2242" hidden="1" outlineLevel="2" spans="2:24">
      <c r="B2242" s="1078" t="s">
        <v>3136</v>
      </c>
      <c r="C2242" s="429" t="str">
        <f t="shared" si="205"/>
        <v>石嘴山市深阳蓝光市政工程有限公司</v>
      </c>
      <c r="D2242" s="1074" t="s">
        <v>3172</v>
      </c>
      <c r="E2242" s="777"/>
      <c r="F2242" s="777"/>
      <c r="G2242" s="777"/>
      <c r="H2242" s="1165"/>
      <c r="I2242" s="1165"/>
      <c r="J2242" s="1165"/>
      <c r="K2242" s="1165"/>
      <c r="X2242" s="501" t="b">
        <f t="shared" si="206"/>
        <v>1</v>
      </c>
    </row>
    <row r="2243" hidden="1" outlineLevel="2" spans="2:24">
      <c r="B2243" s="1078" t="s">
        <v>3136</v>
      </c>
      <c r="C2243" s="429" t="str">
        <f t="shared" si="205"/>
        <v>石嘴山市深阳蓝光市政工程有限公司</v>
      </c>
      <c r="D2243" s="1074" t="s">
        <v>3172</v>
      </c>
      <c r="E2243" s="777"/>
      <c r="F2243" s="777"/>
      <c r="G2243" s="777"/>
      <c r="H2243" s="1165"/>
      <c r="I2243" s="1165"/>
      <c r="J2243" s="1165"/>
      <c r="K2243" s="1165"/>
      <c r="X2243" s="501" t="b">
        <f t="shared" si="206"/>
        <v>1</v>
      </c>
    </row>
    <row r="2244" hidden="1" outlineLevel="2" spans="2:24">
      <c r="B2244" s="1078" t="s">
        <v>3136</v>
      </c>
      <c r="C2244" s="429" t="str">
        <f t="shared" si="205"/>
        <v>石嘴山市深阳蓝光市政工程有限公司</v>
      </c>
      <c r="D2244" s="1074" t="s">
        <v>3172</v>
      </c>
      <c r="E2244" s="777"/>
      <c r="F2244" s="777"/>
      <c r="G2244" s="777"/>
      <c r="H2244" s="1165"/>
      <c r="I2244" s="1165"/>
      <c r="J2244" s="1165"/>
      <c r="K2244" s="1165"/>
      <c r="X2244" s="501" t="b">
        <f t="shared" si="206"/>
        <v>1</v>
      </c>
    </row>
    <row r="2245" hidden="1" outlineLevel="2" spans="2:24">
      <c r="B2245" s="1078" t="s">
        <v>3136</v>
      </c>
      <c r="C2245" s="429" t="str">
        <f t="shared" si="205"/>
        <v>石嘴山市深阳蓝光市政工程有限公司</v>
      </c>
      <c r="D2245" s="1074" t="s">
        <v>3172</v>
      </c>
      <c r="E2245" s="777"/>
      <c r="F2245" s="777"/>
      <c r="G2245" s="777"/>
      <c r="H2245" s="1165"/>
      <c r="I2245" s="1165"/>
      <c r="J2245" s="1165"/>
      <c r="K2245" s="1165"/>
      <c r="X2245" s="501" t="b">
        <f t="shared" si="206"/>
        <v>1</v>
      </c>
    </row>
    <row r="2246" hidden="1" outlineLevel="2" spans="2:24">
      <c r="B2246" s="1078" t="s">
        <v>3136</v>
      </c>
      <c r="C2246" s="429" t="str">
        <f t="shared" si="205"/>
        <v>石嘴山市深阳蓝光市政工程有限公司</v>
      </c>
      <c r="D2246" s="1074" t="s">
        <v>3172</v>
      </c>
      <c r="E2246" s="1134"/>
      <c r="F2246" s="1134"/>
      <c r="G2246" s="1134"/>
      <c r="H2246" s="1165"/>
      <c r="I2246" s="1165"/>
      <c r="J2246" s="1165"/>
      <c r="K2246" s="1165"/>
      <c r="X2246" s="501" t="b">
        <f t="shared" si="206"/>
        <v>1</v>
      </c>
    </row>
    <row r="2247" hidden="1" outlineLevel="2" spans="2:24">
      <c r="B2247" s="1078" t="s">
        <v>3136</v>
      </c>
      <c r="C2247" s="429" t="str">
        <f t="shared" si="205"/>
        <v>石嘴山市深阳蓝光市政工程有限公司</v>
      </c>
      <c r="D2247" s="1074" t="s">
        <v>3172</v>
      </c>
      <c r="E2247" s="1134"/>
      <c r="F2247" s="1134"/>
      <c r="G2247" s="1134"/>
      <c r="H2247" s="1165"/>
      <c r="I2247" s="1165"/>
      <c r="J2247" s="1165"/>
      <c r="K2247" s="1165"/>
      <c r="X2247" s="501" t="b">
        <f t="shared" si="206"/>
        <v>1</v>
      </c>
    </row>
    <row r="2248" hidden="1" outlineLevel="2" spans="1:24">
      <c r="A2248" s="85" t="s">
        <v>1580</v>
      </c>
      <c r="B2248" s="1078" t="s">
        <v>3136</v>
      </c>
      <c r="C2248" s="429" t="str">
        <f t="shared" si="205"/>
        <v>石嘴山市深阳蓝光市政工程有限公司</v>
      </c>
      <c r="D2248" s="1074" t="s">
        <v>3172</v>
      </c>
      <c r="E2248" s="1157" t="s">
        <v>1580</v>
      </c>
      <c r="F2248" s="660"/>
      <c r="G2248" s="945">
        <f>SUM(G2238:G2247)</f>
        <v>0</v>
      </c>
      <c r="H2248" s="523"/>
      <c r="I2248" s="945">
        <f>SUM(I2238:I2247)</f>
        <v>0</v>
      </c>
      <c r="J2248" s="945">
        <f>SUM(J2238:J2247)</f>
        <v>0</v>
      </c>
      <c r="K2248" s="523"/>
      <c r="X2248" s="501" t="b">
        <f t="shared" si="206"/>
        <v>1</v>
      </c>
    </row>
    <row r="2249" hidden="1" outlineLevel="2" spans="1:24">
      <c r="A2249" s="85" t="s">
        <v>3178</v>
      </c>
      <c r="B2249" s="1078" t="s">
        <v>3136</v>
      </c>
      <c r="C2249" s="429" t="str">
        <f t="shared" si="205"/>
        <v>石嘴山市深阳蓝光市政工程有限公司</v>
      </c>
      <c r="D2249" s="1074" t="s">
        <v>3172</v>
      </c>
      <c r="E2249" s="1148" t="s">
        <v>3178</v>
      </c>
      <c r="F2249" s="485"/>
      <c r="G2249" s="485"/>
      <c r="H2249" s="485"/>
      <c r="I2249" s="485"/>
      <c r="J2249" s="485"/>
      <c r="K2249" s="485"/>
      <c r="X2249" s="501" t="b">
        <f t="shared" si="206"/>
        <v>1</v>
      </c>
    </row>
    <row r="2250" hidden="1" outlineLevel="2" spans="2:24">
      <c r="B2250" s="1078" t="s">
        <v>3136</v>
      </c>
      <c r="C2250" s="429" t="str">
        <f t="shared" si="205"/>
        <v>石嘴山市深阳蓝光市政工程有限公司</v>
      </c>
      <c r="D2250" s="1074" t="s">
        <v>3172</v>
      </c>
      <c r="E2250" s="885" t="s">
        <v>3179</v>
      </c>
      <c r="F2250" s="451"/>
      <c r="G2250" s="451"/>
      <c r="X2250" s="501" t="b">
        <f t="shared" si="206"/>
        <v>0</v>
      </c>
    </row>
    <row r="2251" spans="1:24">
      <c r="A2251" s="85" t="s">
        <v>3180</v>
      </c>
      <c r="B2251" s="919" t="s">
        <v>3181</v>
      </c>
      <c r="C2251" s="429" t="str">
        <f t="shared" si="205"/>
        <v>石嘴山市深阳蓝光市政工程有限公司</v>
      </c>
      <c r="D2251" s="1074" t="s">
        <v>3182</v>
      </c>
      <c r="E2251" s="65" t="s">
        <v>3183</v>
      </c>
      <c r="F2251" s="451"/>
      <c r="G2251" s="451"/>
      <c r="X2251" s="501" t="b">
        <f t="shared" si="206"/>
        <v>1</v>
      </c>
    </row>
    <row r="2252" outlineLevel="2" spans="1:24">
      <c r="A2252" s="85" t="s">
        <v>3182</v>
      </c>
      <c r="B2252" s="919" t="s">
        <v>3181</v>
      </c>
      <c r="C2252" s="429" t="str">
        <f t="shared" si="205"/>
        <v>石嘴山市深阳蓝光市政工程有限公司</v>
      </c>
      <c r="D2252" s="1074" t="s">
        <v>3182</v>
      </c>
      <c r="E2252" s="748" t="s">
        <v>3184</v>
      </c>
      <c r="F2252" s="485"/>
      <c r="G2252" s="485"/>
      <c r="X2252" s="501" t="b">
        <f t="shared" si="206"/>
        <v>1</v>
      </c>
    </row>
    <row r="2253" outlineLevel="2" spans="1:24">
      <c r="A2253" s="85" t="s">
        <v>314</v>
      </c>
      <c r="B2253" s="919" t="s">
        <v>3181</v>
      </c>
      <c r="C2253" s="429" t="str">
        <f t="shared" si="205"/>
        <v>石嘴山市深阳蓝光市政工程有限公司</v>
      </c>
      <c r="D2253" s="1074" t="s">
        <v>3182</v>
      </c>
      <c r="E2253" s="143" t="s">
        <v>3185</v>
      </c>
      <c r="F2253" s="143" t="s">
        <v>515</v>
      </c>
      <c r="G2253" s="143" t="s">
        <v>670</v>
      </c>
      <c r="X2253" s="501" t="b">
        <f t="shared" si="206"/>
        <v>1</v>
      </c>
    </row>
    <row r="2254" outlineLevel="2" spans="2:24">
      <c r="B2254" s="919" t="s">
        <v>3181</v>
      </c>
      <c r="C2254" s="429" t="str">
        <f t="shared" si="205"/>
        <v>石嘴山市深阳蓝光市政工程有限公司</v>
      </c>
      <c r="D2254" s="1074" t="s">
        <v>3182</v>
      </c>
      <c r="E2254" s="1178" t="s">
        <v>3186</v>
      </c>
      <c r="F2254" s="732"/>
      <c r="G2254" s="1179"/>
      <c r="X2254" s="501" t="b">
        <f t="shared" si="206"/>
        <v>0</v>
      </c>
    </row>
    <row r="2255" outlineLevel="2" spans="2:24">
      <c r="B2255" s="919" t="s">
        <v>3181</v>
      </c>
      <c r="C2255" s="429" t="str">
        <f t="shared" si="205"/>
        <v>石嘴山市深阳蓝光市政工程有限公司</v>
      </c>
      <c r="D2255" s="1074" t="s">
        <v>3182</v>
      </c>
      <c r="E2255" s="1168"/>
      <c r="F2255" s="1179"/>
      <c r="G2255" s="1179"/>
      <c r="X2255" s="501" t="b">
        <f t="shared" si="206"/>
        <v>1</v>
      </c>
    </row>
    <row r="2256" outlineLevel="2" spans="2:24">
      <c r="B2256" s="919" t="s">
        <v>3181</v>
      </c>
      <c r="C2256" s="429" t="str">
        <f t="shared" si="205"/>
        <v>石嘴山市深阳蓝光市政工程有限公司</v>
      </c>
      <c r="D2256" s="1074" t="s">
        <v>3182</v>
      </c>
      <c r="E2256" s="1168"/>
      <c r="F2256" s="1179"/>
      <c r="G2256" s="1179"/>
      <c r="X2256" s="501" t="b">
        <f t="shared" si="206"/>
        <v>1</v>
      </c>
    </row>
    <row r="2257" outlineLevel="2" spans="2:24">
      <c r="B2257" s="919" t="s">
        <v>3181</v>
      </c>
      <c r="C2257" s="429" t="str">
        <f t="shared" si="205"/>
        <v>石嘴山市深阳蓝光市政工程有限公司</v>
      </c>
      <c r="D2257" s="1074" t="s">
        <v>3182</v>
      </c>
      <c r="E2257" s="1168"/>
      <c r="F2257" s="1179"/>
      <c r="G2257" s="1179"/>
      <c r="X2257" s="501" t="b">
        <f t="shared" si="206"/>
        <v>1</v>
      </c>
    </row>
    <row r="2258" outlineLevel="2" spans="2:24">
      <c r="B2258" s="919" t="s">
        <v>3181</v>
      </c>
      <c r="C2258" s="429" t="str">
        <f t="shared" si="205"/>
        <v>石嘴山市深阳蓝光市政工程有限公司</v>
      </c>
      <c r="D2258" s="1074" t="s">
        <v>3182</v>
      </c>
      <c r="E2258" s="1168"/>
      <c r="F2258" s="1179"/>
      <c r="G2258" s="1179"/>
      <c r="X2258" s="501" t="b">
        <f t="shared" si="206"/>
        <v>1</v>
      </c>
    </row>
    <row r="2259" outlineLevel="2" spans="2:24">
      <c r="B2259" s="919" t="s">
        <v>3181</v>
      </c>
      <c r="C2259" s="429" t="str">
        <f t="shared" si="205"/>
        <v>石嘴山市深阳蓝光市政工程有限公司</v>
      </c>
      <c r="D2259" s="1074" t="s">
        <v>3182</v>
      </c>
      <c r="E2259" s="1168"/>
      <c r="F2259" s="1179"/>
      <c r="G2259" s="1179"/>
      <c r="X2259" s="501" t="b">
        <f t="shared" si="206"/>
        <v>1</v>
      </c>
    </row>
    <row r="2260" outlineLevel="2" spans="2:24">
      <c r="B2260" s="919" t="s">
        <v>3181</v>
      </c>
      <c r="C2260" s="429" t="str">
        <f t="shared" si="205"/>
        <v>石嘴山市深阳蓝光市政工程有限公司</v>
      </c>
      <c r="D2260" s="1074" t="s">
        <v>3182</v>
      </c>
      <c r="E2260" s="1168"/>
      <c r="F2260" s="1179"/>
      <c r="G2260" s="1179"/>
      <c r="X2260" s="501" t="b">
        <f t="shared" si="206"/>
        <v>1</v>
      </c>
    </row>
    <row r="2261" outlineLevel="2" spans="2:24">
      <c r="B2261" s="919" t="s">
        <v>3181</v>
      </c>
      <c r="C2261" s="429" t="str">
        <f t="shared" si="205"/>
        <v>石嘴山市深阳蓝光市政工程有限公司</v>
      </c>
      <c r="D2261" s="1074" t="s">
        <v>3182</v>
      </c>
      <c r="E2261" s="1169"/>
      <c r="F2261" s="732"/>
      <c r="G2261" s="732"/>
      <c r="X2261" s="501" t="b">
        <f t="shared" si="206"/>
        <v>1</v>
      </c>
    </row>
    <row r="2262" outlineLevel="2" spans="2:24">
      <c r="B2262" s="919" t="s">
        <v>3181</v>
      </c>
      <c r="C2262" s="429" t="str">
        <f t="shared" si="205"/>
        <v>石嘴山市深阳蓝光市政工程有限公司</v>
      </c>
      <c r="D2262" s="1074" t="s">
        <v>3182</v>
      </c>
      <c r="E2262" s="1169"/>
      <c r="F2262" s="732"/>
      <c r="G2262" s="732"/>
      <c r="X2262" s="501" t="b">
        <f t="shared" si="206"/>
        <v>1</v>
      </c>
    </row>
    <row r="2263" outlineLevel="2" spans="1:24">
      <c r="A2263" s="85" t="s">
        <v>346</v>
      </c>
      <c r="B2263" s="919" t="s">
        <v>3181</v>
      </c>
      <c r="C2263" s="429" t="str">
        <f t="shared" si="205"/>
        <v>石嘴山市深阳蓝光市政工程有限公司</v>
      </c>
      <c r="D2263" s="1074" t="s">
        <v>3182</v>
      </c>
      <c r="E2263" s="1170" t="s">
        <v>3187</v>
      </c>
      <c r="F2263" s="636">
        <f>SUM(F2254:F2262)</f>
        <v>0</v>
      </c>
      <c r="G2263" s="636">
        <f>SUM(G2254:G2262)</f>
        <v>0</v>
      </c>
      <c r="X2263" s="501" t="b">
        <f t="shared" si="206"/>
        <v>1</v>
      </c>
    </row>
    <row r="2264" outlineLevel="2" spans="1:24">
      <c r="A2264" s="85" t="s">
        <v>1444</v>
      </c>
      <c r="B2264" s="919" t="s">
        <v>3181</v>
      </c>
      <c r="C2264" s="429" t="str">
        <f t="shared" si="205"/>
        <v>石嘴山市深阳蓝光市政工程有限公司</v>
      </c>
      <c r="D2264" s="1074" t="s">
        <v>3182</v>
      </c>
      <c r="E2264" s="1060" t="s">
        <v>1444</v>
      </c>
      <c r="F2264" s="917">
        <f>审定资负表!G18</f>
        <v>0</v>
      </c>
      <c r="G2264" s="917">
        <f>审定资负表!H18</f>
        <v>0</v>
      </c>
      <c r="X2264" s="501" t="b">
        <f t="shared" si="206"/>
        <v>1</v>
      </c>
    </row>
    <row r="2265" outlineLevel="1" collapsed="1" spans="1:24">
      <c r="A2265" s="85" t="s">
        <v>1394</v>
      </c>
      <c r="B2265" s="919" t="s">
        <v>3181</v>
      </c>
      <c r="C2265" s="429" t="str">
        <f t="shared" si="205"/>
        <v>石嘴山市深阳蓝光市政工程有限公司</v>
      </c>
      <c r="D2265" s="1074" t="s">
        <v>3182</v>
      </c>
      <c r="E2265" s="1060" t="s">
        <v>1394</v>
      </c>
      <c r="F2265" s="87">
        <f>ROUND(F2263-F2264,2)</f>
        <v>0</v>
      </c>
      <c r="G2265" s="87">
        <f>ROUND(G2263-G2264,2)</f>
        <v>0</v>
      </c>
      <c r="X2265" s="501" t="b">
        <f t="shared" si="206"/>
        <v>1</v>
      </c>
    </row>
    <row r="2266" hidden="1" outlineLevel="2" spans="2:24">
      <c r="B2266" s="919" t="s">
        <v>3181</v>
      </c>
      <c r="C2266" s="429" t="str">
        <f t="shared" si="205"/>
        <v>石嘴山市深阳蓝光市政工程有限公司</v>
      </c>
      <c r="D2266" s="1074" t="s">
        <v>3182</v>
      </c>
      <c r="E2266" s="748"/>
      <c r="F2266" s="485"/>
      <c r="G2266" s="485"/>
      <c r="X2266" s="501" t="b">
        <f t="shared" si="206"/>
        <v>1</v>
      </c>
    </row>
    <row r="2267" hidden="1" outlineLevel="2" spans="2:24">
      <c r="B2267" s="919" t="s">
        <v>3181</v>
      </c>
      <c r="C2267" s="429" t="str">
        <f t="shared" si="205"/>
        <v>石嘴山市深阳蓝光市政工程有限公司</v>
      </c>
      <c r="D2267" s="1074" t="s">
        <v>3182</v>
      </c>
      <c r="E2267" s="149"/>
      <c r="F2267" s="485"/>
      <c r="G2267" s="485"/>
      <c r="X2267" s="501" t="b">
        <f t="shared" si="206"/>
        <v>1</v>
      </c>
    </row>
    <row r="2268" hidden="1" outlineLevel="2" spans="2:24">
      <c r="B2268" s="919" t="s">
        <v>3181</v>
      </c>
      <c r="C2268" s="429" t="str">
        <f t="shared" si="205"/>
        <v>石嘴山市深阳蓝光市政工程有限公司</v>
      </c>
      <c r="D2268" s="1074" t="s">
        <v>3182</v>
      </c>
      <c r="E2268" s="149"/>
      <c r="F2268" s="485"/>
      <c r="G2268" s="485"/>
      <c r="X2268" s="501" t="b">
        <f t="shared" si="206"/>
        <v>1</v>
      </c>
    </row>
    <row r="2269" hidden="1" outlineLevel="2" spans="2:24">
      <c r="B2269" s="919" t="s">
        <v>3181</v>
      </c>
      <c r="C2269" s="429" t="str">
        <f t="shared" si="205"/>
        <v>石嘴山市深阳蓝光市政工程有限公司</v>
      </c>
      <c r="D2269" s="1074"/>
      <c r="E2269" s="149"/>
      <c r="F2269" s="485"/>
      <c r="G2269" s="485"/>
      <c r="X2269" s="501" t="b">
        <f t="shared" si="206"/>
        <v>1</v>
      </c>
    </row>
    <row r="2270" hidden="1" outlineLevel="2" spans="1:24">
      <c r="A2270" s="85" t="s">
        <v>2315</v>
      </c>
      <c r="B2270" s="919" t="s">
        <v>3181</v>
      </c>
      <c r="C2270" s="429" t="str">
        <f t="shared" si="205"/>
        <v>石嘴山市深阳蓝光市政工程有限公司</v>
      </c>
      <c r="D2270" s="1074"/>
      <c r="E2270" s="1154" t="s">
        <v>2334</v>
      </c>
      <c r="F2270" s="471"/>
      <c r="G2270" s="471"/>
      <c r="H2270" s="102"/>
      <c r="X2270" s="501" t="b">
        <f t="shared" si="206"/>
        <v>1</v>
      </c>
    </row>
    <row r="2271" hidden="1" outlineLevel="2" spans="2:24">
      <c r="B2271" s="919" t="s">
        <v>3181</v>
      </c>
      <c r="C2271" s="429" t="str">
        <f t="shared" si="205"/>
        <v>石嘴山市深阳蓝光市政工程有限公司</v>
      </c>
      <c r="D2271" s="1074"/>
      <c r="E2271" s="621"/>
      <c r="F2271" s="451"/>
      <c r="G2271" s="451"/>
      <c r="X2271" s="501" t="b">
        <f t="shared" si="206"/>
        <v>1</v>
      </c>
    </row>
    <row r="2272" s="411" customFormat="1" spans="1:24">
      <c r="A2272" s="411" t="s">
        <v>1831</v>
      </c>
      <c r="B2272" s="428" t="s">
        <v>3188</v>
      </c>
      <c r="C2272" s="429" t="str">
        <f t="shared" si="205"/>
        <v>石嘴山市深阳蓝光市政工程有限公司</v>
      </c>
      <c r="D2272" s="1180" t="s">
        <v>1831</v>
      </c>
      <c r="E2272" s="65" t="s">
        <v>3189</v>
      </c>
      <c r="F2272" s="1181"/>
      <c r="G2272" s="1118" t="s">
        <v>2921</v>
      </c>
      <c r="H2272" s="1181"/>
      <c r="X2272" s="501" t="b">
        <f t="shared" si="206"/>
        <v>1</v>
      </c>
    </row>
    <row r="2273" s="411" customFormat="1" outlineLevel="2" spans="1:24">
      <c r="A2273" s="411" t="s">
        <v>3001</v>
      </c>
      <c r="B2273" s="428" t="s">
        <v>3188</v>
      </c>
      <c r="C2273" s="429" t="str">
        <f t="shared" si="205"/>
        <v>石嘴山市深阳蓝光市政工程有限公司</v>
      </c>
      <c r="D2273" s="1180" t="s">
        <v>1831</v>
      </c>
      <c r="E2273" s="1182" t="s">
        <v>3001</v>
      </c>
      <c r="F2273" s="1182" t="s">
        <v>315</v>
      </c>
      <c r="G2273" s="1182" t="s">
        <v>1579</v>
      </c>
      <c r="X2273" s="501" t="b">
        <f t="shared" si="206"/>
        <v>1</v>
      </c>
    </row>
    <row r="2274" s="411" customFormat="1" outlineLevel="2" spans="1:24">
      <c r="A2274" s="411" t="s">
        <v>982</v>
      </c>
      <c r="B2274" s="428" t="s">
        <v>3188</v>
      </c>
      <c r="C2274" s="429" t="str">
        <f t="shared" ref="C2274:C2337" si="208">$G$1</f>
        <v>石嘴山市深阳蓝光市政工程有限公司</v>
      </c>
      <c r="D2274" s="1180" t="s">
        <v>1831</v>
      </c>
      <c r="E2274" s="1183" t="s">
        <v>982</v>
      </c>
      <c r="F2274" s="132"/>
      <c r="G2274" s="477">
        <f>报表附注合并期初用!E1957</f>
        <v>0</v>
      </c>
      <c r="X2274" s="501" t="b">
        <f t="shared" ref="X2274:X2337" si="209">EXACT(A2274,E2274)</f>
        <v>1</v>
      </c>
    </row>
    <row r="2275" s="411" customFormat="1" outlineLevel="2" spans="1:24">
      <c r="A2275" s="411" t="s">
        <v>984</v>
      </c>
      <c r="B2275" s="428" t="s">
        <v>3188</v>
      </c>
      <c r="C2275" s="429" t="str">
        <f t="shared" si="208"/>
        <v>石嘴山市深阳蓝光市政工程有限公司</v>
      </c>
      <c r="D2275" s="1180" t="s">
        <v>1831</v>
      </c>
      <c r="E2275" s="1183" t="s">
        <v>984</v>
      </c>
      <c r="F2275" s="132"/>
      <c r="G2275" s="477">
        <f>报表附注合并期初用!E1958</f>
        <v>0</v>
      </c>
      <c r="X2275" s="501" t="b">
        <f t="shared" si="209"/>
        <v>1</v>
      </c>
    </row>
    <row r="2276" s="411" customFormat="1" outlineLevel="2" spans="1:24">
      <c r="A2276" s="411" t="s">
        <v>986</v>
      </c>
      <c r="B2276" s="428" t="s">
        <v>3188</v>
      </c>
      <c r="C2276" s="429" t="str">
        <f t="shared" si="208"/>
        <v>石嘴山市深阳蓝光市政工程有限公司</v>
      </c>
      <c r="D2276" s="1180" t="s">
        <v>1831</v>
      </c>
      <c r="E2276" s="1184" t="s">
        <v>986</v>
      </c>
      <c r="F2276" s="132"/>
      <c r="G2276" s="477">
        <f>报表附注合并期初用!E1959</f>
        <v>0</v>
      </c>
      <c r="X2276" s="501" t="b">
        <f t="shared" si="209"/>
        <v>1</v>
      </c>
    </row>
    <row r="2277" s="411" customFormat="1" outlineLevel="2" spans="1:24">
      <c r="A2277" s="411" t="s">
        <v>988</v>
      </c>
      <c r="B2277" s="428" t="s">
        <v>3188</v>
      </c>
      <c r="C2277" s="429" t="str">
        <f t="shared" si="208"/>
        <v>石嘴山市深阳蓝光市政工程有限公司</v>
      </c>
      <c r="D2277" s="1180" t="s">
        <v>1831</v>
      </c>
      <c r="E2277" s="1183" t="s">
        <v>988</v>
      </c>
      <c r="F2277" s="132"/>
      <c r="G2277" s="477">
        <f>报表附注合并期初用!E1960</f>
        <v>0</v>
      </c>
      <c r="X2277" s="501" t="b">
        <f t="shared" si="209"/>
        <v>1</v>
      </c>
    </row>
    <row r="2278" s="411" customFormat="1" outlineLevel="2" spans="1:24">
      <c r="A2278" s="411" t="s">
        <v>1762</v>
      </c>
      <c r="B2278" s="428" t="s">
        <v>3188</v>
      </c>
      <c r="C2278" s="429" t="str">
        <f t="shared" si="208"/>
        <v>石嘴山市深阳蓝光市政工程有限公司</v>
      </c>
      <c r="D2278" s="1180" t="s">
        <v>1831</v>
      </c>
      <c r="E2278" s="1182" t="s">
        <v>3004</v>
      </c>
      <c r="F2278" s="135">
        <f>SUM(F2274:F2277)</f>
        <v>0</v>
      </c>
      <c r="G2278" s="135">
        <f>SUM(G2274:G2277)</f>
        <v>0</v>
      </c>
      <c r="X2278" s="501" t="b">
        <f t="shared" si="209"/>
        <v>1</v>
      </c>
    </row>
    <row r="2279" s="411" customFormat="1" outlineLevel="2" spans="1:24">
      <c r="A2279" s="411" t="s">
        <v>1444</v>
      </c>
      <c r="B2279" s="428" t="s">
        <v>3188</v>
      </c>
      <c r="C2279" s="429" t="str">
        <f t="shared" si="208"/>
        <v>石嘴山市深阳蓝光市政工程有限公司</v>
      </c>
      <c r="D2279" s="1180" t="s">
        <v>1831</v>
      </c>
      <c r="E2279" s="1060" t="s">
        <v>1444</v>
      </c>
      <c r="F2279" s="566">
        <f>审定资负表!G23</f>
        <v>0</v>
      </c>
      <c r="G2279" s="566">
        <f>审定资负表!H23</f>
        <v>0</v>
      </c>
      <c r="X2279" s="501" t="b">
        <f t="shared" si="209"/>
        <v>1</v>
      </c>
    </row>
    <row r="2280" s="411" customFormat="1" outlineLevel="1" collapsed="1" spans="1:24">
      <c r="A2280" s="411" t="s">
        <v>1394</v>
      </c>
      <c r="B2280" s="428" t="s">
        <v>3188</v>
      </c>
      <c r="C2280" s="429" t="str">
        <f t="shared" si="208"/>
        <v>石嘴山市深阳蓝光市政工程有限公司</v>
      </c>
      <c r="D2280" s="1180" t="s">
        <v>1831</v>
      </c>
      <c r="E2280" s="1060" t="s">
        <v>1394</v>
      </c>
      <c r="F2280" s="87">
        <f>ROUND(F2278-F2279,2)</f>
        <v>0</v>
      </c>
      <c r="G2280" s="87">
        <f>ROUND(G2278-G2279,2)</f>
        <v>0</v>
      </c>
      <c r="X2280" s="501" t="b">
        <f t="shared" si="209"/>
        <v>1</v>
      </c>
    </row>
    <row r="2281" s="411" customFormat="1" hidden="1" outlineLevel="2" spans="2:24">
      <c r="B2281" s="428" t="s">
        <v>3188</v>
      </c>
      <c r="C2281" s="429" t="str">
        <f t="shared" si="208"/>
        <v>石嘴山市深阳蓝光市政工程有限公司</v>
      </c>
      <c r="D2281" s="1180" t="s">
        <v>1831</v>
      </c>
      <c r="E2281" s="1185"/>
      <c r="F2281" s="1186"/>
      <c r="G2281" s="1186"/>
      <c r="H2281" s="1186"/>
      <c r="X2281" s="501" t="b">
        <f t="shared" si="209"/>
        <v>1</v>
      </c>
    </row>
    <row r="2282" s="411" customFormat="1" hidden="1" outlineLevel="2" spans="1:24">
      <c r="A2282" s="411" t="s">
        <v>3190</v>
      </c>
      <c r="B2282" s="428" t="s">
        <v>3188</v>
      </c>
      <c r="C2282" s="429" t="str">
        <f t="shared" si="208"/>
        <v>石嘴山市深阳蓝光市政工程有限公司</v>
      </c>
      <c r="D2282" s="1180" t="s">
        <v>3191</v>
      </c>
      <c r="E2282" s="885" t="s">
        <v>3192</v>
      </c>
      <c r="F2282" s="1186"/>
      <c r="G2282" s="1186"/>
      <c r="H2282" s="1186"/>
      <c r="X2282" s="501" t="b">
        <f t="shared" si="209"/>
        <v>0</v>
      </c>
    </row>
    <row r="2283" s="411" customFormat="1" hidden="1" outlineLevel="2" spans="1:24">
      <c r="A2283" s="411" t="s">
        <v>992</v>
      </c>
      <c r="B2283" s="428" t="s">
        <v>3188</v>
      </c>
      <c r="C2283" s="429" t="str">
        <f t="shared" si="208"/>
        <v>石嘴山市深阳蓝光市政工程有限公司</v>
      </c>
      <c r="D2283" s="1180" t="s">
        <v>3191</v>
      </c>
      <c r="E2283" s="581" t="s">
        <v>992</v>
      </c>
      <c r="F2283" s="613" t="s">
        <v>3001</v>
      </c>
      <c r="G2283" s="613" t="s">
        <v>3193</v>
      </c>
      <c r="H2283" s="613" t="s">
        <v>3194</v>
      </c>
      <c r="I2283" s="581" t="s">
        <v>3148</v>
      </c>
      <c r="J2283" s="581" t="s">
        <v>3149</v>
      </c>
      <c r="K2283" s="1189" t="s">
        <v>515</v>
      </c>
      <c r="L2283" s="1190"/>
      <c r="M2283" s="1190"/>
      <c r="N2283" s="1191"/>
      <c r="O2283" s="1189" t="s">
        <v>670</v>
      </c>
      <c r="P2283" s="1190"/>
      <c r="Q2283" s="1190"/>
      <c r="R2283" s="1191"/>
      <c r="X2283" s="501" t="b">
        <f t="shared" si="209"/>
        <v>1</v>
      </c>
    </row>
    <row r="2284" s="411" customFormat="1" hidden="1" outlineLevel="2" spans="2:24">
      <c r="B2284" s="428" t="s">
        <v>3188</v>
      </c>
      <c r="C2284" s="429" t="str">
        <f t="shared" si="208"/>
        <v>石嘴山市深阳蓝光市政工程有限公司</v>
      </c>
      <c r="D2284" s="1180" t="s">
        <v>3195</v>
      </c>
      <c r="E2284" s="581"/>
      <c r="F2284" s="581"/>
      <c r="G2284" s="581"/>
      <c r="H2284" s="581"/>
      <c r="I2284" s="581"/>
      <c r="J2284" s="581"/>
      <c r="K2284" s="581" t="s">
        <v>3150</v>
      </c>
      <c r="L2284" s="581" t="s">
        <v>3151</v>
      </c>
      <c r="M2284" s="581" t="s">
        <v>3152</v>
      </c>
      <c r="N2284" s="581" t="s">
        <v>3153</v>
      </c>
      <c r="O2284" s="581" t="s">
        <v>3150</v>
      </c>
      <c r="P2284" s="581" t="s">
        <v>3151</v>
      </c>
      <c r="Q2284" s="581" t="s">
        <v>3152</v>
      </c>
      <c r="R2284" s="581" t="s">
        <v>3153</v>
      </c>
      <c r="X2284" s="501" t="b">
        <f t="shared" si="209"/>
        <v>1</v>
      </c>
    </row>
    <row r="2285" s="411" customFormat="1" hidden="1" outlineLevel="2" spans="2:24">
      <c r="B2285" s="428" t="s">
        <v>3188</v>
      </c>
      <c r="C2285" s="429" t="str">
        <f t="shared" si="208"/>
        <v>石嘴山市深阳蓝光市政工程有限公司</v>
      </c>
      <c r="D2285" s="1180" t="s">
        <v>3195</v>
      </c>
      <c r="E2285" s="777"/>
      <c r="F2285" s="777"/>
      <c r="G2285" s="777"/>
      <c r="H2285" s="777"/>
      <c r="I2285" s="777"/>
      <c r="J2285" s="777"/>
      <c r="K2285" s="1192"/>
      <c r="L2285" s="990"/>
      <c r="M2285" s="990"/>
      <c r="N2285" s="990"/>
      <c r="O2285" s="1192"/>
      <c r="P2285" s="990"/>
      <c r="Q2285" s="990"/>
      <c r="R2285" s="990"/>
      <c r="X2285" s="501" t="b">
        <f t="shared" si="209"/>
        <v>1</v>
      </c>
    </row>
    <row r="2286" s="411" customFormat="1" hidden="1" outlineLevel="2" spans="2:24">
      <c r="B2286" s="428" t="s">
        <v>3188</v>
      </c>
      <c r="C2286" s="429" t="str">
        <f t="shared" si="208"/>
        <v>石嘴山市深阳蓝光市政工程有限公司</v>
      </c>
      <c r="D2286" s="1180" t="s">
        <v>3195</v>
      </c>
      <c r="E2286" s="777"/>
      <c r="F2286" s="777"/>
      <c r="G2286" s="777"/>
      <c r="H2286" s="777"/>
      <c r="I2286" s="777"/>
      <c r="J2286" s="777"/>
      <c r="K2286" s="1192"/>
      <c r="L2286" s="990"/>
      <c r="M2286" s="990"/>
      <c r="N2286" s="990"/>
      <c r="O2286" s="1192"/>
      <c r="P2286" s="990"/>
      <c r="Q2286" s="990"/>
      <c r="R2286" s="990"/>
      <c r="X2286" s="501" t="b">
        <f t="shared" si="209"/>
        <v>1</v>
      </c>
    </row>
    <row r="2287" s="411" customFormat="1" hidden="1" outlineLevel="2" spans="2:24">
      <c r="B2287" s="428" t="s">
        <v>3188</v>
      </c>
      <c r="C2287" s="429" t="str">
        <f t="shared" si="208"/>
        <v>石嘴山市深阳蓝光市政工程有限公司</v>
      </c>
      <c r="D2287" s="1180" t="s">
        <v>3195</v>
      </c>
      <c r="E2287" s="777"/>
      <c r="F2287" s="777"/>
      <c r="G2287" s="777"/>
      <c r="H2287" s="777"/>
      <c r="I2287" s="777"/>
      <c r="J2287" s="777"/>
      <c r="K2287" s="1192"/>
      <c r="L2287" s="990"/>
      <c r="M2287" s="990"/>
      <c r="N2287" s="990"/>
      <c r="O2287" s="1192"/>
      <c r="P2287" s="990"/>
      <c r="Q2287" s="990"/>
      <c r="R2287" s="990"/>
      <c r="X2287" s="501" t="b">
        <f t="shared" si="209"/>
        <v>1</v>
      </c>
    </row>
    <row r="2288" s="411" customFormat="1" hidden="1" outlineLevel="2" spans="2:24">
      <c r="B2288" s="428" t="s">
        <v>3188</v>
      </c>
      <c r="C2288" s="429" t="str">
        <f t="shared" si="208"/>
        <v>石嘴山市深阳蓝光市政工程有限公司</v>
      </c>
      <c r="D2288" s="1180" t="s">
        <v>3195</v>
      </c>
      <c r="E2288" s="777"/>
      <c r="F2288" s="777"/>
      <c r="G2288" s="777"/>
      <c r="H2288" s="777"/>
      <c r="I2288" s="777"/>
      <c r="J2288" s="777"/>
      <c r="K2288" s="1192"/>
      <c r="L2288" s="990"/>
      <c r="M2288" s="990"/>
      <c r="N2288" s="990"/>
      <c r="O2288" s="1192"/>
      <c r="P2288" s="990"/>
      <c r="Q2288" s="990"/>
      <c r="R2288" s="990"/>
      <c r="X2288" s="501" t="b">
        <f t="shared" si="209"/>
        <v>1</v>
      </c>
    </row>
    <row r="2289" s="411" customFormat="1" hidden="1" outlineLevel="2" spans="2:24">
      <c r="B2289" s="428" t="s">
        <v>3188</v>
      </c>
      <c r="C2289" s="429" t="str">
        <f t="shared" si="208"/>
        <v>石嘴山市深阳蓝光市政工程有限公司</v>
      </c>
      <c r="D2289" s="1180" t="s">
        <v>3195</v>
      </c>
      <c r="E2289" s="777"/>
      <c r="F2289" s="777"/>
      <c r="G2289" s="777"/>
      <c r="H2289" s="777"/>
      <c r="I2289" s="777"/>
      <c r="J2289" s="777"/>
      <c r="K2289" s="1192"/>
      <c r="L2289" s="990"/>
      <c r="M2289" s="990"/>
      <c r="N2289" s="990"/>
      <c r="O2289" s="1192"/>
      <c r="P2289" s="990"/>
      <c r="Q2289" s="990"/>
      <c r="R2289" s="990"/>
      <c r="X2289" s="501" t="b">
        <f t="shared" si="209"/>
        <v>1</v>
      </c>
    </row>
    <row r="2290" s="411" customFormat="1" hidden="1" outlineLevel="2" spans="2:24">
      <c r="B2290" s="428" t="s">
        <v>3188</v>
      </c>
      <c r="C2290" s="429" t="str">
        <f t="shared" si="208"/>
        <v>石嘴山市深阳蓝光市政工程有限公司</v>
      </c>
      <c r="D2290" s="1180" t="s">
        <v>3195</v>
      </c>
      <c r="E2290" s="777"/>
      <c r="F2290" s="777"/>
      <c r="G2290" s="777"/>
      <c r="H2290" s="777"/>
      <c r="I2290" s="777"/>
      <c r="J2290" s="777"/>
      <c r="K2290" s="1192"/>
      <c r="L2290" s="990"/>
      <c r="M2290" s="990"/>
      <c r="N2290" s="990"/>
      <c r="O2290" s="1192"/>
      <c r="P2290" s="990"/>
      <c r="Q2290" s="990"/>
      <c r="R2290" s="990"/>
      <c r="X2290" s="501" t="b">
        <f t="shared" si="209"/>
        <v>1</v>
      </c>
    </row>
    <row r="2291" s="411" customFormat="1" hidden="1" outlineLevel="2" spans="2:24">
      <c r="B2291" s="428" t="s">
        <v>3188</v>
      </c>
      <c r="C2291" s="429" t="str">
        <f t="shared" si="208"/>
        <v>石嘴山市深阳蓝光市政工程有限公司</v>
      </c>
      <c r="D2291" s="1180" t="s">
        <v>3195</v>
      </c>
      <c r="E2291" s="1187"/>
      <c r="F2291" s="1187"/>
      <c r="G2291" s="1187"/>
      <c r="H2291" s="1187"/>
      <c r="I2291" s="777"/>
      <c r="J2291" s="777"/>
      <c r="K2291" s="1192"/>
      <c r="L2291" s="990"/>
      <c r="M2291" s="990"/>
      <c r="N2291" s="990"/>
      <c r="O2291" s="1192"/>
      <c r="P2291" s="990"/>
      <c r="Q2291" s="990"/>
      <c r="R2291" s="990"/>
      <c r="X2291" s="501" t="b">
        <f t="shared" si="209"/>
        <v>1</v>
      </c>
    </row>
    <row r="2292" s="411" customFormat="1" hidden="1" outlineLevel="2" spans="2:24">
      <c r="B2292" s="428" t="s">
        <v>3188</v>
      </c>
      <c r="C2292" s="429" t="str">
        <f t="shared" si="208"/>
        <v>石嘴山市深阳蓝光市政工程有限公司</v>
      </c>
      <c r="D2292" s="1180" t="s">
        <v>3195</v>
      </c>
      <c r="E2292" s="777"/>
      <c r="F2292" s="777"/>
      <c r="G2292" s="777"/>
      <c r="H2292" s="777"/>
      <c r="I2292" s="777"/>
      <c r="J2292" s="777"/>
      <c r="K2292" s="1192"/>
      <c r="L2292" s="990"/>
      <c r="M2292" s="990"/>
      <c r="N2292" s="990"/>
      <c r="O2292" s="1192"/>
      <c r="P2292" s="990"/>
      <c r="Q2292" s="990"/>
      <c r="R2292" s="990"/>
      <c r="X2292" s="501" t="b">
        <f t="shared" si="209"/>
        <v>1</v>
      </c>
    </row>
    <row r="2293" s="411" customFormat="1" hidden="1" outlineLevel="2" spans="2:24">
      <c r="B2293" s="428" t="s">
        <v>3188</v>
      </c>
      <c r="C2293" s="429" t="str">
        <f t="shared" si="208"/>
        <v>石嘴山市深阳蓝光市政工程有限公司</v>
      </c>
      <c r="D2293" s="1180" t="s">
        <v>3195</v>
      </c>
      <c r="E2293" s="777"/>
      <c r="F2293" s="777"/>
      <c r="G2293" s="777"/>
      <c r="H2293" s="777"/>
      <c r="I2293" s="777"/>
      <c r="J2293" s="777"/>
      <c r="K2293" s="1192"/>
      <c r="L2293" s="990"/>
      <c r="M2293" s="990"/>
      <c r="N2293" s="990"/>
      <c r="O2293" s="1192"/>
      <c r="P2293" s="990"/>
      <c r="Q2293" s="990"/>
      <c r="R2293" s="990"/>
      <c r="X2293" s="501" t="b">
        <f t="shared" si="209"/>
        <v>1</v>
      </c>
    </row>
    <row r="2294" s="411" customFormat="1" hidden="1" outlineLevel="2" spans="2:24">
      <c r="B2294" s="428" t="s">
        <v>3188</v>
      </c>
      <c r="C2294" s="429" t="str">
        <f t="shared" si="208"/>
        <v>石嘴山市深阳蓝光市政工程有限公司</v>
      </c>
      <c r="D2294" s="1180" t="s">
        <v>3195</v>
      </c>
      <c r="E2294" s="777"/>
      <c r="F2294" s="777"/>
      <c r="G2294" s="777"/>
      <c r="H2294" s="777"/>
      <c r="I2294" s="777"/>
      <c r="J2294" s="777"/>
      <c r="K2294" s="1192"/>
      <c r="L2294" s="990"/>
      <c r="M2294" s="990"/>
      <c r="N2294" s="990"/>
      <c r="O2294" s="1192"/>
      <c r="P2294" s="990"/>
      <c r="Q2294" s="990"/>
      <c r="R2294" s="990"/>
      <c r="X2294" s="501" t="b">
        <f t="shared" si="209"/>
        <v>1</v>
      </c>
    </row>
    <row r="2295" s="411" customFormat="1" hidden="1" outlineLevel="2" spans="2:24">
      <c r="B2295" s="428" t="s">
        <v>3188</v>
      </c>
      <c r="C2295" s="429" t="str">
        <f t="shared" si="208"/>
        <v>石嘴山市深阳蓝光市政工程有限公司</v>
      </c>
      <c r="D2295" s="1180" t="s">
        <v>3195</v>
      </c>
      <c r="E2295" s="777"/>
      <c r="F2295" s="777"/>
      <c r="G2295" s="777"/>
      <c r="H2295" s="777"/>
      <c r="I2295" s="777"/>
      <c r="J2295" s="777"/>
      <c r="K2295" s="1192"/>
      <c r="L2295" s="990"/>
      <c r="M2295" s="990"/>
      <c r="N2295" s="990"/>
      <c r="O2295" s="1192"/>
      <c r="P2295" s="990"/>
      <c r="Q2295" s="990"/>
      <c r="R2295" s="990"/>
      <c r="X2295" s="501" t="b">
        <f t="shared" si="209"/>
        <v>1</v>
      </c>
    </row>
    <row r="2296" s="411" customFormat="1" hidden="1" outlineLevel="2" spans="2:24">
      <c r="B2296" s="428" t="s">
        <v>3188</v>
      </c>
      <c r="C2296" s="429" t="str">
        <f t="shared" si="208"/>
        <v>石嘴山市深阳蓝光市政工程有限公司</v>
      </c>
      <c r="D2296" s="1180" t="s">
        <v>3195</v>
      </c>
      <c r="E2296" s="777"/>
      <c r="F2296" s="777"/>
      <c r="G2296" s="777"/>
      <c r="H2296" s="777"/>
      <c r="I2296" s="777"/>
      <c r="J2296" s="777"/>
      <c r="K2296" s="1192"/>
      <c r="L2296" s="990"/>
      <c r="M2296" s="990"/>
      <c r="N2296" s="990"/>
      <c r="O2296" s="1192"/>
      <c r="P2296" s="990"/>
      <c r="Q2296" s="990"/>
      <c r="R2296" s="990"/>
      <c r="X2296" s="501" t="b">
        <f t="shared" si="209"/>
        <v>1</v>
      </c>
    </row>
    <row r="2297" s="411" customFormat="1" hidden="1" outlineLevel="2" spans="2:24">
      <c r="B2297" s="428" t="s">
        <v>3188</v>
      </c>
      <c r="C2297" s="429" t="str">
        <f t="shared" si="208"/>
        <v>石嘴山市深阳蓝光市政工程有限公司</v>
      </c>
      <c r="D2297" s="1180" t="s">
        <v>3195</v>
      </c>
      <c r="E2297" s="777"/>
      <c r="F2297" s="777"/>
      <c r="G2297" s="777"/>
      <c r="H2297" s="777"/>
      <c r="I2297" s="777"/>
      <c r="J2297" s="777"/>
      <c r="K2297" s="1192"/>
      <c r="L2297" s="990"/>
      <c r="M2297" s="990"/>
      <c r="N2297" s="990"/>
      <c r="O2297" s="1192"/>
      <c r="P2297" s="990"/>
      <c r="Q2297" s="990"/>
      <c r="R2297" s="990"/>
      <c r="X2297" s="501" t="b">
        <f t="shared" si="209"/>
        <v>1</v>
      </c>
    </row>
    <row r="2298" s="411" customFormat="1" hidden="1" outlineLevel="2" spans="2:24">
      <c r="B2298" s="428" t="s">
        <v>3188</v>
      </c>
      <c r="C2298" s="429" t="str">
        <f t="shared" si="208"/>
        <v>石嘴山市深阳蓝光市政工程有限公司</v>
      </c>
      <c r="D2298" s="1180" t="s">
        <v>3195</v>
      </c>
      <c r="E2298" s="777"/>
      <c r="F2298" s="777"/>
      <c r="G2298" s="777"/>
      <c r="H2298" s="777"/>
      <c r="I2298" s="777"/>
      <c r="J2298" s="777"/>
      <c r="K2298" s="1192"/>
      <c r="L2298" s="990"/>
      <c r="M2298" s="990"/>
      <c r="N2298" s="990"/>
      <c r="O2298" s="1192"/>
      <c r="P2298" s="990"/>
      <c r="Q2298" s="990"/>
      <c r="R2298" s="990"/>
      <c r="X2298" s="501" t="b">
        <f t="shared" si="209"/>
        <v>1</v>
      </c>
    </row>
    <row r="2299" s="411" customFormat="1" hidden="1" outlineLevel="2" spans="2:24">
      <c r="B2299" s="428" t="s">
        <v>3188</v>
      </c>
      <c r="C2299" s="429" t="str">
        <f t="shared" si="208"/>
        <v>石嘴山市深阳蓝光市政工程有限公司</v>
      </c>
      <c r="D2299" s="1180" t="s">
        <v>3195</v>
      </c>
      <c r="E2299" s="777"/>
      <c r="F2299" s="777"/>
      <c r="G2299" s="777"/>
      <c r="H2299" s="777"/>
      <c r="I2299" s="777"/>
      <c r="J2299" s="777"/>
      <c r="K2299" s="1192"/>
      <c r="L2299" s="990"/>
      <c r="M2299" s="990"/>
      <c r="N2299" s="990"/>
      <c r="O2299" s="1192"/>
      <c r="P2299" s="990"/>
      <c r="Q2299" s="990"/>
      <c r="R2299" s="990"/>
      <c r="X2299" s="501" t="b">
        <f t="shared" si="209"/>
        <v>1</v>
      </c>
    </row>
    <row r="2300" s="411" customFormat="1" hidden="1" outlineLevel="2" spans="2:24">
      <c r="B2300" s="428" t="s">
        <v>3188</v>
      </c>
      <c r="C2300" s="429" t="str">
        <f t="shared" si="208"/>
        <v>石嘴山市深阳蓝光市政工程有限公司</v>
      </c>
      <c r="D2300" s="1180" t="s">
        <v>3195</v>
      </c>
      <c r="E2300" s="1188"/>
      <c r="F2300" s="1188"/>
      <c r="G2300" s="1188"/>
      <c r="H2300" s="1188"/>
      <c r="I2300" s="1193"/>
      <c r="J2300" s="1193"/>
      <c r="K2300" s="598"/>
      <c r="L2300" s="547"/>
      <c r="M2300" s="547"/>
      <c r="N2300" s="547"/>
      <c r="O2300" s="598"/>
      <c r="P2300" s="547"/>
      <c r="Q2300" s="547"/>
      <c r="R2300" s="547"/>
      <c r="X2300" s="501" t="b">
        <f t="shared" si="209"/>
        <v>1</v>
      </c>
    </row>
    <row r="2301" s="411" customFormat="1" hidden="1" outlineLevel="2" spans="2:24">
      <c r="B2301" s="428" t="s">
        <v>3188</v>
      </c>
      <c r="C2301" s="429" t="str">
        <f t="shared" si="208"/>
        <v>石嘴山市深阳蓝光市政工程有限公司</v>
      </c>
      <c r="D2301" s="1180" t="s">
        <v>3195</v>
      </c>
      <c r="E2301" s="1188"/>
      <c r="F2301" s="1188"/>
      <c r="G2301" s="1188"/>
      <c r="H2301" s="1188"/>
      <c r="I2301" s="1193"/>
      <c r="J2301" s="1193"/>
      <c r="K2301" s="598"/>
      <c r="L2301" s="547"/>
      <c r="M2301" s="547"/>
      <c r="N2301" s="547"/>
      <c r="O2301" s="598"/>
      <c r="P2301" s="547"/>
      <c r="Q2301" s="547"/>
      <c r="R2301" s="547"/>
      <c r="X2301" s="501" t="b">
        <f t="shared" si="209"/>
        <v>1</v>
      </c>
    </row>
    <row r="2302" s="411" customFormat="1" hidden="1" outlineLevel="2" spans="2:24">
      <c r="B2302" s="428" t="s">
        <v>3188</v>
      </c>
      <c r="C2302" s="429" t="str">
        <f t="shared" si="208"/>
        <v>石嘴山市深阳蓝光市政工程有限公司</v>
      </c>
      <c r="D2302" s="1180" t="s">
        <v>3195</v>
      </c>
      <c r="E2302" s="1188"/>
      <c r="F2302" s="1188"/>
      <c r="G2302" s="1188"/>
      <c r="H2302" s="1188"/>
      <c r="I2302" s="1193"/>
      <c r="J2302" s="1193"/>
      <c r="K2302" s="598"/>
      <c r="L2302" s="547"/>
      <c r="M2302" s="547"/>
      <c r="N2302" s="547"/>
      <c r="O2302" s="598"/>
      <c r="P2302" s="547"/>
      <c r="Q2302" s="547"/>
      <c r="R2302" s="547"/>
      <c r="X2302" s="501" t="b">
        <f t="shared" si="209"/>
        <v>1</v>
      </c>
    </row>
    <row r="2303" s="411" customFormat="1" hidden="1" outlineLevel="2" spans="2:24">
      <c r="B2303" s="428" t="s">
        <v>3188</v>
      </c>
      <c r="C2303" s="429" t="str">
        <f t="shared" si="208"/>
        <v>石嘴山市深阳蓝光市政工程有限公司</v>
      </c>
      <c r="D2303" s="1180" t="s">
        <v>3195</v>
      </c>
      <c r="E2303" s="1188"/>
      <c r="F2303" s="1188"/>
      <c r="G2303" s="1188"/>
      <c r="H2303" s="1188"/>
      <c r="I2303" s="1193"/>
      <c r="J2303" s="1193"/>
      <c r="K2303" s="598"/>
      <c r="L2303" s="547"/>
      <c r="M2303" s="547"/>
      <c r="N2303" s="547"/>
      <c r="O2303" s="598"/>
      <c r="P2303" s="547"/>
      <c r="Q2303" s="547"/>
      <c r="R2303" s="547"/>
      <c r="X2303" s="501" t="b">
        <f t="shared" si="209"/>
        <v>1</v>
      </c>
    </row>
    <row r="2304" s="411" customFormat="1" hidden="1" outlineLevel="2" spans="2:24">
      <c r="B2304" s="428" t="s">
        <v>3188</v>
      </c>
      <c r="C2304" s="429" t="str">
        <f t="shared" si="208"/>
        <v>石嘴山市深阳蓝光市政工程有限公司</v>
      </c>
      <c r="D2304" s="1180" t="s">
        <v>3195</v>
      </c>
      <c r="E2304" s="1188"/>
      <c r="F2304" s="1188"/>
      <c r="G2304" s="1188"/>
      <c r="H2304" s="1188"/>
      <c r="I2304" s="1193"/>
      <c r="J2304" s="132"/>
      <c r="K2304" s="598"/>
      <c r="L2304" s="547"/>
      <c r="M2304" s="547"/>
      <c r="N2304" s="547"/>
      <c r="O2304" s="598"/>
      <c r="P2304" s="547"/>
      <c r="Q2304" s="547"/>
      <c r="R2304" s="547"/>
      <c r="X2304" s="501" t="b">
        <f t="shared" si="209"/>
        <v>1</v>
      </c>
    </row>
    <row r="2305" s="411" customFormat="1" hidden="1" outlineLevel="2" spans="1:24">
      <c r="A2305" s="411" t="s">
        <v>1580</v>
      </c>
      <c r="B2305" s="428" t="s">
        <v>3188</v>
      </c>
      <c r="C2305" s="429" t="str">
        <f t="shared" si="208"/>
        <v>石嘴山市深阳蓝光市政工程有限公司</v>
      </c>
      <c r="D2305" s="1180" t="s">
        <v>3195</v>
      </c>
      <c r="E2305" s="1194" t="s">
        <v>1580</v>
      </c>
      <c r="F2305" s="1194"/>
      <c r="G2305" s="1194"/>
      <c r="H2305" s="1194"/>
      <c r="I2305" s="1217"/>
      <c r="J2305" s="153"/>
      <c r="K2305" s="153"/>
      <c r="L2305" s="1219"/>
      <c r="M2305" s="1219"/>
      <c r="N2305" s="534">
        <f>SUM(N2300:N2304)</f>
        <v>0</v>
      </c>
      <c r="O2305" s="1219"/>
      <c r="P2305" s="1219"/>
      <c r="Q2305" s="1219"/>
      <c r="R2305" s="534">
        <f>SUM(R2300:R2304)</f>
        <v>0</v>
      </c>
      <c r="X2305" s="501" t="b">
        <f t="shared" si="209"/>
        <v>1</v>
      </c>
    </row>
    <row r="2306" s="411" customFormat="1" hidden="1" outlineLevel="2" spans="2:24">
      <c r="B2306" s="428" t="s">
        <v>3188</v>
      </c>
      <c r="C2306" s="429" t="str">
        <f t="shared" si="208"/>
        <v>石嘴山市深阳蓝光市政工程有限公司</v>
      </c>
      <c r="D2306" s="1180" t="s">
        <v>3195</v>
      </c>
      <c r="F2306" s="1186"/>
      <c r="G2306" s="451"/>
      <c r="H2306" s="451"/>
      <c r="X2306" s="501" t="b">
        <f t="shared" si="209"/>
        <v>1</v>
      </c>
    </row>
    <row r="2307" s="411" customFormat="1" hidden="1" outlineLevel="2" spans="1:24">
      <c r="A2307" s="411" t="s">
        <v>3196</v>
      </c>
      <c r="B2307" s="428" t="s">
        <v>3188</v>
      </c>
      <c r="C2307" s="429" t="str">
        <f t="shared" si="208"/>
        <v>石嘴山市深阳蓝光市政工程有限公司</v>
      </c>
      <c r="D2307" s="1180" t="s">
        <v>3196</v>
      </c>
      <c r="E2307" s="624" t="s">
        <v>3196</v>
      </c>
      <c r="F2307" s="1186"/>
      <c r="G2307" s="451"/>
      <c r="H2307" s="451"/>
      <c r="X2307" s="501" t="b">
        <f t="shared" si="209"/>
        <v>1</v>
      </c>
    </row>
    <row r="2308" s="411" customFormat="1" hidden="1" outlineLevel="2" spans="1:24">
      <c r="A2308" s="411" t="s">
        <v>2315</v>
      </c>
      <c r="B2308" s="428" t="s">
        <v>3188</v>
      </c>
      <c r="C2308" s="429" t="str">
        <f t="shared" si="208"/>
        <v>石嘴山市深阳蓝光市政工程有限公司</v>
      </c>
      <c r="D2308" s="1180" t="s">
        <v>3196</v>
      </c>
      <c r="E2308" s="149" t="s">
        <v>2334</v>
      </c>
      <c r="F2308" s="1195"/>
      <c r="G2308" s="471"/>
      <c r="H2308" s="471"/>
      <c r="X2308" s="501" t="b">
        <f t="shared" si="209"/>
        <v>1</v>
      </c>
    </row>
    <row r="2309" s="411" customFormat="1" hidden="1" outlineLevel="2" spans="2:24">
      <c r="B2309" s="428" t="s">
        <v>3188</v>
      </c>
      <c r="C2309" s="429" t="str">
        <f t="shared" si="208"/>
        <v>石嘴山市深阳蓝光市政工程有限公司</v>
      </c>
      <c r="D2309" s="1180"/>
      <c r="E2309" s="149"/>
      <c r="F2309" s="1186"/>
      <c r="G2309" s="451"/>
      <c r="H2309" s="451"/>
      <c r="X2309" s="501" t="b">
        <f t="shared" si="209"/>
        <v>1</v>
      </c>
    </row>
    <row r="2310" s="411" customFormat="1" hidden="1" outlineLevel="2" spans="1:24">
      <c r="A2310" s="411" t="s">
        <v>2315</v>
      </c>
      <c r="B2310" s="428" t="s">
        <v>3188</v>
      </c>
      <c r="C2310" s="429" t="str">
        <f t="shared" si="208"/>
        <v>石嘴山市深阳蓝光市政工程有限公司</v>
      </c>
      <c r="D2310" s="1180"/>
      <c r="E2310" s="149" t="s">
        <v>2334</v>
      </c>
      <c r="F2310" s="1195"/>
      <c r="G2310" s="471"/>
      <c r="H2310" s="471"/>
      <c r="X2310" s="501" t="b">
        <f t="shared" si="209"/>
        <v>1</v>
      </c>
    </row>
    <row r="2311" s="411" customFormat="1" hidden="1" outlineLevel="2" spans="2:24">
      <c r="B2311" s="428" t="s">
        <v>3188</v>
      </c>
      <c r="C2311" s="429" t="str">
        <f t="shared" si="208"/>
        <v>石嘴山市深阳蓝光市政工程有限公司</v>
      </c>
      <c r="D2311" s="1180"/>
      <c r="E2311" s="149"/>
      <c r="F2311" s="1186"/>
      <c r="G2311" s="451"/>
      <c r="H2311" s="451"/>
      <c r="X2311" s="501" t="b">
        <f t="shared" si="209"/>
        <v>1</v>
      </c>
    </row>
    <row r="2312" s="411" customFormat="1" hidden="1" outlineLevel="2" spans="2:24">
      <c r="B2312" s="428" t="s">
        <v>3188</v>
      </c>
      <c r="C2312" s="429" t="str">
        <f t="shared" si="208"/>
        <v>石嘴山市深阳蓝光市政工程有限公司</v>
      </c>
      <c r="D2312" s="1180"/>
      <c r="E2312" s="1196"/>
      <c r="F2312" s="1186"/>
      <c r="G2312" s="451"/>
      <c r="H2312" s="451"/>
      <c r="X2312" s="501" t="b">
        <f t="shared" si="209"/>
        <v>1</v>
      </c>
    </row>
    <row r="2313" s="411" customFormat="1" spans="1:24">
      <c r="A2313" s="411" t="s">
        <v>3197</v>
      </c>
      <c r="B2313" s="428" t="s">
        <v>3198</v>
      </c>
      <c r="C2313" s="429" t="str">
        <f t="shared" si="208"/>
        <v>石嘴山市深阳蓝光市政工程有限公司</v>
      </c>
      <c r="D2313" s="1180" t="s">
        <v>3133</v>
      </c>
      <c r="E2313" s="65" t="s">
        <v>3199</v>
      </c>
      <c r="F2313" s="1137" t="s">
        <v>2635</v>
      </c>
      <c r="G2313" s="451"/>
      <c r="H2313" s="451"/>
      <c r="X2313" s="501" t="b">
        <f t="shared" si="209"/>
        <v>1</v>
      </c>
    </row>
    <row r="2314" s="411" customFormat="1" outlineLevel="2" spans="1:24">
      <c r="A2314" s="411" t="s">
        <v>3133</v>
      </c>
      <c r="B2314" s="428" t="s">
        <v>3198</v>
      </c>
      <c r="C2314" s="429" t="str">
        <f t="shared" si="208"/>
        <v>石嘴山市深阳蓝光市政工程有限公司</v>
      </c>
      <c r="D2314" s="1197" t="s">
        <v>3133</v>
      </c>
      <c r="E2314" s="1198" t="s">
        <v>3134</v>
      </c>
      <c r="F2314" s="1198"/>
      <c r="G2314" s="1198"/>
      <c r="H2314" s="1198"/>
      <c r="I2314" s="1198"/>
      <c r="J2314" s="1198"/>
      <c r="K2314" s="1198"/>
      <c r="X2314" s="501" t="b">
        <f t="shared" si="209"/>
        <v>1</v>
      </c>
    </row>
    <row r="2315" s="411" customFormat="1" outlineLevel="2" spans="1:24">
      <c r="A2315" s="411" t="s">
        <v>3163</v>
      </c>
      <c r="B2315" s="428" t="s">
        <v>3198</v>
      </c>
      <c r="C2315" s="429" t="str">
        <f t="shared" si="208"/>
        <v>石嘴山市深阳蓝光市政工程有限公司</v>
      </c>
      <c r="D2315" s="1197" t="s">
        <v>3133</v>
      </c>
      <c r="E2315" s="581" t="s">
        <v>3163</v>
      </c>
      <c r="F2315" s="581" t="s">
        <v>1151</v>
      </c>
      <c r="G2315" s="581" t="s">
        <v>1150</v>
      </c>
      <c r="H2315" s="581" t="s">
        <v>3164</v>
      </c>
      <c r="I2315" s="581" t="s">
        <v>3165</v>
      </c>
      <c r="J2315" s="581" t="s">
        <v>3166</v>
      </c>
      <c r="K2315" s="581" t="s">
        <v>3167</v>
      </c>
      <c r="L2315" s="581" t="s">
        <v>3168</v>
      </c>
      <c r="M2315" s="581" t="s">
        <v>3169</v>
      </c>
      <c r="N2315" s="581" t="s">
        <v>515</v>
      </c>
      <c r="X2315" s="501" t="b">
        <f t="shared" si="209"/>
        <v>1</v>
      </c>
    </row>
    <row r="2316" s="411" customFormat="1" outlineLevel="2" spans="2:24">
      <c r="B2316" s="428" t="s">
        <v>3198</v>
      </c>
      <c r="C2316" s="429" t="str">
        <f t="shared" si="208"/>
        <v>石嘴山市深阳蓝光市政工程有限公司</v>
      </c>
      <c r="D2316" s="1197" t="s">
        <v>3133</v>
      </c>
      <c r="E2316" s="1199"/>
      <c r="F2316" s="1199"/>
      <c r="G2316" s="1199"/>
      <c r="H2316" s="1199"/>
      <c r="I2316" s="1199"/>
      <c r="J2316" s="1199"/>
      <c r="K2316" s="1199"/>
      <c r="L2316" s="1220"/>
      <c r="M2316" s="1220"/>
      <c r="N2316" s="547"/>
      <c r="X2316" s="501" t="b">
        <f t="shared" si="209"/>
        <v>1</v>
      </c>
    </row>
    <row r="2317" s="411" customFormat="1" outlineLevel="2" spans="2:24">
      <c r="B2317" s="428" t="s">
        <v>3198</v>
      </c>
      <c r="C2317" s="429" t="str">
        <f t="shared" si="208"/>
        <v>石嘴山市深阳蓝光市政工程有限公司</v>
      </c>
      <c r="D2317" s="1197" t="s">
        <v>3133</v>
      </c>
      <c r="E2317" s="1199"/>
      <c r="F2317" s="1199"/>
      <c r="G2317" s="1199"/>
      <c r="H2317" s="1199"/>
      <c r="I2317" s="1199"/>
      <c r="J2317" s="1199"/>
      <c r="K2317" s="1199"/>
      <c r="L2317" s="1220"/>
      <c r="M2317" s="1220"/>
      <c r="N2317" s="547"/>
      <c r="X2317" s="501" t="b">
        <f t="shared" si="209"/>
        <v>1</v>
      </c>
    </row>
    <row r="2318" s="411" customFormat="1" outlineLevel="2" spans="2:24">
      <c r="B2318" s="428" t="s">
        <v>3198</v>
      </c>
      <c r="C2318" s="429" t="str">
        <f t="shared" si="208"/>
        <v>石嘴山市深阳蓝光市政工程有限公司</v>
      </c>
      <c r="D2318" s="1197" t="s">
        <v>3133</v>
      </c>
      <c r="E2318" s="1199"/>
      <c r="F2318" s="1199"/>
      <c r="G2318" s="1199"/>
      <c r="H2318" s="1199"/>
      <c r="I2318" s="1199"/>
      <c r="J2318" s="1199"/>
      <c r="K2318" s="1199"/>
      <c r="L2318" s="1220"/>
      <c r="M2318" s="1220"/>
      <c r="N2318" s="547"/>
      <c r="X2318" s="501" t="b">
        <f t="shared" si="209"/>
        <v>1</v>
      </c>
    </row>
    <row r="2319" s="411" customFormat="1" outlineLevel="2" spans="2:24">
      <c r="B2319" s="428" t="s">
        <v>3198</v>
      </c>
      <c r="C2319" s="429" t="str">
        <f t="shared" si="208"/>
        <v>石嘴山市深阳蓝光市政工程有限公司</v>
      </c>
      <c r="D2319" s="1197" t="s">
        <v>3133</v>
      </c>
      <c r="E2319" s="1199"/>
      <c r="F2319" s="1199"/>
      <c r="G2319" s="1199"/>
      <c r="H2319" s="1199"/>
      <c r="I2319" s="1199"/>
      <c r="J2319" s="1199"/>
      <c r="K2319" s="1199"/>
      <c r="L2319" s="1220"/>
      <c r="M2319" s="1220"/>
      <c r="N2319" s="547"/>
      <c r="X2319" s="501" t="b">
        <f t="shared" si="209"/>
        <v>1</v>
      </c>
    </row>
    <row r="2320" s="411" customFormat="1" outlineLevel="2" spans="2:24">
      <c r="B2320" s="428" t="s">
        <v>3198</v>
      </c>
      <c r="C2320" s="429" t="str">
        <f t="shared" si="208"/>
        <v>石嘴山市深阳蓝光市政工程有限公司</v>
      </c>
      <c r="D2320" s="1197" t="s">
        <v>3133</v>
      </c>
      <c r="E2320" s="1199"/>
      <c r="F2320" s="1199"/>
      <c r="G2320" s="1199"/>
      <c r="H2320" s="1199"/>
      <c r="I2320" s="1199"/>
      <c r="J2320" s="1199"/>
      <c r="K2320" s="1199"/>
      <c r="L2320" s="1220"/>
      <c r="M2320" s="1220"/>
      <c r="N2320" s="547"/>
      <c r="X2320" s="501" t="b">
        <f t="shared" si="209"/>
        <v>1</v>
      </c>
    </row>
    <row r="2321" s="411" customFormat="1" outlineLevel="2" spans="2:24">
      <c r="B2321" s="428" t="s">
        <v>3198</v>
      </c>
      <c r="C2321" s="429" t="str">
        <f t="shared" si="208"/>
        <v>石嘴山市深阳蓝光市政工程有限公司</v>
      </c>
      <c r="D2321" s="1197" t="s">
        <v>3133</v>
      </c>
      <c r="E2321" s="1200"/>
      <c r="F2321" s="1201"/>
      <c r="G2321" s="1202"/>
      <c r="H2321" s="1203"/>
      <c r="I2321" s="1203"/>
      <c r="J2321" s="1203"/>
      <c r="K2321" s="1203"/>
      <c r="L2321" s="1220"/>
      <c r="M2321" s="1220"/>
      <c r="N2321" s="547"/>
      <c r="X2321" s="501" t="b">
        <f t="shared" si="209"/>
        <v>1</v>
      </c>
    </row>
    <row r="2322" s="411" customFormat="1" outlineLevel="2" spans="2:24">
      <c r="B2322" s="428" t="s">
        <v>3198</v>
      </c>
      <c r="C2322" s="429" t="str">
        <f t="shared" si="208"/>
        <v>石嘴山市深阳蓝光市政工程有限公司</v>
      </c>
      <c r="D2322" s="1197" t="s">
        <v>3133</v>
      </c>
      <c r="E2322" s="1200"/>
      <c r="F2322" s="1201"/>
      <c r="G2322" s="1202"/>
      <c r="H2322" s="1203"/>
      <c r="I2322" s="1203"/>
      <c r="J2322" s="1203"/>
      <c r="K2322" s="1203"/>
      <c r="L2322" s="1220"/>
      <c r="M2322" s="1220"/>
      <c r="N2322" s="547"/>
      <c r="X2322" s="501" t="b">
        <f t="shared" si="209"/>
        <v>1</v>
      </c>
    </row>
    <row r="2323" s="411" customFormat="1" outlineLevel="2" spans="2:24">
      <c r="B2323" s="428" t="s">
        <v>3198</v>
      </c>
      <c r="C2323" s="429" t="str">
        <f t="shared" si="208"/>
        <v>石嘴山市深阳蓝光市政工程有限公司</v>
      </c>
      <c r="D2323" s="1197" t="s">
        <v>3133</v>
      </c>
      <c r="E2323" s="1200"/>
      <c r="F2323" s="1201"/>
      <c r="G2323" s="1202"/>
      <c r="H2323" s="1203"/>
      <c r="I2323" s="1203"/>
      <c r="J2323" s="1203"/>
      <c r="K2323" s="1203"/>
      <c r="L2323" s="1220"/>
      <c r="M2323" s="1220"/>
      <c r="N2323" s="547"/>
      <c r="X2323" s="501" t="b">
        <f t="shared" si="209"/>
        <v>1</v>
      </c>
    </row>
    <row r="2324" s="411" customFormat="1" outlineLevel="2" spans="2:24">
      <c r="B2324" s="428" t="s">
        <v>3198</v>
      </c>
      <c r="C2324" s="429" t="str">
        <f t="shared" si="208"/>
        <v>石嘴山市深阳蓝光市政工程有限公司</v>
      </c>
      <c r="D2324" s="1197" t="s">
        <v>3133</v>
      </c>
      <c r="E2324" s="1200"/>
      <c r="F2324" s="1201"/>
      <c r="G2324" s="1202"/>
      <c r="H2324" s="1203"/>
      <c r="I2324" s="1203"/>
      <c r="J2324" s="1203"/>
      <c r="K2324" s="1203"/>
      <c r="L2324" s="1220"/>
      <c r="M2324" s="1220"/>
      <c r="N2324" s="547"/>
      <c r="X2324" s="501" t="b">
        <f t="shared" si="209"/>
        <v>1</v>
      </c>
    </row>
    <row r="2325" s="411" customFormat="1" outlineLevel="2" spans="1:24">
      <c r="A2325" s="411" t="s">
        <v>1580</v>
      </c>
      <c r="B2325" s="428" t="s">
        <v>3198</v>
      </c>
      <c r="C2325" s="429" t="str">
        <f t="shared" si="208"/>
        <v>石嘴山市深阳蓝光市政工程有限公司</v>
      </c>
      <c r="D2325" s="1197" t="s">
        <v>3133</v>
      </c>
      <c r="E2325" s="1204" t="s">
        <v>1580</v>
      </c>
      <c r="F2325" s="1205">
        <f>SUM(F2316:F2324)</f>
        <v>0</v>
      </c>
      <c r="G2325" s="1206"/>
      <c r="H2325" s="1207"/>
      <c r="I2325" s="1207"/>
      <c r="J2325" s="1205">
        <f>SUM(J2316:J2324)</f>
        <v>0</v>
      </c>
      <c r="K2325" s="1205">
        <f>SUM(K2316:K2324)</f>
        <v>0</v>
      </c>
      <c r="L2325" s="1205">
        <f>SUM(L2316:L2324)</f>
        <v>0</v>
      </c>
      <c r="M2325" s="1205">
        <f>SUM(M2316:M2324)</f>
        <v>0</v>
      </c>
      <c r="N2325" s="1205">
        <f>SUM(N2316:N2324)</f>
        <v>0</v>
      </c>
      <c r="X2325" s="501" t="b">
        <f t="shared" si="209"/>
        <v>1</v>
      </c>
    </row>
    <row r="2326" s="411" customFormat="1" outlineLevel="2" spans="1:24">
      <c r="A2326" s="411" t="s">
        <v>1444</v>
      </c>
      <c r="B2326" s="428" t="s">
        <v>3198</v>
      </c>
      <c r="C2326" s="429" t="str">
        <f t="shared" si="208"/>
        <v>石嘴山市深阳蓝光市政工程有限公司</v>
      </c>
      <c r="D2326" s="1180" t="s">
        <v>3133</v>
      </c>
      <c r="E2326" s="1060" t="s">
        <v>1444</v>
      </c>
      <c r="F2326" s="1186"/>
      <c r="G2326" s="451"/>
      <c r="H2326" s="451"/>
      <c r="J2326" s="1221">
        <f>审定资负表!H24</f>
        <v>0</v>
      </c>
      <c r="N2326" s="1221">
        <f>审定资负表!G24</f>
        <v>0</v>
      </c>
      <c r="X2326" s="501" t="b">
        <f t="shared" si="209"/>
        <v>1</v>
      </c>
    </row>
    <row r="2327" s="411" customFormat="1" outlineLevel="1" spans="1:24">
      <c r="A2327" s="411" t="s">
        <v>1394</v>
      </c>
      <c r="B2327" s="428" t="s">
        <v>3198</v>
      </c>
      <c r="C2327" s="429" t="str">
        <f t="shared" si="208"/>
        <v>石嘴山市深阳蓝光市政工程有限公司</v>
      </c>
      <c r="D2327" s="1180" t="s">
        <v>3133</v>
      </c>
      <c r="E2327" s="1060" t="s">
        <v>1394</v>
      </c>
      <c r="F2327" s="1186"/>
      <c r="G2327" s="451"/>
      <c r="H2327" s="451"/>
      <c r="J2327" s="87">
        <f>ROUND(J2325-J2326,2)</f>
        <v>0</v>
      </c>
      <c r="N2327" s="87">
        <f>ROUND(N2325-N2326,2)</f>
        <v>0</v>
      </c>
      <c r="X2327" s="501" t="b">
        <f t="shared" si="209"/>
        <v>1</v>
      </c>
    </row>
    <row r="2328" s="411" customFormat="1" outlineLevel="2" spans="1:24">
      <c r="A2328" s="411" t="s">
        <v>3200</v>
      </c>
      <c r="B2328" s="428" t="s">
        <v>3198</v>
      </c>
      <c r="C2328" s="429" t="str">
        <f t="shared" si="208"/>
        <v>石嘴山市深阳蓝光市政工程有限公司</v>
      </c>
      <c r="D2328" s="1180" t="s">
        <v>3200</v>
      </c>
      <c r="E2328" s="149" t="s">
        <v>3201</v>
      </c>
      <c r="F2328" s="1186"/>
      <c r="G2328" s="451"/>
      <c r="H2328" s="451"/>
      <c r="X2328" s="501" t="b">
        <f t="shared" si="209"/>
        <v>1</v>
      </c>
    </row>
    <row r="2329" s="411" customFormat="1" outlineLevel="2" spans="1:24">
      <c r="A2329" s="411" t="s">
        <v>2315</v>
      </c>
      <c r="B2329" s="428" t="s">
        <v>3198</v>
      </c>
      <c r="C2329" s="429" t="str">
        <f t="shared" si="208"/>
        <v>石嘴山市深阳蓝光市政工程有限公司</v>
      </c>
      <c r="D2329" s="1180" t="s">
        <v>3200</v>
      </c>
      <c r="E2329" s="149" t="s">
        <v>2334</v>
      </c>
      <c r="F2329" s="1195"/>
      <c r="G2329" s="471"/>
      <c r="H2329" s="471"/>
      <c r="X2329" s="501" t="b">
        <f t="shared" si="209"/>
        <v>1</v>
      </c>
    </row>
    <row r="2330" s="411" customFormat="1" outlineLevel="2" spans="2:24">
      <c r="B2330" s="428" t="s">
        <v>3198</v>
      </c>
      <c r="C2330" s="429" t="str">
        <f t="shared" si="208"/>
        <v>石嘴山市深阳蓝光市政工程有限公司</v>
      </c>
      <c r="D2330" s="1180"/>
      <c r="E2330" s="149"/>
      <c r="F2330" s="1186"/>
      <c r="G2330" s="451"/>
      <c r="H2330" s="451"/>
      <c r="X2330" s="501" t="b">
        <f t="shared" si="209"/>
        <v>1</v>
      </c>
    </row>
    <row r="2331" s="411" customFormat="1" outlineLevel="2" spans="1:24">
      <c r="A2331" s="411" t="s">
        <v>2315</v>
      </c>
      <c r="B2331" s="428" t="s">
        <v>3198</v>
      </c>
      <c r="C2331" s="429" t="str">
        <f t="shared" si="208"/>
        <v>石嘴山市深阳蓝光市政工程有限公司</v>
      </c>
      <c r="D2331" s="1180"/>
      <c r="E2331" s="149" t="s">
        <v>2334</v>
      </c>
      <c r="F2331" s="1195"/>
      <c r="G2331" s="471"/>
      <c r="H2331" s="471"/>
      <c r="X2331" s="501" t="b">
        <f t="shared" si="209"/>
        <v>1</v>
      </c>
    </row>
    <row r="2332" s="411" customFormat="1" outlineLevel="2" spans="2:24">
      <c r="B2332" s="428" t="s">
        <v>3198</v>
      </c>
      <c r="C2332" s="429" t="str">
        <f t="shared" si="208"/>
        <v>石嘴山市深阳蓝光市政工程有限公司</v>
      </c>
      <c r="D2332" s="1180"/>
      <c r="E2332" s="1196"/>
      <c r="F2332" s="1186"/>
      <c r="G2332" s="451"/>
      <c r="H2332" s="451"/>
      <c r="X2332" s="501" t="b">
        <f t="shared" si="209"/>
        <v>1</v>
      </c>
    </row>
    <row r="2333" s="411" customFormat="1" spans="1:24">
      <c r="A2333" s="411" t="s">
        <v>3202</v>
      </c>
      <c r="B2333" s="428" t="s">
        <v>3203</v>
      </c>
      <c r="C2333" s="429" t="str">
        <f t="shared" si="208"/>
        <v>石嘴山市深阳蓝光市政工程有限公司</v>
      </c>
      <c r="D2333" s="1180" t="s">
        <v>3133</v>
      </c>
      <c r="E2333" s="65" t="s">
        <v>3204</v>
      </c>
      <c r="F2333" s="1137" t="s">
        <v>2635</v>
      </c>
      <c r="G2333" s="451"/>
      <c r="H2333" s="451"/>
      <c r="X2333" s="501" t="b">
        <f t="shared" si="209"/>
        <v>1</v>
      </c>
    </row>
    <row r="2334" s="411" customFormat="1" outlineLevel="2" spans="1:24">
      <c r="A2334" s="411" t="s">
        <v>3133</v>
      </c>
      <c r="B2334" s="428" t="s">
        <v>3203</v>
      </c>
      <c r="C2334" s="429" t="str">
        <f t="shared" si="208"/>
        <v>石嘴山市深阳蓝光市政工程有限公司</v>
      </c>
      <c r="D2334" s="1208" t="s">
        <v>3133</v>
      </c>
      <c r="E2334" s="1209" t="s">
        <v>3134</v>
      </c>
      <c r="F2334" s="1209"/>
      <c r="G2334" s="1209"/>
      <c r="H2334" s="1209"/>
      <c r="X2334" s="501" t="b">
        <f t="shared" si="209"/>
        <v>1</v>
      </c>
    </row>
    <row r="2335" s="411" customFormat="1" outlineLevel="2" spans="1:24">
      <c r="A2335" s="411" t="s">
        <v>1148</v>
      </c>
      <c r="B2335" s="428" t="s">
        <v>3203</v>
      </c>
      <c r="C2335" s="429" t="str">
        <f t="shared" si="208"/>
        <v>石嘴山市深阳蓝光市政工程有限公司</v>
      </c>
      <c r="D2335" s="1208" t="s">
        <v>3133</v>
      </c>
      <c r="E2335" s="1210" t="s">
        <v>1148</v>
      </c>
      <c r="F2335" s="1210" t="s">
        <v>1149</v>
      </c>
      <c r="G2335" s="1210" t="s">
        <v>315</v>
      </c>
      <c r="H2335" s="1210" t="s">
        <v>1579</v>
      </c>
      <c r="X2335" s="501" t="b">
        <f t="shared" si="209"/>
        <v>1</v>
      </c>
    </row>
    <row r="2336" s="411" customFormat="1" outlineLevel="2" spans="2:24">
      <c r="B2336" s="428" t="s">
        <v>3203</v>
      </c>
      <c r="C2336" s="429" t="str">
        <f t="shared" si="208"/>
        <v>石嘴山市深阳蓝光市政工程有限公司</v>
      </c>
      <c r="D2336" s="1208" t="s">
        <v>3133</v>
      </c>
      <c r="E2336" s="1211" t="s">
        <v>3205</v>
      </c>
      <c r="F2336" s="1212"/>
      <c r="G2336" s="1213">
        <v>49517431.33</v>
      </c>
      <c r="H2336" s="1212"/>
      <c r="X2336" s="501" t="b">
        <f t="shared" si="209"/>
        <v>0</v>
      </c>
    </row>
    <row r="2337" s="411" customFormat="1" outlineLevel="2" spans="2:24">
      <c r="B2337" s="428" t="s">
        <v>3203</v>
      </c>
      <c r="C2337" s="429" t="str">
        <f t="shared" si="208"/>
        <v>石嘴山市深阳蓝光市政工程有限公司</v>
      </c>
      <c r="D2337" s="1208" t="s">
        <v>3133</v>
      </c>
      <c r="E2337" s="1211"/>
      <c r="F2337" s="1212"/>
      <c r="G2337" s="1213"/>
      <c r="H2337" s="1212"/>
      <c r="X2337" s="501" t="b">
        <f t="shared" si="209"/>
        <v>1</v>
      </c>
    </row>
    <row r="2338" s="411" customFormat="1" outlineLevel="2" spans="2:24">
      <c r="B2338" s="428" t="s">
        <v>3203</v>
      </c>
      <c r="C2338" s="429" t="str">
        <f t="shared" ref="C2338:C2401" si="210">$G$1</f>
        <v>石嘴山市深阳蓝光市政工程有限公司</v>
      </c>
      <c r="D2338" s="1208" t="s">
        <v>3133</v>
      </c>
      <c r="E2338" s="1211"/>
      <c r="F2338" s="1212"/>
      <c r="G2338" s="1213"/>
      <c r="H2338" s="1212"/>
      <c r="X2338" s="501" t="b">
        <f t="shared" ref="X2338:X2401" si="211">EXACT(A2338,E2338)</f>
        <v>1</v>
      </c>
    </row>
    <row r="2339" s="411" customFormat="1" outlineLevel="2" spans="2:24">
      <c r="B2339" s="428" t="s">
        <v>3203</v>
      </c>
      <c r="C2339" s="429" t="str">
        <f t="shared" si="210"/>
        <v>石嘴山市深阳蓝光市政工程有限公司</v>
      </c>
      <c r="D2339" s="1208" t="s">
        <v>3133</v>
      </c>
      <c r="E2339" s="1212"/>
      <c r="F2339" s="1212"/>
      <c r="G2339" s="1213"/>
      <c r="H2339" s="1212"/>
      <c r="X2339" s="501" t="b">
        <f t="shared" si="211"/>
        <v>1</v>
      </c>
    </row>
    <row r="2340" s="411" customFormat="1" outlineLevel="2" spans="2:24">
      <c r="B2340" s="428" t="s">
        <v>3203</v>
      </c>
      <c r="C2340" s="429" t="str">
        <f t="shared" si="210"/>
        <v>石嘴山市深阳蓝光市政工程有限公司</v>
      </c>
      <c r="D2340" s="1208" t="s">
        <v>3133</v>
      </c>
      <c r="E2340" s="1212"/>
      <c r="F2340" s="1214"/>
      <c r="G2340" s="982"/>
      <c r="H2340" s="982"/>
      <c r="X2340" s="501" t="b">
        <f t="shared" si="211"/>
        <v>1</v>
      </c>
    </row>
    <row r="2341" s="411" customFormat="1" outlineLevel="2" spans="2:24">
      <c r="B2341" s="428" t="s">
        <v>3203</v>
      </c>
      <c r="C2341" s="429" t="str">
        <f t="shared" si="210"/>
        <v>石嘴山市深阳蓝光市政工程有限公司</v>
      </c>
      <c r="D2341" s="1208" t="s">
        <v>3133</v>
      </c>
      <c r="E2341" s="1212"/>
      <c r="F2341" s="1214"/>
      <c r="G2341" s="982"/>
      <c r="H2341" s="982"/>
      <c r="X2341" s="501" t="b">
        <f t="shared" si="211"/>
        <v>1</v>
      </c>
    </row>
    <row r="2342" s="411" customFormat="1" outlineLevel="2" spans="1:24">
      <c r="A2342" s="411" t="s">
        <v>1580</v>
      </c>
      <c r="B2342" s="428" t="s">
        <v>3203</v>
      </c>
      <c r="C2342" s="429" t="str">
        <f t="shared" si="210"/>
        <v>石嘴山市深阳蓝光市政工程有限公司</v>
      </c>
      <c r="D2342" s="1208" t="s">
        <v>3133</v>
      </c>
      <c r="E2342" s="1210" t="s">
        <v>1580</v>
      </c>
      <c r="F2342" s="1215"/>
      <c r="G2342" s="1216">
        <f>SUM(G2336:G2341)</f>
        <v>49517431.33</v>
      </c>
      <c r="H2342" s="1216">
        <f>SUM(H2336:H2341)</f>
        <v>0</v>
      </c>
      <c r="X2342" s="501" t="b">
        <f t="shared" si="211"/>
        <v>1</v>
      </c>
    </row>
    <row r="2343" s="411" customFormat="1" outlineLevel="2" spans="1:24">
      <c r="A2343" s="411" t="s">
        <v>1444</v>
      </c>
      <c r="B2343" s="428" t="s">
        <v>3203</v>
      </c>
      <c r="C2343" s="429" t="str">
        <f t="shared" si="210"/>
        <v>石嘴山市深阳蓝光市政工程有限公司</v>
      </c>
      <c r="D2343" s="1180" t="s">
        <v>3133</v>
      </c>
      <c r="E2343" s="1060" t="s">
        <v>1444</v>
      </c>
      <c r="F2343" s="1186"/>
      <c r="G2343" s="566">
        <f>审定资负表!G25</f>
        <v>49517431.33</v>
      </c>
      <c r="H2343" s="566">
        <f>审定资负表!H25</f>
        <v>0</v>
      </c>
      <c r="X2343" s="501" t="b">
        <f t="shared" si="211"/>
        <v>1</v>
      </c>
    </row>
    <row r="2344" s="411" customFormat="1" outlineLevel="1" spans="1:24">
      <c r="A2344" s="411" t="s">
        <v>1394</v>
      </c>
      <c r="B2344" s="428" t="s">
        <v>3203</v>
      </c>
      <c r="C2344" s="429" t="str">
        <f t="shared" si="210"/>
        <v>石嘴山市深阳蓝光市政工程有限公司</v>
      </c>
      <c r="D2344" s="1180" t="s">
        <v>3133</v>
      </c>
      <c r="E2344" s="1060" t="s">
        <v>1394</v>
      </c>
      <c r="F2344" s="1186"/>
      <c r="G2344" s="87">
        <f>ROUND(G2342-G2343,2)</f>
        <v>0</v>
      </c>
      <c r="H2344" s="87">
        <f>ROUND(H2342-H2343,2)</f>
        <v>0</v>
      </c>
      <c r="X2344" s="501" t="b">
        <f t="shared" si="211"/>
        <v>1</v>
      </c>
    </row>
    <row r="2345" s="411" customFormat="1" outlineLevel="2" spans="1:24">
      <c r="A2345" s="411" t="s">
        <v>3206</v>
      </c>
      <c r="B2345" s="428" t="s">
        <v>3203</v>
      </c>
      <c r="C2345" s="429" t="str">
        <f t="shared" si="210"/>
        <v>石嘴山市深阳蓝光市政工程有限公司</v>
      </c>
      <c r="D2345" s="1180" t="s">
        <v>3206</v>
      </c>
      <c r="E2345" s="624" t="s">
        <v>3206</v>
      </c>
      <c r="F2345" s="1186"/>
      <c r="G2345" s="451"/>
      <c r="H2345" s="451"/>
      <c r="X2345" s="501" t="b">
        <f t="shared" si="211"/>
        <v>1</v>
      </c>
    </row>
    <row r="2346" s="411" customFormat="1" outlineLevel="2" spans="1:24">
      <c r="A2346" s="411" t="s">
        <v>2532</v>
      </c>
      <c r="B2346" s="428" t="s">
        <v>3203</v>
      </c>
      <c r="C2346" s="429" t="str">
        <f t="shared" si="210"/>
        <v>石嘴山市深阳蓝光市政工程有限公司</v>
      </c>
      <c r="D2346" s="1180" t="s">
        <v>3206</v>
      </c>
      <c r="E2346" s="581" t="s">
        <v>2532</v>
      </c>
      <c r="F2346" s="581" t="s">
        <v>1149</v>
      </c>
      <c r="G2346" s="581" t="s">
        <v>669</v>
      </c>
      <c r="H2346" s="581" t="s">
        <v>3150</v>
      </c>
      <c r="I2346" s="581" t="s">
        <v>3176</v>
      </c>
      <c r="J2346" s="581" t="s">
        <v>515</v>
      </c>
      <c r="K2346" s="581" t="s">
        <v>3177</v>
      </c>
      <c r="X2346" s="501" t="b">
        <f t="shared" si="211"/>
        <v>1</v>
      </c>
    </row>
    <row r="2347" s="411" customFormat="1" outlineLevel="2" spans="2:24">
      <c r="B2347" s="428" t="s">
        <v>3203</v>
      </c>
      <c r="C2347" s="429" t="str">
        <f t="shared" si="210"/>
        <v>石嘴山市深阳蓝光市政工程有限公司</v>
      </c>
      <c r="D2347" s="1180" t="s">
        <v>3206</v>
      </c>
      <c r="E2347" s="755"/>
      <c r="F2347" s="1193"/>
      <c r="G2347" s="456"/>
      <c r="H2347" s="456"/>
      <c r="I2347" s="1220"/>
      <c r="J2347" s="1220"/>
      <c r="K2347" s="1220"/>
      <c r="X2347" s="501" t="b">
        <f t="shared" si="211"/>
        <v>1</v>
      </c>
    </row>
    <row r="2348" s="411" customFormat="1" outlineLevel="2" spans="2:24">
      <c r="B2348" s="428" t="s">
        <v>3203</v>
      </c>
      <c r="C2348" s="429" t="str">
        <f t="shared" si="210"/>
        <v>石嘴山市深阳蓝光市政工程有限公司</v>
      </c>
      <c r="D2348" s="1180" t="s">
        <v>3206</v>
      </c>
      <c r="E2348" s="755"/>
      <c r="F2348" s="1193"/>
      <c r="G2348" s="456"/>
      <c r="H2348" s="456"/>
      <c r="I2348" s="1220"/>
      <c r="J2348" s="1220"/>
      <c r="K2348" s="1220"/>
      <c r="X2348" s="501" t="b">
        <f t="shared" si="211"/>
        <v>1</v>
      </c>
    </row>
    <row r="2349" s="411" customFormat="1" outlineLevel="2" spans="2:24">
      <c r="B2349" s="428" t="s">
        <v>3203</v>
      </c>
      <c r="C2349" s="429" t="str">
        <f t="shared" si="210"/>
        <v>石嘴山市深阳蓝光市政工程有限公司</v>
      </c>
      <c r="D2349" s="1180" t="s">
        <v>3206</v>
      </c>
      <c r="E2349" s="755"/>
      <c r="F2349" s="1193"/>
      <c r="G2349" s="456"/>
      <c r="H2349" s="456"/>
      <c r="I2349" s="1220"/>
      <c r="J2349" s="1220"/>
      <c r="K2349" s="1220"/>
      <c r="X2349" s="501" t="b">
        <f t="shared" si="211"/>
        <v>1</v>
      </c>
    </row>
    <row r="2350" s="411" customFormat="1" outlineLevel="2" spans="2:24">
      <c r="B2350" s="428" t="s">
        <v>3203</v>
      </c>
      <c r="C2350" s="429" t="str">
        <f t="shared" si="210"/>
        <v>石嘴山市深阳蓝光市政工程有限公司</v>
      </c>
      <c r="D2350" s="1180" t="s">
        <v>3206</v>
      </c>
      <c r="E2350" s="755"/>
      <c r="F2350" s="1193"/>
      <c r="G2350" s="456"/>
      <c r="H2350" s="456"/>
      <c r="I2350" s="1220"/>
      <c r="J2350" s="1220"/>
      <c r="K2350" s="1220"/>
      <c r="X2350" s="501" t="b">
        <f t="shared" si="211"/>
        <v>1</v>
      </c>
    </row>
    <row r="2351" s="411" customFormat="1" outlineLevel="2" spans="2:24">
      <c r="B2351" s="428" t="s">
        <v>3203</v>
      </c>
      <c r="C2351" s="429" t="str">
        <f t="shared" si="210"/>
        <v>石嘴山市深阳蓝光市政工程有限公司</v>
      </c>
      <c r="D2351" s="1180" t="s">
        <v>3206</v>
      </c>
      <c r="E2351" s="755"/>
      <c r="F2351" s="1193"/>
      <c r="G2351" s="456"/>
      <c r="H2351" s="456"/>
      <c r="I2351" s="1220"/>
      <c r="J2351" s="1220"/>
      <c r="K2351" s="1220"/>
      <c r="X2351" s="501" t="b">
        <f t="shared" si="211"/>
        <v>1</v>
      </c>
    </row>
    <row r="2352" s="411" customFormat="1" outlineLevel="2" spans="1:24">
      <c r="A2352" s="411" t="s">
        <v>1580</v>
      </c>
      <c r="B2352" s="428" t="s">
        <v>3203</v>
      </c>
      <c r="C2352" s="429" t="str">
        <f t="shared" si="210"/>
        <v>石嘴山市深阳蓝光市政工程有限公司</v>
      </c>
      <c r="D2352" s="1180" t="s">
        <v>3206</v>
      </c>
      <c r="E2352" s="1166" t="s">
        <v>1580</v>
      </c>
      <c r="F2352" s="1217"/>
      <c r="G2352" s="565">
        <f>SUM(G2347:G2351)</f>
        <v>0</v>
      </c>
      <c r="H2352" s="564"/>
      <c r="I2352" s="1219"/>
      <c r="J2352" s="565">
        <f>SUM(J2347:J2351)</f>
        <v>0</v>
      </c>
      <c r="K2352" s="1219"/>
      <c r="X2352" s="501" t="b">
        <f t="shared" si="211"/>
        <v>1</v>
      </c>
    </row>
    <row r="2353" s="411" customFormat="1" outlineLevel="2" spans="2:24">
      <c r="B2353" s="428" t="s">
        <v>3203</v>
      </c>
      <c r="C2353" s="429" t="str">
        <f t="shared" si="210"/>
        <v>石嘴山市深阳蓝光市政工程有限公司</v>
      </c>
      <c r="D2353" s="1180" t="s">
        <v>3206</v>
      </c>
      <c r="E2353" s="748"/>
      <c r="F2353" s="1186"/>
      <c r="G2353" s="451"/>
      <c r="H2353" s="451"/>
      <c r="X2353" s="501" t="b">
        <f t="shared" si="211"/>
        <v>1</v>
      </c>
    </row>
    <row r="2354" s="411" customFormat="1" outlineLevel="2" spans="1:24">
      <c r="A2354" s="411" t="s">
        <v>3207</v>
      </c>
      <c r="B2354" s="428" t="s">
        <v>3203</v>
      </c>
      <c r="C2354" s="429" t="str">
        <f t="shared" si="210"/>
        <v>石嘴山市深阳蓝光市政工程有限公司</v>
      </c>
      <c r="D2354" s="1180" t="s">
        <v>3207</v>
      </c>
      <c r="E2354" s="624" t="s">
        <v>3207</v>
      </c>
      <c r="F2354" s="1186"/>
      <c r="G2354" s="451"/>
      <c r="H2354" s="451"/>
      <c r="X2354" s="501" t="b">
        <f t="shared" si="211"/>
        <v>1</v>
      </c>
    </row>
    <row r="2355" s="411" customFormat="1" outlineLevel="2" spans="1:24">
      <c r="A2355" s="411" t="s">
        <v>2532</v>
      </c>
      <c r="B2355" s="428" t="s">
        <v>3203</v>
      </c>
      <c r="C2355" s="429" t="str">
        <f t="shared" si="210"/>
        <v>石嘴山市深阳蓝光市政工程有限公司</v>
      </c>
      <c r="D2355" s="1180" t="s">
        <v>3207</v>
      </c>
      <c r="E2355" s="128" t="s">
        <v>2532</v>
      </c>
      <c r="F2355" s="128" t="s">
        <v>2407</v>
      </c>
      <c r="G2355" s="128"/>
      <c r="H2355" s="128" t="s">
        <v>2784</v>
      </c>
      <c r="I2355" s="128"/>
      <c r="X2355" s="501" t="b">
        <f t="shared" si="211"/>
        <v>1</v>
      </c>
    </row>
    <row r="2356" s="411" customFormat="1" outlineLevel="2" spans="2:24">
      <c r="B2356" s="428" t="s">
        <v>3203</v>
      </c>
      <c r="C2356" s="429" t="str">
        <f t="shared" si="210"/>
        <v>石嘴山市深阳蓝光市政工程有限公司</v>
      </c>
      <c r="D2356" s="1180" t="s">
        <v>3207</v>
      </c>
      <c r="E2356" s="128"/>
      <c r="F2356" s="128" t="s">
        <v>3208</v>
      </c>
      <c r="G2356" s="128" t="s">
        <v>1438</v>
      </c>
      <c r="H2356" s="128" t="s">
        <v>3208</v>
      </c>
      <c r="I2356" s="128" t="s">
        <v>1438</v>
      </c>
      <c r="X2356" s="501" t="b">
        <f t="shared" si="211"/>
        <v>1</v>
      </c>
    </row>
    <row r="2357" s="411" customFormat="1" outlineLevel="2" spans="2:24">
      <c r="B2357" s="428" t="s">
        <v>3203</v>
      </c>
      <c r="C2357" s="429" t="str">
        <f t="shared" si="210"/>
        <v>石嘴山市深阳蓝光市政工程有限公司</v>
      </c>
      <c r="D2357" s="1180" t="s">
        <v>3207</v>
      </c>
      <c r="E2357" s="755"/>
      <c r="F2357" s="1193"/>
      <c r="G2357" s="456"/>
      <c r="H2357" s="456"/>
      <c r="I2357" s="1220"/>
      <c r="X2357" s="501" t="b">
        <f t="shared" si="211"/>
        <v>1</v>
      </c>
    </row>
    <row r="2358" s="411" customFormat="1" outlineLevel="2" spans="2:24">
      <c r="B2358" s="428" t="s">
        <v>3203</v>
      </c>
      <c r="C2358" s="429" t="str">
        <f t="shared" si="210"/>
        <v>石嘴山市深阳蓝光市政工程有限公司</v>
      </c>
      <c r="D2358" s="1180" t="s">
        <v>3207</v>
      </c>
      <c r="E2358" s="755"/>
      <c r="F2358" s="1193"/>
      <c r="G2358" s="456"/>
      <c r="H2358" s="456"/>
      <c r="I2358" s="1220"/>
      <c r="X2358" s="501" t="b">
        <f t="shared" si="211"/>
        <v>1</v>
      </c>
    </row>
    <row r="2359" s="411" customFormat="1" outlineLevel="2" spans="2:24">
      <c r="B2359" s="428" t="s">
        <v>3203</v>
      </c>
      <c r="C2359" s="429" t="str">
        <f t="shared" si="210"/>
        <v>石嘴山市深阳蓝光市政工程有限公司</v>
      </c>
      <c r="D2359" s="1180" t="s">
        <v>3207</v>
      </c>
      <c r="E2359" s="755"/>
      <c r="F2359" s="1193"/>
      <c r="G2359" s="456"/>
      <c r="H2359" s="456"/>
      <c r="I2359" s="1220"/>
      <c r="X2359" s="501" t="b">
        <f t="shared" si="211"/>
        <v>1</v>
      </c>
    </row>
    <row r="2360" s="411" customFormat="1" outlineLevel="2" spans="2:24">
      <c r="B2360" s="428" t="s">
        <v>3203</v>
      </c>
      <c r="C2360" s="429" t="str">
        <f t="shared" si="210"/>
        <v>石嘴山市深阳蓝光市政工程有限公司</v>
      </c>
      <c r="D2360" s="1180" t="s">
        <v>3207</v>
      </c>
      <c r="E2360" s="755"/>
      <c r="F2360" s="1193"/>
      <c r="G2360" s="456"/>
      <c r="H2360" s="456"/>
      <c r="I2360" s="1220"/>
      <c r="X2360" s="501" t="b">
        <f t="shared" si="211"/>
        <v>1</v>
      </c>
    </row>
    <row r="2361" s="411" customFormat="1" outlineLevel="2" spans="2:24">
      <c r="B2361" s="428" t="s">
        <v>3203</v>
      </c>
      <c r="C2361" s="429" t="str">
        <f t="shared" si="210"/>
        <v>石嘴山市深阳蓝光市政工程有限公司</v>
      </c>
      <c r="D2361" s="1180" t="s">
        <v>3207</v>
      </c>
      <c r="E2361" s="755"/>
      <c r="F2361" s="1193"/>
      <c r="G2361" s="456"/>
      <c r="H2361" s="456"/>
      <c r="I2361" s="1220"/>
      <c r="X2361" s="501" t="b">
        <f t="shared" si="211"/>
        <v>1</v>
      </c>
    </row>
    <row r="2362" s="411" customFormat="1" outlineLevel="2" spans="2:24">
      <c r="B2362" s="428" t="s">
        <v>3203</v>
      </c>
      <c r="C2362" s="429" t="str">
        <f t="shared" si="210"/>
        <v>石嘴山市深阳蓝光市政工程有限公司</v>
      </c>
      <c r="D2362" s="1180" t="s">
        <v>3207</v>
      </c>
      <c r="E2362" s="755"/>
      <c r="F2362" s="1193"/>
      <c r="G2362" s="456"/>
      <c r="H2362" s="456"/>
      <c r="I2362" s="1220"/>
      <c r="X2362" s="501" t="b">
        <f t="shared" si="211"/>
        <v>1</v>
      </c>
    </row>
    <row r="2363" s="411" customFormat="1" outlineLevel="2" spans="1:24">
      <c r="A2363" s="411" t="s">
        <v>3209</v>
      </c>
      <c r="B2363" s="428" t="s">
        <v>3203</v>
      </c>
      <c r="C2363" s="429" t="str">
        <f t="shared" si="210"/>
        <v>石嘴山市深阳蓝光市政工程有限公司</v>
      </c>
      <c r="D2363" s="1180" t="s">
        <v>3207</v>
      </c>
      <c r="E2363" s="813" t="s">
        <v>3210</v>
      </c>
      <c r="F2363" s="1186"/>
      <c r="G2363" s="451"/>
      <c r="H2363" s="451"/>
      <c r="I2363" s="1222"/>
      <c r="X2363" s="501" t="b">
        <f t="shared" si="211"/>
        <v>1</v>
      </c>
    </row>
    <row r="2364" s="411" customFormat="1" outlineLevel="2" spans="1:24">
      <c r="A2364" s="411" t="s">
        <v>2315</v>
      </c>
      <c r="B2364" s="428" t="s">
        <v>3203</v>
      </c>
      <c r="C2364" s="429" t="str">
        <f t="shared" si="210"/>
        <v>石嘴山市深阳蓝光市政工程有限公司</v>
      </c>
      <c r="D2364" s="1180" t="s">
        <v>3207</v>
      </c>
      <c r="E2364" s="658" t="s">
        <v>2334</v>
      </c>
      <c r="F2364" s="1195"/>
      <c r="G2364" s="471"/>
      <c r="H2364" s="471"/>
      <c r="I2364" s="1223"/>
      <c r="X2364" s="501" t="b">
        <f t="shared" si="211"/>
        <v>1</v>
      </c>
    </row>
    <row r="2365" s="411" customFormat="1" outlineLevel="2" spans="2:24">
      <c r="B2365" s="428" t="s">
        <v>3203</v>
      </c>
      <c r="C2365" s="429" t="str">
        <f t="shared" si="210"/>
        <v>石嘴山市深阳蓝光市政工程有限公司</v>
      </c>
      <c r="D2365" s="1180"/>
      <c r="E2365" s="149"/>
      <c r="F2365" s="1186"/>
      <c r="G2365" s="451"/>
      <c r="H2365" s="451"/>
      <c r="X2365" s="501" t="b">
        <f t="shared" si="211"/>
        <v>1</v>
      </c>
    </row>
    <row r="2366" s="411" customFormat="1" outlineLevel="2" spans="1:24">
      <c r="A2366" s="411" t="s">
        <v>2315</v>
      </c>
      <c r="B2366" s="428" t="s">
        <v>3203</v>
      </c>
      <c r="C2366" s="429" t="str">
        <f t="shared" si="210"/>
        <v>石嘴山市深阳蓝光市政工程有限公司</v>
      </c>
      <c r="D2366" s="1180"/>
      <c r="E2366" s="1218" t="s">
        <v>2334</v>
      </c>
      <c r="F2366" s="1195"/>
      <c r="G2366" s="471"/>
      <c r="H2366" s="471"/>
      <c r="I2366" s="1224"/>
      <c r="X2366" s="501" t="b">
        <f t="shared" si="211"/>
        <v>1</v>
      </c>
    </row>
    <row r="2367" s="411" customFormat="1" outlineLevel="2" spans="2:24">
      <c r="B2367" s="428" t="s">
        <v>3203</v>
      </c>
      <c r="C2367" s="429" t="str">
        <f t="shared" si="210"/>
        <v>石嘴山市深阳蓝光市政工程有限公司</v>
      </c>
      <c r="D2367" s="1180"/>
      <c r="E2367" s="1196"/>
      <c r="F2367" s="1186"/>
      <c r="G2367" s="451"/>
      <c r="H2367" s="451"/>
      <c r="X2367" s="501" t="b">
        <f t="shared" si="211"/>
        <v>1</v>
      </c>
    </row>
    <row r="2368" s="411" customFormat="1" spans="1:24">
      <c r="A2368" s="411" t="s">
        <v>3211</v>
      </c>
      <c r="B2368" s="428" t="s">
        <v>3212</v>
      </c>
      <c r="C2368" s="429" t="str">
        <f t="shared" si="210"/>
        <v>石嘴山市深阳蓝光市政工程有限公司</v>
      </c>
      <c r="D2368" s="1180" t="s">
        <v>3133</v>
      </c>
      <c r="E2368" s="65" t="s">
        <v>3213</v>
      </c>
      <c r="F2368" s="1137" t="s">
        <v>2635</v>
      </c>
      <c r="G2368" s="451"/>
      <c r="H2368" s="451"/>
      <c r="X2368" s="501" t="b">
        <f t="shared" si="211"/>
        <v>1</v>
      </c>
    </row>
    <row r="2369" s="411" customFormat="1" outlineLevel="2" spans="1:24">
      <c r="A2369" s="411" t="s">
        <v>3133</v>
      </c>
      <c r="B2369" s="428" t="s">
        <v>3212</v>
      </c>
      <c r="C2369" s="429" t="str">
        <f t="shared" si="210"/>
        <v>石嘴山市深阳蓝光市政工程有限公司</v>
      </c>
      <c r="D2369" s="1225" t="s">
        <v>3133</v>
      </c>
      <c r="E2369" s="1226" t="s">
        <v>3133</v>
      </c>
      <c r="F2369" s="1226"/>
      <c r="G2369" s="1226"/>
      <c r="H2369" s="1226"/>
      <c r="I2369" s="1226"/>
      <c r="X2369" s="501" t="b">
        <f t="shared" si="211"/>
        <v>1</v>
      </c>
    </row>
    <row r="2370" s="411" customFormat="1" outlineLevel="2" spans="1:24">
      <c r="A2370" s="411" t="s">
        <v>1148</v>
      </c>
      <c r="B2370" s="428" t="s">
        <v>3212</v>
      </c>
      <c r="C2370" s="429" t="str">
        <f t="shared" si="210"/>
        <v>石嘴山市深阳蓝光市政工程有限公司</v>
      </c>
      <c r="D2370" s="1225" t="s">
        <v>3133</v>
      </c>
      <c r="E2370" s="1227" t="s">
        <v>1148</v>
      </c>
      <c r="F2370" s="1227" t="s">
        <v>1579</v>
      </c>
      <c r="G2370" s="1227" t="s">
        <v>671</v>
      </c>
      <c r="H2370" s="1227" t="s">
        <v>672</v>
      </c>
      <c r="I2370" s="1227" t="s">
        <v>315</v>
      </c>
      <c r="J2370" s="1227" t="s">
        <v>353</v>
      </c>
      <c r="X2370" s="501" t="b">
        <f t="shared" si="211"/>
        <v>1</v>
      </c>
    </row>
    <row r="2371" s="411" customFormat="1" outlineLevel="2" spans="2:24">
      <c r="B2371" s="428" t="s">
        <v>3212</v>
      </c>
      <c r="C2371" s="429" t="str">
        <f t="shared" si="210"/>
        <v>石嘴山市深阳蓝光市政工程有限公司</v>
      </c>
      <c r="D2371" s="1225" t="s">
        <v>3133</v>
      </c>
      <c r="E2371" s="1228"/>
      <c r="F2371" s="732"/>
      <c r="G2371" s="732"/>
      <c r="H2371" s="732"/>
      <c r="I2371" s="985">
        <f t="shared" ref="I2371:I2376" si="212">F2371+G2371-H2371</f>
        <v>0</v>
      </c>
      <c r="J2371" s="1228"/>
      <c r="X2371" s="501" t="b">
        <f t="shared" si="211"/>
        <v>1</v>
      </c>
    </row>
    <row r="2372" s="411" customFormat="1" outlineLevel="2" spans="2:24">
      <c r="B2372" s="428" t="s">
        <v>3212</v>
      </c>
      <c r="C2372" s="429" t="str">
        <f t="shared" si="210"/>
        <v>石嘴山市深阳蓝光市政工程有限公司</v>
      </c>
      <c r="D2372" s="1225" t="s">
        <v>3133</v>
      </c>
      <c r="E2372" s="1228"/>
      <c r="F2372" s="732"/>
      <c r="G2372" s="732"/>
      <c r="H2372" s="732"/>
      <c r="I2372" s="985">
        <f t="shared" si="212"/>
        <v>0</v>
      </c>
      <c r="J2372" s="1228"/>
      <c r="X2372" s="501" t="b">
        <f t="shared" si="211"/>
        <v>1</v>
      </c>
    </row>
    <row r="2373" s="411" customFormat="1" outlineLevel="2" spans="2:24">
      <c r="B2373" s="428" t="s">
        <v>3212</v>
      </c>
      <c r="C2373" s="429" t="str">
        <f t="shared" si="210"/>
        <v>石嘴山市深阳蓝光市政工程有限公司</v>
      </c>
      <c r="D2373" s="1225" t="s">
        <v>3133</v>
      </c>
      <c r="E2373" s="1228"/>
      <c r="F2373" s="732"/>
      <c r="G2373" s="732"/>
      <c r="H2373" s="732"/>
      <c r="I2373" s="985">
        <f t="shared" si="212"/>
        <v>0</v>
      </c>
      <c r="J2373" s="1228"/>
      <c r="X2373" s="501" t="b">
        <f t="shared" si="211"/>
        <v>1</v>
      </c>
    </row>
    <row r="2374" s="411" customFormat="1" outlineLevel="2" spans="2:24">
      <c r="B2374" s="428" t="s">
        <v>3212</v>
      </c>
      <c r="C2374" s="429" t="str">
        <f t="shared" si="210"/>
        <v>石嘴山市深阳蓝光市政工程有限公司</v>
      </c>
      <c r="D2374" s="1225" t="s">
        <v>3133</v>
      </c>
      <c r="E2374" s="1228"/>
      <c r="F2374" s="732"/>
      <c r="G2374" s="732"/>
      <c r="H2374" s="732"/>
      <c r="I2374" s="985">
        <f t="shared" si="212"/>
        <v>0</v>
      </c>
      <c r="J2374" s="1228"/>
      <c r="X2374" s="501" t="b">
        <f t="shared" si="211"/>
        <v>1</v>
      </c>
    </row>
    <row r="2375" s="411" customFormat="1" outlineLevel="2" spans="2:24">
      <c r="B2375" s="428" t="s">
        <v>3212</v>
      </c>
      <c r="C2375" s="429" t="str">
        <f t="shared" si="210"/>
        <v>石嘴山市深阳蓝光市政工程有限公司</v>
      </c>
      <c r="D2375" s="1225" t="s">
        <v>3133</v>
      </c>
      <c r="E2375" s="1229"/>
      <c r="F2375" s="132"/>
      <c r="G2375" s="132"/>
      <c r="H2375" s="132"/>
      <c r="I2375" s="985">
        <f t="shared" si="212"/>
        <v>0</v>
      </c>
      <c r="J2375" s="1228"/>
      <c r="X2375" s="501" t="b">
        <f t="shared" si="211"/>
        <v>1</v>
      </c>
    </row>
    <row r="2376" s="411" customFormat="1" outlineLevel="2" spans="2:24">
      <c r="B2376" s="428" t="s">
        <v>3212</v>
      </c>
      <c r="C2376" s="429" t="str">
        <f t="shared" si="210"/>
        <v>石嘴山市深阳蓝光市政工程有限公司</v>
      </c>
      <c r="D2376" s="1225" t="s">
        <v>3133</v>
      </c>
      <c r="E2376" s="1229"/>
      <c r="F2376" s="132"/>
      <c r="G2376" s="132"/>
      <c r="H2376" s="132"/>
      <c r="I2376" s="985">
        <f t="shared" si="212"/>
        <v>0</v>
      </c>
      <c r="J2376" s="1228"/>
      <c r="X2376" s="501" t="b">
        <f t="shared" si="211"/>
        <v>1</v>
      </c>
    </row>
    <row r="2377" s="411" customFormat="1" outlineLevel="2" spans="1:24">
      <c r="A2377" s="411" t="s">
        <v>1580</v>
      </c>
      <c r="B2377" s="428" t="s">
        <v>3212</v>
      </c>
      <c r="C2377" s="429" t="str">
        <f t="shared" si="210"/>
        <v>石嘴山市深阳蓝光市政工程有限公司</v>
      </c>
      <c r="D2377" s="1225" t="s">
        <v>3133</v>
      </c>
      <c r="E2377" s="1227" t="s">
        <v>1580</v>
      </c>
      <c r="F2377" s="985">
        <f>SUM(F2371:F2376)</f>
        <v>0</v>
      </c>
      <c r="G2377" s="985">
        <f>SUM(G2371:G2376)</f>
        <v>0</v>
      </c>
      <c r="H2377" s="985">
        <f>SUM(H2371:H2376)</f>
        <v>0</v>
      </c>
      <c r="I2377" s="985">
        <f>SUM(I2371:I2376)</f>
        <v>0</v>
      </c>
      <c r="J2377" s="1244"/>
      <c r="X2377" s="501" t="b">
        <f t="shared" si="211"/>
        <v>1</v>
      </c>
    </row>
    <row r="2378" s="411" customFormat="1" outlineLevel="2" spans="1:24">
      <c r="A2378" s="411" t="s">
        <v>1444</v>
      </c>
      <c r="B2378" s="428" t="s">
        <v>3212</v>
      </c>
      <c r="C2378" s="429" t="str">
        <f t="shared" si="210"/>
        <v>石嘴山市深阳蓝光市政工程有限公司</v>
      </c>
      <c r="D2378" s="1225" t="s">
        <v>3133</v>
      </c>
      <c r="E2378" s="1017" t="s">
        <v>1444</v>
      </c>
      <c r="F2378" s="1230">
        <f>审定资负表!H26</f>
        <v>0</v>
      </c>
      <c r="G2378" s="1226"/>
      <c r="H2378" s="1226"/>
      <c r="I2378" s="1230">
        <f>审定资负表!G26</f>
        <v>0</v>
      </c>
      <c r="X2378" s="501" t="b">
        <f t="shared" si="211"/>
        <v>1</v>
      </c>
    </row>
    <row r="2379" s="411" customFormat="1" outlineLevel="1" spans="1:24">
      <c r="A2379" s="411" t="s">
        <v>1394</v>
      </c>
      <c r="B2379" s="428" t="s">
        <v>3212</v>
      </c>
      <c r="C2379" s="429" t="str">
        <f t="shared" si="210"/>
        <v>石嘴山市深阳蓝光市政工程有限公司</v>
      </c>
      <c r="D2379" s="1225" t="s">
        <v>3133</v>
      </c>
      <c r="E2379" s="1017" t="s">
        <v>1394</v>
      </c>
      <c r="F2379" s="87">
        <f>ROUND(F2377-F2378,2)</f>
        <v>0</v>
      </c>
      <c r="G2379" s="1226"/>
      <c r="H2379" s="1226"/>
      <c r="I2379" s="87">
        <f>ROUND(I2377-I2378,2)</f>
        <v>0</v>
      </c>
      <c r="X2379" s="501" t="b">
        <f t="shared" si="211"/>
        <v>1</v>
      </c>
    </row>
    <row r="2380" s="411" customFormat="1" outlineLevel="2" spans="2:24">
      <c r="B2380" s="428" t="s">
        <v>3212</v>
      </c>
      <c r="C2380" s="429" t="str">
        <f t="shared" si="210"/>
        <v>石嘴山市深阳蓝光市政工程有限公司</v>
      </c>
      <c r="D2380" s="1180" t="s">
        <v>3133</v>
      </c>
      <c r="E2380" s="1218"/>
      <c r="F2380" s="1186"/>
      <c r="G2380" s="451"/>
      <c r="H2380" s="451"/>
      <c r="X2380" s="501" t="b">
        <f t="shared" si="211"/>
        <v>1</v>
      </c>
    </row>
    <row r="2381" s="411" customFormat="1" outlineLevel="2" spans="2:24">
      <c r="B2381" s="428" t="s">
        <v>3212</v>
      </c>
      <c r="C2381" s="429" t="str">
        <f t="shared" si="210"/>
        <v>石嘴山市深阳蓝光市政工程有限公司</v>
      </c>
      <c r="D2381" s="1180"/>
      <c r="E2381" s="149"/>
      <c r="F2381" s="1186"/>
      <c r="G2381" s="451"/>
      <c r="H2381" s="451"/>
      <c r="X2381" s="501" t="b">
        <f t="shared" si="211"/>
        <v>1</v>
      </c>
    </row>
    <row r="2382" s="411" customFormat="1" outlineLevel="2" spans="1:24">
      <c r="A2382" s="411" t="s">
        <v>2315</v>
      </c>
      <c r="B2382" s="428" t="s">
        <v>3212</v>
      </c>
      <c r="C2382" s="429" t="str">
        <f t="shared" si="210"/>
        <v>石嘴山市深阳蓝光市政工程有限公司</v>
      </c>
      <c r="D2382" s="1180"/>
      <c r="E2382" s="1218" t="s">
        <v>2334</v>
      </c>
      <c r="F2382" s="1195"/>
      <c r="G2382" s="471"/>
      <c r="H2382" s="471"/>
      <c r="I2382" s="1224"/>
      <c r="X2382" s="501" t="b">
        <f t="shared" si="211"/>
        <v>1</v>
      </c>
    </row>
    <row r="2383" s="411" customFormat="1" outlineLevel="2" spans="1:24">
      <c r="A2383" s="411" t="s">
        <v>3214</v>
      </c>
      <c r="B2383" s="428" t="s">
        <v>3212</v>
      </c>
      <c r="C2383" s="429" t="str">
        <f t="shared" si="210"/>
        <v>石嘴山市深阳蓝光市政工程有限公司</v>
      </c>
      <c r="D2383" s="1180" t="s">
        <v>3214</v>
      </c>
      <c r="E2383" s="1218" t="s">
        <v>3215</v>
      </c>
      <c r="F2383" s="1186"/>
      <c r="G2383" s="451"/>
      <c r="H2383" s="451"/>
      <c r="X2383" s="501" t="b">
        <f t="shared" si="211"/>
        <v>1</v>
      </c>
    </row>
    <row r="2384" s="411" customFormat="1" outlineLevel="2" spans="1:24">
      <c r="A2384" s="411" t="s">
        <v>2315</v>
      </c>
      <c r="B2384" s="428" t="s">
        <v>3212</v>
      </c>
      <c r="C2384" s="429" t="str">
        <f t="shared" si="210"/>
        <v>石嘴山市深阳蓝光市政工程有限公司</v>
      </c>
      <c r="D2384" s="1180" t="s">
        <v>3214</v>
      </c>
      <c r="E2384" s="1218" t="s">
        <v>2334</v>
      </c>
      <c r="F2384" s="1195"/>
      <c r="G2384" s="471"/>
      <c r="H2384" s="471"/>
      <c r="I2384" s="1224"/>
      <c r="X2384" s="501" t="b">
        <f t="shared" si="211"/>
        <v>1</v>
      </c>
    </row>
    <row r="2385" s="411" customFormat="1" spans="1:24">
      <c r="A2385" s="411" t="s">
        <v>3216</v>
      </c>
      <c r="B2385" s="1231" t="s">
        <v>3217</v>
      </c>
      <c r="C2385" s="429" t="str">
        <f t="shared" si="210"/>
        <v>石嘴山市深阳蓝光市政工程有限公司</v>
      </c>
      <c r="D2385" s="1180" t="s">
        <v>2815</v>
      </c>
      <c r="E2385" s="1232" t="s">
        <v>3218</v>
      </c>
      <c r="F2385" s="1137" t="s">
        <v>2635</v>
      </c>
      <c r="G2385" s="451"/>
      <c r="H2385" s="451"/>
      <c r="X2385" s="501" t="b">
        <f t="shared" si="211"/>
        <v>1</v>
      </c>
    </row>
    <row r="2386" s="411" customFormat="1" outlineLevel="2" spans="1:24">
      <c r="A2386" s="411" t="s">
        <v>2815</v>
      </c>
      <c r="B2386" s="1231" t="s">
        <v>3217</v>
      </c>
      <c r="C2386" s="429" t="str">
        <f t="shared" si="210"/>
        <v>石嘴山市深阳蓝光市政工程有限公司</v>
      </c>
      <c r="D2386" s="1180" t="s">
        <v>2815</v>
      </c>
      <c r="E2386" s="1209" t="s">
        <v>2816</v>
      </c>
      <c r="F2386" s="1209"/>
      <c r="G2386" s="1209"/>
      <c r="H2386" s="1233"/>
      <c r="X2386" s="501" t="b">
        <f t="shared" si="211"/>
        <v>1</v>
      </c>
    </row>
    <row r="2387" s="411" customFormat="1" outlineLevel="2" spans="1:24">
      <c r="A2387" s="411" t="s">
        <v>1148</v>
      </c>
      <c r="B2387" s="1231" t="s">
        <v>3217</v>
      </c>
      <c r="C2387" s="429" t="str">
        <f t="shared" si="210"/>
        <v>石嘴山市深阳蓝光市政工程有限公司</v>
      </c>
      <c r="D2387" s="1180" t="s">
        <v>2815</v>
      </c>
      <c r="E2387" s="1210" t="s">
        <v>1148</v>
      </c>
      <c r="F2387" s="1210" t="s">
        <v>315</v>
      </c>
      <c r="G2387" s="1210" t="s">
        <v>1579</v>
      </c>
      <c r="X2387" s="501" t="b">
        <f t="shared" si="211"/>
        <v>1</v>
      </c>
    </row>
    <row r="2388" s="411" customFormat="1" outlineLevel="2" spans="2:24">
      <c r="B2388" s="1231" t="s">
        <v>3217</v>
      </c>
      <c r="C2388" s="429" t="str">
        <f t="shared" si="210"/>
        <v>石嘴山市深阳蓝光市政工程有限公司</v>
      </c>
      <c r="D2388" s="1180" t="s">
        <v>2815</v>
      </c>
      <c r="E2388" s="1212"/>
      <c r="F2388" s="1213"/>
      <c r="G2388" s="732"/>
      <c r="X2388" s="501" t="b">
        <f t="shared" si="211"/>
        <v>1</v>
      </c>
    </row>
    <row r="2389" s="411" customFormat="1" outlineLevel="2" spans="2:24">
      <c r="B2389" s="1231" t="s">
        <v>3217</v>
      </c>
      <c r="C2389" s="429" t="str">
        <f t="shared" si="210"/>
        <v>石嘴山市深阳蓝光市政工程有限公司</v>
      </c>
      <c r="D2389" s="1180" t="s">
        <v>2815</v>
      </c>
      <c r="E2389" s="1212"/>
      <c r="F2389" s="1213"/>
      <c r="G2389" s="732"/>
      <c r="X2389" s="501" t="b">
        <f t="shared" si="211"/>
        <v>1</v>
      </c>
    </row>
    <row r="2390" s="411" customFormat="1" outlineLevel="2" spans="2:24">
      <c r="B2390" s="1231" t="s">
        <v>3217</v>
      </c>
      <c r="C2390" s="429" t="str">
        <f t="shared" si="210"/>
        <v>石嘴山市深阳蓝光市政工程有限公司</v>
      </c>
      <c r="D2390" s="1180" t="s">
        <v>2815</v>
      </c>
      <c r="E2390" s="1212"/>
      <c r="F2390" s="1213"/>
      <c r="G2390" s="732"/>
      <c r="X2390" s="501" t="b">
        <f t="shared" si="211"/>
        <v>1</v>
      </c>
    </row>
    <row r="2391" s="411" customFormat="1" outlineLevel="2" spans="2:24">
      <c r="B2391" s="1231" t="s">
        <v>3217</v>
      </c>
      <c r="C2391" s="429" t="str">
        <f t="shared" si="210"/>
        <v>石嘴山市深阳蓝光市政工程有限公司</v>
      </c>
      <c r="D2391" s="1180" t="s">
        <v>2815</v>
      </c>
      <c r="E2391" s="1212"/>
      <c r="F2391" s="1213"/>
      <c r="G2391" s="732"/>
      <c r="X2391" s="501" t="b">
        <f t="shared" si="211"/>
        <v>1</v>
      </c>
    </row>
    <row r="2392" s="411" customFormat="1" outlineLevel="2" spans="2:24">
      <c r="B2392" s="1231" t="s">
        <v>3217</v>
      </c>
      <c r="C2392" s="429" t="str">
        <f t="shared" si="210"/>
        <v>石嘴山市深阳蓝光市政工程有限公司</v>
      </c>
      <c r="D2392" s="1180" t="s">
        <v>2815</v>
      </c>
      <c r="E2392" s="1212"/>
      <c r="F2392" s="982"/>
      <c r="G2392" s="132"/>
      <c r="X2392" s="501" t="b">
        <f t="shared" si="211"/>
        <v>1</v>
      </c>
    </row>
    <row r="2393" s="411" customFormat="1" outlineLevel="2" spans="2:24">
      <c r="B2393" s="1231" t="s">
        <v>3217</v>
      </c>
      <c r="C2393" s="429" t="str">
        <f t="shared" si="210"/>
        <v>石嘴山市深阳蓝光市政工程有限公司</v>
      </c>
      <c r="D2393" s="1180" t="s">
        <v>2815</v>
      </c>
      <c r="E2393" s="1212"/>
      <c r="F2393" s="982"/>
      <c r="G2393" s="132"/>
      <c r="X2393" s="501" t="b">
        <f t="shared" si="211"/>
        <v>1</v>
      </c>
    </row>
    <row r="2394" s="411" customFormat="1" outlineLevel="2" spans="1:24">
      <c r="A2394" s="411" t="s">
        <v>1580</v>
      </c>
      <c r="B2394" s="1231" t="s">
        <v>3217</v>
      </c>
      <c r="C2394" s="429" t="str">
        <f t="shared" si="210"/>
        <v>石嘴山市深阳蓝光市政工程有限公司</v>
      </c>
      <c r="D2394" s="1180" t="s">
        <v>2815</v>
      </c>
      <c r="E2394" s="1210" t="s">
        <v>1580</v>
      </c>
      <c r="F2394" s="1216">
        <f>SUM(F2388:F2393)</f>
        <v>0</v>
      </c>
      <c r="G2394" s="1216">
        <f>SUM(G2388:G2393)</f>
        <v>0</v>
      </c>
      <c r="H2394" s="1234"/>
      <c r="X2394" s="501" t="b">
        <f t="shared" si="211"/>
        <v>1</v>
      </c>
    </row>
    <row r="2395" s="411" customFormat="1" outlineLevel="2" spans="1:24">
      <c r="A2395" s="411" t="s">
        <v>1444</v>
      </c>
      <c r="B2395" s="1231" t="s">
        <v>3217</v>
      </c>
      <c r="C2395" s="429" t="str">
        <f t="shared" si="210"/>
        <v>石嘴山市深阳蓝光市政工程有限公司</v>
      </c>
      <c r="D2395" s="1180" t="s">
        <v>2815</v>
      </c>
      <c r="E2395" s="1060" t="s">
        <v>1444</v>
      </c>
      <c r="F2395" s="566">
        <f>审定资负表!G29</f>
        <v>0</v>
      </c>
      <c r="G2395" s="566">
        <f>审定资负表!H18</f>
        <v>0</v>
      </c>
      <c r="X2395" s="501" t="b">
        <f t="shared" si="211"/>
        <v>1</v>
      </c>
    </row>
    <row r="2396" s="411" customFormat="1" outlineLevel="1" collapsed="1" spans="1:24">
      <c r="A2396" s="411" t="s">
        <v>1394</v>
      </c>
      <c r="B2396" s="1231" t="s">
        <v>3217</v>
      </c>
      <c r="C2396" s="429" t="str">
        <f t="shared" si="210"/>
        <v>石嘴山市深阳蓝光市政工程有限公司</v>
      </c>
      <c r="D2396" s="1180" t="s">
        <v>2815</v>
      </c>
      <c r="E2396" s="1060" t="s">
        <v>1394</v>
      </c>
      <c r="F2396" s="87">
        <f>ROUND(F2394-F2395,2)</f>
        <v>0</v>
      </c>
      <c r="G2396" s="87">
        <f>ROUND(G2394-G2395,2)</f>
        <v>0</v>
      </c>
      <c r="X2396" s="501" t="b">
        <f t="shared" si="211"/>
        <v>1</v>
      </c>
    </row>
    <row r="2397" s="411" customFormat="1" hidden="1" outlineLevel="2" spans="2:24">
      <c r="B2397" s="1231" t="s">
        <v>3217</v>
      </c>
      <c r="C2397" s="429" t="str">
        <f t="shared" si="210"/>
        <v>石嘴山市深阳蓝光市政工程有限公司</v>
      </c>
      <c r="D2397" s="1180" t="s">
        <v>2815</v>
      </c>
      <c r="E2397" s="1196"/>
      <c r="F2397" s="1186"/>
      <c r="G2397" s="451"/>
      <c r="H2397" s="451"/>
      <c r="X2397" s="501" t="b">
        <f t="shared" si="211"/>
        <v>1</v>
      </c>
    </row>
    <row r="2398" s="411" customFormat="1" hidden="1" outlineLevel="2" spans="2:24">
      <c r="B2398" s="1231" t="s">
        <v>3217</v>
      </c>
      <c r="C2398" s="429" t="str">
        <f t="shared" si="210"/>
        <v>石嘴山市深阳蓝光市政工程有限公司</v>
      </c>
      <c r="D2398" s="1180"/>
      <c r="E2398" s="149"/>
      <c r="F2398" s="1186"/>
      <c r="G2398" s="451"/>
      <c r="H2398" s="451"/>
      <c r="X2398" s="501" t="b">
        <f t="shared" si="211"/>
        <v>1</v>
      </c>
    </row>
    <row r="2399" s="411" customFormat="1" hidden="1" outlineLevel="2" spans="1:24">
      <c r="A2399" s="411" t="s">
        <v>2315</v>
      </c>
      <c r="B2399" s="1231" t="s">
        <v>3217</v>
      </c>
      <c r="C2399" s="429" t="str">
        <f t="shared" si="210"/>
        <v>石嘴山市深阳蓝光市政工程有限公司</v>
      </c>
      <c r="D2399" s="1180"/>
      <c r="E2399" s="1218" t="s">
        <v>2334</v>
      </c>
      <c r="F2399" s="1195"/>
      <c r="G2399" s="471"/>
      <c r="H2399" s="451"/>
      <c r="X2399" s="501" t="b">
        <f t="shared" si="211"/>
        <v>1</v>
      </c>
    </row>
    <row r="2400" s="411" customFormat="1" hidden="1" outlineLevel="2" spans="2:24">
      <c r="B2400" s="1231" t="s">
        <v>3217</v>
      </c>
      <c r="C2400" s="429" t="str">
        <f t="shared" si="210"/>
        <v>石嘴山市深阳蓝光市政工程有限公司</v>
      </c>
      <c r="D2400" s="1180"/>
      <c r="E2400" s="1196"/>
      <c r="F2400" s="1186"/>
      <c r="G2400" s="451"/>
      <c r="H2400" s="451"/>
      <c r="X2400" s="501" t="b">
        <f t="shared" si="211"/>
        <v>1</v>
      </c>
    </row>
    <row r="2401" s="411" customFormat="1" spans="1:24">
      <c r="A2401" s="411" t="s">
        <v>3219</v>
      </c>
      <c r="B2401" s="428" t="s">
        <v>3220</v>
      </c>
      <c r="C2401" s="429" t="str">
        <f t="shared" si="210"/>
        <v>石嘴山市深阳蓝光市政工程有限公司</v>
      </c>
      <c r="D2401" s="1180" t="s">
        <v>3221</v>
      </c>
      <c r="E2401" s="1232" t="s">
        <v>3222</v>
      </c>
      <c r="F2401" s="1137" t="s">
        <v>2635</v>
      </c>
      <c r="G2401" s="451"/>
      <c r="H2401" s="451"/>
      <c r="X2401" s="501" t="b">
        <f t="shared" si="211"/>
        <v>1</v>
      </c>
    </row>
    <row r="2402" s="411" customFormat="1" outlineLevel="2" spans="1:24">
      <c r="A2402" s="411" t="s">
        <v>3221</v>
      </c>
      <c r="B2402" s="428" t="s">
        <v>3220</v>
      </c>
      <c r="C2402" s="429" t="str">
        <f t="shared" ref="C2402:C2465" si="213">$G$1</f>
        <v>石嘴山市深阳蓝光市政工程有限公司</v>
      </c>
      <c r="D2402" s="1180" t="s">
        <v>3221</v>
      </c>
      <c r="E2402" s="1232" t="s">
        <v>3221</v>
      </c>
      <c r="F2402" s="1137"/>
      <c r="G2402" s="451"/>
      <c r="H2402" s="451"/>
      <c r="X2402" s="501" t="b">
        <f t="shared" ref="X2402:X2465" si="214">EXACT(A2402,E2402)</f>
        <v>1</v>
      </c>
    </row>
    <row r="2403" s="411" customFormat="1" outlineLevel="2" spans="1:24">
      <c r="A2403" s="411" t="s">
        <v>60</v>
      </c>
      <c r="B2403" s="428" t="s">
        <v>3220</v>
      </c>
      <c r="C2403" s="429" t="str">
        <f t="shared" si="213"/>
        <v>石嘴山市深阳蓝光市政工程有限公司</v>
      </c>
      <c r="D2403" s="1180" t="s">
        <v>3221</v>
      </c>
      <c r="E2403" s="1000" t="s">
        <v>60</v>
      </c>
      <c r="F2403" s="1000" t="s">
        <v>670</v>
      </c>
      <c r="G2403" s="1000" t="s">
        <v>3223</v>
      </c>
      <c r="H2403" s="1000"/>
      <c r="I2403" s="1000"/>
      <c r="J2403" s="1000"/>
      <c r="K2403" s="1000"/>
      <c r="L2403" s="1000" t="s">
        <v>515</v>
      </c>
      <c r="X2403" s="501" t="b">
        <f t="shared" si="214"/>
        <v>1</v>
      </c>
    </row>
    <row r="2404" s="411" customFormat="1" outlineLevel="2" spans="2:24">
      <c r="B2404" s="428" t="s">
        <v>3220</v>
      </c>
      <c r="C2404" s="429" t="str">
        <f t="shared" si="213"/>
        <v>石嘴山市深阳蓝光市政工程有限公司</v>
      </c>
      <c r="D2404" s="1180" t="s">
        <v>3221</v>
      </c>
      <c r="E2404" s="1000"/>
      <c r="F2404" s="1000"/>
      <c r="G2404" s="1000" t="s">
        <v>3224</v>
      </c>
      <c r="H2404" s="1000" t="s">
        <v>3225</v>
      </c>
      <c r="I2404" s="1000" t="s">
        <v>3226</v>
      </c>
      <c r="J2404" s="1000" t="s">
        <v>279</v>
      </c>
      <c r="K2404" s="1000" t="s">
        <v>1580</v>
      </c>
      <c r="L2404" s="1000"/>
      <c r="X2404" s="501" t="b">
        <f t="shared" si="214"/>
        <v>1</v>
      </c>
    </row>
    <row r="2405" s="411" customFormat="1" outlineLevel="2" spans="1:24">
      <c r="A2405" s="411" t="s">
        <v>3227</v>
      </c>
      <c r="B2405" s="428" t="s">
        <v>3220</v>
      </c>
      <c r="C2405" s="429" t="str">
        <f t="shared" si="213"/>
        <v>石嘴山市深阳蓝光市政工程有限公司</v>
      </c>
      <c r="D2405" s="1180" t="s">
        <v>3221</v>
      </c>
      <c r="E2405" s="1235" t="s">
        <v>3227</v>
      </c>
      <c r="F2405" s="1236">
        <f>F2406+F2407+F2408+F2411</f>
        <v>0</v>
      </c>
      <c r="G2405" s="1236">
        <f t="shared" ref="G2405:L2405" si="215">G2406+G2407+G2408+G2411</f>
        <v>0</v>
      </c>
      <c r="H2405" s="1236">
        <f t="shared" si="215"/>
        <v>0</v>
      </c>
      <c r="I2405" s="1236">
        <f t="shared" si="215"/>
        <v>0</v>
      </c>
      <c r="J2405" s="1236">
        <f t="shared" si="215"/>
        <v>0</v>
      </c>
      <c r="K2405" s="1236">
        <f t="shared" si="215"/>
        <v>0</v>
      </c>
      <c r="L2405" s="1236">
        <f t="shared" si="215"/>
        <v>0</v>
      </c>
      <c r="X2405" s="501" t="b">
        <f t="shared" si="214"/>
        <v>1</v>
      </c>
    </row>
    <row r="2406" s="411" customFormat="1" outlineLevel="2" spans="1:24">
      <c r="A2406" s="411" t="s">
        <v>3228</v>
      </c>
      <c r="B2406" s="428" t="s">
        <v>3220</v>
      </c>
      <c r="C2406" s="429" t="str">
        <f t="shared" si="213"/>
        <v>石嘴山市深阳蓝光市政工程有限公司</v>
      </c>
      <c r="D2406" s="1180" t="s">
        <v>3221</v>
      </c>
      <c r="E2406" s="1237" t="s">
        <v>3229</v>
      </c>
      <c r="F2406" s="942"/>
      <c r="G2406" s="942"/>
      <c r="H2406" s="942"/>
      <c r="I2406" s="942"/>
      <c r="J2406" s="942"/>
      <c r="K2406" s="1236">
        <f>G2406+H2406+I2406+J2406</f>
        <v>0</v>
      </c>
      <c r="L2406" s="945">
        <f>F2406+K2406</f>
        <v>0</v>
      </c>
      <c r="X2406" s="501" t="b">
        <f t="shared" si="214"/>
        <v>1</v>
      </c>
    </row>
    <row r="2407" s="411" customFormat="1" outlineLevel="2" spans="1:24">
      <c r="A2407" s="411" t="s">
        <v>3230</v>
      </c>
      <c r="B2407" s="428" t="s">
        <v>3220</v>
      </c>
      <c r="C2407" s="429" t="str">
        <f t="shared" si="213"/>
        <v>石嘴山市深阳蓝光市政工程有限公司</v>
      </c>
      <c r="D2407" s="1180" t="s">
        <v>3221</v>
      </c>
      <c r="E2407" s="1237" t="s">
        <v>3231</v>
      </c>
      <c r="F2407" s="942"/>
      <c r="G2407" s="942"/>
      <c r="H2407" s="942"/>
      <c r="I2407" s="942"/>
      <c r="J2407" s="942"/>
      <c r="K2407" s="1236">
        <f t="shared" ref="K2407:K2418" si="216">G2407+H2407+I2407+J2407</f>
        <v>0</v>
      </c>
      <c r="L2407" s="945">
        <f t="shared" ref="L2407:L2418" si="217">F2407+K2407</f>
        <v>0</v>
      </c>
      <c r="X2407" s="501" t="b">
        <f t="shared" si="214"/>
        <v>1</v>
      </c>
    </row>
    <row r="2408" s="411" customFormat="1" outlineLevel="2" spans="1:24">
      <c r="A2408" s="411" t="s">
        <v>3232</v>
      </c>
      <c r="B2408" s="428" t="s">
        <v>3220</v>
      </c>
      <c r="C2408" s="429" t="str">
        <f t="shared" si="213"/>
        <v>石嘴山市深阳蓝光市政工程有限公司</v>
      </c>
      <c r="D2408" s="1180" t="s">
        <v>3221</v>
      </c>
      <c r="E2408" s="1237" t="s">
        <v>3233</v>
      </c>
      <c r="F2408" s="1236">
        <f>SUM(F2409:F2410)</f>
        <v>0</v>
      </c>
      <c r="G2408" s="1236">
        <f>SUM(G2409:G2410)</f>
        <v>0</v>
      </c>
      <c r="H2408" s="1236">
        <f>SUM(H2409:H2410)</f>
        <v>0</v>
      </c>
      <c r="I2408" s="1236">
        <f>SUM(I2409:I2410)</f>
        <v>0</v>
      </c>
      <c r="J2408" s="1236">
        <f>SUM(J2409:J2410)</f>
        <v>0</v>
      </c>
      <c r="K2408" s="1236">
        <f t="shared" si="216"/>
        <v>0</v>
      </c>
      <c r="L2408" s="945">
        <f t="shared" si="217"/>
        <v>0</v>
      </c>
      <c r="X2408" s="501" t="b">
        <f t="shared" si="214"/>
        <v>1</v>
      </c>
    </row>
    <row r="2409" s="411" customFormat="1" outlineLevel="2" spans="1:24">
      <c r="A2409" s="411" t="s">
        <v>3234</v>
      </c>
      <c r="B2409" s="428" t="s">
        <v>3220</v>
      </c>
      <c r="C2409" s="429" t="str">
        <f t="shared" si="213"/>
        <v>石嘴山市深阳蓝光市政工程有限公司</v>
      </c>
      <c r="D2409" s="1180" t="s">
        <v>3221</v>
      </c>
      <c r="E2409" s="660" t="s">
        <v>3234</v>
      </c>
      <c r="F2409" s="942"/>
      <c r="G2409" s="942"/>
      <c r="H2409" s="942"/>
      <c r="I2409" s="942"/>
      <c r="J2409" s="942"/>
      <c r="K2409" s="1236">
        <f t="shared" si="216"/>
        <v>0</v>
      </c>
      <c r="L2409" s="945">
        <f t="shared" si="217"/>
        <v>0</v>
      </c>
      <c r="X2409" s="501" t="b">
        <f t="shared" si="214"/>
        <v>1</v>
      </c>
    </row>
    <row r="2410" s="411" customFormat="1" outlineLevel="2" spans="1:24">
      <c r="A2410" s="411" t="s">
        <v>3235</v>
      </c>
      <c r="B2410" s="428" t="s">
        <v>3220</v>
      </c>
      <c r="C2410" s="429" t="str">
        <f t="shared" si="213"/>
        <v>石嘴山市深阳蓝光市政工程有限公司</v>
      </c>
      <c r="D2410" s="1180" t="s">
        <v>3221</v>
      </c>
      <c r="E2410" s="660" t="s">
        <v>3235</v>
      </c>
      <c r="F2410" s="942"/>
      <c r="G2410" s="942"/>
      <c r="H2410" s="942"/>
      <c r="I2410" s="942"/>
      <c r="J2410" s="942"/>
      <c r="K2410" s="1236">
        <f t="shared" si="216"/>
        <v>0</v>
      </c>
      <c r="L2410" s="945">
        <f t="shared" si="217"/>
        <v>0</v>
      </c>
      <c r="X2410" s="501" t="b">
        <f t="shared" si="214"/>
        <v>1</v>
      </c>
    </row>
    <row r="2411" s="411" customFormat="1" outlineLevel="2" spans="1:24">
      <c r="A2411" s="411" t="s">
        <v>3236</v>
      </c>
      <c r="B2411" s="428" t="s">
        <v>3220</v>
      </c>
      <c r="C2411" s="429" t="str">
        <f t="shared" si="213"/>
        <v>石嘴山市深阳蓝光市政工程有限公司</v>
      </c>
      <c r="D2411" s="1180" t="s">
        <v>3221</v>
      </c>
      <c r="E2411" s="1237" t="s">
        <v>3237</v>
      </c>
      <c r="F2411" s="945">
        <f>SUM(F2412:F2413)</f>
        <v>0</v>
      </c>
      <c r="G2411" s="945">
        <f>SUM(G2412:G2413)</f>
        <v>0</v>
      </c>
      <c r="H2411" s="945">
        <f>SUM(H2412:H2413)</f>
        <v>0</v>
      </c>
      <c r="I2411" s="945">
        <f>SUM(I2412:I2413)</f>
        <v>0</v>
      </c>
      <c r="J2411" s="945">
        <f>SUM(J2412:J2413)</f>
        <v>0</v>
      </c>
      <c r="K2411" s="1236">
        <f t="shared" si="216"/>
        <v>0</v>
      </c>
      <c r="L2411" s="945">
        <f t="shared" si="217"/>
        <v>0</v>
      </c>
      <c r="X2411" s="501" t="b">
        <f t="shared" si="214"/>
        <v>1</v>
      </c>
    </row>
    <row r="2412" s="411" customFormat="1" outlineLevel="2" spans="1:24">
      <c r="A2412" s="411" t="s">
        <v>3238</v>
      </c>
      <c r="B2412" s="428" t="s">
        <v>3220</v>
      </c>
      <c r="C2412" s="429" t="str">
        <f t="shared" si="213"/>
        <v>石嘴山市深阳蓝光市政工程有限公司</v>
      </c>
      <c r="D2412" s="1180" t="s">
        <v>3221</v>
      </c>
      <c r="E2412" s="660" t="s">
        <v>3238</v>
      </c>
      <c r="F2412" s="942"/>
      <c r="G2412" s="942"/>
      <c r="H2412" s="942"/>
      <c r="I2412" s="942"/>
      <c r="J2412" s="942"/>
      <c r="K2412" s="1236">
        <f t="shared" si="216"/>
        <v>0</v>
      </c>
      <c r="L2412" s="945">
        <f t="shared" si="217"/>
        <v>0</v>
      </c>
      <c r="X2412" s="501" t="b">
        <f t="shared" si="214"/>
        <v>1</v>
      </c>
    </row>
    <row r="2413" s="411" customFormat="1" outlineLevel="2" spans="1:24">
      <c r="A2413" s="411" t="s">
        <v>3239</v>
      </c>
      <c r="B2413" s="428" t="s">
        <v>3220</v>
      </c>
      <c r="C2413" s="429" t="str">
        <f t="shared" si="213"/>
        <v>石嘴山市深阳蓝光市政工程有限公司</v>
      </c>
      <c r="D2413" s="1180" t="s">
        <v>3221</v>
      </c>
      <c r="E2413" s="660" t="s">
        <v>3239</v>
      </c>
      <c r="F2413" s="942"/>
      <c r="G2413" s="942"/>
      <c r="H2413" s="942"/>
      <c r="I2413" s="942"/>
      <c r="J2413" s="942"/>
      <c r="K2413" s="1236">
        <f t="shared" si="216"/>
        <v>0</v>
      </c>
      <c r="L2413" s="945">
        <f t="shared" si="217"/>
        <v>0</v>
      </c>
      <c r="X2413" s="501" t="b">
        <f t="shared" si="214"/>
        <v>1</v>
      </c>
    </row>
    <row r="2414" s="411" customFormat="1" outlineLevel="2" spans="1:24">
      <c r="A2414" s="411" t="s">
        <v>3240</v>
      </c>
      <c r="B2414" s="428" t="s">
        <v>3220</v>
      </c>
      <c r="C2414" s="429" t="str">
        <f t="shared" si="213"/>
        <v>石嘴山市深阳蓝光市政工程有限公司</v>
      </c>
      <c r="D2414" s="1180" t="s">
        <v>3221</v>
      </c>
      <c r="E2414" s="1235" t="s">
        <v>3240</v>
      </c>
      <c r="F2414" s="1236">
        <f>F2415+F2416+F2417+F2418</f>
        <v>0</v>
      </c>
      <c r="G2414" s="1236">
        <f t="shared" ref="G2414:L2414" si="218">G2415+G2416+G2417+G2418</f>
        <v>0</v>
      </c>
      <c r="H2414" s="1236">
        <f t="shared" si="218"/>
        <v>0</v>
      </c>
      <c r="I2414" s="1236">
        <f t="shared" si="218"/>
        <v>0</v>
      </c>
      <c r="J2414" s="1236">
        <f t="shared" si="218"/>
        <v>0</v>
      </c>
      <c r="K2414" s="1236">
        <f t="shared" si="218"/>
        <v>0</v>
      </c>
      <c r="L2414" s="1236">
        <f t="shared" si="218"/>
        <v>0</v>
      </c>
      <c r="X2414" s="501" t="b">
        <f t="shared" si="214"/>
        <v>1</v>
      </c>
    </row>
    <row r="2415" s="411" customFormat="1" outlineLevel="2" spans="1:24">
      <c r="A2415" s="411" t="s">
        <v>3241</v>
      </c>
      <c r="B2415" s="428" t="s">
        <v>3220</v>
      </c>
      <c r="C2415" s="429" t="str">
        <f t="shared" si="213"/>
        <v>石嘴山市深阳蓝光市政工程有限公司</v>
      </c>
      <c r="D2415" s="1180" t="s">
        <v>3221</v>
      </c>
      <c r="E2415" s="1237" t="s">
        <v>3242</v>
      </c>
      <c r="F2415" s="942"/>
      <c r="G2415" s="942"/>
      <c r="H2415" s="942"/>
      <c r="I2415" s="942"/>
      <c r="J2415" s="942"/>
      <c r="K2415" s="1236">
        <f t="shared" si="216"/>
        <v>0</v>
      </c>
      <c r="L2415" s="945">
        <f t="shared" si="217"/>
        <v>0</v>
      </c>
      <c r="X2415" s="501" t="b">
        <f t="shared" si="214"/>
        <v>1</v>
      </c>
    </row>
    <row r="2416" s="411" customFormat="1" outlineLevel="2" spans="1:24">
      <c r="A2416" s="411" t="s">
        <v>3243</v>
      </c>
      <c r="B2416" s="428" t="s">
        <v>3220</v>
      </c>
      <c r="C2416" s="429" t="str">
        <f t="shared" si="213"/>
        <v>石嘴山市深阳蓝光市政工程有限公司</v>
      </c>
      <c r="D2416" s="1180" t="s">
        <v>3221</v>
      </c>
      <c r="E2416" s="1237" t="s">
        <v>3244</v>
      </c>
      <c r="F2416" s="942"/>
      <c r="G2416" s="942"/>
      <c r="H2416" s="942"/>
      <c r="I2416" s="942"/>
      <c r="J2416" s="942"/>
      <c r="K2416" s="1236">
        <f t="shared" si="216"/>
        <v>0</v>
      </c>
      <c r="L2416" s="945">
        <f t="shared" si="217"/>
        <v>0</v>
      </c>
      <c r="X2416" s="501" t="b">
        <f t="shared" si="214"/>
        <v>1</v>
      </c>
    </row>
    <row r="2417" s="411" customFormat="1" outlineLevel="2" spans="1:24">
      <c r="A2417" s="411" t="s">
        <v>3245</v>
      </c>
      <c r="B2417" s="428" t="s">
        <v>3220</v>
      </c>
      <c r="C2417" s="429" t="str">
        <f t="shared" si="213"/>
        <v>石嘴山市深阳蓝光市政工程有限公司</v>
      </c>
      <c r="D2417" s="1180" t="s">
        <v>3221</v>
      </c>
      <c r="E2417" s="1237" t="s">
        <v>3246</v>
      </c>
      <c r="F2417" s="942"/>
      <c r="G2417" s="942"/>
      <c r="H2417" s="942"/>
      <c r="I2417" s="942"/>
      <c r="J2417" s="942"/>
      <c r="K2417" s="1236">
        <f t="shared" si="216"/>
        <v>0</v>
      </c>
      <c r="L2417" s="945">
        <f t="shared" si="217"/>
        <v>0</v>
      </c>
      <c r="X2417" s="501" t="b">
        <f t="shared" si="214"/>
        <v>1</v>
      </c>
    </row>
    <row r="2418" s="411" customFormat="1" outlineLevel="2" spans="1:24">
      <c r="A2418" s="411" t="s">
        <v>3247</v>
      </c>
      <c r="B2418" s="428" t="s">
        <v>3220</v>
      </c>
      <c r="C2418" s="429" t="str">
        <f t="shared" si="213"/>
        <v>石嘴山市深阳蓝光市政工程有限公司</v>
      </c>
      <c r="D2418" s="1180" t="s">
        <v>3221</v>
      </c>
      <c r="E2418" s="1237" t="s">
        <v>3248</v>
      </c>
      <c r="F2418" s="942"/>
      <c r="G2418" s="942"/>
      <c r="H2418" s="942"/>
      <c r="I2418" s="942"/>
      <c r="J2418" s="942"/>
      <c r="K2418" s="1236">
        <f t="shared" si="216"/>
        <v>0</v>
      </c>
      <c r="L2418" s="945">
        <f t="shared" si="217"/>
        <v>0</v>
      </c>
      <c r="X2418" s="501" t="b">
        <f t="shared" si="214"/>
        <v>1</v>
      </c>
    </row>
    <row r="2419" s="411" customFormat="1" outlineLevel="2" spans="1:24">
      <c r="A2419" s="411" t="s">
        <v>3249</v>
      </c>
      <c r="B2419" s="428" t="s">
        <v>3220</v>
      </c>
      <c r="C2419" s="429" t="str">
        <f t="shared" si="213"/>
        <v>石嘴山市深阳蓝光市政工程有限公司</v>
      </c>
      <c r="D2419" s="1180" t="s">
        <v>3221</v>
      </c>
      <c r="E2419" s="1238" t="s">
        <v>3249</v>
      </c>
      <c r="F2419" s="945">
        <f>F2405+F2414</f>
        <v>0</v>
      </c>
      <c r="G2419" s="945">
        <f t="shared" ref="G2419:L2419" si="219">G2405+G2414</f>
        <v>0</v>
      </c>
      <c r="H2419" s="945">
        <f t="shared" si="219"/>
        <v>0</v>
      </c>
      <c r="I2419" s="945">
        <f t="shared" si="219"/>
        <v>0</v>
      </c>
      <c r="J2419" s="945">
        <f t="shared" si="219"/>
        <v>0</v>
      </c>
      <c r="K2419" s="945">
        <f t="shared" si="219"/>
        <v>0</v>
      </c>
      <c r="L2419" s="945">
        <f t="shared" si="219"/>
        <v>0</v>
      </c>
      <c r="X2419" s="501" t="b">
        <f t="shared" si="214"/>
        <v>1</v>
      </c>
    </row>
    <row r="2420" s="411" customFormat="1" outlineLevel="2" spans="1:24">
      <c r="A2420" s="411" t="s">
        <v>1444</v>
      </c>
      <c r="B2420" s="428" t="s">
        <v>3220</v>
      </c>
      <c r="C2420" s="429" t="str">
        <f t="shared" si="213"/>
        <v>石嘴山市深阳蓝光市政工程有限公司</v>
      </c>
      <c r="D2420" s="1180" t="s">
        <v>3221</v>
      </c>
      <c r="E2420" s="1060" t="s">
        <v>1444</v>
      </c>
      <c r="F2420" s="1239">
        <f>审定资负表!H36</f>
        <v>0</v>
      </c>
      <c r="G2420" s="451"/>
      <c r="H2420" s="451"/>
      <c r="L2420" s="1221">
        <f>审定资负表!G36</f>
        <v>0</v>
      </c>
      <c r="X2420" s="501" t="b">
        <f t="shared" si="214"/>
        <v>1</v>
      </c>
    </row>
    <row r="2421" s="411" customFormat="1" outlineLevel="1" spans="1:24">
      <c r="A2421" s="411" t="s">
        <v>1394</v>
      </c>
      <c r="B2421" s="428" t="s">
        <v>3220</v>
      </c>
      <c r="C2421" s="429" t="str">
        <f t="shared" si="213"/>
        <v>石嘴山市深阳蓝光市政工程有限公司</v>
      </c>
      <c r="D2421" s="1180" t="s">
        <v>3221</v>
      </c>
      <c r="E2421" s="1060" t="s">
        <v>1394</v>
      </c>
      <c r="F2421" s="87">
        <f>ROUND(F2419-F2420,2)</f>
        <v>0</v>
      </c>
      <c r="G2421" s="451"/>
      <c r="H2421" s="451"/>
      <c r="L2421" s="87">
        <f>ROUND(L2419-L2420,2)</f>
        <v>0</v>
      </c>
      <c r="X2421" s="501" t="b">
        <f t="shared" si="214"/>
        <v>1</v>
      </c>
    </row>
    <row r="2422" s="411" customFormat="1" outlineLevel="2" spans="1:24">
      <c r="A2422" s="411" t="s">
        <v>3250</v>
      </c>
      <c r="B2422" s="428" t="s">
        <v>3220</v>
      </c>
      <c r="C2422" s="429" t="str">
        <f t="shared" si="213"/>
        <v>石嘴山市深阳蓝光市政工程有限公司</v>
      </c>
      <c r="D2422" s="1180" t="s">
        <v>3250</v>
      </c>
      <c r="E2422" s="1232" t="s">
        <v>3250</v>
      </c>
      <c r="F2422" s="1240"/>
      <c r="G2422" s="451"/>
      <c r="H2422" s="451"/>
      <c r="L2422" s="1245"/>
      <c r="X2422" s="501" t="b">
        <f t="shared" si="214"/>
        <v>1</v>
      </c>
    </row>
    <row r="2423" s="411" customFormat="1" outlineLevel="2" spans="1:24">
      <c r="A2423" s="411" t="s">
        <v>1113</v>
      </c>
      <c r="B2423" s="428" t="s">
        <v>3220</v>
      </c>
      <c r="C2423" s="429" t="str">
        <f t="shared" si="213"/>
        <v>石嘴山市深阳蓝光市政工程有限公司</v>
      </c>
      <c r="D2423" s="1180" t="s">
        <v>3250</v>
      </c>
      <c r="E2423" s="1194" t="s">
        <v>1113</v>
      </c>
      <c r="F2423" s="1241" t="s">
        <v>3251</v>
      </c>
      <c r="G2423" s="1241" t="s">
        <v>3252</v>
      </c>
      <c r="H2423" s="1241" t="s">
        <v>671</v>
      </c>
      <c r="I2423" s="1241" t="s">
        <v>672</v>
      </c>
      <c r="J2423" s="1241" t="s">
        <v>3253</v>
      </c>
      <c r="K2423" s="1241" t="s">
        <v>3254</v>
      </c>
      <c r="X2423" s="501" t="b">
        <f t="shared" si="214"/>
        <v>1</v>
      </c>
    </row>
    <row r="2424" s="411" customFormat="1" outlineLevel="2" spans="2:24">
      <c r="B2424" s="428" t="s">
        <v>3220</v>
      </c>
      <c r="C2424" s="429" t="str">
        <f t="shared" si="213"/>
        <v>石嘴山市深阳蓝光市政工程有限公司</v>
      </c>
      <c r="D2424" s="1180" t="s">
        <v>3250</v>
      </c>
      <c r="E2424" s="1188"/>
      <c r="F2424" s="942"/>
      <c r="G2424" s="1095">
        <f>IFERROR(ROUND(F2424/$F$2435,4),0)</f>
        <v>0</v>
      </c>
      <c r="H2424" s="1220"/>
      <c r="I2424" s="1220"/>
      <c r="J2424" s="1246">
        <f>F2424+H2424-I2424</f>
        <v>0</v>
      </c>
      <c r="K2424" s="1095">
        <f>IFERROR(ROUND(J2424/$J$2435,4),0)</f>
        <v>0</v>
      </c>
      <c r="X2424" s="501" t="b">
        <f t="shared" si="214"/>
        <v>1</v>
      </c>
    </row>
    <row r="2425" s="411" customFormat="1" outlineLevel="2" spans="2:24">
      <c r="B2425" s="428" t="s">
        <v>3220</v>
      </c>
      <c r="C2425" s="429" t="str">
        <f t="shared" si="213"/>
        <v>石嘴山市深阳蓝光市政工程有限公司</v>
      </c>
      <c r="D2425" s="1180" t="s">
        <v>3250</v>
      </c>
      <c r="E2425" s="1188"/>
      <c r="F2425" s="1242"/>
      <c r="G2425" s="1095">
        <f t="shared" ref="G2425:G2434" si="220">IFERROR(ROUND(F2425/$F$2435,4),0)</f>
        <v>0</v>
      </c>
      <c r="H2425" s="1220"/>
      <c r="I2425" s="1220"/>
      <c r="J2425" s="1246">
        <f t="shared" ref="J2425:J2434" si="221">F2425+H2425-I2425</f>
        <v>0</v>
      </c>
      <c r="K2425" s="1095">
        <f t="shared" ref="K2425:K2434" si="222">IFERROR(ROUND(J2425/$J$2435,4),0)</f>
        <v>0</v>
      </c>
      <c r="X2425" s="501" t="b">
        <f t="shared" si="214"/>
        <v>1</v>
      </c>
    </row>
    <row r="2426" s="411" customFormat="1" outlineLevel="2" spans="2:24">
      <c r="B2426" s="428" t="s">
        <v>3220</v>
      </c>
      <c r="C2426" s="429" t="str">
        <f t="shared" si="213"/>
        <v>石嘴山市深阳蓝光市政工程有限公司</v>
      </c>
      <c r="D2426" s="1180" t="s">
        <v>3250</v>
      </c>
      <c r="E2426" s="1243"/>
      <c r="F2426" s="1242"/>
      <c r="G2426" s="1095">
        <f t="shared" si="220"/>
        <v>0</v>
      </c>
      <c r="H2426" s="1220"/>
      <c r="I2426" s="1220"/>
      <c r="J2426" s="1246">
        <f t="shared" si="221"/>
        <v>0</v>
      </c>
      <c r="K2426" s="1095">
        <f t="shared" si="222"/>
        <v>0</v>
      </c>
      <c r="X2426" s="501" t="b">
        <f t="shared" si="214"/>
        <v>1</v>
      </c>
    </row>
    <row r="2427" s="411" customFormat="1" outlineLevel="2" spans="2:24">
      <c r="B2427" s="428" t="s">
        <v>3220</v>
      </c>
      <c r="C2427" s="429" t="str">
        <f t="shared" si="213"/>
        <v>石嘴山市深阳蓝光市政工程有限公司</v>
      </c>
      <c r="D2427" s="1180" t="s">
        <v>3250</v>
      </c>
      <c r="E2427" s="1188"/>
      <c r="F2427" s="1242"/>
      <c r="G2427" s="1095">
        <f t="shared" si="220"/>
        <v>0</v>
      </c>
      <c r="H2427" s="1220"/>
      <c r="I2427" s="1220"/>
      <c r="J2427" s="1246">
        <f t="shared" si="221"/>
        <v>0</v>
      </c>
      <c r="K2427" s="1095">
        <f t="shared" si="222"/>
        <v>0</v>
      </c>
      <c r="X2427" s="501" t="b">
        <f t="shared" si="214"/>
        <v>1</v>
      </c>
    </row>
    <row r="2428" s="411" customFormat="1" outlineLevel="2" spans="2:24">
      <c r="B2428" s="428" t="s">
        <v>3220</v>
      </c>
      <c r="C2428" s="429" t="str">
        <f t="shared" si="213"/>
        <v>石嘴山市深阳蓝光市政工程有限公司</v>
      </c>
      <c r="D2428" s="1180" t="s">
        <v>3250</v>
      </c>
      <c r="E2428" s="1188"/>
      <c r="F2428" s="1242"/>
      <c r="G2428" s="1095">
        <f t="shared" si="220"/>
        <v>0</v>
      </c>
      <c r="H2428" s="1220"/>
      <c r="I2428" s="1220"/>
      <c r="J2428" s="1246">
        <f t="shared" si="221"/>
        <v>0</v>
      </c>
      <c r="K2428" s="1095">
        <f t="shared" si="222"/>
        <v>0</v>
      </c>
      <c r="X2428" s="501" t="b">
        <f t="shared" si="214"/>
        <v>1</v>
      </c>
    </row>
    <row r="2429" s="411" customFormat="1" outlineLevel="2" spans="2:24">
      <c r="B2429" s="428" t="s">
        <v>3220</v>
      </c>
      <c r="C2429" s="429" t="str">
        <f t="shared" si="213"/>
        <v>石嘴山市深阳蓝光市政工程有限公司</v>
      </c>
      <c r="D2429" s="1180" t="s">
        <v>3250</v>
      </c>
      <c r="E2429" s="1188"/>
      <c r="F2429" s="1242"/>
      <c r="G2429" s="1095">
        <f t="shared" si="220"/>
        <v>0</v>
      </c>
      <c r="H2429" s="1220"/>
      <c r="I2429" s="1220"/>
      <c r="J2429" s="1246">
        <f t="shared" si="221"/>
        <v>0</v>
      </c>
      <c r="K2429" s="1095">
        <f t="shared" si="222"/>
        <v>0</v>
      </c>
      <c r="X2429" s="501" t="b">
        <f t="shared" si="214"/>
        <v>1</v>
      </c>
    </row>
    <row r="2430" s="411" customFormat="1" outlineLevel="2" spans="2:24">
      <c r="B2430" s="428" t="s">
        <v>3220</v>
      </c>
      <c r="C2430" s="429" t="str">
        <f t="shared" si="213"/>
        <v>石嘴山市深阳蓝光市政工程有限公司</v>
      </c>
      <c r="D2430" s="1180" t="s">
        <v>3250</v>
      </c>
      <c r="E2430" s="1188"/>
      <c r="F2430" s="1242"/>
      <c r="G2430" s="1095">
        <f t="shared" si="220"/>
        <v>0</v>
      </c>
      <c r="H2430" s="1220"/>
      <c r="I2430" s="1220"/>
      <c r="J2430" s="1246">
        <f t="shared" si="221"/>
        <v>0</v>
      </c>
      <c r="K2430" s="1095">
        <f t="shared" si="222"/>
        <v>0</v>
      </c>
      <c r="X2430" s="501" t="b">
        <f t="shared" si="214"/>
        <v>1</v>
      </c>
    </row>
    <row r="2431" s="411" customFormat="1" outlineLevel="2" spans="2:24">
      <c r="B2431" s="428" t="s">
        <v>3220</v>
      </c>
      <c r="C2431" s="429" t="str">
        <f t="shared" si="213"/>
        <v>石嘴山市深阳蓝光市政工程有限公司</v>
      </c>
      <c r="D2431" s="1180" t="s">
        <v>3250</v>
      </c>
      <c r="E2431" s="1188"/>
      <c r="F2431" s="1242"/>
      <c r="G2431" s="1095">
        <f t="shared" si="220"/>
        <v>0</v>
      </c>
      <c r="H2431" s="1220"/>
      <c r="I2431" s="1220"/>
      <c r="J2431" s="1246">
        <f t="shared" si="221"/>
        <v>0</v>
      </c>
      <c r="K2431" s="1095">
        <f t="shared" si="222"/>
        <v>0</v>
      </c>
      <c r="X2431" s="501" t="b">
        <f t="shared" si="214"/>
        <v>1</v>
      </c>
    </row>
    <row r="2432" s="411" customFormat="1" outlineLevel="2" spans="2:24">
      <c r="B2432" s="428" t="s">
        <v>3220</v>
      </c>
      <c r="C2432" s="429" t="str">
        <f t="shared" si="213"/>
        <v>石嘴山市深阳蓝光市政工程有限公司</v>
      </c>
      <c r="D2432" s="1180" t="s">
        <v>3250</v>
      </c>
      <c r="E2432" s="1188"/>
      <c r="F2432" s="1242"/>
      <c r="G2432" s="1095">
        <f t="shared" si="220"/>
        <v>0</v>
      </c>
      <c r="H2432" s="1220"/>
      <c r="I2432" s="1220"/>
      <c r="J2432" s="1246">
        <f t="shared" si="221"/>
        <v>0</v>
      </c>
      <c r="K2432" s="1095">
        <f t="shared" si="222"/>
        <v>0</v>
      </c>
      <c r="X2432" s="501" t="b">
        <f t="shared" si="214"/>
        <v>1</v>
      </c>
    </row>
    <row r="2433" s="411" customFormat="1" outlineLevel="2" spans="2:24">
      <c r="B2433" s="428" t="s">
        <v>3220</v>
      </c>
      <c r="C2433" s="429" t="str">
        <f t="shared" si="213"/>
        <v>石嘴山市深阳蓝光市政工程有限公司</v>
      </c>
      <c r="D2433" s="1180" t="s">
        <v>3250</v>
      </c>
      <c r="E2433" s="1188"/>
      <c r="F2433" s="1242"/>
      <c r="G2433" s="1095">
        <f t="shared" si="220"/>
        <v>0</v>
      </c>
      <c r="H2433" s="1220"/>
      <c r="I2433" s="1220"/>
      <c r="J2433" s="1246">
        <f t="shared" si="221"/>
        <v>0</v>
      </c>
      <c r="K2433" s="1095">
        <f t="shared" si="222"/>
        <v>0</v>
      </c>
      <c r="X2433" s="501" t="b">
        <f t="shared" si="214"/>
        <v>1</v>
      </c>
    </row>
    <row r="2434" s="411" customFormat="1" outlineLevel="2" spans="2:24">
      <c r="B2434" s="428" t="s">
        <v>3220</v>
      </c>
      <c r="C2434" s="429" t="str">
        <f t="shared" si="213"/>
        <v>石嘴山市深阳蓝光市政工程有限公司</v>
      </c>
      <c r="D2434" s="1180" t="s">
        <v>3250</v>
      </c>
      <c r="E2434" s="1188"/>
      <c r="F2434" s="1242"/>
      <c r="G2434" s="1095">
        <f t="shared" si="220"/>
        <v>0</v>
      </c>
      <c r="H2434" s="1220"/>
      <c r="I2434" s="1220"/>
      <c r="J2434" s="1246">
        <f t="shared" si="221"/>
        <v>0</v>
      </c>
      <c r="K2434" s="1095">
        <f t="shared" si="222"/>
        <v>0</v>
      </c>
      <c r="X2434" s="501" t="b">
        <f t="shared" si="214"/>
        <v>1</v>
      </c>
    </row>
    <row r="2435" s="411" customFormat="1" outlineLevel="2" spans="1:24">
      <c r="A2435" s="411" t="s">
        <v>1580</v>
      </c>
      <c r="B2435" s="428" t="s">
        <v>3220</v>
      </c>
      <c r="C2435" s="429" t="str">
        <f t="shared" si="213"/>
        <v>石嘴山市深阳蓝光市政工程有限公司</v>
      </c>
      <c r="D2435" s="1180" t="s">
        <v>3250</v>
      </c>
      <c r="E2435" s="1247" t="s">
        <v>1580</v>
      </c>
      <c r="F2435" s="1246">
        <f t="shared" ref="F2435:K2435" si="223">SUM(F2424:F2434)</f>
        <v>0</v>
      </c>
      <c r="G2435" s="1095">
        <f t="shared" si="223"/>
        <v>0</v>
      </c>
      <c r="H2435" s="1246">
        <f t="shared" si="223"/>
        <v>0</v>
      </c>
      <c r="I2435" s="1246">
        <f t="shared" si="223"/>
        <v>0</v>
      </c>
      <c r="J2435" s="1246">
        <f t="shared" si="223"/>
        <v>0</v>
      </c>
      <c r="K2435" s="1095">
        <f t="shared" si="223"/>
        <v>0</v>
      </c>
      <c r="X2435" s="501" t="b">
        <f t="shared" si="214"/>
        <v>1</v>
      </c>
    </row>
    <row r="2436" s="411" customFormat="1" outlineLevel="2" spans="1:24">
      <c r="A2436" s="411" t="s">
        <v>3255</v>
      </c>
      <c r="B2436" s="428" t="s">
        <v>3220</v>
      </c>
      <c r="C2436" s="429" t="str">
        <f t="shared" si="213"/>
        <v>石嘴山市深阳蓝光市政工程有限公司</v>
      </c>
      <c r="D2436" s="1180" t="s">
        <v>3250</v>
      </c>
      <c r="E2436" s="1248" t="s">
        <v>3255</v>
      </c>
      <c r="F2436" s="721">
        <f>ROUND(F2435-F2420,2)</f>
        <v>0</v>
      </c>
      <c r="J2436" s="721">
        <f>ROUND(J2435-L2420,2)</f>
        <v>0</v>
      </c>
      <c r="X2436" s="501" t="b">
        <f t="shared" si="214"/>
        <v>1</v>
      </c>
    </row>
    <row r="2437" s="411" customFormat="1" outlineLevel="2" spans="1:24">
      <c r="A2437" s="411" t="s">
        <v>3256</v>
      </c>
      <c r="B2437" s="428" t="s">
        <v>3220</v>
      </c>
      <c r="C2437" s="429" t="str">
        <f t="shared" si="213"/>
        <v>石嘴山市深阳蓝光市政工程有限公司</v>
      </c>
      <c r="D2437" s="1180" t="s">
        <v>3250</v>
      </c>
      <c r="E2437" s="149" t="s">
        <v>3257</v>
      </c>
      <c r="F2437" s="1186"/>
      <c r="G2437" s="451"/>
      <c r="H2437" s="451"/>
      <c r="X2437" s="501" t="b">
        <f t="shared" si="214"/>
        <v>1</v>
      </c>
    </row>
    <row r="2438" s="411" customFormat="1" outlineLevel="2" spans="1:24">
      <c r="A2438" s="411" t="s">
        <v>2315</v>
      </c>
      <c r="B2438" s="428" t="s">
        <v>3220</v>
      </c>
      <c r="C2438" s="429" t="str">
        <f t="shared" si="213"/>
        <v>石嘴山市深阳蓝光市政工程有限公司</v>
      </c>
      <c r="D2438" s="1180" t="s">
        <v>3250</v>
      </c>
      <c r="E2438" s="149" t="s">
        <v>2334</v>
      </c>
      <c r="F2438" s="1195"/>
      <c r="G2438" s="471"/>
      <c r="H2438" s="471"/>
      <c r="X2438" s="501" t="b">
        <f t="shared" si="214"/>
        <v>1</v>
      </c>
    </row>
    <row r="2439" s="411" customFormat="1" outlineLevel="2" spans="1:24">
      <c r="A2439" s="411" t="s">
        <v>3258</v>
      </c>
      <c r="B2439" s="428" t="s">
        <v>3220</v>
      </c>
      <c r="C2439" s="429" t="str">
        <f t="shared" si="213"/>
        <v>石嘴山市深阳蓝光市政工程有限公司</v>
      </c>
      <c r="D2439" s="1180" t="s">
        <v>3250</v>
      </c>
      <c r="E2439" s="149" t="s">
        <v>3259</v>
      </c>
      <c r="F2439" s="1186"/>
      <c r="G2439" s="451"/>
      <c r="H2439" s="451"/>
      <c r="X2439" s="501" t="b">
        <f t="shared" si="214"/>
        <v>1</v>
      </c>
    </row>
    <row r="2440" s="411" customFormat="1" outlineLevel="2" spans="1:24">
      <c r="A2440" s="411" t="s">
        <v>2315</v>
      </c>
      <c r="B2440" s="428" t="s">
        <v>3220</v>
      </c>
      <c r="C2440" s="429" t="str">
        <f t="shared" si="213"/>
        <v>石嘴山市深阳蓝光市政工程有限公司</v>
      </c>
      <c r="D2440" s="1180" t="s">
        <v>3250</v>
      </c>
      <c r="E2440" s="149" t="s">
        <v>2334</v>
      </c>
      <c r="F2440" s="1195"/>
      <c r="G2440" s="471"/>
      <c r="H2440" s="471"/>
      <c r="X2440" s="501" t="b">
        <f t="shared" si="214"/>
        <v>1</v>
      </c>
    </row>
    <row r="2441" s="411" customFormat="1" outlineLevel="2" spans="1:24">
      <c r="A2441" s="411" t="s">
        <v>3260</v>
      </c>
      <c r="B2441" s="428" t="s">
        <v>3220</v>
      </c>
      <c r="C2441" s="429" t="str">
        <f t="shared" si="213"/>
        <v>石嘴山市深阳蓝光市政工程有限公司</v>
      </c>
      <c r="D2441" s="1180" t="s">
        <v>3250</v>
      </c>
      <c r="E2441" s="149" t="s">
        <v>3261</v>
      </c>
      <c r="F2441" s="1186"/>
      <c r="G2441" s="451"/>
      <c r="H2441" s="451"/>
      <c r="X2441" s="501" t="b">
        <f t="shared" si="214"/>
        <v>1</v>
      </c>
    </row>
    <row r="2442" s="411" customFormat="1" outlineLevel="2" spans="1:24">
      <c r="A2442" s="411" t="s">
        <v>2315</v>
      </c>
      <c r="B2442" s="428" t="s">
        <v>3220</v>
      </c>
      <c r="C2442" s="429" t="str">
        <f t="shared" si="213"/>
        <v>石嘴山市深阳蓝光市政工程有限公司</v>
      </c>
      <c r="D2442" s="1180" t="s">
        <v>3250</v>
      </c>
      <c r="E2442" s="149" t="s">
        <v>2334</v>
      </c>
      <c r="F2442" s="1195"/>
      <c r="G2442" s="471"/>
      <c r="H2442" s="471"/>
      <c r="X2442" s="501" t="b">
        <f t="shared" si="214"/>
        <v>1</v>
      </c>
    </row>
    <row r="2443" s="411" customFormat="1" outlineLevel="2" spans="2:24">
      <c r="B2443" s="428" t="s">
        <v>3220</v>
      </c>
      <c r="C2443" s="429" t="str">
        <f t="shared" si="213"/>
        <v>石嘴山市深阳蓝光市政工程有限公司</v>
      </c>
      <c r="D2443" s="1180" t="s">
        <v>3250</v>
      </c>
      <c r="E2443" s="1218"/>
      <c r="F2443" s="1186"/>
      <c r="G2443" s="451"/>
      <c r="H2443" s="451"/>
      <c r="X2443" s="501" t="b">
        <f t="shared" si="214"/>
        <v>1</v>
      </c>
    </row>
    <row r="2444" s="411" customFormat="1" spans="1:24">
      <c r="A2444" s="411" t="s">
        <v>3262</v>
      </c>
      <c r="B2444" s="428" t="s">
        <v>3220</v>
      </c>
      <c r="C2444" s="429" t="str">
        <f t="shared" si="213"/>
        <v>石嘴山市深阳蓝光市政工程有限公司</v>
      </c>
      <c r="D2444" s="1180" t="s">
        <v>3263</v>
      </c>
      <c r="E2444" s="937" t="s">
        <v>3264</v>
      </c>
      <c r="F2444" s="1186"/>
      <c r="G2444" s="451"/>
      <c r="H2444" s="451"/>
      <c r="X2444" s="501" t="b">
        <f t="shared" si="214"/>
        <v>1</v>
      </c>
    </row>
    <row r="2445" s="411" customFormat="1" outlineLevel="2" spans="1:24">
      <c r="A2445" s="411" t="s">
        <v>3263</v>
      </c>
      <c r="B2445" s="428" t="s">
        <v>3220</v>
      </c>
      <c r="C2445" s="429" t="str">
        <f t="shared" si="213"/>
        <v>石嘴山市深阳蓝光市政工程有限公司</v>
      </c>
      <c r="D2445" s="1180" t="s">
        <v>3263</v>
      </c>
      <c r="E2445" s="149" t="s">
        <v>3265</v>
      </c>
      <c r="F2445" s="1186"/>
      <c r="G2445" s="451"/>
      <c r="H2445" s="451"/>
      <c r="X2445" s="501" t="b">
        <f t="shared" si="214"/>
        <v>1</v>
      </c>
    </row>
    <row r="2446" s="411" customFormat="1" outlineLevel="2" spans="1:24">
      <c r="A2446" s="411" t="s">
        <v>2315</v>
      </c>
      <c r="B2446" s="428" t="s">
        <v>3220</v>
      </c>
      <c r="C2446" s="429" t="str">
        <f t="shared" si="213"/>
        <v>石嘴山市深阳蓝光市政工程有限公司</v>
      </c>
      <c r="D2446" s="1180" t="s">
        <v>3263</v>
      </c>
      <c r="E2446" s="149" t="s">
        <v>2334</v>
      </c>
      <c r="F2446" s="1195"/>
      <c r="G2446" s="471"/>
      <c r="H2446" s="471"/>
      <c r="X2446" s="501" t="b">
        <f t="shared" si="214"/>
        <v>1</v>
      </c>
    </row>
    <row r="2447" s="411" customFormat="1" outlineLevel="2" spans="1:24">
      <c r="A2447" s="411" t="s">
        <v>3266</v>
      </c>
      <c r="B2447" s="428" t="s">
        <v>3220</v>
      </c>
      <c r="C2447" s="429" t="str">
        <f t="shared" si="213"/>
        <v>石嘴山市深阳蓝光市政工程有限公司</v>
      </c>
      <c r="D2447" s="1180" t="s">
        <v>3266</v>
      </c>
      <c r="E2447" s="149" t="s">
        <v>3267</v>
      </c>
      <c r="F2447" s="1186"/>
      <c r="G2447" s="451"/>
      <c r="H2447" s="451"/>
      <c r="X2447" s="501" t="b">
        <f t="shared" si="214"/>
        <v>1</v>
      </c>
    </row>
    <row r="2448" s="411" customFormat="1" outlineLevel="2" spans="1:24">
      <c r="A2448" s="411" t="s">
        <v>2315</v>
      </c>
      <c r="B2448" s="428" t="s">
        <v>3220</v>
      </c>
      <c r="C2448" s="429" t="str">
        <f t="shared" si="213"/>
        <v>石嘴山市深阳蓝光市政工程有限公司</v>
      </c>
      <c r="D2448" s="1180" t="s">
        <v>3266</v>
      </c>
      <c r="E2448" s="149" t="s">
        <v>2334</v>
      </c>
      <c r="F2448" s="1195"/>
      <c r="G2448" s="471"/>
      <c r="H2448" s="471"/>
      <c r="X2448" s="501" t="b">
        <f t="shared" si="214"/>
        <v>1</v>
      </c>
    </row>
    <row r="2449" s="411" customFormat="1" outlineLevel="2" spans="1:24">
      <c r="A2449" s="411" t="s">
        <v>3268</v>
      </c>
      <c r="B2449" s="428" t="s">
        <v>3220</v>
      </c>
      <c r="C2449" s="429" t="str">
        <f t="shared" si="213"/>
        <v>石嘴山市深阳蓝光市政工程有限公司</v>
      </c>
      <c r="D2449" s="1180" t="s">
        <v>3268</v>
      </c>
      <c r="E2449" s="149" t="s">
        <v>3269</v>
      </c>
      <c r="F2449" s="1186"/>
      <c r="G2449" s="451"/>
      <c r="H2449" s="451"/>
      <c r="X2449" s="501" t="b">
        <f t="shared" si="214"/>
        <v>1</v>
      </c>
    </row>
    <row r="2450" s="411" customFormat="1" outlineLevel="2" spans="1:24">
      <c r="A2450" s="411" t="s">
        <v>2315</v>
      </c>
      <c r="B2450" s="428" t="s">
        <v>3220</v>
      </c>
      <c r="C2450" s="429" t="str">
        <f t="shared" si="213"/>
        <v>石嘴山市深阳蓝光市政工程有限公司</v>
      </c>
      <c r="D2450" s="1180" t="s">
        <v>3268</v>
      </c>
      <c r="E2450" s="149" t="s">
        <v>2334</v>
      </c>
      <c r="F2450" s="1195"/>
      <c r="G2450" s="471"/>
      <c r="H2450" s="471"/>
      <c r="X2450" s="501" t="b">
        <f t="shared" si="214"/>
        <v>1</v>
      </c>
    </row>
    <row r="2451" s="411" customFormat="1" outlineLevel="2" spans="1:24">
      <c r="A2451" s="411" t="s">
        <v>3270</v>
      </c>
      <c r="B2451" s="428" t="s">
        <v>3220</v>
      </c>
      <c r="C2451" s="429" t="str">
        <f t="shared" si="213"/>
        <v>石嘴山市深阳蓝光市政工程有限公司</v>
      </c>
      <c r="D2451" s="1180" t="s">
        <v>3270</v>
      </c>
      <c r="E2451" s="149" t="s">
        <v>3271</v>
      </c>
      <c r="F2451" s="1186"/>
      <c r="G2451" s="451"/>
      <c r="H2451" s="451"/>
      <c r="X2451" s="501" t="b">
        <f t="shared" si="214"/>
        <v>1</v>
      </c>
    </row>
    <row r="2452" s="411" customFormat="1" outlineLevel="2" spans="1:24">
      <c r="A2452" s="411" t="s">
        <v>2315</v>
      </c>
      <c r="B2452" s="428" t="s">
        <v>3220</v>
      </c>
      <c r="C2452" s="429" t="str">
        <f t="shared" si="213"/>
        <v>石嘴山市深阳蓝光市政工程有限公司</v>
      </c>
      <c r="D2452" s="1180" t="s">
        <v>3270</v>
      </c>
      <c r="E2452" s="149" t="s">
        <v>2334</v>
      </c>
      <c r="F2452" s="1195"/>
      <c r="G2452" s="471"/>
      <c r="H2452" s="471"/>
      <c r="X2452" s="501" t="b">
        <f t="shared" si="214"/>
        <v>1</v>
      </c>
    </row>
    <row r="2453" s="411" customFormat="1" outlineLevel="2" spans="1:24">
      <c r="A2453" s="411" t="s">
        <v>3272</v>
      </c>
      <c r="B2453" s="428" t="s">
        <v>3220</v>
      </c>
      <c r="C2453" s="429" t="str">
        <f t="shared" si="213"/>
        <v>石嘴山市深阳蓝光市政工程有限公司</v>
      </c>
      <c r="D2453" s="1180" t="s">
        <v>3272</v>
      </c>
      <c r="E2453" s="149" t="s">
        <v>3273</v>
      </c>
      <c r="F2453" s="1186"/>
      <c r="G2453" s="451"/>
      <c r="H2453" s="451"/>
      <c r="X2453" s="501" t="b">
        <f t="shared" si="214"/>
        <v>1</v>
      </c>
    </row>
    <row r="2454" s="411" customFormat="1" outlineLevel="2" spans="1:24">
      <c r="A2454" s="411" t="s">
        <v>2315</v>
      </c>
      <c r="B2454" s="428" t="s">
        <v>3220</v>
      </c>
      <c r="C2454" s="429" t="str">
        <f t="shared" si="213"/>
        <v>石嘴山市深阳蓝光市政工程有限公司</v>
      </c>
      <c r="D2454" s="1180" t="s">
        <v>3272</v>
      </c>
      <c r="E2454" s="149" t="s">
        <v>2334</v>
      </c>
      <c r="F2454" s="1195"/>
      <c r="G2454" s="471"/>
      <c r="H2454" s="471"/>
      <c r="X2454" s="501" t="b">
        <f t="shared" si="214"/>
        <v>1</v>
      </c>
    </row>
    <row r="2455" s="411" customFormat="1" outlineLevel="2" spans="2:24">
      <c r="B2455" s="428" t="s">
        <v>3220</v>
      </c>
      <c r="C2455" s="429" t="str">
        <f t="shared" si="213"/>
        <v>石嘴山市深阳蓝光市政工程有限公司</v>
      </c>
      <c r="D2455" s="1180" t="s">
        <v>3272</v>
      </c>
      <c r="E2455" s="1218"/>
      <c r="F2455" s="1186"/>
      <c r="G2455" s="451"/>
      <c r="H2455" s="451"/>
      <c r="X2455" s="501" t="b">
        <f t="shared" si="214"/>
        <v>1</v>
      </c>
    </row>
    <row r="2456" s="411" customFormat="1" collapsed="1" spans="1:24">
      <c r="A2456" s="411" t="s">
        <v>3274</v>
      </c>
      <c r="B2456" s="428" t="s">
        <v>3220</v>
      </c>
      <c r="C2456" s="429" t="str">
        <f t="shared" si="213"/>
        <v>石嘴山市深阳蓝光市政工程有限公司</v>
      </c>
      <c r="D2456" s="1180" t="s">
        <v>3274</v>
      </c>
      <c r="E2456" s="937" t="s">
        <v>3275</v>
      </c>
      <c r="F2456" s="1137" t="s">
        <v>2635</v>
      </c>
      <c r="G2456" s="451"/>
      <c r="H2456" s="451"/>
      <c r="X2456" s="501" t="b">
        <f t="shared" si="214"/>
        <v>1</v>
      </c>
    </row>
    <row r="2457" s="411" customFormat="1" hidden="1" outlineLevel="2" spans="1:24">
      <c r="A2457" s="411" t="s">
        <v>60</v>
      </c>
      <c r="B2457" s="428" t="s">
        <v>3220</v>
      </c>
      <c r="C2457" s="429" t="str">
        <f t="shared" si="213"/>
        <v>石嘴山市深阳蓝光市政工程有限公司</v>
      </c>
      <c r="D2457" s="1180" t="s">
        <v>3274</v>
      </c>
      <c r="E2457" s="581" t="s">
        <v>60</v>
      </c>
      <c r="F2457" s="581" t="s">
        <v>670</v>
      </c>
      <c r="G2457" s="581" t="s">
        <v>671</v>
      </c>
      <c r="H2457" s="581" t="s">
        <v>672</v>
      </c>
      <c r="I2457" s="581" t="s">
        <v>515</v>
      </c>
      <c r="X2457" s="501" t="b">
        <f t="shared" si="214"/>
        <v>1</v>
      </c>
    </row>
    <row r="2458" s="411" customFormat="1" hidden="1" outlineLevel="2" spans="2:24">
      <c r="B2458" s="428" t="s">
        <v>3220</v>
      </c>
      <c r="C2458" s="429" t="str">
        <f t="shared" si="213"/>
        <v>石嘴山市深阳蓝光市政工程有限公司</v>
      </c>
      <c r="D2458" s="1180" t="s">
        <v>3274</v>
      </c>
      <c r="E2458" s="949"/>
      <c r="F2458" s="942"/>
      <c r="G2458" s="942"/>
      <c r="H2458" s="942"/>
      <c r="I2458" s="945">
        <f>F2458+G2458-H2458</f>
        <v>0</v>
      </c>
      <c r="X2458" s="501" t="b">
        <f t="shared" si="214"/>
        <v>1</v>
      </c>
    </row>
    <row r="2459" s="411" customFormat="1" hidden="1" outlineLevel="2" spans="2:24">
      <c r="B2459" s="428" t="s">
        <v>3220</v>
      </c>
      <c r="C2459" s="429" t="str">
        <f t="shared" si="213"/>
        <v>石嘴山市深阳蓝光市政工程有限公司</v>
      </c>
      <c r="D2459" s="1180" t="s">
        <v>3274</v>
      </c>
      <c r="E2459" s="949"/>
      <c r="F2459" s="942"/>
      <c r="G2459" s="942"/>
      <c r="H2459" s="942"/>
      <c r="I2459" s="945">
        <f t="shared" ref="I2459:I2464" si="224">F2459+G2459-H2459</f>
        <v>0</v>
      </c>
      <c r="X2459" s="501" t="b">
        <f t="shared" si="214"/>
        <v>1</v>
      </c>
    </row>
    <row r="2460" s="411" customFormat="1" hidden="1" outlineLevel="2" spans="2:24">
      <c r="B2460" s="428" t="s">
        <v>3220</v>
      </c>
      <c r="C2460" s="429" t="str">
        <f t="shared" si="213"/>
        <v>石嘴山市深阳蓝光市政工程有限公司</v>
      </c>
      <c r="D2460" s="1180" t="s">
        <v>3274</v>
      </c>
      <c r="E2460" s="949"/>
      <c r="F2460" s="942"/>
      <c r="G2460" s="942"/>
      <c r="H2460" s="942"/>
      <c r="I2460" s="945">
        <f t="shared" si="224"/>
        <v>0</v>
      </c>
      <c r="X2460" s="501" t="b">
        <f t="shared" si="214"/>
        <v>1</v>
      </c>
    </row>
    <row r="2461" s="411" customFormat="1" hidden="1" outlineLevel="2" spans="2:24">
      <c r="B2461" s="428" t="s">
        <v>3220</v>
      </c>
      <c r="C2461" s="429" t="str">
        <f t="shared" si="213"/>
        <v>石嘴山市深阳蓝光市政工程有限公司</v>
      </c>
      <c r="D2461" s="1180" t="s">
        <v>3274</v>
      </c>
      <c r="E2461" s="949"/>
      <c r="F2461" s="942"/>
      <c r="G2461" s="942"/>
      <c r="H2461" s="942"/>
      <c r="I2461" s="945">
        <f t="shared" si="224"/>
        <v>0</v>
      </c>
      <c r="X2461" s="501" t="b">
        <f t="shared" si="214"/>
        <v>1</v>
      </c>
    </row>
    <row r="2462" s="411" customFormat="1" hidden="1" outlineLevel="2" spans="2:24">
      <c r="B2462" s="428" t="s">
        <v>3220</v>
      </c>
      <c r="C2462" s="429" t="str">
        <f t="shared" si="213"/>
        <v>石嘴山市深阳蓝光市政工程有限公司</v>
      </c>
      <c r="D2462" s="1180" t="s">
        <v>3274</v>
      </c>
      <c r="E2462" s="949"/>
      <c r="F2462" s="942"/>
      <c r="G2462" s="942"/>
      <c r="H2462" s="942"/>
      <c r="I2462" s="945">
        <f t="shared" si="224"/>
        <v>0</v>
      </c>
      <c r="X2462" s="501" t="b">
        <f t="shared" si="214"/>
        <v>1</v>
      </c>
    </row>
    <row r="2463" s="411" customFormat="1" hidden="1" outlineLevel="2" spans="2:24">
      <c r="B2463" s="428" t="s">
        <v>3220</v>
      </c>
      <c r="C2463" s="429" t="str">
        <f t="shared" si="213"/>
        <v>石嘴山市深阳蓝光市政工程有限公司</v>
      </c>
      <c r="D2463" s="1180" t="s">
        <v>3274</v>
      </c>
      <c r="E2463" s="1249"/>
      <c r="F2463" s="835"/>
      <c r="G2463" s="132"/>
      <c r="H2463" s="132"/>
      <c r="I2463" s="945">
        <f t="shared" si="224"/>
        <v>0</v>
      </c>
      <c r="X2463" s="501" t="b">
        <f t="shared" si="214"/>
        <v>1</v>
      </c>
    </row>
    <row r="2464" s="411" customFormat="1" hidden="1" outlineLevel="2" spans="2:24">
      <c r="B2464" s="428" t="s">
        <v>3220</v>
      </c>
      <c r="C2464" s="429" t="str">
        <f t="shared" si="213"/>
        <v>石嘴山市深阳蓝光市政工程有限公司</v>
      </c>
      <c r="D2464" s="1180" t="s">
        <v>3274</v>
      </c>
      <c r="E2464" s="1249"/>
      <c r="F2464" s="835"/>
      <c r="G2464" s="132"/>
      <c r="H2464" s="132"/>
      <c r="I2464" s="945">
        <f t="shared" si="224"/>
        <v>0</v>
      </c>
      <c r="X2464" s="501" t="b">
        <f t="shared" si="214"/>
        <v>1</v>
      </c>
    </row>
    <row r="2465" s="411" customFormat="1" hidden="1" outlineLevel="2" spans="1:24">
      <c r="A2465" s="411" t="s">
        <v>1580</v>
      </c>
      <c r="B2465" s="428" t="s">
        <v>3220</v>
      </c>
      <c r="C2465" s="429" t="str">
        <f t="shared" si="213"/>
        <v>石嘴山市深阳蓝光市政工程有限公司</v>
      </c>
      <c r="D2465" s="1180" t="s">
        <v>3274</v>
      </c>
      <c r="E2465" s="1184" t="s">
        <v>1580</v>
      </c>
      <c r="F2465" s="1250">
        <f>SUM(F2458:F2464)</f>
        <v>0</v>
      </c>
      <c r="G2465" s="1250">
        <f>SUM(G2458:G2464)</f>
        <v>0</v>
      </c>
      <c r="H2465" s="1250">
        <f>SUM(H2458:H2464)</f>
        <v>0</v>
      </c>
      <c r="I2465" s="1250">
        <f>SUM(I2458:I2464)</f>
        <v>0</v>
      </c>
      <c r="X2465" s="501" t="b">
        <f t="shared" si="214"/>
        <v>1</v>
      </c>
    </row>
    <row r="2466" s="411" customFormat="1" hidden="1" outlineLevel="2" spans="1:24">
      <c r="A2466" s="411" t="s">
        <v>1444</v>
      </c>
      <c r="B2466" s="428" t="s">
        <v>3220</v>
      </c>
      <c r="C2466" s="429" t="str">
        <f t="shared" ref="C2466:C2529" si="225">$G$1</f>
        <v>石嘴山市深阳蓝光市政工程有限公司</v>
      </c>
      <c r="D2466" s="1180" t="s">
        <v>3274</v>
      </c>
      <c r="E2466" s="1060" t="s">
        <v>1444</v>
      </c>
      <c r="F2466" s="451"/>
      <c r="G2466" s="451"/>
      <c r="H2466" s="451"/>
      <c r="I2466" s="451"/>
      <c r="X2466" s="501" t="b">
        <f t="shared" ref="X2466:X2529" si="226">EXACT(A2466,E2466)</f>
        <v>1</v>
      </c>
    </row>
    <row r="2467" s="411" customFormat="1" hidden="1" outlineLevel="1" spans="1:24">
      <c r="A2467" s="411" t="s">
        <v>1394</v>
      </c>
      <c r="B2467" s="428" t="s">
        <v>3220</v>
      </c>
      <c r="C2467" s="429" t="str">
        <f t="shared" si="225"/>
        <v>石嘴山市深阳蓝光市政工程有限公司</v>
      </c>
      <c r="D2467" s="1180" t="s">
        <v>3274</v>
      </c>
      <c r="E2467" s="1060" t="s">
        <v>1394</v>
      </c>
      <c r="F2467" s="1251"/>
      <c r="G2467" s="451"/>
      <c r="H2467" s="451"/>
      <c r="I2467" s="1251"/>
      <c r="X2467" s="501" t="b">
        <f t="shared" si="226"/>
        <v>1</v>
      </c>
    </row>
    <row r="2468" s="411" customFormat="1" hidden="1" outlineLevel="2" spans="2:24">
      <c r="B2468" s="428" t="s">
        <v>3220</v>
      </c>
      <c r="C2468" s="429" t="str">
        <f t="shared" si="225"/>
        <v>石嘴山市深阳蓝光市政工程有限公司</v>
      </c>
      <c r="D2468" s="1180" t="s">
        <v>3274</v>
      </c>
      <c r="E2468" s="1060"/>
      <c r="F2468" s="1186"/>
      <c r="G2468" s="451"/>
      <c r="H2468" s="451"/>
      <c r="X2468" s="501" t="b">
        <f t="shared" si="226"/>
        <v>1</v>
      </c>
    </row>
    <row r="2469" s="411" customFormat="1" hidden="1" outlineLevel="2" spans="2:24">
      <c r="B2469" s="428" t="s">
        <v>3220</v>
      </c>
      <c r="C2469" s="429" t="str">
        <f t="shared" si="225"/>
        <v>石嘴山市深阳蓝光市政工程有限公司</v>
      </c>
      <c r="D2469" s="1180" t="s">
        <v>3274</v>
      </c>
      <c r="E2469" s="1060"/>
      <c r="F2469" s="1186"/>
      <c r="G2469" s="451"/>
      <c r="H2469" s="451"/>
      <c r="X2469" s="501" t="b">
        <f t="shared" si="226"/>
        <v>1</v>
      </c>
    </row>
    <row r="2470" s="411" customFormat="1" spans="1:24">
      <c r="A2470" s="411" t="s">
        <v>1843</v>
      </c>
      <c r="B2470" s="428" t="s">
        <v>3276</v>
      </c>
      <c r="C2470" s="429" t="str">
        <f t="shared" si="225"/>
        <v>石嘴山市深阳蓝光市政工程有限公司</v>
      </c>
      <c r="D2470" s="1180" t="s">
        <v>1843</v>
      </c>
      <c r="E2470" s="65" t="s">
        <v>3277</v>
      </c>
      <c r="F2470" s="1252" t="s">
        <v>2921</v>
      </c>
      <c r="G2470" s="1181"/>
      <c r="H2470" s="1181"/>
      <c r="X2470" s="501" t="b">
        <f t="shared" si="226"/>
        <v>1</v>
      </c>
    </row>
    <row r="2471" s="412" customFormat="1" ht="19.5" customHeight="1" outlineLevel="2" spans="1:24">
      <c r="A2471" s="412" t="s">
        <v>60</v>
      </c>
      <c r="B2471" s="428" t="s">
        <v>3276</v>
      </c>
      <c r="C2471" s="429" t="str">
        <f t="shared" si="225"/>
        <v>石嘴山市深阳蓝光市政工程有限公司</v>
      </c>
      <c r="D2471" s="1253" t="s">
        <v>1843</v>
      </c>
      <c r="E2471" s="1254" t="s">
        <v>60</v>
      </c>
      <c r="F2471" s="1254" t="s">
        <v>1579</v>
      </c>
      <c r="G2471" s="1254" t="s">
        <v>671</v>
      </c>
      <c r="H2471" s="1254" t="s">
        <v>672</v>
      </c>
      <c r="I2471" s="1254" t="s">
        <v>315</v>
      </c>
      <c r="J2471" s="1254" t="s">
        <v>1196</v>
      </c>
      <c r="X2471" s="501" t="b">
        <f t="shared" si="226"/>
        <v>1</v>
      </c>
    </row>
    <row r="2472" s="412" customFormat="1" outlineLevel="2" spans="1:24">
      <c r="A2472" s="412" t="s">
        <v>1844</v>
      </c>
      <c r="B2472" s="428" t="s">
        <v>3276</v>
      </c>
      <c r="C2472" s="429" t="str">
        <f t="shared" si="225"/>
        <v>石嘴山市深阳蓝光市政工程有限公司</v>
      </c>
      <c r="D2472" s="1253" t="s">
        <v>1843</v>
      </c>
      <c r="E2472" s="1255" t="s">
        <v>3278</v>
      </c>
      <c r="F2472" s="477">
        <f>报表附注合并期初用!E1979</f>
        <v>0</v>
      </c>
      <c r="G2472" s="132"/>
      <c r="H2472" s="132"/>
      <c r="I2472" s="135">
        <f>F2472+G2472-H2472</f>
        <v>0</v>
      </c>
      <c r="J2472" s="1269"/>
      <c r="X2472" s="501" t="b">
        <f t="shared" si="226"/>
        <v>1</v>
      </c>
    </row>
    <row r="2473" s="412" customFormat="1" outlineLevel="2" spans="1:24">
      <c r="A2473" s="412" t="s">
        <v>1845</v>
      </c>
      <c r="B2473" s="428" t="s">
        <v>3276</v>
      </c>
      <c r="C2473" s="429" t="str">
        <f t="shared" si="225"/>
        <v>石嘴山市深阳蓝光市政工程有限公司</v>
      </c>
      <c r="D2473" s="1253" t="s">
        <v>1843</v>
      </c>
      <c r="E2473" s="1255" t="s">
        <v>3279</v>
      </c>
      <c r="F2473" s="477">
        <f>报表附注合并期初用!E1980</f>
        <v>0</v>
      </c>
      <c r="G2473" s="132"/>
      <c r="H2473" s="132"/>
      <c r="I2473" s="135">
        <f>F2473+G2473-H2473</f>
        <v>0</v>
      </c>
      <c r="J2473" s="1269"/>
      <c r="X2473" s="501" t="b">
        <f t="shared" si="226"/>
        <v>1</v>
      </c>
    </row>
    <row r="2474" s="412" customFormat="1" outlineLevel="2" spans="1:24">
      <c r="A2474" s="412" t="s">
        <v>1580</v>
      </c>
      <c r="B2474" s="428" t="s">
        <v>3276</v>
      </c>
      <c r="C2474" s="429" t="str">
        <f t="shared" si="225"/>
        <v>石嘴山市深阳蓝光市政工程有限公司</v>
      </c>
      <c r="D2474" s="1253" t="s">
        <v>1843</v>
      </c>
      <c r="E2474" s="1254" t="s">
        <v>1580</v>
      </c>
      <c r="F2474" s="565">
        <f>F2472+F2473</f>
        <v>0</v>
      </c>
      <c r="G2474" s="565">
        <f>G2472+G2473</f>
        <v>0</v>
      </c>
      <c r="H2474" s="565">
        <f>H2472+H2473</f>
        <v>0</v>
      </c>
      <c r="I2474" s="565">
        <f>I2472+I2473</f>
        <v>0</v>
      </c>
      <c r="J2474" s="1270"/>
      <c r="X2474" s="501" t="b">
        <f t="shared" si="226"/>
        <v>1</v>
      </c>
    </row>
    <row r="2475" s="412" customFormat="1" outlineLevel="2" spans="1:24">
      <c r="A2475" s="412" t="s">
        <v>1444</v>
      </c>
      <c r="B2475" s="428" t="s">
        <v>3276</v>
      </c>
      <c r="C2475" s="429" t="str">
        <f t="shared" si="225"/>
        <v>石嘴山市深阳蓝光市政工程有限公司</v>
      </c>
      <c r="D2475" s="1253" t="s">
        <v>1843</v>
      </c>
      <c r="E2475" s="1060" t="s">
        <v>1444</v>
      </c>
      <c r="F2475" s="566">
        <f>审定资负表!H37</f>
        <v>0</v>
      </c>
      <c r="G2475" s="451"/>
      <c r="H2475" s="451"/>
      <c r="I2475" s="566">
        <f>审定资负表!G37</f>
        <v>0</v>
      </c>
      <c r="J2475" s="1271"/>
      <c r="X2475" s="501" t="b">
        <f t="shared" si="226"/>
        <v>1</v>
      </c>
    </row>
    <row r="2476" s="412" customFormat="1" outlineLevel="1" collapsed="1" spans="1:24">
      <c r="A2476" s="412" t="s">
        <v>1394</v>
      </c>
      <c r="B2476" s="428" t="s">
        <v>3276</v>
      </c>
      <c r="C2476" s="429" t="str">
        <f t="shared" si="225"/>
        <v>石嘴山市深阳蓝光市政工程有限公司</v>
      </c>
      <c r="D2476" s="1253" t="s">
        <v>1843</v>
      </c>
      <c r="E2476" s="1060" t="s">
        <v>1394</v>
      </c>
      <c r="F2476" s="87">
        <f>ROUND(F2474-F2475,2)</f>
        <v>0</v>
      </c>
      <c r="G2476" s="451"/>
      <c r="H2476" s="451"/>
      <c r="I2476" s="87">
        <f>ROUND(I2474-I2475,2)</f>
        <v>0</v>
      </c>
      <c r="J2476" s="1271"/>
      <c r="X2476" s="501" t="b">
        <f t="shared" si="226"/>
        <v>1</v>
      </c>
    </row>
    <row r="2477" s="412" customFormat="1" hidden="1" outlineLevel="2" spans="1:24">
      <c r="A2477" s="412" t="s">
        <v>3280</v>
      </c>
      <c r="B2477" s="428" t="s">
        <v>3276</v>
      </c>
      <c r="C2477" s="429" t="str">
        <f t="shared" si="225"/>
        <v>石嘴山市深阳蓝光市政工程有限公司</v>
      </c>
      <c r="D2477" s="1253" t="s">
        <v>1843</v>
      </c>
      <c r="E2477" s="149" t="s">
        <v>3280</v>
      </c>
      <c r="F2477" s="451"/>
      <c r="G2477" s="451"/>
      <c r="H2477" s="451"/>
      <c r="I2477" s="451"/>
      <c r="J2477" s="1271"/>
      <c r="X2477" s="501" t="b">
        <f t="shared" si="226"/>
        <v>1</v>
      </c>
    </row>
    <row r="2478" s="412" customFormat="1" hidden="1" outlineLevel="2" spans="1:24">
      <c r="A2478" s="412" t="s">
        <v>2315</v>
      </c>
      <c r="B2478" s="428" t="s">
        <v>3276</v>
      </c>
      <c r="C2478" s="429" t="str">
        <f t="shared" si="225"/>
        <v>石嘴山市深阳蓝光市政工程有限公司</v>
      </c>
      <c r="D2478" s="1253" t="s">
        <v>1843</v>
      </c>
      <c r="E2478" s="1256" t="s">
        <v>2334</v>
      </c>
      <c r="F2478" s="471"/>
      <c r="G2478" s="471"/>
      <c r="H2478" s="471"/>
      <c r="I2478" s="471"/>
      <c r="J2478" s="1272"/>
      <c r="X2478" s="501" t="b">
        <f t="shared" si="226"/>
        <v>1</v>
      </c>
    </row>
    <row r="2479" s="412" customFormat="1" hidden="1" outlineLevel="2" spans="2:24">
      <c r="B2479" s="428" t="s">
        <v>3276</v>
      </c>
      <c r="C2479" s="429" t="str">
        <f t="shared" si="225"/>
        <v>石嘴山市深阳蓝光市政工程有限公司</v>
      </c>
      <c r="D2479" s="1253" t="s">
        <v>1843</v>
      </c>
      <c r="E2479" s="1257"/>
      <c r="F2479" s="451"/>
      <c r="G2479" s="451"/>
      <c r="H2479" s="451"/>
      <c r="I2479" s="451"/>
      <c r="J2479" s="1271"/>
      <c r="X2479" s="501" t="b">
        <f t="shared" si="226"/>
        <v>1</v>
      </c>
    </row>
    <row r="2480" s="412" customFormat="1" hidden="1" outlineLevel="2" spans="2:24">
      <c r="B2480" s="428" t="s">
        <v>3276</v>
      </c>
      <c r="C2480" s="429" t="str">
        <f t="shared" si="225"/>
        <v>石嘴山市深阳蓝光市政工程有限公司</v>
      </c>
      <c r="D2480" s="1253" t="s">
        <v>1843</v>
      </c>
      <c r="E2480" s="450"/>
      <c r="F2480" s="450"/>
      <c r="G2480" s="450"/>
      <c r="H2480" s="450"/>
      <c r="I2480" s="450"/>
      <c r="J2480" s="450"/>
      <c r="X2480" s="501" t="b">
        <f t="shared" si="226"/>
        <v>1</v>
      </c>
    </row>
    <row r="2481" s="412" customFormat="1" spans="1:24">
      <c r="A2481" s="412" t="s">
        <v>1846</v>
      </c>
      <c r="B2481" s="428" t="s">
        <v>3281</v>
      </c>
      <c r="C2481" s="429" t="str">
        <f t="shared" si="225"/>
        <v>石嘴山市深阳蓝光市政工程有限公司</v>
      </c>
      <c r="D2481" s="1253" t="s">
        <v>1846</v>
      </c>
      <c r="E2481" s="65" t="s">
        <v>3282</v>
      </c>
      <c r="F2481" s="1252" t="s">
        <v>2921</v>
      </c>
      <c r="G2481" s="451"/>
      <c r="H2481" s="451"/>
      <c r="I2481" s="451"/>
      <c r="J2481" s="1273"/>
      <c r="X2481" s="501" t="b">
        <f t="shared" si="226"/>
        <v>1</v>
      </c>
    </row>
    <row r="2482" s="413" customFormat="1" outlineLevel="2" spans="1:24">
      <c r="A2482" s="413" t="s">
        <v>60</v>
      </c>
      <c r="B2482" s="428" t="s">
        <v>3281</v>
      </c>
      <c r="C2482" s="429" t="str">
        <f t="shared" si="225"/>
        <v>石嘴山市深阳蓝光市政工程有限公司</v>
      </c>
      <c r="D2482" s="1258" t="s">
        <v>1846</v>
      </c>
      <c r="E2482" s="1259" t="s">
        <v>60</v>
      </c>
      <c r="F2482" s="1259" t="s">
        <v>1579</v>
      </c>
      <c r="G2482" s="1259" t="s">
        <v>671</v>
      </c>
      <c r="H2482" s="1259" t="s">
        <v>672</v>
      </c>
      <c r="I2482" s="1259" t="s">
        <v>315</v>
      </c>
      <c r="J2482" s="1259" t="s">
        <v>1196</v>
      </c>
      <c r="X2482" s="501" t="b">
        <f t="shared" si="226"/>
        <v>1</v>
      </c>
    </row>
    <row r="2483" s="413" customFormat="1" outlineLevel="2" spans="1:24">
      <c r="A2483" s="413" t="s">
        <v>1847</v>
      </c>
      <c r="B2483" s="428" t="s">
        <v>3281</v>
      </c>
      <c r="C2483" s="429" t="str">
        <f t="shared" si="225"/>
        <v>石嘴山市深阳蓝光市政工程有限公司</v>
      </c>
      <c r="D2483" s="1258" t="s">
        <v>1846</v>
      </c>
      <c r="E2483" s="1260" t="s">
        <v>1847</v>
      </c>
      <c r="F2483" s="477">
        <f>报表附注合并期初用!E1993</f>
        <v>0</v>
      </c>
      <c r="G2483" s="132"/>
      <c r="H2483" s="132"/>
      <c r="I2483" s="135">
        <f>F2483+G2483-H2483</f>
        <v>0</v>
      </c>
      <c r="J2483" s="1274"/>
      <c r="X2483" s="501" t="b">
        <f t="shared" si="226"/>
        <v>1</v>
      </c>
    </row>
    <row r="2484" s="413" customFormat="1" outlineLevel="2" spans="1:24">
      <c r="A2484" s="413" t="s">
        <v>1848</v>
      </c>
      <c r="B2484" s="428" t="s">
        <v>3281</v>
      </c>
      <c r="C2484" s="429" t="str">
        <f t="shared" si="225"/>
        <v>石嘴山市深阳蓝光市政工程有限公司</v>
      </c>
      <c r="D2484" s="1258" t="s">
        <v>1846</v>
      </c>
      <c r="E2484" s="1260" t="s">
        <v>1848</v>
      </c>
      <c r="F2484" s="477">
        <f>报表附注合并期初用!E1994</f>
        <v>0</v>
      </c>
      <c r="G2484" s="132"/>
      <c r="H2484" s="132"/>
      <c r="I2484" s="135">
        <f>F2484+G2484-H2484</f>
        <v>0</v>
      </c>
      <c r="J2484" s="1274"/>
      <c r="X2484" s="501" t="b">
        <f t="shared" si="226"/>
        <v>1</v>
      </c>
    </row>
    <row r="2485" s="413" customFormat="1" outlineLevel="2" spans="1:24">
      <c r="A2485" s="413" t="s">
        <v>1201</v>
      </c>
      <c r="B2485" s="428" t="s">
        <v>3281</v>
      </c>
      <c r="C2485" s="429" t="str">
        <f t="shared" si="225"/>
        <v>石嘴山市深阳蓝光市政工程有限公司</v>
      </c>
      <c r="D2485" s="1258" t="s">
        <v>1846</v>
      </c>
      <c r="E2485" s="1260" t="s">
        <v>1201</v>
      </c>
      <c r="F2485" s="477">
        <f>报表附注合并期初用!E1995</f>
        <v>0</v>
      </c>
      <c r="G2485" s="132"/>
      <c r="H2485" s="132"/>
      <c r="I2485" s="135">
        <f>F2485+G2485-H2485</f>
        <v>0</v>
      </c>
      <c r="J2485" s="1274"/>
      <c r="X2485" s="501" t="b">
        <f t="shared" si="226"/>
        <v>1</v>
      </c>
    </row>
    <row r="2486" s="413" customFormat="1" outlineLevel="2" spans="1:24">
      <c r="A2486" s="413" t="s">
        <v>1203</v>
      </c>
      <c r="B2486" s="428" t="s">
        <v>3281</v>
      </c>
      <c r="C2486" s="429" t="str">
        <f t="shared" si="225"/>
        <v>石嘴山市深阳蓝光市政工程有限公司</v>
      </c>
      <c r="D2486" s="1258" t="s">
        <v>1846</v>
      </c>
      <c r="E2486" s="1260" t="s">
        <v>1203</v>
      </c>
      <c r="F2486" s="477">
        <f>报表附注合并期初用!E1996</f>
        <v>0</v>
      </c>
      <c r="G2486" s="132"/>
      <c r="H2486" s="132"/>
      <c r="I2486" s="135">
        <f>F2486+G2486-H2486</f>
        <v>0</v>
      </c>
      <c r="J2486" s="1274"/>
      <c r="X2486" s="501" t="b">
        <f t="shared" si="226"/>
        <v>1</v>
      </c>
    </row>
    <row r="2487" s="413" customFormat="1" outlineLevel="2" spans="1:24">
      <c r="A2487" s="413" t="s">
        <v>1580</v>
      </c>
      <c r="B2487" s="428" t="s">
        <v>3281</v>
      </c>
      <c r="C2487" s="429" t="str">
        <f t="shared" si="225"/>
        <v>石嘴山市深阳蓝光市政工程有限公司</v>
      </c>
      <c r="D2487" s="1258" t="s">
        <v>1846</v>
      </c>
      <c r="E2487" s="1259" t="s">
        <v>1580</v>
      </c>
      <c r="F2487" s="513">
        <f>SUM(F2483:F2486)</f>
        <v>0</v>
      </c>
      <c r="G2487" s="513">
        <f>SUM(G2483:G2486)</f>
        <v>0</v>
      </c>
      <c r="H2487" s="513">
        <f>SUM(H2483:H2486)</f>
        <v>0</v>
      </c>
      <c r="I2487" s="513">
        <f>SUM(I2483:I2486)</f>
        <v>0</v>
      </c>
      <c r="J2487" s="1275"/>
      <c r="X2487" s="501" t="b">
        <f t="shared" si="226"/>
        <v>1</v>
      </c>
    </row>
    <row r="2488" s="413" customFormat="1" outlineLevel="2" spans="1:24">
      <c r="A2488" s="413" t="s">
        <v>1444</v>
      </c>
      <c r="B2488" s="428" t="s">
        <v>3281</v>
      </c>
      <c r="C2488" s="429" t="str">
        <f t="shared" si="225"/>
        <v>石嘴山市深阳蓝光市政工程有限公司</v>
      </c>
      <c r="D2488" s="1258" t="s">
        <v>1846</v>
      </c>
      <c r="E2488" s="1060" t="s">
        <v>1444</v>
      </c>
      <c r="F2488" s="1261">
        <f>审定资负表!H39</f>
        <v>0</v>
      </c>
      <c r="G2488" s="1262"/>
      <c r="H2488" s="1262"/>
      <c r="I2488" s="1261">
        <f>审定资负表!G39</f>
        <v>0</v>
      </c>
      <c r="J2488" s="1276"/>
      <c r="X2488" s="501" t="b">
        <f t="shared" si="226"/>
        <v>1</v>
      </c>
    </row>
    <row r="2489" s="413" customFormat="1" outlineLevel="1" spans="1:24">
      <c r="A2489" s="413" t="s">
        <v>1394</v>
      </c>
      <c r="B2489" s="428" t="s">
        <v>3281</v>
      </c>
      <c r="C2489" s="429" t="str">
        <f t="shared" si="225"/>
        <v>石嘴山市深阳蓝光市政工程有限公司</v>
      </c>
      <c r="D2489" s="1258" t="s">
        <v>1846</v>
      </c>
      <c r="E2489" s="1060" t="s">
        <v>1394</v>
      </c>
      <c r="F2489" s="87">
        <f>ROUND(F2487-F2488,2)</f>
        <v>0</v>
      </c>
      <c r="G2489" s="1262"/>
      <c r="H2489" s="1262"/>
      <c r="I2489" s="87">
        <f>ROUND(I2487-I2488,2)</f>
        <v>0</v>
      </c>
      <c r="J2489" s="1276"/>
      <c r="X2489" s="501" t="b">
        <f t="shared" si="226"/>
        <v>1</v>
      </c>
    </row>
    <row r="2490" s="413" customFormat="1" outlineLevel="2" spans="1:24">
      <c r="A2490" s="413" t="s">
        <v>3283</v>
      </c>
      <c r="B2490" s="428" t="s">
        <v>3281</v>
      </c>
      <c r="C2490" s="429" t="str">
        <f t="shared" si="225"/>
        <v>石嘴山市深阳蓝光市政工程有限公司</v>
      </c>
      <c r="D2490" s="1258" t="s">
        <v>1846</v>
      </c>
      <c r="E2490" s="149" t="s">
        <v>3283</v>
      </c>
      <c r="F2490" s="1262"/>
      <c r="G2490" s="1262"/>
      <c r="H2490" s="1262"/>
      <c r="I2490" s="1262"/>
      <c r="J2490" s="1276"/>
      <c r="X2490" s="501" t="b">
        <f t="shared" si="226"/>
        <v>1</v>
      </c>
    </row>
    <row r="2491" s="413" customFormat="1" outlineLevel="2" spans="1:24">
      <c r="A2491" s="413" t="s">
        <v>2315</v>
      </c>
      <c r="B2491" s="428" t="s">
        <v>3281</v>
      </c>
      <c r="C2491" s="429" t="str">
        <f t="shared" si="225"/>
        <v>石嘴山市深阳蓝光市政工程有限公司</v>
      </c>
      <c r="D2491" s="1258" t="s">
        <v>1846</v>
      </c>
      <c r="E2491" s="1256" t="s">
        <v>2334</v>
      </c>
      <c r="F2491" s="471"/>
      <c r="G2491" s="471"/>
      <c r="H2491" s="1262"/>
      <c r="I2491" s="1262"/>
      <c r="J2491" s="1276"/>
      <c r="X2491" s="501" t="b">
        <f t="shared" si="226"/>
        <v>1</v>
      </c>
    </row>
    <row r="2492" s="413" customFormat="1" outlineLevel="2" spans="2:24">
      <c r="B2492" s="428" t="s">
        <v>3281</v>
      </c>
      <c r="C2492" s="429" t="str">
        <f t="shared" si="225"/>
        <v>石嘴山市深阳蓝光市政工程有限公司</v>
      </c>
      <c r="D2492" s="1258" t="s">
        <v>1846</v>
      </c>
      <c r="E2492" s="149"/>
      <c r="F2492" s="1262"/>
      <c r="G2492" s="1262"/>
      <c r="H2492" s="1262"/>
      <c r="I2492" s="1262"/>
      <c r="J2492" s="1276"/>
      <c r="X2492" s="501" t="b">
        <f t="shared" si="226"/>
        <v>1</v>
      </c>
    </row>
    <row r="2493" s="413" customFormat="1" spans="1:24">
      <c r="A2493" s="413" t="s">
        <v>3284</v>
      </c>
      <c r="B2493" s="1263" t="s">
        <v>3285</v>
      </c>
      <c r="C2493" s="429" t="str">
        <f t="shared" si="225"/>
        <v>石嘴山市深阳蓝光市政工程有限公司</v>
      </c>
      <c r="D2493" s="1258" t="s">
        <v>3284</v>
      </c>
      <c r="E2493" s="65" t="s">
        <v>3286</v>
      </c>
      <c r="F2493" s="1137" t="s">
        <v>2635</v>
      </c>
      <c r="G2493" s="451"/>
      <c r="H2493" s="1262"/>
      <c r="I2493" s="1262"/>
      <c r="J2493" s="1276"/>
      <c r="X2493" s="501" t="b">
        <f t="shared" si="226"/>
        <v>1</v>
      </c>
    </row>
    <row r="2494" s="413" customFormat="1" outlineLevel="2" spans="1:24">
      <c r="A2494" s="413" t="s">
        <v>2325</v>
      </c>
      <c r="B2494" s="1263" t="s">
        <v>3285</v>
      </c>
      <c r="C2494" s="429" t="str">
        <f t="shared" si="225"/>
        <v>石嘴山市深阳蓝光市政工程有限公司</v>
      </c>
      <c r="D2494" s="1264" t="s">
        <v>3284</v>
      </c>
      <c r="E2494" s="1265" t="s">
        <v>2325</v>
      </c>
      <c r="F2494" s="1266" t="s">
        <v>2005</v>
      </c>
      <c r="G2494" s="1266" t="s">
        <v>2001</v>
      </c>
      <c r="H2494" s="1262"/>
      <c r="I2494" s="1262"/>
      <c r="J2494" s="1276"/>
      <c r="X2494" s="501" t="b">
        <f t="shared" si="226"/>
        <v>1</v>
      </c>
    </row>
    <row r="2495" s="413" customFormat="1" outlineLevel="2" spans="1:24">
      <c r="A2495" s="413" t="s">
        <v>3287</v>
      </c>
      <c r="B2495" s="1263" t="s">
        <v>3285</v>
      </c>
      <c r="C2495" s="429" t="str">
        <f t="shared" si="225"/>
        <v>石嘴山市深阳蓝光市政工程有限公司</v>
      </c>
      <c r="D2495" s="1264" t="s">
        <v>3284</v>
      </c>
      <c r="E2495" s="1267" t="s">
        <v>3287</v>
      </c>
      <c r="F2495" s="513">
        <f>G2510</f>
        <v>0</v>
      </c>
      <c r="G2495" s="519">
        <f>审定利润表!D37</f>
        <v>0</v>
      </c>
      <c r="H2495" s="1262"/>
      <c r="I2495" s="1262"/>
      <c r="J2495" s="1276"/>
      <c r="X2495" s="501" t="b">
        <f t="shared" si="226"/>
        <v>1</v>
      </c>
    </row>
    <row r="2496" s="413" customFormat="1" outlineLevel="2" spans="1:24">
      <c r="A2496" s="413" t="s">
        <v>281</v>
      </c>
      <c r="B2496" s="1263" t="s">
        <v>3285</v>
      </c>
      <c r="C2496" s="429" t="str">
        <f t="shared" si="225"/>
        <v>石嘴山市深阳蓝光市政工程有限公司</v>
      </c>
      <c r="D2496" s="1264" t="s">
        <v>3284</v>
      </c>
      <c r="E2496" s="1267" t="s">
        <v>281</v>
      </c>
      <c r="F2496" s="1268"/>
      <c r="G2496" s="1268"/>
      <c r="H2496" s="1262"/>
      <c r="I2496" s="1262"/>
      <c r="J2496" s="1276"/>
      <c r="X2496" s="501" t="b">
        <f t="shared" si="226"/>
        <v>1</v>
      </c>
    </row>
    <row r="2497" s="413" customFormat="1" outlineLevel="2" spans="1:24">
      <c r="A2497" s="413" t="s">
        <v>3288</v>
      </c>
      <c r="B2497" s="1263" t="s">
        <v>3285</v>
      </c>
      <c r="C2497" s="429" t="str">
        <f t="shared" si="225"/>
        <v>石嘴山市深阳蓝光市政工程有限公司</v>
      </c>
      <c r="D2497" s="1264" t="s">
        <v>3284</v>
      </c>
      <c r="E2497" s="1267" t="s">
        <v>3289</v>
      </c>
      <c r="F2497" s="1268"/>
      <c r="G2497" s="1268"/>
      <c r="H2497" s="1262"/>
      <c r="I2497" s="1262"/>
      <c r="J2497" s="1276"/>
      <c r="X2497" s="501" t="b">
        <f t="shared" si="226"/>
        <v>1</v>
      </c>
    </row>
    <row r="2498" s="413" customFormat="1" outlineLevel="2" spans="1:24">
      <c r="A2498" s="413" t="s">
        <v>3290</v>
      </c>
      <c r="B2498" s="1263" t="s">
        <v>3285</v>
      </c>
      <c r="C2498" s="429" t="str">
        <f t="shared" si="225"/>
        <v>石嘴山市深阳蓝光市政工程有限公司</v>
      </c>
      <c r="D2498" s="1264" t="s">
        <v>3284</v>
      </c>
      <c r="E2498" s="1267" t="s">
        <v>3291</v>
      </c>
      <c r="F2498" s="1268"/>
      <c r="G2498" s="1268"/>
      <c r="H2498" s="1262"/>
      <c r="I2498" s="1262"/>
      <c r="J2498" s="1276"/>
      <c r="X2498" s="501" t="b">
        <f t="shared" si="226"/>
        <v>1</v>
      </c>
    </row>
    <row r="2499" s="413" customFormat="1" outlineLevel="2" spans="1:24">
      <c r="A2499" s="413" t="s">
        <v>3292</v>
      </c>
      <c r="B2499" s="1263" t="s">
        <v>3285</v>
      </c>
      <c r="C2499" s="429" t="str">
        <f t="shared" si="225"/>
        <v>石嘴山市深阳蓝光市政工程有限公司</v>
      </c>
      <c r="D2499" s="1264" t="s">
        <v>3284</v>
      </c>
      <c r="E2499" s="1267" t="s">
        <v>3292</v>
      </c>
      <c r="F2499" s="513">
        <f>F2495+F2496+F2497+F2498</f>
        <v>0</v>
      </c>
      <c r="G2499" s="513">
        <f>G2495+G2496+G2497+G2498</f>
        <v>0</v>
      </c>
      <c r="H2499" s="1262"/>
      <c r="I2499" s="1262"/>
      <c r="J2499" s="1276"/>
      <c r="X2499" s="501" t="b">
        <f t="shared" si="226"/>
        <v>1</v>
      </c>
    </row>
    <row r="2500" s="413" customFormat="1" outlineLevel="2" spans="1:24">
      <c r="A2500" s="413" t="s">
        <v>3293</v>
      </c>
      <c r="B2500" s="1263" t="s">
        <v>3285</v>
      </c>
      <c r="C2500" s="429" t="str">
        <f t="shared" si="225"/>
        <v>石嘴山市深阳蓝光市政工程有限公司</v>
      </c>
      <c r="D2500" s="1264" t="s">
        <v>3284</v>
      </c>
      <c r="E2500" s="1277" t="s">
        <v>3293</v>
      </c>
      <c r="F2500" s="513">
        <f>F2501+F2502</f>
        <v>0</v>
      </c>
      <c r="G2500" s="513">
        <f>G2501+G2502</f>
        <v>0</v>
      </c>
      <c r="H2500" s="1262"/>
      <c r="I2500" s="1262"/>
      <c r="J2500" s="1276"/>
      <c r="X2500" s="501" t="b">
        <f t="shared" si="226"/>
        <v>1</v>
      </c>
    </row>
    <row r="2501" s="413" customFormat="1" outlineLevel="2" spans="1:24">
      <c r="A2501" s="413" t="s">
        <v>3294</v>
      </c>
      <c r="B2501" s="1263" t="s">
        <v>3285</v>
      </c>
      <c r="C2501" s="429" t="str">
        <f t="shared" si="225"/>
        <v>石嘴山市深阳蓝光市政工程有限公司</v>
      </c>
      <c r="D2501" s="1264" t="s">
        <v>3284</v>
      </c>
      <c r="E2501" s="1267" t="s">
        <v>3295</v>
      </c>
      <c r="F2501" s="513">
        <f>审定利润表!C24</f>
        <v>0</v>
      </c>
      <c r="G2501" s="513">
        <f>审定利润表!D24</f>
        <v>0</v>
      </c>
      <c r="H2501" s="1262"/>
      <c r="I2501" s="1262"/>
      <c r="J2501" s="1276"/>
      <c r="X2501" s="501" t="b">
        <f t="shared" si="226"/>
        <v>1</v>
      </c>
    </row>
    <row r="2502" s="413" customFormat="1" outlineLevel="2" spans="1:24">
      <c r="A2502" s="413" t="s">
        <v>3069</v>
      </c>
      <c r="B2502" s="1263" t="s">
        <v>3285</v>
      </c>
      <c r="C2502" s="429" t="str">
        <f t="shared" si="225"/>
        <v>石嘴山市深阳蓝光市政工程有限公司</v>
      </c>
      <c r="D2502" s="1264" t="s">
        <v>3284</v>
      </c>
      <c r="E2502" s="1267" t="s">
        <v>3296</v>
      </c>
      <c r="F2502" s="1268"/>
      <c r="G2502" s="1268"/>
      <c r="H2502" s="1262"/>
      <c r="I2502" s="1262"/>
      <c r="J2502" s="1276"/>
      <c r="X2502" s="501" t="b">
        <f t="shared" si="226"/>
        <v>1</v>
      </c>
    </row>
    <row r="2503" s="413" customFormat="1" outlineLevel="2" spans="1:24">
      <c r="A2503" s="413" t="s">
        <v>3297</v>
      </c>
      <c r="B2503" s="1263" t="s">
        <v>3285</v>
      </c>
      <c r="C2503" s="429" t="str">
        <f t="shared" si="225"/>
        <v>石嘴山市深阳蓝光市政工程有限公司</v>
      </c>
      <c r="D2503" s="1264" t="s">
        <v>3284</v>
      </c>
      <c r="E2503" s="1267" t="s">
        <v>3297</v>
      </c>
      <c r="F2503" s="513">
        <f>SUM(F2504:F2509)</f>
        <v>0</v>
      </c>
      <c r="G2503" s="513">
        <f>SUM(G2504:G2509)</f>
        <v>0</v>
      </c>
      <c r="H2503" s="1262"/>
      <c r="I2503" s="1262"/>
      <c r="J2503" s="1276"/>
      <c r="X2503" s="501" t="b">
        <f t="shared" si="226"/>
        <v>1</v>
      </c>
    </row>
    <row r="2504" s="413" customFormat="1" outlineLevel="2" spans="1:24">
      <c r="A2504" s="413" t="s">
        <v>3298</v>
      </c>
      <c r="B2504" s="1263" t="s">
        <v>3285</v>
      </c>
      <c r="C2504" s="429" t="str">
        <f t="shared" si="225"/>
        <v>石嘴山市深阳蓝光市政工程有限公司</v>
      </c>
      <c r="D2504" s="1264" t="s">
        <v>3284</v>
      </c>
      <c r="E2504" s="1267" t="s">
        <v>3299</v>
      </c>
      <c r="F2504" s="1268"/>
      <c r="G2504" s="1268"/>
      <c r="H2504" s="1262"/>
      <c r="I2504" s="1262"/>
      <c r="J2504" s="1276"/>
      <c r="X2504" s="501" t="b">
        <f t="shared" si="226"/>
        <v>1</v>
      </c>
    </row>
    <row r="2505" s="413" customFormat="1" outlineLevel="2" spans="1:24">
      <c r="A2505" s="413" t="s">
        <v>3300</v>
      </c>
      <c r="B2505" s="1263" t="s">
        <v>3285</v>
      </c>
      <c r="C2505" s="429" t="str">
        <f t="shared" si="225"/>
        <v>石嘴山市深阳蓝光市政工程有限公司</v>
      </c>
      <c r="D2505" s="1264" t="s">
        <v>3284</v>
      </c>
      <c r="E2505" s="1267" t="s">
        <v>3301</v>
      </c>
      <c r="F2505" s="1268"/>
      <c r="G2505" s="1268"/>
      <c r="H2505" s="1262"/>
      <c r="I2505" s="1262"/>
      <c r="J2505" s="1276"/>
      <c r="X2505" s="501" t="b">
        <f t="shared" si="226"/>
        <v>1</v>
      </c>
    </row>
    <row r="2506" s="413" customFormat="1" outlineLevel="2" spans="1:24">
      <c r="A2506" s="413" t="s">
        <v>3302</v>
      </c>
      <c r="B2506" s="1263" t="s">
        <v>3285</v>
      </c>
      <c r="C2506" s="429" t="str">
        <f t="shared" si="225"/>
        <v>石嘴山市深阳蓝光市政工程有限公司</v>
      </c>
      <c r="D2506" s="1264" t="s">
        <v>3284</v>
      </c>
      <c r="E2506" s="1267" t="s">
        <v>3303</v>
      </c>
      <c r="F2506" s="1268"/>
      <c r="G2506" s="1268"/>
      <c r="H2506" s="1262"/>
      <c r="I2506" s="1262"/>
      <c r="J2506" s="1276"/>
      <c r="X2506" s="501" t="b">
        <f t="shared" si="226"/>
        <v>1</v>
      </c>
    </row>
    <row r="2507" s="413" customFormat="1" outlineLevel="2" spans="1:24">
      <c r="A2507" s="413" t="s">
        <v>3304</v>
      </c>
      <c r="B2507" s="1263" t="s">
        <v>3285</v>
      </c>
      <c r="C2507" s="429" t="str">
        <f t="shared" si="225"/>
        <v>石嘴山市深阳蓝光市政工程有限公司</v>
      </c>
      <c r="D2507" s="1264" t="s">
        <v>3284</v>
      </c>
      <c r="E2507" s="1267" t="s">
        <v>3305</v>
      </c>
      <c r="F2507" s="1268"/>
      <c r="G2507" s="1268"/>
      <c r="H2507" s="1262"/>
      <c r="I2507" s="1262"/>
      <c r="J2507" s="1276"/>
      <c r="X2507" s="501" t="b">
        <f t="shared" si="226"/>
        <v>1</v>
      </c>
    </row>
    <row r="2508" s="413" customFormat="1" outlineLevel="2" spans="1:24">
      <c r="A2508" s="413" t="s">
        <v>3306</v>
      </c>
      <c r="B2508" s="1263" t="s">
        <v>3285</v>
      </c>
      <c r="C2508" s="429" t="str">
        <f t="shared" si="225"/>
        <v>石嘴山市深阳蓝光市政工程有限公司</v>
      </c>
      <c r="D2508" s="1264" t="s">
        <v>3284</v>
      </c>
      <c r="E2508" s="1267" t="s">
        <v>3307</v>
      </c>
      <c r="F2508" s="1268"/>
      <c r="G2508" s="1268"/>
      <c r="H2508" s="1262"/>
      <c r="I2508" s="1262"/>
      <c r="J2508" s="1276"/>
      <c r="X2508" s="501" t="b">
        <f t="shared" si="226"/>
        <v>1</v>
      </c>
    </row>
    <row r="2509" s="413" customFormat="1" outlineLevel="2" spans="1:24">
      <c r="A2509" s="413" t="s">
        <v>3308</v>
      </c>
      <c r="B2509" s="1263" t="s">
        <v>3285</v>
      </c>
      <c r="C2509" s="429" t="str">
        <f t="shared" si="225"/>
        <v>石嘴山市深阳蓝光市政工程有限公司</v>
      </c>
      <c r="D2509" s="1264" t="s">
        <v>3284</v>
      </c>
      <c r="E2509" s="1267" t="s">
        <v>3309</v>
      </c>
      <c r="F2509" s="1268"/>
      <c r="G2509" s="1268"/>
      <c r="H2509" s="1262"/>
      <c r="I2509" s="1262"/>
      <c r="J2509" s="1276"/>
      <c r="X2509" s="501" t="b">
        <f t="shared" si="226"/>
        <v>1</v>
      </c>
    </row>
    <row r="2510" s="413" customFormat="1" outlineLevel="2" spans="1:24">
      <c r="A2510" s="413" t="s">
        <v>3310</v>
      </c>
      <c r="B2510" s="1263" t="s">
        <v>3285</v>
      </c>
      <c r="C2510" s="429" t="str">
        <f t="shared" si="225"/>
        <v>石嘴山市深阳蓝光市政工程有限公司</v>
      </c>
      <c r="D2510" s="1264" t="s">
        <v>3284</v>
      </c>
      <c r="E2510" s="1267" t="s">
        <v>3310</v>
      </c>
      <c r="F2510" s="513">
        <f>F2499+F2500-F2503</f>
        <v>0</v>
      </c>
      <c r="G2510" s="513">
        <f>G2499+G2500-G2503</f>
        <v>0</v>
      </c>
      <c r="H2510" s="1262"/>
      <c r="I2510" s="1262"/>
      <c r="J2510" s="1276"/>
      <c r="X2510" s="501" t="b">
        <f t="shared" si="226"/>
        <v>1</v>
      </c>
    </row>
    <row r="2511" s="413" customFormat="1" outlineLevel="2" spans="1:24">
      <c r="A2511" s="413" t="s">
        <v>1444</v>
      </c>
      <c r="B2511" s="1263" t="s">
        <v>3285</v>
      </c>
      <c r="C2511" s="429" t="str">
        <f t="shared" si="225"/>
        <v>石嘴山市深阳蓝光市政工程有限公司</v>
      </c>
      <c r="D2511" s="1264" t="s">
        <v>3284</v>
      </c>
      <c r="E2511" s="1060" t="s">
        <v>1444</v>
      </c>
      <c r="F2511" s="1261">
        <f>审定资负表!G40</f>
        <v>0</v>
      </c>
      <c r="G2511" s="1261">
        <f>审定资负表!H40</f>
        <v>0</v>
      </c>
      <c r="H2511" s="1262"/>
      <c r="I2511" s="1262"/>
      <c r="J2511" s="1276"/>
      <c r="X2511" s="501" t="b">
        <f t="shared" si="226"/>
        <v>1</v>
      </c>
    </row>
    <row r="2512" s="413" customFormat="1" outlineLevel="1" collapsed="1" spans="1:24">
      <c r="A2512" s="413" t="s">
        <v>1394</v>
      </c>
      <c r="B2512" s="1263" t="s">
        <v>3285</v>
      </c>
      <c r="C2512" s="429" t="str">
        <f t="shared" si="225"/>
        <v>石嘴山市深阳蓝光市政工程有限公司</v>
      </c>
      <c r="D2512" s="1264" t="s">
        <v>3284</v>
      </c>
      <c r="E2512" s="1060" t="s">
        <v>1394</v>
      </c>
      <c r="F2512" s="87">
        <f>ROUND(F2510-F2511,2)</f>
        <v>0</v>
      </c>
      <c r="G2512" s="87">
        <f>ROUND(G2510-G2511,2)</f>
        <v>0</v>
      </c>
      <c r="H2512" s="1262"/>
      <c r="I2512" s="1262"/>
      <c r="J2512" s="1276"/>
      <c r="X2512" s="501" t="b">
        <f t="shared" si="226"/>
        <v>1</v>
      </c>
    </row>
    <row r="2513" s="413" customFormat="1" hidden="1" outlineLevel="2" spans="1:24">
      <c r="A2513" s="413" t="s">
        <v>3311</v>
      </c>
      <c r="B2513" s="1263" t="s">
        <v>3285</v>
      </c>
      <c r="C2513" s="429" t="str">
        <f t="shared" si="225"/>
        <v>石嘴山市深阳蓝光市政工程有限公司</v>
      </c>
      <c r="D2513" s="1258" t="s">
        <v>3284</v>
      </c>
      <c r="E2513" s="1278" t="s">
        <v>3311</v>
      </c>
      <c r="F2513" s="1262"/>
      <c r="G2513" s="1262"/>
      <c r="H2513" s="1262"/>
      <c r="I2513" s="1262"/>
      <c r="J2513" s="1276"/>
      <c r="X2513" s="501" t="b">
        <f t="shared" si="226"/>
        <v>1</v>
      </c>
    </row>
    <row r="2514" s="413" customFormat="1" hidden="1" outlineLevel="2" spans="1:24">
      <c r="A2514" s="413" t="s">
        <v>3312</v>
      </c>
      <c r="B2514" s="1263" t="s">
        <v>3285</v>
      </c>
      <c r="C2514" s="429" t="str">
        <f t="shared" si="225"/>
        <v>石嘴山市深阳蓝光市政工程有限公司</v>
      </c>
      <c r="D2514" s="1258" t="s">
        <v>3312</v>
      </c>
      <c r="E2514" s="1278" t="s">
        <v>3313</v>
      </c>
      <c r="F2514" s="1262"/>
      <c r="G2514" s="1262"/>
      <c r="H2514" s="1262"/>
      <c r="I2514" s="1262"/>
      <c r="J2514" s="1276"/>
      <c r="X2514" s="501" t="b">
        <f t="shared" si="226"/>
        <v>1</v>
      </c>
    </row>
    <row r="2515" s="413" customFormat="1" hidden="1" outlineLevel="2" spans="1:24">
      <c r="A2515" s="413" t="s">
        <v>2315</v>
      </c>
      <c r="B2515" s="1263" t="s">
        <v>3285</v>
      </c>
      <c r="C2515" s="429" t="str">
        <f t="shared" si="225"/>
        <v>石嘴山市深阳蓝光市政工程有限公司</v>
      </c>
      <c r="D2515" s="1258" t="s">
        <v>3312</v>
      </c>
      <c r="E2515" s="149" t="s">
        <v>2334</v>
      </c>
      <c r="F2515" s="1279"/>
      <c r="G2515" s="1279"/>
      <c r="H2515" s="1262"/>
      <c r="I2515" s="1262"/>
      <c r="J2515" s="1276"/>
      <c r="X2515" s="501" t="b">
        <f t="shared" si="226"/>
        <v>1</v>
      </c>
    </row>
    <row r="2516" s="413" customFormat="1" hidden="1" outlineLevel="2" spans="1:24">
      <c r="A2516" s="413" t="s">
        <v>3314</v>
      </c>
      <c r="B2516" s="1263" t="s">
        <v>3285</v>
      </c>
      <c r="C2516" s="429" t="str">
        <f t="shared" si="225"/>
        <v>石嘴山市深阳蓝光市政工程有限公司</v>
      </c>
      <c r="D2516" s="1258" t="s">
        <v>3314</v>
      </c>
      <c r="E2516" s="1278" t="s">
        <v>3315</v>
      </c>
      <c r="F2516" s="1262"/>
      <c r="G2516" s="1262"/>
      <c r="H2516" s="1262"/>
      <c r="I2516" s="1262"/>
      <c r="J2516" s="1276"/>
      <c r="X2516" s="501" t="b">
        <f t="shared" si="226"/>
        <v>1</v>
      </c>
    </row>
    <row r="2517" s="413" customFormat="1" hidden="1" outlineLevel="2" spans="1:24">
      <c r="A2517" s="413" t="s">
        <v>2315</v>
      </c>
      <c r="B2517" s="1263" t="s">
        <v>3285</v>
      </c>
      <c r="C2517" s="429" t="str">
        <f t="shared" si="225"/>
        <v>石嘴山市深阳蓝光市政工程有限公司</v>
      </c>
      <c r="D2517" s="1258" t="s">
        <v>3314</v>
      </c>
      <c r="E2517" s="149" t="s">
        <v>2334</v>
      </c>
      <c r="F2517" s="1279"/>
      <c r="G2517" s="1279"/>
      <c r="H2517" s="1262"/>
      <c r="I2517" s="1262"/>
      <c r="J2517" s="1276"/>
      <c r="X2517" s="501" t="b">
        <f t="shared" si="226"/>
        <v>1</v>
      </c>
    </row>
    <row r="2518" s="413" customFormat="1" hidden="1" outlineLevel="2" spans="1:24">
      <c r="A2518" s="413" t="s">
        <v>3316</v>
      </c>
      <c r="B2518" s="1263" t="s">
        <v>3285</v>
      </c>
      <c r="C2518" s="429" t="str">
        <f t="shared" si="225"/>
        <v>石嘴山市深阳蓝光市政工程有限公司</v>
      </c>
      <c r="D2518" s="1258" t="s">
        <v>3316</v>
      </c>
      <c r="E2518" s="1278" t="s">
        <v>3317</v>
      </c>
      <c r="F2518" s="1262"/>
      <c r="G2518" s="1262"/>
      <c r="H2518" s="1262"/>
      <c r="I2518" s="1262"/>
      <c r="J2518" s="1276"/>
      <c r="X2518" s="501" t="b">
        <f t="shared" si="226"/>
        <v>1</v>
      </c>
    </row>
    <row r="2519" s="413" customFormat="1" hidden="1" outlineLevel="2" spans="1:24">
      <c r="A2519" s="413" t="s">
        <v>2315</v>
      </c>
      <c r="B2519" s="1263" t="s">
        <v>3285</v>
      </c>
      <c r="C2519" s="429" t="str">
        <f t="shared" si="225"/>
        <v>石嘴山市深阳蓝光市政工程有限公司</v>
      </c>
      <c r="D2519" s="1258" t="s">
        <v>3316</v>
      </c>
      <c r="E2519" s="149" t="s">
        <v>2334</v>
      </c>
      <c r="F2519" s="1279"/>
      <c r="G2519" s="1279"/>
      <c r="H2519" s="1262"/>
      <c r="I2519" s="1262"/>
      <c r="J2519" s="1276"/>
      <c r="X2519" s="501" t="b">
        <f t="shared" si="226"/>
        <v>1</v>
      </c>
    </row>
    <row r="2520" s="413" customFormat="1" hidden="1" outlineLevel="2" spans="1:24">
      <c r="A2520" s="413" t="s">
        <v>3318</v>
      </c>
      <c r="B2520" s="1263" t="s">
        <v>3285</v>
      </c>
      <c r="C2520" s="429" t="str">
        <f t="shared" si="225"/>
        <v>石嘴山市深阳蓝光市政工程有限公司</v>
      </c>
      <c r="D2520" s="1258" t="s">
        <v>3318</v>
      </c>
      <c r="E2520" s="1278" t="s">
        <v>3319</v>
      </c>
      <c r="F2520" s="1262"/>
      <c r="G2520" s="1262"/>
      <c r="H2520" s="1262"/>
      <c r="I2520" s="1262"/>
      <c r="J2520" s="1276"/>
      <c r="X2520" s="501" t="b">
        <f t="shared" si="226"/>
        <v>1</v>
      </c>
    </row>
    <row r="2521" s="413" customFormat="1" hidden="1" outlineLevel="2" spans="1:24">
      <c r="A2521" s="413" t="s">
        <v>2315</v>
      </c>
      <c r="B2521" s="1263" t="s">
        <v>3285</v>
      </c>
      <c r="C2521" s="429" t="str">
        <f t="shared" si="225"/>
        <v>石嘴山市深阳蓝光市政工程有限公司</v>
      </c>
      <c r="D2521" s="1258" t="s">
        <v>3318</v>
      </c>
      <c r="E2521" s="149" t="s">
        <v>2334</v>
      </c>
      <c r="F2521" s="1279"/>
      <c r="G2521" s="1279"/>
      <c r="H2521" s="1262"/>
      <c r="I2521" s="1262"/>
      <c r="J2521" s="1276"/>
      <c r="X2521" s="501" t="b">
        <f t="shared" si="226"/>
        <v>1</v>
      </c>
    </row>
    <row r="2522" s="413" customFormat="1" hidden="1" outlineLevel="2" spans="1:24">
      <c r="A2522" s="413" t="s">
        <v>3320</v>
      </c>
      <c r="B2522" s="1263" t="s">
        <v>3285</v>
      </c>
      <c r="C2522" s="429" t="str">
        <f t="shared" si="225"/>
        <v>石嘴山市深阳蓝光市政工程有限公司</v>
      </c>
      <c r="D2522" s="1258" t="s">
        <v>3320</v>
      </c>
      <c r="E2522" s="1278" t="s">
        <v>3321</v>
      </c>
      <c r="F2522" s="1262"/>
      <c r="G2522" s="1262"/>
      <c r="H2522" s="1262"/>
      <c r="I2522" s="1262"/>
      <c r="J2522" s="1276"/>
      <c r="X2522" s="501" t="b">
        <f t="shared" si="226"/>
        <v>1</v>
      </c>
    </row>
    <row r="2523" s="413" customFormat="1" hidden="1" outlineLevel="2" spans="1:24">
      <c r="A2523" s="413" t="s">
        <v>2315</v>
      </c>
      <c r="B2523" s="1263" t="s">
        <v>3285</v>
      </c>
      <c r="C2523" s="429" t="str">
        <f t="shared" si="225"/>
        <v>石嘴山市深阳蓝光市政工程有限公司</v>
      </c>
      <c r="D2523" s="1258" t="s">
        <v>3320</v>
      </c>
      <c r="E2523" s="149" t="s">
        <v>2334</v>
      </c>
      <c r="F2523" s="1279"/>
      <c r="G2523" s="1279"/>
      <c r="H2523" s="1262"/>
      <c r="I2523" s="1262"/>
      <c r="J2523" s="1276"/>
      <c r="X2523" s="501" t="b">
        <f t="shared" si="226"/>
        <v>1</v>
      </c>
    </row>
    <row r="2524" s="413" customFormat="1" hidden="1" outlineLevel="2" spans="1:24">
      <c r="A2524" s="413" t="s">
        <v>3322</v>
      </c>
      <c r="B2524" s="1263" t="s">
        <v>3285</v>
      </c>
      <c r="C2524" s="429" t="str">
        <f t="shared" si="225"/>
        <v>石嘴山市深阳蓝光市政工程有限公司</v>
      </c>
      <c r="D2524" s="1258" t="s">
        <v>3320</v>
      </c>
      <c r="E2524" s="1278" t="s">
        <v>3323</v>
      </c>
      <c r="F2524" s="1262"/>
      <c r="G2524" s="1262"/>
      <c r="H2524" s="1262"/>
      <c r="I2524" s="1262"/>
      <c r="J2524" s="1276"/>
      <c r="X2524" s="501" t="b">
        <f t="shared" si="226"/>
        <v>1</v>
      </c>
    </row>
    <row r="2525" s="413" customFormat="1" hidden="1" outlineLevel="2" spans="1:24">
      <c r="A2525" s="413" t="s">
        <v>2315</v>
      </c>
      <c r="B2525" s="1263" t="s">
        <v>3285</v>
      </c>
      <c r="C2525" s="429" t="str">
        <f t="shared" si="225"/>
        <v>石嘴山市深阳蓝光市政工程有限公司</v>
      </c>
      <c r="D2525" s="1258" t="s">
        <v>3320</v>
      </c>
      <c r="E2525" s="149" t="s">
        <v>2334</v>
      </c>
      <c r="F2525" s="1279"/>
      <c r="G2525" s="1279"/>
      <c r="H2525" s="1279"/>
      <c r="I2525" s="1262"/>
      <c r="J2525" s="1276"/>
      <c r="X2525" s="501" t="b">
        <f t="shared" si="226"/>
        <v>1</v>
      </c>
    </row>
    <row r="2526" s="413" customFormat="1" hidden="1" outlineLevel="2" spans="2:24">
      <c r="B2526" s="1263" t="s">
        <v>3285</v>
      </c>
      <c r="C2526" s="429" t="str">
        <f t="shared" si="225"/>
        <v>石嘴山市深阳蓝光市政工程有限公司</v>
      </c>
      <c r="D2526" s="1258" t="s">
        <v>3320</v>
      </c>
      <c r="E2526" s="1280"/>
      <c r="F2526" s="1262"/>
      <c r="G2526" s="1262"/>
      <c r="H2526" s="1262"/>
      <c r="I2526" s="1262"/>
      <c r="J2526" s="1276"/>
      <c r="X2526" s="501" t="b">
        <f t="shared" si="226"/>
        <v>1</v>
      </c>
    </row>
    <row r="2527" s="414" customFormat="1" spans="1:24">
      <c r="A2527" s="414" t="s">
        <v>1850</v>
      </c>
      <c r="B2527" s="428" t="s">
        <v>3324</v>
      </c>
      <c r="C2527" s="429" t="str">
        <f t="shared" si="225"/>
        <v>石嘴山市深阳蓝光市政工程有限公司</v>
      </c>
      <c r="D2527" s="1281" t="s">
        <v>1850</v>
      </c>
      <c r="E2527" s="65" t="s">
        <v>3325</v>
      </c>
      <c r="F2527" s="1282" t="s">
        <v>1243</v>
      </c>
      <c r="G2527" s="1118" t="s">
        <v>3326</v>
      </c>
      <c r="H2527" s="1283"/>
      <c r="I2527" s="1118" t="s">
        <v>3326</v>
      </c>
      <c r="J2527" s="1276"/>
      <c r="K2527" s="1300"/>
      <c r="X2527" s="501" t="b">
        <f t="shared" si="226"/>
        <v>1</v>
      </c>
    </row>
    <row r="2528" s="414" customFormat="1" outlineLevel="2" spans="1:24">
      <c r="A2528" s="414" t="s">
        <v>314</v>
      </c>
      <c r="B2528" s="428" t="s">
        <v>3324</v>
      </c>
      <c r="C2528" s="429" t="str">
        <f t="shared" si="225"/>
        <v>石嘴山市深阳蓝光市政工程有限公司</v>
      </c>
      <c r="D2528" s="1281" t="s">
        <v>1850</v>
      </c>
      <c r="E2528" s="1284" t="s">
        <v>3327</v>
      </c>
      <c r="F2528" s="1284" t="s">
        <v>3328</v>
      </c>
      <c r="G2528" s="1284" t="s">
        <v>3329</v>
      </c>
      <c r="H2528" s="1284" t="s">
        <v>3330</v>
      </c>
      <c r="I2528" s="1284" t="s">
        <v>3331</v>
      </c>
      <c r="J2528" s="1276"/>
      <c r="K2528" s="1300"/>
      <c r="X2528" s="501" t="b">
        <f t="shared" si="226"/>
        <v>1</v>
      </c>
    </row>
    <row r="2529" s="414" customFormat="1" outlineLevel="2" spans="1:24">
      <c r="A2529" s="414" t="s">
        <v>1852</v>
      </c>
      <c r="B2529" s="428" t="s">
        <v>3324</v>
      </c>
      <c r="C2529" s="429" t="str">
        <f t="shared" si="225"/>
        <v>石嘴山市深阳蓝光市政工程有限公司</v>
      </c>
      <c r="D2529" s="1281" t="s">
        <v>1850</v>
      </c>
      <c r="E2529" s="1285" t="s">
        <v>1852</v>
      </c>
      <c r="F2529" s="132"/>
      <c r="G2529" s="477">
        <f>报表附注合并期初用!E2020</f>
        <v>0</v>
      </c>
      <c r="H2529" s="454"/>
      <c r="I2529" s="916">
        <f>报表附注合并期初用!E2028</f>
        <v>0</v>
      </c>
      <c r="J2529" s="1300"/>
      <c r="K2529" s="1300"/>
      <c r="X2529" s="501" t="b">
        <f t="shared" si="226"/>
        <v>1</v>
      </c>
    </row>
    <row r="2530" s="414" customFormat="1" outlineLevel="2" spans="1:24">
      <c r="A2530" s="414" t="s">
        <v>1853</v>
      </c>
      <c r="B2530" s="428" t="s">
        <v>3324</v>
      </c>
      <c r="C2530" s="429" t="str">
        <f t="shared" ref="C2530:C2593" si="227">$G$1</f>
        <v>石嘴山市深阳蓝光市政工程有限公司</v>
      </c>
      <c r="D2530" s="1281" t="s">
        <v>1850</v>
      </c>
      <c r="E2530" s="1285" t="s">
        <v>1853</v>
      </c>
      <c r="F2530" s="132"/>
      <c r="G2530" s="477">
        <f>报表附注合并期初用!E2021</f>
        <v>0</v>
      </c>
      <c r="H2530" s="454"/>
      <c r="I2530" s="916">
        <f>报表附注合并期初用!E2029</f>
        <v>0</v>
      </c>
      <c r="J2530" s="1300"/>
      <c r="K2530" s="1300"/>
      <c r="X2530" s="501" t="b">
        <f t="shared" ref="X2530:X2593" si="228">EXACT(A2530,E2530)</f>
        <v>1</v>
      </c>
    </row>
    <row r="2531" s="414" customFormat="1" outlineLevel="2" spans="1:24">
      <c r="A2531" s="414" t="s">
        <v>346</v>
      </c>
      <c r="B2531" s="428" t="s">
        <v>3324</v>
      </c>
      <c r="C2531" s="429" t="str">
        <f t="shared" si="227"/>
        <v>石嘴山市深阳蓝光市政工程有限公司</v>
      </c>
      <c r="D2531" s="1281" t="s">
        <v>1850</v>
      </c>
      <c r="E2531" s="1284" t="s">
        <v>3187</v>
      </c>
      <c r="F2531" s="1286">
        <f>SUM(F2529:F2530)</f>
        <v>0</v>
      </c>
      <c r="G2531" s="1286">
        <f>SUM(G2529:G2530)</f>
        <v>0</v>
      </c>
      <c r="H2531" s="1286">
        <f>SUM(H2529:H2530)</f>
        <v>0</v>
      </c>
      <c r="I2531" s="1286">
        <f>SUM(I2529:I2530)</f>
        <v>0</v>
      </c>
      <c r="J2531" s="1300"/>
      <c r="K2531" s="1300"/>
      <c r="X2531" s="501" t="b">
        <f t="shared" si="228"/>
        <v>1</v>
      </c>
    </row>
    <row r="2532" s="414" customFormat="1" outlineLevel="2" spans="1:24">
      <c r="A2532" s="414" t="s">
        <v>1444</v>
      </c>
      <c r="B2532" s="428" t="s">
        <v>3324</v>
      </c>
      <c r="C2532" s="429" t="str">
        <f t="shared" si="227"/>
        <v>石嘴山市深阳蓝光市政工程有限公司</v>
      </c>
      <c r="D2532" s="1281" t="s">
        <v>1850</v>
      </c>
      <c r="E2532" s="1060" t="s">
        <v>1444</v>
      </c>
      <c r="F2532" s="1287">
        <f>审定利润表!C6</f>
        <v>0</v>
      </c>
      <c r="G2532" s="1287">
        <f>审定利润表!D6</f>
        <v>0</v>
      </c>
      <c r="H2532" s="1287">
        <f>审定利润表!C7</f>
        <v>0</v>
      </c>
      <c r="I2532" s="1287">
        <f>审定利润表!D7</f>
        <v>0</v>
      </c>
      <c r="J2532" s="1300"/>
      <c r="K2532" s="1300"/>
      <c r="X2532" s="501" t="b">
        <f t="shared" si="228"/>
        <v>1</v>
      </c>
    </row>
    <row r="2533" s="414" customFormat="1" outlineLevel="1" spans="1:24">
      <c r="A2533" s="414" t="s">
        <v>1394</v>
      </c>
      <c r="B2533" s="428" t="s">
        <v>3324</v>
      </c>
      <c r="C2533" s="429" t="str">
        <f t="shared" si="227"/>
        <v>石嘴山市深阳蓝光市政工程有限公司</v>
      </c>
      <c r="D2533" s="1281" t="s">
        <v>1850</v>
      </c>
      <c r="E2533" s="1060" t="s">
        <v>1394</v>
      </c>
      <c r="F2533" s="721">
        <f>ROUND(F2531-F2532,2)</f>
        <v>0</v>
      </c>
      <c r="G2533" s="721">
        <f>ROUND(G2531-G2532,2)</f>
        <v>0</v>
      </c>
      <c r="H2533" s="721">
        <f>ROUND(H2531-H2532,2)</f>
        <v>0</v>
      </c>
      <c r="I2533" s="721">
        <f>ROUND(I2531-I2532,2)</f>
        <v>0</v>
      </c>
      <c r="J2533" s="1300"/>
      <c r="K2533" s="1300"/>
      <c r="X2533" s="501" t="b">
        <f t="shared" si="228"/>
        <v>1</v>
      </c>
    </row>
    <row r="2534" s="414" customFormat="1" outlineLevel="2" spans="2:24">
      <c r="B2534" s="428" t="s">
        <v>3324</v>
      </c>
      <c r="C2534" s="429" t="str">
        <f t="shared" si="227"/>
        <v>石嘴山市深阳蓝光市政工程有限公司</v>
      </c>
      <c r="D2534" s="1281" t="s">
        <v>1850</v>
      </c>
      <c r="E2534" s="1288"/>
      <c r="F2534" s="1289"/>
      <c r="G2534" s="1289"/>
      <c r="H2534" s="1290"/>
      <c r="I2534" s="1290"/>
      <c r="J2534" s="1300"/>
      <c r="K2534" s="1300"/>
      <c r="X2534" s="501" t="b">
        <f t="shared" si="228"/>
        <v>1</v>
      </c>
    </row>
    <row r="2535" s="414" customFormat="1" outlineLevel="2" spans="1:24">
      <c r="A2535" s="414" t="s">
        <v>3332</v>
      </c>
      <c r="B2535" s="428" t="s">
        <v>3324</v>
      </c>
      <c r="C2535" s="429" t="str">
        <f t="shared" si="227"/>
        <v>石嘴山市深阳蓝光市政工程有限公司</v>
      </c>
      <c r="D2535" s="1281" t="s">
        <v>1857</v>
      </c>
      <c r="E2535" s="1278" t="s">
        <v>3333</v>
      </c>
      <c r="F2535" s="1291"/>
      <c r="G2535" s="1291"/>
      <c r="H2535" s="1291"/>
      <c r="I2535" s="1291"/>
      <c r="J2535" s="1291"/>
      <c r="K2535" s="1291"/>
      <c r="X2535" s="501" t="b">
        <f t="shared" si="228"/>
        <v>1</v>
      </c>
    </row>
    <row r="2536" s="414" customFormat="1" outlineLevel="2" spans="1:24">
      <c r="A2536" s="414" t="s">
        <v>3334</v>
      </c>
      <c r="B2536" s="428" t="s">
        <v>3324</v>
      </c>
      <c r="C2536" s="429" t="str">
        <f t="shared" si="227"/>
        <v>石嘴山市深阳蓝光市政工程有限公司</v>
      </c>
      <c r="D2536" s="1281" t="s">
        <v>1857</v>
      </c>
      <c r="E2536" s="1284" t="s">
        <v>3335</v>
      </c>
      <c r="F2536" s="1284" t="s">
        <v>1852</v>
      </c>
      <c r="G2536" s="1284"/>
      <c r="H2536" s="1284" t="s">
        <v>3336</v>
      </c>
      <c r="I2536" s="1284"/>
      <c r="J2536" s="1284" t="s">
        <v>3337</v>
      </c>
      <c r="K2536" s="1284"/>
      <c r="X2536" s="501" t="b">
        <f t="shared" si="228"/>
        <v>1</v>
      </c>
    </row>
    <row r="2537" s="414" customFormat="1" outlineLevel="2" spans="2:24">
      <c r="B2537" s="428" t="s">
        <v>3324</v>
      </c>
      <c r="C2537" s="429" t="str">
        <f t="shared" si="227"/>
        <v>石嘴山市深阳蓝光市政工程有限公司</v>
      </c>
      <c r="D2537" s="1281" t="s">
        <v>1857</v>
      </c>
      <c r="E2537" s="1292"/>
      <c r="F2537" s="1284" t="s">
        <v>1906</v>
      </c>
      <c r="G2537" s="1284" t="s">
        <v>1910</v>
      </c>
      <c r="H2537" s="1284" t="s">
        <v>1906</v>
      </c>
      <c r="I2537" s="1284" t="s">
        <v>1910</v>
      </c>
      <c r="J2537" s="1284" t="s">
        <v>1906</v>
      </c>
      <c r="K2537" s="1284" t="s">
        <v>1910</v>
      </c>
      <c r="X2537" s="501" t="b">
        <f t="shared" si="228"/>
        <v>1</v>
      </c>
    </row>
    <row r="2538" s="414" customFormat="1" outlineLevel="2" spans="1:24">
      <c r="A2538" s="414" t="s">
        <v>1859</v>
      </c>
      <c r="B2538" s="428" t="s">
        <v>3324</v>
      </c>
      <c r="C2538" s="429" t="str">
        <f t="shared" si="227"/>
        <v>石嘴山市深阳蓝光市政工程有限公司</v>
      </c>
      <c r="D2538" s="1281" t="s">
        <v>1857</v>
      </c>
      <c r="E2538" s="1293" t="s">
        <v>3338</v>
      </c>
      <c r="F2538" s="732"/>
      <c r="G2538" s="916">
        <f>报表附注合并期初用!E2050</f>
        <v>0</v>
      </c>
      <c r="H2538" s="732"/>
      <c r="I2538" s="916">
        <f>报表附注合并期初用!E2082</f>
        <v>0</v>
      </c>
      <c r="J2538" s="636">
        <f>F2538-H2538</f>
        <v>0</v>
      </c>
      <c r="K2538" s="636">
        <f>G2538-I2538</f>
        <v>0</v>
      </c>
      <c r="L2538" s="1301"/>
      <c r="X2538" s="501" t="b">
        <f t="shared" si="228"/>
        <v>0</v>
      </c>
    </row>
    <row r="2539" s="414" customFormat="1" outlineLevel="2" spans="1:24">
      <c r="A2539" s="414" t="s">
        <v>1860</v>
      </c>
      <c r="B2539" s="428" t="s">
        <v>3324</v>
      </c>
      <c r="C2539" s="429" t="str">
        <f t="shared" si="227"/>
        <v>石嘴山市深阳蓝光市政工程有限公司</v>
      </c>
      <c r="D2539" s="1281" t="s">
        <v>1857</v>
      </c>
      <c r="E2539" s="1293" t="s">
        <v>3339</v>
      </c>
      <c r="F2539" s="732"/>
      <c r="G2539" s="916">
        <f>报表附注合并期初用!E2051</f>
        <v>0</v>
      </c>
      <c r="H2539" s="732"/>
      <c r="I2539" s="916">
        <f>报表附注合并期初用!E2083</f>
        <v>0</v>
      </c>
      <c r="J2539" s="636">
        <f t="shared" ref="J2539:K2551" si="229">F2539-H2539</f>
        <v>0</v>
      </c>
      <c r="K2539" s="636">
        <f t="shared" si="229"/>
        <v>0</v>
      </c>
      <c r="L2539" s="1301"/>
      <c r="X2539" s="501" t="b">
        <f t="shared" si="228"/>
        <v>1</v>
      </c>
    </row>
    <row r="2540" s="414" customFormat="1" outlineLevel="2" spans="1:24">
      <c r="A2540" s="414" t="s">
        <v>1861</v>
      </c>
      <c r="B2540" s="428" t="s">
        <v>3324</v>
      </c>
      <c r="C2540" s="429" t="str">
        <f t="shared" si="227"/>
        <v>石嘴山市深阳蓝光市政工程有限公司</v>
      </c>
      <c r="D2540" s="1281" t="s">
        <v>1857</v>
      </c>
      <c r="E2540" s="1293" t="s">
        <v>3340</v>
      </c>
      <c r="F2540" s="732"/>
      <c r="G2540" s="916">
        <f>报表附注合并期初用!E2052</f>
        <v>0</v>
      </c>
      <c r="H2540" s="732"/>
      <c r="I2540" s="916">
        <f>报表附注合并期初用!E2084</f>
        <v>0</v>
      </c>
      <c r="J2540" s="636">
        <f t="shared" si="229"/>
        <v>0</v>
      </c>
      <c r="K2540" s="636">
        <f t="shared" si="229"/>
        <v>0</v>
      </c>
      <c r="L2540" s="1301"/>
      <c r="X2540" s="501" t="b">
        <f t="shared" si="228"/>
        <v>1</v>
      </c>
    </row>
    <row r="2541" s="414" customFormat="1" outlineLevel="2" spans="1:24">
      <c r="A2541" s="414" t="s">
        <v>1862</v>
      </c>
      <c r="B2541" s="428" t="s">
        <v>3324</v>
      </c>
      <c r="C2541" s="429" t="str">
        <f t="shared" si="227"/>
        <v>石嘴山市深阳蓝光市政工程有限公司</v>
      </c>
      <c r="D2541" s="1281" t="s">
        <v>1857</v>
      </c>
      <c r="E2541" s="1293" t="s">
        <v>3341</v>
      </c>
      <c r="F2541" s="732"/>
      <c r="G2541" s="916">
        <f>报表附注合并期初用!E2053</f>
        <v>0</v>
      </c>
      <c r="H2541" s="732"/>
      <c r="I2541" s="916">
        <f>报表附注合并期初用!E2085</f>
        <v>0</v>
      </c>
      <c r="J2541" s="636">
        <f t="shared" si="229"/>
        <v>0</v>
      </c>
      <c r="K2541" s="636">
        <f t="shared" si="229"/>
        <v>0</v>
      </c>
      <c r="L2541" s="1301"/>
      <c r="X2541" s="501" t="b">
        <f t="shared" si="228"/>
        <v>0</v>
      </c>
    </row>
    <row r="2542" s="414" customFormat="1" outlineLevel="2" spans="1:24">
      <c r="A2542" s="414" t="s">
        <v>1863</v>
      </c>
      <c r="B2542" s="428" t="s">
        <v>3324</v>
      </c>
      <c r="C2542" s="429" t="str">
        <f t="shared" si="227"/>
        <v>石嘴山市深阳蓝光市政工程有限公司</v>
      </c>
      <c r="D2542" s="1281" t="s">
        <v>1857</v>
      </c>
      <c r="E2542" s="1293" t="s">
        <v>3342</v>
      </c>
      <c r="F2542" s="732"/>
      <c r="G2542" s="916">
        <f>报表附注合并期初用!E2054</f>
        <v>0</v>
      </c>
      <c r="H2542" s="732"/>
      <c r="I2542" s="916">
        <f>报表附注合并期初用!E2086</f>
        <v>0</v>
      </c>
      <c r="J2542" s="636">
        <f t="shared" si="229"/>
        <v>0</v>
      </c>
      <c r="K2542" s="636">
        <f t="shared" si="229"/>
        <v>0</v>
      </c>
      <c r="L2542" s="1301"/>
      <c r="X2542" s="501" t="b">
        <f t="shared" si="228"/>
        <v>0</v>
      </c>
    </row>
    <row r="2543" s="414" customFormat="1" outlineLevel="2" spans="1:24">
      <c r="A2543" s="414" t="s">
        <v>1864</v>
      </c>
      <c r="B2543" s="428" t="s">
        <v>3324</v>
      </c>
      <c r="C2543" s="429" t="str">
        <f t="shared" si="227"/>
        <v>石嘴山市深阳蓝光市政工程有限公司</v>
      </c>
      <c r="D2543" s="1281" t="s">
        <v>1857</v>
      </c>
      <c r="E2543" s="1293" t="s">
        <v>3343</v>
      </c>
      <c r="F2543" s="732"/>
      <c r="G2543" s="916">
        <f>报表附注合并期初用!E2055</f>
        <v>0</v>
      </c>
      <c r="H2543" s="732"/>
      <c r="I2543" s="916">
        <f>报表附注合并期初用!E2087</f>
        <v>0</v>
      </c>
      <c r="J2543" s="636">
        <f t="shared" si="229"/>
        <v>0</v>
      </c>
      <c r="K2543" s="636">
        <f t="shared" si="229"/>
        <v>0</v>
      </c>
      <c r="L2543" s="1301"/>
      <c r="X2543" s="501" t="b">
        <f t="shared" si="228"/>
        <v>1</v>
      </c>
    </row>
    <row r="2544" s="414" customFormat="1" outlineLevel="2" spans="1:24">
      <c r="A2544" s="414" t="s">
        <v>1865</v>
      </c>
      <c r="B2544" s="428" t="s">
        <v>3324</v>
      </c>
      <c r="C2544" s="429" t="str">
        <f t="shared" si="227"/>
        <v>石嘴山市深阳蓝光市政工程有限公司</v>
      </c>
      <c r="D2544" s="1281" t="s">
        <v>1857</v>
      </c>
      <c r="E2544" s="1293" t="s">
        <v>3344</v>
      </c>
      <c r="F2544" s="732"/>
      <c r="G2544" s="916">
        <f>报表附注合并期初用!E2056</f>
        <v>0</v>
      </c>
      <c r="H2544" s="732"/>
      <c r="I2544" s="916">
        <f>报表附注合并期初用!E2088</f>
        <v>0</v>
      </c>
      <c r="J2544" s="636">
        <f t="shared" si="229"/>
        <v>0</v>
      </c>
      <c r="K2544" s="636">
        <f t="shared" si="229"/>
        <v>0</v>
      </c>
      <c r="X2544" s="501" t="b">
        <f t="shared" si="228"/>
        <v>0</v>
      </c>
    </row>
    <row r="2545" s="414" customFormat="1" outlineLevel="2" spans="1:24">
      <c r="A2545" s="414" t="s">
        <v>1866</v>
      </c>
      <c r="B2545" s="428" t="s">
        <v>3324</v>
      </c>
      <c r="C2545" s="429" t="str">
        <f t="shared" si="227"/>
        <v>石嘴山市深阳蓝光市政工程有限公司</v>
      </c>
      <c r="D2545" s="1281" t="s">
        <v>1857</v>
      </c>
      <c r="E2545" s="1293" t="s">
        <v>3345</v>
      </c>
      <c r="F2545" s="732"/>
      <c r="G2545" s="916">
        <f>报表附注合并期初用!E2057</f>
        <v>0</v>
      </c>
      <c r="H2545" s="732"/>
      <c r="I2545" s="916">
        <f>报表附注合并期初用!E2089</f>
        <v>0</v>
      </c>
      <c r="J2545" s="636">
        <f t="shared" si="229"/>
        <v>0</v>
      </c>
      <c r="K2545" s="636">
        <f t="shared" si="229"/>
        <v>0</v>
      </c>
      <c r="X2545" s="501" t="b">
        <f t="shared" si="228"/>
        <v>1</v>
      </c>
    </row>
    <row r="2546" s="414" customFormat="1" outlineLevel="2" spans="1:24">
      <c r="A2546" s="414" t="s">
        <v>1867</v>
      </c>
      <c r="B2546" s="428" t="s">
        <v>3324</v>
      </c>
      <c r="C2546" s="429" t="str">
        <f t="shared" si="227"/>
        <v>石嘴山市深阳蓝光市政工程有限公司</v>
      </c>
      <c r="D2546" s="1281" t="s">
        <v>1857</v>
      </c>
      <c r="E2546" s="1293" t="s">
        <v>3346</v>
      </c>
      <c r="F2546" s="732"/>
      <c r="G2546" s="916">
        <f>报表附注合并期初用!E2058</f>
        <v>0</v>
      </c>
      <c r="H2546" s="732"/>
      <c r="I2546" s="916">
        <f>报表附注合并期初用!E2090</f>
        <v>0</v>
      </c>
      <c r="J2546" s="636">
        <f t="shared" si="229"/>
        <v>0</v>
      </c>
      <c r="K2546" s="636">
        <f t="shared" si="229"/>
        <v>0</v>
      </c>
      <c r="X2546" s="501" t="b">
        <f t="shared" si="228"/>
        <v>1</v>
      </c>
    </row>
    <row r="2547" s="414" customFormat="1" outlineLevel="2" spans="1:24">
      <c r="A2547" s="414" t="s">
        <v>1868</v>
      </c>
      <c r="B2547" s="428" t="s">
        <v>3324</v>
      </c>
      <c r="C2547" s="429" t="str">
        <f t="shared" si="227"/>
        <v>石嘴山市深阳蓝光市政工程有限公司</v>
      </c>
      <c r="D2547" s="1281" t="s">
        <v>1857</v>
      </c>
      <c r="E2547" s="1294" t="s">
        <v>3347</v>
      </c>
      <c r="F2547" s="732"/>
      <c r="G2547" s="916">
        <f>报表附注合并期初用!E2059</f>
        <v>0</v>
      </c>
      <c r="H2547" s="732"/>
      <c r="I2547" s="916">
        <f>报表附注合并期初用!E2091</f>
        <v>0</v>
      </c>
      <c r="J2547" s="636">
        <f t="shared" si="229"/>
        <v>0</v>
      </c>
      <c r="K2547" s="636">
        <f t="shared" si="229"/>
        <v>0</v>
      </c>
      <c r="X2547" s="501" t="b">
        <f t="shared" si="228"/>
        <v>1</v>
      </c>
    </row>
    <row r="2548" s="414" customFormat="1" hidden="1" outlineLevel="2" spans="1:24">
      <c r="A2548" s="414" t="s">
        <v>1869</v>
      </c>
      <c r="B2548" s="428" t="s">
        <v>3324</v>
      </c>
      <c r="C2548" s="429" t="str">
        <f t="shared" si="227"/>
        <v>石嘴山市深阳蓝光市政工程有限公司</v>
      </c>
      <c r="D2548" s="1281" t="s">
        <v>1857</v>
      </c>
      <c r="E2548" s="1294" t="s">
        <v>3348</v>
      </c>
      <c r="F2548" s="732"/>
      <c r="G2548" s="916">
        <f>报表附注合并期初用!E2060</f>
        <v>0</v>
      </c>
      <c r="H2548" s="732"/>
      <c r="I2548" s="916">
        <f>报表附注合并期初用!E2092</f>
        <v>0</v>
      </c>
      <c r="J2548" s="636">
        <f t="shared" si="229"/>
        <v>0</v>
      </c>
      <c r="K2548" s="636">
        <f t="shared" si="229"/>
        <v>0</v>
      </c>
      <c r="X2548" s="501" t="b">
        <f t="shared" si="228"/>
        <v>1</v>
      </c>
    </row>
    <row r="2549" s="414" customFormat="1" hidden="1" outlineLevel="2" spans="1:24">
      <c r="A2549" s="414" t="s">
        <v>1870</v>
      </c>
      <c r="B2549" s="428" t="s">
        <v>3324</v>
      </c>
      <c r="C2549" s="429" t="str">
        <f t="shared" si="227"/>
        <v>石嘴山市深阳蓝光市政工程有限公司</v>
      </c>
      <c r="D2549" s="1281" t="s">
        <v>1857</v>
      </c>
      <c r="E2549" s="1294" t="s">
        <v>3349</v>
      </c>
      <c r="F2549" s="454"/>
      <c r="G2549" s="1295">
        <f>报表附注合并期初用!E2061</f>
        <v>0</v>
      </c>
      <c r="H2549" s="454"/>
      <c r="I2549" s="1295">
        <f>报表附注合并期初用!E2093</f>
        <v>0</v>
      </c>
      <c r="J2549" s="636">
        <f t="shared" si="229"/>
        <v>0</v>
      </c>
      <c r="K2549" s="636">
        <f t="shared" si="229"/>
        <v>0</v>
      </c>
      <c r="X2549" s="501" t="b">
        <f t="shared" si="228"/>
        <v>1</v>
      </c>
    </row>
    <row r="2550" s="414" customFormat="1" hidden="1" outlineLevel="2" spans="1:24">
      <c r="A2550" s="414" t="s">
        <v>1871</v>
      </c>
      <c r="B2550" s="428" t="s">
        <v>3324</v>
      </c>
      <c r="C2550" s="429" t="str">
        <f t="shared" si="227"/>
        <v>石嘴山市深阳蓝光市政工程有限公司</v>
      </c>
      <c r="D2550" s="1281" t="s">
        <v>1857</v>
      </c>
      <c r="E2550" s="1294" t="s">
        <v>3350</v>
      </c>
      <c r="F2550" s="454"/>
      <c r="G2550" s="1295">
        <f>报表附注合并期初用!E2062</f>
        <v>0</v>
      </c>
      <c r="H2550" s="454"/>
      <c r="I2550" s="1295">
        <f>报表附注合并期初用!E2094</f>
        <v>0</v>
      </c>
      <c r="J2550" s="636">
        <f t="shared" si="229"/>
        <v>0</v>
      </c>
      <c r="K2550" s="636">
        <f t="shared" si="229"/>
        <v>0</v>
      </c>
      <c r="X2550" s="501" t="b">
        <f t="shared" si="228"/>
        <v>1</v>
      </c>
    </row>
    <row r="2551" s="414" customFormat="1" hidden="1" outlineLevel="2" spans="1:24">
      <c r="A2551" s="414" t="s">
        <v>1872</v>
      </c>
      <c r="B2551" s="428" t="s">
        <v>3324</v>
      </c>
      <c r="C2551" s="429" t="str">
        <f t="shared" si="227"/>
        <v>石嘴山市深阳蓝光市政工程有限公司</v>
      </c>
      <c r="D2551" s="1281" t="s">
        <v>1857</v>
      </c>
      <c r="E2551" s="1294" t="s">
        <v>3351</v>
      </c>
      <c r="F2551" s="454"/>
      <c r="G2551" s="1295">
        <f>报表附注合并期初用!E2063</f>
        <v>0</v>
      </c>
      <c r="H2551" s="454"/>
      <c r="I2551" s="1295">
        <f>报表附注合并期初用!E2095</f>
        <v>0</v>
      </c>
      <c r="J2551" s="636">
        <f t="shared" si="229"/>
        <v>0</v>
      </c>
      <c r="K2551" s="636">
        <f t="shared" si="229"/>
        <v>0</v>
      </c>
      <c r="X2551" s="501" t="b">
        <f t="shared" si="228"/>
        <v>1</v>
      </c>
    </row>
    <row r="2552" s="414" customFormat="1" outlineLevel="2" spans="1:24">
      <c r="A2552" s="414" t="s">
        <v>1580</v>
      </c>
      <c r="B2552" s="428" t="s">
        <v>3324</v>
      </c>
      <c r="C2552" s="429" t="str">
        <f t="shared" si="227"/>
        <v>石嘴山市深阳蓝光市政工程有限公司</v>
      </c>
      <c r="D2552" s="1281" t="s">
        <v>1857</v>
      </c>
      <c r="E2552" s="1284" t="s">
        <v>1580</v>
      </c>
      <c r="F2552" s="135">
        <f t="shared" ref="F2552:K2552" si="230">SUM(F2538:F2551)</f>
        <v>0</v>
      </c>
      <c r="G2552" s="135">
        <f t="shared" si="230"/>
        <v>0</v>
      </c>
      <c r="H2552" s="135">
        <f t="shared" si="230"/>
        <v>0</v>
      </c>
      <c r="I2552" s="135">
        <f t="shared" si="230"/>
        <v>0</v>
      </c>
      <c r="J2552" s="135">
        <f t="shared" si="230"/>
        <v>0</v>
      </c>
      <c r="K2552" s="135">
        <f t="shared" si="230"/>
        <v>0</v>
      </c>
      <c r="X2552" s="501" t="b">
        <f t="shared" si="228"/>
        <v>1</v>
      </c>
    </row>
    <row r="2553" s="414" customFormat="1" outlineLevel="2" spans="1:24">
      <c r="A2553" s="414" t="s">
        <v>3352</v>
      </c>
      <c r="B2553" s="428" t="s">
        <v>3324</v>
      </c>
      <c r="C2553" s="429" t="str">
        <f t="shared" si="227"/>
        <v>石嘴山市深阳蓝光市政工程有限公司</v>
      </c>
      <c r="D2553" s="1281" t="s">
        <v>1857</v>
      </c>
      <c r="E2553" s="1296" t="s">
        <v>3352</v>
      </c>
      <c r="F2553" s="721">
        <f>F2529-F2552</f>
        <v>0</v>
      </c>
      <c r="G2553" s="721">
        <f>G2529-G2552</f>
        <v>0</v>
      </c>
      <c r="H2553" s="721">
        <f>H2529-H2552</f>
        <v>0</v>
      </c>
      <c r="I2553" s="721">
        <f>I2529-I2552</f>
        <v>0</v>
      </c>
      <c r="J2553" s="141"/>
      <c r="K2553" s="141"/>
      <c r="X2553" s="501" t="b">
        <f t="shared" si="228"/>
        <v>1</v>
      </c>
    </row>
    <row r="2554" s="414" customFormat="1" outlineLevel="2" spans="1:24">
      <c r="A2554" s="414" t="s">
        <v>3353</v>
      </c>
      <c r="B2554" s="428" t="s">
        <v>3324</v>
      </c>
      <c r="C2554" s="429" t="str">
        <f t="shared" si="227"/>
        <v>石嘴山市深阳蓝光市政工程有限公司</v>
      </c>
      <c r="D2554" s="1281" t="s">
        <v>1876</v>
      </c>
      <c r="E2554" s="444" t="s">
        <v>3354</v>
      </c>
      <c r="F2554" s="141"/>
      <c r="G2554" s="141"/>
      <c r="H2554" s="141"/>
      <c r="I2554" s="141"/>
      <c r="J2554" s="141"/>
      <c r="K2554" s="141"/>
      <c r="X2554" s="501" t="b">
        <f t="shared" si="228"/>
        <v>1</v>
      </c>
    </row>
    <row r="2555" s="414" customFormat="1" outlineLevel="2" spans="1:24">
      <c r="A2555" s="414" t="s">
        <v>3355</v>
      </c>
      <c r="B2555" s="428" t="s">
        <v>3324</v>
      </c>
      <c r="C2555" s="429" t="str">
        <f t="shared" si="227"/>
        <v>石嘴山市深阳蓝光市政工程有限公司</v>
      </c>
      <c r="D2555" s="1281" t="s">
        <v>1876</v>
      </c>
      <c r="E2555" s="1297" t="s">
        <v>3355</v>
      </c>
      <c r="F2555" s="1297" t="s">
        <v>1852</v>
      </c>
      <c r="G2555" s="1297"/>
      <c r="H2555" s="1297" t="s">
        <v>3336</v>
      </c>
      <c r="I2555" s="1297"/>
      <c r="J2555" s="645" t="s">
        <v>2462</v>
      </c>
      <c r="K2555" s="141"/>
      <c r="X2555" s="501" t="b">
        <f t="shared" si="228"/>
        <v>1</v>
      </c>
    </row>
    <row r="2556" s="414" customFormat="1" ht="14.25" customHeight="1" outlineLevel="2" spans="2:24">
      <c r="B2556" s="428" t="s">
        <v>3324</v>
      </c>
      <c r="C2556" s="429" t="str">
        <f t="shared" si="227"/>
        <v>石嘴山市深阳蓝光市政工程有限公司</v>
      </c>
      <c r="D2556" s="1281" t="s">
        <v>1876</v>
      </c>
      <c r="E2556" s="1297"/>
      <c r="F2556" s="1297" t="s">
        <v>1906</v>
      </c>
      <c r="G2556" s="1297" t="s">
        <v>1910</v>
      </c>
      <c r="H2556" s="1297" t="s">
        <v>1906</v>
      </c>
      <c r="I2556" s="1297" t="s">
        <v>1910</v>
      </c>
      <c r="J2556" s="627"/>
      <c r="K2556" s="141"/>
      <c r="X2556" s="501" t="b">
        <f t="shared" si="228"/>
        <v>1</v>
      </c>
    </row>
    <row r="2557" s="414" customFormat="1" outlineLevel="2" spans="1:24">
      <c r="A2557" s="414" t="s">
        <v>1877</v>
      </c>
      <c r="B2557" s="428" t="s">
        <v>3324</v>
      </c>
      <c r="C2557" s="429" t="str">
        <f t="shared" si="227"/>
        <v>石嘴山市深阳蓝光市政工程有限公司</v>
      </c>
      <c r="D2557" s="1281" t="s">
        <v>1876</v>
      </c>
      <c r="E2557" s="1293" t="s">
        <v>3338</v>
      </c>
      <c r="F2557" s="1298"/>
      <c r="G2557" s="1299">
        <f>报表附注合并期初用!E2115</f>
        <v>0</v>
      </c>
      <c r="H2557" s="1298"/>
      <c r="I2557" s="1299">
        <f>报表附注合并期初用!E2145</f>
        <v>0</v>
      </c>
      <c r="J2557" s="141"/>
      <c r="K2557" s="141"/>
      <c r="X2557" s="501" t="b">
        <f t="shared" si="228"/>
        <v>0</v>
      </c>
    </row>
    <row r="2558" s="414" customFormat="1" outlineLevel="2" spans="1:24">
      <c r="A2558" s="414" t="s">
        <v>1878</v>
      </c>
      <c r="B2558" s="428" t="s">
        <v>3324</v>
      </c>
      <c r="C2558" s="429" t="str">
        <f t="shared" si="227"/>
        <v>石嘴山市深阳蓝光市政工程有限公司</v>
      </c>
      <c r="D2558" s="1281" t="s">
        <v>1876</v>
      </c>
      <c r="E2558" s="1293" t="s">
        <v>3339</v>
      </c>
      <c r="F2558" s="1298"/>
      <c r="G2558" s="1299">
        <f>报表附注合并期初用!E2116</f>
        <v>0</v>
      </c>
      <c r="H2558" s="1298"/>
      <c r="I2558" s="1299">
        <f>报表附注合并期初用!E2146</f>
        <v>0</v>
      </c>
      <c r="J2558" s="141"/>
      <c r="K2558" s="141"/>
      <c r="X2558" s="501" t="b">
        <f t="shared" si="228"/>
        <v>0</v>
      </c>
    </row>
    <row r="2559" s="414" customFormat="1" outlineLevel="2" spans="1:24">
      <c r="A2559" s="414" t="s">
        <v>1879</v>
      </c>
      <c r="B2559" s="428" t="s">
        <v>3324</v>
      </c>
      <c r="C2559" s="429" t="str">
        <f t="shared" si="227"/>
        <v>石嘴山市深阳蓝光市政工程有限公司</v>
      </c>
      <c r="D2559" s="1281" t="s">
        <v>1876</v>
      </c>
      <c r="E2559" s="1293" t="s">
        <v>3340</v>
      </c>
      <c r="F2559" s="1298"/>
      <c r="G2559" s="1299">
        <f>报表附注合并期初用!E2117</f>
        <v>0</v>
      </c>
      <c r="H2559" s="1298"/>
      <c r="I2559" s="1299">
        <f>报表附注合并期初用!E2147</f>
        <v>0</v>
      </c>
      <c r="J2559" s="141"/>
      <c r="K2559" s="141"/>
      <c r="X2559" s="501" t="b">
        <f t="shared" si="228"/>
        <v>0</v>
      </c>
    </row>
    <row r="2560" s="414" customFormat="1" outlineLevel="2" spans="1:24">
      <c r="A2560" s="414" t="s">
        <v>1880</v>
      </c>
      <c r="B2560" s="428" t="s">
        <v>3324</v>
      </c>
      <c r="C2560" s="429" t="str">
        <f t="shared" si="227"/>
        <v>石嘴山市深阳蓝光市政工程有限公司</v>
      </c>
      <c r="D2560" s="1281" t="s">
        <v>1876</v>
      </c>
      <c r="E2560" s="1293" t="s">
        <v>3341</v>
      </c>
      <c r="F2560" s="1298"/>
      <c r="G2560" s="1299">
        <f>报表附注合并期初用!E2118</f>
        <v>0</v>
      </c>
      <c r="H2560" s="1298"/>
      <c r="I2560" s="1299">
        <f>报表附注合并期初用!E2148</f>
        <v>0</v>
      </c>
      <c r="J2560" s="141"/>
      <c r="K2560" s="141"/>
      <c r="X2560" s="501" t="b">
        <f t="shared" si="228"/>
        <v>0</v>
      </c>
    </row>
    <row r="2561" s="414" customFormat="1" outlineLevel="2" spans="1:24">
      <c r="A2561" s="414" t="s">
        <v>1881</v>
      </c>
      <c r="B2561" s="428" t="s">
        <v>3324</v>
      </c>
      <c r="C2561" s="429" t="str">
        <f t="shared" si="227"/>
        <v>石嘴山市深阳蓝光市政工程有限公司</v>
      </c>
      <c r="D2561" s="1281" t="s">
        <v>1876</v>
      </c>
      <c r="E2561" s="1293" t="s">
        <v>3342</v>
      </c>
      <c r="F2561" s="1298"/>
      <c r="G2561" s="1299">
        <f>报表附注合并期初用!E2119</f>
        <v>0</v>
      </c>
      <c r="H2561" s="1298"/>
      <c r="I2561" s="1299">
        <f>报表附注合并期初用!E2149</f>
        <v>0</v>
      </c>
      <c r="J2561" s="141"/>
      <c r="K2561" s="141"/>
      <c r="X2561" s="501" t="b">
        <f t="shared" si="228"/>
        <v>0</v>
      </c>
    </row>
    <row r="2562" s="414" customFormat="1" outlineLevel="2" spans="1:24">
      <c r="A2562" s="414" t="s">
        <v>1882</v>
      </c>
      <c r="B2562" s="428" t="s">
        <v>3324</v>
      </c>
      <c r="C2562" s="429" t="str">
        <f t="shared" si="227"/>
        <v>石嘴山市深阳蓝光市政工程有限公司</v>
      </c>
      <c r="D2562" s="1281" t="s">
        <v>1876</v>
      </c>
      <c r="E2562" s="1293" t="s">
        <v>3343</v>
      </c>
      <c r="F2562" s="1298"/>
      <c r="G2562" s="1299">
        <f>报表附注合并期初用!E2120</f>
        <v>0</v>
      </c>
      <c r="H2562" s="1298"/>
      <c r="I2562" s="1299">
        <f>报表附注合并期初用!E2150</f>
        <v>0</v>
      </c>
      <c r="J2562" s="141"/>
      <c r="K2562" s="141"/>
      <c r="X2562" s="501" t="b">
        <f t="shared" si="228"/>
        <v>0</v>
      </c>
    </row>
    <row r="2563" s="414" customFormat="1" outlineLevel="2" spans="1:24">
      <c r="A2563" s="414" t="s">
        <v>1883</v>
      </c>
      <c r="B2563" s="428" t="s">
        <v>3324</v>
      </c>
      <c r="C2563" s="429" t="str">
        <f t="shared" si="227"/>
        <v>石嘴山市深阳蓝光市政工程有限公司</v>
      </c>
      <c r="D2563" s="1281" t="s">
        <v>1876</v>
      </c>
      <c r="E2563" s="1293" t="s">
        <v>3344</v>
      </c>
      <c r="F2563" s="1298"/>
      <c r="G2563" s="1299">
        <f>报表附注合并期初用!E2121</f>
        <v>0</v>
      </c>
      <c r="H2563" s="1298"/>
      <c r="I2563" s="1299">
        <f>报表附注合并期初用!E2151</f>
        <v>0</v>
      </c>
      <c r="J2563" s="141"/>
      <c r="K2563" s="141"/>
      <c r="X2563" s="501" t="b">
        <f t="shared" si="228"/>
        <v>0</v>
      </c>
    </row>
    <row r="2564" s="414" customFormat="1" outlineLevel="2" spans="1:24">
      <c r="A2564" s="414" t="s">
        <v>1884</v>
      </c>
      <c r="B2564" s="428" t="s">
        <v>3324</v>
      </c>
      <c r="C2564" s="429" t="str">
        <f t="shared" si="227"/>
        <v>石嘴山市深阳蓝光市政工程有限公司</v>
      </c>
      <c r="D2564" s="1281" t="s">
        <v>1876</v>
      </c>
      <c r="E2564" s="1293" t="s">
        <v>3345</v>
      </c>
      <c r="F2564" s="1298"/>
      <c r="G2564" s="1299">
        <f>报表附注合并期初用!E2122</f>
        <v>0</v>
      </c>
      <c r="H2564" s="1298"/>
      <c r="I2564" s="1299">
        <f>报表附注合并期初用!E2152</f>
        <v>0</v>
      </c>
      <c r="J2564" s="141"/>
      <c r="K2564" s="141"/>
      <c r="X2564" s="501" t="b">
        <f t="shared" si="228"/>
        <v>0</v>
      </c>
    </row>
    <row r="2565" s="414" customFormat="1" outlineLevel="2" spans="1:24">
      <c r="A2565" s="414" t="s">
        <v>1885</v>
      </c>
      <c r="B2565" s="428" t="s">
        <v>3324</v>
      </c>
      <c r="C2565" s="429" t="str">
        <f t="shared" si="227"/>
        <v>石嘴山市深阳蓝光市政工程有限公司</v>
      </c>
      <c r="D2565" s="1281" t="s">
        <v>1876</v>
      </c>
      <c r="E2565" s="1293" t="s">
        <v>3346</v>
      </c>
      <c r="F2565" s="1298"/>
      <c r="G2565" s="1299">
        <f>报表附注合并期初用!E2123</f>
        <v>0</v>
      </c>
      <c r="H2565" s="1298"/>
      <c r="I2565" s="1299">
        <f>报表附注合并期初用!E2153</f>
        <v>0</v>
      </c>
      <c r="J2565" s="141"/>
      <c r="K2565" s="141"/>
      <c r="X2565" s="501" t="b">
        <f t="shared" si="228"/>
        <v>0</v>
      </c>
    </row>
    <row r="2566" s="414" customFormat="1" outlineLevel="2" spans="1:24">
      <c r="A2566" s="414" t="s">
        <v>1886</v>
      </c>
      <c r="B2566" s="428" t="s">
        <v>3324</v>
      </c>
      <c r="C2566" s="429" t="str">
        <f t="shared" si="227"/>
        <v>石嘴山市深阳蓝光市政工程有限公司</v>
      </c>
      <c r="D2566" s="1281" t="s">
        <v>1876</v>
      </c>
      <c r="E2566" s="1294" t="s">
        <v>3347</v>
      </c>
      <c r="F2566" s="1298"/>
      <c r="G2566" s="1299">
        <f>报表附注合并期初用!E2124</f>
        <v>0</v>
      </c>
      <c r="H2566" s="1298"/>
      <c r="I2566" s="1299">
        <f>报表附注合并期初用!E2154</f>
        <v>0</v>
      </c>
      <c r="J2566" s="141"/>
      <c r="K2566" s="141"/>
      <c r="X2566" s="501" t="b">
        <f t="shared" si="228"/>
        <v>0</v>
      </c>
    </row>
    <row r="2567" s="414" customFormat="1" hidden="1" outlineLevel="2" spans="1:24">
      <c r="A2567" s="414" t="s">
        <v>1887</v>
      </c>
      <c r="B2567" s="428" t="s">
        <v>3324</v>
      </c>
      <c r="C2567" s="429" t="str">
        <f t="shared" si="227"/>
        <v>石嘴山市深阳蓝光市政工程有限公司</v>
      </c>
      <c r="D2567" s="1281" t="s">
        <v>1876</v>
      </c>
      <c r="E2567" s="1302" t="s">
        <v>3356</v>
      </c>
      <c r="F2567" s="1298"/>
      <c r="G2567" s="1299">
        <f>报表附注合并期初用!E2125</f>
        <v>0</v>
      </c>
      <c r="H2567" s="1298"/>
      <c r="I2567" s="1299">
        <f>报表附注合并期初用!E2155</f>
        <v>0</v>
      </c>
      <c r="J2567" s="141"/>
      <c r="K2567" s="141"/>
      <c r="X2567" s="501" t="b">
        <f t="shared" si="228"/>
        <v>1</v>
      </c>
    </row>
    <row r="2568" s="414" customFormat="1" hidden="1" outlineLevel="2" spans="1:24">
      <c r="A2568" s="414" t="s">
        <v>1888</v>
      </c>
      <c r="B2568" s="428" t="s">
        <v>3324</v>
      </c>
      <c r="C2568" s="429" t="str">
        <f t="shared" si="227"/>
        <v>石嘴山市深阳蓝光市政工程有限公司</v>
      </c>
      <c r="D2568" s="1281" t="s">
        <v>1876</v>
      </c>
      <c r="E2568" s="1302" t="s">
        <v>3357</v>
      </c>
      <c r="F2568" s="1298"/>
      <c r="G2568" s="1299">
        <f>报表附注合并期初用!E2126</f>
        <v>0</v>
      </c>
      <c r="H2568" s="1298"/>
      <c r="I2568" s="1299">
        <f>报表附注合并期初用!E2156</f>
        <v>0</v>
      </c>
      <c r="J2568" s="141"/>
      <c r="K2568" s="141"/>
      <c r="X2568" s="501" t="b">
        <f t="shared" si="228"/>
        <v>1</v>
      </c>
    </row>
    <row r="2569" s="414" customFormat="1" hidden="1" outlineLevel="2" spans="1:24">
      <c r="A2569" s="414" t="s">
        <v>1889</v>
      </c>
      <c r="B2569" s="428" t="s">
        <v>3324</v>
      </c>
      <c r="C2569" s="429" t="str">
        <f t="shared" si="227"/>
        <v>石嘴山市深阳蓝光市政工程有限公司</v>
      </c>
      <c r="D2569" s="1281" t="s">
        <v>1876</v>
      </c>
      <c r="E2569" s="1302" t="s">
        <v>3358</v>
      </c>
      <c r="F2569" s="1298"/>
      <c r="G2569" s="1299">
        <f>报表附注合并期初用!E2127</f>
        <v>0</v>
      </c>
      <c r="H2569" s="1298"/>
      <c r="I2569" s="1299">
        <f>报表附注合并期初用!E2157</f>
        <v>0</v>
      </c>
      <c r="J2569" s="141"/>
      <c r="K2569" s="141"/>
      <c r="X2569" s="501" t="b">
        <f t="shared" si="228"/>
        <v>1</v>
      </c>
    </row>
    <row r="2570" s="414" customFormat="1" outlineLevel="2" spans="1:24">
      <c r="A2570" s="414" t="s">
        <v>1580</v>
      </c>
      <c r="B2570" s="428" t="s">
        <v>3324</v>
      </c>
      <c r="C2570" s="429" t="str">
        <f t="shared" si="227"/>
        <v>石嘴山市深阳蓝光市政工程有限公司</v>
      </c>
      <c r="D2570" s="1281" t="s">
        <v>1876</v>
      </c>
      <c r="E2570" s="1297" t="s">
        <v>1580</v>
      </c>
      <c r="F2570" s="636">
        <f>SUM(F2557:F2569)</f>
        <v>0</v>
      </c>
      <c r="G2570" s="636">
        <f>SUM(G2557:G2569)</f>
        <v>0</v>
      </c>
      <c r="H2570" s="636">
        <f>SUM(H2557:H2569)</f>
        <v>0</v>
      </c>
      <c r="I2570" s="636">
        <f>SUM(I2557:I2569)</f>
        <v>0</v>
      </c>
      <c r="J2570" s="141"/>
      <c r="K2570" s="141"/>
      <c r="X2570" s="501" t="b">
        <f t="shared" si="228"/>
        <v>1</v>
      </c>
    </row>
    <row r="2571" s="414" customFormat="1" outlineLevel="2" spans="1:24">
      <c r="A2571" s="414" t="s">
        <v>3352</v>
      </c>
      <c r="B2571" s="428" t="s">
        <v>3324</v>
      </c>
      <c r="C2571" s="429" t="str">
        <f t="shared" si="227"/>
        <v>石嘴山市深阳蓝光市政工程有限公司</v>
      </c>
      <c r="D2571" s="1281" t="s">
        <v>1876</v>
      </c>
      <c r="E2571" s="1296" t="s">
        <v>3352</v>
      </c>
      <c r="F2571" s="721">
        <f>F2529-F2570</f>
        <v>0</v>
      </c>
      <c r="G2571" s="721">
        <f>G2529-G2570</f>
        <v>0</v>
      </c>
      <c r="H2571" s="721">
        <f>H2529-H2570</f>
        <v>0</v>
      </c>
      <c r="I2571" s="721">
        <f>I2529-I2570</f>
        <v>0</v>
      </c>
      <c r="J2571" s="141"/>
      <c r="K2571" s="141"/>
      <c r="X2571" s="501" t="b">
        <f t="shared" si="228"/>
        <v>1</v>
      </c>
    </row>
    <row r="2572" s="414" customFormat="1" outlineLevel="2" spans="1:24">
      <c r="A2572" s="414" t="s">
        <v>3359</v>
      </c>
      <c r="B2572" s="428" t="s">
        <v>3324</v>
      </c>
      <c r="C2572" s="429" t="str">
        <f t="shared" si="227"/>
        <v>石嘴山市深阳蓝光市政工程有限公司</v>
      </c>
      <c r="D2572" s="1281" t="s">
        <v>1890</v>
      </c>
      <c r="E2572" s="444" t="s">
        <v>3360</v>
      </c>
      <c r="F2572" s="141"/>
      <c r="G2572" s="141"/>
      <c r="H2572" s="141"/>
      <c r="I2572" s="141"/>
      <c r="J2572" s="141"/>
      <c r="K2572" s="141"/>
      <c r="X2572" s="501" t="b">
        <f t="shared" si="228"/>
        <v>1</v>
      </c>
    </row>
    <row r="2573" s="414" customFormat="1" outlineLevel="2" spans="1:24">
      <c r="A2573" s="414" t="s">
        <v>3361</v>
      </c>
      <c r="B2573" s="428" t="s">
        <v>3324</v>
      </c>
      <c r="C2573" s="429" t="str">
        <f t="shared" si="227"/>
        <v>石嘴山市深阳蓝光市政工程有限公司</v>
      </c>
      <c r="D2573" s="1281" t="s">
        <v>1890</v>
      </c>
      <c r="E2573" s="1297" t="s">
        <v>3361</v>
      </c>
      <c r="F2573" s="1297" t="s">
        <v>1852</v>
      </c>
      <c r="G2573" s="1297"/>
      <c r="H2573" s="1297" t="s">
        <v>3336</v>
      </c>
      <c r="I2573" s="1297"/>
      <c r="J2573" s="645" t="s">
        <v>2462</v>
      </c>
      <c r="K2573" s="141"/>
      <c r="X2573" s="501" t="b">
        <f t="shared" si="228"/>
        <v>1</v>
      </c>
    </row>
    <row r="2574" s="414" customFormat="1" outlineLevel="2" spans="2:24">
      <c r="B2574" s="428" t="s">
        <v>3324</v>
      </c>
      <c r="C2574" s="429" t="str">
        <f t="shared" si="227"/>
        <v>石嘴山市深阳蓝光市政工程有限公司</v>
      </c>
      <c r="D2574" s="1281" t="s">
        <v>1890</v>
      </c>
      <c r="E2574" s="1297"/>
      <c r="F2574" s="1297" t="s">
        <v>1906</v>
      </c>
      <c r="G2574" s="1297" t="s">
        <v>1910</v>
      </c>
      <c r="H2574" s="1297" t="s">
        <v>1906</v>
      </c>
      <c r="I2574" s="1297" t="s">
        <v>1910</v>
      </c>
      <c r="J2574" s="627"/>
      <c r="K2574" s="141"/>
      <c r="X2574" s="501" t="b">
        <f t="shared" si="228"/>
        <v>1</v>
      </c>
    </row>
    <row r="2575" s="414" customFormat="1" outlineLevel="2" spans="1:24">
      <c r="A2575" s="414" t="s">
        <v>1891</v>
      </c>
      <c r="B2575" s="428" t="s">
        <v>3324</v>
      </c>
      <c r="C2575" s="429" t="str">
        <f t="shared" si="227"/>
        <v>石嘴山市深阳蓝光市政工程有限公司</v>
      </c>
      <c r="D2575" s="1281" t="s">
        <v>1890</v>
      </c>
      <c r="E2575" s="1293" t="s">
        <v>3362</v>
      </c>
      <c r="F2575" s="1298"/>
      <c r="G2575" s="1299">
        <f>报表附注合并期初用!E2177</f>
        <v>0</v>
      </c>
      <c r="H2575" s="1298"/>
      <c r="I2575" s="1299">
        <f>报表附注合并期初用!E2207</f>
        <v>0</v>
      </c>
      <c r="J2575" s="141"/>
      <c r="K2575" s="141"/>
      <c r="X2575" s="501" t="b">
        <f t="shared" si="228"/>
        <v>0</v>
      </c>
    </row>
    <row r="2576" s="414" customFormat="1" outlineLevel="2" spans="1:24">
      <c r="A2576" s="414" t="s">
        <v>1892</v>
      </c>
      <c r="B2576" s="428" t="s">
        <v>3324</v>
      </c>
      <c r="C2576" s="429" t="str">
        <f t="shared" si="227"/>
        <v>石嘴山市深阳蓝光市政工程有限公司</v>
      </c>
      <c r="D2576" s="1281" t="s">
        <v>1890</v>
      </c>
      <c r="E2576" s="1293" t="s">
        <v>3363</v>
      </c>
      <c r="F2576" s="1298"/>
      <c r="G2576" s="1299">
        <f>报表附注合并期初用!E2178</f>
        <v>0</v>
      </c>
      <c r="H2576" s="1298"/>
      <c r="I2576" s="1299">
        <f>报表附注合并期初用!E2208</f>
        <v>0</v>
      </c>
      <c r="J2576" s="141"/>
      <c r="K2576" s="141"/>
      <c r="X2576" s="501" t="b">
        <f t="shared" si="228"/>
        <v>0</v>
      </c>
    </row>
    <row r="2577" s="414" customFormat="1" outlineLevel="2" spans="1:24">
      <c r="A2577" s="414" t="s">
        <v>1893</v>
      </c>
      <c r="B2577" s="428" t="s">
        <v>3324</v>
      </c>
      <c r="C2577" s="429" t="str">
        <f t="shared" si="227"/>
        <v>石嘴山市深阳蓝光市政工程有限公司</v>
      </c>
      <c r="D2577" s="1281" t="s">
        <v>1890</v>
      </c>
      <c r="E2577" s="1293" t="s">
        <v>3364</v>
      </c>
      <c r="F2577" s="1298"/>
      <c r="G2577" s="1299">
        <f>报表附注合并期初用!E2179</f>
        <v>0</v>
      </c>
      <c r="H2577" s="1298"/>
      <c r="I2577" s="1299">
        <f>报表附注合并期初用!E2209</f>
        <v>0</v>
      </c>
      <c r="J2577" s="141"/>
      <c r="K2577" s="141"/>
      <c r="X2577" s="501" t="b">
        <f t="shared" si="228"/>
        <v>0</v>
      </c>
    </row>
    <row r="2578" s="414" customFormat="1" hidden="1" outlineLevel="2" spans="1:24">
      <c r="A2578" s="414" t="s">
        <v>1894</v>
      </c>
      <c r="B2578" s="428" t="s">
        <v>3324</v>
      </c>
      <c r="C2578" s="429" t="str">
        <f t="shared" si="227"/>
        <v>石嘴山市深阳蓝光市政工程有限公司</v>
      </c>
      <c r="D2578" s="1281" t="s">
        <v>1890</v>
      </c>
      <c r="E2578" s="1302"/>
      <c r="F2578" s="1298"/>
      <c r="G2578" s="1299">
        <f>报表附注合并期初用!E2180</f>
        <v>0</v>
      </c>
      <c r="H2578" s="1298"/>
      <c r="I2578" s="1299">
        <f>报表附注合并期初用!E2210</f>
        <v>0</v>
      </c>
      <c r="J2578" s="141"/>
      <c r="K2578" s="141"/>
      <c r="X2578" s="501" t="b">
        <f t="shared" si="228"/>
        <v>0</v>
      </c>
    </row>
    <row r="2579" s="414" customFormat="1" hidden="1" outlineLevel="2" spans="1:24">
      <c r="A2579" s="414" t="s">
        <v>1895</v>
      </c>
      <c r="B2579" s="428" t="s">
        <v>3324</v>
      </c>
      <c r="C2579" s="429" t="str">
        <f t="shared" si="227"/>
        <v>石嘴山市深阳蓝光市政工程有限公司</v>
      </c>
      <c r="D2579" s="1281" t="s">
        <v>1890</v>
      </c>
      <c r="E2579" s="1302"/>
      <c r="F2579" s="1298"/>
      <c r="G2579" s="1299">
        <f>报表附注合并期初用!E2181</f>
        <v>0</v>
      </c>
      <c r="H2579" s="1298"/>
      <c r="I2579" s="1299">
        <f>报表附注合并期初用!E2211</f>
        <v>0</v>
      </c>
      <c r="J2579" s="141"/>
      <c r="K2579" s="141"/>
      <c r="X2579" s="501" t="b">
        <f t="shared" si="228"/>
        <v>0</v>
      </c>
    </row>
    <row r="2580" s="414" customFormat="1" hidden="1" outlineLevel="2" spans="1:24">
      <c r="A2580" s="414" t="s">
        <v>1896</v>
      </c>
      <c r="B2580" s="428" t="s">
        <v>3324</v>
      </c>
      <c r="C2580" s="429" t="str">
        <f t="shared" si="227"/>
        <v>石嘴山市深阳蓝光市政工程有限公司</v>
      </c>
      <c r="D2580" s="1281" t="s">
        <v>1890</v>
      </c>
      <c r="E2580" s="1302" t="s">
        <v>3365</v>
      </c>
      <c r="F2580" s="1298"/>
      <c r="G2580" s="1299">
        <f>报表附注合并期初用!E2182</f>
        <v>0</v>
      </c>
      <c r="H2580" s="1298"/>
      <c r="I2580" s="1299">
        <f>报表附注合并期初用!E2212</f>
        <v>0</v>
      </c>
      <c r="J2580" s="141"/>
      <c r="K2580" s="141"/>
      <c r="X2580" s="501" t="b">
        <f t="shared" si="228"/>
        <v>1</v>
      </c>
    </row>
    <row r="2581" s="414" customFormat="1" hidden="1" outlineLevel="2" spans="1:24">
      <c r="A2581" s="414" t="s">
        <v>1897</v>
      </c>
      <c r="B2581" s="428" t="s">
        <v>3324</v>
      </c>
      <c r="C2581" s="429" t="str">
        <f t="shared" si="227"/>
        <v>石嘴山市深阳蓝光市政工程有限公司</v>
      </c>
      <c r="D2581" s="1281" t="s">
        <v>1890</v>
      </c>
      <c r="E2581" s="1302" t="s">
        <v>3366</v>
      </c>
      <c r="F2581" s="1298"/>
      <c r="G2581" s="1299">
        <f>报表附注合并期初用!E2183</f>
        <v>0</v>
      </c>
      <c r="H2581" s="1298"/>
      <c r="I2581" s="1299">
        <f>报表附注合并期初用!E2213</f>
        <v>0</v>
      </c>
      <c r="J2581" s="141"/>
      <c r="K2581" s="141"/>
      <c r="X2581" s="501" t="b">
        <f t="shared" si="228"/>
        <v>1</v>
      </c>
    </row>
    <row r="2582" s="414" customFormat="1" hidden="1" outlineLevel="2" spans="1:24">
      <c r="A2582" s="414" t="s">
        <v>1898</v>
      </c>
      <c r="B2582" s="428" t="s">
        <v>3324</v>
      </c>
      <c r="C2582" s="429" t="str">
        <f t="shared" si="227"/>
        <v>石嘴山市深阳蓝光市政工程有限公司</v>
      </c>
      <c r="D2582" s="1281" t="s">
        <v>1890</v>
      </c>
      <c r="E2582" s="1302" t="s">
        <v>3367</v>
      </c>
      <c r="F2582" s="1298"/>
      <c r="G2582" s="1299">
        <f>报表附注合并期初用!E2184</f>
        <v>0</v>
      </c>
      <c r="H2582" s="1298"/>
      <c r="I2582" s="1299">
        <f>报表附注合并期初用!E2214</f>
        <v>0</v>
      </c>
      <c r="J2582" s="141"/>
      <c r="K2582" s="141"/>
      <c r="X2582" s="501" t="b">
        <f t="shared" si="228"/>
        <v>1</v>
      </c>
    </row>
    <row r="2583" s="414" customFormat="1" hidden="1" outlineLevel="2" spans="1:24">
      <c r="A2583" s="414" t="s">
        <v>1899</v>
      </c>
      <c r="B2583" s="428" t="s">
        <v>3324</v>
      </c>
      <c r="C2583" s="429" t="str">
        <f t="shared" si="227"/>
        <v>石嘴山市深阳蓝光市政工程有限公司</v>
      </c>
      <c r="D2583" s="1281" t="s">
        <v>1890</v>
      </c>
      <c r="E2583" s="1302" t="s">
        <v>3368</v>
      </c>
      <c r="F2583" s="1298"/>
      <c r="G2583" s="1299">
        <f>报表附注合并期初用!E2185</f>
        <v>0</v>
      </c>
      <c r="H2583" s="1298"/>
      <c r="I2583" s="1299">
        <f>报表附注合并期初用!E2215</f>
        <v>0</v>
      </c>
      <c r="J2583" s="141"/>
      <c r="K2583" s="141"/>
      <c r="X2583" s="501" t="b">
        <f t="shared" si="228"/>
        <v>1</v>
      </c>
    </row>
    <row r="2584" s="414" customFormat="1" hidden="1" outlineLevel="2" spans="1:24">
      <c r="A2584" s="414" t="s">
        <v>1900</v>
      </c>
      <c r="B2584" s="428" t="s">
        <v>3324</v>
      </c>
      <c r="C2584" s="429" t="str">
        <f t="shared" si="227"/>
        <v>石嘴山市深阳蓝光市政工程有限公司</v>
      </c>
      <c r="D2584" s="1281" t="s">
        <v>1890</v>
      </c>
      <c r="E2584" s="1302" t="s">
        <v>3369</v>
      </c>
      <c r="F2584" s="1298"/>
      <c r="G2584" s="1299">
        <f>报表附注合并期初用!E2186</f>
        <v>0</v>
      </c>
      <c r="H2584" s="1298"/>
      <c r="I2584" s="1299">
        <f>报表附注合并期初用!E2216</f>
        <v>0</v>
      </c>
      <c r="J2584" s="141"/>
      <c r="K2584" s="141"/>
      <c r="X2584" s="501" t="b">
        <f t="shared" si="228"/>
        <v>1</v>
      </c>
    </row>
    <row r="2585" s="414" customFormat="1" hidden="1" outlineLevel="2" spans="1:24">
      <c r="A2585" s="414" t="s">
        <v>1901</v>
      </c>
      <c r="B2585" s="428" t="s">
        <v>3324</v>
      </c>
      <c r="C2585" s="429" t="str">
        <f t="shared" si="227"/>
        <v>石嘴山市深阳蓝光市政工程有限公司</v>
      </c>
      <c r="D2585" s="1281" t="s">
        <v>1890</v>
      </c>
      <c r="E2585" s="1302" t="s">
        <v>3370</v>
      </c>
      <c r="F2585" s="1298"/>
      <c r="G2585" s="1299">
        <f>报表附注合并期初用!E2187</f>
        <v>0</v>
      </c>
      <c r="H2585" s="1298"/>
      <c r="I2585" s="1299">
        <f>报表附注合并期初用!E2217</f>
        <v>0</v>
      </c>
      <c r="J2585" s="141"/>
      <c r="K2585" s="141"/>
      <c r="X2585" s="501" t="b">
        <f t="shared" si="228"/>
        <v>1</v>
      </c>
    </row>
    <row r="2586" s="414" customFormat="1" hidden="1" outlineLevel="2" spans="1:24">
      <c r="A2586" s="414" t="s">
        <v>1902</v>
      </c>
      <c r="B2586" s="428" t="s">
        <v>3324</v>
      </c>
      <c r="C2586" s="429" t="str">
        <f t="shared" si="227"/>
        <v>石嘴山市深阳蓝光市政工程有限公司</v>
      </c>
      <c r="D2586" s="1281" t="s">
        <v>1890</v>
      </c>
      <c r="E2586" s="1302" t="s">
        <v>3371</v>
      </c>
      <c r="F2586" s="1298"/>
      <c r="G2586" s="1299">
        <f>报表附注合并期初用!E2188</f>
        <v>0</v>
      </c>
      <c r="H2586" s="1298"/>
      <c r="I2586" s="1299">
        <f>报表附注合并期初用!E2218</f>
        <v>0</v>
      </c>
      <c r="J2586" s="141"/>
      <c r="K2586" s="141"/>
      <c r="X2586" s="501" t="b">
        <f t="shared" si="228"/>
        <v>1</v>
      </c>
    </row>
    <row r="2587" s="414" customFormat="1" hidden="1" outlineLevel="2" spans="1:24">
      <c r="A2587" s="414" t="s">
        <v>1903</v>
      </c>
      <c r="B2587" s="428" t="s">
        <v>3324</v>
      </c>
      <c r="C2587" s="429" t="str">
        <f t="shared" si="227"/>
        <v>石嘴山市深阳蓝光市政工程有限公司</v>
      </c>
      <c r="D2587" s="1281" t="s">
        <v>1890</v>
      </c>
      <c r="E2587" s="1302" t="s">
        <v>3372</v>
      </c>
      <c r="F2587" s="1298"/>
      <c r="G2587" s="1299">
        <f>报表附注合并期初用!E2189</f>
        <v>0</v>
      </c>
      <c r="H2587" s="1298"/>
      <c r="I2587" s="1299">
        <f>报表附注合并期初用!E2219</f>
        <v>0</v>
      </c>
      <c r="J2587" s="141"/>
      <c r="K2587" s="141"/>
      <c r="X2587" s="501" t="b">
        <f t="shared" si="228"/>
        <v>1</v>
      </c>
    </row>
    <row r="2588" s="414" customFormat="1" outlineLevel="2" spans="1:24">
      <c r="A2588" s="414" t="s">
        <v>1580</v>
      </c>
      <c r="B2588" s="428" t="s">
        <v>3324</v>
      </c>
      <c r="C2588" s="429" t="str">
        <f t="shared" si="227"/>
        <v>石嘴山市深阳蓝光市政工程有限公司</v>
      </c>
      <c r="D2588" s="1281" t="s">
        <v>1890</v>
      </c>
      <c r="E2588" s="1297" t="s">
        <v>1580</v>
      </c>
      <c r="F2588" s="636">
        <f>SUM(F2575:F2587)</f>
        <v>0</v>
      </c>
      <c r="G2588" s="636">
        <f>SUM(G2575:G2587)</f>
        <v>0</v>
      </c>
      <c r="H2588" s="636">
        <f>SUM(H2575:H2587)</f>
        <v>0</v>
      </c>
      <c r="I2588" s="636">
        <f>SUM(I2575:I2587)</f>
        <v>0</v>
      </c>
      <c r="J2588" s="141"/>
      <c r="K2588" s="141"/>
      <c r="X2588" s="501" t="b">
        <f t="shared" si="228"/>
        <v>1</v>
      </c>
    </row>
    <row r="2589" s="414" customFormat="1" outlineLevel="2" spans="1:24">
      <c r="A2589" s="414" t="s">
        <v>3352</v>
      </c>
      <c r="B2589" s="428" t="s">
        <v>3324</v>
      </c>
      <c r="C2589" s="429" t="str">
        <f t="shared" si="227"/>
        <v>石嘴山市深阳蓝光市政工程有限公司</v>
      </c>
      <c r="D2589" s="1281" t="s">
        <v>1890</v>
      </c>
      <c r="E2589" s="1296" t="s">
        <v>3352</v>
      </c>
      <c r="F2589" s="721">
        <f>F2588-F2529</f>
        <v>0</v>
      </c>
      <c r="G2589" s="721">
        <f>G2588-G2529</f>
        <v>0</v>
      </c>
      <c r="H2589" s="721">
        <f>H2588-H2529</f>
        <v>0</v>
      </c>
      <c r="I2589" s="721">
        <f>I2588-I2529</f>
        <v>0</v>
      </c>
      <c r="J2589" s="141"/>
      <c r="K2589" s="141"/>
      <c r="X2589" s="501" t="b">
        <f t="shared" si="228"/>
        <v>1</v>
      </c>
    </row>
    <row r="2590" s="414" customFormat="1" hidden="1" outlineLevel="2" spans="1:24">
      <c r="A2590" s="414" t="s">
        <v>3373</v>
      </c>
      <c r="B2590" s="428" t="s">
        <v>3324</v>
      </c>
      <c r="C2590" s="429" t="str">
        <f t="shared" si="227"/>
        <v>石嘴山市深阳蓝光市政工程有限公司</v>
      </c>
      <c r="D2590" s="1281" t="s">
        <v>3373</v>
      </c>
      <c r="E2590" s="149" t="s">
        <v>3374</v>
      </c>
      <c r="F2590" s="1289"/>
      <c r="G2590" s="1289"/>
      <c r="H2590" s="1290"/>
      <c r="I2590" s="1290"/>
      <c r="J2590" s="1300"/>
      <c r="K2590" s="1300"/>
      <c r="X2590" s="501" t="b">
        <f t="shared" si="228"/>
        <v>1</v>
      </c>
    </row>
    <row r="2591" s="414" customFormat="1" hidden="1" outlineLevel="2" spans="2:24">
      <c r="B2591" s="428" t="s">
        <v>3324</v>
      </c>
      <c r="C2591" s="429" t="str">
        <f t="shared" si="227"/>
        <v>石嘴山市深阳蓝光市政工程有限公司</v>
      </c>
      <c r="D2591" s="1281" t="s">
        <v>3373</v>
      </c>
      <c r="E2591" s="149"/>
      <c r="F2591" s="1289"/>
      <c r="G2591" s="1289"/>
      <c r="H2591" s="1290"/>
      <c r="I2591" s="1290"/>
      <c r="J2591" s="1300"/>
      <c r="K2591" s="1300"/>
      <c r="X2591" s="501" t="b">
        <f t="shared" si="228"/>
        <v>1</v>
      </c>
    </row>
    <row r="2592" s="414" customFormat="1" hidden="1" outlineLevel="2" spans="1:24">
      <c r="A2592" s="414" t="s">
        <v>469</v>
      </c>
      <c r="B2592" s="428" t="s">
        <v>3324</v>
      </c>
      <c r="C2592" s="429" t="str">
        <f t="shared" si="227"/>
        <v>石嘴山市深阳蓝光市政工程有限公司</v>
      </c>
      <c r="D2592" s="1281" t="s">
        <v>3373</v>
      </c>
      <c r="E2592" s="1297" t="s">
        <v>469</v>
      </c>
      <c r="F2592" s="1297" t="s">
        <v>3375</v>
      </c>
      <c r="G2592" s="1297" t="s">
        <v>3376</v>
      </c>
      <c r="H2592" s="1290"/>
      <c r="I2592" s="1290"/>
      <c r="J2592" s="1300"/>
      <c r="K2592" s="1300"/>
      <c r="X2592" s="501" t="b">
        <f t="shared" si="228"/>
        <v>1</v>
      </c>
    </row>
    <row r="2593" s="414" customFormat="1" hidden="1" outlineLevel="2" spans="2:24">
      <c r="B2593" s="428" t="s">
        <v>3324</v>
      </c>
      <c r="C2593" s="429" t="str">
        <f t="shared" si="227"/>
        <v>石嘴山市深阳蓝光市政工程有限公司</v>
      </c>
      <c r="D2593" s="1281" t="s">
        <v>3373</v>
      </c>
      <c r="E2593" s="1303"/>
      <c r="F2593" s="1303"/>
      <c r="G2593" s="1304">
        <f>IFERROR(ROUND(F2593/$F$2531,4),0)</f>
        <v>0</v>
      </c>
      <c r="H2593" s="1290"/>
      <c r="I2593" s="1290"/>
      <c r="J2593" s="1300"/>
      <c r="K2593" s="1300"/>
      <c r="X2593" s="501" t="b">
        <f t="shared" si="228"/>
        <v>1</v>
      </c>
    </row>
    <row r="2594" s="414" customFormat="1" hidden="1" outlineLevel="2" spans="2:24">
      <c r="B2594" s="428" t="s">
        <v>3324</v>
      </c>
      <c r="C2594" s="429" t="str">
        <f t="shared" ref="C2594:C2657" si="231">$G$1</f>
        <v>石嘴山市深阳蓝光市政工程有限公司</v>
      </c>
      <c r="D2594" s="1281" t="s">
        <v>3373</v>
      </c>
      <c r="E2594" s="1303"/>
      <c r="F2594" s="1303"/>
      <c r="G2594" s="1304">
        <f>IFERROR(ROUND(F2594/$F$2531,4),0)</f>
        <v>0</v>
      </c>
      <c r="H2594" s="1290"/>
      <c r="I2594" s="1290"/>
      <c r="J2594" s="1300"/>
      <c r="K2594" s="1300"/>
      <c r="X2594" s="501" t="b">
        <f t="shared" ref="X2594:X2657" si="232">EXACT(A2594,E2594)</f>
        <v>1</v>
      </c>
    </row>
    <row r="2595" s="414" customFormat="1" hidden="1" outlineLevel="2" spans="2:24">
      <c r="B2595" s="428" t="s">
        <v>3324</v>
      </c>
      <c r="C2595" s="429" t="str">
        <f t="shared" si="231"/>
        <v>石嘴山市深阳蓝光市政工程有限公司</v>
      </c>
      <c r="D2595" s="1281" t="s">
        <v>3373</v>
      </c>
      <c r="E2595" s="1303"/>
      <c r="F2595" s="1303"/>
      <c r="G2595" s="1304">
        <f>IFERROR(ROUND(F2595/$F$2531,4),0)</f>
        <v>0</v>
      </c>
      <c r="H2595" s="1290"/>
      <c r="I2595" s="1290"/>
      <c r="J2595" s="1300"/>
      <c r="K2595" s="1300"/>
      <c r="X2595" s="501" t="b">
        <f t="shared" si="232"/>
        <v>1</v>
      </c>
    </row>
    <row r="2596" s="414" customFormat="1" hidden="1" outlineLevel="2" spans="2:24">
      <c r="B2596" s="428" t="s">
        <v>3324</v>
      </c>
      <c r="C2596" s="429" t="str">
        <f t="shared" si="231"/>
        <v>石嘴山市深阳蓝光市政工程有限公司</v>
      </c>
      <c r="D2596" s="1281" t="s">
        <v>3373</v>
      </c>
      <c r="E2596" s="1303"/>
      <c r="F2596" s="1303"/>
      <c r="G2596" s="1304">
        <f>IFERROR(ROUND(F2596/$F$2531,4),0)</f>
        <v>0</v>
      </c>
      <c r="H2596" s="1290"/>
      <c r="I2596" s="1290"/>
      <c r="J2596" s="1300"/>
      <c r="K2596" s="1300"/>
      <c r="X2596" s="501" t="b">
        <f t="shared" si="232"/>
        <v>1</v>
      </c>
    </row>
    <row r="2597" s="414" customFormat="1" hidden="1" outlineLevel="2" spans="2:24">
      <c r="B2597" s="428" t="s">
        <v>3324</v>
      </c>
      <c r="C2597" s="429" t="str">
        <f t="shared" si="231"/>
        <v>石嘴山市深阳蓝光市政工程有限公司</v>
      </c>
      <c r="D2597" s="1281" t="s">
        <v>3373</v>
      </c>
      <c r="E2597" s="1303"/>
      <c r="F2597" s="1303"/>
      <c r="G2597" s="1304">
        <f>IFERROR(ROUND(F2597/$F$2531,4),0)</f>
        <v>0</v>
      </c>
      <c r="H2597" s="1290"/>
      <c r="I2597" s="1290"/>
      <c r="J2597" s="1300"/>
      <c r="K2597" s="1300"/>
      <c r="X2597" s="501" t="b">
        <f t="shared" si="232"/>
        <v>1</v>
      </c>
    </row>
    <row r="2598" s="414" customFormat="1" hidden="1" outlineLevel="2" spans="1:24">
      <c r="A2598" s="414" t="s">
        <v>1580</v>
      </c>
      <c r="B2598" s="428" t="s">
        <v>3324</v>
      </c>
      <c r="C2598" s="429" t="str">
        <f t="shared" si="231"/>
        <v>石嘴山市深阳蓝光市政工程有限公司</v>
      </c>
      <c r="D2598" s="1281" t="s">
        <v>3373</v>
      </c>
      <c r="E2598" s="1297" t="s">
        <v>1580</v>
      </c>
      <c r="F2598" s="636">
        <f>SUM(F2593:F2597)</f>
        <v>0</v>
      </c>
      <c r="G2598" s="1304">
        <f>SUM(G2593:G2597)</f>
        <v>0</v>
      </c>
      <c r="H2598" s="1290"/>
      <c r="I2598" s="1290"/>
      <c r="J2598" s="1300"/>
      <c r="K2598" s="1300"/>
      <c r="X2598" s="501" t="b">
        <f t="shared" si="232"/>
        <v>1</v>
      </c>
    </row>
    <row r="2599" s="414" customFormat="1" outlineLevel="2" spans="2:24">
      <c r="B2599" s="428" t="s">
        <v>3324</v>
      </c>
      <c r="C2599" s="429" t="str">
        <f t="shared" si="231"/>
        <v>石嘴山市深阳蓝光市政工程有限公司</v>
      </c>
      <c r="D2599" s="1281" t="s">
        <v>3373</v>
      </c>
      <c r="E2599" s="1305"/>
      <c r="F2599" s="1290"/>
      <c r="G2599" s="1290"/>
      <c r="H2599" s="1290"/>
      <c r="I2599" s="1290"/>
      <c r="J2599" s="1300"/>
      <c r="K2599" s="1300"/>
      <c r="X2599" s="501" t="b">
        <f t="shared" si="232"/>
        <v>1</v>
      </c>
    </row>
    <row r="2600" s="414" customFormat="1" outlineLevel="2" spans="2:24">
      <c r="B2600" s="428" t="s">
        <v>3324</v>
      </c>
      <c r="C2600" s="429" t="str">
        <f t="shared" si="231"/>
        <v>石嘴山市深阳蓝光市政工程有限公司</v>
      </c>
      <c r="D2600" s="1281" t="s">
        <v>3373</v>
      </c>
      <c r="E2600" s="1305"/>
      <c r="F2600" s="1290"/>
      <c r="G2600" s="1290"/>
      <c r="H2600" s="1290"/>
      <c r="I2600" s="1290"/>
      <c r="J2600" s="1300"/>
      <c r="K2600" s="1300"/>
      <c r="X2600" s="501" t="b">
        <f t="shared" si="232"/>
        <v>1</v>
      </c>
    </row>
    <row r="2601" s="414" customFormat="1" hidden="1" outlineLevel="2" spans="1:24">
      <c r="A2601" s="414" t="s">
        <v>3377</v>
      </c>
      <c r="B2601" s="428" t="s">
        <v>3324</v>
      </c>
      <c r="C2601" s="429" t="str">
        <f t="shared" si="231"/>
        <v>石嘴山市深阳蓝光市政工程有限公司</v>
      </c>
      <c r="D2601" s="1281" t="s">
        <v>3377</v>
      </c>
      <c r="E2601" s="149" t="s">
        <v>3378</v>
      </c>
      <c r="F2601" s="1289"/>
      <c r="G2601" s="1289"/>
      <c r="H2601" s="1290"/>
      <c r="I2601" s="1290"/>
      <c r="J2601" s="1300"/>
      <c r="K2601" s="1300"/>
      <c r="X2601" s="501" t="b">
        <f t="shared" si="232"/>
        <v>1</v>
      </c>
    </row>
    <row r="2602" s="414" customFormat="1" hidden="1" outlineLevel="2" spans="1:24">
      <c r="A2602" s="414" t="s">
        <v>2315</v>
      </c>
      <c r="B2602" s="428" t="s">
        <v>3324</v>
      </c>
      <c r="C2602" s="429" t="str">
        <f t="shared" si="231"/>
        <v>石嘴山市深阳蓝光市政工程有限公司</v>
      </c>
      <c r="D2602" s="1281" t="s">
        <v>3377</v>
      </c>
      <c r="E2602" s="149" t="s">
        <v>2334</v>
      </c>
      <c r="F2602" s="1306"/>
      <c r="G2602" s="1306"/>
      <c r="H2602" s="1290"/>
      <c r="I2602" s="1290"/>
      <c r="J2602" s="1300"/>
      <c r="K2602" s="1300"/>
      <c r="X2602" s="501" t="b">
        <f t="shared" si="232"/>
        <v>1</v>
      </c>
    </row>
    <row r="2603" s="414" customFormat="1" collapsed="1" spans="1:24">
      <c r="A2603" s="414" t="s">
        <v>3379</v>
      </c>
      <c r="B2603" s="428" t="s">
        <v>3324</v>
      </c>
      <c r="C2603" s="429" t="str">
        <f t="shared" si="231"/>
        <v>石嘴山市深阳蓝光市政工程有限公司</v>
      </c>
      <c r="D2603" s="1281" t="s">
        <v>3379</v>
      </c>
      <c r="E2603" s="937" t="s">
        <v>3380</v>
      </c>
      <c r="F2603" s="1289"/>
      <c r="G2603" s="1289"/>
      <c r="H2603" s="1290"/>
      <c r="I2603" s="1290"/>
      <c r="J2603" s="1300"/>
      <c r="K2603" s="1300"/>
      <c r="X2603" s="501" t="b">
        <f t="shared" si="232"/>
        <v>1</v>
      </c>
    </row>
    <row r="2604" s="414" customFormat="1" ht="14.25" hidden="1" customHeight="1" outlineLevel="2" spans="1:24">
      <c r="A2604" s="414" t="s">
        <v>1265</v>
      </c>
      <c r="B2604" s="428" t="s">
        <v>3324</v>
      </c>
      <c r="C2604" s="429" t="str">
        <f t="shared" si="231"/>
        <v>石嘴山市深阳蓝光市政工程有限公司</v>
      </c>
      <c r="D2604" s="1281" t="s">
        <v>3379</v>
      </c>
      <c r="E2604" s="742" t="s">
        <v>1265</v>
      </c>
      <c r="F2604" s="742"/>
      <c r="G2604" s="742" t="s">
        <v>1266</v>
      </c>
      <c r="H2604" s="742" t="s">
        <v>3381</v>
      </c>
      <c r="I2604" s="742" t="s">
        <v>1268</v>
      </c>
      <c r="J2604" s="742" t="s">
        <v>3382</v>
      </c>
      <c r="K2604" s="1300"/>
      <c r="X2604" s="501" t="b">
        <f t="shared" si="232"/>
        <v>1</v>
      </c>
    </row>
    <row r="2605" s="414" customFormat="1" ht="14.25" hidden="1" customHeight="1" outlineLevel="2" spans="2:24">
      <c r="B2605" s="428" t="s">
        <v>3324</v>
      </c>
      <c r="C2605" s="429" t="str">
        <f t="shared" si="231"/>
        <v>石嘴山市深阳蓝光市政工程有限公司</v>
      </c>
      <c r="D2605" s="1281" t="s">
        <v>3379</v>
      </c>
      <c r="E2605" s="742"/>
      <c r="F2605" s="742"/>
      <c r="G2605" s="742"/>
      <c r="H2605" s="742" t="s">
        <v>1244</v>
      </c>
      <c r="I2605" s="742" t="s">
        <v>3383</v>
      </c>
      <c r="J2605" s="742" t="s">
        <v>3384</v>
      </c>
      <c r="K2605" s="1300"/>
      <c r="X2605" s="501" t="b">
        <f t="shared" si="232"/>
        <v>1</v>
      </c>
    </row>
    <row r="2606" s="414" customFormat="1" hidden="1" outlineLevel="2" spans="1:24">
      <c r="A2606" s="414" t="s">
        <v>3385</v>
      </c>
      <c r="B2606" s="428" t="s">
        <v>3324</v>
      </c>
      <c r="C2606" s="429" t="str">
        <f t="shared" si="231"/>
        <v>石嘴山市深阳蓝光市政工程有限公司</v>
      </c>
      <c r="D2606" s="1281" t="s">
        <v>3379</v>
      </c>
      <c r="E2606" s="763" t="s">
        <v>3385</v>
      </c>
      <c r="F2606" s="742">
        <v>1</v>
      </c>
      <c r="G2606" s="132"/>
      <c r="H2606" s="132"/>
      <c r="I2606" s="132"/>
      <c r="J2606" s="132"/>
      <c r="K2606" s="1300"/>
      <c r="X2606" s="501" t="b">
        <f t="shared" si="232"/>
        <v>1</v>
      </c>
    </row>
    <row r="2607" s="414" customFormat="1" hidden="1" outlineLevel="2" spans="1:24">
      <c r="A2607" s="414" t="s">
        <v>3385</v>
      </c>
      <c r="B2607" s="428" t="s">
        <v>3324</v>
      </c>
      <c r="C2607" s="429" t="str">
        <f t="shared" si="231"/>
        <v>石嘴山市深阳蓝光市政工程有限公司</v>
      </c>
      <c r="D2607" s="1281" t="s">
        <v>3379</v>
      </c>
      <c r="E2607" s="763" t="s">
        <v>3385</v>
      </c>
      <c r="F2607" s="742">
        <v>2</v>
      </c>
      <c r="G2607" s="132"/>
      <c r="H2607" s="132"/>
      <c r="I2607" s="132"/>
      <c r="J2607" s="132"/>
      <c r="K2607" s="1300"/>
      <c r="X2607" s="501" t="b">
        <f t="shared" si="232"/>
        <v>1</v>
      </c>
    </row>
    <row r="2608" s="414" customFormat="1" hidden="1" outlineLevel="2" spans="1:24">
      <c r="A2608" s="414" t="s">
        <v>3385</v>
      </c>
      <c r="B2608" s="428" t="s">
        <v>3324</v>
      </c>
      <c r="C2608" s="429" t="str">
        <f t="shared" si="231"/>
        <v>石嘴山市深阳蓝光市政工程有限公司</v>
      </c>
      <c r="D2608" s="1281" t="s">
        <v>3379</v>
      </c>
      <c r="E2608" s="763" t="s">
        <v>3385</v>
      </c>
      <c r="F2608" s="742">
        <v>3</v>
      </c>
      <c r="G2608" s="132"/>
      <c r="H2608" s="132"/>
      <c r="I2608" s="132"/>
      <c r="J2608" s="132"/>
      <c r="K2608" s="1300"/>
      <c r="X2608" s="501" t="b">
        <f t="shared" si="232"/>
        <v>1</v>
      </c>
    </row>
    <row r="2609" s="414" customFormat="1" hidden="1" outlineLevel="2" spans="1:24">
      <c r="A2609" s="414" t="s">
        <v>3385</v>
      </c>
      <c r="B2609" s="428" t="s">
        <v>3324</v>
      </c>
      <c r="C2609" s="429" t="str">
        <f t="shared" si="231"/>
        <v>石嘴山市深阳蓝光市政工程有限公司</v>
      </c>
      <c r="D2609" s="1281" t="s">
        <v>3379</v>
      </c>
      <c r="E2609" s="763" t="s">
        <v>3385</v>
      </c>
      <c r="F2609" s="742">
        <v>4</v>
      </c>
      <c r="G2609" s="132"/>
      <c r="H2609" s="132"/>
      <c r="I2609" s="132"/>
      <c r="J2609" s="132"/>
      <c r="K2609" s="1300"/>
      <c r="X2609" s="501" t="b">
        <f t="shared" si="232"/>
        <v>1</v>
      </c>
    </row>
    <row r="2610" s="414" customFormat="1" hidden="1" outlineLevel="2" spans="1:24">
      <c r="A2610" s="414" t="s">
        <v>3385</v>
      </c>
      <c r="B2610" s="428" t="s">
        <v>3324</v>
      </c>
      <c r="C2610" s="429" t="str">
        <f t="shared" si="231"/>
        <v>石嘴山市深阳蓝光市政工程有限公司</v>
      </c>
      <c r="D2610" s="1281" t="s">
        <v>3379</v>
      </c>
      <c r="E2610" s="763" t="s">
        <v>3385</v>
      </c>
      <c r="F2610" s="742">
        <v>5</v>
      </c>
      <c r="G2610" s="132"/>
      <c r="H2610" s="132"/>
      <c r="I2610" s="132"/>
      <c r="J2610" s="132"/>
      <c r="K2610" s="1300"/>
      <c r="X2610" s="501" t="b">
        <f t="shared" si="232"/>
        <v>1</v>
      </c>
    </row>
    <row r="2611" s="414" customFormat="1" hidden="1" outlineLevel="2" spans="1:24">
      <c r="A2611" s="414" t="s">
        <v>3385</v>
      </c>
      <c r="B2611" s="428" t="s">
        <v>3324</v>
      </c>
      <c r="C2611" s="429" t="str">
        <f t="shared" si="231"/>
        <v>石嘴山市深阳蓝光市政工程有限公司</v>
      </c>
      <c r="D2611" s="1281" t="s">
        <v>3379</v>
      </c>
      <c r="E2611" s="763" t="s">
        <v>3385</v>
      </c>
      <c r="F2611" s="742" t="s">
        <v>1580</v>
      </c>
      <c r="G2611" s="135">
        <f>SUM(G2606:G2610)</f>
        <v>0</v>
      </c>
      <c r="H2611" s="135">
        <f>SUM(H2606:H2610)</f>
        <v>0</v>
      </c>
      <c r="I2611" s="135">
        <f>SUM(I2606:I2610)</f>
        <v>0</v>
      </c>
      <c r="J2611" s="135">
        <f>SUM(J2606:J2610)</f>
        <v>0</v>
      </c>
      <c r="K2611" s="1300"/>
      <c r="X2611" s="501" t="b">
        <f t="shared" si="232"/>
        <v>1</v>
      </c>
    </row>
    <row r="2612" s="414" customFormat="1" hidden="1" outlineLevel="2" spans="1:24">
      <c r="A2612" s="414" t="s">
        <v>3386</v>
      </c>
      <c r="B2612" s="428" t="s">
        <v>3324</v>
      </c>
      <c r="C2612" s="429" t="str">
        <f t="shared" si="231"/>
        <v>石嘴山市深阳蓝光市政工程有限公司</v>
      </c>
      <c r="D2612" s="1281" t="s">
        <v>3379</v>
      </c>
      <c r="E2612" s="763" t="s">
        <v>3386</v>
      </c>
      <c r="F2612" s="742">
        <v>1</v>
      </c>
      <c r="G2612" s="132"/>
      <c r="H2612" s="132"/>
      <c r="I2612" s="132"/>
      <c r="J2612" s="132"/>
      <c r="K2612" s="1300"/>
      <c r="X2612" s="501" t="b">
        <f t="shared" si="232"/>
        <v>1</v>
      </c>
    </row>
    <row r="2613" s="414" customFormat="1" hidden="1" outlineLevel="2" spans="1:24">
      <c r="A2613" s="414" t="s">
        <v>3386</v>
      </c>
      <c r="B2613" s="428" t="s">
        <v>3324</v>
      </c>
      <c r="C2613" s="429" t="str">
        <f t="shared" si="231"/>
        <v>石嘴山市深阳蓝光市政工程有限公司</v>
      </c>
      <c r="D2613" s="1281" t="s">
        <v>3379</v>
      </c>
      <c r="E2613" s="763" t="s">
        <v>3386</v>
      </c>
      <c r="F2613" s="742">
        <v>2</v>
      </c>
      <c r="G2613" s="132"/>
      <c r="H2613" s="132"/>
      <c r="I2613" s="132"/>
      <c r="J2613" s="132"/>
      <c r="K2613" s="1300"/>
      <c r="X2613" s="501" t="b">
        <f t="shared" si="232"/>
        <v>1</v>
      </c>
    </row>
    <row r="2614" s="414" customFormat="1" hidden="1" outlineLevel="2" spans="1:24">
      <c r="A2614" s="414" t="s">
        <v>3386</v>
      </c>
      <c r="B2614" s="428" t="s">
        <v>3324</v>
      </c>
      <c r="C2614" s="429" t="str">
        <f t="shared" si="231"/>
        <v>石嘴山市深阳蓝光市政工程有限公司</v>
      </c>
      <c r="D2614" s="1281" t="s">
        <v>3379</v>
      </c>
      <c r="E2614" s="763" t="s">
        <v>3386</v>
      </c>
      <c r="F2614" s="742">
        <v>3</v>
      </c>
      <c r="G2614" s="132"/>
      <c r="H2614" s="132"/>
      <c r="I2614" s="132"/>
      <c r="J2614" s="132"/>
      <c r="K2614" s="1300"/>
      <c r="X2614" s="501" t="b">
        <f t="shared" si="232"/>
        <v>1</v>
      </c>
    </row>
    <row r="2615" s="414" customFormat="1" hidden="1" outlineLevel="2" spans="1:24">
      <c r="A2615" s="414" t="s">
        <v>3386</v>
      </c>
      <c r="B2615" s="428" t="s">
        <v>3324</v>
      </c>
      <c r="C2615" s="429" t="str">
        <f t="shared" si="231"/>
        <v>石嘴山市深阳蓝光市政工程有限公司</v>
      </c>
      <c r="D2615" s="1281" t="s">
        <v>3379</v>
      </c>
      <c r="E2615" s="763" t="s">
        <v>3386</v>
      </c>
      <c r="F2615" s="742">
        <v>4</v>
      </c>
      <c r="G2615" s="132"/>
      <c r="H2615" s="132"/>
      <c r="I2615" s="132"/>
      <c r="J2615" s="132"/>
      <c r="K2615" s="1300"/>
      <c r="X2615" s="501" t="b">
        <f t="shared" si="232"/>
        <v>1</v>
      </c>
    </row>
    <row r="2616" s="414" customFormat="1" hidden="1" outlineLevel="2" spans="1:24">
      <c r="A2616" s="414" t="s">
        <v>3386</v>
      </c>
      <c r="B2616" s="428" t="s">
        <v>3324</v>
      </c>
      <c r="C2616" s="429" t="str">
        <f t="shared" si="231"/>
        <v>石嘴山市深阳蓝光市政工程有限公司</v>
      </c>
      <c r="D2616" s="1281" t="s">
        <v>3379</v>
      </c>
      <c r="E2616" s="763" t="s">
        <v>3386</v>
      </c>
      <c r="F2616" s="742">
        <v>5</v>
      </c>
      <c r="G2616" s="132"/>
      <c r="H2616" s="132"/>
      <c r="I2616" s="132"/>
      <c r="J2616" s="132"/>
      <c r="K2616" s="1300"/>
      <c r="X2616" s="501" t="b">
        <f t="shared" si="232"/>
        <v>1</v>
      </c>
    </row>
    <row r="2617" s="414" customFormat="1" hidden="1" outlineLevel="2" spans="1:24">
      <c r="A2617" s="414" t="s">
        <v>3386</v>
      </c>
      <c r="B2617" s="428" t="s">
        <v>3324</v>
      </c>
      <c r="C2617" s="429" t="str">
        <f t="shared" si="231"/>
        <v>石嘴山市深阳蓝光市政工程有限公司</v>
      </c>
      <c r="D2617" s="1281" t="s">
        <v>3379</v>
      </c>
      <c r="E2617" s="763" t="s">
        <v>3386</v>
      </c>
      <c r="F2617" s="742">
        <v>6</v>
      </c>
      <c r="G2617" s="132"/>
      <c r="H2617" s="132"/>
      <c r="I2617" s="132"/>
      <c r="J2617" s="132"/>
      <c r="K2617" s="1300"/>
      <c r="X2617" s="501" t="b">
        <f t="shared" si="232"/>
        <v>1</v>
      </c>
    </row>
    <row r="2618" s="414" customFormat="1" hidden="1" outlineLevel="2" spans="2:24">
      <c r="B2618" s="428" t="s">
        <v>3324</v>
      </c>
      <c r="C2618" s="429" t="str">
        <f t="shared" si="231"/>
        <v>石嘴山市深阳蓝光市政工程有限公司</v>
      </c>
      <c r="D2618" s="1281" t="s">
        <v>3379</v>
      </c>
      <c r="E2618" s="153"/>
      <c r="F2618" s="742" t="s">
        <v>1580</v>
      </c>
      <c r="G2618" s="135">
        <f>SUM(G2612:G2617)</f>
        <v>0</v>
      </c>
      <c r="H2618" s="135">
        <f>SUM(H2612:H2617)</f>
        <v>0</v>
      </c>
      <c r="I2618" s="135">
        <f>SUM(I2612:I2617)</f>
        <v>0</v>
      </c>
      <c r="J2618" s="135">
        <f>SUM(J2612:J2617)</f>
        <v>0</v>
      </c>
      <c r="K2618" s="1300"/>
      <c r="X2618" s="501" t="b">
        <f t="shared" si="232"/>
        <v>1</v>
      </c>
    </row>
    <row r="2619" s="414" customFormat="1" hidden="1" outlineLevel="2" spans="1:24">
      <c r="A2619" s="414" t="s">
        <v>3387</v>
      </c>
      <c r="B2619" s="428" t="s">
        <v>3324</v>
      </c>
      <c r="C2619" s="429" t="str">
        <f t="shared" si="231"/>
        <v>石嘴山市深阳蓝光市政工程有限公司</v>
      </c>
      <c r="D2619" s="1281" t="s">
        <v>3379</v>
      </c>
      <c r="E2619" s="748" t="s">
        <v>3388</v>
      </c>
      <c r="F2619" s="1289"/>
      <c r="G2619" s="1289"/>
      <c r="H2619" s="1290"/>
      <c r="I2619" s="1290"/>
      <c r="J2619" s="1300"/>
      <c r="K2619" s="1300"/>
      <c r="X2619" s="501" t="b">
        <f t="shared" si="232"/>
        <v>1</v>
      </c>
    </row>
    <row r="2620" s="414" customFormat="1" hidden="1" outlineLevel="2" spans="1:24">
      <c r="A2620" s="414" t="s">
        <v>2315</v>
      </c>
      <c r="B2620" s="428" t="s">
        <v>3324</v>
      </c>
      <c r="C2620" s="429" t="str">
        <f t="shared" si="231"/>
        <v>石嘴山市深阳蓝光市政工程有限公司</v>
      </c>
      <c r="D2620" s="1281" t="s">
        <v>3379</v>
      </c>
      <c r="E2620" s="444" t="s">
        <v>2334</v>
      </c>
      <c r="F2620" s="1306"/>
      <c r="G2620" s="1306"/>
      <c r="H2620" s="1307"/>
      <c r="I2620" s="1307"/>
      <c r="J2620" s="1312"/>
      <c r="K2620" s="1300"/>
      <c r="X2620" s="501" t="b">
        <f t="shared" si="232"/>
        <v>1</v>
      </c>
    </row>
    <row r="2621" s="415" customFormat="1" spans="1:24">
      <c r="A2621" s="415" t="s">
        <v>1905</v>
      </c>
      <c r="B2621" s="428" t="s">
        <v>3389</v>
      </c>
      <c r="C2621" s="429" t="str">
        <f t="shared" si="231"/>
        <v>石嘴山市深阳蓝光市政工程有限公司</v>
      </c>
      <c r="D2621" s="1308" t="s">
        <v>1905</v>
      </c>
      <c r="E2621" s="65" t="s">
        <v>3390</v>
      </c>
      <c r="F2621" s="1309"/>
      <c r="G2621" s="1118" t="s">
        <v>3326</v>
      </c>
      <c r="H2621" s="1309"/>
      <c r="I2621" s="1309"/>
      <c r="J2621" s="1309"/>
      <c r="X2621" s="501" t="b">
        <f t="shared" si="232"/>
        <v>1</v>
      </c>
    </row>
    <row r="2622" s="415" customFormat="1" outlineLevel="2" spans="1:24">
      <c r="A2622" s="415" t="s">
        <v>60</v>
      </c>
      <c r="B2622" s="428" t="s">
        <v>3389</v>
      </c>
      <c r="C2622" s="429" t="str">
        <f t="shared" si="231"/>
        <v>石嘴山市深阳蓝光市政工程有限公司</v>
      </c>
      <c r="D2622" s="1308" t="s">
        <v>1905</v>
      </c>
      <c r="E2622" s="1310" t="s">
        <v>60</v>
      </c>
      <c r="F2622" s="1310" t="s">
        <v>1906</v>
      </c>
      <c r="G2622" s="1310" t="s">
        <v>1910</v>
      </c>
      <c r="H2622" s="1309"/>
      <c r="I2622" s="1309"/>
      <c r="J2622" s="1309"/>
      <c r="X2622" s="501" t="b">
        <f t="shared" si="232"/>
        <v>1</v>
      </c>
    </row>
    <row r="2623" s="415" customFormat="1" outlineLevel="2" spans="1:24">
      <c r="A2623" s="415" t="s">
        <v>1087</v>
      </c>
      <c r="B2623" s="428" t="s">
        <v>3389</v>
      </c>
      <c r="C2623" s="429" t="str">
        <f t="shared" si="231"/>
        <v>石嘴山市深阳蓝光市政工程有限公司</v>
      </c>
      <c r="D2623" s="1308" t="s">
        <v>1905</v>
      </c>
      <c r="E2623" s="1311" t="s">
        <v>1087</v>
      </c>
      <c r="F2623" s="132"/>
      <c r="G2623" s="477">
        <f>报表附注合并期初用!E2235</f>
        <v>0</v>
      </c>
      <c r="H2623" s="1309"/>
      <c r="I2623" s="1309"/>
      <c r="J2623" s="1309"/>
      <c r="X2623" s="501" t="b">
        <f t="shared" si="232"/>
        <v>1</v>
      </c>
    </row>
    <row r="2624" s="415" customFormat="1" outlineLevel="2" spans="1:24">
      <c r="A2624" s="415" t="s">
        <v>1089</v>
      </c>
      <c r="B2624" s="428" t="s">
        <v>3389</v>
      </c>
      <c r="C2624" s="429" t="str">
        <f t="shared" si="231"/>
        <v>石嘴山市深阳蓝光市政工程有限公司</v>
      </c>
      <c r="D2624" s="1308" t="s">
        <v>1905</v>
      </c>
      <c r="E2624" s="1311" t="s">
        <v>1089</v>
      </c>
      <c r="F2624" s="132"/>
      <c r="G2624" s="477">
        <f>报表附注合并期初用!E2236</f>
        <v>0</v>
      </c>
      <c r="H2624" s="1309"/>
      <c r="I2624" s="1309"/>
      <c r="J2624" s="1309"/>
      <c r="X2624" s="501" t="b">
        <f t="shared" si="232"/>
        <v>1</v>
      </c>
    </row>
    <row r="2625" s="415" customFormat="1" outlineLevel="2" spans="1:24">
      <c r="A2625" s="415" t="s">
        <v>1103</v>
      </c>
      <c r="B2625" s="428" t="s">
        <v>3389</v>
      </c>
      <c r="C2625" s="429" t="str">
        <f t="shared" si="231"/>
        <v>石嘴山市深阳蓝光市政工程有限公司</v>
      </c>
      <c r="D2625" s="1308" t="s">
        <v>1905</v>
      </c>
      <c r="E2625" s="1311" t="s">
        <v>1103</v>
      </c>
      <c r="F2625" s="132"/>
      <c r="G2625" s="477">
        <f>报表附注合并期初用!E2237</f>
        <v>0</v>
      </c>
      <c r="H2625" s="1309"/>
      <c r="I2625" s="1309"/>
      <c r="J2625" s="1309"/>
      <c r="X2625" s="501" t="b">
        <f t="shared" si="232"/>
        <v>1</v>
      </c>
    </row>
    <row r="2626" s="415" customFormat="1" outlineLevel="2" spans="1:24">
      <c r="A2626" s="415" t="s">
        <v>1907</v>
      </c>
      <c r="B2626" s="428" t="s">
        <v>3389</v>
      </c>
      <c r="C2626" s="429" t="str">
        <f t="shared" si="231"/>
        <v>石嘴山市深阳蓝光市政工程有限公司</v>
      </c>
      <c r="D2626" s="1308" t="s">
        <v>1905</v>
      </c>
      <c r="E2626" s="1311" t="s">
        <v>1907</v>
      </c>
      <c r="F2626" s="132"/>
      <c r="G2626" s="477">
        <f>报表附注合并期初用!E2238</f>
        <v>0</v>
      </c>
      <c r="H2626" s="1309"/>
      <c r="I2626" s="1309"/>
      <c r="J2626" s="1309"/>
      <c r="X2626" s="501" t="b">
        <f t="shared" si="232"/>
        <v>1</v>
      </c>
    </row>
    <row r="2627" s="415" customFormat="1" outlineLevel="2" spans="1:24">
      <c r="A2627" s="415" t="s">
        <v>1908</v>
      </c>
      <c r="B2627" s="428" t="s">
        <v>3389</v>
      </c>
      <c r="C2627" s="429" t="str">
        <f t="shared" si="231"/>
        <v>石嘴山市深阳蓝光市政工程有限公司</v>
      </c>
      <c r="D2627" s="1308" t="s">
        <v>1905</v>
      </c>
      <c r="E2627" s="1311" t="s">
        <v>1908</v>
      </c>
      <c r="F2627" s="132"/>
      <c r="G2627" s="477">
        <f>报表附注合并期初用!E2239</f>
        <v>0</v>
      </c>
      <c r="H2627" s="1309"/>
      <c r="I2627" s="1309"/>
      <c r="J2627" s="1309"/>
      <c r="X2627" s="501" t="b">
        <f t="shared" si="232"/>
        <v>1</v>
      </c>
    </row>
    <row r="2628" s="415" customFormat="1" outlineLevel="2" spans="1:24">
      <c r="A2628" s="415" t="s">
        <v>1909</v>
      </c>
      <c r="B2628" s="428" t="s">
        <v>3389</v>
      </c>
      <c r="C2628" s="429" t="str">
        <f t="shared" si="231"/>
        <v>石嘴山市深阳蓝光市政工程有限公司</v>
      </c>
      <c r="D2628" s="1308" t="s">
        <v>1905</v>
      </c>
      <c r="E2628" s="1311" t="s">
        <v>1909</v>
      </c>
      <c r="F2628" s="132"/>
      <c r="G2628" s="477">
        <f>报表附注合并期初用!E2240</f>
        <v>0</v>
      </c>
      <c r="H2628" s="1309"/>
      <c r="I2628" s="1309"/>
      <c r="J2628" s="1309"/>
      <c r="X2628" s="501" t="b">
        <f t="shared" si="232"/>
        <v>1</v>
      </c>
    </row>
    <row r="2629" s="415" customFormat="1" outlineLevel="2" spans="1:24">
      <c r="A2629" s="415" t="s">
        <v>279</v>
      </c>
      <c r="B2629" s="428" t="s">
        <v>3389</v>
      </c>
      <c r="C2629" s="429" t="str">
        <f t="shared" si="231"/>
        <v>石嘴山市深阳蓝光市政工程有限公司</v>
      </c>
      <c r="D2629" s="1308" t="s">
        <v>1905</v>
      </c>
      <c r="E2629" s="1311" t="s">
        <v>279</v>
      </c>
      <c r="F2629" s="132"/>
      <c r="G2629" s="477">
        <f>报表附注合并期初用!E2241</f>
        <v>0</v>
      </c>
      <c r="H2629" s="1309"/>
      <c r="I2629" s="1309"/>
      <c r="J2629" s="1309"/>
      <c r="X2629" s="501" t="b">
        <f t="shared" si="232"/>
        <v>1</v>
      </c>
    </row>
    <row r="2630" s="415" customFormat="1" outlineLevel="2" spans="1:24">
      <c r="A2630" s="415" t="s">
        <v>1580</v>
      </c>
      <c r="B2630" s="428" t="s">
        <v>3389</v>
      </c>
      <c r="C2630" s="429" t="str">
        <f t="shared" si="231"/>
        <v>石嘴山市深阳蓝光市政工程有限公司</v>
      </c>
      <c r="D2630" s="1308" t="s">
        <v>1905</v>
      </c>
      <c r="E2630" s="1310" t="s">
        <v>1580</v>
      </c>
      <c r="F2630" s="1313">
        <f>SUM(F2623:F2629)</f>
        <v>0</v>
      </c>
      <c r="G2630" s="1313">
        <f>SUM(G2623:G2629)</f>
        <v>0</v>
      </c>
      <c r="H2630" s="1309"/>
      <c r="I2630" s="1309"/>
      <c r="J2630" s="1309"/>
      <c r="X2630" s="501" t="b">
        <f t="shared" si="232"/>
        <v>1</v>
      </c>
    </row>
    <row r="2631" s="415" customFormat="1" outlineLevel="2" spans="1:24">
      <c r="A2631" s="415" t="s">
        <v>1444</v>
      </c>
      <c r="B2631" s="428" t="s">
        <v>3389</v>
      </c>
      <c r="C2631" s="429" t="str">
        <f t="shared" si="231"/>
        <v>石嘴山市深阳蓝光市政工程有限公司</v>
      </c>
      <c r="D2631" s="1308" t="s">
        <v>1905</v>
      </c>
      <c r="E2631" s="1060" t="s">
        <v>1444</v>
      </c>
      <c r="F2631" s="1314">
        <f>审定利润表!C8</f>
        <v>0</v>
      </c>
      <c r="G2631" s="1314">
        <f>审定利润表!D8</f>
        <v>0</v>
      </c>
      <c r="H2631" s="1309"/>
      <c r="I2631" s="1309"/>
      <c r="J2631" s="1309"/>
      <c r="X2631" s="501" t="b">
        <f t="shared" si="232"/>
        <v>1</v>
      </c>
    </row>
    <row r="2632" s="415" customFormat="1" outlineLevel="1" collapsed="1" spans="1:24">
      <c r="A2632" s="415" t="s">
        <v>1394</v>
      </c>
      <c r="B2632" s="428" t="s">
        <v>3389</v>
      </c>
      <c r="C2632" s="429" t="str">
        <f t="shared" si="231"/>
        <v>石嘴山市深阳蓝光市政工程有限公司</v>
      </c>
      <c r="D2632" s="1308" t="s">
        <v>1905</v>
      </c>
      <c r="E2632" s="1060" t="s">
        <v>1394</v>
      </c>
      <c r="F2632" s="721">
        <f>ROUND(F2630-F2631,2)</f>
        <v>0</v>
      </c>
      <c r="G2632" s="721">
        <f>ROUND(G2630-G2631,2)</f>
        <v>0</v>
      </c>
      <c r="H2632" s="1309"/>
      <c r="I2632" s="1309"/>
      <c r="J2632" s="1309"/>
      <c r="X2632" s="501" t="b">
        <f t="shared" si="232"/>
        <v>1</v>
      </c>
    </row>
    <row r="2633" s="415" customFormat="1" hidden="1" outlineLevel="2" spans="2:24">
      <c r="B2633" s="428" t="s">
        <v>3389</v>
      </c>
      <c r="C2633" s="429" t="str">
        <f t="shared" si="231"/>
        <v>石嘴山市深阳蓝光市政工程有限公司</v>
      </c>
      <c r="D2633" s="1308" t="s">
        <v>1905</v>
      </c>
      <c r="E2633" s="1315"/>
      <c r="F2633" s="1316"/>
      <c r="G2633" s="1316"/>
      <c r="H2633" s="1309"/>
      <c r="I2633" s="1309"/>
      <c r="J2633" s="1309"/>
      <c r="X2633" s="501" t="b">
        <f t="shared" si="232"/>
        <v>1</v>
      </c>
    </row>
    <row r="2634" s="415" customFormat="1" hidden="1" outlineLevel="2" spans="1:24">
      <c r="A2634" s="415" t="s">
        <v>3391</v>
      </c>
      <c r="B2634" s="428" t="s">
        <v>3389</v>
      </c>
      <c r="C2634" s="429" t="str">
        <f t="shared" si="231"/>
        <v>石嘴山市深阳蓝光市政工程有限公司</v>
      </c>
      <c r="D2634" s="1308" t="s">
        <v>3391</v>
      </c>
      <c r="E2634" s="149" t="s">
        <v>3392</v>
      </c>
      <c r="F2634" s="1316"/>
      <c r="G2634" s="1316"/>
      <c r="H2634" s="1309"/>
      <c r="I2634" s="1309"/>
      <c r="J2634" s="1309"/>
      <c r="X2634" s="501" t="b">
        <f t="shared" si="232"/>
        <v>1</v>
      </c>
    </row>
    <row r="2635" s="415" customFormat="1" hidden="1" outlineLevel="2" spans="2:24">
      <c r="B2635" s="428" t="s">
        <v>3389</v>
      </c>
      <c r="C2635" s="429" t="str">
        <f t="shared" si="231"/>
        <v>石嘴山市深阳蓝光市政工程有限公司</v>
      </c>
      <c r="D2635" s="1308" t="s">
        <v>3391</v>
      </c>
      <c r="E2635" s="149"/>
      <c r="F2635" s="1306"/>
      <c r="G2635" s="1306"/>
      <c r="H2635" s="1309"/>
      <c r="I2635" s="1309"/>
      <c r="J2635" s="1309"/>
      <c r="X2635" s="501" t="b">
        <f t="shared" si="232"/>
        <v>1</v>
      </c>
    </row>
    <row r="2636" s="415" customFormat="1" hidden="1" outlineLevel="2" spans="2:24">
      <c r="B2636" s="428" t="s">
        <v>3389</v>
      </c>
      <c r="C2636" s="429" t="str">
        <f t="shared" si="231"/>
        <v>石嘴山市深阳蓝光市政工程有限公司</v>
      </c>
      <c r="D2636" s="1308" t="s">
        <v>3391</v>
      </c>
      <c r="E2636" s="149"/>
      <c r="F2636" s="1316"/>
      <c r="G2636" s="1316"/>
      <c r="H2636" s="1309"/>
      <c r="I2636" s="1309"/>
      <c r="J2636" s="1309"/>
      <c r="X2636" s="501" t="b">
        <f t="shared" si="232"/>
        <v>1</v>
      </c>
    </row>
    <row r="2637" s="415" customFormat="1" collapsed="1" spans="1:24">
      <c r="A2637" s="415" t="s">
        <v>3393</v>
      </c>
      <c r="B2637" s="428" t="s">
        <v>3394</v>
      </c>
      <c r="C2637" s="429" t="str">
        <f t="shared" si="231"/>
        <v>石嘴山市深阳蓝光市政工程有限公司</v>
      </c>
      <c r="D2637" s="1308" t="s">
        <v>2815</v>
      </c>
      <c r="E2637" s="65" t="s">
        <v>3395</v>
      </c>
      <c r="F2637" s="1317" t="s">
        <v>2635</v>
      </c>
      <c r="G2637" s="1316"/>
      <c r="H2637" s="1309"/>
      <c r="I2637" s="1309"/>
      <c r="J2637" s="1309"/>
      <c r="X2637" s="501" t="b">
        <f t="shared" si="232"/>
        <v>1</v>
      </c>
    </row>
    <row r="2638" s="415" customFormat="1" hidden="1" outlineLevel="2" spans="1:24">
      <c r="A2638" s="415" t="s">
        <v>2815</v>
      </c>
      <c r="B2638" s="428" t="s">
        <v>3394</v>
      </c>
      <c r="C2638" s="429" t="str">
        <f t="shared" si="231"/>
        <v>石嘴山市深阳蓝光市政工程有限公司</v>
      </c>
      <c r="D2638" s="1318" t="s">
        <v>2815</v>
      </c>
      <c r="E2638" s="1319" t="s">
        <v>2816</v>
      </c>
      <c r="F2638" s="1320"/>
      <c r="G2638" s="1320"/>
      <c r="H2638" s="1309"/>
      <c r="I2638" s="1309"/>
      <c r="J2638" s="1309"/>
      <c r="X2638" s="501" t="b">
        <f t="shared" si="232"/>
        <v>1</v>
      </c>
    </row>
    <row r="2639" s="415" customFormat="1" hidden="1" outlineLevel="2" spans="1:24">
      <c r="A2639" s="415" t="s">
        <v>572</v>
      </c>
      <c r="B2639" s="428" t="s">
        <v>3394</v>
      </c>
      <c r="C2639" s="429" t="str">
        <f t="shared" si="231"/>
        <v>石嘴山市深阳蓝光市政工程有限公司</v>
      </c>
      <c r="D2639" s="1318" t="s">
        <v>2815</v>
      </c>
      <c r="E2639" s="1297" t="s">
        <v>572</v>
      </c>
      <c r="F2639" s="1297" t="s">
        <v>1906</v>
      </c>
      <c r="G2639" s="1297" t="s">
        <v>1910</v>
      </c>
      <c r="H2639" s="1309"/>
      <c r="I2639" s="1309"/>
      <c r="J2639" s="1309"/>
      <c r="X2639" s="501" t="b">
        <f t="shared" si="232"/>
        <v>1</v>
      </c>
    </row>
    <row r="2640" s="415" customFormat="1" hidden="1" outlineLevel="2" spans="1:24">
      <c r="A2640" s="415" t="s">
        <v>1395</v>
      </c>
      <c r="B2640" s="428" t="s">
        <v>3394</v>
      </c>
      <c r="C2640" s="429" t="str">
        <f t="shared" si="231"/>
        <v>石嘴山市深阳蓝光市政工程有限公司</v>
      </c>
      <c r="D2640" s="1318" t="s">
        <v>2815</v>
      </c>
      <c r="E2640" s="1293" t="s">
        <v>1395</v>
      </c>
      <c r="F2640" s="1303"/>
      <c r="G2640" s="1303"/>
      <c r="H2640" s="1309"/>
      <c r="I2640" s="1309"/>
      <c r="J2640" s="1309"/>
      <c r="X2640" s="501" t="b">
        <f t="shared" si="232"/>
        <v>1</v>
      </c>
    </row>
    <row r="2641" s="415" customFormat="1" hidden="1" outlineLevel="2" spans="1:24">
      <c r="A2641" s="415" t="s">
        <v>3396</v>
      </c>
      <c r="B2641" s="428" t="s">
        <v>3394</v>
      </c>
      <c r="C2641" s="429" t="str">
        <f t="shared" si="231"/>
        <v>石嘴山市深阳蓝光市政工程有限公司</v>
      </c>
      <c r="D2641" s="1318" t="s">
        <v>2815</v>
      </c>
      <c r="E2641" s="1293" t="s">
        <v>3397</v>
      </c>
      <c r="F2641" s="1303"/>
      <c r="G2641" s="1303"/>
      <c r="H2641" s="1309"/>
      <c r="I2641" s="1309"/>
      <c r="J2641" s="1309"/>
      <c r="X2641" s="501" t="b">
        <f t="shared" si="232"/>
        <v>1</v>
      </c>
    </row>
    <row r="2642" s="415" customFormat="1" hidden="1" outlineLevel="2" spans="1:24">
      <c r="A2642" s="415" t="s">
        <v>1397</v>
      </c>
      <c r="B2642" s="428" t="s">
        <v>3394</v>
      </c>
      <c r="C2642" s="429" t="str">
        <f t="shared" si="231"/>
        <v>石嘴山市深阳蓝光市政工程有限公司</v>
      </c>
      <c r="D2642" s="1318" t="s">
        <v>2815</v>
      </c>
      <c r="E2642" s="1293" t="s">
        <v>1397</v>
      </c>
      <c r="F2642" s="1303"/>
      <c r="G2642" s="1303"/>
      <c r="H2642" s="1309"/>
      <c r="I2642" s="1309"/>
      <c r="J2642" s="1309"/>
      <c r="X2642" s="501" t="b">
        <f t="shared" si="232"/>
        <v>1</v>
      </c>
    </row>
    <row r="2643" s="415" customFormat="1" hidden="1" outlineLevel="2" spans="1:24">
      <c r="A2643" s="415" t="s">
        <v>3398</v>
      </c>
      <c r="B2643" s="428" t="s">
        <v>3394</v>
      </c>
      <c r="C2643" s="429" t="str">
        <f t="shared" si="231"/>
        <v>石嘴山市深阳蓝光市政工程有限公司</v>
      </c>
      <c r="D2643" s="1318" t="s">
        <v>2815</v>
      </c>
      <c r="E2643" s="1293" t="s">
        <v>3398</v>
      </c>
      <c r="F2643" s="1303"/>
      <c r="G2643" s="1303"/>
      <c r="H2643" s="1309"/>
      <c r="I2643" s="1309"/>
      <c r="J2643" s="1309"/>
      <c r="X2643" s="501" t="b">
        <f t="shared" si="232"/>
        <v>1</v>
      </c>
    </row>
    <row r="2644" s="415" customFormat="1" hidden="1" outlineLevel="2" spans="1:24">
      <c r="A2644" s="415" t="s">
        <v>279</v>
      </c>
      <c r="B2644" s="428" t="s">
        <v>3394</v>
      </c>
      <c r="C2644" s="429" t="str">
        <f t="shared" si="231"/>
        <v>石嘴山市深阳蓝光市政工程有限公司</v>
      </c>
      <c r="D2644" s="1318" t="s">
        <v>2815</v>
      </c>
      <c r="E2644" s="1293" t="s">
        <v>279</v>
      </c>
      <c r="F2644" s="1303"/>
      <c r="G2644" s="1303"/>
      <c r="H2644" s="1309"/>
      <c r="I2644" s="1309"/>
      <c r="J2644" s="1309"/>
      <c r="X2644" s="501" t="b">
        <f t="shared" si="232"/>
        <v>1</v>
      </c>
    </row>
    <row r="2645" s="415" customFormat="1" hidden="1" outlineLevel="2" spans="2:24">
      <c r="B2645" s="428" t="s">
        <v>3394</v>
      </c>
      <c r="C2645" s="429" t="str">
        <f t="shared" si="231"/>
        <v>石嘴山市深阳蓝光市政工程有限公司</v>
      </c>
      <c r="D2645" s="1318" t="s">
        <v>2815</v>
      </c>
      <c r="E2645" s="1303"/>
      <c r="F2645" s="1303"/>
      <c r="G2645" s="1303"/>
      <c r="H2645" s="1309"/>
      <c r="I2645" s="1309"/>
      <c r="J2645" s="1309"/>
      <c r="X2645" s="501" t="b">
        <f t="shared" si="232"/>
        <v>1</v>
      </c>
    </row>
    <row r="2646" s="415" customFormat="1" hidden="1" outlineLevel="2" spans="2:24">
      <c r="B2646" s="428" t="s">
        <v>3394</v>
      </c>
      <c r="C2646" s="429" t="str">
        <f t="shared" si="231"/>
        <v>石嘴山市深阳蓝光市政工程有限公司</v>
      </c>
      <c r="D2646" s="1318" t="s">
        <v>2815</v>
      </c>
      <c r="E2646" s="1303"/>
      <c r="F2646" s="1303"/>
      <c r="G2646" s="1303"/>
      <c r="H2646" s="1309"/>
      <c r="I2646" s="1309"/>
      <c r="J2646" s="1309"/>
      <c r="X2646" s="501" t="b">
        <f t="shared" si="232"/>
        <v>1</v>
      </c>
    </row>
    <row r="2647" s="415" customFormat="1" hidden="1" outlineLevel="2" spans="2:24">
      <c r="B2647" s="428" t="s">
        <v>3394</v>
      </c>
      <c r="C2647" s="429" t="str">
        <f t="shared" si="231"/>
        <v>石嘴山市深阳蓝光市政工程有限公司</v>
      </c>
      <c r="D2647" s="1318" t="s">
        <v>2815</v>
      </c>
      <c r="E2647" s="1303"/>
      <c r="F2647" s="1303"/>
      <c r="G2647" s="1303"/>
      <c r="H2647" s="1309"/>
      <c r="I2647" s="1309"/>
      <c r="J2647" s="1309"/>
      <c r="X2647" s="501" t="b">
        <f t="shared" si="232"/>
        <v>1</v>
      </c>
    </row>
    <row r="2648" s="415" customFormat="1" hidden="1" outlineLevel="2" spans="2:24">
      <c r="B2648" s="428" t="s">
        <v>3394</v>
      </c>
      <c r="C2648" s="429" t="str">
        <f t="shared" si="231"/>
        <v>石嘴山市深阳蓝光市政工程有限公司</v>
      </c>
      <c r="D2648" s="1318" t="s">
        <v>2815</v>
      </c>
      <c r="E2648" s="1303"/>
      <c r="F2648" s="1303"/>
      <c r="G2648" s="1303"/>
      <c r="H2648" s="1309"/>
      <c r="I2648" s="1309"/>
      <c r="J2648" s="1309"/>
      <c r="X2648" s="501" t="b">
        <f t="shared" si="232"/>
        <v>1</v>
      </c>
    </row>
    <row r="2649" s="415" customFormat="1" hidden="1" outlineLevel="2" spans="2:24">
      <c r="B2649" s="428" t="s">
        <v>3394</v>
      </c>
      <c r="C2649" s="429" t="str">
        <f t="shared" si="231"/>
        <v>石嘴山市深阳蓝光市政工程有限公司</v>
      </c>
      <c r="D2649" s="1318" t="s">
        <v>2815</v>
      </c>
      <c r="E2649" s="1321"/>
      <c r="F2649" s="807"/>
      <c r="G2649" s="807"/>
      <c r="H2649" s="1309"/>
      <c r="I2649" s="1309"/>
      <c r="J2649" s="1309"/>
      <c r="X2649" s="501" t="b">
        <f t="shared" si="232"/>
        <v>1</v>
      </c>
    </row>
    <row r="2650" s="415" customFormat="1" hidden="1" outlineLevel="2" spans="2:24">
      <c r="B2650" s="428" t="s">
        <v>3394</v>
      </c>
      <c r="C2650" s="429" t="str">
        <f t="shared" si="231"/>
        <v>石嘴山市深阳蓝光市政工程有限公司</v>
      </c>
      <c r="D2650" s="1318" t="s">
        <v>2815</v>
      </c>
      <c r="E2650" s="1321"/>
      <c r="F2650" s="807"/>
      <c r="G2650" s="807"/>
      <c r="H2650" s="1309"/>
      <c r="I2650" s="1309"/>
      <c r="J2650" s="1309"/>
      <c r="X2650" s="501" t="b">
        <f t="shared" si="232"/>
        <v>1</v>
      </c>
    </row>
    <row r="2651" s="415" customFormat="1" hidden="1" outlineLevel="2" spans="1:24">
      <c r="A2651" s="415" t="s">
        <v>346</v>
      </c>
      <c r="B2651" s="428" t="s">
        <v>3394</v>
      </c>
      <c r="C2651" s="429" t="str">
        <f t="shared" si="231"/>
        <v>石嘴山市深阳蓝光市政工程有限公司</v>
      </c>
      <c r="D2651" s="1318" t="s">
        <v>2815</v>
      </c>
      <c r="E2651" s="1297" t="s">
        <v>3187</v>
      </c>
      <c r="F2651" s="734">
        <f>SUM(F2640:F2650)</f>
        <v>0</v>
      </c>
      <c r="G2651" s="734">
        <f>SUM(G2640:G2650)</f>
        <v>0</v>
      </c>
      <c r="H2651" s="1309"/>
      <c r="I2651" s="1309"/>
      <c r="J2651" s="1309"/>
      <c r="X2651" s="501" t="b">
        <f t="shared" si="232"/>
        <v>1</v>
      </c>
    </row>
    <row r="2652" s="415" customFormat="1" hidden="1" outlineLevel="2" spans="1:24">
      <c r="A2652" s="415" t="s">
        <v>1444</v>
      </c>
      <c r="B2652" s="428" t="s">
        <v>3394</v>
      </c>
      <c r="C2652" s="429" t="str">
        <f t="shared" si="231"/>
        <v>石嘴山市深阳蓝光市政工程有限公司</v>
      </c>
      <c r="D2652" s="1318" t="s">
        <v>2815</v>
      </c>
      <c r="E2652" s="1322" t="s">
        <v>1444</v>
      </c>
      <c r="F2652" s="1323">
        <f>审定利润表!C13</f>
        <v>0</v>
      </c>
      <c r="G2652" s="1323">
        <f>本月审定利润表!G13</f>
        <v>0</v>
      </c>
      <c r="H2652" s="1309"/>
      <c r="I2652" s="1309"/>
      <c r="J2652" s="1309"/>
      <c r="X2652" s="501" t="b">
        <f t="shared" si="232"/>
        <v>1</v>
      </c>
    </row>
    <row r="2653" s="415" customFormat="1" hidden="1" outlineLevel="1" collapsed="1" spans="1:24">
      <c r="A2653" s="415" t="s">
        <v>1394</v>
      </c>
      <c r="B2653" s="428" t="s">
        <v>3394</v>
      </c>
      <c r="C2653" s="429" t="str">
        <f t="shared" si="231"/>
        <v>石嘴山市深阳蓝光市政工程有限公司</v>
      </c>
      <c r="D2653" s="1318" t="s">
        <v>2815</v>
      </c>
      <c r="E2653" s="1322" t="s">
        <v>1394</v>
      </c>
      <c r="F2653" s="721">
        <f>F2651-F2652</f>
        <v>0</v>
      </c>
      <c r="G2653" s="721">
        <f>G2651-G2652</f>
        <v>0</v>
      </c>
      <c r="H2653" s="1309"/>
      <c r="I2653" s="1309"/>
      <c r="J2653" s="1309"/>
      <c r="X2653" s="501" t="b">
        <f t="shared" si="232"/>
        <v>1</v>
      </c>
    </row>
    <row r="2654" s="415" customFormat="1" hidden="1" outlineLevel="2" spans="2:24">
      <c r="B2654" s="428" t="s">
        <v>3394</v>
      </c>
      <c r="C2654" s="429" t="str">
        <f t="shared" si="231"/>
        <v>石嘴山市深阳蓝光市政工程有限公司</v>
      </c>
      <c r="D2654" s="1308" t="s">
        <v>2815</v>
      </c>
      <c r="E2654" s="149"/>
      <c r="F2654" s="1316"/>
      <c r="G2654" s="1316"/>
      <c r="H2654" s="1309"/>
      <c r="I2654" s="1309"/>
      <c r="J2654" s="1309"/>
      <c r="X2654" s="501" t="b">
        <f t="shared" si="232"/>
        <v>1</v>
      </c>
    </row>
    <row r="2655" s="415" customFormat="1" hidden="1" outlineLevel="2" spans="1:24">
      <c r="A2655" s="415" t="s">
        <v>3399</v>
      </c>
      <c r="B2655" s="428" t="s">
        <v>3394</v>
      </c>
      <c r="C2655" s="429" t="str">
        <f t="shared" si="231"/>
        <v>石嘴山市深阳蓝光市政工程有限公司</v>
      </c>
      <c r="D2655" s="1308" t="s">
        <v>3399</v>
      </c>
      <c r="E2655" s="149" t="s">
        <v>3400</v>
      </c>
      <c r="F2655" s="1316"/>
      <c r="G2655" s="1316"/>
      <c r="H2655" s="1309"/>
      <c r="I2655" s="1309"/>
      <c r="J2655" s="1309"/>
      <c r="X2655" s="501" t="b">
        <f t="shared" si="232"/>
        <v>1</v>
      </c>
    </row>
    <row r="2656" s="415" customFormat="1" hidden="1" outlineLevel="2" spans="1:24">
      <c r="A2656" s="415" t="s">
        <v>2315</v>
      </c>
      <c r="B2656" s="428" t="s">
        <v>3394</v>
      </c>
      <c r="C2656" s="429" t="str">
        <f t="shared" si="231"/>
        <v>石嘴山市深阳蓝光市政工程有限公司</v>
      </c>
      <c r="D2656" s="1308" t="s">
        <v>3399</v>
      </c>
      <c r="E2656" s="149" t="s">
        <v>2334</v>
      </c>
      <c r="F2656" s="1324"/>
      <c r="G2656" s="1324"/>
      <c r="H2656" s="1309"/>
      <c r="I2656" s="1309"/>
      <c r="J2656" s="1309"/>
      <c r="X2656" s="501" t="b">
        <f t="shared" si="232"/>
        <v>1</v>
      </c>
    </row>
    <row r="2657" s="415" customFormat="1" hidden="1" outlineLevel="2" spans="2:24">
      <c r="B2657" s="428" t="s">
        <v>3394</v>
      </c>
      <c r="C2657" s="429" t="str">
        <f t="shared" si="231"/>
        <v>石嘴山市深阳蓝光市政工程有限公司</v>
      </c>
      <c r="D2657" s="1308" t="s">
        <v>3399</v>
      </c>
      <c r="E2657" s="149"/>
      <c r="F2657" s="1316"/>
      <c r="G2657" s="1316"/>
      <c r="H2657" s="1309"/>
      <c r="I2657" s="1309"/>
      <c r="J2657" s="1309"/>
      <c r="X2657" s="501" t="b">
        <f t="shared" si="232"/>
        <v>1</v>
      </c>
    </row>
    <row r="2658" s="415" customFormat="1" spans="1:24">
      <c r="A2658" s="415" t="s">
        <v>1912</v>
      </c>
      <c r="B2658" s="428" t="s">
        <v>3401</v>
      </c>
      <c r="C2658" s="429" t="str">
        <f t="shared" ref="C2658:C2721" si="233">$G$1</f>
        <v>石嘴山市深阳蓝光市政工程有限公司</v>
      </c>
      <c r="D2658" s="1308" t="s">
        <v>2815</v>
      </c>
      <c r="E2658" s="65" t="s">
        <v>3402</v>
      </c>
      <c r="F2658" s="1316"/>
      <c r="G2658" s="1316"/>
      <c r="H2658" s="1309"/>
      <c r="I2658" s="1309"/>
      <c r="J2658" s="1309"/>
      <c r="X2658" s="501" t="b">
        <f t="shared" ref="X2658:X2721" si="234">EXACT(A2658,E2658)</f>
        <v>1</v>
      </c>
    </row>
    <row r="2659" s="415" customFormat="1" outlineLevel="2" spans="1:24">
      <c r="A2659" s="415" t="s">
        <v>2815</v>
      </c>
      <c r="B2659" s="428" t="s">
        <v>3401</v>
      </c>
      <c r="C2659" s="429" t="str">
        <f t="shared" si="233"/>
        <v>石嘴山市深阳蓝光市政工程有限公司</v>
      </c>
      <c r="D2659" s="1325" t="s">
        <v>2815</v>
      </c>
      <c r="E2659" s="1326" t="s">
        <v>2816</v>
      </c>
      <c r="F2659" s="1327"/>
      <c r="G2659" s="1118" t="s">
        <v>3326</v>
      </c>
      <c r="H2659" s="1327"/>
      <c r="I2659" s="1309"/>
      <c r="J2659" s="1309"/>
      <c r="X2659" s="501" t="b">
        <f t="shared" si="234"/>
        <v>1</v>
      </c>
    </row>
    <row r="2660" s="415" customFormat="1" outlineLevel="2" spans="1:24">
      <c r="A2660" s="415" t="s">
        <v>1326</v>
      </c>
      <c r="B2660" s="428" t="s">
        <v>3401</v>
      </c>
      <c r="C2660" s="429" t="str">
        <f t="shared" si="233"/>
        <v>石嘴山市深阳蓝光市政工程有限公司</v>
      </c>
      <c r="D2660" s="1325" t="s">
        <v>2815</v>
      </c>
      <c r="E2660" s="1328" t="s">
        <v>1326</v>
      </c>
      <c r="F2660" s="1328" t="s">
        <v>3403</v>
      </c>
      <c r="G2660" s="1328" t="s">
        <v>3404</v>
      </c>
      <c r="H2660" s="1328" t="s">
        <v>3405</v>
      </c>
      <c r="I2660" s="1335" t="s">
        <v>3406</v>
      </c>
      <c r="J2660" s="1336"/>
      <c r="X2660" s="501" t="b">
        <f t="shared" si="234"/>
        <v>1</v>
      </c>
    </row>
    <row r="2661" s="415" customFormat="1" outlineLevel="2" spans="1:24">
      <c r="A2661" s="415" t="s">
        <v>1913</v>
      </c>
      <c r="B2661" s="428" t="s">
        <v>3401</v>
      </c>
      <c r="C2661" s="429" t="str">
        <f t="shared" si="233"/>
        <v>石嘴山市深阳蓝光市政工程有限公司</v>
      </c>
      <c r="D2661" s="1325" t="s">
        <v>2815</v>
      </c>
      <c r="E2661" s="1329" t="s">
        <v>1913</v>
      </c>
      <c r="F2661" s="1330">
        <f>F2688</f>
        <v>0</v>
      </c>
      <c r="G2661" s="1330">
        <f>报表附注合并期初用!E2262</f>
        <v>0</v>
      </c>
      <c r="H2661" s="1331"/>
      <c r="I2661" s="1329" t="s">
        <v>3407</v>
      </c>
      <c r="J2661" s="1329" t="s">
        <v>3408</v>
      </c>
      <c r="X2661" s="501" t="b">
        <f t="shared" si="234"/>
        <v>1</v>
      </c>
    </row>
    <row r="2662" s="415" customFormat="1" outlineLevel="2" spans="1:24">
      <c r="A2662" s="415" t="s">
        <v>1914</v>
      </c>
      <c r="B2662" s="428" t="s">
        <v>3401</v>
      </c>
      <c r="C2662" s="429" t="str">
        <f t="shared" si="233"/>
        <v>石嘴山市深阳蓝光市政工程有限公司</v>
      </c>
      <c r="D2662" s="1325" t="s">
        <v>2815</v>
      </c>
      <c r="E2662" s="1329" t="s">
        <v>1914</v>
      </c>
      <c r="F2662" s="1330">
        <f>F2702</f>
        <v>0</v>
      </c>
      <c r="G2662" s="1330">
        <f>报表附注合并期初用!E2263</f>
        <v>0</v>
      </c>
      <c r="H2662" s="1331"/>
      <c r="I2662" s="1329"/>
      <c r="J2662" s="1331"/>
      <c r="X2662" s="501" t="b">
        <f t="shared" si="234"/>
        <v>1</v>
      </c>
    </row>
    <row r="2663" s="415" customFormat="1" outlineLevel="2" spans="1:24">
      <c r="A2663" s="415" t="s">
        <v>1915</v>
      </c>
      <c r="B2663" s="428" t="s">
        <v>3401</v>
      </c>
      <c r="C2663" s="429" t="str">
        <f t="shared" si="233"/>
        <v>石嘴山市深阳蓝光市政工程有限公司</v>
      </c>
      <c r="D2663" s="1325" t="s">
        <v>2815</v>
      </c>
      <c r="E2663" s="1329" t="s">
        <v>1915</v>
      </c>
      <c r="F2663" s="1330">
        <f>J2673</f>
        <v>0</v>
      </c>
      <c r="G2663" s="1330">
        <f>报表附注合并期初用!E2264</f>
        <v>0</v>
      </c>
      <c r="H2663" s="1331"/>
      <c r="I2663" s="1329"/>
      <c r="J2663" s="1331"/>
      <c r="X2663" s="501" t="b">
        <f t="shared" si="234"/>
        <v>1</v>
      </c>
    </row>
    <row r="2664" s="415" customFormat="1" outlineLevel="2" spans="1:24">
      <c r="A2664" s="415" t="s">
        <v>1916</v>
      </c>
      <c r="B2664" s="428" t="s">
        <v>3401</v>
      </c>
      <c r="C2664" s="429" t="str">
        <f t="shared" si="233"/>
        <v>石嘴山市深阳蓝光市政工程有限公司</v>
      </c>
      <c r="D2664" s="1325" t="s">
        <v>2815</v>
      </c>
      <c r="E2664" s="1329" t="s">
        <v>1916</v>
      </c>
      <c r="F2664" s="675"/>
      <c r="G2664" s="1330">
        <f>报表附注合并期初用!E2265</f>
        <v>0</v>
      </c>
      <c r="H2664" s="1331"/>
      <c r="I2664" s="1331"/>
      <c r="J2664" s="1331"/>
      <c r="X2664" s="501" t="b">
        <f t="shared" si="234"/>
        <v>1</v>
      </c>
    </row>
    <row r="2665" s="415" customFormat="1" outlineLevel="2" spans="1:24">
      <c r="A2665" s="415" t="s">
        <v>1917</v>
      </c>
      <c r="B2665" s="428" t="s">
        <v>3401</v>
      </c>
      <c r="C2665" s="429" t="str">
        <f t="shared" si="233"/>
        <v>石嘴山市深阳蓝光市政工程有限公司</v>
      </c>
      <c r="D2665" s="1325" t="s">
        <v>2815</v>
      </c>
      <c r="E2665" s="1329" t="s">
        <v>1917</v>
      </c>
      <c r="F2665" s="675"/>
      <c r="G2665" s="1330">
        <f>报表附注合并期初用!E2266</f>
        <v>0</v>
      </c>
      <c r="H2665" s="1331"/>
      <c r="I2665" s="1331"/>
      <c r="J2665" s="1331"/>
      <c r="X2665" s="501" t="b">
        <f t="shared" si="234"/>
        <v>1</v>
      </c>
    </row>
    <row r="2666" s="415" customFormat="1" outlineLevel="2" spans="1:24">
      <c r="A2666" s="415" t="s">
        <v>1918</v>
      </c>
      <c r="B2666" s="428" t="s">
        <v>3401</v>
      </c>
      <c r="C2666" s="429" t="str">
        <f t="shared" si="233"/>
        <v>石嘴山市深阳蓝光市政工程有限公司</v>
      </c>
      <c r="D2666" s="1325" t="s">
        <v>2815</v>
      </c>
      <c r="E2666" s="1329" t="s">
        <v>1918</v>
      </c>
      <c r="F2666" s="675"/>
      <c r="G2666" s="1330">
        <f>报表附注合并期初用!E2267</f>
        <v>0</v>
      </c>
      <c r="H2666" s="1331"/>
      <c r="I2666" s="1331"/>
      <c r="J2666" s="1331"/>
      <c r="X2666" s="501" t="b">
        <f t="shared" si="234"/>
        <v>1</v>
      </c>
    </row>
    <row r="2667" s="415" customFormat="1" outlineLevel="2" spans="1:24">
      <c r="A2667" s="415" t="s">
        <v>1919</v>
      </c>
      <c r="B2667" s="428" t="s">
        <v>3401</v>
      </c>
      <c r="C2667" s="429" t="str">
        <f t="shared" si="233"/>
        <v>石嘴山市深阳蓝光市政工程有限公司</v>
      </c>
      <c r="D2667" s="1325" t="s">
        <v>2815</v>
      </c>
      <c r="E2667" s="1329" t="s">
        <v>1919</v>
      </c>
      <c r="F2667" s="675"/>
      <c r="G2667" s="1330">
        <f>报表附注合并期初用!E2268</f>
        <v>0</v>
      </c>
      <c r="H2667" s="1331"/>
      <c r="I2667" s="1331"/>
      <c r="J2667" s="1331"/>
      <c r="X2667" s="501" t="b">
        <f t="shared" si="234"/>
        <v>1</v>
      </c>
    </row>
    <row r="2668" s="415" customFormat="1" outlineLevel="2" spans="1:24">
      <c r="A2668" s="415" t="s">
        <v>1920</v>
      </c>
      <c r="B2668" s="428" t="s">
        <v>3401</v>
      </c>
      <c r="C2668" s="429" t="str">
        <f t="shared" si="233"/>
        <v>石嘴山市深阳蓝光市政工程有限公司</v>
      </c>
      <c r="D2668" s="1325" t="s">
        <v>2815</v>
      </c>
      <c r="E2668" s="1329" t="s">
        <v>1920</v>
      </c>
      <c r="F2668" s="675"/>
      <c r="G2668" s="1330">
        <f>报表附注合并期初用!E2269</f>
        <v>0</v>
      </c>
      <c r="H2668" s="1331"/>
      <c r="I2668" s="1331"/>
      <c r="J2668" s="1331"/>
      <c r="X2668" s="501" t="b">
        <f t="shared" si="234"/>
        <v>1</v>
      </c>
    </row>
    <row r="2669" s="415" customFormat="1" outlineLevel="2" spans="1:24">
      <c r="A2669" s="415" t="s">
        <v>1921</v>
      </c>
      <c r="B2669" s="428" t="s">
        <v>3401</v>
      </c>
      <c r="C2669" s="429" t="str">
        <f t="shared" si="233"/>
        <v>石嘴山市深阳蓝光市政工程有限公司</v>
      </c>
      <c r="D2669" s="1325" t="s">
        <v>2815</v>
      </c>
      <c r="E2669" s="1329" t="s">
        <v>3409</v>
      </c>
      <c r="F2669" s="675"/>
      <c r="G2669" s="1330">
        <f>报表附注合并期初用!E2270</f>
        <v>0</v>
      </c>
      <c r="H2669" s="1331"/>
      <c r="I2669" s="1331"/>
      <c r="J2669" s="1331"/>
      <c r="X2669" s="501" t="b">
        <f t="shared" si="234"/>
        <v>0</v>
      </c>
    </row>
    <row r="2670" s="415" customFormat="1" outlineLevel="2" spans="1:24">
      <c r="A2670" s="415" t="s">
        <v>279</v>
      </c>
      <c r="B2670" s="428" t="s">
        <v>3401</v>
      </c>
      <c r="C2670" s="429" t="str">
        <f t="shared" si="233"/>
        <v>石嘴山市深阳蓝光市政工程有限公司</v>
      </c>
      <c r="D2670" s="1325" t="s">
        <v>2815</v>
      </c>
      <c r="E2670" s="1329" t="s">
        <v>279</v>
      </c>
      <c r="F2670" s="675"/>
      <c r="G2670" s="1330">
        <f>报表附注合并期初用!E2271</f>
        <v>0</v>
      </c>
      <c r="H2670" s="1331"/>
      <c r="I2670" s="1331"/>
      <c r="J2670" s="1331"/>
      <c r="X2670" s="501" t="b">
        <f t="shared" si="234"/>
        <v>1</v>
      </c>
    </row>
    <row r="2671" s="415" customFormat="1" hidden="1" outlineLevel="2" spans="1:24">
      <c r="A2671" s="415" t="s">
        <v>1922</v>
      </c>
      <c r="B2671" s="428" t="s">
        <v>3401</v>
      </c>
      <c r="C2671" s="429" t="str">
        <f t="shared" si="233"/>
        <v>石嘴山市深阳蓝光市政工程有限公司</v>
      </c>
      <c r="D2671" s="1325" t="s">
        <v>2815</v>
      </c>
      <c r="E2671" s="1331" t="s">
        <v>1922</v>
      </c>
      <c r="F2671" s="675"/>
      <c r="G2671" s="1330">
        <f>报表附注合并期初用!E2272</f>
        <v>0</v>
      </c>
      <c r="H2671" s="1331"/>
      <c r="I2671" s="1331"/>
      <c r="J2671" s="1331"/>
      <c r="X2671" s="501" t="b">
        <f t="shared" si="234"/>
        <v>1</v>
      </c>
    </row>
    <row r="2672" s="415" customFormat="1" hidden="1" outlineLevel="2" spans="1:24">
      <c r="A2672" s="415" t="s">
        <v>1923</v>
      </c>
      <c r="B2672" s="428" t="s">
        <v>3401</v>
      </c>
      <c r="C2672" s="429" t="str">
        <f t="shared" si="233"/>
        <v>石嘴山市深阳蓝光市政工程有限公司</v>
      </c>
      <c r="D2672" s="1325" t="s">
        <v>2815</v>
      </c>
      <c r="E2672" s="1331" t="s">
        <v>1923</v>
      </c>
      <c r="F2672" s="675"/>
      <c r="G2672" s="1330">
        <f>报表附注合并期初用!E2273</f>
        <v>0</v>
      </c>
      <c r="H2672" s="1331"/>
      <c r="I2672" s="1331"/>
      <c r="J2672" s="1331"/>
      <c r="X2672" s="501" t="b">
        <f t="shared" si="234"/>
        <v>1</v>
      </c>
    </row>
    <row r="2673" s="415" customFormat="1" outlineLevel="2" spans="1:24">
      <c r="A2673" s="415" t="s">
        <v>1924</v>
      </c>
      <c r="B2673" s="428" t="s">
        <v>3401</v>
      </c>
      <c r="C2673" s="429" t="str">
        <f t="shared" si="233"/>
        <v>石嘴山市深阳蓝光市政工程有限公司</v>
      </c>
      <c r="D2673" s="1325" t="s">
        <v>2815</v>
      </c>
      <c r="E2673" s="1332" t="s">
        <v>1924</v>
      </c>
      <c r="F2673" s="1250">
        <f>SUM(F2661:F2672)</f>
        <v>0</v>
      </c>
      <c r="G2673" s="1250">
        <f>SUM(G2661:G2672)</f>
        <v>0</v>
      </c>
      <c r="H2673" s="1333"/>
      <c r="I2673" s="1337" t="s">
        <v>1580</v>
      </c>
      <c r="J2673" s="1338">
        <f>ROUND(SUM(J2662:J2672),2)</f>
        <v>0</v>
      </c>
      <c r="X2673" s="501" t="b">
        <f t="shared" si="234"/>
        <v>1</v>
      </c>
    </row>
    <row r="2674" s="415" customFormat="1" outlineLevel="2" spans="1:24">
      <c r="A2674" s="415" t="s">
        <v>1444</v>
      </c>
      <c r="B2674" s="428" t="s">
        <v>3401</v>
      </c>
      <c r="C2674" s="429" t="str">
        <f t="shared" si="233"/>
        <v>石嘴山市深阳蓝光市政工程有限公司</v>
      </c>
      <c r="D2674" s="1308" t="s">
        <v>2815</v>
      </c>
      <c r="E2674" s="1322" t="s">
        <v>1444</v>
      </c>
      <c r="F2674" s="1314">
        <f>审定利润表!C14</f>
        <v>0</v>
      </c>
      <c r="G2674" s="1314">
        <f>审定利润表!D14</f>
        <v>0</v>
      </c>
      <c r="H2674" s="1309"/>
      <c r="I2674" s="1309"/>
      <c r="J2674" s="1309"/>
      <c r="X2674" s="501" t="b">
        <f t="shared" si="234"/>
        <v>1</v>
      </c>
    </row>
    <row r="2675" s="415" customFormat="1" outlineLevel="1" spans="1:24">
      <c r="A2675" s="415" t="s">
        <v>1394</v>
      </c>
      <c r="B2675" s="428" t="s">
        <v>3401</v>
      </c>
      <c r="C2675" s="429" t="str">
        <f t="shared" si="233"/>
        <v>石嘴山市深阳蓝光市政工程有限公司</v>
      </c>
      <c r="D2675" s="1308" t="s">
        <v>2815</v>
      </c>
      <c r="E2675" s="1322" t="s">
        <v>1394</v>
      </c>
      <c r="F2675" s="721">
        <f>ROUND(F2673-F2674,2)</f>
        <v>0</v>
      </c>
      <c r="G2675" s="721">
        <f>ROUND(G2673-G2674,2)</f>
        <v>0</v>
      </c>
      <c r="H2675" s="1309"/>
      <c r="I2675" s="1309"/>
      <c r="J2675" s="1309"/>
      <c r="X2675" s="501" t="b">
        <f t="shared" si="234"/>
        <v>1</v>
      </c>
    </row>
    <row r="2676" s="415" customFormat="1" outlineLevel="2" spans="2:24">
      <c r="B2676" s="428" t="s">
        <v>3401</v>
      </c>
      <c r="C2676" s="429" t="str">
        <f t="shared" si="233"/>
        <v>石嘴山市深阳蓝光市政工程有限公司</v>
      </c>
      <c r="D2676" s="1308" t="s">
        <v>2815</v>
      </c>
      <c r="E2676" s="1322"/>
      <c r="F2676" s="1316"/>
      <c r="G2676" s="1316"/>
      <c r="H2676" s="1309"/>
      <c r="I2676" s="1309"/>
      <c r="J2676" s="1309"/>
      <c r="X2676" s="501" t="b">
        <f t="shared" si="234"/>
        <v>1</v>
      </c>
    </row>
    <row r="2677" s="415" customFormat="1" outlineLevel="2" spans="1:24">
      <c r="A2677" s="415" t="s">
        <v>3410</v>
      </c>
      <c r="B2677" s="428" t="s">
        <v>3401</v>
      </c>
      <c r="C2677" s="429" t="str">
        <f t="shared" si="233"/>
        <v>石嘴山市深阳蓝光市政工程有限公司</v>
      </c>
      <c r="D2677" s="1308" t="s">
        <v>3410</v>
      </c>
      <c r="E2677" s="149" t="s">
        <v>3411</v>
      </c>
      <c r="F2677" s="1316"/>
      <c r="G2677" s="1316"/>
      <c r="H2677" s="1309"/>
      <c r="I2677" s="1309"/>
      <c r="J2677" s="1309"/>
      <c r="X2677" s="501" t="b">
        <f t="shared" si="234"/>
        <v>0</v>
      </c>
    </row>
    <row r="2678" s="415" customFormat="1" outlineLevel="2" spans="1:24">
      <c r="A2678" s="415" t="s">
        <v>419</v>
      </c>
      <c r="B2678" s="428" t="s">
        <v>3401</v>
      </c>
      <c r="C2678" s="429" t="str">
        <f t="shared" si="233"/>
        <v>石嘴山市深阳蓝光市政工程有限公司</v>
      </c>
      <c r="D2678" s="1308" t="s">
        <v>3410</v>
      </c>
      <c r="E2678" s="581" t="s">
        <v>419</v>
      </c>
      <c r="F2678" s="581" t="s">
        <v>62</v>
      </c>
      <c r="G2678" s="581" t="s">
        <v>2010</v>
      </c>
      <c r="H2678" s="581" t="s">
        <v>3412</v>
      </c>
      <c r="I2678" s="1309"/>
      <c r="J2678" s="1309"/>
      <c r="X2678" s="501" t="b">
        <f t="shared" si="234"/>
        <v>1</v>
      </c>
    </row>
    <row r="2679" s="415" customFormat="1" outlineLevel="2" spans="2:24">
      <c r="B2679" s="428" t="s">
        <v>3401</v>
      </c>
      <c r="C2679" s="429" t="str">
        <f t="shared" si="233"/>
        <v>石嘴山市深阳蓝光市政工程有限公司</v>
      </c>
      <c r="D2679" s="1308" t="s">
        <v>3410</v>
      </c>
      <c r="E2679" s="999"/>
      <c r="F2679" s="997"/>
      <c r="G2679" s="997"/>
      <c r="H2679" s="999"/>
      <c r="I2679" s="1309"/>
      <c r="J2679" s="1309"/>
      <c r="X2679" s="501" t="b">
        <f t="shared" si="234"/>
        <v>1</v>
      </c>
    </row>
    <row r="2680" s="415" customFormat="1" outlineLevel="2" spans="2:24">
      <c r="B2680" s="428" t="s">
        <v>3401</v>
      </c>
      <c r="C2680" s="429" t="str">
        <f t="shared" si="233"/>
        <v>石嘴山市深阳蓝光市政工程有限公司</v>
      </c>
      <c r="D2680" s="1308" t="s">
        <v>3410</v>
      </c>
      <c r="E2680" s="999"/>
      <c r="F2680" s="997"/>
      <c r="G2680" s="997"/>
      <c r="H2680" s="999"/>
      <c r="I2680" s="1309"/>
      <c r="J2680" s="1309"/>
      <c r="X2680" s="501" t="b">
        <f t="shared" si="234"/>
        <v>1</v>
      </c>
    </row>
    <row r="2681" s="415" customFormat="1" outlineLevel="2" spans="2:24">
      <c r="B2681" s="428" t="s">
        <v>3401</v>
      </c>
      <c r="C2681" s="429" t="str">
        <f t="shared" si="233"/>
        <v>石嘴山市深阳蓝光市政工程有限公司</v>
      </c>
      <c r="D2681" s="1308" t="s">
        <v>3410</v>
      </c>
      <c r="E2681" s="999"/>
      <c r="F2681" s="997"/>
      <c r="G2681" s="997"/>
      <c r="H2681" s="999"/>
      <c r="I2681" s="1309"/>
      <c r="J2681" s="1309"/>
      <c r="X2681" s="501" t="b">
        <f t="shared" si="234"/>
        <v>1</v>
      </c>
    </row>
    <row r="2682" s="415" customFormat="1" outlineLevel="2" spans="2:24">
      <c r="B2682" s="428" t="s">
        <v>3401</v>
      </c>
      <c r="C2682" s="429" t="str">
        <f t="shared" si="233"/>
        <v>石嘴山市深阳蓝光市政工程有限公司</v>
      </c>
      <c r="D2682" s="1308" t="s">
        <v>3410</v>
      </c>
      <c r="E2682" s="999"/>
      <c r="F2682" s="997"/>
      <c r="G2682" s="997"/>
      <c r="H2682" s="999"/>
      <c r="I2682" s="1309"/>
      <c r="J2682" s="1309"/>
      <c r="X2682" s="501" t="b">
        <f t="shared" si="234"/>
        <v>1</v>
      </c>
    </row>
    <row r="2683" s="415" customFormat="1" outlineLevel="2" spans="2:24">
      <c r="B2683" s="428" t="s">
        <v>3401</v>
      </c>
      <c r="C2683" s="429" t="str">
        <f t="shared" si="233"/>
        <v>石嘴山市深阳蓝光市政工程有限公司</v>
      </c>
      <c r="D2683" s="1308" t="s">
        <v>3410</v>
      </c>
      <c r="E2683" s="999"/>
      <c r="F2683" s="997"/>
      <c r="G2683" s="997"/>
      <c r="H2683" s="999"/>
      <c r="I2683" s="1309"/>
      <c r="J2683" s="1309"/>
      <c r="X2683" s="501" t="b">
        <f t="shared" si="234"/>
        <v>1</v>
      </c>
    </row>
    <row r="2684" s="415" customFormat="1" outlineLevel="2" spans="2:24">
      <c r="B2684" s="428" t="s">
        <v>3401</v>
      </c>
      <c r="C2684" s="429" t="str">
        <f t="shared" si="233"/>
        <v>石嘴山市深阳蓝光市政工程有限公司</v>
      </c>
      <c r="D2684" s="1308" t="s">
        <v>3410</v>
      </c>
      <c r="E2684" s="999"/>
      <c r="F2684" s="997"/>
      <c r="G2684" s="997"/>
      <c r="H2684" s="999"/>
      <c r="I2684" s="1309"/>
      <c r="J2684" s="1309"/>
      <c r="X2684" s="501" t="b">
        <f t="shared" si="234"/>
        <v>1</v>
      </c>
    </row>
    <row r="2685" s="415" customFormat="1" ht="12.75" customHeight="1" outlineLevel="2" spans="2:24">
      <c r="B2685" s="428" t="s">
        <v>3401</v>
      </c>
      <c r="C2685" s="429" t="str">
        <f t="shared" si="233"/>
        <v>石嘴山市深阳蓝光市政工程有限公司</v>
      </c>
      <c r="D2685" s="1308" t="s">
        <v>3410</v>
      </c>
      <c r="E2685" s="1334"/>
      <c r="F2685" s="997"/>
      <c r="G2685" s="997"/>
      <c r="H2685" s="999"/>
      <c r="I2685" s="1309"/>
      <c r="J2685" s="1309"/>
      <c r="X2685" s="501" t="b">
        <f t="shared" si="234"/>
        <v>1</v>
      </c>
    </row>
    <row r="2686" s="415" customFormat="1" outlineLevel="2" spans="2:24">
      <c r="B2686" s="428" t="s">
        <v>3401</v>
      </c>
      <c r="C2686" s="429" t="str">
        <f t="shared" si="233"/>
        <v>石嘴山市深阳蓝光市政工程有限公司</v>
      </c>
      <c r="D2686" s="1308" t="s">
        <v>3410</v>
      </c>
      <c r="E2686" s="1334"/>
      <c r="F2686" s="997"/>
      <c r="G2686" s="997"/>
      <c r="H2686" s="999"/>
      <c r="I2686" s="1309"/>
      <c r="J2686" s="1309"/>
      <c r="X2686" s="501" t="b">
        <f t="shared" si="234"/>
        <v>1</v>
      </c>
    </row>
    <row r="2687" s="415" customFormat="1" outlineLevel="2" spans="2:24">
      <c r="B2687" s="428" t="s">
        <v>3401</v>
      </c>
      <c r="C2687" s="429" t="str">
        <f t="shared" si="233"/>
        <v>石嘴山市深阳蓝光市政工程有限公司</v>
      </c>
      <c r="D2687" s="1308" t="s">
        <v>3410</v>
      </c>
      <c r="E2687" s="1334"/>
      <c r="F2687" s="997"/>
      <c r="G2687" s="997"/>
      <c r="H2687" s="999"/>
      <c r="I2687" s="1309"/>
      <c r="J2687" s="1309"/>
      <c r="X2687" s="501" t="b">
        <f t="shared" si="234"/>
        <v>1</v>
      </c>
    </row>
    <row r="2688" s="415" customFormat="1" outlineLevel="2" spans="1:24">
      <c r="A2688" s="415" t="s">
        <v>1580</v>
      </c>
      <c r="B2688" s="428" t="s">
        <v>3401</v>
      </c>
      <c r="C2688" s="429" t="str">
        <f t="shared" si="233"/>
        <v>石嘴山市深阳蓝光市政工程有限公司</v>
      </c>
      <c r="D2688" s="1308" t="s">
        <v>3410</v>
      </c>
      <c r="E2688" s="944" t="s">
        <v>1580</v>
      </c>
      <c r="F2688" s="858">
        <f>SUM(F2679:F2687)</f>
        <v>0</v>
      </c>
      <c r="G2688" s="858">
        <f>SUM(G2679:G2687)</f>
        <v>0</v>
      </c>
      <c r="H2688" s="151"/>
      <c r="I2688" s="1309"/>
      <c r="J2688" s="1309"/>
      <c r="X2688" s="501" t="b">
        <f t="shared" si="234"/>
        <v>1</v>
      </c>
    </row>
    <row r="2689" s="415" customFormat="1" outlineLevel="2" spans="1:24">
      <c r="A2689" s="415" t="s">
        <v>3413</v>
      </c>
      <c r="B2689" s="428" t="s">
        <v>3401</v>
      </c>
      <c r="C2689" s="429" t="str">
        <f t="shared" si="233"/>
        <v>石嘴山市深阳蓝光市政工程有限公司</v>
      </c>
      <c r="D2689" s="1308" t="s">
        <v>3410</v>
      </c>
      <c r="E2689" s="149" t="s">
        <v>3414</v>
      </c>
      <c r="F2689" s="1316"/>
      <c r="G2689" s="1316"/>
      <c r="H2689" s="1309"/>
      <c r="I2689" s="1309"/>
      <c r="J2689" s="1309"/>
      <c r="X2689" s="501" t="b">
        <f t="shared" si="234"/>
        <v>1</v>
      </c>
    </row>
    <row r="2690" s="415" customFormat="1" outlineLevel="2" spans="1:24">
      <c r="A2690" s="415" t="s">
        <v>3415</v>
      </c>
      <c r="B2690" s="428" t="s">
        <v>3401</v>
      </c>
      <c r="C2690" s="429" t="str">
        <f t="shared" si="233"/>
        <v>石嘴山市深阳蓝光市政工程有限公司</v>
      </c>
      <c r="D2690" s="1308" t="s">
        <v>3410</v>
      </c>
      <c r="E2690" s="149" t="s">
        <v>3416</v>
      </c>
      <c r="F2690" s="485"/>
      <c r="G2690" s="485"/>
      <c r="H2690" s="485"/>
      <c r="I2690" s="1309"/>
      <c r="J2690" s="1309"/>
      <c r="X2690" s="501" t="b">
        <f t="shared" si="234"/>
        <v>1</v>
      </c>
    </row>
    <row r="2691" s="415" customFormat="1" outlineLevel="2" spans="2:24">
      <c r="B2691" s="428" t="s">
        <v>3401</v>
      </c>
      <c r="C2691" s="429" t="str">
        <f t="shared" si="233"/>
        <v>石嘴山市深阳蓝光市政工程有限公司</v>
      </c>
      <c r="D2691" s="1308" t="s">
        <v>3410</v>
      </c>
      <c r="E2691" s="149"/>
      <c r="F2691" s="485"/>
      <c r="G2691" s="485"/>
      <c r="H2691" s="485"/>
      <c r="I2691" s="1309"/>
      <c r="J2691" s="1309"/>
      <c r="X2691" s="501" t="b">
        <f t="shared" si="234"/>
        <v>1</v>
      </c>
    </row>
    <row r="2692" s="415" customFormat="1" outlineLevel="2" spans="1:24">
      <c r="A2692" s="415" t="s">
        <v>3417</v>
      </c>
      <c r="B2692" s="428" t="s">
        <v>3401</v>
      </c>
      <c r="C2692" s="429" t="str">
        <f t="shared" si="233"/>
        <v>石嘴山市深阳蓝光市政工程有限公司</v>
      </c>
      <c r="D2692" s="1308" t="s">
        <v>3417</v>
      </c>
      <c r="E2692" s="149" t="s">
        <v>3418</v>
      </c>
      <c r="F2692" s="485"/>
      <c r="G2692" s="485"/>
      <c r="H2692" s="485"/>
      <c r="I2692" s="1309"/>
      <c r="J2692" s="1309"/>
      <c r="X2692" s="501" t="b">
        <f t="shared" si="234"/>
        <v>1</v>
      </c>
    </row>
    <row r="2693" s="415" customFormat="1" outlineLevel="2" spans="1:24">
      <c r="A2693" s="415" t="s">
        <v>419</v>
      </c>
      <c r="B2693" s="428" t="s">
        <v>3401</v>
      </c>
      <c r="C2693" s="429" t="str">
        <f t="shared" si="233"/>
        <v>石嘴山市深阳蓝光市政工程有限公司</v>
      </c>
      <c r="D2693" s="1308" t="s">
        <v>3417</v>
      </c>
      <c r="E2693" s="581" t="s">
        <v>419</v>
      </c>
      <c r="F2693" s="581" t="s">
        <v>62</v>
      </c>
      <c r="G2693" s="581" t="s">
        <v>2010</v>
      </c>
      <c r="H2693" s="581" t="s">
        <v>3412</v>
      </c>
      <c r="I2693" s="1309"/>
      <c r="J2693" s="1309"/>
      <c r="X2693" s="501" t="b">
        <f t="shared" si="234"/>
        <v>1</v>
      </c>
    </row>
    <row r="2694" s="415" customFormat="1" outlineLevel="2" spans="2:24">
      <c r="B2694" s="428" t="s">
        <v>3401</v>
      </c>
      <c r="C2694" s="429" t="str">
        <f t="shared" si="233"/>
        <v>石嘴山市深阳蓝光市政工程有限公司</v>
      </c>
      <c r="D2694" s="1308" t="s">
        <v>3417</v>
      </c>
      <c r="E2694" s="1329"/>
      <c r="F2694" s="997"/>
      <c r="G2694" s="997"/>
      <c r="H2694" s="999"/>
      <c r="I2694" s="1309"/>
      <c r="J2694" s="1309"/>
      <c r="X2694" s="501" t="b">
        <f t="shared" si="234"/>
        <v>1</v>
      </c>
    </row>
    <row r="2695" s="415" customFormat="1" outlineLevel="2" spans="2:24">
      <c r="B2695" s="428" t="s">
        <v>3401</v>
      </c>
      <c r="C2695" s="429" t="str">
        <f t="shared" si="233"/>
        <v>石嘴山市深阳蓝光市政工程有限公司</v>
      </c>
      <c r="D2695" s="1308" t="s">
        <v>3417</v>
      </c>
      <c r="E2695" s="1329"/>
      <c r="F2695" s="997"/>
      <c r="G2695" s="997"/>
      <c r="H2695" s="999"/>
      <c r="I2695" s="1309"/>
      <c r="J2695" s="1309"/>
      <c r="X2695" s="501" t="b">
        <f t="shared" si="234"/>
        <v>1</v>
      </c>
    </row>
    <row r="2696" s="415" customFormat="1" outlineLevel="2" spans="2:24">
      <c r="B2696" s="428" t="s">
        <v>3401</v>
      </c>
      <c r="C2696" s="429" t="str">
        <f t="shared" si="233"/>
        <v>石嘴山市深阳蓝光市政工程有限公司</v>
      </c>
      <c r="D2696" s="1308" t="s">
        <v>3417</v>
      </c>
      <c r="E2696" s="1329"/>
      <c r="F2696" s="997"/>
      <c r="G2696" s="997"/>
      <c r="H2696" s="999"/>
      <c r="I2696" s="1309"/>
      <c r="J2696" s="1309"/>
      <c r="X2696" s="501" t="b">
        <f t="shared" si="234"/>
        <v>1</v>
      </c>
    </row>
    <row r="2697" s="415" customFormat="1" outlineLevel="2" spans="2:24">
      <c r="B2697" s="428" t="s">
        <v>3401</v>
      </c>
      <c r="C2697" s="429" t="str">
        <f t="shared" si="233"/>
        <v>石嘴山市深阳蓝光市政工程有限公司</v>
      </c>
      <c r="D2697" s="1308" t="s">
        <v>3417</v>
      </c>
      <c r="E2697" s="1329"/>
      <c r="F2697" s="997"/>
      <c r="G2697" s="997"/>
      <c r="H2697" s="999"/>
      <c r="I2697" s="1309"/>
      <c r="J2697" s="1309"/>
      <c r="X2697" s="501" t="b">
        <f t="shared" si="234"/>
        <v>1</v>
      </c>
    </row>
    <row r="2698" s="415" customFormat="1" outlineLevel="2" spans="2:24">
      <c r="B2698" s="428" t="s">
        <v>3401</v>
      </c>
      <c r="C2698" s="429" t="str">
        <f t="shared" si="233"/>
        <v>石嘴山市深阳蓝光市政工程有限公司</v>
      </c>
      <c r="D2698" s="1308" t="s">
        <v>3417</v>
      </c>
      <c r="E2698" s="1329"/>
      <c r="F2698" s="997"/>
      <c r="G2698" s="997"/>
      <c r="H2698" s="999"/>
      <c r="I2698" s="1309"/>
      <c r="J2698" s="1309"/>
      <c r="X2698" s="501" t="b">
        <f t="shared" si="234"/>
        <v>1</v>
      </c>
    </row>
    <row r="2699" s="415" customFormat="1" outlineLevel="2" spans="2:24">
      <c r="B2699" s="428" t="s">
        <v>3401</v>
      </c>
      <c r="C2699" s="429" t="str">
        <f t="shared" si="233"/>
        <v>石嘴山市深阳蓝光市政工程有限公司</v>
      </c>
      <c r="D2699" s="1308" t="s">
        <v>3417</v>
      </c>
      <c r="E2699" s="1334"/>
      <c r="F2699" s="997"/>
      <c r="G2699" s="997"/>
      <c r="H2699" s="999"/>
      <c r="I2699" s="1309"/>
      <c r="J2699" s="1309"/>
      <c r="X2699" s="501" t="b">
        <f t="shared" si="234"/>
        <v>1</v>
      </c>
    </row>
    <row r="2700" s="415" customFormat="1" outlineLevel="2" spans="2:24">
      <c r="B2700" s="428" t="s">
        <v>3401</v>
      </c>
      <c r="C2700" s="429" t="str">
        <f t="shared" si="233"/>
        <v>石嘴山市深阳蓝光市政工程有限公司</v>
      </c>
      <c r="D2700" s="1308" t="s">
        <v>3417</v>
      </c>
      <c r="E2700" s="1334"/>
      <c r="F2700" s="997"/>
      <c r="G2700" s="997"/>
      <c r="H2700" s="999"/>
      <c r="I2700" s="1309"/>
      <c r="J2700" s="1309"/>
      <c r="X2700" s="501" t="b">
        <f t="shared" si="234"/>
        <v>1</v>
      </c>
    </row>
    <row r="2701" s="415" customFormat="1" outlineLevel="2" spans="2:24">
      <c r="B2701" s="428" t="s">
        <v>3401</v>
      </c>
      <c r="C2701" s="429" t="str">
        <f t="shared" si="233"/>
        <v>石嘴山市深阳蓝光市政工程有限公司</v>
      </c>
      <c r="D2701" s="1308" t="s">
        <v>3417</v>
      </c>
      <c r="E2701" s="1334"/>
      <c r="F2701" s="997"/>
      <c r="G2701" s="997"/>
      <c r="H2701" s="999"/>
      <c r="I2701" s="1309"/>
      <c r="J2701" s="1309"/>
      <c r="X2701" s="501" t="b">
        <f t="shared" si="234"/>
        <v>1</v>
      </c>
    </row>
    <row r="2702" s="415" customFormat="1" outlineLevel="2" spans="1:24">
      <c r="A2702" s="415" t="s">
        <v>1580</v>
      </c>
      <c r="B2702" s="428" t="s">
        <v>3401</v>
      </c>
      <c r="C2702" s="429" t="str">
        <f t="shared" si="233"/>
        <v>石嘴山市深阳蓝光市政工程有限公司</v>
      </c>
      <c r="D2702" s="1308" t="s">
        <v>3417</v>
      </c>
      <c r="E2702" s="944" t="s">
        <v>1580</v>
      </c>
      <c r="F2702" s="858">
        <f>SUM(F2694:F2701)</f>
        <v>0</v>
      </c>
      <c r="G2702" s="858">
        <f>SUM(G2694:G2701)</f>
        <v>0</v>
      </c>
      <c r="H2702" s="151"/>
      <c r="I2702" s="1309"/>
      <c r="J2702" s="1309"/>
      <c r="X2702" s="501" t="b">
        <f t="shared" si="234"/>
        <v>1</v>
      </c>
    </row>
    <row r="2703" s="415" customFormat="1" outlineLevel="2" spans="1:24">
      <c r="A2703" s="415" t="s">
        <v>3413</v>
      </c>
      <c r="B2703" s="428" t="s">
        <v>3401</v>
      </c>
      <c r="C2703" s="429" t="str">
        <f t="shared" si="233"/>
        <v>石嘴山市深阳蓝光市政工程有限公司</v>
      </c>
      <c r="D2703" s="1308" t="s">
        <v>3417</v>
      </c>
      <c r="E2703" s="149" t="s">
        <v>3414</v>
      </c>
      <c r="F2703" s="721">
        <f>F2702-F2662</f>
        <v>0</v>
      </c>
      <c r="G2703" s="721">
        <f>G2702-G2662</f>
        <v>0</v>
      </c>
      <c r="H2703" s="485"/>
      <c r="I2703" s="1309"/>
      <c r="J2703" s="1309"/>
      <c r="X2703" s="501" t="b">
        <f t="shared" si="234"/>
        <v>1</v>
      </c>
    </row>
    <row r="2704" s="415" customFormat="1" outlineLevel="2" spans="1:24">
      <c r="A2704" s="415" t="s">
        <v>3419</v>
      </c>
      <c r="B2704" s="428" t="s">
        <v>3401</v>
      </c>
      <c r="C2704" s="429" t="str">
        <f t="shared" si="233"/>
        <v>石嘴山市深阳蓝光市政工程有限公司</v>
      </c>
      <c r="D2704" s="1308" t="s">
        <v>3417</v>
      </c>
      <c r="E2704" s="149" t="s">
        <v>3420</v>
      </c>
      <c r="F2704" s="485"/>
      <c r="G2704" s="485"/>
      <c r="H2704" s="485"/>
      <c r="I2704" s="1309"/>
      <c r="J2704" s="1309"/>
      <c r="X2704" s="501" t="b">
        <f t="shared" si="234"/>
        <v>1</v>
      </c>
    </row>
    <row r="2705" s="415" customFormat="1" outlineLevel="2" spans="1:24">
      <c r="A2705" s="415" t="s">
        <v>3421</v>
      </c>
      <c r="B2705" s="428" t="s">
        <v>3401</v>
      </c>
      <c r="C2705" s="429" t="str">
        <f t="shared" si="233"/>
        <v>石嘴山市深阳蓝光市政工程有限公司</v>
      </c>
      <c r="D2705" s="1308" t="s">
        <v>3421</v>
      </c>
      <c r="E2705" s="149" t="s">
        <v>3422</v>
      </c>
      <c r="F2705" s="485"/>
      <c r="G2705" s="485"/>
      <c r="H2705" s="485"/>
      <c r="I2705" s="1309"/>
      <c r="J2705" s="1309"/>
      <c r="X2705" s="501" t="b">
        <f t="shared" si="234"/>
        <v>1</v>
      </c>
    </row>
    <row r="2706" s="415" customFormat="1" outlineLevel="2" spans="1:24">
      <c r="A2706" s="415" t="s">
        <v>2315</v>
      </c>
      <c r="B2706" s="428" t="s">
        <v>3401</v>
      </c>
      <c r="C2706" s="429" t="str">
        <f t="shared" si="233"/>
        <v>石嘴山市深阳蓝光市政工程有限公司</v>
      </c>
      <c r="D2706" s="1308" t="s">
        <v>3421</v>
      </c>
      <c r="E2706" s="149" t="s">
        <v>2334</v>
      </c>
      <c r="F2706" s="1164"/>
      <c r="G2706" s="1164"/>
      <c r="H2706" s="1164"/>
      <c r="I2706" s="1309"/>
      <c r="J2706" s="1309"/>
      <c r="X2706" s="501" t="b">
        <f t="shared" si="234"/>
        <v>1</v>
      </c>
    </row>
    <row r="2707" s="415" customFormat="1" outlineLevel="2" spans="1:24">
      <c r="A2707" s="415" t="s">
        <v>3423</v>
      </c>
      <c r="B2707" s="428" t="s">
        <v>3401</v>
      </c>
      <c r="C2707" s="429" t="str">
        <f t="shared" si="233"/>
        <v>石嘴山市深阳蓝光市政工程有限公司</v>
      </c>
      <c r="D2707" s="1308" t="s">
        <v>3423</v>
      </c>
      <c r="E2707" s="149" t="s">
        <v>3424</v>
      </c>
      <c r="F2707" s="485"/>
      <c r="G2707" s="485"/>
      <c r="H2707" s="485"/>
      <c r="I2707" s="1309"/>
      <c r="J2707" s="1309"/>
      <c r="X2707" s="501" t="b">
        <f t="shared" si="234"/>
        <v>1</v>
      </c>
    </row>
    <row r="2708" s="415" customFormat="1" outlineLevel="2" spans="1:24">
      <c r="A2708" s="415" t="s">
        <v>2315</v>
      </c>
      <c r="B2708" s="428" t="s">
        <v>3401</v>
      </c>
      <c r="C2708" s="429" t="str">
        <f t="shared" si="233"/>
        <v>石嘴山市深阳蓝光市政工程有限公司</v>
      </c>
      <c r="D2708" s="1308" t="s">
        <v>3423</v>
      </c>
      <c r="E2708" s="149" t="s">
        <v>2334</v>
      </c>
      <c r="F2708" s="1164"/>
      <c r="G2708" s="1164"/>
      <c r="H2708" s="1164"/>
      <c r="I2708" s="1309"/>
      <c r="J2708" s="1309"/>
      <c r="X2708" s="501" t="b">
        <f t="shared" si="234"/>
        <v>1</v>
      </c>
    </row>
    <row r="2709" s="415" customFormat="1" outlineLevel="2" spans="2:24">
      <c r="B2709" s="428" t="s">
        <v>3401</v>
      </c>
      <c r="C2709" s="429" t="str">
        <f t="shared" si="233"/>
        <v>石嘴山市深阳蓝光市政工程有限公司</v>
      </c>
      <c r="D2709" s="1308" t="s">
        <v>3423</v>
      </c>
      <c r="E2709" s="149"/>
      <c r="F2709" s="1316"/>
      <c r="G2709" s="1316"/>
      <c r="H2709" s="1309"/>
      <c r="I2709" s="1309"/>
      <c r="J2709" s="1309"/>
      <c r="X2709" s="501" t="b">
        <f t="shared" si="234"/>
        <v>1</v>
      </c>
    </row>
    <row r="2710" s="416" customFormat="1" spans="1:24">
      <c r="A2710" s="416" t="s">
        <v>1925</v>
      </c>
      <c r="B2710" s="428" t="s">
        <v>3425</v>
      </c>
      <c r="C2710" s="429" t="str">
        <f t="shared" si="233"/>
        <v>石嘴山市深阳蓝光市政工程有限公司</v>
      </c>
      <c r="D2710" s="1339" t="s">
        <v>1925</v>
      </c>
      <c r="E2710" s="65" t="s">
        <v>3426</v>
      </c>
      <c r="F2710" s="1340"/>
      <c r="G2710" s="1118" t="s">
        <v>3326</v>
      </c>
      <c r="H2710" s="1341"/>
      <c r="I2710" s="1341"/>
      <c r="J2710" s="1341"/>
      <c r="K2710" s="1341"/>
      <c r="L2710" s="1341"/>
      <c r="M2710" s="1341"/>
      <c r="N2710" s="1341"/>
      <c r="O2710" s="1341"/>
      <c r="X2710" s="501" t="b">
        <f t="shared" si="234"/>
        <v>1</v>
      </c>
    </row>
    <row r="2711" s="416" customFormat="1" ht="18" customHeight="1" outlineLevel="2" spans="1:24">
      <c r="A2711" s="416" t="s">
        <v>314</v>
      </c>
      <c r="B2711" s="428" t="s">
        <v>3425</v>
      </c>
      <c r="C2711" s="429" t="str">
        <f t="shared" si="233"/>
        <v>石嘴山市深阳蓝光市政工程有限公司</v>
      </c>
      <c r="D2711" s="1339" t="s">
        <v>1925</v>
      </c>
      <c r="E2711" s="1342" t="s">
        <v>3327</v>
      </c>
      <c r="F2711" s="1342" t="s">
        <v>1906</v>
      </c>
      <c r="G2711" s="1342" t="s">
        <v>1910</v>
      </c>
      <c r="H2711" s="1343" t="s">
        <v>3427</v>
      </c>
      <c r="I2711" s="1343" t="s">
        <v>3428</v>
      </c>
      <c r="J2711" s="1341"/>
      <c r="K2711" s="1341"/>
      <c r="L2711" s="1341"/>
      <c r="M2711" s="1341"/>
      <c r="N2711" s="1341"/>
      <c r="O2711" s="1341"/>
      <c r="P2711" s="1341"/>
      <c r="X2711" s="501" t="b">
        <f t="shared" si="234"/>
        <v>1</v>
      </c>
    </row>
    <row r="2712" s="416" customFormat="1" outlineLevel="2" spans="1:24">
      <c r="A2712" s="416" t="s">
        <v>1926</v>
      </c>
      <c r="B2712" s="428" t="s">
        <v>3425</v>
      </c>
      <c r="C2712" s="429" t="str">
        <f t="shared" si="233"/>
        <v>石嘴山市深阳蓝光市政工程有限公司</v>
      </c>
      <c r="D2712" s="1339" t="s">
        <v>1925</v>
      </c>
      <c r="E2712" s="1344" t="s">
        <v>3429</v>
      </c>
      <c r="F2712" s="132"/>
      <c r="G2712" s="477">
        <f>报表附注合并期初用!E2294</f>
        <v>0</v>
      </c>
      <c r="H2712" s="1341"/>
      <c r="I2712" s="1345" t="str">
        <f>IF(F2712=G1730-H1730,"相符","不相符,差异："&amp;(F2712-G1730+H1730))</f>
        <v>相符</v>
      </c>
      <c r="J2712" s="1341" t="s">
        <v>470</v>
      </c>
      <c r="K2712" s="1341"/>
      <c r="L2712" s="1341"/>
      <c r="M2712" s="1341"/>
      <c r="N2712" s="1341"/>
      <c r="O2712" s="1341"/>
      <c r="P2712" s="1341"/>
      <c r="X2712" s="501" t="b">
        <f t="shared" si="234"/>
        <v>1</v>
      </c>
    </row>
    <row r="2713" s="416" customFormat="1" outlineLevel="2" spans="1:24">
      <c r="A2713" s="416" t="s">
        <v>1927</v>
      </c>
      <c r="B2713" s="428" t="s">
        <v>3425</v>
      </c>
      <c r="C2713" s="429" t="str">
        <f t="shared" si="233"/>
        <v>石嘴山市深阳蓝光市政工程有限公司</v>
      </c>
      <c r="D2713" s="1339" t="s">
        <v>1925</v>
      </c>
      <c r="E2713" s="1344" t="s">
        <v>3430</v>
      </c>
      <c r="F2713" s="132"/>
      <c r="G2713" s="477">
        <f>报表附注合并期初用!E2295</f>
        <v>0</v>
      </c>
      <c r="H2713" s="1345" t="str">
        <f>IF(F2713=G920,"相符","不相符")</f>
        <v>相符</v>
      </c>
      <c r="I2713" s="1345" t="str">
        <f>IF(F2713=G1731+H1731,"相符","不相符,差异："&amp;(F2713-G1731-H1731))</f>
        <v>相符</v>
      </c>
      <c r="J2713" s="1341" t="s">
        <v>1745</v>
      </c>
      <c r="K2713" s="1341"/>
      <c r="L2713" s="1341"/>
      <c r="M2713" s="1341"/>
      <c r="N2713" s="1341"/>
      <c r="O2713" s="1341"/>
      <c r="P2713" s="1341"/>
      <c r="X2713" s="501" t="b">
        <f t="shared" si="234"/>
        <v>1</v>
      </c>
    </row>
    <row r="2714" s="416" customFormat="1" outlineLevel="2" spans="1:24">
      <c r="A2714" s="416" t="s">
        <v>1928</v>
      </c>
      <c r="B2714" s="428" t="s">
        <v>3425</v>
      </c>
      <c r="C2714" s="429" t="str">
        <f t="shared" si="233"/>
        <v>石嘴山市深阳蓝光市政工程有限公司</v>
      </c>
      <c r="D2714" s="1339" t="s">
        <v>1925</v>
      </c>
      <c r="E2714" s="1344" t="s">
        <v>3431</v>
      </c>
      <c r="F2714" s="132"/>
      <c r="G2714" s="477">
        <f>报表附注合并期初用!E2296</f>
        <v>0</v>
      </c>
      <c r="H2714" s="1341"/>
      <c r="I2714" s="1345" t="str">
        <f t="shared" ref="I2714:I2721" si="235">IF(F2714=G1732,"相符","不相符,差异："&amp;(F2714-G1732))</f>
        <v>相符</v>
      </c>
      <c r="J2714" s="1341" t="s">
        <v>1746</v>
      </c>
      <c r="K2714" s="1341"/>
      <c r="L2714" s="1341"/>
      <c r="M2714" s="1341"/>
      <c r="N2714" s="1341"/>
      <c r="O2714" s="1341"/>
      <c r="P2714" s="1341"/>
      <c r="X2714" s="501" t="b">
        <f t="shared" si="234"/>
        <v>1</v>
      </c>
    </row>
    <row r="2715" s="416" customFormat="1" outlineLevel="2" spans="1:24">
      <c r="A2715" s="416" t="s">
        <v>1929</v>
      </c>
      <c r="B2715" s="428" t="s">
        <v>3425</v>
      </c>
      <c r="C2715" s="429" t="str">
        <f t="shared" si="233"/>
        <v>石嘴山市深阳蓝光市政工程有限公司</v>
      </c>
      <c r="D2715" s="1339" t="s">
        <v>1925</v>
      </c>
      <c r="E2715" s="1344" t="s">
        <v>3432</v>
      </c>
      <c r="F2715" s="132"/>
      <c r="G2715" s="477">
        <f>报表附注合并期初用!E2297</f>
        <v>0</v>
      </c>
      <c r="H2715" s="1341"/>
      <c r="I2715" s="1345" t="str">
        <f t="shared" si="235"/>
        <v>相符</v>
      </c>
      <c r="J2715" s="1341" t="s">
        <v>1747</v>
      </c>
      <c r="K2715" s="1341"/>
      <c r="L2715" s="1341"/>
      <c r="M2715" s="1341"/>
      <c r="N2715" s="1341"/>
      <c r="O2715" s="1341"/>
      <c r="P2715" s="1341"/>
      <c r="X2715" s="501" t="b">
        <f t="shared" si="234"/>
        <v>1</v>
      </c>
    </row>
    <row r="2716" s="416" customFormat="1" outlineLevel="2" spans="1:24">
      <c r="A2716" s="416" t="s">
        <v>1930</v>
      </c>
      <c r="B2716" s="428" t="s">
        <v>3425</v>
      </c>
      <c r="C2716" s="429" t="str">
        <f t="shared" si="233"/>
        <v>石嘴山市深阳蓝光市政工程有限公司</v>
      </c>
      <c r="D2716" s="1339" t="s">
        <v>1925</v>
      </c>
      <c r="E2716" s="1344" t="s">
        <v>3433</v>
      </c>
      <c r="F2716" s="132"/>
      <c r="G2716" s="477">
        <f>报表附注合并期初用!E2298</f>
        <v>0</v>
      </c>
      <c r="H2716" s="1345" t="str">
        <f>IF(F2716=P1081,"相符","不相符")</f>
        <v>相符</v>
      </c>
      <c r="I2716" s="1345" t="str">
        <f t="shared" si="235"/>
        <v>相符</v>
      </c>
      <c r="J2716" s="1341" t="s">
        <v>1748</v>
      </c>
      <c r="K2716" s="1341"/>
      <c r="L2716" s="1341"/>
      <c r="M2716" s="1341"/>
      <c r="N2716" s="1341"/>
      <c r="O2716" s="1341"/>
      <c r="P2716" s="1341"/>
      <c r="X2716" s="501" t="b">
        <f t="shared" si="234"/>
        <v>1</v>
      </c>
    </row>
    <row r="2717" s="416" customFormat="1" outlineLevel="2" spans="1:24">
      <c r="A2717" s="416" t="s">
        <v>1931</v>
      </c>
      <c r="B2717" s="428" t="s">
        <v>3425</v>
      </c>
      <c r="C2717" s="429" t="str">
        <f t="shared" si="233"/>
        <v>石嘴山市深阳蓝光市政工程有限公司</v>
      </c>
      <c r="D2717" s="1339" t="s">
        <v>1925</v>
      </c>
      <c r="E2717" s="1344" t="s">
        <v>3434</v>
      </c>
      <c r="F2717" s="132"/>
      <c r="G2717" s="477">
        <f>报表附注合并期初用!E2299</f>
        <v>0</v>
      </c>
      <c r="H2717" s="1345" t="str">
        <f>IF(F2717=G1110,"相符","不相符")</f>
        <v>相符</v>
      </c>
      <c r="I2717" s="1345" t="str">
        <f t="shared" si="235"/>
        <v>相符</v>
      </c>
      <c r="J2717" s="1341" t="s">
        <v>1749</v>
      </c>
      <c r="K2717" s="1341"/>
      <c r="L2717" s="1341"/>
      <c r="M2717" s="1341"/>
      <c r="N2717" s="1341"/>
      <c r="O2717" s="1341"/>
      <c r="P2717" s="1341"/>
      <c r="X2717" s="501" t="b">
        <f t="shared" si="234"/>
        <v>1</v>
      </c>
    </row>
    <row r="2718" s="416" customFormat="1" outlineLevel="2" spans="1:24">
      <c r="A2718" s="416" t="s">
        <v>1932</v>
      </c>
      <c r="B2718" s="428" t="s">
        <v>3425</v>
      </c>
      <c r="C2718" s="429" t="str">
        <f t="shared" si="233"/>
        <v>石嘴山市深阳蓝光市政工程有限公司</v>
      </c>
      <c r="D2718" s="1339" t="s">
        <v>1925</v>
      </c>
      <c r="E2718" s="1344" t="s">
        <v>3435</v>
      </c>
      <c r="F2718" s="132"/>
      <c r="G2718" s="477">
        <f>报表附注合并期初用!E2300</f>
        <v>0</v>
      </c>
      <c r="H2718" s="1345" t="str">
        <f>IF(F2718=H1157,"相符","不相符")</f>
        <v>相符</v>
      </c>
      <c r="I2718" s="1345" t="str">
        <f t="shared" si="235"/>
        <v>相符</v>
      </c>
      <c r="J2718" s="1341" t="s">
        <v>1750</v>
      </c>
      <c r="K2718" s="1341"/>
      <c r="L2718" s="1341"/>
      <c r="M2718" s="1341"/>
      <c r="N2718" s="1341"/>
      <c r="O2718" s="1341"/>
      <c r="P2718" s="1341"/>
      <c r="X2718" s="501" t="b">
        <f t="shared" si="234"/>
        <v>1</v>
      </c>
    </row>
    <row r="2719" s="416" customFormat="1" outlineLevel="2" spans="1:24">
      <c r="A2719" s="416" t="s">
        <v>1933</v>
      </c>
      <c r="B2719" s="428" t="s">
        <v>3425</v>
      </c>
      <c r="C2719" s="429" t="str">
        <f t="shared" si="233"/>
        <v>石嘴山市深阳蓝光市政工程有限公司</v>
      </c>
      <c r="D2719" s="1339" t="s">
        <v>1925</v>
      </c>
      <c r="E2719" s="1344" t="s">
        <v>3436</v>
      </c>
      <c r="F2719" s="132"/>
      <c r="G2719" s="477">
        <f>报表附注合并期初用!E2301</f>
        <v>0</v>
      </c>
      <c r="H2719" s="1341"/>
      <c r="I2719" s="1345" t="str">
        <f t="shared" si="235"/>
        <v>相符</v>
      </c>
      <c r="J2719" s="1341" t="s">
        <v>1751</v>
      </c>
      <c r="K2719" s="1341"/>
      <c r="L2719" s="1341"/>
      <c r="M2719" s="1341"/>
      <c r="N2719" s="1341"/>
      <c r="O2719" s="1341"/>
      <c r="P2719" s="1341"/>
      <c r="X2719" s="501" t="b">
        <f t="shared" si="234"/>
        <v>1</v>
      </c>
    </row>
    <row r="2720" s="416" customFormat="1" outlineLevel="2" spans="1:24">
      <c r="A2720" s="416" t="s">
        <v>1934</v>
      </c>
      <c r="B2720" s="428" t="s">
        <v>3425</v>
      </c>
      <c r="C2720" s="429" t="str">
        <f t="shared" si="233"/>
        <v>石嘴山市深阳蓝光市政工程有限公司</v>
      </c>
      <c r="D2720" s="1339" t="s">
        <v>1925</v>
      </c>
      <c r="E2720" s="1344" t="s">
        <v>3437</v>
      </c>
      <c r="F2720" s="132"/>
      <c r="G2720" s="477">
        <f>报表附注合并期初用!E2302</f>
        <v>0</v>
      </c>
      <c r="H2720" s="1345" t="str">
        <f>IF(F2720=G1319,"相符","不相符")</f>
        <v>相符</v>
      </c>
      <c r="I2720" s="1345" t="str">
        <f t="shared" si="235"/>
        <v>相符</v>
      </c>
      <c r="J2720" s="1341" t="s">
        <v>1752</v>
      </c>
      <c r="K2720" s="1341"/>
      <c r="L2720" s="1341"/>
      <c r="M2720" s="1341"/>
      <c r="N2720" s="1341"/>
      <c r="O2720" s="1341"/>
      <c r="P2720" s="1341"/>
      <c r="X2720" s="501" t="b">
        <f t="shared" si="234"/>
        <v>1</v>
      </c>
    </row>
    <row r="2721" s="416" customFormat="1" outlineLevel="2" spans="1:24">
      <c r="A2721" s="416" t="s">
        <v>1935</v>
      </c>
      <c r="B2721" s="428" t="s">
        <v>3425</v>
      </c>
      <c r="C2721" s="429" t="str">
        <f t="shared" si="233"/>
        <v>石嘴山市深阳蓝光市政工程有限公司</v>
      </c>
      <c r="D2721" s="1339" t="s">
        <v>1925</v>
      </c>
      <c r="E2721" s="1344" t="s">
        <v>3438</v>
      </c>
      <c r="F2721" s="132"/>
      <c r="G2721" s="477">
        <f>报表附注合并期初用!E2303</f>
        <v>0</v>
      </c>
      <c r="H2721" s="1345" t="str">
        <f>IF(F2721=G1378,"相符","不相符")</f>
        <v>相符</v>
      </c>
      <c r="I2721" s="1345" t="str">
        <f t="shared" si="235"/>
        <v>相符</v>
      </c>
      <c r="J2721" s="1341" t="s">
        <v>1753</v>
      </c>
      <c r="K2721" s="1341"/>
      <c r="L2721" s="1341"/>
      <c r="M2721" s="1341"/>
      <c r="N2721" s="1341"/>
      <c r="O2721" s="1341"/>
      <c r="P2721" s="1341"/>
      <c r="X2721" s="501" t="b">
        <f t="shared" si="234"/>
        <v>1</v>
      </c>
    </row>
    <row r="2722" s="416" customFormat="1" outlineLevel="2" spans="1:24">
      <c r="A2722" s="416" t="s">
        <v>1936</v>
      </c>
      <c r="B2722" s="428" t="s">
        <v>3425</v>
      </c>
      <c r="C2722" s="429" t="str">
        <f t="shared" ref="C2722:C2756" si="236">$G$1</f>
        <v>石嘴山市深阳蓝光市政工程有限公司</v>
      </c>
      <c r="D2722" s="1339" t="s">
        <v>1925</v>
      </c>
      <c r="E2722" s="1344" t="s">
        <v>3439</v>
      </c>
      <c r="F2722" s="132"/>
      <c r="G2722" s="477">
        <f>报表附注合并期初用!E2304</f>
        <v>0</v>
      </c>
      <c r="H2722" s="1345" t="str">
        <f>IF(F2722=G1403,"相符","不相符")</f>
        <v>相符</v>
      </c>
      <c r="I2722" s="1345" t="str">
        <f>IF(F2722=G1741,"相符","不相符,差异："&amp;(F2722-G1741))</f>
        <v>相符</v>
      </c>
      <c r="J2722" s="1341" t="s">
        <v>959</v>
      </c>
      <c r="K2722" s="1341"/>
      <c r="L2722" s="1341"/>
      <c r="M2722" s="1341"/>
      <c r="N2722" s="1341"/>
      <c r="O2722" s="1341"/>
      <c r="P2722" s="1341"/>
      <c r="X2722" s="501" t="b">
        <f t="shared" ref="X2722:X2756" si="237">EXACT(A2722,E2722)</f>
        <v>1</v>
      </c>
    </row>
    <row r="2723" s="416" customFormat="1" outlineLevel="2" spans="1:24">
      <c r="A2723" s="416" t="s">
        <v>1937</v>
      </c>
      <c r="B2723" s="428" t="s">
        <v>3425</v>
      </c>
      <c r="C2723" s="429" t="str">
        <f t="shared" si="236"/>
        <v>石嘴山市深阳蓝光市政工程有限公司</v>
      </c>
      <c r="D2723" s="1339" t="s">
        <v>1925</v>
      </c>
      <c r="E2723" s="1344" t="s">
        <v>3440</v>
      </c>
      <c r="F2723" s="132"/>
      <c r="G2723" s="477">
        <f>报表附注合并期初用!E2305</f>
        <v>0</v>
      </c>
      <c r="H2723" s="1345" t="str">
        <f>IF(F2723=G1451,"相符","不相符")</f>
        <v>相符</v>
      </c>
      <c r="I2723" s="1345" t="str">
        <f>IF(F2723=G1742,"相符","不相符,差异："&amp;(F2723-G1742))</f>
        <v>相符</v>
      </c>
      <c r="J2723" s="1341" t="s">
        <v>1754</v>
      </c>
      <c r="K2723" s="1341"/>
      <c r="L2723" s="1341"/>
      <c r="M2723" s="1341"/>
      <c r="N2723" s="1341"/>
      <c r="O2723" s="1341"/>
      <c r="P2723" s="1341"/>
      <c r="X2723" s="501" t="b">
        <f t="shared" si="237"/>
        <v>1</v>
      </c>
    </row>
    <row r="2724" s="416" customFormat="1" outlineLevel="2" spans="1:24">
      <c r="A2724" s="416" t="s">
        <v>1938</v>
      </c>
      <c r="B2724" s="428" t="s">
        <v>3425</v>
      </c>
      <c r="C2724" s="429" t="str">
        <f t="shared" si="236"/>
        <v>石嘴山市深阳蓝光市政工程有限公司</v>
      </c>
      <c r="D2724" s="1339" t="s">
        <v>1925</v>
      </c>
      <c r="E2724" s="1344" t="s">
        <v>3441</v>
      </c>
      <c r="F2724" s="132"/>
      <c r="G2724" s="477">
        <f>报表附注合并期初用!E2306</f>
        <v>0</v>
      </c>
      <c r="H2724" s="1345" t="str">
        <f>IF(F2724=G1573,"相符","不相符")</f>
        <v>相符</v>
      </c>
      <c r="I2724" s="1345" t="str">
        <f>IF(F2724=G1743,"相符","不相符,差异："&amp;(F2724-G1743))</f>
        <v>相符</v>
      </c>
      <c r="J2724" s="1341" t="s">
        <v>1755</v>
      </c>
      <c r="K2724" s="1341"/>
      <c r="L2724" s="1341"/>
      <c r="M2724" s="1341"/>
      <c r="N2724" s="1341"/>
      <c r="O2724" s="1341"/>
      <c r="P2724" s="1341"/>
      <c r="X2724" s="501" t="b">
        <f t="shared" si="237"/>
        <v>1</v>
      </c>
    </row>
    <row r="2725" s="416" customFormat="1" outlineLevel="2" spans="1:24">
      <c r="A2725" s="416" t="s">
        <v>1939</v>
      </c>
      <c r="B2725" s="428" t="s">
        <v>3425</v>
      </c>
      <c r="C2725" s="429" t="str">
        <f t="shared" si="236"/>
        <v>石嘴山市深阳蓝光市政工程有限公司</v>
      </c>
      <c r="D2725" s="1339" t="s">
        <v>1925</v>
      </c>
      <c r="E2725" s="1344" t="s">
        <v>3442</v>
      </c>
      <c r="F2725" s="132"/>
      <c r="G2725" s="477">
        <f>报表附注合并期初用!E2307</f>
        <v>0</v>
      </c>
      <c r="H2725" s="451"/>
      <c r="I2725" s="1345" t="str">
        <f>IF(F2725=G1744,"相符","不相符,差异："&amp;(F2725-G1744))</f>
        <v>相符</v>
      </c>
      <c r="J2725" s="1341" t="s">
        <v>1756</v>
      </c>
      <c r="K2725" s="1341"/>
      <c r="L2725" s="1341"/>
      <c r="M2725" s="1341"/>
      <c r="N2725" s="1341"/>
      <c r="O2725" s="1341"/>
      <c r="P2725" s="1341"/>
      <c r="X2725" s="501" t="b">
        <f t="shared" si="237"/>
        <v>1</v>
      </c>
    </row>
    <row r="2726" s="416" customFormat="1" outlineLevel="2" spans="1:24">
      <c r="A2726" s="416" t="s">
        <v>346</v>
      </c>
      <c r="B2726" s="428" t="s">
        <v>3425</v>
      </c>
      <c r="C2726" s="429" t="str">
        <f t="shared" si="236"/>
        <v>石嘴山市深阳蓝光市政工程有限公司</v>
      </c>
      <c r="D2726" s="1339" t="s">
        <v>1925</v>
      </c>
      <c r="E2726" s="1342" t="s">
        <v>3187</v>
      </c>
      <c r="F2726" s="565">
        <f>SUM(F2712:F2725)</f>
        <v>0</v>
      </c>
      <c r="G2726" s="565">
        <f>SUM(G2712:G2725)</f>
        <v>0</v>
      </c>
      <c r="H2726" s="451"/>
      <c r="I2726" s="1341"/>
      <c r="J2726" s="1341" t="s">
        <v>279</v>
      </c>
      <c r="K2726" s="1341"/>
      <c r="L2726" s="1341"/>
      <c r="M2726" s="1341"/>
      <c r="N2726" s="1341"/>
      <c r="O2726" s="1341"/>
      <c r="P2726" s="1341"/>
      <c r="X2726" s="501" t="b">
        <f t="shared" si="237"/>
        <v>1</v>
      </c>
    </row>
    <row r="2727" s="416" customFormat="1" outlineLevel="2" spans="1:24">
      <c r="A2727" s="416" t="s">
        <v>1444</v>
      </c>
      <c r="B2727" s="428" t="s">
        <v>3425</v>
      </c>
      <c r="C2727" s="429" t="str">
        <f t="shared" si="236"/>
        <v>石嘴山市深阳蓝光市政工程有限公司</v>
      </c>
      <c r="D2727" s="1339" t="s">
        <v>1925</v>
      </c>
      <c r="E2727" s="1322" t="s">
        <v>1444</v>
      </c>
      <c r="F2727" s="566">
        <f>审定利润表!C12</f>
        <v>0</v>
      </c>
      <c r="G2727" s="566">
        <f>审定利润表!D12</f>
        <v>0</v>
      </c>
      <c r="H2727" s="1341"/>
      <c r="I2727" s="1341"/>
      <c r="J2727" s="1341"/>
      <c r="K2727" s="1341"/>
      <c r="L2727" s="1341"/>
      <c r="M2727" s="1341"/>
      <c r="N2727" s="1341"/>
      <c r="O2727" s="1341"/>
      <c r="X2727" s="501" t="b">
        <f t="shared" si="237"/>
        <v>1</v>
      </c>
    </row>
    <row r="2728" s="416" customFormat="1" outlineLevel="1" collapsed="1" spans="1:24">
      <c r="A2728" s="416" t="s">
        <v>1394</v>
      </c>
      <c r="B2728" s="428" t="s">
        <v>3425</v>
      </c>
      <c r="C2728" s="429" t="str">
        <f t="shared" si="236"/>
        <v>石嘴山市深阳蓝光市政工程有限公司</v>
      </c>
      <c r="D2728" s="1339" t="s">
        <v>1925</v>
      </c>
      <c r="E2728" s="1322" t="s">
        <v>1394</v>
      </c>
      <c r="F2728" s="721">
        <f>ROUND(F2726-F2727,2)</f>
        <v>0</v>
      </c>
      <c r="G2728" s="721">
        <f>ROUND(G2726-G2727,2)</f>
        <v>0</v>
      </c>
      <c r="H2728" s="1341"/>
      <c r="I2728" s="1341"/>
      <c r="J2728" s="1341"/>
      <c r="K2728" s="1341"/>
      <c r="L2728" s="1341"/>
      <c r="M2728" s="1341"/>
      <c r="N2728" s="1341"/>
      <c r="O2728" s="1341"/>
      <c r="X2728" s="501" t="b">
        <f t="shared" si="237"/>
        <v>1</v>
      </c>
    </row>
    <row r="2729" s="416" customFormat="1" hidden="1" outlineLevel="2" spans="2:24">
      <c r="B2729" s="428" t="s">
        <v>3425</v>
      </c>
      <c r="C2729" s="429" t="str">
        <f t="shared" si="236"/>
        <v>石嘴山市深阳蓝光市政工程有限公司</v>
      </c>
      <c r="D2729" s="1339" t="s">
        <v>1925</v>
      </c>
      <c r="E2729" s="1346"/>
      <c r="F2729" s="451"/>
      <c r="G2729" s="451"/>
      <c r="H2729" s="1341"/>
      <c r="I2729" s="1341"/>
      <c r="J2729" s="1341"/>
      <c r="K2729" s="1341"/>
      <c r="L2729" s="1341"/>
      <c r="M2729" s="1341"/>
      <c r="N2729" s="1341"/>
      <c r="O2729" s="1341"/>
      <c r="X2729" s="501" t="b">
        <f t="shared" si="237"/>
        <v>1</v>
      </c>
    </row>
    <row r="2730" s="416" customFormat="1" hidden="1" outlineLevel="2" spans="1:24">
      <c r="A2730" s="416" t="s">
        <v>3443</v>
      </c>
      <c r="B2730" s="428" t="s">
        <v>3425</v>
      </c>
      <c r="C2730" s="429" t="str">
        <f t="shared" si="236"/>
        <v>石嘴山市深阳蓝光市政工程有限公司</v>
      </c>
      <c r="D2730" s="1339" t="s">
        <v>3443</v>
      </c>
      <c r="E2730" s="149" t="s">
        <v>3444</v>
      </c>
      <c r="F2730" s="451"/>
      <c r="G2730" s="451"/>
      <c r="H2730" s="1341"/>
      <c r="I2730" s="1341"/>
      <c r="J2730" s="1341"/>
      <c r="K2730" s="1341"/>
      <c r="L2730" s="1341"/>
      <c r="M2730" s="1341"/>
      <c r="N2730" s="1341"/>
      <c r="O2730" s="1341"/>
      <c r="X2730" s="501" t="b">
        <f t="shared" si="237"/>
        <v>1</v>
      </c>
    </row>
    <row r="2731" s="416" customFormat="1" hidden="1" outlineLevel="2" spans="1:24">
      <c r="A2731" s="416" t="s">
        <v>2315</v>
      </c>
      <c r="B2731" s="428" t="s">
        <v>3425</v>
      </c>
      <c r="C2731" s="429" t="str">
        <f t="shared" si="236"/>
        <v>石嘴山市深阳蓝光市政工程有限公司</v>
      </c>
      <c r="D2731" s="1339" t="s">
        <v>3443</v>
      </c>
      <c r="E2731" s="149" t="s">
        <v>2334</v>
      </c>
      <c r="F2731" s="471"/>
      <c r="G2731" s="471"/>
      <c r="H2731" s="1341"/>
      <c r="I2731" s="1341"/>
      <c r="J2731" s="1341"/>
      <c r="K2731" s="1341"/>
      <c r="L2731" s="1341"/>
      <c r="M2731" s="1341"/>
      <c r="N2731" s="1341"/>
      <c r="O2731" s="1341"/>
      <c r="X2731" s="501" t="b">
        <f t="shared" si="237"/>
        <v>1</v>
      </c>
    </row>
    <row r="2732" spans="1:24">
      <c r="A2732" s="85" t="s">
        <v>1940</v>
      </c>
      <c r="B2732" s="421" t="s">
        <v>3445</v>
      </c>
      <c r="C2732" s="429" t="str">
        <f t="shared" si="236"/>
        <v>石嘴山市深阳蓝光市政工程有限公司</v>
      </c>
      <c r="D2732" s="423" t="s">
        <v>1940</v>
      </c>
      <c r="E2732" s="65" t="s">
        <v>3446</v>
      </c>
      <c r="G2732" s="1118" t="s">
        <v>3326</v>
      </c>
      <c r="X2732" s="501" t="b">
        <f t="shared" si="237"/>
        <v>1</v>
      </c>
    </row>
    <row r="2733" outlineLevel="2" spans="1:24">
      <c r="A2733" s="85" t="s">
        <v>60</v>
      </c>
      <c r="B2733" s="421" t="s">
        <v>3445</v>
      </c>
      <c r="C2733" s="429" t="str">
        <f t="shared" si="236"/>
        <v>石嘴山市深阳蓝光市政工程有限公司</v>
      </c>
      <c r="D2733" s="484" t="s">
        <v>1940</v>
      </c>
      <c r="E2733" s="1347" t="s">
        <v>60</v>
      </c>
      <c r="F2733" s="1347" t="s">
        <v>1906</v>
      </c>
      <c r="G2733" s="1347" t="s">
        <v>1910</v>
      </c>
      <c r="H2733" s="1347" t="s">
        <v>3447</v>
      </c>
      <c r="I2733" s="1347" t="s">
        <v>3448</v>
      </c>
      <c r="J2733" s="1355" t="s">
        <v>3449</v>
      </c>
      <c r="K2733" s="1347" t="s">
        <v>279</v>
      </c>
      <c r="X2733" s="501" t="b">
        <f t="shared" si="237"/>
        <v>1</v>
      </c>
    </row>
    <row r="2734" outlineLevel="2" spans="1:24">
      <c r="A2734" s="85" t="s">
        <v>1283</v>
      </c>
      <c r="B2734" s="421" t="s">
        <v>3445</v>
      </c>
      <c r="C2734" s="429" t="str">
        <f t="shared" si="236"/>
        <v>石嘴山市深阳蓝光市政工程有限公司</v>
      </c>
      <c r="D2734" s="484" t="s">
        <v>1940</v>
      </c>
      <c r="E2734" s="1162" t="s">
        <v>1283</v>
      </c>
      <c r="F2734" s="477">
        <f>ROUND(H2734+I2734+J2734+K2734,2)</f>
        <v>0</v>
      </c>
      <c r="G2734" s="477">
        <f>报表附注合并期初用!E2326</f>
        <v>0</v>
      </c>
      <c r="H2734" s="496"/>
      <c r="I2734" s="496"/>
      <c r="J2734" s="661"/>
      <c r="K2734" s="496"/>
      <c r="X2734" s="501" t="b">
        <f t="shared" si="237"/>
        <v>1</v>
      </c>
    </row>
    <row r="2735" outlineLevel="2" spans="1:24">
      <c r="A2735" s="85" t="s">
        <v>1941</v>
      </c>
      <c r="B2735" s="421" t="s">
        <v>3445</v>
      </c>
      <c r="C2735" s="429" t="str">
        <f t="shared" si="236"/>
        <v>石嘴山市深阳蓝光市政工程有限公司</v>
      </c>
      <c r="D2735" s="484" t="s">
        <v>1940</v>
      </c>
      <c r="E2735" s="1162" t="s">
        <v>1941</v>
      </c>
      <c r="F2735" s="477">
        <f>ROUND(H2735+I2735+J2735+K2735,2)</f>
        <v>0</v>
      </c>
      <c r="G2735" s="477">
        <f>报表附注合并期初用!E2327</f>
        <v>0</v>
      </c>
      <c r="H2735" s="496"/>
      <c r="I2735" s="496"/>
      <c r="J2735" s="547"/>
      <c r="K2735" s="496"/>
      <c r="X2735" s="501" t="b">
        <f t="shared" si="237"/>
        <v>1</v>
      </c>
    </row>
    <row r="2736" outlineLevel="2" spans="1:24">
      <c r="A2736" s="85" t="s">
        <v>1942</v>
      </c>
      <c r="B2736" s="421" t="s">
        <v>3445</v>
      </c>
      <c r="C2736" s="429" t="str">
        <f t="shared" si="236"/>
        <v>石嘴山市深阳蓝光市政工程有限公司</v>
      </c>
      <c r="D2736" s="484" t="s">
        <v>1940</v>
      </c>
      <c r="E2736" s="1162" t="s">
        <v>1942</v>
      </c>
      <c r="F2736" s="897"/>
      <c r="G2736" s="477">
        <f>报表附注合并期初用!E2328</f>
        <v>0</v>
      </c>
      <c r="H2736" s="1347"/>
      <c r="I2736" s="1347"/>
      <c r="J2736" s="1347"/>
      <c r="K2736" s="1347"/>
      <c r="X2736" s="501" t="b">
        <f t="shared" si="237"/>
        <v>1</v>
      </c>
    </row>
    <row r="2737" outlineLevel="2" spans="1:24">
      <c r="A2737" s="85" t="s">
        <v>1943</v>
      </c>
      <c r="B2737" s="421" t="s">
        <v>3445</v>
      </c>
      <c r="C2737" s="429" t="str">
        <f t="shared" si="236"/>
        <v>石嘴山市深阳蓝光市政工程有限公司</v>
      </c>
      <c r="D2737" s="484" t="s">
        <v>1940</v>
      </c>
      <c r="E2737" s="1162" t="s">
        <v>1943</v>
      </c>
      <c r="F2737" s="135">
        <f>SUM(F2738:F2744)</f>
        <v>0</v>
      </c>
      <c r="G2737" s="477">
        <f>SUM(G2738:G2744)</f>
        <v>0</v>
      </c>
      <c r="H2737" s="1347"/>
      <c r="I2737" s="1347"/>
      <c r="J2737" s="1347"/>
      <c r="K2737" s="1347"/>
      <c r="X2737" s="501" t="b">
        <f t="shared" si="237"/>
        <v>1</v>
      </c>
    </row>
    <row r="2738" outlineLevel="2" spans="1:24">
      <c r="A2738" s="85" t="s">
        <v>1944</v>
      </c>
      <c r="B2738" s="421" t="s">
        <v>3445</v>
      </c>
      <c r="C2738" s="429" t="str">
        <f t="shared" si="236"/>
        <v>石嘴山市深阳蓝光市政工程有限公司</v>
      </c>
      <c r="D2738" s="484" t="s">
        <v>1940</v>
      </c>
      <c r="E2738" s="1162" t="s">
        <v>3450</v>
      </c>
      <c r="F2738" s="132"/>
      <c r="G2738" s="477">
        <f>报表附注合并期初用!E2330</f>
        <v>0</v>
      </c>
      <c r="H2738" s="1347"/>
      <c r="I2738" s="1347"/>
      <c r="J2738" s="1347"/>
      <c r="K2738" s="1347"/>
      <c r="X2738" s="501" t="b">
        <f t="shared" si="237"/>
        <v>1</v>
      </c>
    </row>
    <row r="2739" outlineLevel="2" spans="1:24">
      <c r="A2739" s="85" t="s">
        <v>1945</v>
      </c>
      <c r="B2739" s="421" t="s">
        <v>3445</v>
      </c>
      <c r="C2739" s="429" t="str">
        <f t="shared" si="236"/>
        <v>石嘴山市深阳蓝光市政工程有限公司</v>
      </c>
      <c r="D2739" s="484" t="s">
        <v>1940</v>
      </c>
      <c r="E2739" s="1162" t="s">
        <v>3451</v>
      </c>
      <c r="F2739" s="132"/>
      <c r="G2739" s="477">
        <f>报表附注合并期初用!E2331</f>
        <v>0</v>
      </c>
      <c r="H2739" s="1347"/>
      <c r="I2739" s="1347"/>
      <c r="J2739" s="1347"/>
      <c r="K2739" s="1347"/>
      <c r="X2739" s="501" t="b">
        <f t="shared" si="237"/>
        <v>1</v>
      </c>
    </row>
    <row r="2740" outlineLevel="2" spans="1:24">
      <c r="A2740" s="85" t="s">
        <v>1946</v>
      </c>
      <c r="B2740" s="421" t="s">
        <v>3445</v>
      </c>
      <c r="C2740" s="429" t="str">
        <f t="shared" si="236"/>
        <v>石嘴山市深阳蓝光市政工程有限公司</v>
      </c>
      <c r="D2740" s="484" t="s">
        <v>1940</v>
      </c>
      <c r="E2740" s="1162" t="s">
        <v>3452</v>
      </c>
      <c r="F2740" s="132"/>
      <c r="G2740" s="477">
        <f>报表附注合并期初用!E2332</f>
        <v>0</v>
      </c>
      <c r="H2740" s="1347"/>
      <c r="I2740" s="1347"/>
      <c r="J2740" s="1347"/>
      <c r="K2740" s="1347"/>
      <c r="X2740" s="501" t="b">
        <f t="shared" si="237"/>
        <v>1</v>
      </c>
    </row>
    <row r="2741" outlineLevel="2" spans="1:24">
      <c r="A2741" s="85" t="s">
        <v>1947</v>
      </c>
      <c r="B2741" s="421" t="s">
        <v>3445</v>
      </c>
      <c r="C2741" s="429" t="str">
        <f t="shared" si="236"/>
        <v>石嘴山市深阳蓝光市政工程有限公司</v>
      </c>
      <c r="D2741" s="484" t="s">
        <v>1940</v>
      </c>
      <c r="E2741" s="1162" t="s">
        <v>3453</v>
      </c>
      <c r="F2741" s="132"/>
      <c r="G2741" s="477">
        <f>报表附注合并期初用!E2333</f>
        <v>0</v>
      </c>
      <c r="H2741" s="1347"/>
      <c r="I2741" s="1347"/>
      <c r="J2741" s="1347"/>
      <c r="K2741" s="1347"/>
      <c r="X2741" s="501" t="b">
        <f t="shared" si="237"/>
        <v>1</v>
      </c>
    </row>
    <row r="2742" outlineLevel="2" spans="1:24">
      <c r="A2742" s="85" t="s">
        <v>1948</v>
      </c>
      <c r="B2742" s="421" t="s">
        <v>3445</v>
      </c>
      <c r="C2742" s="429" t="str">
        <f t="shared" si="236"/>
        <v>石嘴山市深阳蓝光市政工程有限公司</v>
      </c>
      <c r="D2742" s="484" t="s">
        <v>1940</v>
      </c>
      <c r="E2742" s="1162" t="s">
        <v>3454</v>
      </c>
      <c r="F2742" s="132"/>
      <c r="G2742" s="477">
        <f>报表附注合并期初用!E2334</f>
        <v>0</v>
      </c>
      <c r="H2742" s="1347"/>
      <c r="I2742" s="1347"/>
      <c r="J2742" s="1347"/>
      <c r="K2742" s="1347"/>
      <c r="X2742" s="501" t="b">
        <f t="shared" si="237"/>
        <v>1</v>
      </c>
    </row>
    <row r="2743" outlineLevel="2" spans="1:24">
      <c r="A2743" s="85" t="s">
        <v>1949</v>
      </c>
      <c r="B2743" s="421" t="s">
        <v>3445</v>
      </c>
      <c r="C2743" s="429" t="str">
        <f t="shared" si="236"/>
        <v>石嘴山市深阳蓝光市政工程有限公司</v>
      </c>
      <c r="D2743" s="484" t="s">
        <v>1940</v>
      </c>
      <c r="E2743" s="1348" t="s">
        <v>3455</v>
      </c>
      <c r="F2743" s="132"/>
      <c r="G2743" s="477">
        <f>报表附注合并期初用!E2335</f>
        <v>0</v>
      </c>
      <c r="H2743" s="1347"/>
      <c r="I2743" s="1347"/>
      <c r="J2743" s="1347"/>
      <c r="K2743" s="1347"/>
      <c r="X2743" s="501" t="b">
        <f t="shared" si="237"/>
        <v>0</v>
      </c>
    </row>
    <row r="2744" outlineLevel="2" spans="1:24">
      <c r="A2744" s="85" t="s">
        <v>1950</v>
      </c>
      <c r="B2744" s="421" t="s">
        <v>3445</v>
      </c>
      <c r="C2744" s="429" t="str">
        <f t="shared" si="236"/>
        <v>石嘴山市深阳蓝光市政工程有限公司</v>
      </c>
      <c r="D2744" s="484" t="s">
        <v>1940</v>
      </c>
      <c r="E2744" s="1348" t="s">
        <v>3456</v>
      </c>
      <c r="F2744" s="132"/>
      <c r="G2744" s="477">
        <f>报表附注合并期初用!E2336</f>
        <v>0</v>
      </c>
      <c r="H2744" s="1347"/>
      <c r="I2744" s="1347"/>
      <c r="J2744" s="1347"/>
      <c r="K2744" s="1347"/>
      <c r="X2744" s="501" t="b">
        <f t="shared" si="237"/>
        <v>1</v>
      </c>
    </row>
    <row r="2745" outlineLevel="2" spans="1:24">
      <c r="A2745" s="85" t="s">
        <v>279</v>
      </c>
      <c r="B2745" s="421" t="s">
        <v>3445</v>
      </c>
      <c r="C2745" s="429" t="str">
        <f t="shared" si="236"/>
        <v>石嘴山市深阳蓝光市政工程有限公司</v>
      </c>
      <c r="D2745" s="484" t="s">
        <v>1940</v>
      </c>
      <c r="E2745" s="1162" t="s">
        <v>279</v>
      </c>
      <c r="F2745" s="477">
        <f>ROUND(H2745+I2745+J2745+K2745,2)</f>
        <v>0</v>
      </c>
      <c r="G2745" s="477">
        <f>报表附注合并期初用!E2337</f>
        <v>0</v>
      </c>
      <c r="H2745" s="1347"/>
      <c r="I2745" s="1347"/>
      <c r="J2745" s="1356"/>
      <c r="K2745" s="1356"/>
      <c r="X2745" s="501" t="b">
        <f t="shared" si="237"/>
        <v>1</v>
      </c>
    </row>
    <row r="2746" outlineLevel="2" spans="1:24">
      <c r="A2746" s="85" t="s">
        <v>1580</v>
      </c>
      <c r="B2746" s="421" t="s">
        <v>3445</v>
      </c>
      <c r="C2746" s="429" t="str">
        <f t="shared" si="236"/>
        <v>石嘴山市深阳蓝光市政工程有限公司</v>
      </c>
      <c r="D2746" s="484" t="s">
        <v>1940</v>
      </c>
      <c r="E2746" s="1162" t="s">
        <v>1580</v>
      </c>
      <c r="F2746" s="1349">
        <f>SUM(F2734:F2737,F2745)</f>
        <v>0</v>
      </c>
      <c r="G2746" s="1349">
        <f>SUM(G2734:G2737,G2745)</f>
        <v>0</v>
      </c>
      <c r="H2746" s="1347"/>
      <c r="I2746" s="1347"/>
      <c r="J2746" s="1347"/>
      <c r="K2746" s="1347"/>
      <c r="X2746" s="501" t="b">
        <f t="shared" si="237"/>
        <v>1</v>
      </c>
    </row>
    <row r="2747" outlineLevel="2" spans="1:24">
      <c r="A2747" s="85" t="s">
        <v>1444</v>
      </c>
      <c r="B2747" s="421" t="s">
        <v>3445</v>
      </c>
      <c r="C2747" s="429" t="str">
        <f t="shared" si="236"/>
        <v>石嘴山市深阳蓝光市政工程有限公司</v>
      </c>
      <c r="D2747" s="484" t="s">
        <v>1940</v>
      </c>
      <c r="E2747" s="1322" t="s">
        <v>1444</v>
      </c>
      <c r="F2747" s="1350">
        <f>审定利润表!C11</f>
        <v>0</v>
      </c>
      <c r="G2747" s="1350">
        <f>审定利润表!D11</f>
        <v>0</v>
      </c>
      <c r="X2747" s="501" t="b">
        <f t="shared" si="237"/>
        <v>1</v>
      </c>
    </row>
    <row r="2748" outlineLevel="1" spans="1:24">
      <c r="A2748" s="85" t="s">
        <v>1394</v>
      </c>
      <c r="B2748" s="421" t="s">
        <v>3445</v>
      </c>
      <c r="C2748" s="429" t="str">
        <f t="shared" si="236"/>
        <v>石嘴山市深阳蓝光市政工程有限公司</v>
      </c>
      <c r="D2748" s="484" t="s">
        <v>1940</v>
      </c>
      <c r="E2748" s="1322" t="s">
        <v>1394</v>
      </c>
      <c r="F2748" s="721">
        <f>ROUND(F2746-F2747,2)</f>
        <v>0</v>
      </c>
      <c r="G2748" s="721">
        <f>ROUND(G2746-G2747,2)</f>
        <v>0</v>
      </c>
      <c r="X2748" s="501" t="b">
        <f t="shared" si="237"/>
        <v>1</v>
      </c>
    </row>
    <row r="2749" outlineLevel="2" spans="2:24">
      <c r="B2749" s="421" t="s">
        <v>3445</v>
      </c>
      <c r="C2749" s="429" t="str">
        <f t="shared" si="236"/>
        <v>石嘴山市深阳蓝光市政工程有限公司</v>
      </c>
      <c r="D2749" s="484" t="s">
        <v>1940</v>
      </c>
      <c r="E2749" s="1351"/>
      <c r="F2749" s="1352"/>
      <c r="G2749" s="1352"/>
      <c r="X2749" s="501" t="b">
        <f t="shared" si="237"/>
        <v>1</v>
      </c>
    </row>
    <row r="2750" s="416" customFormat="1" outlineLevel="2" spans="1:24">
      <c r="A2750" s="416" t="s">
        <v>3457</v>
      </c>
      <c r="B2750" s="421" t="s">
        <v>3445</v>
      </c>
      <c r="C2750" s="429" t="str">
        <f t="shared" si="236"/>
        <v>石嘴山市深阳蓝光市政工程有限公司</v>
      </c>
      <c r="D2750" s="1339" t="s">
        <v>3457</v>
      </c>
      <c r="E2750" s="149" t="s">
        <v>3458</v>
      </c>
      <c r="F2750" s="451"/>
      <c r="G2750" s="451"/>
      <c r="H2750" s="1341"/>
      <c r="I2750" s="1341"/>
      <c r="J2750" s="1341"/>
      <c r="K2750" s="1341"/>
      <c r="L2750" s="1341"/>
      <c r="M2750" s="1341"/>
      <c r="N2750" s="1341"/>
      <c r="O2750" s="1341"/>
      <c r="X2750" s="501" t="b">
        <f t="shared" si="237"/>
        <v>1</v>
      </c>
    </row>
    <row r="2751" s="416" customFormat="1" outlineLevel="2" spans="1:24">
      <c r="A2751" s="416" t="s">
        <v>2315</v>
      </c>
      <c r="B2751" s="421" t="s">
        <v>3445</v>
      </c>
      <c r="C2751" s="429" t="str">
        <f t="shared" si="236"/>
        <v>石嘴山市深阳蓝光市政工程有限公司</v>
      </c>
      <c r="D2751" s="1339" t="s">
        <v>3457</v>
      </c>
      <c r="E2751" s="149" t="s">
        <v>2334</v>
      </c>
      <c r="F2751" s="471"/>
      <c r="G2751" s="471"/>
      <c r="H2751" s="1341"/>
      <c r="I2751" s="1341"/>
      <c r="J2751" s="1341"/>
      <c r="K2751" s="1341"/>
      <c r="L2751" s="1341"/>
      <c r="M2751" s="1341"/>
      <c r="N2751" s="1341"/>
      <c r="O2751" s="1341"/>
      <c r="X2751" s="501" t="b">
        <f t="shared" si="237"/>
        <v>1</v>
      </c>
    </row>
    <row r="2752" s="416" customFormat="1" ht="14.25" outlineLevel="2" spans="1:24">
      <c r="A2752" s="416" t="s">
        <v>1997</v>
      </c>
      <c r="B2752" s="1353" t="s">
        <v>3459</v>
      </c>
      <c r="C2752" s="429" t="str">
        <f t="shared" si="236"/>
        <v>石嘴山市深阳蓝光市政工程有限公司</v>
      </c>
      <c r="D2752" s="1339" t="s">
        <v>3460</v>
      </c>
      <c r="E2752" s="937" t="s">
        <v>3461</v>
      </c>
      <c r="F2752" s="1354" t="s">
        <v>3462</v>
      </c>
      <c r="G2752" s="937"/>
      <c r="H2752" s="1341"/>
      <c r="I2752" s="1341"/>
      <c r="J2752" s="1341"/>
      <c r="K2752" s="1341"/>
      <c r="L2752" s="1341"/>
      <c r="M2752" s="1341"/>
      <c r="N2752" s="1341"/>
      <c r="O2752" s="1341"/>
      <c r="X2752" s="501" t="b">
        <f t="shared" si="237"/>
        <v>0</v>
      </c>
    </row>
    <row r="2753" s="416" customFormat="1" outlineLevel="2" spans="1:24">
      <c r="A2753" s="416" t="s">
        <v>60</v>
      </c>
      <c r="B2753" s="1353" t="s">
        <v>3459</v>
      </c>
      <c r="C2753" s="429" t="str">
        <f t="shared" si="236"/>
        <v>石嘴山市深阳蓝光市政工程有限公司</v>
      </c>
      <c r="D2753" s="1339" t="s">
        <v>1997</v>
      </c>
      <c r="E2753" s="1347" t="s">
        <v>60</v>
      </c>
      <c r="F2753" s="1347" t="s">
        <v>1906</v>
      </c>
      <c r="G2753" s="1347" t="s">
        <v>1910</v>
      </c>
      <c r="H2753" s="1347" t="s">
        <v>3463</v>
      </c>
      <c r="I2753" s="1347" t="s">
        <v>2243</v>
      </c>
      <c r="J2753" s="1347" t="s">
        <v>3405</v>
      </c>
      <c r="K2753" s="1341"/>
      <c r="L2753" s="1341"/>
      <c r="M2753" s="1341"/>
      <c r="N2753" s="1341"/>
      <c r="O2753" s="1341"/>
      <c r="X2753" s="501" t="b">
        <f t="shared" si="237"/>
        <v>1</v>
      </c>
    </row>
    <row r="2754" s="416" customFormat="1" outlineLevel="2" spans="1:24">
      <c r="A2754" s="416" t="s">
        <v>3464</v>
      </c>
      <c r="B2754" s="1353" t="s">
        <v>3459</v>
      </c>
      <c r="C2754" s="429" t="str">
        <f t="shared" si="236"/>
        <v>石嘴山市深阳蓝光市政工程有限公司</v>
      </c>
      <c r="D2754" s="1339" t="s">
        <v>1997</v>
      </c>
      <c r="E2754" s="1357" t="s">
        <v>206</v>
      </c>
      <c r="F2754" s="1358">
        <f>SUM(F2755:F2764)</f>
        <v>0</v>
      </c>
      <c r="G2754" s="1358">
        <f>SUM(G2755:G2764)</f>
        <v>0</v>
      </c>
      <c r="H2754" s="1359">
        <f>F2754-G2754</f>
        <v>0</v>
      </c>
      <c r="I2754" s="653">
        <f>IFERROR(H2754/G2754,0)</f>
        <v>0</v>
      </c>
      <c r="J2754" s="1364"/>
      <c r="K2754" s="1341"/>
      <c r="L2754" s="1341"/>
      <c r="M2754" s="1341"/>
      <c r="N2754" s="1341"/>
      <c r="O2754" s="1341"/>
      <c r="X2754" s="501" t="b">
        <f t="shared" si="237"/>
        <v>0</v>
      </c>
    </row>
    <row r="2755" s="416" customFormat="1" outlineLevel="2" spans="1:24">
      <c r="A2755" s="416" t="s">
        <v>3465</v>
      </c>
      <c r="B2755" s="1353" t="s">
        <v>3459</v>
      </c>
      <c r="C2755" s="429" t="str">
        <f t="shared" si="236"/>
        <v>石嘴山市深阳蓝光市政工程有限公司</v>
      </c>
      <c r="D2755" s="1339" t="s">
        <v>1997</v>
      </c>
      <c r="E2755" s="1359" t="s">
        <v>3466</v>
      </c>
      <c r="F2755" s="1359">
        <f>'1.管理费用'!H5+'1.管理费用'!H6+'1.管理费用'!H47+'1.管理费用'!H48</f>
        <v>0</v>
      </c>
      <c r="G2755" s="1359">
        <f>'1.管理费用'!I5+'1.管理费用'!I6+'1.管理费用'!I47+'1.管理费用'!I48</f>
        <v>0</v>
      </c>
      <c r="H2755" s="1359">
        <f t="shared" ref="H2755:H2818" si="238">F2755-G2755</f>
        <v>0</v>
      </c>
      <c r="I2755" s="653">
        <f t="shared" ref="I2755:I2818" si="239">IFERROR(H2755/G2755,0)</f>
        <v>0</v>
      </c>
      <c r="J2755" s="1364"/>
      <c r="K2755" s="1365" t="str">
        <f>'1.管理费用'!F4</f>
        <v>  职工薪酬</v>
      </c>
      <c r="L2755" s="1341"/>
      <c r="M2755" s="1341"/>
      <c r="N2755" s="1341"/>
      <c r="O2755" s="1341"/>
      <c r="X2755" s="501" t="b">
        <f t="shared" si="237"/>
        <v>0</v>
      </c>
    </row>
    <row r="2756" s="416" customFormat="1" outlineLevel="2" spans="1:24">
      <c r="A2756" s="416" t="s">
        <v>3467</v>
      </c>
      <c r="B2756" s="1353" t="s">
        <v>3459</v>
      </c>
      <c r="C2756" s="429" t="str">
        <f t="shared" si="236"/>
        <v>石嘴山市深阳蓝光市政工程有限公司</v>
      </c>
      <c r="D2756" s="1339" t="s">
        <v>1997</v>
      </c>
      <c r="E2756" s="1359" t="s">
        <v>3468</v>
      </c>
      <c r="F2756" s="1359">
        <f>'1.管理费用'!H9+'1.管理费用'!H51</f>
        <v>0</v>
      </c>
      <c r="G2756" s="1359">
        <f>'1.管理费用'!I9+'1.管理费用'!I51</f>
        <v>0</v>
      </c>
      <c r="H2756" s="1359">
        <f t="shared" si="238"/>
        <v>0</v>
      </c>
      <c r="I2756" s="653">
        <f t="shared" si="239"/>
        <v>0</v>
      </c>
      <c r="J2756" s="1364"/>
      <c r="K2756" s="1365" t="str">
        <f>'1.管理费用'!F5</f>
        <v>    工资</v>
      </c>
      <c r="L2756" s="1341"/>
      <c r="M2756" s="1341"/>
      <c r="N2756" s="1341"/>
      <c r="O2756" s="1341"/>
      <c r="X2756" s="501" t="b">
        <f t="shared" si="237"/>
        <v>0</v>
      </c>
    </row>
    <row r="2757" s="416" customFormat="1" outlineLevel="2" spans="2:24">
      <c r="B2757" s="1353"/>
      <c r="C2757" s="479"/>
      <c r="D2757" s="1339"/>
      <c r="E2757" s="1359" t="s">
        <v>3469</v>
      </c>
      <c r="F2757" s="1359">
        <f>'1.管理费用'!H7+'1.管理费用'!H49</f>
        <v>0</v>
      </c>
      <c r="G2757" s="1359">
        <f>'1.管理费用'!I7+'1.管理费用'!I49</f>
        <v>0</v>
      </c>
      <c r="H2757" s="1359">
        <f t="shared" si="238"/>
        <v>0</v>
      </c>
      <c r="I2757" s="653">
        <f t="shared" si="239"/>
        <v>0</v>
      </c>
      <c r="J2757" s="1364"/>
      <c r="K2757" s="1365" t="str">
        <f>'1.管理费用'!F6</f>
        <v>    奖金</v>
      </c>
      <c r="L2757" s="1341"/>
      <c r="M2757" s="1341"/>
      <c r="N2757" s="1341"/>
      <c r="O2757" s="1341"/>
      <c r="X2757" s="420"/>
    </row>
    <row r="2758" s="416" customFormat="1" outlineLevel="2" spans="2:24">
      <c r="B2758" s="1353"/>
      <c r="C2758" s="479"/>
      <c r="D2758" s="1339"/>
      <c r="E2758" s="1359" t="s">
        <v>3470</v>
      </c>
      <c r="F2758" s="1359">
        <f>'1.管理费用'!H8+'1.管理费用'!H50</f>
        <v>0</v>
      </c>
      <c r="G2758" s="1359">
        <f>'1.管理费用'!I8+'1.管理费用'!I50</f>
        <v>0</v>
      </c>
      <c r="H2758" s="1359">
        <f t="shared" si="238"/>
        <v>0</v>
      </c>
      <c r="I2758" s="653">
        <f t="shared" si="239"/>
        <v>0</v>
      </c>
      <c r="J2758" s="1364"/>
      <c r="K2758" s="1365" t="str">
        <f>'1.管理费用'!F7</f>
        <v>    劳动保险费</v>
      </c>
      <c r="L2758" s="1341"/>
      <c r="M2758" s="1341"/>
      <c r="N2758" s="1341"/>
      <c r="O2758" s="1341"/>
      <c r="X2758" s="420"/>
    </row>
    <row r="2759" s="416" customFormat="1" outlineLevel="2" spans="2:24">
      <c r="B2759" s="1353"/>
      <c r="C2759" s="479"/>
      <c r="D2759" s="1339"/>
      <c r="E2759" s="1359" t="s">
        <v>3471</v>
      </c>
      <c r="F2759" s="1359">
        <f>'1.管理费用'!H13+'1.管理费用'!H52</f>
        <v>0</v>
      </c>
      <c r="G2759" s="1359">
        <f>'1.管理费用'!I13+'1.管理费用'!I52</f>
        <v>0</v>
      </c>
      <c r="H2759" s="1359">
        <f t="shared" si="238"/>
        <v>0</v>
      </c>
      <c r="I2759" s="653">
        <f t="shared" si="239"/>
        <v>0</v>
      </c>
      <c r="J2759" s="1364"/>
      <c r="K2759" s="1365" t="str">
        <f>'1.管理费用'!F8</f>
        <v>    住房公积金</v>
      </c>
      <c r="L2759" s="1341"/>
      <c r="M2759" s="1341"/>
      <c r="N2759" s="1341"/>
      <c r="O2759" s="1341"/>
      <c r="X2759" s="420"/>
    </row>
    <row r="2760" s="416" customFormat="1" outlineLevel="2" spans="1:24">
      <c r="A2760" s="416" t="s">
        <v>3472</v>
      </c>
      <c r="B2760" s="1353" t="s">
        <v>3459</v>
      </c>
      <c r="C2760" s="429" t="str">
        <f t="shared" ref="C2760:C2769" si="240">$G$1</f>
        <v>石嘴山市深阳蓝光市政工程有限公司</v>
      </c>
      <c r="D2760" s="1339" t="s">
        <v>1997</v>
      </c>
      <c r="E2760" s="1359" t="s">
        <v>3473</v>
      </c>
      <c r="F2760" s="1359">
        <f>'1.管理费用'!H14+'1.管理费用'!H53</f>
        <v>0</v>
      </c>
      <c r="G2760" s="1359">
        <f>'1.管理费用'!I14+'1.管理费用'!I53</f>
        <v>0</v>
      </c>
      <c r="H2760" s="1359">
        <f t="shared" si="238"/>
        <v>0</v>
      </c>
      <c r="I2760" s="653">
        <f t="shared" si="239"/>
        <v>0</v>
      </c>
      <c r="J2760" s="1364"/>
      <c r="K2760" s="1365" t="str">
        <f>'1.管理费用'!F9</f>
        <v>    职工福利费</v>
      </c>
      <c r="L2760" s="1341"/>
      <c r="M2760" s="1341"/>
      <c r="N2760" s="1341"/>
      <c r="O2760" s="1341"/>
      <c r="X2760" s="501" t="b">
        <f t="shared" ref="X2760:X2769" si="241">EXACT(A2760,E2760)</f>
        <v>0</v>
      </c>
    </row>
    <row r="2761" s="416" customFormat="1" outlineLevel="2" spans="1:24">
      <c r="A2761" s="416" t="s">
        <v>3474</v>
      </c>
      <c r="B2761" s="1353" t="s">
        <v>3459</v>
      </c>
      <c r="C2761" s="429" t="str">
        <f t="shared" si="240"/>
        <v>石嘴山市深阳蓝光市政工程有限公司</v>
      </c>
      <c r="D2761" s="1339" t="s">
        <v>1997</v>
      </c>
      <c r="E2761" s="1359" t="s">
        <v>3475</v>
      </c>
      <c r="F2761" s="1359">
        <f>'1.管理费用'!H15</f>
        <v>0</v>
      </c>
      <c r="G2761" s="1359">
        <f>'1.管理费用'!I15</f>
        <v>0</v>
      </c>
      <c r="H2761" s="1359">
        <f t="shared" si="238"/>
        <v>0</v>
      </c>
      <c r="I2761" s="653">
        <f t="shared" si="239"/>
        <v>0</v>
      </c>
      <c r="J2761" s="1364"/>
      <c r="K2761" s="1365" t="str">
        <f>'1.管理费用'!F10</f>
        <v>      医药费</v>
      </c>
      <c r="L2761" s="1341"/>
      <c r="M2761" s="1341"/>
      <c r="N2761" s="1341"/>
      <c r="O2761" s="1341"/>
      <c r="X2761" s="501" t="b">
        <f t="shared" si="241"/>
        <v>0</v>
      </c>
    </row>
    <row r="2762" s="416" customFormat="1" outlineLevel="2" spans="1:24">
      <c r="A2762" s="416" t="s">
        <v>3476</v>
      </c>
      <c r="B2762" s="1353" t="s">
        <v>3459</v>
      </c>
      <c r="C2762" s="429" t="str">
        <f t="shared" si="240"/>
        <v>石嘴山市深阳蓝光市政工程有限公司</v>
      </c>
      <c r="D2762" s="1339" t="s">
        <v>1997</v>
      </c>
      <c r="E2762" s="1359" t="s">
        <v>3477</v>
      </c>
      <c r="F2762" s="1359">
        <f>'1.管理费用'!H16</f>
        <v>0</v>
      </c>
      <c r="G2762" s="1359">
        <f>'1.管理费用'!I16</f>
        <v>0</v>
      </c>
      <c r="H2762" s="1359">
        <f t="shared" si="238"/>
        <v>0</v>
      </c>
      <c r="I2762" s="653">
        <f t="shared" si="239"/>
        <v>0</v>
      </c>
      <c r="J2762" s="1364"/>
      <c r="K2762" s="1365" t="str">
        <f>'1.管理费用'!F11</f>
        <v>      工伤医疗费</v>
      </c>
      <c r="L2762" s="1341"/>
      <c r="M2762" s="1341"/>
      <c r="N2762" s="1341"/>
      <c r="O2762" s="1341"/>
      <c r="X2762" s="501" t="b">
        <f t="shared" si="241"/>
        <v>0</v>
      </c>
    </row>
    <row r="2763" s="416" customFormat="1" outlineLevel="2" spans="1:24">
      <c r="A2763" s="416" t="s">
        <v>3478</v>
      </c>
      <c r="B2763" s="1353" t="s">
        <v>3459</v>
      </c>
      <c r="C2763" s="429" t="str">
        <f t="shared" si="240"/>
        <v>石嘴山市深阳蓝光市政工程有限公司</v>
      </c>
      <c r="D2763" s="1339" t="s">
        <v>1997</v>
      </c>
      <c r="E2763" s="1024" t="s">
        <v>3479</v>
      </c>
      <c r="F2763" s="456"/>
      <c r="G2763" s="456"/>
      <c r="H2763" s="1359">
        <f t="shared" si="238"/>
        <v>0</v>
      </c>
      <c r="I2763" s="653">
        <f t="shared" si="239"/>
        <v>0</v>
      </c>
      <c r="J2763" s="1364"/>
      <c r="K2763" s="1365" t="str">
        <f>'1.管理费用'!F12</f>
        <v>      福利费</v>
      </c>
      <c r="L2763" s="1341"/>
      <c r="M2763" s="1341"/>
      <c r="N2763" s="1341"/>
      <c r="O2763" s="1341"/>
      <c r="X2763" s="501" t="b">
        <f t="shared" si="241"/>
        <v>0</v>
      </c>
    </row>
    <row r="2764" s="416" customFormat="1" outlineLevel="2" spans="1:24">
      <c r="A2764" s="416" t="s">
        <v>3480</v>
      </c>
      <c r="B2764" s="1353" t="s">
        <v>3459</v>
      </c>
      <c r="C2764" s="429" t="str">
        <f t="shared" si="240"/>
        <v>石嘴山市深阳蓝光市政工程有限公司</v>
      </c>
      <c r="D2764" s="1339" t="s">
        <v>1997</v>
      </c>
      <c r="E2764" s="1024" t="s">
        <v>3481</v>
      </c>
      <c r="F2764" s="456"/>
      <c r="G2764" s="456"/>
      <c r="H2764" s="1359">
        <f t="shared" si="238"/>
        <v>0</v>
      </c>
      <c r="I2764" s="653">
        <f t="shared" si="239"/>
        <v>0</v>
      </c>
      <c r="J2764" s="1364"/>
      <c r="K2764" s="1365" t="str">
        <f>'1.管理费用'!F13</f>
        <v>    工会经费</v>
      </c>
      <c r="L2764" s="1341"/>
      <c r="M2764" s="1341"/>
      <c r="N2764" s="1341"/>
      <c r="O2764" s="1341"/>
      <c r="X2764" s="501" t="b">
        <f t="shared" si="241"/>
        <v>0</v>
      </c>
    </row>
    <row r="2765" s="416" customFormat="1" outlineLevel="2" spans="1:24">
      <c r="A2765" s="416" t="s">
        <v>3482</v>
      </c>
      <c r="B2765" s="1353" t="s">
        <v>3459</v>
      </c>
      <c r="C2765" s="429" t="str">
        <f t="shared" si="240"/>
        <v>石嘴山市深阳蓝光市政工程有限公司</v>
      </c>
      <c r="D2765" s="1339" t="s">
        <v>1997</v>
      </c>
      <c r="E2765" s="1357" t="s">
        <v>3482</v>
      </c>
      <c r="F2765" s="1359">
        <f>'1.管理费用'!H21+'1.管理费用'!H58</f>
        <v>0</v>
      </c>
      <c r="G2765" s="1359">
        <f>'1.管理费用'!I21+'1.管理费用'!I58</f>
        <v>0</v>
      </c>
      <c r="H2765" s="1359">
        <f t="shared" si="238"/>
        <v>0</v>
      </c>
      <c r="I2765" s="653">
        <f t="shared" si="239"/>
        <v>0</v>
      </c>
      <c r="J2765" s="1364"/>
      <c r="K2765" s="1365" t="str">
        <f>'1.管理费用'!F14</f>
        <v>    职工教育费</v>
      </c>
      <c r="L2765" s="1341"/>
      <c r="M2765" s="1341"/>
      <c r="N2765" s="1341"/>
      <c r="O2765" s="1341"/>
      <c r="X2765" s="501" t="b">
        <f t="shared" si="241"/>
        <v>1</v>
      </c>
    </row>
    <row r="2766" s="416" customFormat="1" outlineLevel="2" spans="1:24">
      <c r="A2766" s="416" t="s">
        <v>1458</v>
      </c>
      <c r="B2766" s="1353" t="s">
        <v>3459</v>
      </c>
      <c r="C2766" s="429" t="str">
        <f t="shared" si="240"/>
        <v>石嘴山市深阳蓝光市政工程有限公司</v>
      </c>
      <c r="D2766" s="1339" t="s">
        <v>1997</v>
      </c>
      <c r="E2766" s="1357" t="s">
        <v>1458</v>
      </c>
      <c r="F2766" s="1359">
        <f>'1.管理费用'!H34+'1.管理费用'!H64</f>
        <v>0</v>
      </c>
      <c r="G2766" s="1359">
        <f>'1.管理费用'!I34+'1.管理费用'!I64</f>
        <v>0</v>
      </c>
      <c r="H2766" s="1359">
        <f t="shared" si="238"/>
        <v>0</v>
      </c>
      <c r="I2766" s="653">
        <f t="shared" si="239"/>
        <v>0</v>
      </c>
      <c r="J2766" s="1364"/>
      <c r="K2766" s="1365" t="str">
        <f>'1.管理费用'!F15</f>
        <v>    非货币性福利</v>
      </c>
      <c r="L2766" s="1341"/>
      <c r="M2766" s="1341"/>
      <c r="N2766" s="1341"/>
      <c r="O2766" s="1341"/>
      <c r="X2766" s="501" t="b">
        <f t="shared" si="241"/>
        <v>1</v>
      </c>
    </row>
    <row r="2767" s="416" customFormat="1" outlineLevel="2" spans="1:24">
      <c r="A2767" s="416" t="s">
        <v>3483</v>
      </c>
      <c r="B2767" s="1353" t="s">
        <v>3459</v>
      </c>
      <c r="C2767" s="429" t="str">
        <f t="shared" si="240"/>
        <v>石嘴山市深阳蓝光市政工程有限公司</v>
      </c>
      <c r="D2767" s="1339" t="s">
        <v>1997</v>
      </c>
      <c r="E2767" s="1357" t="s">
        <v>3484</v>
      </c>
      <c r="F2767" s="1358">
        <f>SUM(F2768:F2775)</f>
        <v>0</v>
      </c>
      <c r="G2767" s="1358">
        <f>SUM(G2768:G2775)</f>
        <v>0</v>
      </c>
      <c r="H2767" s="1359">
        <f t="shared" si="238"/>
        <v>0</v>
      </c>
      <c r="I2767" s="653">
        <f t="shared" si="239"/>
        <v>0</v>
      </c>
      <c r="J2767" s="1364"/>
      <c r="K2767" s="1365" t="str">
        <f>'1.管理费用'!F16</f>
        <v>    辞退补偿</v>
      </c>
      <c r="L2767" s="1341"/>
      <c r="M2767" s="1341"/>
      <c r="N2767" s="1341"/>
      <c r="O2767" s="1341"/>
      <c r="X2767" s="501" t="b">
        <f t="shared" si="241"/>
        <v>0</v>
      </c>
    </row>
    <row r="2768" s="416" customFormat="1" outlineLevel="2" spans="1:24">
      <c r="A2768" s="416" t="s">
        <v>3485</v>
      </c>
      <c r="B2768" s="1353" t="s">
        <v>3459</v>
      </c>
      <c r="C2768" s="429" t="str">
        <f t="shared" si="240"/>
        <v>石嘴山市深阳蓝光市政工程有限公司</v>
      </c>
      <c r="D2768" s="1339" t="s">
        <v>1997</v>
      </c>
      <c r="E2768" s="1359" t="s">
        <v>3486</v>
      </c>
      <c r="F2768" s="1359">
        <f>'1.管理费用'!H28</f>
        <v>0</v>
      </c>
      <c r="G2768" s="1359">
        <f>'1.管理费用'!I28</f>
        <v>0</v>
      </c>
      <c r="H2768" s="1359">
        <f t="shared" si="238"/>
        <v>0</v>
      </c>
      <c r="I2768" s="653">
        <f t="shared" si="239"/>
        <v>0</v>
      </c>
      <c r="J2768" s="1364"/>
      <c r="K2768" s="1341"/>
      <c r="L2768" s="1341"/>
      <c r="M2768" s="1341"/>
      <c r="N2768" s="1341"/>
      <c r="O2768" s="1341"/>
      <c r="X2768" s="501" t="b">
        <f t="shared" si="241"/>
        <v>0</v>
      </c>
    </row>
    <row r="2769" s="416" customFormat="1" outlineLevel="2" spans="1:24">
      <c r="A2769" s="416" t="s">
        <v>3487</v>
      </c>
      <c r="B2769" s="1353" t="s">
        <v>3459</v>
      </c>
      <c r="C2769" s="429" t="str">
        <f t="shared" si="240"/>
        <v>石嘴山市深阳蓝光市政工程有限公司</v>
      </c>
      <c r="D2769" s="1339" t="s">
        <v>1997</v>
      </c>
      <c r="E2769" s="1359" t="s">
        <v>3488</v>
      </c>
      <c r="F2769" s="1359">
        <f>'1.管理费用'!H25</f>
        <v>0</v>
      </c>
      <c r="G2769" s="1359">
        <f>'1.管理费用'!I25</f>
        <v>0</v>
      </c>
      <c r="H2769" s="1359">
        <f t="shared" si="238"/>
        <v>0</v>
      </c>
      <c r="I2769" s="653">
        <f t="shared" si="239"/>
        <v>0</v>
      </c>
      <c r="J2769" s="1364"/>
      <c r="K2769" s="1341"/>
      <c r="L2769" s="1341"/>
      <c r="M2769" s="1341"/>
      <c r="N2769" s="1341"/>
      <c r="O2769" s="1341"/>
      <c r="X2769" s="501" t="b">
        <f t="shared" si="241"/>
        <v>0</v>
      </c>
    </row>
    <row r="2770" s="416" customFormat="1" outlineLevel="2" spans="2:24">
      <c r="B2770" s="1353"/>
      <c r="C2770" s="479"/>
      <c r="D2770" s="1339"/>
      <c r="E2770" s="1359" t="s">
        <v>3489</v>
      </c>
      <c r="F2770" s="1359">
        <f>'1.管理费用'!H27</f>
        <v>0</v>
      </c>
      <c r="G2770" s="1359">
        <f>'1.管理费用'!I27</f>
        <v>0</v>
      </c>
      <c r="H2770" s="1359">
        <f t="shared" si="238"/>
        <v>0</v>
      </c>
      <c r="I2770" s="653">
        <f t="shared" si="239"/>
        <v>0</v>
      </c>
      <c r="J2770" s="1364"/>
      <c r="K2770" s="1341"/>
      <c r="L2770" s="1341"/>
      <c r="M2770" s="1341"/>
      <c r="N2770" s="1341"/>
      <c r="O2770" s="1341"/>
      <c r="X2770" s="420"/>
    </row>
    <row r="2771" s="416" customFormat="1" outlineLevel="2" spans="2:24">
      <c r="B2771" s="1353"/>
      <c r="C2771" s="479"/>
      <c r="D2771" s="1339"/>
      <c r="E2771" s="1359" t="s">
        <v>3490</v>
      </c>
      <c r="F2771" s="1359">
        <f>'1.管理费用'!H26</f>
        <v>0</v>
      </c>
      <c r="G2771" s="1359">
        <f>'1.管理费用'!I26</f>
        <v>0</v>
      </c>
      <c r="H2771" s="1359">
        <f t="shared" si="238"/>
        <v>0</v>
      </c>
      <c r="I2771" s="653">
        <f t="shared" si="239"/>
        <v>0</v>
      </c>
      <c r="J2771" s="1364"/>
      <c r="K2771" s="1341"/>
      <c r="L2771" s="1341"/>
      <c r="M2771" s="1341"/>
      <c r="N2771" s="1341"/>
      <c r="O2771" s="1341"/>
      <c r="X2771" s="420"/>
    </row>
    <row r="2772" s="416" customFormat="1" outlineLevel="2" spans="2:24">
      <c r="B2772" s="1353"/>
      <c r="C2772" s="479"/>
      <c r="D2772" s="1339"/>
      <c r="E2772" s="1359" t="s">
        <v>3491</v>
      </c>
      <c r="F2772" s="456"/>
      <c r="G2772" s="456"/>
      <c r="H2772" s="1359">
        <f t="shared" si="238"/>
        <v>0</v>
      </c>
      <c r="I2772" s="653">
        <f t="shared" si="239"/>
        <v>0</v>
      </c>
      <c r="J2772" s="1364"/>
      <c r="K2772" s="1341"/>
      <c r="L2772" s="1341"/>
      <c r="M2772" s="1341"/>
      <c r="N2772" s="1341"/>
      <c r="O2772" s="1341"/>
      <c r="X2772" s="420"/>
    </row>
    <row r="2773" s="416" customFormat="1" outlineLevel="2" spans="1:24">
      <c r="A2773" s="416" t="s">
        <v>3492</v>
      </c>
      <c r="B2773" s="1353" t="s">
        <v>3459</v>
      </c>
      <c r="C2773" s="429" t="str">
        <f>$G$1</f>
        <v>石嘴山市深阳蓝光市政工程有限公司</v>
      </c>
      <c r="D2773" s="1339" t="s">
        <v>1997</v>
      </c>
      <c r="E2773" s="1359" t="s">
        <v>3493</v>
      </c>
      <c r="F2773" s="1359">
        <f>'1.管理费用'!H61</f>
        <v>0</v>
      </c>
      <c r="G2773" s="1359">
        <f>'1.管理费用'!I61</f>
        <v>0</v>
      </c>
      <c r="H2773" s="1359">
        <f t="shared" si="238"/>
        <v>0</v>
      </c>
      <c r="I2773" s="653">
        <f t="shared" si="239"/>
        <v>0</v>
      </c>
      <c r="J2773" s="1364"/>
      <c r="K2773" s="1341"/>
      <c r="L2773" s="1341"/>
      <c r="M2773" s="1341"/>
      <c r="N2773" s="1341"/>
      <c r="O2773" s="1341"/>
      <c r="X2773" s="501" t="b">
        <f>EXACT(A2773,E2773)</f>
        <v>0</v>
      </c>
    </row>
    <row r="2774" s="416" customFormat="1" outlineLevel="2" spans="1:24">
      <c r="A2774" s="416" t="s">
        <v>3494</v>
      </c>
      <c r="B2774" s="1353" t="s">
        <v>3459</v>
      </c>
      <c r="C2774" s="429" t="str">
        <f>$G$1</f>
        <v>石嘴山市深阳蓝光市政工程有限公司</v>
      </c>
      <c r="D2774" s="1339" t="s">
        <v>1997</v>
      </c>
      <c r="E2774" s="1360" t="s">
        <v>3495</v>
      </c>
      <c r="F2774" s="456"/>
      <c r="G2774" s="456"/>
      <c r="H2774" s="1359">
        <f t="shared" si="238"/>
        <v>0</v>
      </c>
      <c r="I2774" s="653">
        <f t="shared" si="239"/>
        <v>0</v>
      </c>
      <c r="J2774" s="1364"/>
      <c r="K2774" s="1341"/>
      <c r="L2774" s="1341"/>
      <c r="M2774" s="1341"/>
      <c r="N2774" s="1341"/>
      <c r="O2774" s="1341"/>
      <c r="X2774" s="501" t="b">
        <f>EXACT(A2774,E2774)</f>
        <v>0</v>
      </c>
    </row>
    <row r="2775" s="416" customFormat="1" outlineLevel="2" spans="1:24">
      <c r="A2775" s="416" t="s">
        <v>3496</v>
      </c>
      <c r="B2775" s="1353" t="s">
        <v>3459</v>
      </c>
      <c r="C2775" s="429" t="str">
        <f>$G$1</f>
        <v>石嘴山市深阳蓝光市政工程有限公司</v>
      </c>
      <c r="D2775" s="1339" t="s">
        <v>1997</v>
      </c>
      <c r="E2775" s="1360" t="s">
        <v>3497</v>
      </c>
      <c r="F2775" s="456"/>
      <c r="G2775" s="456"/>
      <c r="H2775" s="1359">
        <f t="shared" si="238"/>
        <v>0</v>
      </c>
      <c r="I2775" s="653">
        <f t="shared" si="239"/>
        <v>0</v>
      </c>
      <c r="J2775" s="1364"/>
      <c r="K2775" s="1341"/>
      <c r="L2775" s="1341"/>
      <c r="M2775" s="1341"/>
      <c r="N2775" s="1341"/>
      <c r="O2775" s="1341"/>
      <c r="X2775" s="501" t="b">
        <f>EXACT(A2775,E2775)</f>
        <v>0</v>
      </c>
    </row>
    <row r="2776" s="416" customFormat="1" outlineLevel="2" spans="1:24">
      <c r="A2776" s="416" t="s">
        <v>3498</v>
      </c>
      <c r="B2776" s="1353" t="s">
        <v>3459</v>
      </c>
      <c r="C2776" s="429" t="str">
        <f>$G$1</f>
        <v>石嘴山市深阳蓝光市政工程有限公司</v>
      </c>
      <c r="D2776" s="1339" t="s">
        <v>1997</v>
      </c>
      <c r="E2776" s="1361" t="s">
        <v>3499</v>
      </c>
      <c r="F2776" s="1358">
        <f>SUM(F2777:F2819)</f>
        <v>0</v>
      </c>
      <c r="G2776" s="1358">
        <f>SUM(G2777:G2819)</f>
        <v>0</v>
      </c>
      <c r="H2776" s="1359">
        <f t="shared" si="238"/>
        <v>0</v>
      </c>
      <c r="I2776" s="653">
        <f t="shared" si="239"/>
        <v>0</v>
      </c>
      <c r="J2776" s="1364"/>
      <c r="K2776" s="1341"/>
      <c r="L2776" s="1341"/>
      <c r="M2776" s="1341"/>
      <c r="N2776" s="1341"/>
      <c r="O2776" s="1341"/>
      <c r="X2776" s="501" t="b">
        <f t="shared" ref="X2776:X2880" si="242">EXACT(A2776,E2776)</f>
        <v>0</v>
      </c>
    </row>
    <row r="2777" s="416" customFormat="1" outlineLevel="2" spans="2:24">
      <c r="B2777" s="1353" t="s">
        <v>3459</v>
      </c>
      <c r="C2777" s="429" t="str">
        <f>$G$1</f>
        <v>石嘴山市深阳蓝光市政工程有限公司</v>
      </c>
      <c r="D2777" s="1339" t="s">
        <v>1997</v>
      </c>
      <c r="E2777" s="1359" t="str">
        <f>'1.管理费用'!F17</f>
        <v>  办公费</v>
      </c>
      <c r="F2777" s="1359">
        <f>'1.管理费用'!H17</f>
        <v>0</v>
      </c>
      <c r="G2777" s="1359">
        <f>'1.管理费用'!I17</f>
        <v>0</v>
      </c>
      <c r="H2777" s="1359">
        <f t="shared" si="238"/>
        <v>0</v>
      </c>
      <c r="I2777" s="653">
        <f t="shared" si="239"/>
        <v>0</v>
      </c>
      <c r="J2777" s="1364"/>
      <c r="K2777" s="1341"/>
      <c r="L2777" s="1341"/>
      <c r="M2777" s="1341"/>
      <c r="N2777" s="1341"/>
      <c r="O2777" s="1341"/>
      <c r="X2777" s="501" t="b">
        <f t="shared" si="242"/>
        <v>0</v>
      </c>
    </row>
    <row r="2778" s="416" customFormat="1" outlineLevel="2" spans="2:24">
      <c r="B2778" s="1353"/>
      <c r="C2778" s="479"/>
      <c r="D2778" s="1339"/>
      <c r="E2778" s="1359" t="str">
        <f>'1.管理费用'!F18</f>
        <v>  通讯费</v>
      </c>
      <c r="F2778" s="1359">
        <f>'1.管理费用'!H18</f>
        <v>0</v>
      </c>
      <c r="G2778" s="1359">
        <f>'1.管理费用'!I18</f>
        <v>0</v>
      </c>
      <c r="H2778" s="1359">
        <f t="shared" si="238"/>
        <v>0</v>
      </c>
      <c r="I2778" s="653">
        <f t="shared" si="239"/>
        <v>0</v>
      </c>
      <c r="J2778" s="1364"/>
      <c r="K2778" s="1341"/>
      <c r="L2778" s="1341"/>
      <c r="M2778" s="1341"/>
      <c r="N2778" s="1341"/>
      <c r="O2778" s="1341"/>
      <c r="X2778" s="420"/>
    </row>
    <row r="2779" s="416" customFormat="1" outlineLevel="2" spans="2:24">
      <c r="B2779" s="1353"/>
      <c r="C2779" s="479"/>
      <c r="D2779" s="1339"/>
      <c r="E2779" s="1359" t="str">
        <f>'1.管理费用'!F19</f>
        <v>  业务招待费</v>
      </c>
      <c r="F2779" s="1359">
        <f>'1.管理费用'!H19</f>
        <v>0</v>
      </c>
      <c r="G2779" s="1359">
        <f>'1.管理费用'!I19</f>
        <v>0</v>
      </c>
      <c r="H2779" s="1359">
        <f t="shared" si="238"/>
        <v>0</v>
      </c>
      <c r="I2779" s="653">
        <f t="shared" si="239"/>
        <v>0</v>
      </c>
      <c r="J2779" s="1364"/>
      <c r="K2779" s="1341"/>
      <c r="L2779" s="1341"/>
      <c r="M2779" s="1341"/>
      <c r="N2779" s="1341"/>
      <c r="O2779" s="1341"/>
      <c r="X2779" s="420"/>
    </row>
    <row r="2780" s="416" customFormat="1" outlineLevel="2" spans="2:24">
      <c r="B2780" s="1353"/>
      <c r="C2780" s="479"/>
      <c r="D2780" s="1339"/>
      <c r="E2780" s="1359" t="str">
        <f>'1.管理费用'!F20</f>
        <v>  差旅费</v>
      </c>
      <c r="F2780" s="1359">
        <f>'1.管理费用'!H20</f>
        <v>0</v>
      </c>
      <c r="G2780" s="1359">
        <f>'1.管理费用'!I20</f>
        <v>0</v>
      </c>
      <c r="H2780" s="1359">
        <f t="shared" si="238"/>
        <v>0</v>
      </c>
      <c r="I2780" s="653">
        <f t="shared" si="239"/>
        <v>0</v>
      </c>
      <c r="J2780" s="1364"/>
      <c r="K2780" s="1341"/>
      <c r="L2780" s="1341"/>
      <c r="M2780" s="1341"/>
      <c r="N2780" s="1341"/>
      <c r="O2780" s="1341"/>
      <c r="X2780" s="420"/>
    </row>
    <row r="2781" s="416" customFormat="1" outlineLevel="2" spans="2:24">
      <c r="B2781" s="1353"/>
      <c r="C2781" s="479"/>
      <c r="D2781" s="1339"/>
      <c r="E2781" s="1359" t="str">
        <f>'1.管理费用'!F22</f>
        <v>  租赁费</v>
      </c>
      <c r="F2781" s="1359">
        <f>'1.管理费用'!H22</f>
        <v>0</v>
      </c>
      <c r="G2781" s="1359">
        <f>'1.管理费用'!I22</f>
        <v>0</v>
      </c>
      <c r="H2781" s="1359">
        <f t="shared" si="238"/>
        <v>0</v>
      </c>
      <c r="I2781" s="653">
        <f t="shared" si="239"/>
        <v>0</v>
      </c>
      <c r="J2781" s="1364"/>
      <c r="K2781" s="1341"/>
      <c r="L2781" s="1341"/>
      <c r="M2781" s="1341"/>
      <c r="N2781" s="1341"/>
      <c r="O2781" s="1341"/>
      <c r="X2781" s="420"/>
    </row>
    <row r="2782" s="416" customFormat="1" outlineLevel="2" spans="2:24">
      <c r="B2782" s="1353"/>
      <c r="C2782" s="479"/>
      <c r="D2782" s="1339"/>
      <c r="E2782" s="1359" t="str">
        <f>'1.管理费用'!F23</f>
        <v>  保险费</v>
      </c>
      <c r="F2782" s="1359">
        <f>'1.管理费用'!H23</f>
        <v>0</v>
      </c>
      <c r="G2782" s="1359">
        <f>'1.管理费用'!I23</f>
        <v>0</v>
      </c>
      <c r="H2782" s="1359">
        <f t="shared" si="238"/>
        <v>0</v>
      </c>
      <c r="I2782" s="653">
        <f t="shared" si="239"/>
        <v>0</v>
      </c>
      <c r="J2782" s="1364"/>
      <c r="K2782" s="1341"/>
      <c r="L2782" s="1341"/>
      <c r="M2782" s="1341"/>
      <c r="N2782" s="1341"/>
      <c r="O2782" s="1341"/>
      <c r="X2782" s="420"/>
    </row>
    <row r="2783" s="416" customFormat="1" outlineLevel="2" spans="2:24">
      <c r="B2783" s="1353"/>
      <c r="C2783" s="479"/>
      <c r="D2783" s="1339"/>
      <c r="E2783" s="1359" t="str">
        <f>'1.管理费用'!F32</f>
        <v>  物料消耗</v>
      </c>
      <c r="F2783" s="1359">
        <f>'1.管理费用'!H32</f>
        <v>0</v>
      </c>
      <c r="G2783" s="1359">
        <f>'1.管理费用'!I32</f>
        <v>0</v>
      </c>
      <c r="H2783" s="1359">
        <f t="shared" si="238"/>
        <v>0</v>
      </c>
      <c r="I2783" s="653">
        <f t="shared" si="239"/>
        <v>0</v>
      </c>
      <c r="J2783" s="1364"/>
      <c r="K2783" s="1341"/>
      <c r="L2783" s="1341"/>
      <c r="M2783" s="1341"/>
      <c r="N2783" s="1341"/>
      <c r="O2783" s="1341"/>
      <c r="X2783" s="420"/>
    </row>
    <row r="2784" s="416" customFormat="1" outlineLevel="2" spans="2:24">
      <c r="B2784" s="1353"/>
      <c r="C2784" s="479"/>
      <c r="D2784" s="1339"/>
      <c r="E2784" s="1359" t="str">
        <f>'1.管理费用'!F33</f>
        <v>  排污费</v>
      </c>
      <c r="F2784" s="1359">
        <f>'1.管理费用'!H33</f>
        <v>0</v>
      </c>
      <c r="G2784" s="1359">
        <f>'1.管理费用'!I33</f>
        <v>0</v>
      </c>
      <c r="H2784" s="1359">
        <f t="shared" si="238"/>
        <v>0</v>
      </c>
      <c r="I2784" s="653">
        <f t="shared" si="239"/>
        <v>0</v>
      </c>
      <c r="J2784" s="1364"/>
      <c r="K2784" s="1341"/>
      <c r="L2784" s="1341"/>
      <c r="M2784" s="1341"/>
      <c r="N2784" s="1341"/>
      <c r="O2784" s="1341"/>
      <c r="X2784" s="420"/>
    </row>
    <row r="2785" s="416" customFormat="1" outlineLevel="2" spans="2:24">
      <c r="B2785" s="1353"/>
      <c r="C2785" s="479"/>
      <c r="D2785" s="1339"/>
      <c r="E2785" s="1359" t="str">
        <f>'1.管理费用'!F37</f>
        <v>  维修检测费</v>
      </c>
      <c r="F2785" s="1359">
        <f>'1.管理费用'!H37</f>
        <v>0</v>
      </c>
      <c r="G2785" s="1359">
        <f>'1.管理费用'!I37</f>
        <v>0</v>
      </c>
      <c r="H2785" s="1359">
        <f t="shared" si="238"/>
        <v>0</v>
      </c>
      <c r="I2785" s="653">
        <f t="shared" si="239"/>
        <v>0</v>
      </c>
      <c r="J2785" s="1364"/>
      <c r="K2785" s="1341"/>
      <c r="L2785" s="1341"/>
      <c r="M2785" s="1341"/>
      <c r="N2785" s="1341"/>
      <c r="O2785" s="1341"/>
      <c r="X2785" s="420"/>
    </row>
    <row r="2786" s="416" customFormat="1" outlineLevel="2" spans="2:24">
      <c r="B2786" s="1353"/>
      <c r="C2786" s="479"/>
      <c r="D2786" s="1339"/>
      <c r="E2786" s="1359" t="str">
        <f>'1.管理费用'!F38</f>
        <v>  技术转让费及专利费</v>
      </c>
      <c r="F2786" s="1359">
        <f>'1.管理费用'!H38</f>
        <v>0</v>
      </c>
      <c r="G2786" s="1359">
        <f>'1.管理费用'!I38</f>
        <v>0</v>
      </c>
      <c r="H2786" s="1359">
        <f t="shared" si="238"/>
        <v>0</v>
      </c>
      <c r="I2786" s="653">
        <f t="shared" si="239"/>
        <v>0</v>
      </c>
      <c r="J2786" s="1364"/>
      <c r="K2786" s="1341"/>
      <c r="L2786" s="1341"/>
      <c r="M2786" s="1341"/>
      <c r="N2786" s="1341"/>
      <c r="O2786" s="1341"/>
      <c r="X2786" s="420"/>
    </row>
    <row r="2787" s="416" customFormat="1" outlineLevel="2" spans="2:24">
      <c r="B2787" s="1353"/>
      <c r="C2787" s="479"/>
      <c r="D2787" s="1339"/>
      <c r="E2787" s="1359" t="str">
        <f>'1.管理费用'!F39</f>
        <v>  中介费用</v>
      </c>
      <c r="F2787" s="1359">
        <f>'1.管理费用'!H39</f>
        <v>0</v>
      </c>
      <c r="G2787" s="1359">
        <f>'1.管理费用'!I39</f>
        <v>0</v>
      </c>
      <c r="H2787" s="1359">
        <f t="shared" si="238"/>
        <v>0</v>
      </c>
      <c r="I2787" s="653">
        <f t="shared" si="239"/>
        <v>0</v>
      </c>
      <c r="J2787" s="1364"/>
      <c r="K2787" s="1341"/>
      <c r="L2787" s="1341"/>
      <c r="M2787" s="1341"/>
      <c r="N2787" s="1341"/>
      <c r="O2787" s="1341"/>
      <c r="X2787" s="420"/>
    </row>
    <row r="2788" s="416" customFormat="1" outlineLevel="2" spans="2:24">
      <c r="B2788" s="1353"/>
      <c r="C2788" s="479"/>
      <c r="D2788" s="1339"/>
      <c r="E2788" s="1362" t="str">
        <f>'1.管理费用'!$F$45</f>
        <v>  研发费</v>
      </c>
      <c r="F2788" s="1363">
        <f>'1.管理费用'!H45-'1.管理费用'!H46-'1.管理费用'!H58-'1.管理费用'!H61-'1.管理费用'!H64</f>
        <v>0</v>
      </c>
      <c r="G2788" s="1363">
        <f>'1.管理费用'!I45-'1.管理费用'!I46-'1.管理费用'!I58-'1.管理费用'!I61-'1.管理费用'!I64</f>
        <v>0</v>
      </c>
      <c r="H2788" s="1359">
        <f t="shared" si="238"/>
        <v>0</v>
      </c>
      <c r="I2788" s="653">
        <f t="shared" si="239"/>
        <v>0</v>
      </c>
      <c r="J2788" s="1364"/>
      <c r="K2788" s="1341"/>
      <c r="L2788" s="1341"/>
      <c r="M2788" s="1341"/>
      <c r="N2788" s="1341"/>
      <c r="O2788" s="1341"/>
      <c r="X2788" s="420"/>
    </row>
    <row r="2789" s="416" customFormat="1" outlineLevel="2" spans="2:24">
      <c r="B2789" s="1353"/>
      <c r="C2789" s="479"/>
      <c r="D2789" s="1339"/>
      <c r="E2789" s="1359" t="str">
        <f>'1.管理费用'!F72</f>
        <v>  残疾人保障金</v>
      </c>
      <c r="F2789" s="1359">
        <f>'1.管理费用'!H72</f>
        <v>0</v>
      </c>
      <c r="G2789" s="1359">
        <f>'1.管理费用'!I72</f>
        <v>0</v>
      </c>
      <c r="H2789" s="1359">
        <f t="shared" si="238"/>
        <v>0</v>
      </c>
      <c r="I2789" s="653">
        <f t="shared" si="239"/>
        <v>0</v>
      </c>
      <c r="J2789" s="1364"/>
      <c r="K2789" s="1341"/>
      <c r="L2789" s="1341"/>
      <c r="M2789" s="1341"/>
      <c r="N2789" s="1341"/>
      <c r="O2789" s="1341"/>
      <c r="X2789" s="420"/>
    </row>
    <row r="2790" s="416" customFormat="1" outlineLevel="2" spans="2:24">
      <c r="B2790" s="1353"/>
      <c r="C2790" s="479"/>
      <c r="D2790" s="1339"/>
      <c r="E2790" s="1359" t="str">
        <f>'1.管理费用'!F73</f>
        <v>  车辆费用</v>
      </c>
      <c r="F2790" s="1359">
        <f>'1.管理费用'!H73</f>
        <v>0</v>
      </c>
      <c r="G2790" s="1359">
        <f>'1.管理费用'!I73</f>
        <v>0</v>
      </c>
      <c r="H2790" s="1359">
        <f t="shared" si="238"/>
        <v>0</v>
      </c>
      <c r="I2790" s="653">
        <f t="shared" si="239"/>
        <v>0</v>
      </c>
      <c r="J2790" s="1364"/>
      <c r="K2790" s="1341"/>
      <c r="L2790" s="1341"/>
      <c r="M2790" s="1341"/>
      <c r="N2790" s="1341"/>
      <c r="O2790" s="1341"/>
      <c r="X2790" s="420"/>
    </row>
    <row r="2791" s="416" customFormat="1" outlineLevel="2" spans="2:24">
      <c r="B2791" s="1353" t="s">
        <v>3459</v>
      </c>
      <c r="C2791" s="429" t="str">
        <f t="shared" ref="C2791:C2801" si="243">$G$1</f>
        <v>石嘴山市深阳蓝光市政工程有限公司</v>
      </c>
      <c r="D2791" s="1339" t="s">
        <v>1997</v>
      </c>
      <c r="E2791" s="1359" t="str">
        <f>'1.管理费用'!F74</f>
        <v>  董事会费用</v>
      </c>
      <c r="F2791" s="1359">
        <f>'1.管理费用'!H74</f>
        <v>0</v>
      </c>
      <c r="G2791" s="1359">
        <f>'1.管理费用'!I74</f>
        <v>0</v>
      </c>
      <c r="H2791" s="1359">
        <f t="shared" si="238"/>
        <v>0</v>
      </c>
      <c r="I2791" s="653">
        <f t="shared" si="239"/>
        <v>0</v>
      </c>
      <c r="J2791" s="1364"/>
      <c r="K2791" s="1341"/>
      <c r="L2791" s="1341"/>
      <c r="M2791" s="1341"/>
      <c r="N2791" s="1341"/>
      <c r="O2791" s="1341"/>
      <c r="X2791" s="501" t="b">
        <f t="shared" si="242"/>
        <v>0</v>
      </c>
    </row>
    <row r="2792" s="416" customFormat="1" outlineLevel="2" spans="2:24">
      <c r="B2792" s="1353" t="s">
        <v>3459</v>
      </c>
      <c r="C2792" s="429" t="str">
        <f t="shared" si="243"/>
        <v>石嘴山市深阳蓝光市政工程有限公司</v>
      </c>
      <c r="D2792" s="1339" t="s">
        <v>1997</v>
      </c>
      <c r="E2792" s="1359" t="str">
        <f>'1.管理费用'!F75</f>
        <v>  其他管理费用</v>
      </c>
      <c r="F2792" s="1359">
        <f>'1.管理费用'!H75</f>
        <v>0</v>
      </c>
      <c r="G2792" s="1359">
        <f>'1.管理费用'!I75</f>
        <v>0</v>
      </c>
      <c r="H2792" s="1359">
        <f t="shared" si="238"/>
        <v>0</v>
      </c>
      <c r="I2792" s="653">
        <f t="shared" si="239"/>
        <v>0</v>
      </c>
      <c r="J2792" s="1364"/>
      <c r="K2792" s="1341"/>
      <c r="L2792" s="1341"/>
      <c r="M2792" s="1341"/>
      <c r="N2792" s="1341"/>
      <c r="O2792" s="1341"/>
      <c r="X2792" s="501" t="b">
        <f t="shared" si="242"/>
        <v>0</v>
      </c>
    </row>
    <row r="2793" s="416" customFormat="1" outlineLevel="2" spans="2:24">
      <c r="B2793" s="1353" t="s">
        <v>3459</v>
      </c>
      <c r="C2793" s="429" t="str">
        <f t="shared" si="243"/>
        <v>石嘴山市深阳蓝光市政工程有限公司</v>
      </c>
      <c r="D2793" s="1339" t="s">
        <v>1997</v>
      </c>
      <c r="E2793" s="1359"/>
      <c r="F2793" s="1359"/>
      <c r="G2793" s="1359"/>
      <c r="H2793" s="1359">
        <f t="shared" si="238"/>
        <v>0</v>
      </c>
      <c r="I2793" s="653">
        <f t="shared" si="239"/>
        <v>0</v>
      </c>
      <c r="J2793" s="1364"/>
      <c r="K2793" s="1341"/>
      <c r="L2793" s="1341"/>
      <c r="M2793" s="1341"/>
      <c r="N2793" s="1341"/>
      <c r="O2793" s="1341"/>
      <c r="X2793" s="501" t="b">
        <f t="shared" si="242"/>
        <v>1</v>
      </c>
    </row>
    <row r="2794" s="416" customFormat="1" outlineLevel="2" collapsed="1" spans="2:24">
      <c r="B2794" s="1353" t="s">
        <v>3459</v>
      </c>
      <c r="C2794" s="429" t="str">
        <f t="shared" si="243"/>
        <v>石嘴山市深阳蓝光市政工程有限公司</v>
      </c>
      <c r="D2794" s="1339" t="s">
        <v>1997</v>
      </c>
      <c r="E2794" s="1359"/>
      <c r="F2794" s="1359"/>
      <c r="G2794" s="1359"/>
      <c r="H2794" s="1359">
        <f t="shared" si="238"/>
        <v>0</v>
      </c>
      <c r="I2794" s="653">
        <f t="shared" si="239"/>
        <v>0</v>
      </c>
      <c r="J2794" s="1364"/>
      <c r="K2794" s="1341"/>
      <c r="L2794" s="1341"/>
      <c r="M2794" s="1341"/>
      <c r="N2794" s="1341"/>
      <c r="O2794" s="1341"/>
      <c r="X2794" s="501" t="b">
        <f t="shared" si="242"/>
        <v>1</v>
      </c>
    </row>
    <row r="2795" s="416" customFormat="1" hidden="1" outlineLevel="3" spans="2:24">
      <c r="B2795" s="1353" t="s">
        <v>3459</v>
      </c>
      <c r="C2795" s="429" t="str">
        <f t="shared" si="243"/>
        <v>石嘴山市深阳蓝光市政工程有限公司</v>
      </c>
      <c r="D2795" s="1339" t="s">
        <v>1997</v>
      </c>
      <c r="E2795" s="1360"/>
      <c r="F2795" s="456"/>
      <c r="G2795" s="456"/>
      <c r="H2795" s="1359">
        <f t="shared" si="238"/>
        <v>0</v>
      </c>
      <c r="I2795" s="653">
        <f t="shared" si="239"/>
        <v>0</v>
      </c>
      <c r="J2795" s="1364"/>
      <c r="K2795" s="1341"/>
      <c r="L2795" s="1341"/>
      <c r="M2795" s="1341"/>
      <c r="N2795" s="1341"/>
      <c r="O2795" s="1341"/>
      <c r="X2795" s="501" t="b">
        <f t="shared" si="242"/>
        <v>1</v>
      </c>
    </row>
    <row r="2796" s="416" customFormat="1" hidden="1" outlineLevel="3" spans="2:24">
      <c r="B2796" s="1353" t="s">
        <v>3459</v>
      </c>
      <c r="C2796" s="429" t="str">
        <f t="shared" si="243"/>
        <v>石嘴山市深阳蓝光市政工程有限公司</v>
      </c>
      <c r="D2796" s="1339" t="s">
        <v>1997</v>
      </c>
      <c r="E2796" s="1360"/>
      <c r="F2796" s="456"/>
      <c r="G2796" s="456"/>
      <c r="H2796" s="1359">
        <f t="shared" si="238"/>
        <v>0</v>
      </c>
      <c r="I2796" s="653">
        <f t="shared" si="239"/>
        <v>0</v>
      </c>
      <c r="J2796" s="1364"/>
      <c r="K2796" s="1341"/>
      <c r="L2796" s="1341"/>
      <c r="M2796" s="1341"/>
      <c r="N2796" s="1341"/>
      <c r="O2796" s="1341"/>
      <c r="X2796" s="501" t="b">
        <f t="shared" si="242"/>
        <v>1</v>
      </c>
    </row>
    <row r="2797" s="416" customFormat="1" hidden="1" outlineLevel="3" spans="2:24">
      <c r="B2797" s="1353" t="s">
        <v>3459</v>
      </c>
      <c r="C2797" s="429" t="str">
        <f t="shared" si="243"/>
        <v>石嘴山市深阳蓝光市政工程有限公司</v>
      </c>
      <c r="D2797" s="1339" t="s">
        <v>1997</v>
      </c>
      <c r="E2797" s="1360"/>
      <c r="F2797" s="456"/>
      <c r="G2797" s="456"/>
      <c r="H2797" s="1359">
        <f t="shared" si="238"/>
        <v>0</v>
      </c>
      <c r="I2797" s="653">
        <f t="shared" si="239"/>
        <v>0</v>
      </c>
      <c r="J2797" s="1364"/>
      <c r="K2797" s="1341"/>
      <c r="L2797" s="1341"/>
      <c r="M2797" s="1341"/>
      <c r="N2797" s="1341"/>
      <c r="O2797" s="1341"/>
      <c r="X2797" s="501" t="b">
        <f t="shared" si="242"/>
        <v>1</v>
      </c>
    </row>
    <row r="2798" s="416" customFormat="1" hidden="1" outlineLevel="3" spans="2:24">
      <c r="B2798" s="1353" t="s">
        <v>3459</v>
      </c>
      <c r="C2798" s="429" t="str">
        <f t="shared" si="243"/>
        <v>石嘴山市深阳蓝光市政工程有限公司</v>
      </c>
      <c r="D2798" s="1339" t="s">
        <v>1997</v>
      </c>
      <c r="E2798" s="1360"/>
      <c r="F2798" s="456"/>
      <c r="G2798" s="456"/>
      <c r="H2798" s="1359">
        <f t="shared" si="238"/>
        <v>0</v>
      </c>
      <c r="I2798" s="653">
        <f t="shared" si="239"/>
        <v>0</v>
      </c>
      <c r="J2798" s="1364"/>
      <c r="K2798" s="1341"/>
      <c r="L2798" s="1341"/>
      <c r="M2798" s="1341"/>
      <c r="N2798" s="1341"/>
      <c r="O2798" s="1341"/>
      <c r="X2798" s="501" t="b">
        <f t="shared" si="242"/>
        <v>1</v>
      </c>
    </row>
    <row r="2799" s="416" customFormat="1" hidden="1" outlineLevel="3" spans="2:24">
      <c r="B2799" s="1353" t="s">
        <v>3459</v>
      </c>
      <c r="C2799" s="429" t="str">
        <f t="shared" si="243"/>
        <v>石嘴山市深阳蓝光市政工程有限公司</v>
      </c>
      <c r="D2799" s="1339" t="s">
        <v>1997</v>
      </c>
      <c r="E2799" s="1360"/>
      <c r="F2799" s="456"/>
      <c r="G2799" s="456"/>
      <c r="H2799" s="1359">
        <f t="shared" si="238"/>
        <v>0</v>
      </c>
      <c r="I2799" s="653">
        <f t="shared" si="239"/>
        <v>0</v>
      </c>
      <c r="J2799" s="1364"/>
      <c r="K2799" s="1341"/>
      <c r="L2799" s="1341"/>
      <c r="M2799" s="1341"/>
      <c r="N2799" s="1341"/>
      <c r="O2799" s="1341"/>
      <c r="X2799" s="501" t="b">
        <f t="shared" si="242"/>
        <v>1</v>
      </c>
    </row>
    <row r="2800" s="416" customFormat="1" hidden="1" outlineLevel="3" spans="2:24">
      <c r="B2800" s="1353" t="s">
        <v>3459</v>
      </c>
      <c r="C2800" s="429" t="str">
        <f t="shared" si="243"/>
        <v>石嘴山市深阳蓝光市政工程有限公司</v>
      </c>
      <c r="D2800" s="1339" t="s">
        <v>1997</v>
      </c>
      <c r="E2800" s="1360"/>
      <c r="F2800" s="456"/>
      <c r="G2800" s="456"/>
      <c r="H2800" s="1359">
        <f t="shared" si="238"/>
        <v>0</v>
      </c>
      <c r="I2800" s="653">
        <f t="shared" si="239"/>
        <v>0</v>
      </c>
      <c r="J2800" s="1364"/>
      <c r="K2800" s="1341"/>
      <c r="L2800" s="1341"/>
      <c r="M2800" s="1341"/>
      <c r="N2800" s="1341"/>
      <c r="O2800" s="1341"/>
      <c r="X2800" s="501" t="b">
        <f t="shared" si="242"/>
        <v>1</v>
      </c>
    </row>
    <row r="2801" s="416" customFormat="1" hidden="1" outlineLevel="3" spans="2:24">
      <c r="B2801" s="1353" t="s">
        <v>3459</v>
      </c>
      <c r="C2801" s="429" t="str">
        <f t="shared" si="243"/>
        <v>石嘴山市深阳蓝光市政工程有限公司</v>
      </c>
      <c r="D2801" s="1339" t="s">
        <v>1997</v>
      </c>
      <c r="E2801" s="1360"/>
      <c r="F2801" s="456"/>
      <c r="G2801" s="456"/>
      <c r="H2801" s="1359">
        <f t="shared" si="238"/>
        <v>0</v>
      </c>
      <c r="I2801" s="653">
        <f t="shared" si="239"/>
        <v>0</v>
      </c>
      <c r="J2801" s="1364"/>
      <c r="K2801" s="1341"/>
      <c r="L2801" s="1341"/>
      <c r="M2801" s="1341"/>
      <c r="N2801" s="1341"/>
      <c r="O2801" s="1341"/>
      <c r="X2801" s="501" t="b">
        <f t="shared" si="242"/>
        <v>1</v>
      </c>
    </row>
    <row r="2802" s="416" customFormat="1" hidden="1" outlineLevel="3" spans="2:24">
      <c r="B2802" s="1353"/>
      <c r="C2802" s="479"/>
      <c r="D2802" s="1339"/>
      <c r="E2802" s="1360"/>
      <c r="F2802" s="456"/>
      <c r="G2802" s="456"/>
      <c r="H2802" s="1359">
        <f t="shared" si="238"/>
        <v>0</v>
      </c>
      <c r="I2802" s="653">
        <f t="shared" si="239"/>
        <v>0</v>
      </c>
      <c r="J2802" s="1364"/>
      <c r="K2802" s="1341"/>
      <c r="L2802" s="1341"/>
      <c r="M2802" s="1341"/>
      <c r="N2802" s="1341"/>
      <c r="O2802" s="1341"/>
      <c r="X2802" s="420"/>
    </row>
    <row r="2803" s="416" customFormat="1" hidden="1" outlineLevel="3" spans="2:24">
      <c r="B2803" s="1353"/>
      <c r="C2803" s="479"/>
      <c r="D2803" s="1339"/>
      <c r="E2803" s="1360"/>
      <c r="F2803" s="456"/>
      <c r="G2803" s="456"/>
      <c r="H2803" s="1359">
        <f t="shared" si="238"/>
        <v>0</v>
      </c>
      <c r="I2803" s="653">
        <f t="shared" si="239"/>
        <v>0</v>
      </c>
      <c r="J2803" s="1364"/>
      <c r="K2803" s="1341"/>
      <c r="L2803" s="1341"/>
      <c r="M2803" s="1341"/>
      <c r="N2803" s="1341"/>
      <c r="O2803" s="1341"/>
      <c r="X2803" s="420"/>
    </row>
    <row r="2804" s="416" customFormat="1" hidden="1" outlineLevel="3" spans="2:24">
      <c r="B2804" s="1353"/>
      <c r="C2804" s="479"/>
      <c r="D2804" s="1339"/>
      <c r="E2804" s="1360"/>
      <c r="F2804" s="456"/>
      <c r="G2804" s="456"/>
      <c r="H2804" s="1359">
        <f t="shared" si="238"/>
        <v>0</v>
      </c>
      <c r="I2804" s="653">
        <f t="shared" si="239"/>
        <v>0</v>
      </c>
      <c r="J2804" s="1364"/>
      <c r="K2804" s="1341"/>
      <c r="L2804" s="1341"/>
      <c r="M2804" s="1341"/>
      <c r="N2804" s="1341"/>
      <c r="O2804" s="1341"/>
      <c r="X2804" s="420"/>
    </row>
    <row r="2805" s="416" customFormat="1" hidden="1" outlineLevel="3" spans="2:24">
      <c r="B2805" s="1353"/>
      <c r="C2805" s="479"/>
      <c r="D2805" s="1339"/>
      <c r="E2805" s="1360"/>
      <c r="F2805" s="456"/>
      <c r="G2805" s="456"/>
      <c r="H2805" s="1359">
        <f t="shared" si="238"/>
        <v>0</v>
      </c>
      <c r="I2805" s="653">
        <f t="shared" si="239"/>
        <v>0</v>
      </c>
      <c r="J2805" s="1364"/>
      <c r="K2805" s="1341"/>
      <c r="L2805" s="1341"/>
      <c r="M2805" s="1341"/>
      <c r="N2805" s="1341"/>
      <c r="O2805" s="1341"/>
      <c r="X2805" s="420"/>
    </row>
    <row r="2806" s="416" customFormat="1" hidden="1" outlineLevel="3" spans="2:24">
      <c r="B2806" s="1353"/>
      <c r="C2806" s="479"/>
      <c r="D2806" s="1339"/>
      <c r="E2806" s="1360"/>
      <c r="F2806" s="456"/>
      <c r="G2806" s="456"/>
      <c r="H2806" s="1359">
        <f t="shared" si="238"/>
        <v>0</v>
      </c>
      <c r="I2806" s="653">
        <f t="shared" si="239"/>
        <v>0</v>
      </c>
      <c r="J2806" s="1364"/>
      <c r="K2806" s="1341"/>
      <c r="L2806" s="1341"/>
      <c r="M2806" s="1341"/>
      <c r="N2806" s="1341"/>
      <c r="O2806" s="1341"/>
      <c r="X2806" s="420"/>
    </row>
    <row r="2807" s="416" customFormat="1" hidden="1" outlineLevel="3" spans="2:24">
      <c r="B2807" s="1353" t="s">
        <v>3459</v>
      </c>
      <c r="C2807" s="429" t="str">
        <f>$G$1</f>
        <v>石嘴山市深阳蓝光市政工程有限公司</v>
      </c>
      <c r="D2807" s="1339" t="s">
        <v>1997</v>
      </c>
      <c r="E2807" s="1360"/>
      <c r="F2807" s="456"/>
      <c r="G2807" s="456"/>
      <c r="H2807" s="1359">
        <f t="shared" si="238"/>
        <v>0</v>
      </c>
      <c r="I2807" s="653">
        <f t="shared" si="239"/>
        <v>0</v>
      </c>
      <c r="J2807" s="1364"/>
      <c r="K2807" s="1341"/>
      <c r="L2807" s="1341"/>
      <c r="M2807" s="1341"/>
      <c r="N2807" s="1341"/>
      <c r="O2807" s="1341"/>
      <c r="X2807" s="501" t="b">
        <f t="shared" si="242"/>
        <v>1</v>
      </c>
    </row>
    <row r="2808" s="416" customFormat="1" hidden="1" outlineLevel="3" spans="2:24">
      <c r="B2808" s="1353"/>
      <c r="C2808" s="479"/>
      <c r="D2808" s="1339"/>
      <c r="E2808" s="1360"/>
      <c r="F2808" s="456"/>
      <c r="G2808" s="456"/>
      <c r="H2808" s="1359">
        <f t="shared" si="238"/>
        <v>0</v>
      </c>
      <c r="I2808" s="653">
        <f t="shared" si="239"/>
        <v>0</v>
      </c>
      <c r="J2808" s="1364"/>
      <c r="K2808" s="1341"/>
      <c r="L2808" s="1341"/>
      <c r="M2808" s="1341"/>
      <c r="N2808" s="1341"/>
      <c r="O2808" s="1341"/>
      <c r="X2808" s="420"/>
    </row>
    <row r="2809" s="416" customFormat="1" hidden="1" outlineLevel="3" spans="2:24">
      <c r="B2809" s="1353"/>
      <c r="C2809" s="479"/>
      <c r="D2809" s="1339"/>
      <c r="E2809" s="1360"/>
      <c r="F2809" s="456"/>
      <c r="G2809" s="456"/>
      <c r="H2809" s="1359">
        <f t="shared" si="238"/>
        <v>0</v>
      </c>
      <c r="I2809" s="653">
        <f t="shared" si="239"/>
        <v>0</v>
      </c>
      <c r="J2809" s="1364"/>
      <c r="K2809" s="1341"/>
      <c r="L2809" s="1341"/>
      <c r="M2809" s="1341"/>
      <c r="N2809" s="1341"/>
      <c r="O2809" s="1341"/>
      <c r="X2809" s="420"/>
    </row>
    <row r="2810" s="416" customFormat="1" hidden="1" outlineLevel="3" spans="2:24">
      <c r="B2810" s="1353"/>
      <c r="C2810" s="479"/>
      <c r="D2810" s="1339"/>
      <c r="E2810" s="1360"/>
      <c r="F2810" s="456"/>
      <c r="G2810" s="456"/>
      <c r="H2810" s="1359">
        <f t="shared" si="238"/>
        <v>0</v>
      </c>
      <c r="I2810" s="653">
        <f t="shared" si="239"/>
        <v>0</v>
      </c>
      <c r="J2810" s="1364"/>
      <c r="K2810" s="1341"/>
      <c r="L2810" s="1341"/>
      <c r="M2810" s="1341"/>
      <c r="N2810" s="1341"/>
      <c r="O2810" s="1341"/>
      <c r="X2810" s="420"/>
    </row>
    <row r="2811" s="416" customFormat="1" hidden="1" outlineLevel="3" spans="2:24">
      <c r="B2811" s="1353"/>
      <c r="C2811" s="479"/>
      <c r="D2811" s="1339"/>
      <c r="E2811" s="1360"/>
      <c r="F2811" s="456"/>
      <c r="G2811" s="456"/>
      <c r="H2811" s="1359">
        <f t="shared" si="238"/>
        <v>0</v>
      </c>
      <c r="I2811" s="653">
        <f t="shared" si="239"/>
        <v>0</v>
      </c>
      <c r="J2811" s="1364"/>
      <c r="K2811" s="1341"/>
      <c r="L2811" s="1341"/>
      <c r="M2811" s="1341"/>
      <c r="N2811" s="1341"/>
      <c r="O2811" s="1341"/>
      <c r="X2811" s="420"/>
    </row>
    <row r="2812" s="416" customFormat="1" hidden="1" outlineLevel="3" spans="2:24">
      <c r="B2812" s="1353"/>
      <c r="C2812" s="479"/>
      <c r="D2812" s="1339"/>
      <c r="E2812" s="1360"/>
      <c r="F2812" s="456"/>
      <c r="G2812" s="456"/>
      <c r="H2812" s="1359">
        <f t="shared" si="238"/>
        <v>0</v>
      </c>
      <c r="I2812" s="653">
        <f t="shared" si="239"/>
        <v>0</v>
      </c>
      <c r="J2812" s="1364"/>
      <c r="K2812" s="1341"/>
      <c r="L2812" s="1341"/>
      <c r="M2812" s="1341"/>
      <c r="N2812" s="1341"/>
      <c r="O2812" s="1341"/>
      <c r="X2812" s="420"/>
    </row>
    <row r="2813" s="416" customFormat="1" hidden="1" outlineLevel="3" spans="2:24">
      <c r="B2813" s="1353" t="s">
        <v>3459</v>
      </c>
      <c r="C2813" s="429" t="str">
        <f>$G$1</f>
        <v>石嘴山市深阳蓝光市政工程有限公司</v>
      </c>
      <c r="D2813" s="1339" t="s">
        <v>1997</v>
      </c>
      <c r="E2813" s="1360"/>
      <c r="F2813" s="456"/>
      <c r="G2813" s="456"/>
      <c r="H2813" s="1359">
        <f t="shared" si="238"/>
        <v>0</v>
      </c>
      <c r="I2813" s="653">
        <f t="shared" si="239"/>
        <v>0</v>
      </c>
      <c r="J2813" s="1364"/>
      <c r="K2813" s="1341"/>
      <c r="L2813" s="1341"/>
      <c r="M2813" s="1341"/>
      <c r="N2813" s="1341"/>
      <c r="O2813" s="1341"/>
      <c r="X2813" s="501" t="b">
        <f t="shared" si="242"/>
        <v>1</v>
      </c>
    </row>
    <row r="2814" s="416" customFormat="1" hidden="1" outlineLevel="3" spans="2:24">
      <c r="B2814" s="1353" t="s">
        <v>3459</v>
      </c>
      <c r="C2814" s="429" t="str">
        <f>$G$1</f>
        <v>石嘴山市深阳蓝光市政工程有限公司</v>
      </c>
      <c r="D2814" s="1339" t="s">
        <v>1997</v>
      </c>
      <c r="E2814" s="1360"/>
      <c r="F2814" s="456"/>
      <c r="G2814" s="456"/>
      <c r="H2814" s="1359">
        <f t="shared" si="238"/>
        <v>0</v>
      </c>
      <c r="I2814" s="653">
        <f t="shared" si="239"/>
        <v>0</v>
      </c>
      <c r="J2814" s="1364"/>
      <c r="K2814" s="1341"/>
      <c r="L2814" s="1341"/>
      <c r="M2814" s="1341"/>
      <c r="N2814" s="1341"/>
      <c r="O2814" s="1341"/>
      <c r="X2814" s="501" t="b">
        <f t="shared" si="242"/>
        <v>1</v>
      </c>
    </row>
    <row r="2815" s="416" customFormat="1" hidden="1" outlineLevel="3" spans="2:24">
      <c r="B2815" s="1353" t="s">
        <v>3459</v>
      </c>
      <c r="C2815" s="429" t="str">
        <f>$G$1</f>
        <v>石嘴山市深阳蓝光市政工程有限公司</v>
      </c>
      <c r="D2815" s="1339" t="s">
        <v>1997</v>
      </c>
      <c r="E2815" s="1360"/>
      <c r="F2815" s="456"/>
      <c r="G2815" s="456"/>
      <c r="H2815" s="1359">
        <f t="shared" si="238"/>
        <v>0</v>
      </c>
      <c r="I2815" s="653">
        <f t="shared" si="239"/>
        <v>0</v>
      </c>
      <c r="J2815" s="1364"/>
      <c r="K2815" s="1341"/>
      <c r="L2815" s="1341"/>
      <c r="M2815" s="1341"/>
      <c r="N2815" s="1341"/>
      <c r="O2815" s="1341"/>
      <c r="X2815" s="501" t="b">
        <f t="shared" si="242"/>
        <v>1</v>
      </c>
    </row>
    <row r="2816" s="416" customFormat="1" hidden="1" outlineLevel="3" spans="2:24">
      <c r="B2816" s="1353" t="s">
        <v>3459</v>
      </c>
      <c r="C2816" s="429" t="str">
        <f>$G$1</f>
        <v>石嘴山市深阳蓝光市政工程有限公司</v>
      </c>
      <c r="D2816" s="1339" t="s">
        <v>1997</v>
      </c>
      <c r="E2816" s="1360"/>
      <c r="F2816" s="456"/>
      <c r="G2816" s="456"/>
      <c r="H2816" s="1359">
        <f t="shared" si="238"/>
        <v>0</v>
      </c>
      <c r="I2816" s="653">
        <f t="shared" si="239"/>
        <v>0</v>
      </c>
      <c r="J2816" s="1364"/>
      <c r="K2816" s="1341"/>
      <c r="L2816" s="1341"/>
      <c r="M2816" s="1341"/>
      <c r="N2816" s="1341"/>
      <c r="O2816" s="1341"/>
      <c r="X2816" s="501" t="b">
        <f t="shared" si="242"/>
        <v>1</v>
      </c>
    </row>
    <row r="2817" s="416" customFormat="1" hidden="1" outlineLevel="3" spans="2:24">
      <c r="B2817" s="1353"/>
      <c r="C2817" s="479"/>
      <c r="D2817" s="1339"/>
      <c r="E2817" s="1024"/>
      <c r="F2817" s="456"/>
      <c r="G2817" s="456"/>
      <c r="H2817" s="1359">
        <f t="shared" si="238"/>
        <v>0</v>
      </c>
      <c r="I2817" s="653">
        <f t="shared" si="239"/>
        <v>0</v>
      </c>
      <c r="J2817" s="1364"/>
      <c r="K2817" s="1341"/>
      <c r="L2817" s="1341"/>
      <c r="M2817" s="1341"/>
      <c r="N2817" s="1341"/>
      <c r="O2817" s="1341"/>
      <c r="X2817" s="420"/>
    </row>
    <row r="2818" s="416" customFormat="1" hidden="1" outlineLevel="3" spans="2:24">
      <c r="B2818" s="1353" t="s">
        <v>3459</v>
      </c>
      <c r="C2818" s="429" t="str">
        <f t="shared" ref="C2818:C2828" si="244">$G$1</f>
        <v>石嘴山市深阳蓝光市政工程有限公司</v>
      </c>
      <c r="D2818" s="1339" t="s">
        <v>1997</v>
      </c>
      <c r="E2818" s="1024"/>
      <c r="F2818" s="456"/>
      <c r="G2818" s="456"/>
      <c r="H2818" s="1359">
        <f t="shared" si="238"/>
        <v>0</v>
      </c>
      <c r="I2818" s="653">
        <f t="shared" si="239"/>
        <v>0</v>
      </c>
      <c r="J2818" s="1364"/>
      <c r="K2818" s="1341"/>
      <c r="L2818" s="1341"/>
      <c r="M2818" s="1341"/>
      <c r="N2818" s="1341"/>
      <c r="O2818" s="1341"/>
      <c r="X2818" s="501" t="b">
        <f t="shared" si="242"/>
        <v>1</v>
      </c>
    </row>
    <row r="2819" s="416" customFormat="1" hidden="1" outlineLevel="3" spans="2:24">
      <c r="B2819" s="1353" t="s">
        <v>3459</v>
      </c>
      <c r="C2819" s="429" t="str">
        <f t="shared" si="244"/>
        <v>石嘴山市深阳蓝光市政工程有限公司</v>
      </c>
      <c r="D2819" s="1339" t="s">
        <v>1997</v>
      </c>
      <c r="E2819" s="1024"/>
      <c r="F2819" s="456"/>
      <c r="G2819" s="456"/>
      <c r="H2819" s="1359">
        <f>F2819-G2819</f>
        <v>0</v>
      </c>
      <c r="I2819" s="653">
        <f>IFERROR(H2819/G2819,0)</f>
        <v>0</v>
      </c>
      <c r="J2819" s="1364"/>
      <c r="K2819" s="1341"/>
      <c r="L2819" s="1341"/>
      <c r="M2819" s="1341"/>
      <c r="N2819" s="1341"/>
      <c r="O2819" s="1341"/>
      <c r="X2819" s="501" t="b">
        <f t="shared" si="242"/>
        <v>1</v>
      </c>
    </row>
    <row r="2820" s="416" customFormat="1" outlineLevel="2" spans="1:24">
      <c r="A2820" s="416" t="s">
        <v>1580</v>
      </c>
      <c r="B2820" s="1353" t="s">
        <v>3459</v>
      </c>
      <c r="C2820" s="429" t="str">
        <f t="shared" si="244"/>
        <v>石嘴山市深阳蓝光市政工程有限公司</v>
      </c>
      <c r="D2820" s="1339" t="s">
        <v>1997</v>
      </c>
      <c r="E2820" s="1366" t="s">
        <v>1580</v>
      </c>
      <c r="F2820" s="1359">
        <f>F2776+F2767+F2766+F2765+F2754</f>
        <v>0</v>
      </c>
      <c r="G2820" s="1359">
        <f>G2776+G2767+G2766+G2765+G2754</f>
        <v>0</v>
      </c>
      <c r="H2820" s="1359">
        <f>F2820-G2820</f>
        <v>0</v>
      </c>
      <c r="I2820" s="653">
        <f>IFERROR(H2820/G2820,0)</f>
        <v>0</v>
      </c>
      <c r="J2820" s="1376"/>
      <c r="K2820" s="1341"/>
      <c r="L2820" s="1341"/>
      <c r="M2820" s="1341"/>
      <c r="N2820" s="1341"/>
      <c r="O2820" s="1341"/>
      <c r="X2820" s="501" t="b">
        <f t="shared" si="242"/>
        <v>1</v>
      </c>
    </row>
    <row r="2821" s="416" customFormat="1" outlineLevel="2" spans="1:24">
      <c r="A2821" s="416" t="s">
        <v>1444</v>
      </c>
      <c r="B2821" s="1353" t="s">
        <v>3459</v>
      </c>
      <c r="C2821" s="429" t="str">
        <f t="shared" si="244"/>
        <v>石嘴山市深阳蓝光市政工程有限公司</v>
      </c>
      <c r="D2821" s="1339" t="s">
        <v>1997</v>
      </c>
      <c r="E2821" s="1322" t="s">
        <v>1444</v>
      </c>
      <c r="F2821" s="1367">
        <f>审定利润表!C10</f>
        <v>0</v>
      </c>
      <c r="G2821" s="1367">
        <f>审定利润表!D10</f>
        <v>0</v>
      </c>
      <c r="H2821" s="1368"/>
      <c r="I2821" s="1377"/>
      <c r="J2821" s="1378"/>
      <c r="K2821" s="1341"/>
      <c r="L2821" s="1341"/>
      <c r="M2821" s="1341"/>
      <c r="N2821" s="1341"/>
      <c r="O2821" s="1341"/>
      <c r="X2821" s="501" t="b">
        <f t="shared" si="242"/>
        <v>1</v>
      </c>
    </row>
    <row r="2822" s="416" customFormat="1" outlineLevel="2" spans="1:24">
      <c r="A2822" s="416" t="s">
        <v>1394</v>
      </c>
      <c r="B2822" s="1353" t="s">
        <v>3459</v>
      </c>
      <c r="C2822" s="429" t="str">
        <f t="shared" si="244"/>
        <v>石嘴山市深阳蓝光市政工程有限公司</v>
      </c>
      <c r="D2822" s="1339" t="s">
        <v>1997</v>
      </c>
      <c r="E2822" s="1322" t="s">
        <v>1394</v>
      </c>
      <c r="F2822" s="721">
        <f>ROUND(F2820-F2821,2)</f>
        <v>0</v>
      </c>
      <c r="G2822" s="721">
        <f>ROUND(G2820-G2821,2)</f>
        <v>0</v>
      </c>
      <c r="H2822" s="1368"/>
      <c r="I2822" s="1377"/>
      <c r="J2822" s="1378"/>
      <c r="K2822" s="1341"/>
      <c r="L2822" s="1341"/>
      <c r="M2822" s="1341"/>
      <c r="N2822" s="1341"/>
      <c r="O2822" s="1341"/>
      <c r="X2822" s="501" t="b">
        <f t="shared" si="242"/>
        <v>1</v>
      </c>
    </row>
    <row r="2823" s="416" customFormat="1" outlineLevel="2" spans="1:24">
      <c r="A2823" s="416" t="s">
        <v>1999</v>
      </c>
      <c r="B2823" s="421" t="s">
        <v>3500</v>
      </c>
      <c r="C2823" s="429" t="str">
        <f t="shared" si="244"/>
        <v>石嘴山市深阳蓝光市政工程有限公司</v>
      </c>
      <c r="D2823" s="1369" t="s">
        <v>3501</v>
      </c>
      <c r="E2823" s="937" t="s">
        <v>3502</v>
      </c>
      <c r="F2823" s="1370" t="s">
        <v>3503</v>
      </c>
      <c r="G2823" s="937"/>
      <c r="H2823" s="1341"/>
      <c r="I2823" s="1341"/>
      <c r="J2823" s="1341"/>
      <c r="K2823" s="1341"/>
      <c r="L2823" s="1341"/>
      <c r="M2823" s="1341"/>
      <c r="N2823" s="1341"/>
      <c r="O2823" s="1341"/>
      <c r="X2823" s="501" t="b">
        <f t="shared" si="242"/>
        <v>0</v>
      </c>
    </row>
    <row r="2824" s="416" customFormat="1" outlineLevel="2" spans="1:24">
      <c r="A2824" s="416" t="s">
        <v>60</v>
      </c>
      <c r="B2824" s="421" t="s">
        <v>3500</v>
      </c>
      <c r="C2824" s="429" t="str">
        <f t="shared" si="244"/>
        <v>石嘴山市深阳蓝光市政工程有限公司</v>
      </c>
      <c r="D2824" s="1369" t="s">
        <v>3501</v>
      </c>
      <c r="E2824" s="1347" t="s">
        <v>60</v>
      </c>
      <c r="F2824" s="1347" t="s">
        <v>1906</v>
      </c>
      <c r="G2824" s="1347" t="s">
        <v>1910</v>
      </c>
      <c r="H2824" s="1347" t="s">
        <v>3463</v>
      </c>
      <c r="I2824" s="1347" t="s">
        <v>2243</v>
      </c>
      <c r="J2824" s="1347" t="s">
        <v>3405</v>
      </c>
      <c r="K2824" s="1341"/>
      <c r="L2824" s="1341"/>
      <c r="M2824" s="1341"/>
      <c r="N2824" s="1341"/>
      <c r="O2824" s="1341"/>
      <c r="X2824" s="501" t="b">
        <f t="shared" si="242"/>
        <v>1</v>
      </c>
    </row>
    <row r="2825" s="416" customFormat="1" outlineLevel="2" spans="1:24">
      <c r="A2825" s="416" t="s">
        <v>3464</v>
      </c>
      <c r="B2825" s="421" t="s">
        <v>3500</v>
      </c>
      <c r="C2825" s="429" t="str">
        <f t="shared" si="244"/>
        <v>石嘴山市深阳蓝光市政工程有限公司</v>
      </c>
      <c r="D2825" s="1369" t="s">
        <v>3501</v>
      </c>
      <c r="E2825" s="1357" t="s">
        <v>3464</v>
      </c>
      <c r="F2825" s="1358">
        <f>SUM(F2826:F2835)</f>
        <v>0</v>
      </c>
      <c r="G2825" s="1358">
        <f>SUM(G2826:G2835)</f>
        <v>0</v>
      </c>
      <c r="H2825" s="1359">
        <f>F2825-G2825</f>
        <v>0</v>
      </c>
      <c r="I2825" s="653">
        <f>IFERROR(H2825/G2825,0)</f>
        <v>0</v>
      </c>
      <c r="J2825" s="1364"/>
      <c r="K2825" s="1341"/>
      <c r="L2825" s="1341"/>
      <c r="M2825" s="1341"/>
      <c r="N2825" s="1341"/>
      <c r="O2825" s="1341"/>
      <c r="X2825" s="501" t="b">
        <f t="shared" si="242"/>
        <v>1</v>
      </c>
    </row>
    <row r="2826" s="416" customFormat="1" outlineLevel="2" spans="1:24">
      <c r="A2826" s="416" t="s">
        <v>3465</v>
      </c>
      <c r="B2826" s="421" t="s">
        <v>3500</v>
      </c>
      <c r="C2826" s="429" t="str">
        <f t="shared" si="244"/>
        <v>石嘴山市深阳蓝光市政工程有限公司</v>
      </c>
      <c r="D2826" s="1369" t="s">
        <v>3501</v>
      </c>
      <c r="E2826" s="1371" t="s">
        <v>3504</v>
      </c>
      <c r="F2826" s="1359">
        <f>'2.销售费用'!H5+'2.销售费用'!H6</f>
        <v>0</v>
      </c>
      <c r="G2826" s="1359">
        <f>'2.销售费用'!I5+'2.销售费用'!I6</f>
        <v>0</v>
      </c>
      <c r="H2826" s="1359">
        <f t="shared" ref="H2826:H2884" si="245">F2826-G2826</f>
        <v>0</v>
      </c>
      <c r="I2826" s="653">
        <f t="shared" ref="I2826:I2884" si="246">IFERROR(H2826/G2826,0)</f>
        <v>0</v>
      </c>
      <c r="J2826" s="1364"/>
      <c r="K2826" s="1341"/>
      <c r="L2826" s="1341"/>
      <c r="M2826" s="1341"/>
      <c r="N2826" s="1341"/>
      <c r="O2826" s="1341"/>
      <c r="X2826" s="501" t="b">
        <f t="shared" si="242"/>
        <v>0</v>
      </c>
    </row>
    <row r="2827" s="416" customFormat="1" outlineLevel="2" spans="1:24">
      <c r="A2827" s="416" t="s">
        <v>3467</v>
      </c>
      <c r="B2827" s="421" t="s">
        <v>3500</v>
      </c>
      <c r="C2827" s="429" t="str">
        <f t="shared" si="244"/>
        <v>石嘴山市深阳蓝光市政工程有限公司</v>
      </c>
      <c r="D2827" s="1369" t="s">
        <v>3501</v>
      </c>
      <c r="E2827" s="1371" t="s">
        <v>3505</v>
      </c>
      <c r="F2827" s="1359">
        <f>'2.销售费用'!H9</f>
        <v>0</v>
      </c>
      <c r="G2827" s="1359">
        <f>'2.销售费用'!I9</f>
        <v>0</v>
      </c>
      <c r="H2827" s="1359">
        <f t="shared" si="245"/>
        <v>0</v>
      </c>
      <c r="I2827" s="653">
        <f t="shared" si="246"/>
        <v>0</v>
      </c>
      <c r="J2827" s="1364"/>
      <c r="K2827" s="1341"/>
      <c r="L2827" s="1341"/>
      <c r="M2827" s="1341"/>
      <c r="N2827" s="1341"/>
      <c r="O2827" s="1341"/>
      <c r="X2827" s="501" t="b">
        <f t="shared" si="242"/>
        <v>0</v>
      </c>
    </row>
    <row r="2828" s="416" customFormat="1" outlineLevel="2" spans="1:24">
      <c r="A2828" s="416" t="s">
        <v>3472</v>
      </c>
      <c r="B2828" s="421" t="s">
        <v>3500</v>
      </c>
      <c r="C2828" s="429" t="str">
        <f t="shared" si="244"/>
        <v>石嘴山市深阳蓝光市政工程有限公司</v>
      </c>
      <c r="D2828" s="1369" t="s">
        <v>3501</v>
      </c>
      <c r="E2828" s="1371" t="s">
        <v>3506</v>
      </c>
      <c r="F2828" s="1359">
        <f>'2.销售费用'!H7</f>
        <v>0</v>
      </c>
      <c r="G2828" s="1359">
        <f>'2.销售费用'!I7</f>
        <v>0</v>
      </c>
      <c r="H2828" s="1359">
        <f t="shared" si="245"/>
        <v>0</v>
      </c>
      <c r="I2828" s="653">
        <f t="shared" si="246"/>
        <v>0</v>
      </c>
      <c r="J2828" s="1364"/>
      <c r="K2828" s="1341"/>
      <c r="L2828" s="1341"/>
      <c r="M2828" s="1341"/>
      <c r="N2828" s="1341"/>
      <c r="O2828" s="1341"/>
      <c r="X2828" s="501" t="b">
        <f t="shared" si="242"/>
        <v>0</v>
      </c>
    </row>
    <row r="2829" s="416" customFormat="1" outlineLevel="2" spans="2:24">
      <c r="B2829" s="421"/>
      <c r="C2829" s="479"/>
      <c r="D2829" s="1369"/>
      <c r="E2829" s="1371" t="s">
        <v>3507</v>
      </c>
      <c r="F2829" s="1359">
        <f>'2.销售费用'!H8</f>
        <v>0</v>
      </c>
      <c r="G2829" s="1359">
        <f>'2.销售费用'!I8</f>
        <v>0</v>
      </c>
      <c r="H2829" s="1359">
        <f t="shared" si="245"/>
        <v>0</v>
      </c>
      <c r="I2829" s="653">
        <f t="shared" si="246"/>
        <v>0</v>
      </c>
      <c r="J2829" s="1364"/>
      <c r="K2829" s="1341"/>
      <c r="L2829" s="1341"/>
      <c r="M2829" s="1341"/>
      <c r="N2829" s="1341"/>
      <c r="O2829" s="1341"/>
      <c r="X2829" s="420"/>
    </row>
    <row r="2830" s="416" customFormat="1" outlineLevel="2" spans="2:24">
      <c r="B2830" s="421"/>
      <c r="C2830" s="479"/>
      <c r="D2830" s="1369"/>
      <c r="E2830" s="1371" t="s">
        <v>3508</v>
      </c>
      <c r="F2830" s="1359">
        <f>'2.销售费用'!H13</f>
        <v>0</v>
      </c>
      <c r="G2830" s="1359">
        <f>'2.销售费用'!I13</f>
        <v>0</v>
      </c>
      <c r="H2830" s="1359">
        <f t="shared" si="245"/>
        <v>0</v>
      </c>
      <c r="I2830" s="653">
        <f t="shared" si="246"/>
        <v>0</v>
      </c>
      <c r="J2830" s="1364"/>
      <c r="K2830" s="1341"/>
      <c r="L2830" s="1341"/>
      <c r="M2830" s="1341"/>
      <c r="N2830" s="1341"/>
      <c r="O2830" s="1341"/>
      <c r="X2830" s="420"/>
    </row>
    <row r="2831" s="416" customFormat="1" outlineLevel="2" spans="2:24">
      <c r="B2831" s="421"/>
      <c r="C2831" s="479"/>
      <c r="D2831" s="1369"/>
      <c r="E2831" s="1371" t="s">
        <v>3509</v>
      </c>
      <c r="F2831" s="1359">
        <f>'2.销售费用'!H14</f>
        <v>0</v>
      </c>
      <c r="G2831" s="1359">
        <f>'2.销售费用'!I14</f>
        <v>0</v>
      </c>
      <c r="H2831" s="1359">
        <f t="shared" si="245"/>
        <v>0</v>
      </c>
      <c r="I2831" s="653">
        <f t="shared" si="246"/>
        <v>0</v>
      </c>
      <c r="J2831" s="1364"/>
      <c r="K2831" s="1341"/>
      <c r="L2831" s="1341"/>
      <c r="M2831" s="1341"/>
      <c r="N2831" s="1341"/>
      <c r="O2831" s="1341"/>
      <c r="X2831" s="420"/>
    </row>
    <row r="2832" s="416" customFormat="1" outlineLevel="2" spans="1:24">
      <c r="A2832" s="416" t="s">
        <v>3474</v>
      </c>
      <c r="B2832" s="421" t="s">
        <v>3500</v>
      </c>
      <c r="C2832" s="429" t="str">
        <f t="shared" ref="C2832:C2840" si="247">$G$1</f>
        <v>石嘴山市深阳蓝光市政工程有限公司</v>
      </c>
      <c r="D2832" s="1369" t="s">
        <v>3501</v>
      </c>
      <c r="E2832" s="1026" t="s">
        <v>3510</v>
      </c>
      <c r="F2832" s="1359">
        <f>'2.销售费用'!H15</f>
        <v>0</v>
      </c>
      <c r="G2832" s="1359">
        <f>'2.销售费用'!I15</f>
        <v>0</v>
      </c>
      <c r="H2832" s="1359">
        <f t="shared" si="245"/>
        <v>0</v>
      </c>
      <c r="I2832" s="653">
        <f t="shared" si="246"/>
        <v>0</v>
      </c>
      <c r="J2832" s="1364"/>
      <c r="K2832" s="1341"/>
      <c r="L2832" s="1341"/>
      <c r="M2832" s="1341"/>
      <c r="N2832" s="1341"/>
      <c r="O2832" s="1341"/>
      <c r="X2832" s="501" t="b">
        <f t="shared" si="242"/>
        <v>0</v>
      </c>
    </row>
    <row r="2833" s="416" customFormat="1" outlineLevel="2" spans="1:24">
      <c r="A2833" s="416" t="s">
        <v>3476</v>
      </c>
      <c r="B2833" s="421" t="s">
        <v>3500</v>
      </c>
      <c r="C2833" s="429" t="str">
        <f t="shared" si="247"/>
        <v>石嘴山市深阳蓝光市政工程有限公司</v>
      </c>
      <c r="D2833" s="1369" t="s">
        <v>3501</v>
      </c>
      <c r="E2833" s="1371" t="s">
        <v>3511</v>
      </c>
      <c r="F2833" s="1359">
        <f>'2.销售费用'!H16</f>
        <v>0</v>
      </c>
      <c r="G2833" s="1359">
        <f>'2.销售费用'!I16</f>
        <v>0</v>
      </c>
      <c r="H2833" s="1359">
        <f t="shared" si="245"/>
        <v>0</v>
      </c>
      <c r="I2833" s="653">
        <f t="shared" si="246"/>
        <v>0</v>
      </c>
      <c r="J2833" s="1364"/>
      <c r="K2833" s="1341"/>
      <c r="L2833" s="1341"/>
      <c r="M2833" s="1341"/>
      <c r="N2833" s="1341"/>
      <c r="O2833" s="1341"/>
      <c r="X2833" s="501" t="b">
        <f t="shared" si="242"/>
        <v>0</v>
      </c>
    </row>
    <row r="2834" s="416" customFormat="1" outlineLevel="2" spans="1:24">
      <c r="A2834" s="416" t="s">
        <v>3478</v>
      </c>
      <c r="B2834" s="421" t="s">
        <v>3500</v>
      </c>
      <c r="C2834" s="429" t="str">
        <f t="shared" si="247"/>
        <v>石嘴山市深阳蓝光市政工程有限公司</v>
      </c>
      <c r="D2834" s="1369" t="s">
        <v>3501</v>
      </c>
      <c r="E2834" s="1026" t="s">
        <v>3512</v>
      </c>
      <c r="F2834" s="456"/>
      <c r="G2834" s="456"/>
      <c r="H2834" s="1359">
        <f t="shared" si="245"/>
        <v>0</v>
      </c>
      <c r="I2834" s="653">
        <f t="shared" si="246"/>
        <v>0</v>
      </c>
      <c r="J2834" s="1364"/>
      <c r="K2834" s="1341"/>
      <c r="L2834" s="1341"/>
      <c r="M2834" s="1341"/>
      <c r="N2834" s="1341"/>
      <c r="O2834" s="1341"/>
      <c r="X2834" s="501" t="b">
        <f t="shared" si="242"/>
        <v>0</v>
      </c>
    </row>
    <row r="2835" s="416" customFormat="1" outlineLevel="2" spans="1:24">
      <c r="A2835" s="416" t="s">
        <v>3480</v>
      </c>
      <c r="B2835" s="421" t="s">
        <v>3500</v>
      </c>
      <c r="C2835" s="429" t="str">
        <f t="shared" si="247"/>
        <v>石嘴山市深阳蓝光市政工程有限公司</v>
      </c>
      <c r="D2835" s="1369" t="s">
        <v>3501</v>
      </c>
      <c r="E2835" s="1026" t="s">
        <v>3513</v>
      </c>
      <c r="F2835" s="456"/>
      <c r="G2835" s="456"/>
      <c r="H2835" s="1359">
        <f t="shared" si="245"/>
        <v>0</v>
      </c>
      <c r="I2835" s="653">
        <f t="shared" si="246"/>
        <v>0</v>
      </c>
      <c r="J2835" s="1364"/>
      <c r="K2835" s="1341"/>
      <c r="L2835" s="1341"/>
      <c r="M2835" s="1341"/>
      <c r="N2835" s="1341"/>
      <c r="O2835" s="1341"/>
      <c r="X2835" s="501" t="b">
        <f t="shared" si="242"/>
        <v>0</v>
      </c>
    </row>
    <row r="2836" s="416" customFormat="1" outlineLevel="2" spans="1:24">
      <c r="A2836" s="416" t="s">
        <v>3482</v>
      </c>
      <c r="B2836" s="421" t="s">
        <v>3500</v>
      </c>
      <c r="C2836" s="429" t="str">
        <f t="shared" si="247"/>
        <v>石嘴山市深阳蓝光市政工程有限公司</v>
      </c>
      <c r="D2836" s="1369" t="s">
        <v>3501</v>
      </c>
      <c r="E2836" s="1357" t="s">
        <v>3482</v>
      </c>
      <c r="F2836" s="1359">
        <f>'2.销售费用'!H21</f>
        <v>0</v>
      </c>
      <c r="G2836" s="1359">
        <f>'2.销售费用'!I21</f>
        <v>0</v>
      </c>
      <c r="H2836" s="1359">
        <f t="shared" si="245"/>
        <v>0</v>
      </c>
      <c r="I2836" s="653">
        <f t="shared" si="246"/>
        <v>0</v>
      </c>
      <c r="J2836" s="1364"/>
      <c r="K2836" s="1341"/>
      <c r="L2836" s="1341"/>
      <c r="M2836" s="1341"/>
      <c r="N2836" s="1341"/>
      <c r="O2836" s="1341"/>
      <c r="X2836" s="501" t="b">
        <f t="shared" si="242"/>
        <v>1</v>
      </c>
    </row>
    <row r="2837" s="416" customFormat="1" outlineLevel="2" spans="1:24">
      <c r="A2837" s="416" t="s">
        <v>1458</v>
      </c>
      <c r="B2837" s="421" t="s">
        <v>3500</v>
      </c>
      <c r="C2837" s="429" t="str">
        <f t="shared" si="247"/>
        <v>石嘴山市深阳蓝光市政工程有限公司</v>
      </c>
      <c r="D2837" s="1369" t="s">
        <v>3501</v>
      </c>
      <c r="E2837" s="1357" t="s">
        <v>1458</v>
      </c>
      <c r="F2837" s="456"/>
      <c r="G2837" s="456"/>
      <c r="H2837" s="1359">
        <f t="shared" si="245"/>
        <v>0</v>
      </c>
      <c r="I2837" s="653">
        <f t="shared" si="246"/>
        <v>0</v>
      </c>
      <c r="J2837" s="1364"/>
      <c r="K2837" s="1341"/>
      <c r="L2837" s="1341"/>
      <c r="M2837" s="1341"/>
      <c r="N2837" s="1341"/>
      <c r="O2837" s="1341"/>
      <c r="X2837" s="501" t="b">
        <f t="shared" si="242"/>
        <v>1</v>
      </c>
    </row>
    <row r="2838" s="416" customFormat="1" outlineLevel="2" spans="1:24">
      <c r="A2838" s="416" t="s">
        <v>3483</v>
      </c>
      <c r="B2838" s="421" t="s">
        <v>3500</v>
      </c>
      <c r="C2838" s="429" t="str">
        <f t="shared" si="247"/>
        <v>石嘴山市深阳蓝光市政工程有限公司</v>
      </c>
      <c r="D2838" s="1369" t="s">
        <v>3501</v>
      </c>
      <c r="E2838" s="1357" t="s">
        <v>3483</v>
      </c>
      <c r="F2838" s="1358">
        <f>SUM(F2839:F2846)</f>
        <v>0</v>
      </c>
      <c r="G2838" s="1358">
        <f>SUM(G2839:G2846)</f>
        <v>0</v>
      </c>
      <c r="H2838" s="1359">
        <f t="shared" si="245"/>
        <v>0</v>
      </c>
      <c r="I2838" s="653">
        <f t="shared" si="246"/>
        <v>0</v>
      </c>
      <c r="J2838" s="1364"/>
      <c r="K2838" s="1341"/>
      <c r="L2838" s="1341"/>
      <c r="M2838" s="1341"/>
      <c r="N2838" s="1341"/>
      <c r="O2838" s="1341"/>
      <c r="X2838" s="501" t="b">
        <f t="shared" si="242"/>
        <v>1</v>
      </c>
    </row>
    <row r="2839" s="416" customFormat="1" outlineLevel="2" spans="1:24">
      <c r="A2839" s="416" t="s">
        <v>3485</v>
      </c>
      <c r="B2839" s="421" t="s">
        <v>3500</v>
      </c>
      <c r="C2839" s="429" t="str">
        <f t="shared" si="247"/>
        <v>石嘴山市深阳蓝光市政工程有限公司</v>
      </c>
      <c r="D2839" s="1369" t="s">
        <v>3501</v>
      </c>
      <c r="E2839" s="626" t="s">
        <v>3514</v>
      </c>
      <c r="F2839" s="456"/>
      <c r="G2839" s="456"/>
      <c r="H2839" s="1359">
        <f t="shared" si="245"/>
        <v>0</v>
      </c>
      <c r="I2839" s="653">
        <f t="shared" si="246"/>
        <v>0</v>
      </c>
      <c r="J2839" s="1364"/>
      <c r="K2839" s="1341"/>
      <c r="L2839" s="1341"/>
      <c r="M2839" s="1341"/>
      <c r="N2839" s="1341"/>
      <c r="O2839" s="1341"/>
      <c r="X2839" s="501" t="b">
        <f t="shared" si="242"/>
        <v>0</v>
      </c>
    </row>
    <row r="2840" s="416" customFormat="1" outlineLevel="2" spans="1:24">
      <c r="A2840" s="416" t="s">
        <v>3487</v>
      </c>
      <c r="B2840" s="421" t="s">
        <v>3500</v>
      </c>
      <c r="C2840" s="429" t="str">
        <f t="shared" si="247"/>
        <v>石嘴山市深阳蓝光市政工程有限公司</v>
      </c>
      <c r="D2840" s="1369" t="s">
        <v>3501</v>
      </c>
      <c r="E2840" s="626" t="s">
        <v>3515</v>
      </c>
      <c r="F2840" s="456"/>
      <c r="G2840" s="456"/>
      <c r="H2840" s="1359">
        <f t="shared" si="245"/>
        <v>0</v>
      </c>
      <c r="I2840" s="653">
        <f t="shared" si="246"/>
        <v>0</v>
      </c>
      <c r="J2840" s="1364"/>
      <c r="K2840" s="1341"/>
      <c r="L2840" s="1341"/>
      <c r="M2840" s="1341"/>
      <c r="N2840" s="1341"/>
      <c r="O2840" s="1341"/>
      <c r="X2840" s="501" t="b">
        <f t="shared" si="242"/>
        <v>0</v>
      </c>
    </row>
    <row r="2841" s="416" customFormat="1" outlineLevel="2" spans="2:24">
      <c r="B2841" s="421"/>
      <c r="C2841" s="479"/>
      <c r="D2841" s="1369"/>
      <c r="E2841" s="626" t="s">
        <v>3516</v>
      </c>
      <c r="F2841" s="1359">
        <f>'2.销售费用'!H24</f>
        <v>0</v>
      </c>
      <c r="G2841" s="1359">
        <f>'2.销售费用'!I24</f>
        <v>0</v>
      </c>
      <c r="H2841" s="1359">
        <f t="shared" si="245"/>
        <v>0</v>
      </c>
      <c r="I2841" s="653">
        <f t="shared" si="246"/>
        <v>0</v>
      </c>
      <c r="J2841" s="1364"/>
      <c r="K2841" s="1341"/>
      <c r="L2841" s="1341"/>
      <c r="M2841" s="1341"/>
      <c r="N2841" s="1341"/>
      <c r="O2841" s="1341"/>
      <c r="X2841" s="420"/>
    </row>
    <row r="2842" s="416" customFormat="1" outlineLevel="2" spans="2:24">
      <c r="B2842" s="421"/>
      <c r="C2842" s="479"/>
      <c r="D2842" s="1369"/>
      <c r="E2842" s="626" t="s">
        <v>3517</v>
      </c>
      <c r="F2842" s="456"/>
      <c r="G2842" s="456"/>
      <c r="H2842" s="1359">
        <f t="shared" si="245"/>
        <v>0</v>
      </c>
      <c r="I2842" s="653">
        <f t="shared" si="246"/>
        <v>0</v>
      </c>
      <c r="J2842" s="1364"/>
      <c r="K2842" s="1341"/>
      <c r="L2842" s="1341"/>
      <c r="M2842" s="1341"/>
      <c r="N2842" s="1341"/>
      <c r="O2842" s="1341"/>
      <c r="X2842" s="420"/>
    </row>
    <row r="2843" s="416" customFormat="1" outlineLevel="2" spans="2:24">
      <c r="B2843" s="421"/>
      <c r="C2843" s="479"/>
      <c r="D2843" s="1369"/>
      <c r="E2843" s="626" t="s">
        <v>3518</v>
      </c>
      <c r="F2843" s="456"/>
      <c r="G2843" s="456"/>
      <c r="H2843" s="1359">
        <f t="shared" si="245"/>
        <v>0</v>
      </c>
      <c r="I2843" s="653">
        <f t="shared" si="246"/>
        <v>0</v>
      </c>
      <c r="J2843" s="1364"/>
      <c r="K2843" s="1341"/>
      <c r="L2843" s="1341"/>
      <c r="M2843" s="1341"/>
      <c r="N2843" s="1341"/>
      <c r="O2843" s="1341"/>
      <c r="X2843" s="420"/>
    </row>
    <row r="2844" s="416" customFormat="1" outlineLevel="2" spans="1:24">
      <c r="A2844" s="416" t="s">
        <v>3492</v>
      </c>
      <c r="B2844" s="421" t="s">
        <v>3500</v>
      </c>
      <c r="C2844" s="429" t="str">
        <f t="shared" ref="C2844:C2861" si="248">$G$1</f>
        <v>石嘴山市深阳蓝光市政工程有限公司</v>
      </c>
      <c r="D2844" s="1369" t="s">
        <v>3501</v>
      </c>
      <c r="E2844" s="626" t="s">
        <v>3519</v>
      </c>
      <c r="F2844" s="456"/>
      <c r="G2844" s="456"/>
      <c r="H2844" s="1359">
        <f t="shared" si="245"/>
        <v>0</v>
      </c>
      <c r="I2844" s="653">
        <f t="shared" si="246"/>
        <v>0</v>
      </c>
      <c r="J2844" s="1364"/>
      <c r="K2844" s="1341"/>
      <c r="L2844" s="1341"/>
      <c r="M2844" s="1341"/>
      <c r="N2844" s="1341"/>
      <c r="O2844" s="1341"/>
      <c r="X2844" s="501" t="b">
        <f t="shared" si="242"/>
        <v>0</v>
      </c>
    </row>
    <row r="2845" s="416" customFormat="1" outlineLevel="2" spans="1:24">
      <c r="A2845" s="416" t="s">
        <v>3494</v>
      </c>
      <c r="B2845" s="421" t="s">
        <v>3500</v>
      </c>
      <c r="C2845" s="429" t="str">
        <f t="shared" si="248"/>
        <v>石嘴山市深阳蓝光市政工程有限公司</v>
      </c>
      <c r="D2845" s="1369" t="s">
        <v>3501</v>
      </c>
      <c r="E2845" s="626" t="s">
        <v>3520</v>
      </c>
      <c r="F2845" s="456"/>
      <c r="G2845" s="456"/>
      <c r="H2845" s="1359">
        <f t="shared" si="245"/>
        <v>0</v>
      </c>
      <c r="I2845" s="653">
        <f t="shared" si="246"/>
        <v>0</v>
      </c>
      <c r="J2845" s="1364"/>
      <c r="K2845" s="1341"/>
      <c r="L2845" s="1341"/>
      <c r="M2845" s="1341"/>
      <c r="N2845" s="1341"/>
      <c r="O2845" s="1341"/>
      <c r="X2845" s="501" t="b">
        <f t="shared" si="242"/>
        <v>0</v>
      </c>
    </row>
    <row r="2846" s="416" customFormat="1" outlineLevel="2" spans="1:24">
      <c r="A2846" s="416" t="s">
        <v>3496</v>
      </c>
      <c r="B2846" s="421" t="s">
        <v>3500</v>
      </c>
      <c r="C2846" s="429" t="str">
        <f t="shared" si="248"/>
        <v>石嘴山市深阳蓝光市政工程有限公司</v>
      </c>
      <c r="D2846" s="1369" t="s">
        <v>3501</v>
      </c>
      <c r="E2846" s="626" t="s">
        <v>3521</v>
      </c>
      <c r="F2846" s="456"/>
      <c r="G2846" s="456"/>
      <c r="H2846" s="1359">
        <f t="shared" si="245"/>
        <v>0</v>
      </c>
      <c r="I2846" s="653">
        <f t="shared" si="246"/>
        <v>0</v>
      </c>
      <c r="J2846" s="1364"/>
      <c r="K2846" s="1341"/>
      <c r="L2846" s="1341"/>
      <c r="M2846" s="1341"/>
      <c r="N2846" s="1341"/>
      <c r="O2846" s="1341"/>
      <c r="X2846" s="501" t="b">
        <f t="shared" si="242"/>
        <v>0</v>
      </c>
    </row>
    <row r="2847" s="416" customFormat="1" outlineLevel="2" spans="1:24">
      <c r="A2847" s="416" t="s">
        <v>3498</v>
      </c>
      <c r="B2847" s="421" t="s">
        <v>3500</v>
      </c>
      <c r="C2847" s="429" t="str">
        <f t="shared" si="248"/>
        <v>石嘴山市深阳蓝光市政工程有限公司</v>
      </c>
      <c r="D2847" s="1369" t="s">
        <v>3501</v>
      </c>
      <c r="E2847" s="1372" t="s">
        <v>3498</v>
      </c>
      <c r="F2847" s="1373">
        <f>SUM(F2848:F2883)</f>
        <v>0</v>
      </c>
      <c r="G2847" s="1373">
        <f>SUM(G2848:G2883)</f>
        <v>0</v>
      </c>
      <c r="H2847" s="1359">
        <f t="shared" si="245"/>
        <v>0</v>
      </c>
      <c r="I2847" s="653">
        <f t="shared" si="246"/>
        <v>0</v>
      </c>
      <c r="J2847" s="1364"/>
      <c r="K2847" s="1341"/>
      <c r="L2847" s="1341"/>
      <c r="M2847" s="1341"/>
      <c r="N2847" s="1341"/>
      <c r="O2847" s="1341"/>
      <c r="X2847" s="501" t="b">
        <f t="shared" si="242"/>
        <v>1</v>
      </c>
    </row>
    <row r="2848" s="416" customFormat="1" outlineLevel="2" spans="2:24">
      <c r="B2848" s="421" t="s">
        <v>3500</v>
      </c>
      <c r="C2848" s="429" t="str">
        <f t="shared" si="248"/>
        <v>石嘴山市深阳蓝光市政工程有限公司</v>
      </c>
      <c r="D2848" s="1369" t="s">
        <v>3501</v>
      </c>
      <c r="E2848" s="1359" t="str">
        <f>'2.销售费用'!F17</f>
        <v>  办公费</v>
      </c>
      <c r="F2848" s="1359">
        <f>'2.销售费用'!H17</f>
        <v>0</v>
      </c>
      <c r="G2848" s="1359">
        <f>'2.销售费用'!I17</f>
        <v>0</v>
      </c>
      <c r="H2848" s="1359">
        <f t="shared" si="245"/>
        <v>0</v>
      </c>
      <c r="I2848" s="653">
        <f t="shared" si="246"/>
        <v>0</v>
      </c>
      <c r="J2848" s="1364"/>
      <c r="K2848" s="1341"/>
      <c r="L2848" s="1341"/>
      <c r="M2848" s="1341"/>
      <c r="N2848" s="1341"/>
      <c r="O2848" s="1341"/>
      <c r="X2848" s="501" t="b">
        <f t="shared" si="242"/>
        <v>0</v>
      </c>
    </row>
    <row r="2849" s="416" customFormat="1" outlineLevel="2" spans="2:24">
      <c r="B2849" s="421" t="s">
        <v>3500</v>
      </c>
      <c r="C2849" s="429" t="str">
        <f t="shared" si="248"/>
        <v>石嘴山市深阳蓝光市政工程有限公司</v>
      </c>
      <c r="D2849" s="1369" t="s">
        <v>3501</v>
      </c>
      <c r="E2849" s="1359" t="str">
        <f>'2.销售费用'!F18</f>
        <v>  通讯费</v>
      </c>
      <c r="F2849" s="1359">
        <f>'2.销售费用'!H18</f>
        <v>0</v>
      </c>
      <c r="G2849" s="1359">
        <f>'2.销售费用'!I18</f>
        <v>0</v>
      </c>
      <c r="H2849" s="1359">
        <f t="shared" si="245"/>
        <v>0</v>
      </c>
      <c r="I2849" s="653">
        <f t="shared" si="246"/>
        <v>0</v>
      </c>
      <c r="J2849" s="1364"/>
      <c r="K2849" s="1341"/>
      <c r="L2849" s="1341"/>
      <c r="M2849" s="1341"/>
      <c r="N2849" s="1341"/>
      <c r="O2849" s="1341"/>
      <c r="X2849" s="501" t="b">
        <f t="shared" si="242"/>
        <v>0</v>
      </c>
    </row>
    <row r="2850" s="416" customFormat="1" outlineLevel="2" spans="2:24">
      <c r="B2850" s="421" t="s">
        <v>3500</v>
      </c>
      <c r="C2850" s="429" t="str">
        <f t="shared" si="248"/>
        <v>石嘴山市深阳蓝光市政工程有限公司</v>
      </c>
      <c r="D2850" s="1369" t="s">
        <v>3501</v>
      </c>
      <c r="E2850" s="1359" t="str">
        <f>'2.销售费用'!F19</f>
        <v>  业务招待费</v>
      </c>
      <c r="F2850" s="1359">
        <f>'2.销售费用'!H19</f>
        <v>0</v>
      </c>
      <c r="G2850" s="1359">
        <f>'2.销售费用'!I19</f>
        <v>0</v>
      </c>
      <c r="H2850" s="1359">
        <f t="shared" si="245"/>
        <v>0</v>
      </c>
      <c r="I2850" s="653">
        <f t="shared" si="246"/>
        <v>0</v>
      </c>
      <c r="J2850" s="1364"/>
      <c r="K2850" s="1341"/>
      <c r="L2850" s="1341"/>
      <c r="M2850" s="1341"/>
      <c r="N2850" s="1341"/>
      <c r="O2850" s="1341"/>
      <c r="X2850" s="501" t="b">
        <f t="shared" si="242"/>
        <v>0</v>
      </c>
    </row>
    <row r="2851" s="416" customFormat="1" outlineLevel="2" spans="2:24">
      <c r="B2851" s="421" t="s">
        <v>3500</v>
      </c>
      <c r="C2851" s="429" t="str">
        <f t="shared" si="248"/>
        <v>石嘴山市深阳蓝光市政工程有限公司</v>
      </c>
      <c r="D2851" s="1369" t="s">
        <v>3501</v>
      </c>
      <c r="E2851" s="1359" t="str">
        <f>'2.销售费用'!F20</f>
        <v>  差旅费</v>
      </c>
      <c r="F2851" s="1359">
        <f>'2.销售费用'!H20</f>
        <v>0</v>
      </c>
      <c r="G2851" s="1359">
        <f>'2.销售费用'!I20</f>
        <v>0</v>
      </c>
      <c r="H2851" s="1359">
        <f t="shared" si="245"/>
        <v>0</v>
      </c>
      <c r="I2851" s="653">
        <f t="shared" si="246"/>
        <v>0</v>
      </c>
      <c r="J2851" s="1364"/>
      <c r="K2851" s="1341"/>
      <c r="L2851" s="1341"/>
      <c r="M2851" s="1341"/>
      <c r="N2851" s="1341"/>
      <c r="O2851" s="1341"/>
      <c r="X2851" s="501" t="b">
        <f t="shared" si="242"/>
        <v>0</v>
      </c>
    </row>
    <row r="2852" s="416" customFormat="1" outlineLevel="2" spans="2:24">
      <c r="B2852" s="421" t="s">
        <v>3500</v>
      </c>
      <c r="C2852" s="429" t="str">
        <f t="shared" si="248"/>
        <v>石嘴山市深阳蓝光市政工程有限公司</v>
      </c>
      <c r="D2852" s="1369" t="s">
        <v>3501</v>
      </c>
      <c r="E2852" s="1359" t="str">
        <f>'2.销售费用'!F22</f>
        <v>  租赁费用</v>
      </c>
      <c r="F2852" s="1359">
        <f>'2.销售费用'!H22</f>
        <v>0</v>
      </c>
      <c r="G2852" s="1359">
        <f>'2.销售费用'!I22</f>
        <v>0</v>
      </c>
      <c r="H2852" s="1359">
        <f t="shared" si="245"/>
        <v>0</v>
      </c>
      <c r="I2852" s="653">
        <f t="shared" si="246"/>
        <v>0</v>
      </c>
      <c r="J2852" s="1364"/>
      <c r="K2852" s="1341"/>
      <c r="L2852" s="1341"/>
      <c r="M2852" s="1341"/>
      <c r="N2852" s="1341"/>
      <c r="O2852" s="1341"/>
      <c r="X2852" s="501" t="b">
        <f t="shared" si="242"/>
        <v>0</v>
      </c>
    </row>
    <row r="2853" s="416" customFormat="1" outlineLevel="2" spans="2:24">
      <c r="B2853" s="421" t="s">
        <v>3500</v>
      </c>
      <c r="C2853" s="429" t="str">
        <f t="shared" si="248"/>
        <v>石嘴山市深阳蓝光市政工程有限公司</v>
      </c>
      <c r="D2853" s="1369" t="s">
        <v>3501</v>
      </c>
      <c r="E2853" s="1359" t="str">
        <f>'2.销售费用'!F23</f>
        <v>  保险费</v>
      </c>
      <c r="F2853" s="1359">
        <f>'2.销售费用'!H23</f>
        <v>0</v>
      </c>
      <c r="G2853" s="1359">
        <f>'2.销售费用'!I23</f>
        <v>0</v>
      </c>
      <c r="H2853" s="1359">
        <f t="shared" si="245"/>
        <v>0</v>
      </c>
      <c r="I2853" s="653">
        <f t="shared" si="246"/>
        <v>0</v>
      </c>
      <c r="J2853" s="1364"/>
      <c r="K2853" s="1341"/>
      <c r="L2853" s="1341"/>
      <c r="M2853" s="1341"/>
      <c r="N2853" s="1341"/>
      <c r="O2853" s="1341"/>
      <c r="X2853" s="501" t="b">
        <f t="shared" si="242"/>
        <v>0</v>
      </c>
    </row>
    <row r="2854" s="416" customFormat="1" outlineLevel="2" spans="2:24">
      <c r="B2854" s="421" t="s">
        <v>3500</v>
      </c>
      <c r="C2854" s="429" t="str">
        <f t="shared" si="248"/>
        <v>石嘴山市深阳蓝光市政工程有限公司</v>
      </c>
      <c r="D2854" s="1369" t="s">
        <v>3501</v>
      </c>
      <c r="E2854" s="1359" t="str">
        <f>'2.销售费用'!F25</f>
        <v>  物料消耗</v>
      </c>
      <c r="F2854" s="1359">
        <f>'2.销售费用'!H25</f>
        <v>0</v>
      </c>
      <c r="G2854" s="1359">
        <f>'2.销售费用'!I25</f>
        <v>0</v>
      </c>
      <c r="H2854" s="1359">
        <f t="shared" si="245"/>
        <v>0</v>
      </c>
      <c r="I2854" s="653">
        <f t="shared" si="246"/>
        <v>0</v>
      </c>
      <c r="J2854" s="1364"/>
      <c r="K2854" s="1341"/>
      <c r="L2854" s="1341"/>
      <c r="M2854" s="1341"/>
      <c r="N2854" s="1341"/>
      <c r="O2854" s="1341"/>
      <c r="X2854" s="501" t="b">
        <f t="shared" si="242"/>
        <v>0</v>
      </c>
    </row>
    <row r="2855" s="416" customFormat="1" outlineLevel="2" spans="2:24">
      <c r="B2855" s="421" t="s">
        <v>3500</v>
      </c>
      <c r="C2855" s="429" t="str">
        <f t="shared" si="248"/>
        <v>石嘴山市深阳蓝光市政工程有限公司</v>
      </c>
      <c r="D2855" s="1369" t="s">
        <v>3501</v>
      </c>
      <c r="E2855" s="1359" t="str">
        <f>'2.销售费用'!F26</f>
        <v>  展览会议费</v>
      </c>
      <c r="F2855" s="1359">
        <f>'2.销售费用'!H26</f>
        <v>0</v>
      </c>
      <c r="G2855" s="1359">
        <f>'2.销售费用'!I26</f>
        <v>0</v>
      </c>
      <c r="H2855" s="1359">
        <f t="shared" si="245"/>
        <v>0</v>
      </c>
      <c r="I2855" s="653">
        <f t="shared" si="246"/>
        <v>0</v>
      </c>
      <c r="J2855" s="1364"/>
      <c r="K2855" s="1341"/>
      <c r="L2855" s="1341"/>
      <c r="M2855" s="1341"/>
      <c r="N2855" s="1341"/>
      <c r="O2855" s="1341"/>
      <c r="X2855" s="501" t="b">
        <f t="shared" si="242"/>
        <v>0</v>
      </c>
    </row>
    <row r="2856" s="416" customFormat="1" outlineLevel="2" spans="2:24">
      <c r="B2856" s="421" t="s">
        <v>3500</v>
      </c>
      <c r="C2856" s="429" t="str">
        <f t="shared" si="248"/>
        <v>石嘴山市深阳蓝光市政工程有限公司</v>
      </c>
      <c r="D2856" s="1369" t="s">
        <v>3501</v>
      </c>
      <c r="E2856" s="1359" t="str">
        <f>'2.销售费用'!F27</f>
        <v>  运输费</v>
      </c>
      <c r="F2856" s="1359">
        <f>'2.销售费用'!H27</f>
        <v>0</v>
      </c>
      <c r="G2856" s="1359">
        <f>'2.销售费用'!I27</f>
        <v>0</v>
      </c>
      <c r="H2856" s="1359">
        <f t="shared" si="245"/>
        <v>0</v>
      </c>
      <c r="I2856" s="653">
        <f t="shared" si="246"/>
        <v>0</v>
      </c>
      <c r="J2856" s="1364"/>
      <c r="K2856" s="1341"/>
      <c r="L2856" s="1341"/>
      <c r="M2856" s="1341"/>
      <c r="N2856" s="1341"/>
      <c r="O2856" s="1341"/>
      <c r="X2856" s="501" t="b">
        <f t="shared" si="242"/>
        <v>0</v>
      </c>
    </row>
    <row r="2857" s="416" customFormat="1" outlineLevel="2" spans="2:24">
      <c r="B2857" s="421" t="s">
        <v>3500</v>
      </c>
      <c r="C2857" s="429" t="str">
        <f t="shared" si="248"/>
        <v>石嘴山市深阳蓝光市政工程有限公司</v>
      </c>
      <c r="D2857" s="1369" t="s">
        <v>3501</v>
      </c>
      <c r="E2857" s="1359" t="str">
        <f>'2.销售费用'!F28</f>
        <v>  维修检测费</v>
      </c>
      <c r="F2857" s="1359">
        <f>'2.销售费用'!H28</f>
        <v>0</v>
      </c>
      <c r="G2857" s="1359">
        <f>'2.销售费用'!I28</f>
        <v>0</v>
      </c>
      <c r="H2857" s="1359">
        <f t="shared" si="245"/>
        <v>0</v>
      </c>
      <c r="I2857" s="653">
        <f t="shared" si="246"/>
        <v>0</v>
      </c>
      <c r="J2857" s="1364"/>
      <c r="K2857" s="1341"/>
      <c r="L2857" s="1341"/>
      <c r="M2857" s="1341"/>
      <c r="N2857" s="1341"/>
      <c r="O2857" s="1341"/>
      <c r="X2857" s="501" t="b">
        <f t="shared" si="242"/>
        <v>0</v>
      </c>
    </row>
    <row r="2858" s="416" customFormat="1" outlineLevel="2" spans="2:24">
      <c r="B2858" s="421" t="s">
        <v>3500</v>
      </c>
      <c r="C2858" s="429" t="str">
        <f t="shared" si="248"/>
        <v>石嘴山市深阳蓝光市政工程有限公司</v>
      </c>
      <c r="D2858" s="1369" t="s">
        <v>3501</v>
      </c>
      <c r="E2858" s="1359" t="str">
        <f>'2.销售费用'!F29</f>
        <v>  服务费及佣金</v>
      </c>
      <c r="F2858" s="1359">
        <f>'2.销售费用'!H29</f>
        <v>0</v>
      </c>
      <c r="G2858" s="1359">
        <f>'2.销售费用'!I29</f>
        <v>0</v>
      </c>
      <c r="H2858" s="1359">
        <f t="shared" si="245"/>
        <v>0</v>
      </c>
      <c r="I2858" s="653">
        <f t="shared" si="246"/>
        <v>0</v>
      </c>
      <c r="J2858" s="1364"/>
      <c r="K2858" s="1341"/>
      <c r="L2858" s="1341"/>
      <c r="M2858" s="1341"/>
      <c r="N2858" s="1341"/>
      <c r="O2858" s="1341"/>
      <c r="X2858" s="501" t="b">
        <f t="shared" si="242"/>
        <v>0</v>
      </c>
    </row>
    <row r="2859" s="416" customFormat="1" outlineLevel="2" spans="2:24">
      <c r="B2859" s="421" t="s">
        <v>3500</v>
      </c>
      <c r="C2859" s="429" t="str">
        <f t="shared" si="248"/>
        <v>石嘴山市深阳蓝光市政工程有限公司</v>
      </c>
      <c r="D2859" s="1369" t="s">
        <v>3501</v>
      </c>
      <c r="E2859" s="1359" t="str">
        <f>'2.销售费用'!$F$33</f>
        <v>  中介费用</v>
      </c>
      <c r="F2859" s="1359">
        <f>'2.销售费用'!H33</f>
        <v>0</v>
      </c>
      <c r="G2859" s="1359">
        <f>'2.销售费用'!I33</f>
        <v>0</v>
      </c>
      <c r="H2859" s="1359">
        <f t="shared" si="245"/>
        <v>0</v>
      </c>
      <c r="I2859" s="653">
        <f t="shared" si="246"/>
        <v>0</v>
      </c>
      <c r="J2859" s="1364"/>
      <c r="K2859" s="1341"/>
      <c r="L2859" s="1341"/>
      <c r="M2859" s="1341"/>
      <c r="N2859" s="1341"/>
      <c r="O2859" s="1341"/>
      <c r="X2859" s="501" t="b">
        <f t="shared" si="242"/>
        <v>0</v>
      </c>
    </row>
    <row r="2860" s="416" customFormat="1" outlineLevel="2" spans="2:24">
      <c r="B2860" s="421" t="s">
        <v>3500</v>
      </c>
      <c r="C2860" s="429" t="str">
        <f t="shared" si="248"/>
        <v>石嘴山市深阳蓝光市政工程有限公司</v>
      </c>
      <c r="D2860" s="1369" t="s">
        <v>3501</v>
      </c>
      <c r="E2860" s="1359" t="str">
        <f>'2.销售费用'!F35</f>
        <v>  车辆费用</v>
      </c>
      <c r="F2860" s="1359">
        <f>'2.销售费用'!H35</f>
        <v>0</v>
      </c>
      <c r="G2860" s="1359">
        <f>'2.销售费用'!I35</f>
        <v>0</v>
      </c>
      <c r="H2860" s="1359">
        <f t="shared" si="245"/>
        <v>0</v>
      </c>
      <c r="I2860" s="653">
        <f t="shared" si="246"/>
        <v>0</v>
      </c>
      <c r="J2860" s="1364"/>
      <c r="K2860" s="1341"/>
      <c r="L2860" s="1341"/>
      <c r="M2860" s="1341"/>
      <c r="N2860" s="1341"/>
      <c r="O2860" s="1341"/>
      <c r="X2860" s="501" t="b">
        <f t="shared" si="242"/>
        <v>0</v>
      </c>
    </row>
    <row r="2861" s="416" customFormat="1" outlineLevel="2" spans="2:24">
      <c r="B2861" s="421" t="s">
        <v>3500</v>
      </c>
      <c r="C2861" s="429" t="str">
        <f t="shared" si="248"/>
        <v>石嘴山市深阳蓝光市政工程有限公司</v>
      </c>
      <c r="D2861" s="1369" t="s">
        <v>3501</v>
      </c>
      <c r="E2861" s="1359" t="str">
        <f>'2.销售费用'!F36</f>
        <v>  报关费</v>
      </c>
      <c r="F2861" s="1359">
        <f>'2.销售费用'!H36</f>
        <v>0</v>
      </c>
      <c r="G2861" s="1359">
        <f>'2.销售费用'!I36</f>
        <v>0</v>
      </c>
      <c r="H2861" s="1359">
        <f t="shared" si="245"/>
        <v>0</v>
      </c>
      <c r="I2861" s="653">
        <f t="shared" si="246"/>
        <v>0</v>
      </c>
      <c r="J2861" s="1364"/>
      <c r="K2861" s="1341"/>
      <c r="L2861" s="1341"/>
      <c r="M2861" s="1341"/>
      <c r="N2861" s="1341"/>
      <c r="O2861" s="1341"/>
      <c r="X2861" s="501" t="b">
        <f t="shared" si="242"/>
        <v>0</v>
      </c>
    </row>
    <row r="2862" s="416" customFormat="1" outlineLevel="2" collapsed="1" spans="2:24">
      <c r="B2862" s="421"/>
      <c r="C2862" s="479"/>
      <c r="D2862" s="1369"/>
      <c r="E2862" s="1359" t="str">
        <f>'2.销售费用'!F37</f>
        <v>  其他销售费用</v>
      </c>
      <c r="F2862" s="1359">
        <f>'2.销售费用'!H37</f>
        <v>0</v>
      </c>
      <c r="G2862" s="1359">
        <f>'2.销售费用'!I37</f>
        <v>0</v>
      </c>
      <c r="H2862" s="1359">
        <f t="shared" si="245"/>
        <v>0</v>
      </c>
      <c r="I2862" s="653">
        <f t="shared" si="246"/>
        <v>0</v>
      </c>
      <c r="J2862" s="1364"/>
      <c r="K2862" s="1341"/>
      <c r="L2862" s="1341"/>
      <c r="M2862" s="1341"/>
      <c r="N2862" s="1341"/>
      <c r="O2862" s="1341"/>
      <c r="X2862" s="420"/>
    </row>
    <row r="2863" s="416" customFormat="1" hidden="1" outlineLevel="3" spans="2:24">
      <c r="B2863" s="421"/>
      <c r="C2863" s="479"/>
      <c r="D2863" s="1369"/>
      <c r="E2863" s="1360"/>
      <c r="F2863" s="456"/>
      <c r="G2863" s="456"/>
      <c r="H2863" s="1359">
        <f t="shared" si="245"/>
        <v>0</v>
      </c>
      <c r="I2863" s="653">
        <f t="shared" si="246"/>
        <v>0</v>
      </c>
      <c r="J2863" s="1364"/>
      <c r="K2863" s="1341"/>
      <c r="L2863" s="1341"/>
      <c r="M2863" s="1341"/>
      <c r="N2863" s="1341"/>
      <c r="O2863" s="1341"/>
      <c r="X2863" s="420"/>
    </row>
    <row r="2864" s="416" customFormat="1" hidden="1" outlineLevel="3" spans="2:24">
      <c r="B2864" s="421"/>
      <c r="C2864" s="479"/>
      <c r="D2864" s="1369"/>
      <c r="E2864" s="1360"/>
      <c r="F2864" s="456"/>
      <c r="G2864" s="456"/>
      <c r="H2864" s="1359">
        <f t="shared" si="245"/>
        <v>0</v>
      </c>
      <c r="I2864" s="653">
        <f t="shared" si="246"/>
        <v>0</v>
      </c>
      <c r="J2864" s="1364"/>
      <c r="K2864" s="1341"/>
      <c r="L2864" s="1341"/>
      <c r="M2864" s="1341"/>
      <c r="N2864" s="1341"/>
      <c r="O2864" s="1341"/>
      <c r="X2864" s="420"/>
    </row>
    <row r="2865" s="416" customFormat="1" hidden="1" outlineLevel="3" spans="2:24">
      <c r="B2865" s="421"/>
      <c r="C2865" s="479"/>
      <c r="D2865" s="1369"/>
      <c r="E2865" s="1360"/>
      <c r="F2865" s="456"/>
      <c r="G2865" s="456"/>
      <c r="H2865" s="1359">
        <f t="shared" si="245"/>
        <v>0</v>
      </c>
      <c r="I2865" s="653">
        <f t="shared" si="246"/>
        <v>0</v>
      </c>
      <c r="J2865" s="1364"/>
      <c r="K2865" s="1341"/>
      <c r="L2865" s="1341"/>
      <c r="M2865" s="1341"/>
      <c r="N2865" s="1341"/>
      <c r="O2865" s="1341"/>
      <c r="X2865" s="420"/>
    </row>
    <row r="2866" s="416" customFormat="1" hidden="1" outlineLevel="3" spans="2:24">
      <c r="B2866" s="421"/>
      <c r="C2866" s="479"/>
      <c r="D2866" s="1369"/>
      <c r="E2866" s="1360"/>
      <c r="F2866" s="456"/>
      <c r="G2866" s="456"/>
      <c r="H2866" s="1359">
        <f t="shared" si="245"/>
        <v>0</v>
      </c>
      <c r="I2866" s="653">
        <f t="shared" si="246"/>
        <v>0</v>
      </c>
      <c r="J2866" s="1364"/>
      <c r="K2866" s="1341"/>
      <c r="L2866" s="1341"/>
      <c r="M2866" s="1341"/>
      <c r="N2866" s="1341"/>
      <c r="O2866" s="1341"/>
      <c r="X2866" s="420"/>
    </row>
    <row r="2867" s="416" customFormat="1" hidden="1" outlineLevel="3" spans="2:24">
      <c r="B2867" s="421"/>
      <c r="C2867" s="479"/>
      <c r="D2867" s="1369"/>
      <c r="E2867" s="1360"/>
      <c r="F2867" s="456"/>
      <c r="G2867" s="456"/>
      <c r="H2867" s="1359">
        <f t="shared" si="245"/>
        <v>0</v>
      </c>
      <c r="I2867" s="653">
        <f t="shared" si="246"/>
        <v>0</v>
      </c>
      <c r="J2867" s="1364"/>
      <c r="K2867" s="1341"/>
      <c r="L2867" s="1341"/>
      <c r="M2867" s="1341"/>
      <c r="N2867" s="1341"/>
      <c r="O2867" s="1341"/>
      <c r="X2867" s="420"/>
    </row>
    <row r="2868" s="416" customFormat="1" hidden="1" outlineLevel="3" spans="2:24">
      <c r="B2868" s="421"/>
      <c r="C2868" s="479"/>
      <c r="D2868" s="1369"/>
      <c r="E2868" s="1360"/>
      <c r="F2868" s="456"/>
      <c r="G2868" s="456"/>
      <c r="H2868" s="1359">
        <f t="shared" si="245"/>
        <v>0</v>
      </c>
      <c r="I2868" s="653">
        <f t="shared" si="246"/>
        <v>0</v>
      </c>
      <c r="J2868" s="1364"/>
      <c r="K2868" s="1341"/>
      <c r="L2868" s="1341"/>
      <c r="M2868" s="1341"/>
      <c r="N2868" s="1341"/>
      <c r="O2868" s="1341"/>
      <c r="X2868" s="420"/>
    </row>
    <row r="2869" s="416" customFormat="1" hidden="1" outlineLevel="3" spans="2:24">
      <c r="B2869" s="421"/>
      <c r="C2869" s="479"/>
      <c r="D2869" s="1369"/>
      <c r="E2869" s="1360"/>
      <c r="F2869" s="456"/>
      <c r="G2869" s="456"/>
      <c r="H2869" s="1359">
        <f t="shared" si="245"/>
        <v>0</v>
      </c>
      <c r="I2869" s="653">
        <f t="shared" si="246"/>
        <v>0</v>
      </c>
      <c r="J2869" s="1364"/>
      <c r="K2869" s="1341"/>
      <c r="L2869" s="1341"/>
      <c r="M2869" s="1341"/>
      <c r="N2869" s="1341"/>
      <c r="O2869" s="1341"/>
      <c r="X2869" s="420"/>
    </row>
    <row r="2870" s="416" customFormat="1" hidden="1" outlineLevel="3" spans="2:24">
      <c r="B2870" s="421"/>
      <c r="C2870" s="479"/>
      <c r="D2870" s="1369"/>
      <c r="E2870" s="1360"/>
      <c r="F2870" s="456"/>
      <c r="G2870" s="456"/>
      <c r="H2870" s="1359">
        <f t="shared" si="245"/>
        <v>0</v>
      </c>
      <c r="I2870" s="653">
        <f t="shared" si="246"/>
        <v>0</v>
      </c>
      <c r="J2870" s="1364"/>
      <c r="K2870" s="1341"/>
      <c r="L2870" s="1341"/>
      <c r="M2870" s="1341"/>
      <c r="N2870" s="1341"/>
      <c r="O2870" s="1341"/>
      <c r="X2870" s="420"/>
    </row>
    <row r="2871" s="416" customFormat="1" hidden="1" outlineLevel="3" spans="2:24">
      <c r="B2871" s="421"/>
      <c r="C2871" s="479"/>
      <c r="D2871" s="1369"/>
      <c r="E2871" s="1360"/>
      <c r="F2871" s="456"/>
      <c r="G2871" s="456"/>
      <c r="H2871" s="1359">
        <f t="shared" si="245"/>
        <v>0</v>
      </c>
      <c r="I2871" s="653">
        <f t="shared" si="246"/>
        <v>0</v>
      </c>
      <c r="J2871" s="1364"/>
      <c r="K2871" s="1341"/>
      <c r="L2871" s="1341"/>
      <c r="M2871" s="1341"/>
      <c r="N2871" s="1341"/>
      <c r="O2871" s="1341"/>
      <c r="X2871" s="420"/>
    </row>
    <row r="2872" s="416" customFormat="1" hidden="1" outlineLevel="3" spans="2:24">
      <c r="B2872" s="421"/>
      <c r="C2872" s="479"/>
      <c r="D2872" s="1369"/>
      <c r="E2872" s="1360"/>
      <c r="F2872" s="456"/>
      <c r="G2872" s="456"/>
      <c r="H2872" s="1359">
        <f t="shared" si="245"/>
        <v>0</v>
      </c>
      <c r="I2872" s="653">
        <f t="shared" si="246"/>
        <v>0</v>
      </c>
      <c r="J2872" s="1364"/>
      <c r="K2872" s="1341"/>
      <c r="L2872" s="1341"/>
      <c r="M2872" s="1341"/>
      <c r="N2872" s="1341"/>
      <c r="O2872" s="1341"/>
      <c r="X2872" s="420"/>
    </row>
    <row r="2873" s="416" customFormat="1" hidden="1" outlineLevel="3" spans="2:24">
      <c r="B2873" s="421"/>
      <c r="C2873" s="479"/>
      <c r="D2873" s="1369"/>
      <c r="E2873" s="1360"/>
      <c r="F2873" s="456"/>
      <c r="G2873" s="456"/>
      <c r="H2873" s="1359">
        <f t="shared" si="245"/>
        <v>0</v>
      </c>
      <c r="I2873" s="653">
        <f t="shared" si="246"/>
        <v>0</v>
      </c>
      <c r="J2873" s="1364"/>
      <c r="K2873" s="1341"/>
      <c r="L2873" s="1341"/>
      <c r="M2873" s="1341"/>
      <c r="N2873" s="1341"/>
      <c r="O2873" s="1341"/>
      <c r="X2873" s="420"/>
    </row>
    <row r="2874" s="416" customFormat="1" hidden="1" outlineLevel="3" spans="2:24">
      <c r="B2874" s="421" t="s">
        <v>3500</v>
      </c>
      <c r="C2874" s="429" t="str">
        <f>$G$1</f>
        <v>石嘴山市深阳蓝光市政工程有限公司</v>
      </c>
      <c r="D2874" s="1369" t="s">
        <v>3501</v>
      </c>
      <c r="E2874" s="1360"/>
      <c r="F2874" s="456"/>
      <c r="G2874" s="456"/>
      <c r="H2874" s="1359">
        <f t="shared" si="245"/>
        <v>0</v>
      </c>
      <c r="I2874" s="653">
        <f t="shared" si="246"/>
        <v>0</v>
      </c>
      <c r="J2874" s="1364"/>
      <c r="K2874" s="1341"/>
      <c r="L2874" s="1341"/>
      <c r="M2874" s="1341"/>
      <c r="N2874" s="1341"/>
      <c r="O2874" s="1341"/>
      <c r="X2874" s="501" t="b">
        <f t="shared" si="242"/>
        <v>1</v>
      </c>
    </row>
    <row r="2875" s="416" customFormat="1" hidden="1" outlineLevel="3" spans="2:24">
      <c r="B2875" s="421"/>
      <c r="C2875" s="479"/>
      <c r="D2875" s="1369"/>
      <c r="E2875" s="1360"/>
      <c r="F2875" s="456"/>
      <c r="G2875" s="456"/>
      <c r="H2875" s="1359">
        <f t="shared" si="245"/>
        <v>0</v>
      </c>
      <c r="I2875" s="653">
        <f t="shared" si="246"/>
        <v>0</v>
      </c>
      <c r="J2875" s="1364"/>
      <c r="K2875" s="1341"/>
      <c r="L2875" s="1341"/>
      <c r="M2875" s="1341"/>
      <c r="N2875" s="1341"/>
      <c r="O2875" s="1341"/>
      <c r="X2875" s="420"/>
    </row>
    <row r="2876" s="416" customFormat="1" hidden="1" outlineLevel="3" spans="2:24">
      <c r="B2876" s="421"/>
      <c r="C2876" s="479"/>
      <c r="D2876" s="1369"/>
      <c r="E2876" s="1360"/>
      <c r="F2876" s="456"/>
      <c r="G2876" s="456"/>
      <c r="H2876" s="1359">
        <f t="shared" si="245"/>
        <v>0</v>
      </c>
      <c r="I2876" s="653">
        <f t="shared" si="246"/>
        <v>0</v>
      </c>
      <c r="J2876" s="1364"/>
      <c r="K2876" s="1341"/>
      <c r="L2876" s="1341"/>
      <c r="M2876" s="1341"/>
      <c r="N2876" s="1341"/>
      <c r="O2876" s="1341"/>
      <c r="X2876" s="420"/>
    </row>
    <row r="2877" s="416" customFormat="1" hidden="1" outlineLevel="3" spans="2:24">
      <c r="B2877" s="421" t="s">
        <v>3500</v>
      </c>
      <c r="C2877" s="429" t="str">
        <f t="shared" ref="C2877:C2893" si="249">$G$1</f>
        <v>石嘴山市深阳蓝光市政工程有限公司</v>
      </c>
      <c r="D2877" s="1369" t="s">
        <v>3501</v>
      </c>
      <c r="E2877" s="1374"/>
      <c r="F2877" s="456"/>
      <c r="G2877" s="456"/>
      <c r="H2877" s="1359">
        <f t="shared" si="245"/>
        <v>0</v>
      </c>
      <c r="I2877" s="653">
        <f t="shared" si="246"/>
        <v>0</v>
      </c>
      <c r="J2877" s="1364"/>
      <c r="K2877" s="1341"/>
      <c r="L2877" s="1341"/>
      <c r="M2877" s="1341"/>
      <c r="N2877" s="1341"/>
      <c r="O2877" s="1341"/>
      <c r="X2877" s="501" t="b">
        <f t="shared" si="242"/>
        <v>1</v>
      </c>
    </row>
    <row r="2878" s="416" customFormat="1" hidden="1" outlineLevel="3" spans="2:24">
      <c r="B2878" s="421" t="s">
        <v>3500</v>
      </c>
      <c r="C2878" s="429" t="str">
        <f t="shared" si="249"/>
        <v>石嘴山市深阳蓝光市政工程有限公司</v>
      </c>
      <c r="D2878" s="1369" t="s">
        <v>3501</v>
      </c>
      <c r="E2878" s="1375"/>
      <c r="F2878" s="456"/>
      <c r="G2878" s="456"/>
      <c r="H2878" s="1359">
        <f t="shared" si="245"/>
        <v>0</v>
      </c>
      <c r="I2878" s="653">
        <f t="shared" si="246"/>
        <v>0</v>
      </c>
      <c r="J2878" s="1364"/>
      <c r="K2878" s="1341"/>
      <c r="L2878" s="1341"/>
      <c r="M2878" s="1341"/>
      <c r="N2878" s="1341"/>
      <c r="O2878" s="1341"/>
      <c r="X2878" s="501" t="b">
        <f t="shared" si="242"/>
        <v>1</v>
      </c>
    </row>
    <row r="2879" s="416" customFormat="1" hidden="1" outlineLevel="3" spans="2:24">
      <c r="B2879" s="421" t="s">
        <v>3500</v>
      </c>
      <c r="C2879" s="429" t="str">
        <f t="shared" si="249"/>
        <v>石嘴山市深阳蓝光市政工程有限公司</v>
      </c>
      <c r="D2879" s="1369" t="s">
        <v>3501</v>
      </c>
      <c r="E2879" s="487"/>
      <c r="F2879" s="456"/>
      <c r="G2879" s="456"/>
      <c r="H2879" s="1359">
        <f t="shared" si="245"/>
        <v>0</v>
      </c>
      <c r="I2879" s="653">
        <f t="shared" si="246"/>
        <v>0</v>
      </c>
      <c r="J2879" s="1364"/>
      <c r="K2879" s="1341"/>
      <c r="L2879" s="1341"/>
      <c r="M2879" s="1341"/>
      <c r="N2879" s="1341"/>
      <c r="O2879" s="1341"/>
      <c r="X2879" s="501" t="b">
        <f t="shared" si="242"/>
        <v>1</v>
      </c>
    </row>
    <row r="2880" s="416" customFormat="1" hidden="1" outlineLevel="3" spans="2:24">
      <c r="B2880" s="421" t="s">
        <v>3500</v>
      </c>
      <c r="C2880" s="429" t="str">
        <f t="shared" si="249"/>
        <v>石嘴山市深阳蓝光市政工程有限公司</v>
      </c>
      <c r="D2880" s="1369" t="s">
        <v>3501</v>
      </c>
      <c r="E2880" s="487"/>
      <c r="F2880" s="456"/>
      <c r="G2880" s="456"/>
      <c r="H2880" s="1359">
        <f t="shared" si="245"/>
        <v>0</v>
      </c>
      <c r="I2880" s="653">
        <f t="shared" si="246"/>
        <v>0</v>
      </c>
      <c r="J2880" s="1364"/>
      <c r="K2880" s="1341"/>
      <c r="L2880" s="1341"/>
      <c r="M2880" s="1341"/>
      <c r="N2880" s="1341"/>
      <c r="O2880" s="1341"/>
      <c r="X2880" s="501" t="b">
        <f t="shared" si="242"/>
        <v>1</v>
      </c>
    </row>
    <row r="2881" s="416" customFormat="1" hidden="1" outlineLevel="3" spans="2:24">
      <c r="B2881" s="421" t="s">
        <v>3500</v>
      </c>
      <c r="C2881" s="429" t="str">
        <f t="shared" si="249"/>
        <v>石嘴山市深阳蓝光市政工程有限公司</v>
      </c>
      <c r="D2881" s="1369" t="s">
        <v>3501</v>
      </c>
      <c r="E2881" s="487"/>
      <c r="F2881" s="456"/>
      <c r="G2881" s="456"/>
      <c r="H2881" s="1359">
        <f t="shared" si="245"/>
        <v>0</v>
      </c>
      <c r="I2881" s="653">
        <f t="shared" si="246"/>
        <v>0</v>
      </c>
      <c r="J2881" s="1364"/>
      <c r="K2881" s="1341"/>
      <c r="L2881" s="1341"/>
      <c r="M2881" s="1341"/>
      <c r="N2881" s="1341"/>
      <c r="O2881" s="1341"/>
      <c r="X2881" s="501" t="b">
        <f t="shared" ref="X2881:X2947" si="250">EXACT(A2881,E2881)</f>
        <v>1</v>
      </c>
    </row>
    <row r="2882" s="416" customFormat="1" hidden="1" outlineLevel="3" spans="2:24">
      <c r="B2882" s="421" t="s">
        <v>3500</v>
      </c>
      <c r="C2882" s="429" t="str">
        <f t="shared" si="249"/>
        <v>石嘴山市深阳蓝光市政工程有限公司</v>
      </c>
      <c r="D2882" s="1369" t="s">
        <v>3501</v>
      </c>
      <c r="E2882" s="487"/>
      <c r="F2882" s="456"/>
      <c r="G2882" s="456"/>
      <c r="H2882" s="1359">
        <f t="shared" si="245"/>
        <v>0</v>
      </c>
      <c r="I2882" s="653">
        <f t="shared" si="246"/>
        <v>0</v>
      </c>
      <c r="J2882" s="1364"/>
      <c r="K2882" s="1341"/>
      <c r="L2882" s="1341"/>
      <c r="M2882" s="1341"/>
      <c r="N2882" s="1341"/>
      <c r="O2882" s="1341"/>
      <c r="X2882" s="501" t="b">
        <f t="shared" si="250"/>
        <v>1</v>
      </c>
    </row>
    <row r="2883" s="416" customFormat="1" hidden="1" outlineLevel="3" spans="2:24">
      <c r="B2883" s="421" t="s">
        <v>3500</v>
      </c>
      <c r="C2883" s="429" t="str">
        <f t="shared" si="249"/>
        <v>石嘴山市深阳蓝光市政工程有限公司</v>
      </c>
      <c r="D2883" s="1369" t="s">
        <v>3501</v>
      </c>
      <c r="E2883" s="487"/>
      <c r="F2883" s="456"/>
      <c r="G2883" s="456"/>
      <c r="H2883" s="1359">
        <f t="shared" si="245"/>
        <v>0</v>
      </c>
      <c r="I2883" s="653">
        <f t="shared" si="246"/>
        <v>0</v>
      </c>
      <c r="J2883" s="1364"/>
      <c r="K2883" s="1341"/>
      <c r="L2883" s="1341"/>
      <c r="M2883" s="1341"/>
      <c r="N2883" s="1341"/>
      <c r="O2883" s="1341"/>
      <c r="X2883" s="501" t="b">
        <f t="shared" si="250"/>
        <v>1</v>
      </c>
    </row>
    <row r="2884" s="416" customFormat="1" outlineLevel="2" spans="1:24">
      <c r="A2884" s="416" t="s">
        <v>1580</v>
      </c>
      <c r="B2884" s="421" t="s">
        <v>3500</v>
      </c>
      <c r="C2884" s="429" t="str">
        <f t="shared" si="249"/>
        <v>石嘴山市深阳蓝光市政工程有限公司</v>
      </c>
      <c r="D2884" s="1369" t="s">
        <v>3501</v>
      </c>
      <c r="E2884" s="1366" t="s">
        <v>1580</v>
      </c>
      <c r="F2884" s="1359">
        <f>F2847+F2838+F2837+F2836+F2825</f>
        <v>0</v>
      </c>
      <c r="G2884" s="1359">
        <f>G2847+G2838+G2837+G2836+G2825</f>
        <v>0</v>
      </c>
      <c r="H2884" s="1359">
        <f t="shared" si="245"/>
        <v>0</v>
      </c>
      <c r="I2884" s="653">
        <f t="shared" si="246"/>
        <v>0</v>
      </c>
      <c r="J2884" s="1376"/>
      <c r="K2884" s="1341"/>
      <c r="L2884" s="1341"/>
      <c r="M2884" s="1341"/>
      <c r="N2884" s="1341"/>
      <c r="O2884" s="1341"/>
      <c r="X2884" s="501" t="b">
        <f t="shared" si="250"/>
        <v>1</v>
      </c>
    </row>
    <row r="2885" s="416" customFormat="1" outlineLevel="2" spans="1:24">
      <c r="A2885" s="416" t="s">
        <v>1444</v>
      </c>
      <c r="B2885" s="421" t="s">
        <v>3500</v>
      </c>
      <c r="C2885" s="429" t="str">
        <f t="shared" si="249"/>
        <v>石嘴山市深阳蓝光市政工程有限公司</v>
      </c>
      <c r="D2885" s="1369" t="s">
        <v>3501</v>
      </c>
      <c r="E2885" s="1322" t="s">
        <v>1444</v>
      </c>
      <c r="F2885" s="1367">
        <f>审定利润表!C9</f>
        <v>0</v>
      </c>
      <c r="G2885" s="1367">
        <f>审定利润表!D9</f>
        <v>0</v>
      </c>
      <c r="H2885" s="1368"/>
      <c r="I2885" s="1377"/>
      <c r="J2885" s="1378"/>
      <c r="K2885" s="1341"/>
      <c r="L2885" s="1341"/>
      <c r="M2885" s="1341"/>
      <c r="N2885" s="1341"/>
      <c r="O2885" s="1341"/>
      <c r="X2885" s="501" t="b">
        <f t="shared" si="250"/>
        <v>1</v>
      </c>
    </row>
    <row r="2886" s="416" customFormat="1" outlineLevel="2" spans="1:24">
      <c r="A2886" s="416" t="s">
        <v>1394</v>
      </c>
      <c r="B2886" s="421" t="s">
        <v>3500</v>
      </c>
      <c r="C2886" s="429" t="str">
        <f t="shared" si="249"/>
        <v>石嘴山市深阳蓝光市政工程有限公司</v>
      </c>
      <c r="D2886" s="1369" t="s">
        <v>3501</v>
      </c>
      <c r="E2886" s="1322" t="s">
        <v>1394</v>
      </c>
      <c r="F2886" s="721">
        <f>ROUND(F2884-F2885,2)</f>
        <v>0</v>
      </c>
      <c r="G2886" s="721">
        <f>ROUND(G2884-G2885,2)</f>
        <v>0</v>
      </c>
      <c r="H2886" s="1368"/>
      <c r="I2886" s="1377"/>
      <c r="J2886" s="1378"/>
      <c r="K2886" s="1341"/>
      <c r="L2886" s="1341"/>
      <c r="M2886" s="1341"/>
      <c r="N2886" s="1341"/>
      <c r="O2886" s="1341"/>
      <c r="X2886" s="501" t="b">
        <f t="shared" si="250"/>
        <v>1</v>
      </c>
    </row>
    <row r="2887" s="416" customFormat="1" outlineLevel="2" spans="1:24">
      <c r="A2887" s="416" t="s">
        <v>3522</v>
      </c>
      <c r="B2887" s="421" t="s">
        <v>3523</v>
      </c>
      <c r="C2887" s="429" t="str">
        <f t="shared" si="249"/>
        <v>石嘴山市深阳蓝光市政工程有限公司</v>
      </c>
      <c r="D2887" s="1339" t="s">
        <v>3524</v>
      </c>
      <c r="E2887" s="937" t="s">
        <v>3525</v>
      </c>
      <c r="F2887" s="937"/>
      <c r="G2887" s="937"/>
      <c r="H2887" s="1341"/>
      <c r="I2887" s="1341"/>
      <c r="J2887" s="1341"/>
      <c r="K2887" s="1341"/>
      <c r="L2887" s="1341"/>
      <c r="M2887" s="1341"/>
      <c r="N2887" s="1341"/>
      <c r="O2887" s="1341"/>
      <c r="X2887" s="501" t="b">
        <f t="shared" si="250"/>
        <v>0</v>
      </c>
    </row>
    <row r="2888" s="416" customFormat="1" outlineLevel="2" spans="1:24">
      <c r="A2888" s="416" t="s">
        <v>60</v>
      </c>
      <c r="B2888" s="421" t="s">
        <v>3523</v>
      </c>
      <c r="C2888" s="429" t="str">
        <f t="shared" si="249"/>
        <v>石嘴山市深阳蓝光市政工程有限公司</v>
      </c>
      <c r="D2888" s="1339" t="s">
        <v>3524</v>
      </c>
      <c r="E2888" s="1347" t="s">
        <v>60</v>
      </c>
      <c r="F2888" s="1347" t="s">
        <v>1906</v>
      </c>
      <c r="G2888" s="1347" t="s">
        <v>1910</v>
      </c>
      <c r="H2888" s="1368"/>
      <c r="I2888" s="1368"/>
      <c r="J2888" s="1368"/>
      <c r="K2888" s="1341"/>
      <c r="L2888" s="1341"/>
      <c r="M2888" s="1341"/>
      <c r="N2888" s="1341"/>
      <c r="O2888" s="1341"/>
      <c r="X2888" s="501" t="b">
        <f t="shared" si="250"/>
        <v>1</v>
      </c>
    </row>
    <row r="2889" s="416" customFormat="1" outlineLevel="2" spans="1:24">
      <c r="A2889" s="416" t="s">
        <v>3464</v>
      </c>
      <c r="B2889" s="421" t="s">
        <v>3523</v>
      </c>
      <c r="C2889" s="429" t="str">
        <f t="shared" si="249"/>
        <v>石嘴山市深阳蓝光市政工程有限公司</v>
      </c>
      <c r="D2889" s="1339" t="s">
        <v>3524</v>
      </c>
      <c r="E2889" s="1379" t="s">
        <v>206</v>
      </c>
      <c r="F2889" s="1358">
        <f>SUM(F2890:F2899)</f>
        <v>0</v>
      </c>
      <c r="G2889" s="1358">
        <f>SUM(G2890:G2899)</f>
        <v>0</v>
      </c>
      <c r="H2889" s="1368"/>
      <c r="I2889" s="1368"/>
      <c r="J2889" s="1368"/>
      <c r="K2889" s="1341"/>
      <c r="L2889" s="1341"/>
      <c r="M2889" s="1341"/>
      <c r="N2889" s="1341"/>
      <c r="O2889" s="1341"/>
      <c r="X2889" s="501" t="b">
        <f t="shared" si="250"/>
        <v>0</v>
      </c>
    </row>
    <row r="2890" s="416" customFormat="1" outlineLevel="2" spans="1:24">
      <c r="A2890" s="416" t="s">
        <v>3465</v>
      </c>
      <c r="B2890" s="421" t="s">
        <v>3523</v>
      </c>
      <c r="C2890" s="429" t="str">
        <f t="shared" si="249"/>
        <v>石嘴山市深阳蓝光市政工程有限公司</v>
      </c>
      <c r="D2890" s="1339" t="s">
        <v>3524</v>
      </c>
      <c r="E2890" s="1374" t="s">
        <v>3466</v>
      </c>
      <c r="F2890" s="456"/>
      <c r="G2890" s="456"/>
      <c r="H2890" s="1368"/>
      <c r="I2890" s="1368"/>
      <c r="J2890" s="1368"/>
      <c r="K2890" s="1341"/>
      <c r="L2890" s="1341"/>
      <c r="M2890" s="1341"/>
      <c r="N2890" s="1341"/>
      <c r="O2890" s="1341"/>
      <c r="X2890" s="501" t="b">
        <f t="shared" si="250"/>
        <v>0</v>
      </c>
    </row>
    <row r="2891" s="416" customFormat="1" outlineLevel="2" spans="1:24">
      <c r="A2891" s="416" t="s">
        <v>3467</v>
      </c>
      <c r="B2891" s="421" t="s">
        <v>3523</v>
      </c>
      <c r="C2891" s="429" t="str">
        <f t="shared" si="249"/>
        <v>石嘴山市深阳蓝光市政工程有限公司</v>
      </c>
      <c r="D2891" s="1339" t="s">
        <v>3524</v>
      </c>
      <c r="E2891" s="1374" t="s">
        <v>3468</v>
      </c>
      <c r="F2891" s="456"/>
      <c r="G2891" s="456"/>
      <c r="H2891" s="1368"/>
      <c r="I2891" s="1368"/>
      <c r="J2891" s="1368"/>
      <c r="K2891" s="1341"/>
      <c r="L2891" s="1341"/>
      <c r="M2891" s="1341"/>
      <c r="N2891" s="1341"/>
      <c r="O2891" s="1341"/>
      <c r="X2891" s="501" t="b">
        <f t="shared" si="250"/>
        <v>0</v>
      </c>
    </row>
    <row r="2892" s="416" customFormat="1" outlineLevel="2" spans="1:24">
      <c r="A2892" s="416" t="s">
        <v>3472</v>
      </c>
      <c r="B2892" s="421" t="s">
        <v>3523</v>
      </c>
      <c r="C2892" s="429" t="str">
        <f t="shared" si="249"/>
        <v>石嘴山市深阳蓝光市政工程有限公司</v>
      </c>
      <c r="D2892" s="1339" t="s">
        <v>3524</v>
      </c>
      <c r="E2892" s="1374" t="s">
        <v>3469</v>
      </c>
      <c r="F2892" s="456"/>
      <c r="G2892" s="456"/>
      <c r="H2892" s="1368"/>
      <c r="I2892" s="1368"/>
      <c r="J2892" s="1368"/>
      <c r="K2892" s="1341"/>
      <c r="L2892" s="1341"/>
      <c r="M2892" s="1341"/>
      <c r="N2892" s="1341"/>
      <c r="O2892" s="1341"/>
      <c r="X2892" s="501" t="b">
        <f t="shared" si="250"/>
        <v>0</v>
      </c>
    </row>
    <row r="2893" s="416" customFormat="1" outlineLevel="2" spans="1:24">
      <c r="A2893" s="416" t="s">
        <v>3474</v>
      </c>
      <c r="B2893" s="421" t="s">
        <v>3523</v>
      </c>
      <c r="C2893" s="429" t="str">
        <f t="shared" si="249"/>
        <v>石嘴山市深阳蓝光市政工程有限公司</v>
      </c>
      <c r="D2893" s="1339" t="s">
        <v>3524</v>
      </c>
      <c r="E2893" s="1374" t="s">
        <v>3470</v>
      </c>
      <c r="F2893" s="456"/>
      <c r="G2893" s="456"/>
      <c r="H2893" s="1368"/>
      <c r="I2893" s="1368"/>
      <c r="J2893" s="1368"/>
      <c r="K2893" s="1341"/>
      <c r="L2893" s="1341"/>
      <c r="M2893" s="1341"/>
      <c r="N2893" s="1341"/>
      <c r="O2893" s="1341"/>
      <c r="X2893" s="501" t="b">
        <f t="shared" si="250"/>
        <v>0</v>
      </c>
    </row>
    <row r="2894" s="416" customFormat="1" outlineLevel="2" spans="2:24">
      <c r="B2894" s="421"/>
      <c r="C2894" s="479"/>
      <c r="D2894" s="1339"/>
      <c r="E2894" s="1374" t="s">
        <v>3471</v>
      </c>
      <c r="F2894" s="456"/>
      <c r="G2894" s="456"/>
      <c r="H2894" s="1368"/>
      <c r="I2894" s="1368"/>
      <c r="J2894" s="1368"/>
      <c r="K2894" s="1341"/>
      <c r="L2894" s="1341"/>
      <c r="M2894" s="1341"/>
      <c r="N2894" s="1341"/>
      <c r="O2894" s="1341"/>
      <c r="X2894" s="420"/>
    </row>
    <row r="2895" s="416" customFormat="1" outlineLevel="2" spans="2:24">
      <c r="B2895" s="421"/>
      <c r="C2895" s="479"/>
      <c r="D2895" s="1339"/>
      <c r="E2895" s="1374" t="s">
        <v>3473</v>
      </c>
      <c r="F2895" s="456"/>
      <c r="G2895" s="456"/>
      <c r="H2895" s="1368"/>
      <c r="I2895" s="1368"/>
      <c r="J2895" s="1368"/>
      <c r="K2895" s="1341"/>
      <c r="L2895" s="1341"/>
      <c r="M2895" s="1341"/>
      <c r="N2895" s="1341"/>
      <c r="O2895" s="1341"/>
      <c r="X2895" s="420"/>
    </row>
    <row r="2896" s="416" customFormat="1" outlineLevel="2" spans="2:24">
      <c r="B2896" s="421"/>
      <c r="C2896" s="479"/>
      <c r="D2896" s="1339"/>
      <c r="E2896" s="1024" t="s">
        <v>3475</v>
      </c>
      <c r="F2896" s="456"/>
      <c r="G2896" s="456"/>
      <c r="H2896" s="1368"/>
      <c r="I2896" s="1368"/>
      <c r="J2896" s="1368"/>
      <c r="K2896" s="1341"/>
      <c r="L2896" s="1341"/>
      <c r="M2896" s="1341"/>
      <c r="N2896" s="1341"/>
      <c r="O2896" s="1341"/>
      <c r="X2896" s="420"/>
    </row>
    <row r="2897" s="416" customFormat="1" outlineLevel="2" spans="1:24">
      <c r="A2897" s="416" t="s">
        <v>3476</v>
      </c>
      <c r="B2897" s="421" t="s">
        <v>3523</v>
      </c>
      <c r="C2897" s="429" t="str">
        <f t="shared" ref="C2897:C2960" si="251">$G$1</f>
        <v>石嘴山市深阳蓝光市政工程有限公司</v>
      </c>
      <c r="D2897" s="1339" t="s">
        <v>3524</v>
      </c>
      <c r="E2897" s="1374" t="s">
        <v>3477</v>
      </c>
      <c r="F2897" s="456"/>
      <c r="G2897" s="456"/>
      <c r="H2897" s="1368"/>
      <c r="I2897" s="1368"/>
      <c r="J2897" s="1368"/>
      <c r="K2897" s="1341"/>
      <c r="L2897" s="1341"/>
      <c r="M2897" s="1341"/>
      <c r="N2897" s="1341"/>
      <c r="O2897" s="1341"/>
      <c r="X2897" s="501" t="b">
        <f t="shared" si="250"/>
        <v>0</v>
      </c>
    </row>
    <row r="2898" s="416" customFormat="1" outlineLevel="2" spans="1:24">
      <c r="A2898" s="416" t="s">
        <v>3478</v>
      </c>
      <c r="B2898" s="421" t="s">
        <v>3523</v>
      </c>
      <c r="C2898" s="429" t="str">
        <f t="shared" si="251"/>
        <v>石嘴山市深阳蓝光市政工程有限公司</v>
      </c>
      <c r="D2898" s="1339" t="s">
        <v>3524</v>
      </c>
      <c r="E2898" s="1024" t="s">
        <v>3479</v>
      </c>
      <c r="F2898" s="456"/>
      <c r="G2898" s="456"/>
      <c r="H2898" s="1368"/>
      <c r="I2898" s="1368"/>
      <c r="J2898" s="1368"/>
      <c r="K2898" s="1341"/>
      <c r="L2898" s="1341"/>
      <c r="M2898" s="1341"/>
      <c r="N2898" s="1341"/>
      <c r="O2898" s="1341"/>
      <c r="X2898" s="501" t="b">
        <f t="shared" si="250"/>
        <v>0</v>
      </c>
    </row>
    <row r="2899" s="416" customFormat="1" outlineLevel="2" spans="1:24">
      <c r="A2899" s="416" t="s">
        <v>3480</v>
      </c>
      <c r="B2899" s="421" t="s">
        <v>3523</v>
      </c>
      <c r="C2899" s="429" t="str">
        <f t="shared" si="251"/>
        <v>石嘴山市深阳蓝光市政工程有限公司</v>
      </c>
      <c r="D2899" s="1339" t="s">
        <v>3524</v>
      </c>
      <c r="E2899" s="1024" t="s">
        <v>3481</v>
      </c>
      <c r="F2899" s="456"/>
      <c r="G2899" s="456"/>
      <c r="H2899" s="1368"/>
      <c r="I2899" s="1368"/>
      <c r="J2899" s="1368"/>
      <c r="K2899" s="1341"/>
      <c r="L2899" s="1341"/>
      <c r="M2899" s="1341"/>
      <c r="N2899" s="1341"/>
      <c r="O2899" s="1341"/>
      <c r="X2899" s="501" t="b">
        <f t="shared" si="250"/>
        <v>0</v>
      </c>
    </row>
    <row r="2900" s="416" customFormat="1" outlineLevel="2" spans="1:24">
      <c r="A2900" s="416" t="s">
        <v>3482</v>
      </c>
      <c r="B2900" s="421" t="s">
        <v>3523</v>
      </c>
      <c r="C2900" s="429" t="str">
        <f t="shared" si="251"/>
        <v>石嘴山市深阳蓝光市政工程有限公司</v>
      </c>
      <c r="D2900" s="1339" t="s">
        <v>3524</v>
      </c>
      <c r="E2900" s="1357" t="s">
        <v>3482</v>
      </c>
      <c r="F2900" s="456"/>
      <c r="G2900" s="456"/>
      <c r="H2900" s="1368"/>
      <c r="I2900" s="1368"/>
      <c r="J2900" s="1368"/>
      <c r="K2900" s="1341"/>
      <c r="L2900" s="1341"/>
      <c r="M2900" s="1341"/>
      <c r="N2900" s="1341"/>
      <c r="O2900" s="1341"/>
      <c r="X2900" s="501" t="b">
        <f t="shared" si="250"/>
        <v>1</v>
      </c>
    </row>
    <row r="2901" s="416" customFormat="1" outlineLevel="2" spans="1:24">
      <c r="A2901" s="416" t="s">
        <v>1458</v>
      </c>
      <c r="B2901" s="421" t="s">
        <v>3523</v>
      </c>
      <c r="C2901" s="429" t="str">
        <f t="shared" si="251"/>
        <v>石嘴山市深阳蓝光市政工程有限公司</v>
      </c>
      <c r="D2901" s="1339" t="s">
        <v>3524</v>
      </c>
      <c r="E2901" s="1357" t="s">
        <v>1458</v>
      </c>
      <c r="F2901" s="456"/>
      <c r="G2901" s="456"/>
      <c r="H2901" s="1368"/>
      <c r="I2901" s="1368"/>
      <c r="J2901" s="1368"/>
      <c r="K2901" s="1341"/>
      <c r="L2901" s="1341"/>
      <c r="M2901" s="1341"/>
      <c r="N2901" s="1341"/>
      <c r="O2901" s="1341"/>
      <c r="X2901" s="501" t="b">
        <f t="shared" si="250"/>
        <v>1</v>
      </c>
    </row>
    <row r="2902" s="416" customFormat="1" outlineLevel="2" spans="1:24">
      <c r="A2902" s="416" t="s">
        <v>3483</v>
      </c>
      <c r="B2902" s="421" t="s">
        <v>3523</v>
      </c>
      <c r="C2902" s="429" t="str">
        <f t="shared" si="251"/>
        <v>石嘴山市深阳蓝光市政工程有限公司</v>
      </c>
      <c r="D2902" s="1339" t="s">
        <v>3524</v>
      </c>
      <c r="E2902" s="1379" t="s">
        <v>3484</v>
      </c>
      <c r="F2902" s="1358">
        <f>SUM(F2903:F2907)</f>
        <v>0</v>
      </c>
      <c r="G2902" s="1358">
        <f>SUM(G2903:G2907)</f>
        <v>0</v>
      </c>
      <c r="H2902" s="1368"/>
      <c r="I2902" s="1368"/>
      <c r="J2902" s="1368"/>
      <c r="K2902" s="1341"/>
      <c r="L2902" s="1341"/>
      <c r="M2902" s="1341"/>
      <c r="N2902" s="1341"/>
      <c r="O2902" s="1341"/>
      <c r="X2902" s="501" t="b">
        <f t="shared" si="250"/>
        <v>0</v>
      </c>
    </row>
    <row r="2903" s="416" customFormat="1" outlineLevel="2" spans="1:24">
      <c r="A2903" s="416" t="s">
        <v>3485</v>
      </c>
      <c r="B2903" s="421" t="s">
        <v>3523</v>
      </c>
      <c r="C2903" s="429" t="str">
        <f t="shared" si="251"/>
        <v>石嘴山市深阳蓝光市政工程有限公司</v>
      </c>
      <c r="D2903" s="1339" t="s">
        <v>3524</v>
      </c>
      <c r="E2903" s="1380" t="s">
        <v>3485</v>
      </c>
      <c r="F2903" s="456"/>
      <c r="G2903" s="456"/>
      <c r="H2903" s="1368"/>
      <c r="I2903" s="1368"/>
      <c r="J2903" s="1368"/>
      <c r="K2903" s="1341"/>
      <c r="L2903" s="1341"/>
      <c r="M2903" s="1341"/>
      <c r="N2903" s="1341"/>
      <c r="O2903" s="1341"/>
      <c r="X2903" s="501" t="b">
        <f t="shared" si="250"/>
        <v>1</v>
      </c>
    </row>
    <row r="2904" s="416" customFormat="1" outlineLevel="2" spans="1:24">
      <c r="A2904" s="416" t="s">
        <v>3487</v>
      </c>
      <c r="B2904" s="421" t="s">
        <v>3523</v>
      </c>
      <c r="C2904" s="429" t="str">
        <f t="shared" si="251"/>
        <v>石嘴山市深阳蓝光市政工程有限公司</v>
      </c>
      <c r="D2904" s="1339" t="s">
        <v>3524</v>
      </c>
      <c r="E2904" s="1380" t="s">
        <v>3487</v>
      </c>
      <c r="F2904" s="456"/>
      <c r="G2904" s="456"/>
      <c r="H2904" s="1368"/>
      <c r="I2904" s="1368"/>
      <c r="J2904" s="1368"/>
      <c r="K2904" s="1341"/>
      <c r="L2904" s="1341"/>
      <c r="M2904" s="1341"/>
      <c r="N2904" s="1341"/>
      <c r="O2904" s="1341"/>
      <c r="X2904" s="501" t="b">
        <f t="shared" si="250"/>
        <v>1</v>
      </c>
    </row>
    <row r="2905" s="416" customFormat="1" outlineLevel="2" spans="1:24">
      <c r="A2905" s="416" t="s">
        <v>3492</v>
      </c>
      <c r="B2905" s="421" t="s">
        <v>3523</v>
      </c>
      <c r="C2905" s="429" t="str">
        <f t="shared" si="251"/>
        <v>石嘴山市深阳蓝光市政工程有限公司</v>
      </c>
      <c r="D2905" s="1339" t="s">
        <v>3524</v>
      </c>
      <c r="E2905" s="1380" t="s">
        <v>3492</v>
      </c>
      <c r="F2905" s="456"/>
      <c r="G2905" s="456"/>
      <c r="H2905" s="1368"/>
      <c r="I2905" s="1368"/>
      <c r="J2905" s="1368"/>
      <c r="K2905" s="1341"/>
      <c r="L2905" s="1341"/>
      <c r="M2905" s="1341"/>
      <c r="N2905" s="1341"/>
      <c r="O2905" s="1341"/>
      <c r="X2905" s="501" t="b">
        <f t="shared" si="250"/>
        <v>1</v>
      </c>
    </row>
    <row r="2906" s="416" customFormat="1" outlineLevel="2" spans="1:24">
      <c r="A2906" s="416" t="s">
        <v>3494</v>
      </c>
      <c r="B2906" s="421" t="s">
        <v>3523</v>
      </c>
      <c r="C2906" s="429" t="str">
        <f t="shared" si="251"/>
        <v>石嘴山市深阳蓝光市政工程有限公司</v>
      </c>
      <c r="D2906" s="1339" t="s">
        <v>3524</v>
      </c>
      <c r="E2906" s="1380" t="s">
        <v>3494</v>
      </c>
      <c r="F2906" s="456"/>
      <c r="G2906" s="456"/>
      <c r="H2906" s="1368"/>
      <c r="I2906" s="1368"/>
      <c r="J2906" s="1368"/>
      <c r="K2906" s="1341"/>
      <c r="L2906" s="1341"/>
      <c r="M2906" s="1341"/>
      <c r="N2906" s="1341"/>
      <c r="O2906" s="1341"/>
      <c r="X2906" s="501" t="b">
        <f t="shared" si="250"/>
        <v>1</v>
      </c>
    </row>
    <row r="2907" s="416" customFormat="1" outlineLevel="2" spans="1:24">
      <c r="A2907" s="416" t="s">
        <v>3496</v>
      </c>
      <c r="B2907" s="421" t="s">
        <v>3523</v>
      </c>
      <c r="C2907" s="429" t="str">
        <f t="shared" si="251"/>
        <v>石嘴山市深阳蓝光市政工程有限公司</v>
      </c>
      <c r="D2907" s="1339" t="s">
        <v>3524</v>
      </c>
      <c r="E2907" s="1380" t="s">
        <v>3496</v>
      </c>
      <c r="F2907" s="456"/>
      <c r="G2907" s="456"/>
      <c r="H2907" s="1368"/>
      <c r="I2907" s="1368"/>
      <c r="J2907" s="1368"/>
      <c r="K2907" s="1341"/>
      <c r="L2907" s="1341"/>
      <c r="M2907" s="1341"/>
      <c r="N2907" s="1341"/>
      <c r="O2907" s="1341"/>
      <c r="X2907" s="501" t="b">
        <f t="shared" si="250"/>
        <v>1</v>
      </c>
    </row>
    <row r="2908" s="416" customFormat="1" outlineLevel="2" spans="1:24">
      <c r="A2908" s="416" t="s">
        <v>2506</v>
      </c>
      <c r="B2908" s="421" t="s">
        <v>3523</v>
      </c>
      <c r="C2908" s="429" t="str">
        <f t="shared" si="251"/>
        <v>石嘴山市深阳蓝光市政工程有限公司</v>
      </c>
      <c r="D2908" s="1339" t="s">
        <v>3524</v>
      </c>
      <c r="E2908" s="1381" t="s">
        <v>2506</v>
      </c>
      <c r="F2908" s="1368"/>
      <c r="G2908" s="1368"/>
      <c r="H2908" s="1368"/>
      <c r="I2908" s="1377"/>
      <c r="J2908" s="1378"/>
      <c r="K2908" s="1341"/>
      <c r="L2908" s="1341"/>
      <c r="M2908" s="1341"/>
      <c r="N2908" s="1341"/>
      <c r="O2908" s="1341"/>
      <c r="X2908" s="501" t="b">
        <f t="shared" si="250"/>
        <v>1</v>
      </c>
    </row>
    <row r="2909" s="416" customFormat="1" outlineLevel="2" spans="1:24">
      <c r="A2909" s="416" t="s">
        <v>3526</v>
      </c>
      <c r="B2909" s="421" t="s">
        <v>3523</v>
      </c>
      <c r="C2909" s="429" t="str">
        <f t="shared" si="251"/>
        <v>石嘴山市深阳蓝光市政工程有限公司</v>
      </c>
      <c r="D2909" s="1339" t="s">
        <v>3524</v>
      </c>
      <c r="E2909" s="1382" t="s">
        <v>3526</v>
      </c>
      <c r="F2909" s="1368"/>
      <c r="G2909" s="721" t="str">
        <f>IF(ROUND((G1980-F2754-F2825-F2889),2)=0,"相符","不相符，差异:"&amp;ROUND((G1980-F2754-F2825-F2889),2))</f>
        <v>相符</v>
      </c>
      <c r="H2909" s="1368"/>
      <c r="I2909" s="1377"/>
      <c r="J2909" s="1378"/>
      <c r="K2909" s="1341"/>
      <c r="L2909" s="1341"/>
      <c r="M2909" s="1341"/>
      <c r="N2909" s="1341"/>
      <c r="O2909" s="1341"/>
      <c r="X2909" s="501" t="b">
        <f t="shared" si="250"/>
        <v>1</v>
      </c>
    </row>
    <row r="2910" s="416" customFormat="1" outlineLevel="2" spans="1:24">
      <c r="A2910" s="416" t="s">
        <v>3527</v>
      </c>
      <c r="B2910" s="421" t="s">
        <v>3523</v>
      </c>
      <c r="C2910" s="429" t="str">
        <f t="shared" si="251"/>
        <v>石嘴山市深阳蓝光市政工程有限公司</v>
      </c>
      <c r="D2910" s="1339" t="s">
        <v>3524</v>
      </c>
      <c r="E2910" s="1382" t="s">
        <v>3527</v>
      </c>
      <c r="F2910" s="1368"/>
      <c r="G2910" s="721" t="str">
        <f>IF(ROUND((G1107+H1151-F2900-F2765-F2836),2)=0,"相符","不相符，差异:"&amp;ROUND((G1107+H1151-F2900-F2765-F2836),2))</f>
        <v>相符</v>
      </c>
      <c r="H2910" s="1368"/>
      <c r="I2910" s="1377"/>
      <c r="J2910" s="1378"/>
      <c r="K2910" s="1341"/>
      <c r="L2910" s="1341"/>
      <c r="M2910" s="1341"/>
      <c r="N2910" s="1341"/>
      <c r="O2910" s="1341"/>
      <c r="X2910" s="501" t="b">
        <f t="shared" si="250"/>
        <v>1</v>
      </c>
    </row>
    <row r="2911" s="416" customFormat="1" outlineLevel="2" spans="1:24">
      <c r="A2911" s="416" t="s">
        <v>3528</v>
      </c>
      <c r="B2911" s="421" t="s">
        <v>3523</v>
      </c>
      <c r="C2911" s="429" t="str">
        <f t="shared" si="251"/>
        <v>石嘴山市深阳蓝光市政工程有限公司</v>
      </c>
      <c r="D2911" s="1339" t="s">
        <v>3524</v>
      </c>
      <c r="E2911" s="1382" t="s">
        <v>3528</v>
      </c>
      <c r="F2911" s="1368"/>
      <c r="G2911" s="721" t="str">
        <f>IF(ROUND((G1436-F2901-F2837-F2766),2)=0,"相符","不相符，差异:"&amp;ROUND((G1436-F2901-F2837-F2766),2))</f>
        <v>相符</v>
      </c>
      <c r="H2911" s="1367">
        <f>G1436-F2901-F2837-F2766</f>
        <v>0</v>
      </c>
      <c r="I2911" s="1377"/>
      <c r="J2911" s="1378"/>
      <c r="K2911" s="1341"/>
      <c r="L2911" s="1341"/>
      <c r="M2911" s="1341"/>
      <c r="N2911" s="1341"/>
      <c r="O2911" s="1341"/>
      <c r="X2911" s="501" t="b">
        <f t="shared" si="250"/>
        <v>1</v>
      </c>
    </row>
    <row r="2912" s="416" customFormat="1" outlineLevel="2" spans="2:24">
      <c r="B2912" s="421" t="s">
        <v>3445</v>
      </c>
      <c r="C2912" s="429" t="str">
        <f t="shared" si="251"/>
        <v>石嘴山市深阳蓝光市政工程有限公司</v>
      </c>
      <c r="D2912" s="1339" t="s">
        <v>3457</v>
      </c>
      <c r="E2912" s="149"/>
      <c r="F2912" s="451"/>
      <c r="G2912" s="451"/>
      <c r="H2912" s="1341"/>
      <c r="I2912" s="1341"/>
      <c r="J2912" s="1341"/>
      <c r="K2912" s="1341"/>
      <c r="L2912" s="1341"/>
      <c r="M2912" s="1341"/>
      <c r="N2912" s="1341"/>
      <c r="O2912" s="1341"/>
      <c r="X2912" s="501" t="b">
        <f t="shared" si="250"/>
        <v>1</v>
      </c>
    </row>
    <row r="2913" s="417" customFormat="1" spans="1:24">
      <c r="A2913" s="417" t="s">
        <v>1951</v>
      </c>
      <c r="B2913" s="428" t="s">
        <v>3529</v>
      </c>
      <c r="C2913" s="429" t="str">
        <f t="shared" si="251"/>
        <v>石嘴山市深阳蓝光市政工程有限公司</v>
      </c>
      <c r="D2913" s="1383" t="s">
        <v>1951</v>
      </c>
      <c r="E2913" s="65" t="s">
        <v>3530</v>
      </c>
      <c r="F2913" s="1384"/>
      <c r="G2913" s="1118" t="s">
        <v>3326</v>
      </c>
      <c r="X2913" s="501" t="b">
        <f t="shared" si="250"/>
        <v>1</v>
      </c>
    </row>
    <row r="2914" s="417" customFormat="1" outlineLevel="2" spans="1:24">
      <c r="A2914" s="417" t="s">
        <v>314</v>
      </c>
      <c r="B2914" s="428" t="s">
        <v>3529</v>
      </c>
      <c r="C2914" s="429" t="str">
        <f t="shared" si="251"/>
        <v>石嘴山市深阳蓝光市政工程有限公司</v>
      </c>
      <c r="D2914" s="1383" t="s">
        <v>1951</v>
      </c>
      <c r="E2914" s="1385" t="s">
        <v>3327</v>
      </c>
      <c r="F2914" s="1385" t="s">
        <v>1906</v>
      </c>
      <c r="G2914" s="1385" t="s">
        <v>1910</v>
      </c>
      <c r="H2914" s="1386" t="s">
        <v>3531</v>
      </c>
      <c r="I2914" s="634" t="s">
        <v>3327</v>
      </c>
      <c r="J2914" s="1385" t="s">
        <v>1906</v>
      </c>
      <c r="X2914" s="501" t="b">
        <f t="shared" si="250"/>
        <v>1</v>
      </c>
    </row>
    <row r="2915" s="417" customFormat="1" outlineLevel="2" spans="1:24">
      <c r="A2915" s="417" t="s">
        <v>1952</v>
      </c>
      <c r="B2915" s="428" t="s">
        <v>3529</v>
      </c>
      <c r="C2915" s="429" t="str">
        <f t="shared" si="251"/>
        <v>石嘴山市深阳蓝光市政工程有限公司</v>
      </c>
      <c r="D2915" s="1383" t="s">
        <v>1951</v>
      </c>
      <c r="E2915" s="1387" t="s">
        <v>3532</v>
      </c>
      <c r="F2915" s="135">
        <f>SUM(F2916:F2917)</f>
        <v>0</v>
      </c>
      <c r="G2915" s="135">
        <f>SUM(G2916:G2917)</f>
        <v>0</v>
      </c>
      <c r="I2915" s="1392"/>
      <c r="J2915" s="132"/>
      <c r="X2915" s="501" t="b">
        <f t="shared" si="250"/>
        <v>1</v>
      </c>
    </row>
    <row r="2916" s="417" customFormat="1" outlineLevel="2" spans="1:24">
      <c r="A2916" s="417" t="s">
        <v>1953</v>
      </c>
      <c r="B2916" s="428" t="s">
        <v>3529</v>
      </c>
      <c r="C2916" s="429" t="str">
        <f t="shared" si="251"/>
        <v>石嘴山市深阳蓝光市政工程有限公司</v>
      </c>
      <c r="D2916" s="1383" t="s">
        <v>1951</v>
      </c>
      <c r="E2916" s="1387" t="s">
        <v>1953</v>
      </c>
      <c r="F2916" s="132"/>
      <c r="G2916" s="477">
        <f>报表附注合并期初用!E2355</f>
        <v>0</v>
      </c>
      <c r="I2916" s="1392"/>
      <c r="J2916" s="132"/>
      <c r="X2916" s="501" t="b">
        <f t="shared" si="250"/>
        <v>1</v>
      </c>
    </row>
    <row r="2917" s="417" customFormat="1" outlineLevel="2" spans="1:24">
      <c r="A2917" s="417" t="s">
        <v>1954</v>
      </c>
      <c r="B2917" s="428" t="s">
        <v>3529</v>
      </c>
      <c r="C2917" s="429" t="str">
        <f t="shared" si="251"/>
        <v>石嘴山市深阳蓝光市政工程有限公司</v>
      </c>
      <c r="D2917" s="1383" t="s">
        <v>1951</v>
      </c>
      <c r="E2917" s="1387" t="s">
        <v>3533</v>
      </c>
      <c r="F2917" s="132"/>
      <c r="G2917" s="477">
        <f>报表附注合并期初用!E2356</f>
        <v>0</v>
      </c>
      <c r="I2917" s="1392"/>
      <c r="J2917" s="132"/>
      <c r="X2917" s="501" t="b">
        <f t="shared" si="250"/>
        <v>1</v>
      </c>
    </row>
    <row r="2918" s="417" customFormat="1" outlineLevel="2" spans="1:24">
      <c r="A2918" s="417" t="s">
        <v>1955</v>
      </c>
      <c r="B2918" s="428" t="s">
        <v>3529</v>
      </c>
      <c r="C2918" s="429" t="str">
        <f t="shared" si="251"/>
        <v>石嘴山市深阳蓝光市政工程有限公司</v>
      </c>
      <c r="D2918" s="1383" t="s">
        <v>1951</v>
      </c>
      <c r="E2918" s="1387" t="s">
        <v>3534</v>
      </c>
      <c r="F2918" s="132"/>
      <c r="G2918" s="477">
        <f>报表附注合并期初用!E2357</f>
        <v>0</v>
      </c>
      <c r="I2918" s="1392"/>
      <c r="J2918" s="132"/>
      <c r="X2918" s="501" t="b">
        <f t="shared" si="250"/>
        <v>1</v>
      </c>
    </row>
    <row r="2919" s="417" customFormat="1" outlineLevel="2" spans="1:24">
      <c r="A2919" s="417" t="s">
        <v>1956</v>
      </c>
      <c r="B2919" s="428" t="s">
        <v>3529</v>
      </c>
      <c r="C2919" s="429" t="str">
        <f t="shared" si="251"/>
        <v>石嘴山市深阳蓝光市政工程有限公司</v>
      </c>
      <c r="D2919" s="1383" t="s">
        <v>1951</v>
      </c>
      <c r="E2919" s="1387" t="s">
        <v>3535</v>
      </c>
      <c r="F2919" s="132"/>
      <c r="G2919" s="477">
        <f>报表附注合并期初用!E2358</f>
        <v>0</v>
      </c>
      <c r="I2919" s="1392"/>
      <c r="J2919" s="132"/>
      <c r="X2919" s="501" t="b">
        <f t="shared" si="250"/>
        <v>1</v>
      </c>
    </row>
    <row r="2920" s="417" customFormat="1" outlineLevel="2" spans="1:24">
      <c r="A2920" s="417" t="s">
        <v>1957</v>
      </c>
      <c r="B2920" s="428" t="s">
        <v>3529</v>
      </c>
      <c r="C2920" s="429" t="str">
        <f t="shared" si="251"/>
        <v>石嘴山市深阳蓝光市政工程有限公司</v>
      </c>
      <c r="D2920" s="1383" t="s">
        <v>1951</v>
      </c>
      <c r="E2920" s="1387" t="s">
        <v>3536</v>
      </c>
      <c r="F2920" s="132"/>
      <c r="G2920" s="477">
        <f>报表附注合并期初用!E2359</f>
        <v>0</v>
      </c>
      <c r="I2920" s="1392"/>
      <c r="J2920" s="132"/>
      <c r="X2920" s="501" t="b">
        <f t="shared" si="250"/>
        <v>1</v>
      </c>
    </row>
    <row r="2921" s="417" customFormat="1" outlineLevel="2" spans="1:24">
      <c r="A2921" s="417" t="s">
        <v>1958</v>
      </c>
      <c r="B2921" s="428" t="s">
        <v>3529</v>
      </c>
      <c r="C2921" s="429" t="str">
        <f t="shared" si="251"/>
        <v>石嘴山市深阳蓝光市政工程有限公司</v>
      </c>
      <c r="D2921" s="1383" t="s">
        <v>1951</v>
      </c>
      <c r="E2921" s="1387" t="s">
        <v>3537</v>
      </c>
      <c r="F2921" s="132"/>
      <c r="G2921" s="477">
        <f>报表附注合并期初用!E2360</f>
        <v>0</v>
      </c>
      <c r="I2921" s="1392"/>
      <c r="J2921" s="132"/>
      <c r="X2921" s="501" t="b">
        <f t="shared" si="250"/>
        <v>1</v>
      </c>
    </row>
    <row r="2922" s="417" customFormat="1" outlineLevel="2" spans="1:24">
      <c r="A2922" s="417" t="s">
        <v>1959</v>
      </c>
      <c r="B2922" s="428" t="s">
        <v>3529</v>
      </c>
      <c r="C2922" s="429" t="str">
        <f t="shared" si="251"/>
        <v>石嘴山市深阳蓝光市政工程有限公司</v>
      </c>
      <c r="D2922" s="1383" t="s">
        <v>1951</v>
      </c>
      <c r="E2922" s="1387" t="s">
        <v>3538</v>
      </c>
      <c r="F2922" s="132"/>
      <c r="G2922" s="477">
        <f>报表附注合并期初用!E2361</f>
        <v>0</v>
      </c>
      <c r="I2922" s="1392"/>
      <c r="J2922" s="132"/>
      <c r="X2922" s="501" t="b">
        <f t="shared" si="250"/>
        <v>1</v>
      </c>
    </row>
    <row r="2923" s="417" customFormat="1" outlineLevel="2" spans="1:24">
      <c r="A2923" s="417" t="s">
        <v>1960</v>
      </c>
      <c r="B2923" s="428" t="s">
        <v>3529</v>
      </c>
      <c r="C2923" s="429" t="str">
        <f t="shared" si="251"/>
        <v>石嘴山市深阳蓝光市政工程有限公司</v>
      </c>
      <c r="D2923" s="1383" t="s">
        <v>1951</v>
      </c>
      <c r="E2923" s="1387" t="s">
        <v>3539</v>
      </c>
      <c r="F2923" s="132"/>
      <c r="G2923" s="477">
        <f>报表附注合并期初用!E2362</f>
        <v>0</v>
      </c>
      <c r="I2923" s="1392"/>
      <c r="J2923" s="132"/>
      <c r="X2923" s="501" t="b">
        <f t="shared" si="250"/>
        <v>1</v>
      </c>
    </row>
    <row r="2924" s="417" customFormat="1" outlineLevel="2" spans="1:24">
      <c r="A2924" s="417" t="s">
        <v>1961</v>
      </c>
      <c r="B2924" s="428" t="s">
        <v>3529</v>
      </c>
      <c r="C2924" s="429" t="str">
        <f t="shared" si="251"/>
        <v>石嘴山市深阳蓝光市政工程有限公司</v>
      </c>
      <c r="D2924" s="1383" t="s">
        <v>1951</v>
      </c>
      <c r="E2924" s="1387" t="s">
        <v>3540</v>
      </c>
      <c r="F2924" s="132"/>
      <c r="G2924" s="477">
        <f>报表附注合并期初用!E2363</f>
        <v>0</v>
      </c>
      <c r="I2924" s="1392"/>
      <c r="J2924" s="132"/>
      <c r="X2924" s="501" t="b">
        <f t="shared" si="250"/>
        <v>1</v>
      </c>
    </row>
    <row r="2925" s="417" customFormat="1" outlineLevel="2" spans="1:24">
      <c r="A2925" s="417" t="s">
        <v>1206</v>
      </c>
      <c r="B2925" s="428" t="s">
        <v>3529</v>
      </c>
      <c r="C2925" s="429" t="str">
        <f t="shared" si="251"/>
        <v>石嘴山市深阳蓝光市政工程有限公司</v>
      </c>
      <c r="D2925" s="1383" t="s">
        <v>1951</v>
      </c>
      <c r="E2925" s="1385" t="s">
        <v>3073</v>
      </c>
      <c r="F2925" s="565">
        <f>SUM(F2915,F2918:F2924)</f>
        <v>0</v>
      </c>
      <c r="G2925" s="565">
        <f>SUM(G2915,G2918:G2924)</f>
        <v>0</v>
      </c>
      <c r="I2925" s="634" t="s">
        <v>3073</v>
      </c>
      <c r="J2925" s="565">
        <f>SUM(J2915:J2924)</f>
        <v>0</v>
      </c>
      <c r="X2925" s="501" t="b">
        <f t="shared" si="250"/>
        <v>1</v>
      </c>
    </row>
    <row r="2926" s="417" customFormat="1" outlineLevel="2" spans="1:24">
      <c r="A2926" s="417" t="s">
        <v>1444</v>
      </c>
      <c r="B2926" s="428" t="s">
        <v>3529</v>
      </c>
      <c r="C2926" s="429" t="str">
        <f t="shared" si="251"/>
        <v>石嘴山市深阳蓝光市政工程有限公司</v>
      </c>
      <c r="D2926" s="1383" t="s">
        <v>1951</v>
      </c>
      <c r="E2926" s="1322" t="s">
        <v>1444</v>
      </c>
      <c r="F2926" s="566">
        <f>审定利润表!C20</f>
        <v>0</v>
      </c>
      <c r="G2926" s="566">
        <f>审定利润表!D20</f>
        <v>0</v>
      </c>
      <c r="X2926" s="501" t="b">
        <f t="shared" si="250"/>
        <v>1</v>
      </c>
    </row>
    <row r="2927" s="417" customFormat="1" outlineLevel="1" spans="1:24">
      <c r="A2927" s="417" t="s">
        <v>1394</v>
      </c>
      <c r="B2927" s="428" t="s">
        <v>3529</v>
      </c>
      <c r="C2927" s="429" t="str">
        <f t="shared" si="251"/>
        <v>石嘴山市深阳蓝光市政工程有限公司</v>
      </c>
      <c r="D2927" s="1383" t="s">
        <v>1951</v>
      </c>
      <c r="E2927" s="1322" t="s">
        <v>1394</v>
      </c>
      <c r="F2927" s="721">
        <f>ROUND(F2925-F2926,2)</f>
        <v>0</v>
      </c>
      <c r="G2927" s="721">
        <f>ROUND(G2925-G2926,2)</f>
        <v>0</v>
      </c>
      <c r="X2927" s="501" t="b">
        <f t="shared" si="250"/>
        <v>1</v>
      </c>
    </row>
    <row r="2928" s="417" customFormat="1" outlineLevel="2" spans="2:24">
      <c r="B2928" s="428" t="s">
        <v>3529</v>
      </c>
      <c r="C2928" s="429" t="str">
        <f t="shared" si="251"/>
        <v>石嘴山市深阳蓝光市政工程有限公司</v>
      </c>
      <c r="D2928" s="1383" t="s">
        <v>1951</v>
      </c>
      <c r="E2928" s="1388"/>
      <c r="F2928" s="451"/>
      <c r="G2928" s="451"/>
      <c r="X2928" s="501" t="b">
        <f t="shared" si="250"/>
        <v>1</v>
      </c>
    </row>
    <row r="2929" s="418" customFormat="1" outlineLevel="2" spans="1:24">
      <c r="A2929" s="418" t="s">
        <v>2002</v>
      </c>
      <c r="B2929" s="919" t="s">
        <v>3541</v>
      </c>
      <c r="C2929" s="429" t="str">
        <f t="shared" si="251"/>
        <v>石嘴山市深阳蓝光市政工程有限公司</v>
      </c>
      <c r="D2929" s="1389" t="s">
        <v>2002</v>
      </c>
      <c r="E2929" s="1390" t="s">
        <v>2002</v>
      </c>
      <c r="F2929" s="485"/>
      <c r="G2929" s="485"/>
      <c r="H2929" s="485"/>
      <c r="I2929" s="645" t="s">
        <v>2462</v>
      </c>
      <c r="J2929" s="1393"/>
      <c r="K2929" s="1393"/>
      <c r="L2929" s="1393"/>
      <c r="M2929" s="1393"/>
      <c r="X2929" s="501" t="b">
        <f t="shared" si="250"/>
        <v>1</v>
      </c>
    </row>
    <row r="2930" s="418" customFormat="1" outlineLevel="2" spans="1:24">
      <c r="A2930" s="418" t="s">
        <v>60</v>
      </c>
      <c r="B2930" s="919" t="s">
        <v>3541</v>
      </c>
      <c r="C2930" s="429" t="str">
        <f t="shared" si="251"/>
        <v>石嘴山市深阳蓝光市政工程有限公司</v>
      </c>
      <c r="D2930" s="1389" t="s">
        <v>2002</v>
      </c>
      <c r="E2930" s="143" t="s">
        <v>60</v>
      </c>
      <c r="F2930" s="143" t="s">
        <v>62</v>
      </c>
      <c r="G2930" s="143" t="s">
        <v>2010</v>
      </c>
      <c r="H2930" s="143" t="s">
        <v>3542</v>
      </c>
      <c r="I2930" s="627"/>
      <c r="J2930" s="1393"/>
      <c r="K2930" s="1393"/>
      <c r="L2930" s="1393"/>
      <c r="M2930" s="1393"/>
      <c r="X2930" s="501" t="b">
        <f t="shared" si="250"/>
        <v>1</v>
      </c>
    </row>
    <row r="2931" s="418" customFormat="1" outlineLevel="2" spans="2:24">
      <c r="B2931" s="919" t="s">
        <v>3541</v>
      </c>
      <c r="C2931" s="429" t="str">
        <f t="shared" si="251"/>
        <v>石嘴山市深阳蓝光市政工程有限公司</v>
      </c>
      <c r="D2931" s="1389" t="s">
        <v>2002</v>
      </c>
      <c r="E2931" s="1391"/>
      <c r="F2931" s="132"/>
      <c r="G2931" s="732"/>
      <c r="H2931" s="1169"/>
      <c r="I2931" s="1393"/>
      <c r="J2931" s="1393"/>
      <c r="K2931" s="1393"/>
      <c r="L2931" s="1393"/>
      <c r="M2931" s="1393"/>
      <c r="X2931" s="501" t="b">
        <f t="shared" si="250"/>
        <v>1</v>
      </c>
    </row>
    <row r="2932" s="418" customFormat="1" outlineLevel="2" spans="2:24">
      <c r="B2932" s="919" t="s">
        <v>3541</v>
      </c>
      <c r="C2932" s="429" t="str">
        <f t="shared" si="251"/>
        <v>石嘴山市深阳蓝光市政工程有限公司</v>
      </c>
      <c r="D2932" s="1389" t="s">
        <v>2002</v>
      </c>
      <c r="E2932" s="1391"/>
      <c r="F2932" s="732"/>
      <c r="G2932" s="732"/>
      <c r="H2932" s="1169"/>
      <c r="I2932" s="1393"/>
      <c r="J2932" s="1393"/>
      <c r="K2932" s="1393"/>
      <c r="L2932" s="1393"/>
      <c r="M2932" s="1393"/>
      <c r="X2932" s="501" t="b">
        <f t="shared" si="250"/>
        <v>1</v>
      </c>
    </row>
    <row r="2933" s="418" customFormat="1" outlineLevel="2" spans="2:24">
      <c r="B2933" s="919" t="s">
        <v>3541</v>
      </c>
      <c r="C2933" s="429" t="str">
        <f t="shared" si="251"/>
        <v>石嘴山市深阳蓝光市政工程有限公司</v>
      </c>
      <c r="D2933" s="1389" t="s">
        <v>2002</v>
      </c>
      <c r="E2933" s="1391"/>
      <c r="F2933" s="732"/>
      <c r="G2933" s="732"/>
      <c r="H2933" s="1169"/>
      <c r="I2933" s="1393"/>
      <c r="J2933" s="1393"/>
      <c r="K2933" s="1393"/>
      <c r="L2933" s="1393"/>
      <c r="M2933" s="1393"/>
      <c r="X2933" s="501" t="b">
        <f t="shared" si="250"/>
        <v>1</v>
      </c>
    </row>
    <row r="2934" s="418" customFormat="1" outlineLevel="2" spans="2:24">
      <c r="B2934" s="919" t="s">
        <v>3541</v>
      </c>
      <c r="C2934" s="429" t="str">
        <f t="shared" si="251"/>
        <v>石嘴山市深阳蓝光市政工程有限公司</v>
      </c>
      <c r="D2934" s="1389" t="s">
        <v>2002</v>
      </c>
      <c r="E2934" s="1391"/>
      <c r="F2934" s="732"/>
      <c r="G2934" s="732"/>
      <c r="H2934" s="1169"/>
      <c r="I2934" s="1393"/>
      <c r="J2934" s="1393"/>
      <c r="K2934" s="1393"/>
      <c r="L2934" s="1393"/>
      <c r="M2934" s="1393"/>
      <c r="X2934" s="501" t="b">
        <f t="shared" si="250"/>
        <v>1</v>
      </c>
    </row>
    <row r="2935" s="418" customFormat="1" outlineLevel="2" spans="2:24">
      <c r="B2935" s="919" t="s">
        <v>3541</v>
      </c>
      <c r="C2935" s="429" t="str">
        <f t="shared" si="251"/>
        <v>石嘴山市深阳蓝光市政工程有限公司</v>
      </c>
      <c r="D2935" s="1389" t="s">
        <v>2002</v>
      </c>
      <c r="E2935" s="1391"/>
      <c r="F2935" s="732"/>
      <c r="G2935" s="732"/>
      <c r="H2935" s="1169"/>
      <c r="I2935" s="1393"/>
      <c r="J2935" s="1393"/>
      <c r="K2935" s="1393"/>
      <c r="L2935" s="1393"/>
      <c r="M2935" s="1393"/>
      <c r="X2935" s="501" t="b">
        <f t="shared" si="250"/>
        <v>1</v>
      </c>
    </row>
    <row r="2936" s="418" customFormat="1" outlineLevel="2" spans="2:24">
      <c r="B2936" s="919" t="s">
        <v>3541</v>
      </c>
      <c r="C2936" s="429" t="str">
        <f t="shared" si="251"/>
        <v>石嘴山市深阳蓝光市政工程有限公司</v>
      </c>
      <c r="D2936" s="1389" t="s">
        <v>2002</v>
      </c>
      <c r="E2936" s="1391"/>
      <c r="F2936" s="732"/>
      <c r="G2936" s="732"/>
      <c r="H2936" s="1169"/>
      <c r="I2936" s="1393"/>
      <c r="J2936" s="1393"/>
      <c r="K2936" s="1393"/>
      <c r="L2936" s="1393"/>
      <c r="M2936" s="1393"/>
      <c r="X2936" s="501" t="b">
        <f t="shared" si="250"/>
        <v>1</v>
      </c>
    </row>
    <row r="2937" s="418" customFormat="1" outlineLevel="2" spans="2:24">
      <c r="B2937" s="919" t="s">
        <v>3541</v>
      </c>
      <c r="C2937" s="429" t="str">
        <f t="shared" si="251"/>
        <v>石嘴山市深阳蓝光市政工程有限公司</v>
      </c>
      <c r="D2937" s="1389" t="s">
        <v>2002</v>
      </c>
      <c r="E2937" s="1169"/>
      <c r="F2937" s="732"/>
      <c r="G2937" s="732"/>
      <c r="H2937" s="1169"/>
      <c r="I2937" s="1393"/>
      <c r="J2937" s="1393"/>
      <c r="K2937" s="1393"/>
      <c r="L2937" s="1393"/>
      <c r="M2937" s="1393"/>
      <c r="X2937" s="501" t="b">
        <f t="shared" si="250"/>
        <v>1</v>
      </c>
    </row>
    <row r="2938" s="418" customFormat="1" outlineLevel="2" spans="2:24">
      <c r="B2938" s="919" t="s">
        <v>3541</v>
      </c>
      <c r="C2938" s="429" t="str">
        <f t="shared" si="251"/>
        <v>石嘴山市深阳蓝光市政工程有限公司</v>
      </c>
      <c r="D2938" s="1389" t="s">
        <v>2002</v>
      </c>
      <c r="E2938" s="1169"/>
      <c r="F2938" s="732"/>
      <c r="G2938" s="732"/>
      <c r="H2938" s="1169"/>
      <c r="I2938" s="1393"/>
      <c r="J2938" s="1393"/>
      <c r="K2938" s="1393"/>
      <c r="L2938" s="1393"/>
      <c r="M2938" s="1393"/>
      <c r="X2938" s="501" t="b">
        <f t="shared" si="250"/>
        <v>1</v>
      </c>
    </row>
    <row r="2939" s="418" customFormat="1" ht="15" customHeight="1" outlineLevel="2" spans="2:24">
      <c r="B2939" s="919" t="s">
        <v>3541</v>
      </c>
      <c r="C2939" s="429" t="str">
        <f t="shared" si="251"/>
        <v>石嘴山市深阳蓝光市政工程有限公司</v>
      </c>
      <c r="D2939" s="1389" t="s">
        <v>2002</v>
      </c>
      <c r="E2939" s="1169"/>
      <c r="F2939" s="732"/>
      <c r="G2939" s="732"/>
      <c r="H2939" s="1169"/>
      <c r="I2939" s="1393"/>
      <c r="J2939" s="1393"/>
      <c r="K2939" s="1393"/>
      <c r="L2939" s="1393"/>
      <c r="M2939" s="1393"/>
      <c r="X2939" s="501" t="b">
        <f t="shared" si="250"/>
        <v>1</v>
      </c>
    </row>
    <row r="2940" s="418" customFormat="1" ht="15" customHeight="1" outlineLevel="2" spans="2:24">
      <c r="B2940" s="919" t="s">
        <v>3541</v>
      </c>
      <c r="C2940" s="429" t="str">
        <f t="shared" si="251"/>
        <v>石嘴山市深阳蓝光市政工程有限公司</v>
      </c>
      <c r="D2940" s="1389" t="s">
        <v>2002</v>
      </c>
      <c r="E2940" s="1169"/>
      <c r="F2940" s="732"/>
      <c r="G2940" s="732"/>
      <c r="H2940" s="1169"/>
      <c r="I2940" s="1393"/>
      <c r="J2940" s="1393"/>
      <c r="K2940" s="1393"/>
      <c r="L2940" s="1393"/>
      <c r="M2940" s="1393"/>
      <c r="X2940" s="501" t="b">
        <f t="shared" si="250"/>
        <v>1</v>
      </c>
    </row>
    <row r="2941" s="418" customFormat="1" ht="15" customHeight="1" outlineLevel="2" spans="2:24">
      <c r="B2941" s="919" t="s">
        <v>3541</v>
      </c>
      <c r="C2941" s="429" t="str">
        <f t="shared" si="251"/>
        <v>石嘴山市深阳蓝光市政工程有限公司</v>
      </c>
      <c r="D2941" s="1389" t="s">
        <v>2002</v>
      </c>
      <c r="E2941" s="1168"/>
      <c r="F2941" s="1179"/>
      <c r="G2941" s="1179"/>
      <c r="H2941" s="1168"/>
      <c r="I2941" s="1393"/>
      <c r="J2941" s="1393"/>
      <c r="K2941" s="1393"/>
      <c r="L2941" s="1393"/>
      <c r="M2941" s="1393"/>
      <c r="X2941" s="501" t="b">
        <f t="shared" si="250"/>
        <v>1</v>
      </c>
    </row>
    <row r="2942" s="418" customFormat="1" ht="15" customHeight="1" outlineLevel="2" spans="2:24">
      <c r="B2942" s="919" t="s">
        <v>3541</v>
      </c>
      <c r="C2942" s="429" t="str">
        <f t="shared" si="251"/>
        <v>石嘴山市深阳蓝光市政工程有限公司</v>
      </c>
      <c r="D2942" s="1389" t="s">
        <v>2002</v>
      </c>
      <c r="E2942" s="1168"/>
      <c r="F2942" s="1179"/>
      <c r="G2942" s="1179"/>
      <c r="H2942" s="1168"/>
      <c r="I2942" s="1393"/>
      <c r="J2942" s="1393"/>
      <c r="K2942" s="1393"/>
      <c r="L2942" s="1393"/>
      <c r="M2942" s="1393"/>
      <c r="X2942" s="501" t="b">
        <f t="shared" si="250"/>
        <v>1</v>
      </c>
    </row>
    <row r="2943" s="418" customFormat="1" ht="15" customHeight="1" outlineLevel="2" spans="2:24">
      <c r="B2943" s="919" t="s">
        <v>3541</v>
      </c>
      <c r="C2943" s="429" t="str">
        <f t="shared" si="251"/>
        <v>石嘴山市深阳蓝光市政工程有限公司</v>
      </c>
      <c r="D2943" s="1389" t="s">
        <v>2002</v>
      </c>
      <c r="E2943" s="1168"/>
      <c r="F2943" s="1179"/>
      <c r="G2943" s="1179"/>
      <c r="H2943" s="1168"/>
      <c r="I2943" s="1393"/>
      <c r="J2943" s="1393"/>
      <c r="K2943" s="1393"/>
      <c r="L2943" s="1393"/>
      <c r="M2943" s="1393"/>
      <c r="X2943" s="501" t="b">
        <f t="shared" si="250"/>
        <v>1</v>
      </c>
    </row>
    <row r="2944" s="418" customFormat="1" ht="15" customHeight="1" outlineLevel="2" spans="2:24">
      <c r="B2944" s="919" t="s">
        <v>3541</v>
      </c>
      <c r="C2944" s="429" t="str">
        <f t="shared" si="251"/>
        <v>石嘴山市深阳蓝光市政工程有限公司</v>
      </c>
      <c r="D2944" s="1389" t="s">
        <v>2002</v>
      </c>
      <c r="E2944" s="1168"/>
      <c r="F2944" s="1179"/>
      <c r="G2944" s="1179"/>
      <c r="H2944" s="1168"/>
      <c r="I2944" s="1393"/>
      <c r="J2944" s="1393"/>
      <c r="K2944" s="1393"/>
      <c r="L2944" s="1393"/>
      <c r="M2944" s="1393"/>
      <c r="X2944" s="501" t="b">
        <f t="shared" si="250"/>
        <v>1</v>
      </c>
    </row>
    <row r="2945" s="418" customFormat="1" ht="15" customHeight="1" outlineLevel="2" spans="2:24">
      <c r="B2945" s="919" t="s">
        <v>3541</v>
      </c>
      <c r="C2945" s="429" t="str">
        <f t="shared" si="251"/>
        <v>石嘴山市深阳蓝光市政工程有限公司</v>
      </c>
      <c r="D2945" s="1389" t="s">
        <v>2002</v>
      </c>
      <c r="E2945" s="1168"/>
      <c r="F2945" s="1179"/>
      <c r="G2945" s="1179"/>
      <c r="H2945" s="1168"/>
      <c r="I2945" s="1393"/>
      <c r="J2945" s="1393"/>
      <c r="K2945" s="1393"/>
      <c r="L2945" s="1393"/>
      <c r="M2945" s="1393"/>
      <c r="X2945" s="501" t="b">
        <f t="shared" si="250"/>
        <v>1</v>
      </c>
    </row>
    <row r="2946" s="418" customFormat="1" ht="15" customHeight="1" outlineLevel="2" spans="2:24">
      <c r="B2946" s="919" t="s">
        <v>3541</v>
      </c>
      <c r="C2946" s="429" t="str">
        <f t="shared" si="251"/>
        <v>石嘴山市深阳蓝光市政工程有限公司</v>
      </c>
      <c r="D2946" s="1389" t="s">
        <v>2002</v>
      </c>
      <c r="E2946" s="1168"/>
      <c r="F2946" s="1179"/>
      <c r="G2946" s="1179"/>
      <c r="H2946" s="1168"/>
      <c r="I2946" s="1393"/>
      <c r="J2946" s="1393"/>
      <c r="K2946" s="1393"/>
      <c r="L2946" s="1393"/>
      <c r="M2946" s="1393"/>
      <c r="X2946" s="501" t="b">
        <f t="shared" si="250"/>
        <v>1</v>
      </c>
    </row>
    <row r="2947" s="418" customFormat="1" ht="15" customHeight="1" outlineLevel="2" spans="2:24">
      <c r="B2947" s="919" t="s">
        <v>3541</v>
      </c>
      <c r="C2947" s="429" t="str">
        <f t="shared" si="251"/>
        <v>石嘴山市深阳蓝光市政工程有限公司</v>
      </c>
      <c r="D2947" s="1389" t="s">
        <v>2002</v>
      </c>
      <c r="E2947" s="1168"/>
      <c r="F2947" s="1179"/>
      <c r="G2947" s="1179"/>
      <c r="H2947" s="1168"/>
      <c r="I2947" s="1393"/>
      <c r="J2947" s="1393"/>
      <c r="K2947" s="1393"/>
      <c r="L2947" s="1393"/>
      <c r="M2947" s="1393"/>
      <c r="X2947" s="501" t="b">
        <f t="shared" si="250"/>
        <v>1</v>
      </c>
    </row>
    <row r="2948" s="418" customFormat="1" ht="15" customHeight="1" outlineLevel="2" spans="2:24">
      <c r="B2948" s="919" t="s">
        <v>3541</v>
      </c>
      <c r="C2948" s="429" t="str">
        <f t="shared" si="251"/>
        <v>石嘴山市深阳蓝光市政工程有限公司</v>
      </c>
      <c r="D2948" s="1389" t="s">
        <v>2002</v>
      </c>
      <c r="E2948" s="1168"/>
      <c r="F2948" s="1179"/>
      <c r="G2948" s="1179"/>
      <c r="H2948" s="1168"/>
      <c r="I2948" s="1393"/>
      <c r="J2948" s="1393"/>
      <c r="K2948" s="1393"/>
      <c r="L2948" s="1393"/>
      <c r="M2948" s="1393"/>
      <c r="X2948" s="501" t="b">
        <f t="shared" ref="X2948:X3011" si="252">EXACT(A2948,E2948)</f>
        <v>1</v>
      </c>
    </row>
    <row r="2949" s="418" customFormat="1" ht="15" customHeight="1" outlineLevel="2" spans="2:24">
      <c r="B2949" s="919" t="s">
        <v>3541</v>
      </c>
      <c r="C2949" s="429" t="str">
        <f t="shared" si="251"/>
        <v>石嘴山市深阳蓝光市政工程有限公司</v>
      </c>
      <c r="D2949" s="1389" t="s">
        <v>2002</v>
      </c>
      <c r="E2949" s="1168"/>
      <c r="F2949" s="1179"/>
      <c r="G2949" s="1179"/>
      <c r="H2949" s="1168"/>
      <c r="I2949" s="1393"/>
      <c r="J2949" s="1393"/>
      <c r="K2949" s="1393"/>
      <c r="L2949" s="1393"/>
      <c r="M2949" s="1393"/>
      <c r="X2949" s="501" t="b">
        <f t="shared" si="252"/>
        <v>1</v>
      </c>
    </row>
    <row r="2950" s="418" customFormat="1" ht="15" customHeight="1" outlineLevel="2" spans="2:24">
      <c r="B2950" s="919" t="s">
        <v>3541</v>
      </c>
      <c r="C2950" s="429" t="str">
        <f t="shared" si="251"/>
        <v>石嘴山市深阳蓝光市政工程有限公司</v>
      </c>
      <c r="D2950" s="1389" t="s">
        <v>2002</v>
      </c>
      <c r="E2950" s="1168"/>
      <c r="F2950" s="1179"/>
      <c r="G2950" s="1179"/>
      <c r="H2950" s="1168"/>
      <c r="I2950" s="1393"/>
      <c r="J2950" s="1393"/>
      <c r="K2950" s="1393"/>
      <c r="L2950" s="1393"/>
      <c r="M2950" s="1393"/>
      <c r="X2950" s="501" t="b">
        <f t="shared" si="252"/>
        <v>1</v>
      </c>
    </row>
    <row r="2951" s="418" customFormat="1" ht="15" customHeight="1" outlineLevel="2" spans="2:24">
      <c r="B2951" s="919" t="s">
        <v>3541</v>
      </c>
      <c r="C2951" s="429" t="str">
        <f t="shared" si="251"/>
        <v>石嘴山市深阳蓝光市政工程有限公司</v>
      </c>
      <c r="D2951" s="1389" t="s">
        <v>2002</v>
      </c>
      <c r="E2951" s="1168"/>
      <c r="F2951" s="1179"/>
      <c r="G2951" s="1179"/>
      <c r="H2951" s="1168"/>
      <c r="I2951" s="1393"/>
      <c r="J2951" s="1393"/>
      <c r="K2951" s="1393"/>
      <c r="L2951" s="1393"/>
      <c r="M2951" s="1393"/>
      <c r="X2951" s="501" t="b">
        <f t="shared" si="252"/>
        <v>1</v>
      </c>
    </row>
    <row r="2952" s="418" customFormat="1" ht="15" customHeight="1" outlineLevel="2" spans="2:24">
      <c r="B2952" s="919" t="s">
        <v>3541</v>
      </c>
      <c r="C2952" s="429" t="str">
        <f t="shared" si="251"/>
        <v>石嘴山市深阳蓝光市政工程有限公司</v>
      </c>
      <c r="D2952" s="1389" t="s">
        <v>2002</v>
      </c>
      <c r="E2952" s="1168"/>
      <c r="F2952" s="1179"/>
      <c r="G2952" s="1179"/>
      <c r="H2952" s="1168"/>
      <c r="I2952" s="1393"/>
      <c r="J2952" s="1393"/>
      <c r="K2952" s="1393"/>
      <c r="L2952" s="1393"/>
      <c r="M2952" s="1393"/>
      <c r="X2952" s="501" t="b">
        <f t="shared" si="252"/>
        <v>1</v>
      </c>
    </row>
    <row r="2953" s="418" customFormat="1" ht="15" customHeight="1" outlineLevel="2" spans="2:24">
      <c r="B2953" s="919" t="s">
        <v>3541</v>
      </c>
      <c r="C2953" s="429" t="str">
        <f t="shared" si="251"/>
        <v>石嘴山市深阳蓝光市政工程有限公司</v>
      </c>
      <c r="D2953" s="1389" t="s">
        <v>2002</v>
      </c>
      <c r="E2953" s="1168"/>
      <c r="F2953" s="1179"/>
      <c r="G2953" s="1179"/>
      <c r="H2953" s="1168"/>
      <c r="I2953" s="1393"/>
      <c r="J2953" s="1393"/>
      <c r="K2953" s="1393"/>
      <c r="L2953" s="1393"/>
      <c r="M2953" s="1393"/>
      <c r="X2953" s="501" t="b">
        <f t="shared" si="252"/>
        <v>1</v>
      </c>
    </row>
    <row r="2954" s="418" customFormat="1" ht="15" customHeight="1" outlineLevel="2" spans="2:24">
      <c r="B2954" s="919" t="s">
        <v>3541</v>
      </c>
      <c r="C2954" s="429" t="str">
        <f t="shared" si="251"/>
        <v>石嘴山市深阳蓝光市政工程有限公司</v>
      </c>
      <c r="D2954" s="1389" t="s">
        <v>2002</v>
      </c>
      <c r="E2954" s="1168"/>
      <c r="F2954" s="1179"/>
      <c r="G2954" s="1179"/>
      <c r="H2954" s="1168"/>
      <c r="I2954" s="1393"/>
      <c r="J2954" s="1393"/>
      <c r="K2954" s="1393"/>
      <c r="L2954" s="1393"/>
      <c r="M2954" s="1393"/>
      <c r="X2954" s="501" t="b">
        <f t="shared" si="252"/>
        <v>1</v>
      </c>
    </row>
    <row r="2955" s="418" customFormat="1" ht="15" customHeight="1" outlineLevel="2" spans="2:24">
      <c r="B2955" s="919" t="s">
        <v>3541</v>
      </c>
      <c r="C2955" s="429" t="str">
        <f t="shared" si="251"/>
        <v>石嘴山市深阳蓝光市政工程有限公司</v>
      </c>
      <c r="D2955" s="1389" t="s">
        <v>2002</v>
      </c>
      <c r="E2955" s="1168"/>
      <c r="F2955" s="1179"/>
      <c r="G2955" s="1179"/>
      <c r="H2955" s="1168"/>
      <c r="I2955" s="1393"/>
      <c r="J2955" s="1393"/>
      <c r="K2955" s="1393"/>
      <c r="L2955" s="1393"/>
      <c r="M2955" s="1393"/>
      <c r="X2955" s="501" t="b">
        <f t="shared" si="252"/>
        <v>1</v>
      </c>
    </row>
    <row r="2956" s="418" customFormat="1" ht="15" customHeight="1" outlineLevel="2" spans="2:24">
      <c r="B2956" s="919" t="s">
        <v>3541</v>
      </c>
      <c r="C2956" s="429" t="str">
        <f t="shared" si="251"/>
        <v>石嘴山市深阳蓝光市政工程有限公司</v>
      </c>
      <c r="D2956" s="1389" t="s">
        <v>2002</v>
      </c>
      <c r="E2956" s="1169"/>
      <c r="F2956" s="732"/>
      <c r="G2956" s="732"/>
      <c r="H2956" s="1169"/>
      <c r="I2956" s="1393"/>
      <c r="J2956" s="1393"/>
      <c r="K2956" s="1393"/>
      <c r="L2956" s="1393"/>
      <c r="M2956" s="1393"/>
      <c r="X2956" s="501" t="b">
        <f t="shared" si="252"/>
        <v>1</v>
      </c>
    </row>
    <row r="2957" s="418" customFormat="1" outlineLevel="2" spans="1:24">
      <c r="A2957" s="418" t="s">
        <v>1580</v>
      </c>
      <c r="B2957" s="919" t="s">
        <v>3541</v>
      </c>
      <c r="C2957" s="429" t="str">
        <f t="shared" si="251"/>
        <v>石嘴山市深阳蓝光市政工程有限公司</v>
      </c>
      <c r="D2957" s="1389" t="s">
        <v>2002</v>
      </c>
      <c r="E2957" s="452" t="s">
        <v>1580</v>
      </c>
      <c r="F2957" s="636">
        <f>SUM(F2931:F2956)</f>
        <v>0</v>
      </c>
      <c r="G2957" s="636">
        <f>SUM(G2931:G2956)</f>
        <v>0</v>
      </c>
      <c r="H2957" s="1170"/>
      <c r="I2957" s="1393"/>
      <c r="J2957" s="1393"/>
      <c r="K2957" s="1393"/>
      <c r="L2957" s="1393"/>
      <c r="M2957" s="1393"/>
      <c r="X2957" s="501" t="b">
        <f t="shared" si="252"/>
        <v>1</v>
      </c>
    </row>
    <row r="2958" s="418" customFormat="1" outlineLevel="2" spans="1:24">
      <c r="A2958" s="418" t="s">
        <v>1444</v>
      </c>
      <c r="B2958" s="919" t="s">
        <v>3541</v>
      </c>
      <c r="C2958" s="429" t="str">
        <f t="shared" si="251"/>
        <v>石嘴山市深阳蓝光市政工程有限公司</v>
      </c>
      <c r="D2958" s="1389" t="s">
        <v>2002</v>
      </c>
      <c r="E2958" s="1322" t="s">
        <v>1444</v>
      </c>
      <c r="F2958" s="1394">
        <f>F2920</f>
        <v>0</v>
      </c>
      <c r="G2958" s="1394">
        <f>G2920</f>
        <v>0</v>
      </c>
      <c r="H2958" s="1395"/>
      <c r="I2958" s="1393"/>
      <c r="J2958" s="1393"/>
      <c r="K2958" s="1393"/>
      <c r="L2958" s="1393"/>
      <c r="M2958" s="1393"/>
      <c r="X2958" s="501" t="b">
        <f t="shared" si="252"/>
        <v>1</v>
      </c>
    </row>
    <row r="2959" s="418" customFormat="1" outlineLevel="2" spans="1:24">
      <c r="A2959" s="418" t="s">
        <v>1394</v>
      </c>
      <c r="B2959" s="919" t="s">
        <v>3541</v>
      </c>
      <c r="C2959" s="429" t="str">
        <f t="shared" si="251"/>
        <v>石嘴山市深阳蓝光市政工程有限公司</v>
      </c>
      <c r="D2959" s="1389" t="s">
        <v>2002</v>
      </c>
      <c r="E2959" s="1322" t="s">
        <v>1394</v>
      </c>
      <c r="F2959" s="721">
        <f>ROUND(F2957-F2958,2)</f>
        <v>0</v>
      </c>
      <c r="G2959" s="721">
        <f>ROUND(G2957-G2958,2)</f>
        <v>0</v>
      </c>
      <c r="H2959" s="1396"/>
      <c r="I2959" s="1393"/>
      <c r="J2959" s="1393"/>
      <c r="K2959" s="1393"/>
      <c r="L2959" s="1393"/>
      <c r="M2959" s="1393"/>
      <c r="X2959" s="501" t="b">
        <f t="shared" si="252"/>
        <v>1</v>
      </c>
    </row>
    <row r="2960" s="418" customFormat="1" outlineLevel="2" spans="1:24">
      <c r="A2960" s="418" t="s">
        <v>3543</v>
      </c>
      <c r="B2960" s="919" t="s">
        <v>3541</v>
      </c>
      <c r="C2960" s="429" t="str">
        <f t="shared" si="251"/>
        <v>石嘴山市深阳蓝光市政工程有限公司</v>
      </c>
      <c r="D2960" s="1389" t="s">
        <v>2002</v>
      </c>
      <c r="E2960" s="149" t="s">
        <v>3544</v>
      </c>
      <c r="F2960" s="485"/>
      <c r="G2960" s="485"/>
      <c r="H2960" s="1393"/>
      <c r="I2960" s="1393"/>
      <c r="J2960" s="1393"/>
      <c r="K2960" s="1393"/>
      <c r="L2960" s="1393"/>
      <c r="X2960" s="501" t="b">
        <f t="shared" si="252"/>
        <v>1</v>
      </c>
    </row>
    <row r="2961" s="418" customFormat="1" outlineLevel="2" spans="1:24">
      <c r="A2961" s="418" t="s">
        <v>2315</v>
      </c>
      <c r="B2961" s="919" t="s">
        <v>3541</v>
      </c>
      <c r="C2961" s="429" t="str">
        <f t="shared" ref="C2961:C3024" si="253">$G$1</f>
        <v>石嘴山市深阳蓝光市政工程有限公司</v>
      </c>
      <c r="D2961" s="1389" t="s">
        <v>2002</v>
      </c>
      <c r="E2961" s="1397" t="s">
        <v>2315</v>
      </c>
      <c r="F2961" s="719"/>
      <c r="G2961" s="719"/>
      <c r="H2961" s="1398"/>
      <c r="I2961" s="1393"/>
      <c r="J2961" s="1393"/>
      <c r="K2961" s="1393"/>
      <c r="L2961" s="1393"/>
      <c r="X2961" s="501" t="b">
        <f t="shared" si="252"/>
        <v>1</v>
      </c>
    </row>
    <row r="2962" s="418" customFormat="1" outlineLevel="2" spans="1:24">
      <c r="A2962" s="418" t="s">
        <v>3545</v>
      </c>
      <c r="B2962" s="919" t="s">
        <v>3541</v>
      </c>
      <c r="C2962" s="429" t="str">
        <f t="shared" si="253"/>
        <v>石嘴山市深阳蓝光市政工程有限公司</v>
      </c>
      <c r="D2962" s="1389" t="s">
        <v>2002</v>
      </c>
      <c r="E2962" s="624" t="s">
        <v>3545</v>
      </c>
      <c r="F2962" s="1393"/>
      <c r="G2962" s="1393"/>
      <c r="H2962" s="1393"/>
      <c r="I2962" s="1393"/>
      <c r="J2962" s="1393"/>
      <c r="K2962" s="1393"/>
      <c r="L2962" s="1393"/>
      <c r="X2962" s="501" t="b">
        <f t="shared" si="252"/>
        <v>1</v>
      </c>
    </row>
    <row r="2963" s="418" customFormat="1" outlineLevel="2" spans="1:24">
      <c r="A2963" s="418" t="s">
        <v>2315</v>
      </c>
      <c r="B2963" s="919" t="s">
        <v>3541</v>
      </c>
      <c r="C2963" s="429" t="str">
        <f t="shared" si="253"/>
        <v>石嘴山市深阳蓝光市政工程有限公司</v>
      </c>
      <c r="D2963" s="1389" t="s">
        <v>2002</v>
      </c>
      <c r="E2963" s="1397" t="s">
        <v>2315</v>
      </c>
      <c r="F2963" s="719"/>
      <c r="G2963" s="719"/>
      <c r="H2963" s="1398"/>
      <c r="I2963" s="1393"/>
      <c r="J2963" s="1393"/>
      <c r="K2963" s="1393"/>
      <c r="L2963" s="1393"/>
      <c r="X2963" s="501" t="b">
        <f t="shared" si="252"/>
        <v>1</v>
      </c>
    </row>
    <row r="2964" s="418" customFormat="1" outlineLevel="2" spans="1:24">
      <c r="A2964" s="418" t="s">
        <v>2315</v>
      </c>
      <c r="B2964" s="919" t="s">
        <v>3541</v>
      </c>
      <c r="C2964" s="429" t="str">
        <f t="shared" si="253"/>
        <v>石嘴山市深阳蓝光市政工程有限公司</v>
      </c>
      <c r="D2964" s="1389" t="s">
        <v>2002</v>
      </c>
      <c r="E2964" s="1397" t="s">
        <v>2315</v>
      </c>
      <c r="F2964" s="719"/>
      <c r="G2964" s="719"/>
      <c r="H2964" s="1398"/>
      <c r="I2964" s="1393"/>
      <c r="J2964" s="1393"/>
      <c r="K2964" s="1393"/>
      <c r="L2964" s="1393"/>
      <c r="X2964" s="501" t="b">
        <f t="shared" si="252"/>
        <v>1</v>
      </c>
    </row>
    <row r="2965" s="418" customFormat="1" outlineLevel="2" spans="1:24">
      <c r="A2965" s="418" t="s">
        <v>2315</v>
      </c>
      <c r="B2965" s="919" t="s">
        <v>3541</v>
      </c>
      <c r="C2965" s="429" t="str">
        <f t="shared" si="253"/>
        <v>石嘴山市深阳蓝光市政工程有限公司</v>
      </c>
      <c r="D2965" s="1389" t="s">
        <v>2002</v>
      </c>
      <c r="E2965" s="1397" t="s">
        <v>2315</v>
      </c>
      <c r="F2965" s="719"/>
      <c r="G2965" s="719"/>
      <c r="H2965" s="1398"/>
      <c r="I2965" s="1393"/>
      <c r="J2965" s="1393"/>
      <c r="K2965" s="1393"/>
      <c r="L2965" s="1393"/>
      <c r="X2965" s="501" t="b">
        <f t="shared" si="252"/>
        <v>1</v>
      </c>
    </row>
    <row r="2966" s="418" customFormat="1" outlineLevel="2" spans="1:24">
      <c r="A2966" s="418" t="s">
        <v>2315</v>
      </c>
      <c r="B2966" s="919" t="s">
        <v>3541</v>
      </c>
      <c r="C2966" s="429" t="str">
        <f t="shared" si="253"/>
        <v>石嘴山市深阳蓝光市政工程有限公司</v>
      </c>
      <c r="D2966" s="1389" t="s">
        <v>2002</v>
      </c>
      <c r="E2966" s="1397" t="s">
        <v>2315</v>
      </c>
      <c r="F2966" s="719"/>
      <c r="G2966" s="719"/>
      <c r="H2966" s="1398"/>
      <c r="I2966" s="1393"/>
      <c r="J2966" s="1393"/>
      <c r="K2966" s="1393"/>
      <c r="L2966" s="1393"/>
      <c r="X2966" s="501" t="b">
        <f t="shared" si="252"/>
        <v>1</v>
      </c>
    </row>
    <row r="2967" s="418" customFormat="1" outlineLevel="2" spans="1:24">
      <c r="A2967" s="418" t="s">
        <v>2315</v>
      </c>
      <c r="B2967" s="919" t="s">
        <v>3541</v>
      </c>
      <c r="C2967" s="429" t="str">
        <f t="shared" si="253"/>
        <v>石嘴山市深阳蓝光市政工程有限公司</v>
      </c>
      <c r="D2967" s="1389" t="s">
        <v>2002</v>
      </c>
      <c r="E2967" s="1397" t="s">
        <v>2315</v>
      </c>
      <c r="F2967" s="719"/>
      <c r="G2967" s="719"/>
      <c r="H2967" s="1398"/>
      <c r="I2967" s="1393"/>
      <c r="J2967" s="1393"/>
      <c r="K2967" s="1393"/>
      <c r="L2967" s="1393"/>
      <c r="X2967" s="501" t="b">
        <f t="shared" si="252"/>
        <v>1</v>
      </c>
    </row>
    <row r="2968" s="418" customFormat="1" outlineLevel="2" spans="1:24">
      <c r="A2968" s="418" t="s">
        <v>2315</v>
      </c>
      <c r="B2968" s="919" t="s">
        <v>3541</v>
      </c>
      <c r="C2968" s="429" t="str">
        <f t="shared" si="253"/>
        <v>石嘴山市深阳蓝光市政工程有限公司</v>
      </c>
      <c r="D2968" s="1389" t="s">
        <v>2002</v>
      </c>
      <c r="E2968" s="1397" t="s">
        <v>2315</v>
      </c>
      <c r="F2968" s="719"/>
      <c r="G2968" s="719"/>
      <c r="H2968" s="1398"/>
      <c r="I2968" s="1393"/>
      <c r="J2968" s="1393"/>
      <c r="K2968" s="1393"/>
      <c r="L2968" s="1393"/>
      <c r="X2968" s="501" t="b">
        <f t="shared" si="252"/>
        <v>1</v>
      </c>
    </row>
    <row r="2969" s="418" customFormat="1" outlineLevel="2" spans="1:24">
      <c r="A2969" s="418" t="s">
        <v>2315</v>
      </c>
      <c r="B2969" s="919" t="s">
        <v>3541</v>
      </c>
      <c r="C2969" s="429" t="str">
        <f t="shared" si="253"/>
        <v>石嘴山市深阳蓝光市政工程有限公司</v>
      </c>
      <c r="D2969" s="1389" t="s">
        <v>2002</v>
      </c>
      <c r="E2969" s="1397" t="s">
        <v>2315</v>
      </c>
      <c r="F2969" s="719"/>
      <c r="G2969" s="719"/>
      <c r="H2969" s="1398"/>
      <c r="I2969" s="1393"/>
      <c r="J2969" s="1393"/>
      <c r="K2969" s="1393"/>
      <c r="L2969" s="1393"/>
      <c r="X2969" s="501" t="b">
        <f t="shared" si="252"/>
        <v>1</v>
      </c>
    </row>
    <row r="2970" s="418" customFormat="1" outlineLevel="2" spans="1:24">
      <c r="A2970" s="418" t="s">
        <v>2315</v>
      </c>
      <c r="B2970" s="919" t="s">
        <v>3541</v>
      </c>
      <c r="C2970" s="429" t="str">
        <f t="shared" si="253"/>
        <v>石嘴山市深阳蓝光市政工程有限公司</v>
      </c>
      <c r="D2970" s="1389" t="s">
        <v>2002</v>
      </c>
      <c r="E2970" s="1397" t="s">
        <v>2315</v>
      </c>
      <c r="F2970" s="719"/>
      <c r="G2970" s="719"/>
      <c r="H2970" s="1398"/>
      <c r="I2970" s="1393"/>
      <c r="J2970" s="1393"/>
      <c r="K2970" s="1393"/>
      <c r="L2970" s="1393"/>
      <c r="X2970" s="501" t="b">
        <f t="shared" si="252"/>
        <v>1</v>
      </c>
    </row>
    <row r="2971" s="418" customFormat="1" outlineLevel="2" spans="1:24">
      <c r="A2971" s="418" t="s">
        <v>2315</v>
      </c>
      <c r="B2971" s="919" t="s">
        <v>3541</v>
      </c>
      <c r="C2971" s="429" t="str">
        <f t="shared" si="253"/>
        <v>石嘴山市深阳蓝光市政工程有限公司</v>
      </c>
      <c r="D2971" s="1389" t="s">
        <v>2002</v>
      </c>
      <c r="E2971" s="1397" t="s">
        <v>2315</v>
      </c>
      <c r="F2971" s="719"/>
      <c r="G2971" s="719"/>
      <c r="H2971" s="1398"/>
      <c r="I2971" s="1393"/>
      <c r="J2971" s="1393"/>
      <c r="K2971" s="1393"/>
      <c r="L2971" s="1393"/>
      <c r="X2971" s="501" t="b">
        <f t="shared" si="252"/>
        <v>1</v>
      </c>
    </row>
    <row r="2972" s="418" customFormat="1" outlineLevel="2" spans="1:24">
      <c r="A2972" s="418" t="s">
        <v>2315</v>
      </c>
      <c r="B2972" s="919" t="s">
        <v>3541</v>
      </c>
      <c r="C2972" s="429" t="str">
        <f t="shared" si="253"/>
        <v>石嘴山市深阳蓝光市政工程有限公司</v>
      </c>
      <c r="D2972" s="1389" t="s">
        <v>2002</v>
      </c>
      <c r="E2972" s="1397" t="s">
        <v>2315</v>
      </c>
      <c r="F2972" s="719"/>
      <c r="G2972" s="719"/>
      <c r="H2972" s="1398"/>
      <c r="I2972" s="1393"/>
      <c r="J2972" s="1393"/>
      <c r="K2972" s="1393"/>
      <c r="L2972" s="1393"/>
      <c r="X2972" s="501" t="b">
        <f t="shared" si="252"/>
        <v>1</v>
      </c>
    </row>
    <row r="2973" s="418" customFormat="1" outlineLevel="2" spans="1:24">
      <c r="A2973" s="418" t="s">
        <v>2315</v>
      </c>
      <c r="B2973" s="919" t="s">
        <v>3541</v>
      </c>
      <c r="C2973" s="429" t="str">
        <f t="shared" si="253"/>
        <v>石嘴山市深阳蓝光市政工程有限公司</v>
      </c>
      <c r="D2973" s="1389" t="s">
        <v>2002</v>
      </c>
      <c r="E2973" s="1397" t="s">
        <v>2315</v>
      </c>
      <c r="F2973" s="719"/>
      <c r="G2973" s="719"/>
      <c r="H2973" s="1398"/>
      <c r="I2973" s="1393"/>
      <c r="J2973" s="1393"/>
      <c r="K2973" s="1393"/>
      <c r="L2973" s="1393"/>
      <c r="X2973" s="501" t="b">
        <f t="shared" si="252"/>
        <v>1</v>
      </c>
    </row>
    <row r="2974" s="418" customFormat="1" outlineLevel="2" spans="1:24">
      <c r="A2974" s="418" t="s">
        <v>2315</v>
      </c>
      <c r="B2974" s="919" t="s">
        <v>3541</v>
      </c>
      <c r="C2974" s="429" t="str">
        <f t="shared" si="253"/>
        <v>石嘴山市深阳蓝光市政工程有限公司</v>
      </c>
      <c r="D2974" s="1389" t="s">
        <v>2002</v>
      </c>
      <c r="E2974" s="1397" t="s">
        <v>2315</v>
      </c>
      <c r="F2974" s="719"/>
      <c r="G2974" s="719"/>
      <c r="H2974" s="1398"/>
      <c r="I2974" s="1393"/>
      <c r="J2974" s="1393"/>
      <c r="K2974" s="1393"/>
      <c r="L2974" s="1393"/>
      <c r="X2974" s="501" t="b">
        <f t="shared" si="252"/>
        <v>1</v>
      </c>
    </row>
    <row r="2975" s="418" customFormat="1" outlineLevel="2" spans="1:24">
      <c r="A2975" s="418" t="s">
        <v>2315</v>
      </c>
      <c r="B2975" s="919" t="s">
        <v>3541</v>
      </c>
      <c r="C2975" s="429" t="str">
        <f t="shared" si="253"/>
        <v>石嘴山市深阳蓝光市政工程有限公司</v>
      </c>
      <c r="D2975" s="1389" t="s">
        <v>2002</v>
      </c>
      <c r="E2975" s="1397" t="s">
        <v>2315</v>
      </c>
      <c r="F2975" s="719"/>
      <c r="G2975" s="719"/>
      <c r="H2975" s="1398"/>
      <c r="I2975" s="1393"/>
      <c r="J2975" s="1393"/>
      <c r="K2975" s="1393"/>
      <c r="L2975" s="1393"/>
      <c r="X2975" s="501" t="b">
        <f t="shared" si="252"/>
        <v>1</v>
      </c>
    </row>
    <row r="2976" s="418" customFormat="1" outlineLevel="2" spans="1:24">
      <c r="A2976" s="418" t="s">
        <v>2315</v>
      </c>
      <c r="B2976" s="919" t="s">
        <v>3541</v>
      </c>
      <c r="C2976" s="429" t="str">
        <f t="shared" si="253"/>
        <v>石嘴山市深阳蓝光市政工程有限公司</v>
      </c>
      <c r="D2976" s="1389" t="s">
        <v>2002</v>
      </c>
      <c r="E2976" s="1397" t="s">
        <v>2315</v>
      </c>
      <c r="F2976" s="719"/>
      <c r="G2976" s="719"/>
      <c r="H2976" s="1398"/>
      <c r="I2976" s="1393"/>
      <c r="J2976" s="1393"/>
      <c r="K2976" s="1393"/>
      <c r="L2976" s="1393"/>
      <c r="X2976" s="501" t="b">
        <f t="shared" si="252"/>
        <v>1</v>
      </c>
    </row>
    <row r="2977" s="417" customFormat="1" outlineLevel="2" spans="1:24">
      <c r="A2977" s="417" t="s">
        <v>3546</v>
      </c>
      <c r="B2977" s="919" t="s">
        <v>3541</v>
      </c>
      <c r="C2977" s="429" t="str">
        <f t="shared" si="253"/>
        <v>石嘴山市深阳蓝光市政工程有限公司</v>
      </c>
      <c r="D2977" s="1383" t="s">
        <v>3546</v>
      </c>
      <c r="E2977" s="149" t="s">
        <v>3547</v>
      </c>
      <c r="F2977" s="451"/>
      <c r="G2977" s="451"/>
      <c r="X2977" s="501" t="b">
        <f t="shared" si="252"/>
        <v>1</v>
      </c>
    </row>
    <row r="2978" s="417" customFormat="1" outlineLevel="2" spans="1:24">
      <c r="A2978" s="417" t="s">
        <v>2315</v>
      </c>
      <c r="B2978" s="919" t="s">
        <v>3541</v>
      </c>
      <c r="C2978" s="429" t="str">
        <f t="shared" si="253"/>
        <v>石嘴山市深阳蓝光市政工程有限公司</v>
      </c>
      <c r="D2978" s="1383" t="s">
        <v>3546</v>
      </c>
      <c r="E2978" s="885" t="s">
        <v>2752</v>
      </c>
      <c r="F2978" s="719"/>
      <c r="G2978" s="719"/>
      <c r="H2978" s="1399"/>
      <c r="X2978" s="501" t="b">
        <f t="shared" si="252"/>
        <v>1</v>
      </c>
    </row>
    <row r="2979" s="419" customFormat="1" spans="1:24">
      <c r="A2979" s="419" t="s">
        <v>1964</v>
      </c>
      <c r="B2979" s="428" t="s">
        <v>3548</v>
      </c>
      <c r="C2979" s="429" t="str">
        <f t="shared" si="253"/>
        <v>石嘴山市深阳蓝光市政工程有限公司</v>
      </c>
      <c r="D2979" s="1400" t="s">
        <v>1964</v>
      </c>
      <c r="E2979" s="65" t="s">
        <v>3549</v>
      </c>
      <c r="F2979" s="1401"/>
      <c r="G2979" s="1118" t="s">
        <v>3326</v>
      </c>
      <c r="X2979" s="501" t="b">
        <f t="shared" si="252"/>
        <v>1</v>
      </c>
    </row>
    <row r="2980" s="419" customFormat="1" outlineLevel="2" spans="1:24">
      <c r="A2980" s="419" t="s">
        <v>314</v>
      </c>
      <c r="B2980" s="428" t="s">
        <v>3548</v>
      </c>
      <c r="C2980" s="429" t="str">
        <f t="shared" si="253"/>
        <v>石嘴山市深阳蓝光市政工程有限公司</v>
      </c>
      <c r="D2980" s="1400" t="s">
        <v>1964</v>
      </c>
      <c r="E2980" s="1402" t="s">
        <v>3327</v>
      </c>
      <c r="F2980" s="1402" t="s">
        <v>1906</v>
      </c>
      <c r="G2980" s="1402" t="s">
        <v>1910</v>
      </c>
      <c r="X2980" s="501" t="b">
        <f t="shared" si="252"/>
        <v>1</v>
      </c>
    </row>
    <row r="2981" s="419" customFormat="1" outlineLevel="2" spans="1:24">
      <c r="A2981" s="419" t="s">
        <v>1965</v>
      </c>
      <c r="B2981" s="428" t="s">
        <v>3548</v>
      </c>
      <c r="C2981" s="429" t="str">
        <f t="shared" si="253"/>
        <v>石嘴山市深阳蓝光市政工程有限公司</v>
      </c>
      <c r="D2981" s="1400" t="s">
        <v>1964</v>
      </c>
      <c r="E2981" s="1403" t="s">
        <v>1965</v>
      </c>
      <c r="F2981" s="135">
        <f>SUM(F2982:F2983)</f>
        <v>0</v>
      </c>
      <c r="G2981" s="135">
        <f>SUM(G2982:G2983)</f>
        <v>0</v>
      </c>
      <c r="X2981" s="501" t="b">
        <f t="shared" si="252"/>
        <v>1</v>
      </c>
    </row>
    <row r="2982" s="419" customFormat="1" outlineLevel="2" spans="1:24">
      <c r="A2982" s="419" t="s">
        <v>1966</v>
      </c>
      <c r="B2982" s="428" t="s">
        <v>3548</v>
      </c>
      <c r="C2982" s="429" t="str">
        <f t="shared" si="253"/>
        <v>石嘴山市深阳蓝光市政工程有限公司</v>
      </c>
      <c r="D2982" s="1400" t="s">
        <v>1964</v>
      </c>
      <c r="E2982" s="1402" t="s">
        <v>3550</v>
      </c>
      <c r="F2982" s="132"/>
      <c r="G2982" s="477">
        <f>报表附注合并期初用!E2405</f>
        <v>0</v>
      </c>
      <c r="X2982" s="501" t="b">
        <f t="shared" si="252"/>
        <v>1</v>
      </c>
    </row>
    <row r="2983" s="419" customFormat="1" outlineLevel="2" spans="1:24">
      <c r="A2983" s="419" t="s">
        <v>1967</v>
      </c>
      <c r="B2983" s="428" t="s">
        <v>3548</v>
      </c>
      <c r="C2983" s="429" t="str">
        <f t="shared" si="253"/>
        <v>石嘴山市深阳蓝光市政工程有限公司</v>
      </c>
      <c r="D2983" s="1400" t="s">
        <v>1964</v>
      </c>
      <c r="E2983" s="1402" t="s">
        <v>3551</v>
      </c>
      <c r="F2983" s="132"/>
      <c r="G2983" s="477">
        <f>报表附注合并期初用!E2406</f>
        <v>0</v>
      </c>
      <c r="X2983" s="501" t="b">
        <f t="shared" si="252"/>
        <v>1</v>
      </c>
    </row>
    <row r="2984" s="419" customFormat="1" outlineLevel="2" spans="1:24">
      <c r="A2984" s="419" t="s">
        <v>1968</v>
      </c>
      <c r="B2984" s="428" t="s">
        <v>3548</v>
      </c>
      <c r="C2984" s="429" t="str">
        <f t="shared" si="253"/>
        <v>石嘴山市深阳蓝光市政工程有限公司</v>
      </c>
      <c r="D2984" s="1400" t="s">
        <v>1964</v>
      </c>
      <c r="E2984" s="1403" t="s">
        <v>1968</v>
      </c>
      <c r="F2984" s="132"/>
      <c r="G2984" s="477">
        <f>报表附注合并期初用!E2407</f>
        <v>0</v>
      </c>
      <c r="X2984" s="501" t="b">
        <f t="shared" si="252"/>
        <v>1</v>
      </c>
    </row>
    <row r="2985" s="419" customFormat="1" outlineLevel="2" spans="1:24">
      <c r="A2985" s="419" t="s">
        <v>1969</v>
      </c>
      <c r="B2985" s="428" t="s">
        <v>3548</v>
      </c>
      <c r="C2985" s="429" t="str">
        <f t="shared" si="253"/>
        <v>石嘴山市深阳蓝光市政工程有限公司</v>
      </c>
      <c r="D2985" s="1400" t="s">
        <v>1964</v>
      </c>
      <c r="E2985" s="1403" t="s">
        <v>1969</v>
      </c>
      <c r="F2985" s="132"/>
      <c r="G2985" s="477">
        <f>报表附注合并期初用!E2408</f>
        <v>0</v>
      </c>
      <c r="X2985" s="501" t="b">
        <f t="shared" si="252"/>
        <v>1</v>
      </c>
    </row>
    <row r="2986" s="419" customFormat="1" outlineLevel="2" spans="1:24">
      <c r="A2986" s="419" t="s">
        <v>1970</v>
      </c>
      <c r="B2986" s="428" t="s">
        <v>3548</v>
      </c>
      <c r="C2986" s="429" t="str">
        <f t="shared" si="253"/>
        <v>石嘴山市深阳蓝光市政工程有限公司</v>
      </c>
      <c r="D2986" s="1400" t="s">
        <v>1964</v>
      </c>
      <c r="E2986" s="1403" t="s">
        <v>1970</v>
      </c>
      <c r="F2986" s="132"/>
      <c r="G2986" s="477">
        <f>报表附注合并期初用!E2409</f>
        <v>0</v>
      </c>
      <c r="X2986" s="501" t="b">
        <f t="shared" si="252"/>
        <v>1</v>
      </c>
    </row>
    <row r="2987" s="419" customFormat="1" outlineLevel="2" spans="1:24">
      <c r="A2987" s="419" t="s">
        <v>1971</v>
      </c>
      <c r="B2987" s="428" t="s">
        <v>3548</v>
      </c>
      <c r="C2987" s="429" t="str">
        <f t="shared" si="253"/>
        <v>石嘴山市深阳蓝光市政工程有限公司</v>
      </c>
      <c r="D2987" s="1400" t="s">
        <v>1964</v>
      </c>
      <c r="E2987" s="1403" t="s">
        <v>1971</v>
      </c>
      <c r="F2987" s="132"/>
      <c r="G2987" s="477">
        <f>报表附注合并期初用!E2410</f>
        <v>0</v>
      </c>
      <c r="X2987" s="501" t="b">
        <f t="shared" si="252"/>
        <v>1</v>
      </c>
    </row>
    <row r="2988" s="419" customFormat="1" outlineLevel="2" spans="1:24">
      <c r="A2988" s="419" t="s">
        <v>1972</v>
      </c>
      <c r="B2988" s="428" t="s">
        <v>3548</v>
      </c>
      <c r="C2988" s="429" t="str">
        <f t="shared" si="253"/>
        <v>石嘴山市深阳蓝光市政工程有限公司</v>
      </c>
      <c r="D2988" s="1400" t="s">
        <v>1964</v>
      </c>
      <c r="E2988" s="1403" t="s">
        <v>1972</v>
      </c>
      <c r="F2988" s="132"/>
      <c r="G2988" s="477">
        <f>报表附注合并期初用!E2411</f>
        <v>0</v>
      </c>
      <c r="X2988" s="501" t="b">
        <f t="shared" si="252"/>
        <v>1</v>
      </c>
    </row>
    <row r="2989" s="419" customFormat="1" outlineLevel="2" spans="1:24">
      <c r="A2989" s="419" t="s">
        <v>1973</v>
      </c>
      <c r="B2989" s="428" t="s">
        <v>3548</v>
      </c>
      <c r="C2989" s="429" t="str">
        <f t="shared" si="253"/>
        <v>石嘴山市深阳蓝光市政工程有限公司</v>
      </c>
      <c r="D2989" s="1400" t="s">
        <v>1964</v>
      </c>
      <c r="E2989" s="1403" t="s">
        <v>1973</v>
      </c>
      <c r="F2989" s="132"/>
      <c r="G2989" s="477">
        <f>报表附注合并期初用!E2412</f>
        <v>0</v>
      </c>
      <c r="X2989" s="501" t="b">
        <f t="shared" si="252"/>
        <v>1</v>
      </c>
    </row>
    <row r="2990" s="419" customFormat="1" outlineLevel="2" spans="1:24">
      <c r="A2990" s="419" t="s">
        <v>1974</v>
      </c>
      <c r="B2990" s="428" t="s">
        <v>3548</v>
      </c>
      <c r="C2990" s="429" t="str">
        <f t="shared" si="253"/>
        <v>石嘴山市深阳蓝光市政工程有限公司</v>
      </c>
      <c r="D2990" s="1400" t="s">
        <v>1964</v>
      </c>
      <c r="E2990" s="1403" t="s">
        <v>1974</v>
      </c>
      <c r="F2990" s="132"/>
      <c r="G2990" s="477">
        <f>报表附注合并期初用!E2413</f>
        <v>0</v>
      </c>
      <c r="X2990" s="501" t="b">
        <f t="shared" si="252"/>
        <v>1</v>
      </c>
    </row>
    <row r="2991" s="419" customFormat="1" outlineLevel="2" spans="1:24">
      <c r="A2991" s="419" t="s">
        <v>1206</v>
      </c>
      <c r="B2991" s="428" t="s">
        <v>3548</v>
      </c>
      <c r="C2991" s="429" t="str">
        <f t="shared" si="253"/>
        <v>石嘴山市深阳蓝光市政工程有限公司</v>
      </c>
      <c r="D2991" s="1400" t="s">
        <v>1964</v>
      </c>
      <c r="E2991" s="1402" t="s">
        <v>3073</v>
      </c>
      <c r="F2991" s="565">
        <f>SUM(F2981,F2984:F2990)</f>
        <v>0</v>
      </c>
      <c r="G2991" s="565">
        <f>SUM(G2981,G2984:G2990)</f>
        <v>0</v>
      </c>
      <c r="X2991" s="501" t="b">
        <f t="shared" si="252"/>
        <v>1</v>
      </c>
    </row>
    <row r="2992" s="419" customFormat="1" outlineLevel="2" spans="1:24">
      <c r="A2992" s="419" t="s">
        <v>1444</v>
      </c>
      <c r="B2992" s="428" t="s">
        <v>3548</v>
      </c>
      <c r="C2992" s="429" t="str">
        <f t="shared" si="253"/>
        <v>石嘴山市深阳蓝光市政工程有限公司</v>
      </c>
      <c r="D2992" s="1400" t="s">
        <v>1964</v>
      </c>
      <c r="E2992" s="1322" t="s">
        <v>1444</v>
      </c>
      <c r="F2992" s="566">
        <f>审定利润表!C21</f>
        <v>0</v>
      </c>
      <c r="G2992" s="566">
        <f>审定利润表!D21</f>
        <v>0</v>
      </c>
      <c r="X2992" s="501" t="b">
        <f t="shared" si="252"/>
        <v>1</v>
      </c>
    </row>
    <row r="2993" s="419" customFormat="1" outlineLevel="1" spans="1:24">
      <c r="A2993" s="419" t="s">
        <v>1394</v>
      </c>
      <c r="B2993" s="428" t="s">
        <v>3548</v>
      </c>
      <c r="C2993" s="429" t="str">
        <f t="shared" si="253"/>
        <v>石嘴山市深阳蓝光市政工程有限公司</v>
      </c>
      <c r="D2993" s="1400" t="s">
        <v>1964</v>
      </c>
      <c r="E2993" s="1322" t="s">
        <v>1394</v>
      </c>
      <c r="F2993" s="721">
        <f>ROUND(F2991-F2992,2)</f>
        <v>0</v>
      </c>
      <c r="G2993" s="721">
        <f>ROUND(G2991-G2992,2)</f>
        <v>0</v>
      </c>
      <c r="X2993" s="501" t="b">
        <f t="shared" si="252"/>
        <v>1</v>
      </c>
    </row>
    <row r="2994" s="419" customFormat="1" outlineLevel="2" spans="2:24">
      <c r="B2994" s="428" t="s">
        <v>3548</v>
      </c>
      <c r="C2994" s="429" t="str">
        <f t="shared" si="253"/>
        <v>石嘴山市深阳蓝光市政工程有限公司</v>
      </c>
      <c r="D2994" s="1400" t="s">
        <v>1964</v>
      </c>
      <c r="E2994" s="1322" t="s">
        <v>1444</v>
      </c>
      <c r="F2994" s="566"/>
      <c r="G2994" s="566"/>
      <c r="X2994" s="501" t="b">
        <f t="shared" si="252"/>
        <v>0</v>
      </c>
    </row>
    <row r="2995" s="419" customFormat="1" outlineLevel="2" spans="1:24">
      <c r="A2995" s="419" t="s">
        <v>3552</v>
      </c>
      <c r="B2995" s="428" t="s">
        <v>3548</v>
      </c>
      <c r="C2995" s="429" t="str">
        <f t="shared" si="253"/>
        <v>石嘴山市深阳蓝光市政工程有限公司</v>
      </c>
      <c r="D2995" s="1400" t="s">
        <v>3552</v>
      </c>
      <c r="E2995" s="1322" t="s">
        <v>1394</v>
      </c>
      <c r="F2995" s="721"/>
      <c r="G2995" s="721"/>
      <c r="X2995" s="501" t="b">
        <f t="shared" si="252"/>
        <v>0</v>
      </c>
    </row>
    <row r="2996" s="419" customFormat="1" outlineLevel="3" spans="1:24">
      <c r="A2996" s="419" t="s">
        <v>2315</v>
      </c>
      <c r="B2996" s="428" t="s">
        <v>3548</v>
      </c>
      <c r="C2996" s="429" t="str">
        <f t="shared" si="253"/>
        <v>石嘴山市深阳蓝光市政工程有限公司</v>
      </c>
      <c r="D2996" s="1400" t="s">
        <v>3552</v>
      </c>
      <c r="E2996" s="149" t="s">
        <v>3553</v>
      </c>
      <c r="F2996" s="451"/>
      <c r="G2996" s="451"/>
      <c r="X2996" s="501" t="b">
        <f t="shared" si="252"/>
        <v>0</v>
      </c>
    </row>
    <row r="2997" s="419" customFormat="1" ht="15" customHeight="1" outlineLevel="3" spans="2:24">
      <c r="B2997" s="428" t="s">
        <v>3548</v>
      </c>
      <c r="C2997" s="429" t="str">
        <f t="shared" si="253"/>
        <v>石嘴山市深阳蓝光市政工程有限公司</v>
      </c>
      <c r="D2997" s="1400" t="s">
        <v>3552</v>
      </c>
      <c r="E2997" s="885" t="s">
        <v>2752</v>
      </c>
      <c r="F2997" s="719"/>
      <c r="G2997" s="719"/>
      <c r="X2997" s="501" t="b">
        <f t="shared" si="252"/>
        <v>0</v>
      </c>
    </row>
    <row r="2998" s="418" customFormat="1" spans="1:24">
      <c r="A2998" s="418" t="s">
        <v>1975</v>
      </c>
      <c r="B2998" s="428" t="s">
        <v>3554</v>
      </c>
      <c r="C2998" s="429" t="str">
        <f t="shared" si="253"/>
        <v>石嘴山市深阳蓝光市政工程有限公司</v>
      </c>
      <c r="D2998" s="1389" t="s">
        <v>1975</v>
      </c>
      <c r="E2998" s="65" t="s">
        <v>3555</v>
      </c>
      <c r="F2998" s="1393"/>
      <c r="G2998" s="1118" t="s">
        <v>3326</v>
      </c>
      <c r="H2998" s="1393"/>
      <c r="I2998" s="419"/>
      <c r="J2998" s="1393"/>
      <c r="K2998" s="1393"/>
      <c r="L2998" s="1393"/>
      <c r="X2998" s="501" t="b">
        <f t="shared" si="252"/>
        <v>1</v>
      </c>
    </row>
    <row r="2999" s="418" customFormat="1" outlineLevel="2" spans="1:24">
      <c r="A2999" s="418" t="s">
        <v>3556</v>
      </c>
      <c r="B2999" s="428" t="s">
        <v>3554</v>
      </c>
      <c r="C2999" s="429" t="str">
        <f t="shared" si="253"/>
        <v>石嘴山市深阳蓝光市政工程有限公司</v>
      </c>
      <c r="D2999" s="1389" t="s">
        <v>1975</v>
      </c>
      <c r="E2999" s="1404" t="s">
        <v>3557</v>
      </c>
      <c r="F2999" s="1404" t="s">
        <v>1906</v>
      </c>
      <c r="G2999" s="1404" t="s">
        <v>1910</v>
      </c>
      <c r="H2999" s="1393"/>
      <c r="I2999" s="419"/>
      <c r="J2999" s="1393"/>
      <c r="K2999" s="1393"/>
      <c r="L2999" s="1393"/>
      <c r="X2999" s="501" t="b">
        <f t="shared" si="252"/>
        <v>1</v>
      </c>
    </row>
    <row r="3000" s="418" customFormat="1" outlineLevel="2" spans="1:24">
      <c r="A3000" s="418" t="s">
        <v>1411</v>
      </c>
      <c r="B3000" s="428" t="s">
        <v>3554</v>
      </c>
      <c r="C3000" s="429" t="str">
        <f t="shared" si="253"/>
        <v>石嘴山市深阳蓝光市政工程有限公司</v>
      </c>
      <c r="D3000" s="1389" t="s">
        <v>1975</v>
      </c>
      <c r="E3000" s="1405" t="s">
        <v>1411</v>
      </c>
      <c r="F3000" s="135">
        <f>SUM(F3001:F3002)</f>
        <v>0</v>
      </c>
      <c r="G3000" s="135">
        <f>SUM(G3001:G3002)</f>
        <v>0</v>
      </c>
      <c r="H3000" s="1393"/>
      <c r="I3000" s="1393"/>
      <c r="J3000" s="1393"/>
      <c r="K3000" s="1393"/>
      <c r="L3000" s="1393"/>
      <c r="X3000" s="501" t="b">
        <f t="shared" si="252"/>
        <v>1</v>
      </c>
    </row>
    <row r="3001" s="418" customFormat="1" outlineLevel="2" spans="1:24">
      <c r="A3001" s="418" t="s">
        <v>1976</v>
      </c>
      <c r="B3001" s="428" t="s">
        <v>3554</v>
      </c>
      <c r="C3001" s="429" t="str">
        <f t="shared" si="253"/>
        <v>石嘴山市深阳蓝光市政工程有限公司</v>
      </c>
      <c r="D3001" s="1389" t="s">
        <v>1975</v>
      </c>
      <c r="E3001" s="1405" t="s">
        <v>1976</v>
      </c>
      <c r="F3001" s="132"/>
      <c r="G3001" s="477">
        <f>报表附注合并期初用!E2447</f>
        <v>0</v>
      </c>
      <c r="H3001" s="1393"/>
      <c r="I3001" s="1393"/>
      <c r="J3001" s="1393"/>
      <c r="K3001" s="1393"/>
      <c r="L3001" s="1393"/>
      <c r="X3001" s="501" t="b">
        <f t="shared" si="252"/>
        <v>1</v>
      </c>
    </row>
    <row r="3002" s="418" customFormat="1" outlineLevel="2" spans="1:24">
      <c r="A3002" s="418" t="s">
        <v>1977</v>
      </c>
      <c r="B3002" s="428" t="s">
        <v>3554</v>
      </c>
      <c r="C3002" s="429" t="str">
        <f t="shared" si="253"/>
        <v>石嘴山市深阳蓝光市政工程有限公司</v>
      </c>
      <c r="D3002" s="1389" t="s">
        <v>1975</v>
      </c>
      <c r="E3002" s="1405" t="s">
        <v>3558</v>
      </c>
      <c r="F3002" s="1406"/>
      <c r="G3002" s="477">
        <f>报表附注合并期初用!E2448</f>
        <v>0</v>
      </c>
      <c r="H3002" s="1393"/>
      <c r="I3002" s="1393"/>
      <c r="J3002" s="1393"/>
      <c r="K3002" s="1393"/>
      <c r="L3002" s="1393"/>
      <c r="X3002" s="501" t="b">
        <f t="shared" si="252"/>
        <v>1</v>
      </c>
    </row>
    <row r="3003" s="418" customFormat="1" outlineLevel="2" spans="1:24">
      <c r="A3003" s="418" t="s">
        <v>1444</v>
      </c>
      <c r="B3003" s="428" t="s">
        <v>3554</v>
      </c>
      <c r="C3003" s="429" t="str">
        <f t="shared" si="253"/>
        <v>石嘴山市深阳蓝光市政工程有限公司</v>
      </c>
      <c r="D3003" s="1389" t="s">
        <v>1975</v>
      </c>
      <c r="E3003" s="1322" t="s">
        <v>1444</v>
      </c>
      <c r="F3003" s="549">
        <f>审定利润表!C23</f>
        <v>0</v>
      </c>
      <c r="G3003" s="549">
        <f>审定利润表!D23</f>
        <v>0</v>
      </c>
      <c r="H3003" s="1393"/>
      <c r="I3003" s="1393"/>
      <c r="J3003" s="1393"/>
      <c r="K3003" s="1393"/>
      <c r="L3003" s="1393"/>
      <c r="X3003" s="501" t="b">
        <f t="shared" si="252"/>
        <v>1</v>
      </c>
    </row>
    <row r="3004" s="418" customFormat="1" outlineLevel="1" spans="1:24">
      <c r="A3004" s="418" t="s">
        <v>1394</v>
      </c>
      <c r="B3004" s="428" t="s">
        <v>3554</v>
      </c>
      <c r="C3004" s="429" t="str">
        <f t="shared" si="253"/>
        <v>石嘴山市深阳蓝光市政工程有限公司</v>
      </c>
      <c r="D3004" s="1389" t="s">
        <v>1975</v>
      </c>
      <c r="E3004" s="1322" t="s">
        <v>1394</v>
      </c>
      <c r="F3004" s="721">
        <f>ROUND(F3000-F3003,2)</f>
        <v>0</v>
      </c>
      <c r="G3004" s="721">
        <f>ROUND(G3000-G3003,2)</f>
        <v>0</v>
      </c>
      <c r="H3004" s="1393"/>
      <c r="I3004" s="1393"/>
      <c r="J3004" s="1393"/>
      <c r="K3004" s="1393"/>
      <c r="L3004" s="1393"/>
      <c r="X3004" s="501" t="b">
        <f t="shared" si="252"/>
        <v>1</v>
      </c>
    </row>
    <row r="3005" s="418" customFormat="1" outlineLevel="2" spans="2:24">
      <c r="B3005" s="428" t="s">
        <v>3554</v>
      </c>
      <c r="C3005" s="429" t="str">
        <f t="shared" si="253"/>
        <v>石嘴山市深阳蓝光市政工程有限公司</v>
      </c>
      <c r="D3005" s="1389" t="s">
        <v>1975</v>
      </c>
      <c r="E3005" s="1407" t="s">
        <v>1394</v>
      </c>
      <c r="F3005" s="721">
        <f>ROUND(F3001-F3041,2)</f>
        <v>0</v>
      </c>
      <c r="G3005" s="721">
        <f>ROUND(G3001-G3041,2)</f>
        <v>0</v>
      </c>
      <c r="H3005" s="1393"/>
      <c r="I3005" s="1393"/>
      <c r="J3005" s="1393"/>
      <c r="K3005" s="1393"/>
      <c r="L3005" s="1393"/>
      <c r="X3005" s="501" t="b">
        <f t="shared" si="252"/>
        <v>0</v>
      </c>
    </row>
    <row r="3006" s="418" customFormat="1" outlineLevel="2" spans="1:24">
      <c r="A3006" s="418" t="s">
        <v>3559</v>
      </c>
      <c r="B3006" s="428" t="s">
        <v>3554</v>
      </c>
      <c r="C3006" s="429" t="str">
        <f t="shared" si="253"/>
        <v>石嘴山市深阳蓝光市政工程有限公司</v>
      </c>
      <c r="D3006" s="1389" t="s">
        <v>3559</v>
      </c>
      <c r="E3006" s="149" t="s">
        <v>3560</v>
      </c>
      <c r="F3006" s="141"/>
      <c r="G3006" s="141"/>
      <c r="H3006" s="1393"/>
      <c r="I3006" s="1393"/>
      <c r="J3006" s="1393"/>
      <c r="K3006" s="1393"/>
      <c r="L3006" s="1393"/>
      <c r="X3006" s="501" t="b">
        <f t="shared" si="252"/>
        <v>1</v>
      </c>
    </row>
    <row r="3007" s="418" customFormat="1" outlineLevel="2" spans="1:24">
      <c r="A3007" s="418" t="s">
        <v>2315</v>
      </c>
      <c r="B3007" s="428" t="s">
        <v>3554</v>
      </c>
      <c r="C3007" s="429" t="str">
        <f t="shared" si="253"/>
        <v>石嘴山市深阳蓝光市政工程有限公司</v>
      </c>
      <c r="D3007" s="1389" t="s">
        <v>3559</v>
      </c>
      <c r="E3007" s="885" t="s">
        <v>2752</v>
      </c>
      <c r="F3007" s="719"/>
      <c r="G3007" s="719"/>
      <c r="H3007" s="1393"/>
      <c r="I3007" s="1393"/>
      <c r="J3007" s="1393"/>
      <c r="K3007" s="1393"/>
      <c r="L3007" s="1393"/>
      <c r="X3007" s="501" t="b">
        <f t="shared" si="252"/>
        <v>1</v>
      </c>
    </row>
    <row r="3008" s="418" customFormat="1" outlineLevel="2" spans="1:24">
      <c r="A3008" s="418" t="s">
        <v>3561</v>
      </c>
      <c r="B3008" s="428" t="s">
        <v>3554</v>
      </c>
      <c r="C3008" s="429" t="str">
        <f t="shared" si="253"/>
        <v>石嘴山市深阳蓝光市政工程有限公司</v>
      </c>
      <c r="D3008" s="1389" t="s">
        <v>3561</v>
      </c>
      <c r="E3008" s="149" t="s">
        <v>3562</v>
      </c>
      <c r="F3008" s="141"/>
      <c r="G3008" s="141"/>
      <c r="H3008" s="1393"/>
      <c r="I3008" s="1393"/>
      <c r="J3008" s="1393"/>
      <c r="K3008" s="1393"/>
      <c r="L3008" s="1393"/>
      <c r="X3008" s="501" t="b">
        <f t="shared" si="252"/>
        <v>0</v>
      </c>
    </row>
    <row r="3009" s="418" customFormat="1" outlineLevel="2" spans="1:24">
      <c r="A3009" s="418" t="s">
        <v>60</v>
      </c>
      <c r="B3009" s="428" t="s">
        <v>3554</v>
      </c>
      <c r="C3009" s="429" t="str">
        <f t="shared" si="253"/>
        <v>石嘴山市深阳蓝光市政工程有限公司</v>
      </c>
      <c r="D3009" s="1389" t="s">
        <v>3561</v>
      </c>
      <c r="E3009" s="938" t="s">
        <v>60</v>
      </c>
      <c r="F3009" s="1408" t="s">
        <v>3563</v>
      </c>
      <c r="G3009" s="1408" t="s">
        <v>2017</v>
      </c>
      <c r="H3009" s="1393"/>
      <c r="I3009" s="1393"/>
      <c r="J3009" s="1393"/>
      <c r="K3009" s="1393"/>
      <c r="L3009" s="1393"/>
      <c r="X3009" s="501" t="b">
        <f t="shared" si="252"/>
        <v>1</v>
      </c>
    </row>
    <row r="3010" s="418" customFormat="1" outlineLevel="2" spans="1:24">
      <c r="A3010" s="418" t="s">
        <v>3564</v>
      </c>
      <c r="B3010" s="428" t="s">
        <v>3554</v>
      </c>
      <c r="C3010" s="429" t="str">
        <f t="shared" si="253"/>
        <v>石嘴山市深阳蓝光市政工程有限公司</v>
      </c>
      <c r="D3010" s="1389" t="s">
        <v>3561</v>
      </c>
      <c r="E3010" s="1409" t="s">
        <v>3564</v>
      </c>
      <c r="F3010" s="135">
        <f>审定利润表!C22</f>
        <v>0</v>
      </c>
      <c r="G3010" s="135">
        <f>本月审定利润表!G23</f>
        <v>0</v>
      </c>
      <c r="H3010" s="1393"/>
      <c r="I3010" s="1393"/>
      <c r="J3010" s="1393"/>
      <c r="K3010" s="1393"/>
      <c r="L3010" s="1393"/>
      <c r="X3010" s="501" t="b">
        <f t="shared" si="252"/>
        <v>1</v>
      </c>
    </row>
    <row r="3011" s="418" customFormat="1" outlineLevel="2" spans="1:24">
      <c r="A3011" s="418" t="s">
        <v>3565</v>
      </c>
      <c r="B3011" s="428" t="s">
        <v>3554</v>
      </c>
      <c r="C3011" s="429" t="str">
        <f t="shared" si="253"/>
        <v>石嘴山市深阳蓝光市政工程有限公司</v>
      </c>
      <c r="D3011" s="1389" t="s">
        <v>3561</v>
      </c>
      <c r="E3011" s="1409" t="s">
        <v>3565</v>
      </c>
      <c r="F3011" s="153"/>
      <c r="G3011" s="153"/>
      <c r="H3011" s="1393"/>
      <c r="I3011" s="1393"/>
      <c r="J3011" s="1393"/>
      <c r="K3011" s="1393"/>
      <c r="L3011" s="1393"/>
      <c r="X3011" s="501" t="b">
        <f t="shared" si="252"/>
        <v>1</v>
      </c>
    </row>
    <row r="3012" s="418" customFormat="1" outlineLevel="2" spans="1:24">
      <c r="A3012" s="418" t="s">
        <v>3566</v>
      </c>
      <c r="B3012" s="428" t="s">
        <v>3554</v>
      </c>
      <c r="C3012" s="429" t="str">
        <f t="shared" si="253"/>
        <v>石嘴山市深阳蓝光市政工程有限公司</v>
      </c>
      <c r="D3012" s="1389" t="s">
        <v>3561</v>
      </c>
      <c r="E3012" s="1410" t="s">
        <v>3567</v>
      </c>
      <c r="F3012" s="132"/>
      <c r="G3012" s="132"/>
      <c r="H3012" s="1393"/>
      <c r="I3012" s="1393"/>
      <c r="J3012" s="1393"/>
      <c r="K3012" s="1393"/>
      <c r="L3012" s="1393"/>
      <c r="X3012" s="501" t="b">
        <f t="shared" ref="X3012:X3077" si="254">EXACT(A3012,E3012)</f>
        <v>1</v>
      </c>
    </row>
    <row r="3013" s="418" customFormat="1" outlineLevel="2" spans="1:24">
      <c r="A3013" s="418" t="s">
        <v>3568</v>
      </c>
      <c r="B3013" s="428" t="s">
        <v>3554</v>
      </c>
      <c r="C3013" s="429" t="str">
        <f t="shared" si="253"/>
        <v>石嘴山市深阳蓝光市政工程有限公司</v>
      </c>
      <c r="D3013" s="1389" t="s">
        <v>3561</v>
      </c>
      <c r="E3013" s="1410" t="s">
        <v>3569</v>
      </c>
      <c r="F3013" s="135">
        <f>ROUND(SUM(F3014:F3018),2)</f>
        <v>0</v>
      </c>
      <c r="G3013" s="135">
        <f>SUM(G3014:G3018)</f>
        <v>0</v>
      </c>
      <c r="H3013" s="1411"/>
      <c r="I3013" s="1393"/>
      <c r="J3013" s="1393"/>
      <c r="K3013" s="1393"/>
      <c r="L3013" s="1393"/>
      <c r="X3013" s="501" t="b">
        <f t="shared" si="254"/>
        <v>1</v>
      </c>
    </row>
    <row r="3014" s="418" customFormat="1" outlineLevel="2" spans="1:24">
      <c r="A3014" s="418" t="s">
        <v>3570</v>
      </c>
      <c r="B3014" s="428" t="s">
        <v>3554</v>
      </c>
      <c r="C3014" s="429" t="str">
        <f t="shared" si="253"/>
        <v>石嘴山市深阳蓝光市政工程有限公司</v>
      </c>
      <c r="D3014" s="1389" t="s">
        <v>3561</v>
      </c>
      <c r="E3014" s="1410" t="s">
        <v>3571</v>
      </c>
      <c r="F3014" s="132"/>
      <c r="G3014" s="132"/>
      <c r="H3014" s="1393"/>
      <c r="I3014" s="1393"/>
      <c r="J3014" s="1393"/>
      <c r="K3014" s="1393"/>
      <c r="L3014" s="1393"/>
      <c r="X3014" s="501" t="b">
        <f t="shared" si="254"/>
        <v>0</v>
      </c>
    </row>
    <row r="3015" s="418" customFormat="1" outlineLevel="2" spans="1:24">
      <c r="A3015" s="418" t="s">
        <v>3572</v>
      </c>
      <c r="B3015" s="428" t="s">
        <v>3554</v>
      </c>
      <c r="C3015" s="429" t="str">
        <f t="shared" si="253"/>
        <v>石嘴山市深阳蓝光市政工程有限公司</v>
      </c>
      <c r="D3015" s="1389" t="s">
        <v>3561</v>
      </c>
      <c r="E3015" s="1412" t="s">
        <v>3573</v>
      </c>
      <c r="F3015" s="132"/>
      <c r="G3015" s="132"/>
      <c r="H3015" s="1393"/>
      <c r="I3015" s="1393"/>
      <c r="J3015" s="1393"/>
      <c r="K3015" s="1393"/>
      <c r="L3015" s="1393"/>
      <c r="X3015" s="501" t="b">
        <f t="shared" si="254"/>
        <v>0</v>
      </c>
    </row>
    <row r="3016" s="418" customFormat="1" outlineLevel="2" spans="1:24">
      <c r="A3016" s="418" t="s">
        <v>3574</v>
      </c>
      <c r="B3016" s="428" t="s">
        <v>3554</v>
      </c>
      <c r="C3016" s="429" t="str">
        <f t="shared" si="253"/>
        <v>石嘴山市深阳蓝光市政工程有限公司</v>
      </c>
      <c r="D3016" s="1389" t="s">
        <v>3561</v>
      </c>
      <c r="E3016" s="1412" t="s">
        <v>3575</v>
      </c>
      <c r="F3016" s="132"/>
      <c r="G3016" s="132"/>
      <c r="H3016" s="1393"/>
      <c r="I3016" s="1393"/>
      <c r="J3016" s="1393"/>
      <c r="K3016" s="1393"/>
      <c r="L3016" s="1393"/>
      <c r="X3016" s="501" t="b">
        <f t="shared" si="254"/>
        <v>0</v>
      </c>
    </row>
    <row r="3017" s="418" customFormat="1" outlineLevel="2" spans="1:24">
      <c r="A3017" s="418" t="s">
        <v>3576</v>
      </c>
      <c r="B3017" s="428" t="s">
        <v>3554</v>
      </c>
      <c r="C3017" s="429" t="str">
        <f t="shared" si="253"/>
        <v>石嘴山市深阳蓝光市政工程有限公司</v>
      </c>
      <c r="D3017" s="1389" t="s">
        <v>3561</v>
      </c>
      <c r="E3017" s="1412" t="s">
        <v>3577</v>
      </c>
      <c r="F3017" s="132"/>
      <c r="G3017" s="132"/>
      <c r="H3017" s="1393"/>
      <c r="I3017" s="1393"/>
      <c r="J3017" s="1393"/>
      <c r="K3017" s="1393"/>
      <c r="L3017" s="1393"/>
      <c r="X3017" s="501" t="b">
        <f t="shared" si="254"/>
        <v>0</v>
      </c>
    </row>
    <row r="3018" s="418" customFormat="1" outlineLevel="2" spans="1:24">
      <c r="A3018" s="418" t="s">
        <v>3578</v>
      </c>
      <c r="B3018" s="428" t="s">
        <v>3554</v>
      </c>
      <c r="C3018" s="429" t="str">
        <f t="shared" si="253"/>
        <v>石嘴山市深阳蓝光市政工程有限公司</v>
      </c>
      <c r="D3018" s="1389" t="s">
        <v>3561</v>
      </c>
      <c r="E3018" s="1412" t="s">
        <v>3579</v>
      </c>
      <c r="F3018" s="132"/>
      <c r="G3018" s="132"/>
      <c r="H3018" s="1393"/>
      <c r="I3018" s="1393"/>
      <c r="J3018" s="1393"/>
      <c r="K3018" s="1393"/>
      <c r="L3018" s="1393"/>
      <c r="X3018" s="501" t="b">
        <f t="shared" si="254"/>
        <v>0</v>
      </c>
    </row>
    <row r="3019" s="418" customFormat="1" outlineLevel="2" spans="1:24">
      <c r="A3019" s="418" t="s">
        <v>3580</v>
      </c>
      <c r="B3019" s="428" t="s">
        <v>3554</v>
      </c>
      <c r="C3019" s="429" t="str">
        <f t="shared" si="253"/>
        <v>石嘴山市深阳蓝光市政工程有限公司</v>
      </c>
      <c r="D3019" s="1389" t="s">
        <v>3561</v>
      </c>
      <c r="E3019" s="1410" t="s">
        <v>3581</v>
      </c>
      <c r="F3019" s="135">
        <f>ROUND(SUM(F3020:F3024),2)</f>
        <v>0</v>
      </c>
      <c r="G3019" s="135">
        <f>SUM(G3020:G3024)</f>
        <v>0</v>
      </c>
      <c r="H3019" s="1411"/>
      <c r="I3019" s="1393"/>
      <c r="J3019" s="1393"/>
      <c r="K3019" s="1393"/>
      <c r="L3019" s="1393"/>
      <c r="X3019" s="501" t="b">
        <f t="shared" si="254"/>
        <v>1</v>
      </c>
    </row>
    <row r="3020" s="418" customFormat="1" outlineLevel="2" spans="1:24">
      <c r="A3020" s="418" t="s">
        <v>3570</v>
      </c>
      <c r="B3020" s="428" t="s">
        <v>3554</v>
      </c>
      <c r="C3020" s="429" t="str">
        <f t="shared" si="253"/>
        <v>石嘴山市深阳蓝光市政工程有限公司</v>
      </c>
      <c r="D3020" s="1389" t="s">
        <v>3561</v>
      </c>
      <c r="E3020" s="1410" t="s">
        <v>3582</v>
      </c>
      <c r="F3020" s="132"/>
      <c r="G3020" s="132"/>
      <c r="H3020" s="1393"/>
      <c r="I3020" s="1393"/>
      <c r="J3020" s="1393"/>
      <c r="K3020" s="1393"/>
      <c r="L3020" s="1393"/>
      <c r="X3020" s="501" t="b">
        <f t="shared" si="254"/>
        <v>0</v>
      </c>
    </row>
    <row r="3021" s="418" customFormat="1" outlineLevel="2" spans="1:24">
      <c r="A3021" s="418" t="s">
        <v>3572</v>
      </c>
      <c r="B3021" s="428" t="s">
        <v>3554</v>
      </c>
      <c r="C3021" s="429" t="str">
        <f t="shared" si="253"/>
        <v>石嘴山市深阳蓝光市政工程有限公司</v>
      </c>
      <c r="D3021" s="1389" t="s">
        <v>3561</v>
      </c>
      <c r="E3021" s="1410" t="s">
        <v>3583</v>
      </c>
      <c r="F3021" s="132"/>
      <c r="G3021" s="132"/>
      <c r="H3021" s="1393"/>
      <c r="I3021" s="1393"/>
      <c r="J3021" s="1393"/>
      <c r="K3021" s="1393"/>
      <c r="L3021" s="1393"/>
      <c r="X3021" s="501" t="b">
        <f t="shared" si="254"/>
        <v>0</v>
      </c>
    </row>
    <row r="3022" s="418" customFormat="1" outlineLevel="2" spans="1:24">
      <c r="A3022" s="418" t="s">
        <v>3574</v>
      </c>
      <c r="B3022" s="428" t="s">
        <v>3554</v>
      </c>
      <c r="C3022" s="429" t="str">
        <f t="shared" si="253"/>
        <v>石嘴山市深阳蓝光市政工程有限公司</v>
      </c>
      <c r="D3022" s="1389" t="s">
        <v>3561</v>
      </c>
      <c r="E3022" s="1412" t="s">
        <v>3584</v>
      </c>
      <c r="F3022" s="132"/>
      <c r="G3022" s="132"/>
      <c r="H3022" s="1393"/>
      <c r="I3022" s="1393"/>
      <c r="J3022" s="1393"/>
      <c r="K3022" s="1393"/>
      <c r="L3022" s="1393"/>
      <c r="X3022" s="501" t="b">
        <f t="shared" si="254"/>
        <v>0</v>
      </c>
    </row>
    <row r="3023" s="418" customFormat="1" outlineLevel="2" spans="1:24">
      <c r="A3023" s="418" t="s">
        <v>3576</v>
      </c>
      <c r="B3023" s="428" t="s">
        <v>3554</v>
      </c>
      <c r="C3023" s="429" t="str">
        <f t="shared" si="253"/>
        <v>石嘴山市深阳蓝光市政工程有限公司</v>
      </c>
      <c r="D3023" s="1389" t="s">
        <v>3561</v>
      </c>
      <c r="E3023" s="1412" t="s">
        <v>3585</v>
      </c>
      <c r="F3023" s="132"/>
      <c r="G3023" s="132"/>
      <c r="H3023" s="1393"/>
      <c r="I3023" s="1393"/>
      <c r="J3023" s="1393"/>
      <c r="K3023" s="1393"/>
      <c r="L3023" s="1393"/>
      <c r="X3023" s="501" t="b">
        <f t="shared" si="254"/>
        <v>0</v>
      </c>
    </row>
    <row r="3024" s="418" customFormat="1" outlineLevel="2" spans="1:24">
      <c r="A3024" s="418" t="s">
        <v>3578</v>
      </c>
      <c r="B3024" s="428" t="s">
        <v>3554</v>
      </c>
      <c r="C3024" s="429" t="str">
        <f t="shared" si="253"/>
        <v>石嘴山市深阳蓝光市政工程有限公司</v>
      </c>
      <c r="D3024" s="1389" t="s">
        <v>3561</v>
      </c>
      <c r="E3024" s="1412" t="s">
        <v>3586</v>
      </c>
      <c r="F3024" s="132"/>
      <c r="G3024" s="132"/>
      <c r="H3024" s="1393"/>
      <c r="I3024" s="1393"/>
      <c r="J3024" s="1393"/>
      <c r="K3024" s="1393"/>
      <c r="L3024" s="1393"/>
      <c r="X3024" s="501" t="b">
        <f t="shared" si="254"/>
        <v>0</v>
      </c>
    </row>
    <row r="3025" s="418" customFormat="1" outlineLevel="2" spans="1:24">
      <c r="A3025" s="418" t="s">
        <v>3587</v>
      </c>
      <c r="B3025" s="428" t="s">
        <v>3554</v>
      </c>
      <c r="C3025" s="429" t="str">
        <f t="shared" ref="C3025:C3090" si="255">$G$1</f>
        <v>石嘴山市深阳蓝光市政工程有限公司</v>
      </c>
      <c r="D3025" s="1389" t="s">
        <v>3561</v>
      </c>
      <c r="E3025" s="1410" t="s">
        <v>3588</v>
      </c>
      <c r="F3025" s="132"/>
      <c r="G3025" s="132"/>
      <c r="H3025" s="1393"/>
      <c r="I3025" s="1393"/>
      <c r="J3025" s="1393"/>
      <c r="K3025" s="1393"/>
      <c r="L3025" s="1393"/>
      <c r="X3025" s="501" t="b">
        <f t="shared" si="254"/>
        <v>1</v>
      </c>
    </row>
    <row r="3026" s="418" customFormat="1" outlineLevel="2" spans="1:24">
      <c r="A3026" s="418" t="s">
        <v>3589</v>
      </c>
      <c r="B3026" s="428" t="s">
        <v>3554</v>
      </c>
      <c r="C3026" s="429" t="str">
        <f t="shared" si="255"/>
        <v>石嘴山市深阳蓝光市政工程有限公司</v>
      </c>
      <c r="D3026" s="1389" t="s">
        <v>3561</v>
      </c>
      <c r="E3026" s="1410" t="s">
        <v>3590</v>
      </c>
      <c r="F3026" s="132"/>
      <c r="G3026" s="132"/>
      <c r="H3026" s="1393"/>
      <c r="I3026" s="1393"/>
      <c r="J3026" s="1393"/>
      <c r="K3026" s="1393"/>
      <c r="L3026" s="1393"/>
      <c r="X3026" s="501" t="b">
        <f t="shared" si="254"/>
        <v>1</v>
      </c>
    </row>
    <row r="3027" s="418" customFormat="1" outlineLevel="2" spans="2:24">
      <c r="B3027" s="428"/>
      <c r="C3027" s="429"/>
      <c r="D3027" s="1389"/>
      <c r="E3027" s="1410" t="s">
        <v>3591</v>
      </c>
      <c r="F3027" s="132"/>
      <c r="G3027" s="132"/>
      <c r="H3027" s="1393"/>
      <c r="I3027" s="1393"/>
      <c r="J3027" s="1393"/>
      <c r="K3027" s="1393"/>
      <c r="L3027" s="1393"/>
      <c r="X3027" s="501"/>
    </row>
    <row r="3028" s="418" customFormat="1" outlineLevel="2" spans="1:24">
      <c r="A3028" s="418" t="s">
        <v>3592</v>
      </c>
      <c r="B3028" s="428" t="s">
        <v>3554</v>
      </c>
      <c r="C3028" s="429" t="str">
        <f t="shared" si="255"/>
        <v>石嘴山市深阳蓝光市政工程有限公司</v>
      </c>
      <c r="D3028" s="1389" t="s">
        <v>3561</v>
      </c>
      <c r="E3028" s="1410" t="s">
        <v>3593</v>
      </c>
      <c r="F3028" s="135">
        <f>ROUND(SUM(F3029:F3031),2)</f>
        <v>0</v>
      </c>
      <c r="G3028" s="135">
        <f>SUM(G3029:G3031)</f>
        <v>0</v>
      </c>
      <c r="H3028" s="1393"/>
      <c r="I3028" s="1393"/>
      <c r="J3028" s="1393"/>
      <c r="K3028" s="1393"/>
      <c r="L3028" s="1393"/>
      <c r="X3028" s="501" t="b">
        <f t="shared" si="254"/>
        <v>1</v>
      </c>
    </row>
    <row r="3029" s="418" customFormat="1" outlineLevel="2" spans="1:24">
      <c r="A3029" s="418" t="s">
        <v>3570</v>
      </c>
      <c r="B3029" s="428" t="s">
        <v>3554</v>
      </c>
      <c r="C3029" s="429" t="str">
        <f t="shared" si="255"/>
        <v>石嘴山市深阳蓝光市政工程有限公司</v>
      </c>
      <c r="D3029" s="1389" t="s">
        <v>3561</v>
      </c>
      <c r="E3029" s="1412" t="s">
        <v>3594</v>
      </c>
      <c r="F3029" s="132"/>
      <c r="G3029" s="1406"/>
      <c r="H3029" s="1393"/>
      <c r="I3029" s="1393"/>
      <c r="J3029" s="1393"/>
      <c r="K3029" s="1393"/>
      <c r="L3029" s="1393"/>
      <c r="X3029" s="501" t="b">
        <f t="shared" si="254"/>
        <v>1</v>
      </c>
    </row>
    <row r="3030" s="418" customFormat="1" outlineLevel="2" spans="1:24">
      <c r="A3030" s="418" t="s">
        <v>3572</v>
      </c>
      <c r="B3030" s="428" t="s">
        <v>3554</v>
      </c>
      <c r="C3030" s="429" t="str">
        <f t="shared" si="255"/>
        <v>石嘴山市深阳蓝光市政工程有限公司</v>
      </c>
      <c r="D3030" s="1389" t="s">
        <v>3561</v>
      </c>
      <c r="E3030" s="1412" t="s">
        <v>3595</v>
      </c>
      <c r="F3030" s="132"/>
      <c r="G3030" s="132"/>
      <c r="H3030" s="1393"/>
      <c r="I3030" s="1393"/>
      <c r="J3030" s="1393"/>
      <c r="K3030" s="1393"/>
      <c r="L3030" s="1393"/>
      <c r="X3030" s="501" t="b">
        <f t="shared" si="254"/>
        <v>1</v>
      </c>
    </row>
    <row r="3031" s="418" customFormat="1" outlineLevel="2" spans="1:24">
      <c r="A3031" s="418" t="s">
        <v>3574</v>
      </c>
      <c r="B3031" s="428" t="s">
        <v>3554</v>
      </c>
      <c r="C3031" s="429" t="str">
        <f t="shared" si="255"/>
        <v>石嘴山市深阳蓝光市政工程有限公司</v>
      </c>
      <c r="D3031" s="1389" t="s">
        <v>3561</v>
      </c>
      <c r="E3031" s="1412" t="s">
        <v>3596</v>
      </c>
      <c r="F3031" s="132"/>
      <c r="G3031" s="132"/>
      <c r="H3031" s="1393"/>
      <c r="I3031" s="1393"/>
      <c r="J3031" s="1393"/>
      <c r="K3031" s="1393"/>
      <c r="L3031" s="1393"/>
      <c r="X3031" s="501" t="b">
        <f t="shared" si="254"/>
        <v>1</v>
      </c>
    </row>
    <row r="3032" s="418" customFormat="1" outlineLevel="2" spans="1:24">
      <c r="A3032" s="418" t="s">
        <v>3597</v>
      </c>
      <c r="B3032" s="428" t="s">
        <v>3554</v>
      </c>
      <c r="C3032" s="429" t="str">
        <f t="shared" si="255"/>
        <v>石嘴山市深阳蓝光市政工程有限公司</v>
      </c>
      <c r="D3032" s="1389" t="s">
        <v>3561</v>
      </c>
      <c r="E3032" s="1410" t="s">
        <v>3598</v>
      </c>
      <c r="F3032" s="135">
        <f>ROUND(SUM(F3033:F3036),2)</f>
        <v>0</v>
      </c>
      <c r="G3032" s="135">
        <f>ROUND(SUM(G3033:G3036),2)</f>
        <v>0</v>
      </c>
      <c r="H3032" s="1393"/>
      <c r="I3032" s="1393"/>
      <c r="J3032" s="1393"/>
      <c r="K3032" s="1393"/>
      <c r="L3032" s="1393"/>
      <c r="X3032" s="501" t="b">
        <f t="shared" si="254"/>
        <v>1</v>
      </c>
    </row>
    <row r="3033" s="418" customFormat="1" outlineLevel="2" spans="1:24">
      <c r="A3033" s="418" t="s">
        <v>3570</v>
      </c>
      <c r="B3033" s="428" t="s">
        <v>3554</v>
      </c>
      <c r="C3033" s="429" t="str">
        <f t="shared" si="255"/>
        <v>石嘴山市深阳蓝光市政工程有限公司</v>
      </c>
      <c r="D3033" s="1389" t="s">
        <v>3561</v>
      </c>
      <c r="E3033" s="1410" t="s">
        <v>3599</v>
      </c>
      <c r="F3033" s="132"/>
      <c r="G3033" s="132"/>
      <c r="H3033" s="1393"/>
      <c r="I3033" s="1393"/>
      <c r="J3033" s="1393"/>
      <c r="K3033" s="1393"/>
      <c r="L3033" s="1393"/>
      <c r="X3033" s="501" t="b">
        <f t="shared" si="254"/>
        <v>0</v>
      </c>
    </row>
    <row r="3034" s="418" customFormat="1" outlineLevel="2" spans="1:24">
      <c r="A3034" s="418" t="s">
        <v>3572</v>
      </c>
      <c r="B3034" s="428" t="s">
        <v>3554</v>
      </c>
      <c r="C3034" s="429" t="str">
        <f t="shared" si="255"/>
        <v>石嘴山市深阳蓝光市政工程有限公司</v>
      </c>
      <c r="D3034" s="1389" t="s">
        <v>3561</v>
      </c>
      <c r="E3034" s="1410" t="s">
        <v>3600</v>
      </c>
      <c r="F3034" s="132"/>
      <c r="G3034" s="132"/>
      <c r="H3034" s="1393"/>
      <c r="I3034" s="1393"/>
      <c r="J3034" s="1393"/>
      <c r="K3034" s="1393"/>
      <c r="L3034" s="1393"/>
      <c r="X3034" s="501" t="b">
        <f t="shared" si="254"/>
        <v>0</v>
      </c>
    </row>
    <row r="3035" s="418" customFormat="1" outlineLevel="2" spans="1:24">
      <c r="A3035" s="418" t="s">
        <v>3574</v>
      </c>
      <c r="B3035" s="428" t="s">
        <v>3554</v>
      </c>
      <c r="C3035" s="429" t="str">
        <f t="shared" si="255"/>
        <v>石嘴山市深阳蓝光市政工程有限公司</v>
      </c>
      <c r="D3035" s="1389" t="s">
        <v>3561</v>
      </c>
      <c r="E3035" s="1412" t="s">
        <v>3601</v>
      </c>
      <c r="F3035" s="132"/>
      <c r="G3035" s="132"/>
      <c r="H3035" s="1393"/>
      <c r="I3035" s="1393"/>
      <c r="J3035" s="1393"/>
      <c r="K3035" s="1393"/>
      <c r="L3035" s="1393"/>
      <c r="X3035" s="501" t="b">
        <f t="shared" si="254"/>
        <v>0</v>
      </c>
    </row>
    <row r="3036" s="418" customFormat="1" outlineLevel="2" spans="1:24">
      <c r="A3036" s="418" t="s">
        <v>3576</v>
      </c>
      <c r="B3036" s="428" t="s">
        <v>3554</v>
      </c>
      <c r="C3036" s="429" t="str">
        <f t="shared" si="255"/>
        <v>石嘴山市深阳蓝光市政工程有限公司</v>
      </c>
      <c r="D3036" s="1389" t="s">
        <v>3561</v>
      </c>
      <c r="E3036" s="1413" t="s">
        <v>3602</v>
      </c>
      <c r="F3036" s="132"/>
      <c r="G3036" s="132"/>
      <c r="H3036" s="1414"/>
      <c r="I3036" s="1393"/>
      <c r="J3036" s="1393"/>
      <c r="K3036" s="1393"/>
      <c r="L3036" s="1393"/>
      <c r="X3036" s="501" t="b">
        <f t="shared" si="254"/>
        <v>1</v>
      </c>
    </row>
    <row r="3037" s="418" customFormat="1" outlineLevel="2" spans="1:24">
      <c r="A3037" s="418" t="s">
        <v>3603</v>
      </c>
      <c r="B3037" s="428" t="s">
        <v>3554</v>
      </c>
      <c r="C3037" s="429" t="str">
        <f t="shared" si="255"/>
        <v>石嘴山市深阳蓝光市政工程有限公司</v>
      </c>
      <c r="D3037" s="1415" t="s">
        <v>3561</v>
      </c>
      <c r="E3037" s="1416" t="s">
        <v>3603</v>
      </c>
      <c r="F3037" s="135">
        <f>IF(ROUND(F3010-F3012-F3013+F3019-F3025-F3026-F3027-F3028+F3032,2)&gt;0,ROUND(F3010-F3012-F3013+F3019-F3025-F3026-F3027-F3028+F3032,2),0)</f>
        <v>0</v>
      </c>
      <c r="G3037" s="135">
        <f>IF(ROUND(G3010-G3012-G3013+G3019-G3025-G3026-G3027-G3028+G3032,2)&gt;0,ROUND(G3010-G3012-G3013+G3019-G3025-G3026-G3027-G3028+G3032,2),0)</f>
        <v>0</v>
      </c>
      <c r="H3037" s="88">
        <f>ROUND(F3010-F3012-F3013+F3019-F3026-F3027-F3028+F3032-F3036+F3040,2)</f>
        <v>0</v>
      </c>
      <c r="I3037" s="88">
        <f>ROUND(G3010-G3012-G3013+G3019-G3026-G3027-G3028+G3032-G3036+G3040,2)</f>
        <v>0</v>
      </c>
      <c r="J3037" s="1427" t="s">
        <v>3604</v>
      </c>
      <c r="K3037" s="1393"/>
      <c r="L3037" s="1393"/>
      <c r="X3037" s="501" t="b">
        <f t="shared" si="254"/>
        <v>1</v>
      </c>
    </row>
    <row r="3038" s="418" customFormat="1" outlineLevel="2" spans="1:24">
      <c r="A3038" s="418" t="s">
        <v>3605</v>
      </c>
      <c r="B3038" s="428" t="s">
        <v>3554</v>
      </c>
      <c r="C3038" s="429" t="str">
        <f t="shared" si="255"/>
        <v>石嘴山市深阳蓝光市政工程有限公司</v>
      </c>
      <c r="D3038" s="1415" t="s">
        <v>3561</v>
      </c>
      <c r="E3038" s="1416" t="s">
        <v>3605</v>
      </c>
      <c r="F3038" s="1417">
        <v>0.25</v>
      </c>
      <c r="G3038" s="1417"/>
      <c r="H3038" s="1393"/>
      <c r="I3038" s="1393"/>
      <c r="J3038" s="1393"/>
      <c r="K3038" s="1393"/>
      <c r="L3038" s="1393"/>
      <c r="X3038" s="501" t="b">
        <f t="shared" si="254"/>
        <v>1</v>
      </c>
    </row>
    <row r="3039" s="418" customFormat="1" outlineLevel="2" spans="1:24">
      <c r="A3039" s="418" t="s">
        <v>3606</v>
      </c>
      <c r="B3039" s="428" t="s">
        <v>3554</v>
      </c>
      <c r="C3039" s="429" t="str">
        <f t="shared" si="255"/>
        <v>石嘴山市深阳蓝光市政工程有限公司</v>
      </c>
      <c r="D3039" s="1415" t="s">
        <v>3561</v>
      </c>
      <c r="E3039" s="1409" t="s">
        <v>3607</v>
      </c>
      <c r="F3039" s="135">
        <f>ROUND(F3037*F3038,2)</f>
        <v>0</v>
      </c>
      <c r="G3039" s="135">
        <f>G3037*G3038</f>
        <v>0</v>
      </c>
      <c r="H3039" s="1393"/>
      <c r="I3039" s="1393"/>
      <c r="J3039" s="1393"/>
      <c r="K3039" s="1393"/>
      <c r="L3039" s="1393"/>
      <c r="X3039" s="501" t="b">
        <f t="shared" si="254"/>
        <v>1</v>
      </c>
    </row>
    <row r="3040" s="418" customFormat="1" outlineLevel="2" spans="1:24">
      <c r="A3040" s="418" t="s">
        <v>3608</v>
      </c>
      <c r="B3040" s="428" t="s">
        <v>3554</v>
      </c>
      <c r="C3040" s="429" t="str">
        <f t="shared" si="255"/>
        <v>石嘴山市深阳蓝光市政工程有限公司</v>
      </c>
      <c r="D3040" s="1415" t="s">
        <v>3561</v>
      </c>
      <c r="E3040" s="1409" t="s">
        <v>3608</v>
      </c>
      <c r="F3040" s="132"/>
      <c r="G3040" s="132"/>
      <c r="H3040" s="1393"/>
      <c r="I3040" s="1393"/>
      <c r="J3040" s="1393"/>
      <c r="K3040" s="1393"/>
      <c r="L3040" s="1393"/>
      <c r="X3040" s="501" t="b">
        <f t="shared" si="254"/>
        <v>1</v>
      </c>
    </row>
    <row r="3041" s="418" customFormat="1" outlineLevel="2" spans="1:24">
      <c r="A3041" s="418" t="s">
        <v>3609</v>
      </c>
      <c r="B3041" s="428" t="s">
        <v>3554</v>
      </c>
      <c r="C3041" s="429" t="str">
        <f t="shared" si="255"/>
        <v>石嘴山市深阳蓝光市政工程有限公司</v>
      </c>
      <c r="D3041" s="1415" t="s">
        <v>3561</v>
      </c>
      <c r="E3041" s="1418" t="s">
        <v>3609</v>
      </c>
      <c r="F3041" s="135">
        <f>ROUND(F3039+F3040,2)</f>
        <v>0</v>
      </c>
      <c r="G3041" s="135">
        <f>G3039-G3040</f>
        <v>0</v>
      </c>
      <c r="H3041" s="1414">
        <f>F3041*0.05%*380</f>
        <v>0</v>
      </c>
      <c r="I3041" s="1393"/>
      <c r="J3041" s="1393"/>
      <c r="K3041" s="1393"/>
      <c r="L3041" s="1393"/>
      <c r="X3041" s="501" t="b">
        <f t="shared" si="254"/>
        <v>1</v>
      </c>
    </row>
    <row r="3042" s="418" customFormat="1" outlineLevel="2" spans="1:24">
      <c r="A3042" s="418" t="s">
        <v>3610</v>
      </c>
      <c r="B3042" s="428" t="s">
        <v>3554</v>
      </c>
      <c r="C3042" s="429" t="str">
        <f t="shared" si="255"/>
        <v>石嘴山市深阳蓝光市政工程有限公司</v>
      </c>
      <c r="D3042" s="1415" t="s">
        <v>3561</v>
      </c>
      <c r="E3042" s="1419" t="s">
        <v>3610</v>
      </c>
      <c r="F3042" s="132">
        <f>F3002</f>
        <v>0</v>
      </c>
      <c r="G3042" s="132">
        <f>G3002</f>
        <v>0</v>
      </c>
      <c r="H3042" s="1414"/>
      <c r="I3042" s="1414"/>
      <c r="J3042" s="1393"/>
      <c r="K3042" s="1393"/>
      <c r="L3042" s="1393"/>
      <c r="X3042" s="501" t="b">
        <f t="shared" si="254"/>
        <v>1</v>
      </c>
    </row>
    <row r="3043" s="418" customFormat="1" outlineLevel="2" spans="1:24">
      <c r="A3043" s="418" t="s">
        <v>3611</v>
      </c>
      <c r="B3043" s="428" t="s">
        <v>3554</v>
      </c>
      <c r="C3043" s="429" t="str">
        <f t="shared" si="255"/>
        <v>石嘴山市深阳蓝光市政工程有限公司</v>
      </c>
      <c r="D3043" s="1415" t="s">
        <v>3561</v>
      </c>
      <c r="E3043" s="763" t="s">
        <v>3612</v>
      </c>
      <c r="F3043" s="1420"/>
      <c r="G3043" s="132"/>
      <c r="H3043" s="1414"/>
      <c r="I3043" s="1393"/>
      <c r="J3043" s="1393"/>
      <c r="K3043" s="1393"/>
      <c r="L3043" s="1393"/>
      <c r="X3043" s="501" t="b">
        <f t="shared" si="254"/>
        <v>1</v>
      </c>
    </row>
    <row r="3044" s="418" customFormat="1" outlineLevel="2" spans="1:24">
      <c r="A3044" s="418" t="s">
        <v>3613</v>
      </c>
      <c r="B3044" s="428" t="s">
        <v>3554</v>
      </c>
      <c r="C3044" s="429" t="str">
        <f t="shared" si="255"/>
        <v>石嘴山市深阳蓝光市政工程有限公司</v>
      </c>
      <c r="D3044" s="1415" t="s">
        <v>3561</v>
      </c>
      <c r="E3044" s="763" t="s">
        <v>3614</v>
      </c>
      <c r="F3044" s="1420">
        <f>F3038</f>
        <v>0.25</v>
      </c>
      <c r="G3044" s="1420">
        <f>G3038</f>
        <v>0</v>
      </c>
      <c r="H3044" s="1414"/>
      <c r="I3044" s="1393"/>
      <c r="J3044" s="1393"/>
      <c r="K3044" s="1393"/>
      <c r="L3044" s="1393"/>
      <c r="X3044" s="501" t="b">
        <f t="shared" si="254"/>
        <v>1</v>
      </c>
    </row>
    <row r="3045" s="418" customFormat="1" outlineLevel="2" spans="1:24">
      <c r="A3045" s="418" t="s">
        <v>3615</v>
      </c>
      <c r="B3045" s="428" t="s">
        <v>3554</v>
      </c>
      <c r="C3045" s="429" t="str">
        <f t="shared" si="255"/>
        <v>石嘴山市深阳蓝光市政工程有限公司</v>
      </c>
      <c r="D3045" s="1415" t="s">
        <v>3561</v>
      </c>
      <c r="E3045" s="1410" t="s">
        <v>3616</v>
      </c>
      <c r="F3045" s="135">
        <f>ROUND(F3046*(F3044-F3043),2)</f>
        <v>0</v>
      </c>
      <c r="G3045" s="135">
        <f>G3046*(G3044-G3043)</f>
        <v>0</v>
      </c>
      <c r="H3045" s="1393"/>
      <c r="I3045" s="1393"/>
      <c r="J3045" s="1393"/>
      <c r="K3045" s="1393"/>
      <c r="L3045" s="1393"/>
      <c r="X3045" s="501" t="b">
        <f t="shared" si="254"/>
        <v>1</v>
      </c>
    </row>
    <row r="3046" s="418" customFormat="1" outlineLevel="2" spans="1:24">
      <c r="A3046" s="418" t="s">
        <v>3617</v>
      </c>
      <c r="B3046" s="428" t="s">
        <v>3554</v>
      </c>
      <c r="C3046" s="429" t="str">
        <f t="shared" si="255"/>
        <v>石嘴山市深阳蓝光市政工程有限公司</v>
      </c>
      <c r="D3046" s="1415" t="s">
        <v>3561</v>
      </c>
      <c r="E3046" s="1410" t="s">
        <v>3617</v>
      </c>
      <c r="F3046" s="135">
        <f>ROUND(SUM(F3047:F3050),2)</f>
        <v>0</v>
      </c>
      <c r="G3046" s="135">
        <f>ROUND(SUM(G3047:G3050),2)</f>
        <v>0</v>
      </c>
      <c r="H3046" s="1414"/>
      <c r="I3046" s="1393"/>
      <c r="J3046" s="1393"/>
      <c r="K3046" s="1393"/>
      <c r="L3046" s="1393"/>
      <c r="X3046" s="501" t="b">
        <f t="shared" si="254"/>
        <v>1</v>
      </c>
    </row>
    <row r="3047" s="418" customFormat="1" outlineLevel="2" spans="1:24">
      <c r="A3047" s="418" t="s">
        <v>3570</v>
      </c>
      <c r="B3047" s="428" t="s">
        <v>3554</v>
      </c>
      <c r="C3047" s="429" t="str">
        <f t="shared" si="255"/>
        <v>石嘴山市深阳蓝光市政工程有限公司</v>
      </c>
      <c r="D3047" s="1415" t="s">
        <v>3561</v>
      </c>
      <c r="E3047" s="1412" t="s">
        <v>3594</v>
      </c>
      <c r="F3047" s="132"/>
      <c r="G3047" s="132"/>
      <c r="H3047" s="1414"/>
      <c r="I3047" s="1393"/>
      <c r="J3047" s="1393"/>
      <c r="K3047" s="1393"/>
      <c r="L3047" s="1393"/>
      <c r="X3047" s="501" t="b">
        <f t="shared" si="254"/>
        <v>1</v>
      </c>
    </row>
    <row r="3048" s="418" customFormat="1" outlineLevel="2" spans="1:24">
      <c r="A3048" s="418" t="s">
        <v>3572</v>
      </c>
      <c r="B3048" s="428" t="s">
        <v>3554</v>
      </c>
      <c r="C3048" s="429" t="str">
        <f t="shared" si="255"/>
        <v>石嘴山市深阳蓝光市政工程有限公司</v>
      </c>
      <c r="D3048" s="1415" t="s">
        <v>3561</v>
      </c>
      <c r="E3048" s="1412" t="s">
        <v>3595</v>
      </c>
      <c r="F3048" s="132"/>
      <c r="G3048" s="132"/>
      <c r="H3048" s="1414"/>
      <c r="I3048" s="1393"/>
      <c r="J3048" s="1393"/>
      <c r="K3048" s="1393"/>
      <c r="L3048" s="1393"/>
      <c r="X3048" s="501" t="b">
        <f t="shared" si="254"/>
        <v>1</v>
      </c>
    </row>
    <row r="3049" s="418" customFormat="1" outlineLevel="2" spans="1:24">
      <c r="A3049" s="418" t="s">
        <v>3574</v>
      </c>
      <c r="B3049" s="428" t="s">
        <v>3554</v>
      </c>
      <c r="C3049" s="429" t="str">
        <f t="shared" si="255"/>
        <v>石嘴山市深阳蓝光市政工程有限公司</v>
      </c>
      <c r="D3049" s="1415" t="s">
        <v>3561</v>
      </c>
      <c r="E3049" s="1412" t="s">
        <v>3596</v>
      </c>
      <c r="F3049" s="132"/>
      <c r="G3049" s="132"/>
      <c r="H3049" s="1393"/>
      <c r="I3049" s="1393"/>
      <c r="J3049" s="1393"/>
      <c r="K3049" s="1393"/>
      <c r="L3049" s="1393"/>
      <c r="X3049" s="501" t="b">
        <f t="shared" si="254"/>
        <v>1</v>
      </c>
    </row>
    <row r="3050" s="418" customFormat="1" outlineLevel="2" spans="1:24">
      <c r="A3050" s="418" t="s">
        <v>3576</v>
      </c>
      <c r="B3050" s="428" t="s">
        <v>3554</v>
      </c>
      <c r="C3050" s="429" t="str">
        <f t="shared" si="255"/>
        <v>石嘴山市深阳蓝光市政工程有限公司</v>
      </c>
      <c r="D3050" s="1415" t="s">
        <v>3561</v>
      </c>
      <c r="E3050" s="1412" t="s">
        <v>3618</v>
      </c>
      <c r="F3050" s="132"/>
      <c r="G3050" s="132"/>
      <c r="H3050" s="1393"/>
      <c r="I3050" s="1393"/>
      <c r="J3050" s="1393"/>
      <c r="K3050" s="1393"/>
      <c r="L3050" s="1393"/>
      <c r="X3050" s="501" t="b">
        <f t="shared" si="254"/>
        <v>1</v>
      </c>
    </row>
    <row r="3051" s="418" customFormat="1" outlineLevel="2" spans="1:24">
      <c r="A3051" s="418" t="s">
        <v>3578</v>
      </c>
      <c r="B3051" s="428" t="s">
        <v>3554</v>
      </c>
      <c r="C3051" s="429" t="str">
        <f t="shared" si="255"/>
        <v>石嘴山市深阳蓝光市政工程有限公司</v>
      </c>
      <c r="D3051" s="1415" t="s">
        <v>3561</v>
      </c>
      <c r="E3051" s="1421" t="s">
        <v>3619</v>
      </c>
      <c r="F3051" s="132">
        <f>-F3035</f>
        <v>0</v>
      </c>
      <c r="G3051" s="132">
        <f>-G3035</f>
        <v>0</v>
      </c>
      <c r="H3051" s="1393"/>
      <c r="I3051" s="1393"/>
      <c r="J3051" s="1393"/>
      <c r="K3051" s="1393"/>
      <c r="L3051" s="1393"/>
      <c r="X3051" s="501" t="b">
        <f t="shared" si="254"/>
        <v>0</v>
      </c>
    </row>
    <row r="3052" s="418" customFormat="1" outlineLevel="2" spans="1:24">
      <c r="A3052" s="418" t="s">
        <v>3620</v>
      </c>
      <c r="B3052" s="428" t="s">
        <v>3554</v>
      </c>
      <c r="C3052" s="429" t="str">
        <f t="shared" si="255"/>
        <v>石嘴山市深阳蓝光市政工程有限公司</v>
      </c>
      <c r="D3052" s="1415" t="s">
        <v>3561</v>
      </c>
      <c r="E3052" s="1410" t="s">
        <v>3621</v>
      </c>
      <c r="F3052" s="899">
        <f>ROUND((F3053+F3059)*F3044,2)</f>
        <v>0</v>
      </c>
      <c r="G3052" s="135">
        <f>(G3053+G3059)*G3044</f>
        <v>0</v>
      </c>
      <c r="H3052" s="1393"/>
      <c r="I3052" s="1393"/>
      <c r="J3052" s="1393"/>
      <c r="K3052" s="1393"/>
      <c r="L3052" s="1393"/>
      <c r="X3052" s="501" t="b">
        <f t="shared" si="254"/>
        <v>1</v>
      </c>
    </row>
    <row r="3053" s="418" customFormat="1" outlineLevel="2" spans="1:24">
      <c r="A3053" s="418" t="s">
        <v>3622</v>
      </c>
      <c r="B3053" s="428" t="s">
        <v>3554</v>
      </c>
      <c r="C3053" s="429" t="str">
        <f t="shared" si="255"/>
        <v>石嘴山市深阳蓝光市政工程有限公司</v>
      </c>
      <c r="D3053" s="1415" t="s">
        <v>3561</v>
      </c>
      <c r="E3053" s="1410" t="s">
        <v>3622</v>
      </c>
      <c r="F3053" s="135">
        <f>SUM(F3054:F3058)</f>
        <v>0</v>
      </c>
      <c r="G3053" s="135">
        <f>SUM(G3054:G3058)</f>
        <v>0</v>
      </c>
      <c r="H3053" s="1393"/>
      <c r="I3053" s="1393"/>
      <c r="J3053" s="1393"/>
      <c r="K3053" s="1393"/>
      <c r="L3053" s="1393"/>
      <c r="X3053" s="501" t="b">
        <f t="shared" si="254"/>
        <v>1</v>
      </c>
    </row>
    <row r="3054" s="418" customFormat="1" ht="15" customHeight="1" outlineLevel="2" spans="1:24">
      <c r="A3054" s="418" t="s">
        <v>3570</v>
      </c>
      <c r="B3054" s="428" t="s">
        <v>3554</v>
      </c>
      <c r="C3054" s="429" t="str">
        <f t="shared" si="255"/>
        <v>石嘴山市深阳蓝光市政工程有限公司</v>
      </c>
      <c r="D3054" s="1415" t="s">
        <v>3561</v>
      </c>
      <c r="E3054" s="1410" t="s">
        <v>3623</v>
      </c>
      <c r="F3054" s="132"/>
      <c r="G3054" s="132"/>
      <c r="H3054" s="1414">
        <f>F3054*0.15</f>
        <v>0</v>
      </c>
      <c r="I3054" s="1393"/>
      <c r="J3054" s="1393"/>
      <c r="K3054" s="1393"/>
      <c r="L3054" s="1393"/>
      <c r="X3054" s="501" t="b">
        <f t="shared" si="254"/>
        <v>0</v>
      </c>
    </row>
    <row r="3055" s="418" customFormat="1" outlineLevel="2" spans="1:24">
      <c r="A3055" s="418" t="s">
        <v>3572</v>
      </c>
      <c r="B3055" s="428" t="s">
        <v>3554</v>
      </c>
      <c r="C3055" s="429" t="str">
        <f t="shared" si="255"/>
        <v>石嘴山市深阳蓝光市政工程有限公司</v>
      </c>
      <c r="D3055" s="1415" t="s">
        <v>3561</v>
      </c>
      <c r="E3055" s="1410" t="s">
        <v>3624</v>
      </c>
      <c r="F3055" s="132"/>
      <c r="G3055" s="132"/>
      <c r="H3055" s="1393"/>
      <c r="I3055" s="1393"/>
      <c r="J3055" s="1393"/>
      <c r="K3055" s="1393"/>
      <c r="L3055" s="1393"/>
      <c r="X3055" s="501" t="b">
        <f t="shared" si="254"/>
        <v>0</v>
      </c>
    </row>
    <row r="3056" s="418" customFormat="1" outlineLevel="2" spans="1:24">
      <c r="A3056" s="418" t="s">
        <v>3574</v>
      </c>
      <c r="B3056" s="428" t="s">
        <v>3554</v>
      </c>
      <c r="C3056" s="429" t="str">
        <f t="shared" si="255"/>
        <v>石嘴山市深阳蓝光市政工程有限公司</v>
      </c>
      <c r="D3056" s="1415" t="s">
        <v>3561</v>
      </c>
      <c r="E3056" s="1412" t="s">
        <v>3596</v>
      </c>
      <c r="F3056" s="132"/>
      <c r="G3056" s="132"/>
      <c r="H3056" s="1393"/>
      <c r="I3056" s="1393"/>
      <c r="J3056" s="1393"/>
      <c r="K3056" s="1393"/>
      <c r="L3056" s="1393"/>
      <c r="X3056" s="501" t="b">
        <f t="shared" si="254"/>
        <v>1</v>
      </c>
    </row>
    <row r="3057" s="418" customFormat="1" outlineLevel="2" spans="1:24">
      <c r="A3057" s="418" t="s">
        <v>3576</v>
      </c>
      <c r="B3057" s="428" t="s">
        <v>3554</v>
      </c>
      <c r="C3057" s="429" t="str">
        <f t="shared" si="255"/>
        <v>石嘴山市深阳蓝光市政工程有限公司</v>
      </c>
      <c r="D3057" s="1415" t="s">
        <v>3561</v>
      </c>
      <c r="E3057" s="1412" t="s">
        <v>3618</v>
      </c>
      <c r="F3057" s="132"/>
      <c r="G3057" s="132"/>
      <c r="H3057" s="1393"/>
      <c r="I3057" s="1393"/>
      <c r="J3057" s="1393"/>
      <c r="K3057" s="1393"/>
      <c r="L3057" s="1393"/>
      <c r="X3057" s="501" t="b">
        <f t="shared" si="254"/>
        <v>1</v>
      </c>
    </row>
    <row r="3058" s="418" customFormat="1" outlineLevel="2" spans="1:24">
      <c r="A3058" s="418" t="s">
        <v>3578</v>
      </c>
      <c r="B3058" s="428" t="s">
        <v>3554</v>
      </c>
      <c r="C3058" s="429" t="str">
        <f t="shared" si="255"/>
        <v>石嘴山市深阳蓝光市政工程有限公司</v>
      </c>
      <c r="D3058" s="1415" t="s">
        <v>3561</v>
      </c>
      <c r="E3058" s="1412" t="s">
        <v>3625</v>
      </c>
      <c r="F3058" s="132"/>
      <c r="G3058" s="132"/>
      <c r="H3058" s="1393"/>
      <c r="I3058" s="1393"/>
      <c r="J3058" s="1393"/>
      <c r="K3058" s="1393"/>
      <c r="L3058" s="1393"/>
      <c r="X3058" s="501" t="b">
        <f t="shared" si="254"/>
        <v>1</v>
      </c>
    </row>
    <row r="3059" s="418" customFormat="1" ht="14.25" customHeight="1" outlineLevel="2" spans="1:24">
      <c r="A3059" s="418" t="s">
        <v>3626</v>
      </c>
      <c r="B3059" s="428" t="s">
        <v>3554</v>
      </c>
      <c r="C3059" s="429" t="str">
        <f t="shared" si="255"/>
        <v>石嘴山市深阳蓝光市政工程有限公司</v>
      </c>
      <c r="D3059" s="1415" t="s">
        <v>3561</v>
      </c>
      <c r="E3059" s="1422" t="s">
        <v>3626</v>
      </c>
      <c r="F3059" s="132"/>
      <c r="G3059" s="132"/>
      <c r="H3059" s="1393"/>
      <c r="I3059" s="1393"/>
      <c r="J3059" s="1393"/>
      <c r="K3059" s="1393"/>
      <c r="L3059" s="1393"/>
      <c r="X3059" s="501" t="b">
        <f t="shared" si="254"/>
        <v>1</v>
      </c>
    </row>
    <row r="3060" s="418" customFormat="1" outlineLevel="2" spans="1:24">
      <c r="A3060" s="418" t="s">
        <v>3627</v>
      </c>
      <c r="B3060" s="428" t="s">
        <v>3554</v>
      </c>
      <c r="C3060" s="429" t="str">
        <f t="shared" si="255"/>
        <v>石嘴山市深阳蓝光市政工程有限公司</v>
      </c>
      <c r="D3060" s="1415" t="s">
        <v>3561</v>
      </c>
      <c r="E3060" s="1423" t="s">
        <v>3627</v>
      </c>
      <c r="F3060" s="141"/>
      <c r="G3060" s="141"/>
      <c r="H3060" s="1424"/>
      <c r="I3060" s="1393"/>
      <c r="J3060" s="1393"/>
      <c r="K3060" s="772"/>
      <c r="L3060" s="1393"/>
      <c r="X3060" s="501" t="b">
        <f t="shared" si="254"/>
        <v>1</v>
      </c>
    </row>
    <row r="3061" s="418" customFormat="1" outlineLevel="2" spans="1:24">
      <c r="A3061" s="418" t="s">
        <v>60</v>
      </c>
      <c r="B3061" s="428" t="s">
        <v>3554</v>
      </c>
      <c r="C3061" s="429" t="str">
        <f t="shared" si="255"/>
        <v>石嘴山市深阳蓝光市政工程有限公司</v>
      </c>
      <c r="D3061" s="1415" t="s">
        <v>3561</v>
      </c>
      <c r="E3061" s="938" t="s">
        <v>60</v>
      </c>
      <c r="F3061" s="1408" t="s">
        <v>3563</v>
      </c>
      <c r="G3061" s="1408" t="s">
        <v>2017</v>
      </c>
      <c r="H3061" s="1424"/>
      <c r="I3061" s="1393"/>
      <c r="J3061" s="1393"/>
      <c r="K3061" s="772"/>
      <c r="L3061" s="1393"/>
      <c r="X3061" s="501" t="b">
        <f t="shared" si="254"/>
        <v>1</v>
      </c>
    </row>
    <row r="3062" s="418" customFormat="1" outlineLevel="2" spans="1:24">
      <c r="A3062" s="418" t="s">
        <v>3628</v>
      </c>
      <c r="B3062" s="428" t="s">
        <v>3554</v>
      </c>
      <c r="C3062" s="429" t="str">
        <f t="shared" si="255"/>
        <v>石嘴山市深阳蓝光市政工程有限公司</v>
      </c>
      <c r="D3062" s="1415" t="s">
        <v>3561</v>
      </c>
      <c r="E3062" s="1410" t="s">
        <v>3628</v>
      </c>
      <c r="F3062" s="135">
        <f>F3010</f>
        <v>0</v>
      </c>
      <c r="G3062" s="135">
        <f>G3010</f>
        <v>0</v>
      </c>
      <c r="H3062" s="1425"/>
      <c r="I3062" s="772"/>
      <c r="J3062" s="1414"/>
      <c r="K3062" s="772"/>
      <c r="L3062" s="1393"/>
      <c r="X3062" s="501" t="b">
        <f t="shared" si="254"/>
        <v>1</v>
      </c>
    </row>
    <row r="3063" s="418" customFormat="1" outlineLevel="2" spans="1:24">
      <c r="A3063" s="418" t="s">
        <v>3629</v>
      </c>
      <c r="B3063" s="428" t="s">
        <v>3554</v>
      </c>
      <c r="C3063" s="429" t="str">
        <f t="shared" si="255"/>
        <v>石嘴山市深阳蓝光市政工程有限公司</v>
      </c>
      <c r="D3063" s="1415" t="s">
        <v>3561</v>
      </c>
      <c r="E3063" s="1410" t="s">
        <v>3630</v>
      </c>
      <c r="F3063" s="135">
        <f>ROUND(F3062*F3038,2)</f>
        <v>0</v>
      </c>
      <c r="G3063" s="135">
        <f>G3062*G3038</f>
        <v>0</v>
      </c>
      <c r="H3063" s="1425"/>
      <c r="I3063" s="772"/>
      <c r="J3063" s="1414"/>
      <c r="K3063" s="772"/>
      <c r="L3063" s="1393"/>
      <c r="X3063" s="501" t="b">
        <f t="shared" si="254"/>
        <v>1</v>
      </c>
    </row>
    <row r="3064" s="418" customFormat="1" ht="18" customHeight="1" outlineLevel="2" spans="1:24">
      <c r="A3064" s="418" t="s">
        <v>3631</v>
      </c>
      <c r="B3064" s="428" t="s">
        <v>3554</v>
      </c>
      <c r="C3064" s="429" t="str">
        <f t="shared" si="255"/>
        <v>石嘴山市深阳蓝光市政工程有限公司</v>
      </c>
      <c r="D3064" s="1415" t="s">
        <v>3561</v>
      </c>
      <c r="E3064" s="1410" t="s">
        <v>3631</v>
      </c>
      <c r="F3064" s="132"/>
      <c r="G3064" s="132"/>
      <c r="H3064" s="1426"/>
      <c r="I3064" s="772"/>
      <c r="J3064" s="1414"/>
      <c r="K3064" s="772"/>
      <c r="L3064" s="1393"/>
      <c r="X3064" s="501" t="b">
        <f t="shared" si="254"/>
        <v>1</v>
      </c>
    </row>
    <row r="3065" s="418" customFormat="1" outlineLevel="2" spans="1:24">
      <c r="A3065" s="418" t="s">
        <v>3632</v>
      </c>
      <c r="B3065" s="428" t="s">
        <v>3554</v>
      </c>
      <c r="C3065" s="429" t="str">
        <f t="shared" si="255"/>
        <v>石嘴山市深阳蓝光市政工程有限公司</v>
      </c>
      <c r="D3065" s="1415" t="s">
        <v>3561</v>
      </c>
      <c r="E3065" s="1410" t="s">
        <v>3632</v>
      </c>
      <c r="F3065" s="132"/>
      <c r="G3065" s="132"/>
      <c r="H3065" s="1425"/>
      <c r="I3065" s="772"/>
      <c r="J3065" s="1414"/>
      <c r="K3065" s="772"/>
      <c r="L3065" s="1393"/>
      <c r="X3065" s="501" t="b">
        <f t="shared" si="254"/>
        <v>1</v>
      </c>
    </row>
    <row r="3066" s="418" customFormat="1" outlineLevel="2" spans="1:24">
      <c r="A3066" s="418" t="s">
        <v>3633</v>
      </c>
      <c r="B3066" s="428" t="s">
        <v>3554</v>
      </c>
      <c r="C3066" s="429" t="str">
        <f t="shared" si="255"/>
        <v>石嘴山市深阳蓝光市政工程有限公司</v>
      </c>
      <c r="D3066" s="1415" t="s">
        <v>3561</v>
      </c>
      <c r="E3066" s="1410" t="s">
        <v>3633</v>
      </c>
      <c r="F3066" s="135">
        <f>F3040</f>
        <v>0</v>
      </c>
      <c r="G3066" s="135">
        <f>G3040</f>
        <v>0</v>
      </c>
      <c r="H3066" s="1425"/>
      <c r="I3066" s="772"/>
      <c r="J3066" s="1414"/>
      <c r="K3066" s="772"/>
      <c r="L3066" s="1393"/>
      <c r="X3066" s="501" t="b">
        <f t="shared" si="254"/>
        <v>1</v>
      </c>
    </row>
    <row r="3067" s="418" customFormat="1" outlineLevel="2" spans="1:24">
      <c r="A3067" s="418" t="s">
        <v>3634</v>
      </c>
      <c r="B3067" s="428" t="s">
        <v>3554</v>
      </c>
      <c r="C3067" s="429" t="str">
        <f t="shared" si="255"/>
        <v>石嘴山市深阳蓝光市政工程有限公司</v>
      </c>
      <c r="D3067" s="1415" t="s">
        <v>3561</v>
      </c>
      <c r="E3067" s="1410" t="s">
        <v>3634</v>
      </c>
      <c r="F3067" s="135">
        <f>ROUND(-F3012*F3038,2)</f>
        <v>0</v>
      </c>
      <c r="G3067" s="135">
        <f>ROUND(-G3012*G3038,2)</f>
        <v>0</v>
      </c>
      <c r="H3067" s="1425"/>
      <c r="I3067" s="772"/>
      <c r="J3067" s="1414"/>
      <c r="K3067" s="772"/>
      <c r="L3067" s="1393"/>
      <c r="X3067" s="501" t="b">
        <f t="shared" si="254"/>
        <v>1</v>
      </c>
    </row>
    <row r="3068" s="418" customFormat="1" outlineLevel="2" spans="1:24">
      <c r="A3068" s="418" t="s">
        <v>3635</v>
      </c>
      <c r="B3068" s="428" t="s">
        <v>3554</v>
      </c>
      <c r="C3068" s="429" t="str">
        <f t="shared" si="255"/>
        <v>石嘴山市深阳蓝光市政工程有限公司</v>
      </c>
      <c r="D3068" s="1415" t="s">
        <v>3561</v>
      </c>
      <c r="E3068" s="1410" t="s">
        <v>3635</v>
      </c>
      <c r="F3068" s="135">
        <f>ROUND(-F3013*F3038,2)</f>
        <v>0</v>
      </c>
      <c r="G3068" s="135">
        <f>ROUND(-G3013*G3038,2)</f>
        <v>0</v>
      </c>
      <c r="H3068" s="1425"/>
      <c r="I3068" s="772"/>
      <c r="J3068" s="1414"/>
      <c r="K3068" s="772"/>
      <c r="L3068" s="1393"/>
      <c r="X3068" s="501" t="b">
        <f t="shared" si="254"/>
        <v>1</v>
      </c>
    </row>
    <row r="3069" s="418" customFormat="1" outlineLevel="2" spans="1:24">
      <c r="A3069" s="418" t="s">
        <v>3636</v>
      </c>
      <c r="B3069" s="428" t="s">
        <v>3554</v>
      </c>
      <c r="C3069" s="429" t="str">
        <f t="shared" si="255"/>
        <v>石嘴山市深阳蓝光市政工程有限公司</v>
      </c>
      <c r="D3069" s="1389" t="s">
        <v>3561</v>
      </c>
      <c r="E3069" s="1410" t="s">
        <v>3636</v>
      </c>
      <c r="F3069" s="153">
        <f>ROUND(F3019*F3038,2)</f>
        <v>0</v>
      </c>
      <c r="G3069" s="153">
        <f>ROUND(G3019*G3038,2)</f>
        <v>0</v>
      </c>
      <c r="H3069" s="1425"/>
      <c r="I3069" s="772"/>
      <c r="J3069" s="1414"/>
      <c r="K3069" s="772"/>
      <c r="L3069" s="1393"/>
      <c r="X3069" s="501" t="b">
        <f t="shared" si="254"/>
        <v>1</v>
      </c>
    </row>
    <row r="3070" s="418" customFormat="1" outlineLevel="2" spans="1:24">
      <c r="A3070" s="418" t="s">
        <v>3637</v>
      </c>
      <c r="B3070" s="428" t="s">
        <v>3554</v>
      </c>
      <c r="C3070" s="429" t="str">
        <f t="shared" si="255"/>
        <v>石嘴山市深阳蓝光市政工程有限公司</v>
      </c>
      <c r="D3070" s="1389" t="s">
        <v>3561</v>
      </c>
      <c r="E3070" s="1410" t="s">
        <v>3637</v>
      </c>
      <c r="F3070" s="135">
        <f>ROUND(-F3026*F3038,2)</f>
        <v>0</v>
      </c>
      <c r="G3070" s="135">
        <f>ROUND(-G3026*G3038,2)</f>
        <v>0</v>
      </c>
      <c r="H3070" s="1425"/>
      <c r="I3070" s="772"/>
      <c r="J3070" s="1414"/>
      <c r="K3070" s="772"/>
      <c r="L3070" s="1393"/>
      <c r="X3070" s="501" t="b">
        <f t="shared" si="254"/>
        <v>1</v>
      </c>
    </row>
    <row r="3071" s="418" customFormat="1" outlineLevel="2" spans="2:24">
      <c r="B3071" s="428"/>
      <c r="C3071" s="429"/>
      <c r="D3071" s="1389"/>
      <c r="E3071" s="1421" t="s">
        <v>3638</v>
      </c>
      <c r="F3071" s="135">
        <f>ROUND(-F3027*F3038,2)</f>
        <v>0</v>
      </c>
      <c r="G3071" s="135">
        <f>ROUND(-G3027*G3038,2)</f>
        <v>0</v>
      </c>
      <c r="H3071" s="1425"/>
      <c r="I3071" s="772"/>
      <c r="J3071" s="1414"/>
      <c r="K3071" s="772"/>
      <c r="L3071" s="1414"/>
      <c r="M3071" s="1428"/>
      <c r="X3071" s="501"/>
    </row>
    <row r="3072" s="418" customFormat="1" outlineLevel="2" spans="1:24">
      <c r="A3072" s="418" t="s">
        <v>3639</v>
      </c>
      <c r="B3072" s="428" t="s">
        <v>3554</v>
      </c>
      <c r="C3072" s="429" t="str">
        <f t="shared" si="255"/>
        <v>石嘴山市深阳蓝光市政工程有限公司</v>
      </c>
      <c r="D3072" s="1389" t="s">
        <v>3561</v>
      </c>
      <c r="E3072" s="1410" t="s">
        <v>3639</v>
      </c>
      <c r="F3072" s="135">
        <f>ROUND(-F3025*F3038,2)</f>
        <v>0</v>
      </c>
      <c r="G3072" s="135">
        <f>ROUND(-G3025*G3038,2)</f>
        <v>0</v>
      </c>
      <c r="H3072" s="1425"/>
      <c r="I3072" s="772"/>
      <c r="J3072" s="1414"/>
      <c r="K3072" s="772"/>
      <c r="L3072" s="1414"/>
      <c r="X3072" s="501" t="b">
        <f t="shared" si="254"/>
        <v>1</v>
      </c>
    </row>
    <row r="3073" s="418" customFormat="1" outlineLevel="2" spans="1:24">
      <c r="A3073" s="418" t="s">
        <v>3640</v>
      </c>
      <c r="B3073" s="428" t="s">
        <v>3554</v>
      </c>
      <c r="C3073" s="429" t="str">
        <f t="shared" si="255"/>
        <v>石嘴山市深阳蓝光市政工程有限公司</v>
      </c>
      <c r="D3073" s="1389" t="s">
        <v>3561</v>
      </c>
      <c r="E3073" s="1410" t="s">
        <v>3640</v>
      </c>
      <c r="F3073" s="153">
        <f>ROUND(F3051*F3038,2)</f>
        <v>0</v>
      </c>
      <c r="G3073" s="153">
        <f>ROUND(G3051*G3038,2)</f>
        <v>0</v>
      </c>
      <c r="H3073" s="1425"/>
      <c r="I3073" s="772"/>
      <c r="J3073" s="1414"/>
      <c r="K3073" s="772"/>
      <c r="L3073" s="1414"/>
      <c r="X3073" s="501" t="b">
        <f t="shared" si="254"/>
        <v>1</v>
      </c>
    </row>
    <row r="3074" s="418" customFormat="1" outlineLevel="2" spans="1:24">
      <c r="A3074" s="418" t="s">
        <v>3641</v>
      </c>
      <c r="B3074" s="428" t="s">
        <v>3554</v>
      </c>
      <c r="C3074" s="429" t="str">
        <f t="shared" si="255"/>
        <v>石嘴山市深阳蓝光市政工程有限公司</v>
      </c>
      <c r="D3074" s="1389" t="s">
        <v>3561</v>
      </c>
      <c r="E3074" s="1421" t="s">
        <v>3641</v>
      </c>
      <c r="F3074" s="135">
        <f>ROUND(-F3045,2)</f>
        <v>0</v>
      </c>
      <c r="G3074" s="135">
        <f>ROUND(-G3045,2)</f>
        <v>0</v>
      </c>
      <c r="H3074" s="1425"/>
      <c r="I3074" s="772"/>
      <c r="J3074" s="1414"/>
      <c r="K3074" s="772"/>
      <c r="L3074" s="1414"/>
      <c r="X3074" s="501" t="b">
        <f t="shared" si="254"/>
        <v>1</v>
      </c>
    </row>
    <row r="3075" s="418" customFormat="1" outlineLevel="2" spans="1:24">
      <c r="A3075" s="418" t="s">
        <v>3642</v>
      </c>
      <c r="B3075" s="428" t="s">
        <v>3554</v>
      </c>
      <c r="C3075" s="429" t="str">
        <f t="shared" si="255"/>
        <v>石嘴山市深阳蓝光市政工程有限公司</v>
      </c>
      <c r="D3075" s="1389" t="s">
        <v>3561</v>
      </c>
      <c r="E3075" s="1410" t="s">
        <v>3642</v>
      </c>
      <c r="F3075" s="153">
        <f>ROUND(F3052,2)</f>
        <v>0</v>
      </c>
      <c r="G3075" s="153">
        <f>ROUND(G3052,2)</f>
        <v>0</v>
      </c>
      <c r="H3075" s="1425"/>
      <c r="I3075" s="772"/>
      <c r="J3075" s="1414"/>
      <c r="K3075" s="772"/>
      <c r="L3075" s="1414"/>
      <c r="X3075" s="501" t="b">
        <f t="shared" si="254"/>
        <v>1</v>
      </c>
    </row>
    <row r="3076" s="418" customFormat="1" outlineLevel="2" spans="1:24">
      <c r="A3076" s="418" t="s">
        <v>1411</v>
      </c>
      <c r="B3076" s="428" t="s">
        <v>3554</v>
      </c>
      <c r="C3076" s="429" t="str">
        <f t="shared" si="255"/>
        <v>石嘴山市深阳蓝光市政工程有限公司</v>
      </c>
      <c r="D3076" s="1389" t="s">
        <v>3561</v>
      </c>
      <c r="E3076" s="1410" t="s">
        <v>1411</v>
      </c>
      <c r="F3076" s="135">
        <f>SUM(F3063:F3075)</f>
        <v>0</v>
      </c>
      <c r="G3076" s="135">
        <f>SUM(G3063:G3075)</f>
        <v>0</v>
      </c>
      <c r="H3076" s="1425"/>
      <c r="I3076" s="772"/>
      <c r="J3076" s="1414"/>
      <c r="K3076" s="772"/>
      <c r="L3076" s="1414"/>
      <c r="X3076" s="501" t="b">
        <f t="shared" si="254"/>
        <v>1</v>
      </c>
    </row>
    <row r="3077" s="418" customFormat="1" outlineLevel="2" spans="2:24">
      <c r="B3077" s="428" t="s">
        <v>3554</v>
      </c>
      <c r="C3077" s="429" t="str">
        <f t="shared" si="255"/>
        <v>石嘴山市深阳蓝光市政工程有限公司</v>
      </c>
      <c r="D3077" s="1389" t="s">
        <v>3561</v>
      </c>
      <c r="E3077" s="1424"/>
      <c r="F3077" s="1429"/>
      <c r="G3077" s="1429"/>
      <c r="H3077" s="1429"/>
      <c r="I3077" s="1393"/>
      <c r="J3077" s="1393"/>
      <c r="K3077" s="772"/>
      <c r="L3077" s="1414"/>
      <c r="X3077" s="501" t="b">
        <f t="shared" si="254"/>
        <v>1</v>
      </c>
    </row>
    <row r="3078" s="418" customFormat="1" ht="14.25" outlineLevel="2" spans="1:24">
      <c r="A3078" s="418" t="s">
        <v>3643</v>
      </c>
      <c r="B3078" s="428" t="s">
        <v>3554</v>
      </c>
      <c r="C3078" s="429" t="str">
        <f t="shared" si="255"/>
        <v>石嘴山市深阳蓝光市政工程有限公司</v>
      </c>
      <c r="D3078" s="1389" t="s">
        <v>3643</v>
      </c>
      <c r="E3078" s="937" t="s">
        <v>3644</v>
      </c>
      <c r="F3078" s="141"/>
      <c r="G3078" s="141"/>
      <c r="H3078" s="1393"/>
      <c r="I3078" s="1393"/>
      <c r="J3078" s="1393"/>
      <c r="K3078" s="1393"/>
      <c r="L3078" s="1393"/>
      <c r="X3078" s="501" t="b">
        <f t="shared" ref="X3078:X3141" si="256">EXACT(A3078,E3078)</f>
        <v>1</v>
      </c>
    </row>
    <row r="3079" s="418" customFormat="1" outlineLevel="2" spans="1:24">
      <c r="A3079" s="418" t="s">
        <v>3645</v>
      </c>
      <c r="B3079" s="428" t="s">
        <v>3554</v>
      </c>
      <c r="C3079" s="429" t="str">
        <f t="shared" si="255"/>
        <v>石嘴山市深阳蓝光市政工程有限公司</v>
      </c>
      <c r="D3079" s="1389" t="s">
        <v>3643</v>
      </c>
      <c r="E3079" s="1430" t="s">
        <v>3645</v>
      </c>
      <c r="F3079" s="1431" t="s">
        <v>60</v>
      </c>
      <c r="G3079" s="1432" t="s">
        <v>3646</v>
      </c>
      <c r="H3079" s="1432" t="s">
        <v>3647</v>
      </c>
      <c r="I3079" s="1431" t="s">
        <v>3648</v>
      </c>
      <c r="J3079" s="1431"/>
      <c r="K3079" s="1431"/>
      <c r="L3079" s="1431"/>
      <c r="M3079" s="1431"/>
      <c r="N3079" s="1432" t="s">
        <v>3649</v>
      </c>
      <c r="O3079" s="1452" t="s">
        <v>3650</v>
      </c>
      <c r="P3079" s="1453" t="s">
        <v>3651</v>
      </c>
      <c r="X3079" s="501" t="b">
        <f t="shared" si="256"/>
        <v>1</v>
      </c>
    </row>
    <row r="3080" s="418" customFormat="1" outlineLevel="2" spans="2:24">
      <c r="B3080" s="428" t="s">
        <v>3554</v>
      </c>
      <c r="C3080" s="429" t="str">
        <f t="shared" si="255"/>
        <v>石嘴山市深阳蓝光市政工程有限公司</v>
      </c>
      <c r="D3080" s="1389" t="s">
        <v>3643</v>
      </c>
      <c r="E3080" s="1433"/>
      <c r="F3080" s="1434"/>
      <c r="G3080" s="1435"/>
      <c r="H3080" s="1435"/>
      <c r="I3080" s="1437" t="s">
        <v>3652</v>
      </c>
      <c r="J3080" s="1437"/>
      <c r="K3080" s="1437"/>
      <c r="L3080" s="1437"/>
      <c r="M3080" s="1437"/>
      <c r="N3080" s="1435"/>
      <c r="O3080" s="1454"/>
      <c r="P3080" s="1455"/>
      <c r="X3080" s="501" t="b">
        <f t="shared" si="256"/>
        <v>1</v>
      </c>
    </row>
    <row r="3081" s="418" customFormat="1" outlineLevel="2" spans="2:24">
      <c r="B3081" s="428" t="s">
        <v>3554</v>
      </c>
      <c r="C3081" s="429" t="str">
        <f t="shared" si="255"/>
        <v>石嘴山市深阳蓝光市政工程有限公司</v>
      </c>
      <c r="D3081" s="1389" t="s">
        <v>3643</v>
      </c>
      <c r="E3081" s="1433"/>
      <c r="F3081" s="1434"/>
      <c r="G3081" s="1435"/>
      <c r="H3081" s="1435"/>
      <c r="I3081" s="1435" t="s">
        <v>3653</v>
      </c>
      <c r="J3081" s="1435" t="s">
        <v>3654</v>
      </c>
      <c r="K3081" s="1435" t="s">
        <v>3655</v>
      </c>
      <c r="L3081" s="1435" t="s">
        <v>3656</v>
      </c>
      <c r="M3081" s="1435" t="s">
        <v>3657</v>
      </c>
      <c r="N3081" s="1435"/>
      <c r="O3081" s="1454"/>
      <c r="P3081" s="1455"/>
      <c r="X3081" s="501" t="b">
        <f t="shared" si="256"/>
        <v>1</v>
      </c>
    </row>
    <row r="3082" s="418" customFormat="1" outlineLevel="2" spans="2:24">
      <c r="B3082" s="428" t="s">
        <v>3554</v>
      </c>
      <c r="C3082" s="429" t="str">
        <f t="shared" si="255"/>
        <v>石嘴山市深阳蓝光市政工程有限公司</v>
      </c>
      <c r="D3082" s="1389" t="s">
        <v>3643</v>
      </c>
      <c r="E3082" s="1436"/>
      <c r="F3082" s="1437"/>
      <c r="G3082" s="1435">
        <v>1</v>
      </c>
      <c r="H3082" s="1435">
        <v>2</v>
      </c>
      <c r="I3082" s="1435">
        <v>3</v>
      </c>
      <c r="J3082" s="1435">
        <v>4</v>
      </c>
      <c r="K3082" s="1435">
        <v>5</v>
      </c>
      <c r="L3082" s="1435">
        <v>6</v>
      </c>
      <c r="M3082" s="1435">
        <v>7</v>
      </c>
      <c r="N3082" s="1435">
        <v>8</v>
      </c>
      <c r="O3082" s="1454">
        <v>9</v>
      </c>
      <c r="P3082" s="1456"/>
      <c r="X3082" s="501" t="b">
        <f t="shared" si="256"/>
        <v>1</v>
      </c>
    </row>
    <row r="3083" s="418" customFormat="1" outlineLevel="2" spans="1:24">
      <c r="A3083" s="418">
        <v>1</v>
      </c>
      <c r="B3083" s="428" t="s">
        <v>3554</v>
      </c>
      <c r="C3083" s="429" t="str">
        <f t="shared" si="255"/>
        <v>石嘴山市深阳蓝光市政工程有限公司</v>
      </c>
      <c r="D3083" s="1389" t="s">
        <v>3643</v>
      </c>
      <c r="E3083" s="1438">
        <v>1</v>
      </c>
      <c r="F3083" s="1435" t="s">
        <v>3658</v>
      </c>
      <c r="G3083" s="1439">
        <v>2010</v>
      </c>
      <c r="H3083" s="1440"/>
      <c r="I3083" s="1457">
        <f>IF(H3083&lt;0,IF(H3084&gt;0,IF(H3084&gt;-H3083,-H3083,H3084),),0)</f>
        <v>0</v>
      </c>
      <c r="J3083" s="1457">
        <f>IF(H3083+I3083&lt;0,IF(H3085&gt;0,IF(H3085&gt;-H3083-I3083,-H3083-I3083,H3085),0),0)</f>
        <v>0</v>
      </c>
      <c r="K3083" s="1457">
        <f>IF(H3083+I3083+J3083&lt;0,IF(H3086&gt;0,IF(H3086&gt;-H3083-I3083-J3083,-H3083-I3083-J3083,H3086),0),0)</f>
        <v>0</v>
      </c>
      <c r="L3083" s="1457">
        <f>IF(H3083+I3083+J3083+K3083&lt;0,IF(H3087&gt;0,IF(H3087&gt;-H3083-I3083-J3083-K3083,-H3083-I3083-J3083-K3083,H3087),0),0)</f>
        <v>0</v>
      </c>
      <c r="M3083" s="1458">
        <f>SUM(I3083:L3083)</f>
        <v>0</v>
      </c>
      <c r="N3083" s="1457">
        <f>IF(H3083+M3083&lt;0,IF(H3088&gt;0,IF(H3088&gt;-H3083-M3083,-H3083-M3083,H3088),0),0)</f>
        <v>0</v>
      </c>
      <c r="O3083" s="1459" t="s">
        <v>3659</v>
      </c>
      <c r="P3083" s="1455" t="s">
        <v>3659</v>
      </c>
      <c r="X3083" s="501" t="b">
        <f t="shared" si="256"/>
        <v>1</v>
      </c>
    </row>
    <row r="3084" s="418" customFormat="1" outlineLevel="2" spans="1:24">
      <c r="A3084" s="418">
        <v>2</v>
      </c>
      <c r="B3084" s="428" t="s">
        <v>3554</v>
      </c>
      <c r="C3084" s="429" t="str">
        <f t="shared" si="255"/>
        <v>石嘴山市深阳蓝光市政工程有限公司</v>
      </c>
      <c r="D3084" s="1389" t="s">
        <v>3643</v>
      </c>
      <c r="E3084" s="1438">
        <v>2</v>
      </c>
      <c r="F3084" s="1435" t="s">
        <v>3653</v>
      </c>
      <c r="G3084" s="1439">
        <v>2011</v>
      </c>
      <c r="H3084" s="1440"/>
      <c r="I3084" s="1439" t="s">
        <v>3659</v>
      </c>
      <c r="J3084" s="1457">
        <f>IF(H3084&lt;0,IF(H3085-J3083&gt;0,IF(H3085-J3083&gt;-H3084,-H3084,H3085-J3083),0),0)</f>
        <v>0</v>
      </c>
      <c r="K3084" s="1457">
        <f>IF(H3084+J3084&lt;0,IF(H3086-K3083&gt;0,IF(H3086-K3083&gt;-H3084-J3084,-H3084-J3084,H3086-K3083),0),0)</f>
        <v>0</v>
      </c>
      <c r="L3084" s="1457">
        <f>IF(H3084+J3084+K3084&lt;0,IF(H3087-L3083&gt;0,IF(H3087-L3083&gt;-H3084-J3084-K3084,-H3084-J3084-K3084,H3087-L3083),0),0)</f>
        <v>0</v>
      </c>
      <c r="M3084" s="1458">
        <f>SUM(J3084:L3084)</f>
        <v>0</v>
      </c>
      <c r="N3084" s="1457">
        <f>IF(H3084+M3084&lt;0,IF(H3088-N3083&gt;0,IF(H3088-N3083&gt;-H3084-M3084,-H3084-M3084,H3088-N3083),0),0)</f>
        <v>0</v>
      </c>
      <c r="O3084" s="1457">
        <f>IF(H3084+N3084+M3084&lt;0,-(H3084+N3084+M3084),0)</f>
        <v>0</v>
      </c>
      <c r="P3084" s="1460"/>
      <c r="Q3084" s="418">
        <v>2016</v>
      </c>
      <c r="X3084" s="501" t="b">
        <f t="shared" si="256"/>
        <v>1</v>
      </c>
    </row>
    <row r="3085" s="418" customFormat="1" outlineLevel="2" spans="1:24">
      <c r="A3085" s="418">
        <v>3</v>
      </c>
      <c r="B3085" s="428" t="s">
        <v>3554</v>
      </c>
      <c r="C3085" s="429" t="str">
        <f t="shared" si="255"/>
        <v>石嘴山市深阳蓝光市政工程有限公司</v>
      </c>
      <c r="D3085" s="1389" t="s">
        <v>3643</v>
      </c>
      <c r="E3085" s="1438">
        <v>3</v>
      </c>
      <c r="F3085" s="1435" t="s">
        <v>3654</v>
      </c>
      <c r="G3085" s="1439">
        <v>2012</v>
      </c>
      <c r="H3085" s="1440"/>
      <c r="I3085" s="1439" t="s">
        <v>3659</v>
      </c>
      <c r="J3085" s="1439" t="s">
        <v>3659</v>
      </c>
      <c r="K3085" s="1457">
        <f>IF(H3085&lt;0,IF(H3086-K3084-K3083&gt;0,IF(H3086-K3084-K3083&gt;-H3085,-H3085,H3086-K3084-K3083),0),0)</f>
        <v>0</v>
      </c>
      <c r="L3085" s="1457">
        <f>IF(H3085+K3085&lt;0,IF(H3087-L3084-L3083&gt;0,IF(H3087-L3084-L3083&gt;-H3085-K3085,-H3085-K3085,H3087-L3084-L3083),0),0)</f>
        <v>0</v>
      </c>
      <c r="M3085" s="1458">
        <f>SUM(K3085:L3085)</f>
        <v>0</v>
      </c>
      <c r="N3085" s="1457">
        <f>IF(H3085+M3085&lt;0,IF(H3088-N3084-N3083&gt;0,IF(H3088-N3084-N3083&gt;-H3085-M3085,-H3085-M3085,H3088-N3084-N3083),0),0)</f>
        <v>0</v>
      </c>
      <c r="O3085" s="1457">
        <f>IF(H3085+N3085+M3085&lt;0,-(H3085+N3085+M3085),0)</f>
        <v>0</v>
      </c>
      <c r="P3085" s="1460"/>
      <c r="Q3085" s="418">
        <v>2017</v>
      </c>
      <c r="X3085" s="501" t="b">
        <f t="shared" si="256"/>
        <v>1</v>
      </c>
    </row>
    <row r="3086" s="418" customFormat="1" outlineLevel="2" spans="1:24">
      <c r="A3086" s="418">
        <v>4</v>
      </c>
      <c r="B3086" s="428" t="s">
        <v>3554</v>
      </c>
      <c r="C3086" s="429" t="str">
        <f t="shared" si="255"/>
        <v>石嘴山市深阳蓝光市政工程有限公司</v>
      </c>
      <c r="D3086" s="1389" t="s">
        <v>3643</v>
      </c>
      <c r="E3086" s="1438">
        <v>4</v>
      </c>
      <c r="F3086" s="1435" t="s">
        <v>3655</v>
      </c>
      <c r="G3086" s="1439">
        <v>2013</v>
      </c>
      <c r="H3086" s="1440"/>
      <c r="I3086" s="1439" t="s">
        <v>3659</v>
      </c>
      <c r="J3086" s="1439" t="s">
        <v>3659</v>
      </c>
      <c r="K3086" s="1439" t="s">
        <v>3659</v>
      </c>
      <c r="L3086" s="1457">
        <f>IF(H3086&lt;0,IF(H3087-L3085-L3084-L3083&gt;0,IF(H3087-L3085-L3084-L3083&gt;-H3086,-H3086,H3087-L3085-L3084-L3083),0),0)</f>
        <v>0</v>
      </c>
      <c r="M3086" s="1458">
        <f>L3086</f>
        <v>0</v>
      </c>
      <c r="N3086" s="1457">
        <f>IF(H3086+M3086&lt;0,IF(H3088-N3084-N3083-N3085&gt;0,IF(H3088-N3084-N3083-N3085&gt;-H3086-M3086,-H3086-M3086,H3088-N3084-N3083-N3085),0),0)</f>
        <v>0</v>
      </c>
      <c r="O3086" s="1457">
        <f>IF(H3086+N3086+M3086&lt;0,-(H3086+N3086+M3086),0)</f>
        <v>0</v>
      </c>
      <c r="P3086" s="1460"/>
      <c r="Q3086" s="418">
        <v>2018</v>
      </c>
      <c r="X3086" s="501" t="b">
        <f t="shared" si="256"/>
        <v>1</v>
      </c>
    </row>
    <row r="3087" s="418" customFormat="1" outlineLevel="2" spans="1:24">
      <c r="A3087" s="418">
        <v>5</v>
      </c>
      <c r="B3087" s="428" t="s">
        <v>3554</v>
      </c>
      <c r="C3087" s="429" t="str">
        <f t="shared" si="255"/>
        <v>石嘴山市深阳蓝光市政工程有限公司</v>
      </c>
      <c r="D3087" s="1389" t="s">
        <v>3643</v>
      </c>
      <c r="E3087" s="1438">
        <v>5</v>
      </c>
      <c r="F3087" s="1435" t="s">
        <v>3656</v>
      </c>
      <c r="G3087" s="1439">
        <v>2014</v>
      </c>
      <c r="H3087" s="1440"/>
      <c r="I3087" s="1439" t="s">
        <v>3659</v>
      </c>
      <c r="J3087" s="1439" t="s">
        <v>3659</v>
      </c>
      <c r="K3087" s="1439" t="s">
        <v>3659</v>
      </c>
      <c r="L3087" s="1439" t="s">
        <v>3659</v>
      </c>
      <c r="M3087" s="1461">
        <v>0</v>
      </c>
      <c r="N3087" s="1457">
        <f>IF(H3087+M3087&lt;0,IF(H3088-N3084-N3083-N3085-N3086&gt;0,IF(H3088-N3084-N3083-N3085-N3086&gt;-H3087-M3087,-H3087-M3087,H3088-N3084-N3083-N3085-N3086),0),0)</f>
        <v>0</v>
      </c>
      <c r="O3087" s="1457">
        <f>IF(H3087+N3087+M3087&lt;0,-(H3087+N3087+M3087),0)</f>
        <v>0</v>
      </c>
      <c r="P3087" s="1460"/>
      <c r="Q3087" s="418">
        <v>2019</v>
      </c>
      <c r="X3087" s="501" t="b">
        <f t="shared" si="256"/>
        <v>1</v>
      </c>
    </row>
    <row r="3088" s="418" customFormat="1" outlineLevel="2" spans="1:24">
      <c r="A3088" s="418">
        <v>6</v>
      </c>
      <c r="B3088" s="428" t="s">
        <v>3554</v>
      </c>
      <c r="C3088" s="429" t="str">
        <f t="shared" si="255"/>
        <v>石嘴山市深阳蓝光市政工程有限公司</v>
      </c>
      <c r="D3088" s="1389" t="s">
        <v>3643</v>
      </c>
      <c r="E3088" s="1438">
        <v>6</v>
      </c>
      <c r="F3088" s="1435" t="s">
        <v>3660</v>
      </c>
      <c r="G3088" s="1439">
        <v>2015</v>
      </c>
      <c r="H3088" s="1440"/>
      <c r="I3088" s="1462" t="s">
        <v>3661</v>
      </c>
      <c r="J3088" s="1462"/>
      <c r="K3088" s="1462"/>
      <c r="L3088" s="1462"/>
      <c r="M3088" s="1462"/>
      <c r="N3088" s="1457">
        <f>SUM(N3083:N3087)</f>
        <v>0</v>
      </c>
      <c r="O3088" s="1457">
        <f>IF(H3088+N3088&lt;0,-(H3088+N3088),0)</f>
        <v>0</v>
      </c>
      <c r="P3088" s="1460"/>
      <c r="Q3088" s="418">
        <v>2020</v>
      </c>
      <c r="X3088" s="501" t="b">
        <f t="shared" si="256"/>
        <v>1</v>
      </c>
    </row>
    <row r="3089" s="418" customFormat="1" ht="14.25" outlineLevel="2" spans="1:24">
      <c r="A3089" s="418" t="s">
        <v>3662</v>
      </c>
      <c r="B3089" s="428" t="s">
        <v>3554</v>
      </c>
      <c r="C3089" s="429" t="str">
        <f t="shared" si="255"/>
        <v>石嘴山市深阳蓝光市政工程有限公司</v>
      </c>
      <c r="D3089" s="1389" t="s">
        <v>3643</v>
      </c>
      <c r="E3089" s="1441" t="s">
        <v>3662</v>
      </c>
      <c r="F3089" s="1442"/>
      <c r="G3089" s="1442"/>
      <c r="H3089" s="1442"/>
      <c r="I3089" s="1442"/>
      <c r="J3089" s="1442"/>
      <c r="K3089" s="1442"/>
      <c r="L3089" s="1442"/>
      <c r="M3089" s="1442"/>
      <c r="N3089" s="1442"/>
      <c r="O3089" s="1463">
        <f>SUM(O3084:O3088)</f>
        <v>0</v>
      </c>
      <c r="P3089" s="1464"/>
      <c r="X3089" s="501" t="b">
        <f t="shared" si="256"/>
        <v>1</v>
      </c>
    </row>
    <row r="3090" s="418" customFormat="1" outlineLevel="2" spans="2:24">
      <c r="B3090" s="428" t="s">
        <v>3554</v>
      </c>
      <c r="C3090" s="429" t="str">
        <f t="shared" si="255"/>
        <v>石嘴山市深阳蓝光市政工程有限公司</v>
      </c>
      <c r="D3090" s="1389" t="s">
        <v>3643</v>
      </c>
      <c r="E3090" s="149"/>
      <c r="F3090" s="141"/>
      <c r="G3090" s="141"/>
      <c r="H3090" s="1393"/>
      <c r="I3090" s="1393"/>
      <c r="J3090" s="1393"/>
      <c r="K3090" s="1393"/>
      <c r="L3090" s="1393"/>
      <c r="X3090" s="501" t="b">
        <f t="shared" si="256"/>
        <v>1</v>
      </c>
    </row>
    <row r="3091" s="418" customFormat="1" outlineLevel="2" spans="2:24">
      <c r="B3091" s="428" t="s">
        <v>3554</v>
      </c>
      <c r="C3091" s="429" t="str">
        <f t="shared" ref="C3091:C3154" si="257">$G$1</f>
        <v>石嘴山市深阳蓝光市政工程有限公司</v>
      </c>
      <c r="D3091" s="1389" t="s">
        <v>3643</v>
      </c>
      <c r="E3091" s="149"/>
      <c r="F3091" s="141"/>
      <c r="G3091" s="141"/>
      <c r="H3091" s="1393"/>
      <c r="I3091" s="1393"/>
      <c r="J3091" s="1393"/>
      <c r="K3091" s="1393"/>
      <c r="L3091" s="1393"/>
      <c r="X3091" s="501" t="b">
        <f t="shared" si="256"/>
        <v>1</v>
      </c>
    </row>
    <row r="3092" s="418" customFormat="1" collapsed="1" spans="1:24">
      <c r="A3092" s="418" t="s">
        <v>3663</v>
      </c>
      <c r="B3092" s="428" t="s">
        <v>3664</v>
      </c>
      <c r="C3092" s="429" t="str">
        <f t="shared" si="257"/>
        <v>石嘴山市深阳蓝光市政工程有限公司</v>
      </c>
      <c r="D3092" s="1389" t="s">
        <v>3663</v>
      </c>
      <c r="E3092" s="937" t="s">
        <v>3663</v>
      </c>
      <c r="F3092" s="141"/>
      <c r="G3092" s="141"/>
      <c r="H3092" s="1393"/>
      <c r="I3092" s="1393"/>
      <c r="J3092" s="1393"/>
      <c r="K3092" s="1393"/>
      <c r="L3092" s="1393"/>
      <c r="X3092" s="501" t="b">
        <f t="shared" si="256"/>
        <v>1</v>
      </c>
    </row>
    <row r="3093" s="418" customFormat="1" hidden="1" outlineLevel="2" spans="1:24">
      <c r="A3093" s="418" t="s">
        <v>2315</v>
      </c>
      <c r="B3093" s="428" t="s">
        <v>3664</v>
      </c>
      <c r="C3093" s="429" t="str">
        <f t="shared" si="257"/>
        <v>石嘴山市深阳蓝光市政工程有限公司</v>
      </c>
      <c r="D3093" s="1389" t="s">
        <v>3663</v>
      </c>
      <c r="E3093" s="149" t="s">
        <v>2334</v>
      </c>
      <c r="F3093" s="719"/>
      <c r="G3093" s="719"/>
      <c r="H3093" s="1393"/>
      <c r="I3093" s="1393"/>
      <c r="J3093" s="1393"/>
      <c r="K3093" s="1393"/>
      <c r="L3093" s="1393"/>
      <c r="X3093" s="501" t="b">
        <f t="shared" si="256"/>
        <v>1</v>
      </c>
    </row>
    <row r="3094" s="418" customFormat="1" collapsed="1" spans="1:24">
      <c r="A3094" s="418" t="s">
        <v>1979</v>
      </c>
      <c r="B3094" s="428" t="s">
        <v>3665</v>
      </c>
      <c r="C3094" s="429" t="str">
        <f t="shared" si="257"/>
        <v>石嘴山市深阳蓝光市政工程有限公司</v>
      </c>
      <c r="D3094" s="1389" t="s">
        <v>1979</v>
      </c>
      <c r="E3094" s="65" t="s">
        <v>3666</v>
      </c>
      <c r="F3094" s="141"/>
      <c r="G3094" s="141"/>
      <c r="H3094" s="1393"/>
      <c r="I3094" s="1393"/>
      <c r="J3094" s="1393"/>
      <c r="K3094" s="1393"/>
      <c r="L3094" s="1393"/>
      <c r="X3094" s="501" t="b">
        <f t="shared" si="256"/>
        <v>1</v>
      </c>
    </row>
    <row r="3095" s="418" customFormat="1" hidden="1" outlineLevel="2" spans="2:24">
      <c r="B3095" s="428" t="s">
        <v>3665</v>
      </c>
      <c r="C3095" s="429" t="str">
        <f t="shared" si="257"/>
        <v>石嘴山市深阳蓝光市政工程有限公司</v>
      </c>
      <c r="D3095" s="1389" t="s">
        <v>1979</v>
      </c>
      <c r="E3095" s="65"/>
      <c r="F3095" s="141"/>
      <c r="G3095" s="141"/>
      <c r="H3095" s="1393"/>
      <c r="I3095" s="1393"/>
      <c r="J3095" s="1393"/>
      <c r="K3095" s="1393"/>
      <c r="L3095" s="1393"/>
      <c r="X3095" s="501" t="b">
        <f t="shared" si="256"/>
        <v>1</v>
      </c>
    </row>
    <row r="3096" s="418" customFormat="1" hidden="1" outlineLevel="2" spans="1:24">
      <c r="A3096" s="418" t="s">
        <v>3667</v>
      </c>
      <c r="B3096" s="428" t="s">
        <v>3665</v>
      </c>
      <c r="C3096" s="429" t="str">
        <f t="shared" si="257"/>
        <v>石嘴山市深阳蓝光市政工程有限公司</v>
      </c>
      <c r="D3096" s="1389" t="s">
        <v>1979</v>
      </c>
      <c r="E3096" s="1443" t="s">
        <v>3668</v>
      </c>
      <c r="F3096" s="1170" t="s">
        <v>3669</v>
      </c>
      <c r="G3096" s="1170" t="s">
        <v>2010</v>
      </c>
      <c r="H3096" s="1393"/>
      <c r="I3096" s="1393"/>
      <c r="J3096" s="1393"/>
      <c r="K3096" s="1393"/>
      <c r="L3096" s="1393"/>
      <c r="X3096" s="501" t="b">
        <f t="shared" si="256"/>
        <v>1</v>
      </c>
    </row>
    <row r="3097" s="418" customFormat="1" hidden="1" outlineLevel="2" spans="1:24">
      <c r="A3097" s="418" t="s">
        <v>1981</v>
      </c>
      <c r="B3097" s="428" t="s">
        <v>3665</v>
      </c>
      <c r="C3097" s="429" t="str">
        <f t="shared" si="257"/>
        <v>石嘴山市深阳蓝光市政工程有限公司</v>
      </c>
      <c r="D3097" s="1389" t="s">
        <v>1979</v>
      </c>
      <c r="E3097" s="521" t="s">
        <v>3670</v>
      </c>
      <c r="F3097" s="675"/>
      <c r="G3097" s="1330">
        <f>报表附注合并期初用!E2477</f>
        <v>0</v>
      </c>
      <c r="H3097" s="1393"/>
      <c r="I3097" s="1393"/>
      <c r="J3097" s="1393"/>
      <c r="K3097" s="1393"/>
      <c r="L3097" s="1393"/>
      <c r="X3097" s="501" t="b">
        <f t="shared" si="256"/>
        <v>1</v>
      </c>
    </row>
    <row r="3098" s="418" customFormat="1" hidden="1" outlineLevel="2" spans="1:24">
      <c r="A3098" s="418" t="s">
        <v>1982</v>
      </c>
      <c r="B3098" s="428" t="s">
        <v>3665</v>
      </c>
      <c r="C3098" s="429" t="str">
        <f t="shared" si="257"/>
        <v>石嘴山市深阳蓝光市政工程有限公司</v>
      </c>
      <c r="D3098" s="1389" t="s">
        <v>1979</v>
      </c>
      <c r="E3098" s="521" t="s">
        <v>3671</v>
      </c>
      <c r="F3098" s="675"/>
      <c r="G3098" s="1330">
        <f>报表附注合并期初用!E2478</f>
        <v>0</v>
      </c>
      <c r="H3098" s="1393"/>
      <c r="I3098" s="1393"/>
      <c r="J3098" s="1393"/>
      <c r="K3098" s="1393"/>
      <c r="L3098" s="1393"/>
      <c r="X3098" s="501" t="b">
        <f t="shared" si="256"/>
        <v>1</v>
      </c>
    </row>
    <row r="3099" s="418" customFormat="1" hidden="1" outlineLevel="2" spans="1:24">
      <c r="A3099" s="418" t="s">
        <v>1983</v>
      </c>
      <c r="B3099" s="428" t="s">
        <v>3665</v>
      </c>
      <c r="C3099" s="429" t="str">
        <f t="shared" si="257"/>
        <v>石嘴山市深阳蓝光市政工程有限公司</v>
      </c>
      <c r="D3099" s="1389" t="s">
        <v>1979</v>
      </c>
      <c r="E3099" s="521" t="s">
        <v>3672</v>
      </c>
      <c r="F3099" s="675"/>
      <c r="G3099" s="1330">
        <f>报表附注合并期初用!E2479</f>
        <v>0</v>
      </c>
      <c r="H3099" s="1393"/>
      <c r="I3099" s="1393"/>
      <c r="J3099" s="1393"/>
      <c r="K3099" s="1393"/>
      <c r="L3099" s="1393"/>
      <c r="X3099" s="501" t="b">
        <f t="shared" si="256"/>
        <v>1</v>
      </c>
    </row>
    <row r="3100" s="418" customFormat="1" hidden="1" outlineLevel="2" spans="1:24">
      <c r="A3100" s="418" t="s">
        <v>1984</v>
      </c>
      <c r="B3100" s="428" t="s">
        <v>3665</v>
      </c>
      <c r="C3100" s="429" t="str">
        <f t="shared" si="257"/>
        <v>石嘴山市深阳蓝光市政工程有限公司</v>
      </c>
      <c r="D3100" s="1389" t="s">
        <v>1979</v>
      </c>
      <c r="E3100" s="1444" t="s">
        <v>3673</v>
      </c>
      <c r="F3100" s="762">
        <f>F3097-F3098-F3099</f>
        <v>0</v>
      </c>
      <c r="G3100" s="1330">
        <f>G3097-G3098-G3099</f>
        <v>0</v>
      </c>
      <c r="H3100" s="1393"/>
      <c r="I3100" s="1393"/>
      <c r="J3100" s="1393"/>
      <c r="K3100" s="1393"/>
      <c r="L3100" s="1393"/>
      <c r="X3100" s="501" t="b">
        <f t="shared" si="256"/>
        <v>1</v>
      </c>
    </row>
    <row r="3101" s="418" customFormat="1" ht="24.75" hidden="1" outlineLevel="2" spans="1:24">
      <c r="A3101" s="418" t="s">
        <v>1985</v>
      </c>
      <c r="B3101" s="428" t="s">
        <v>3665</v>
      </c>
      <c r="C3101" s="429" t="str">
        <f t="shared" si="257"/>
        <v>石嘴山市深阳蓝光市政工程有限公司</v>
      </c>
      <c r="D3101" s="1389" t="s">
        <v>1979</v>
      </c>
      <c r="E3101" s="521" t="s">
        <v>3674</v>
      </c>
      <c r="F3101" s="675"/>
      <c r="G3101" s="1330">
        <f>报表附注合并期初用!E2481</f>
        <v>0</v>
      </c>
      <c r="H3101" s="1393"/>
      <c r="I3101" s="1393"/>
      <c r="J3101" s="1393"/>
      <c r="K3101" s="1393"/>
      <c r="L3101" s="1393"/>
      <c r="X3101" s="501" t="b">
        <f t="shared" si="256"/>
        <v>1</v>
      </c>
    </row>
    <row r="3102" s="418" customFormat="1" ht="24.75" hidden="1" outlineLevel="2" spans="1:24">
      <c r="A3102" s="418" t="s">
        <v>1986</v>
      </c>
      <c r="B3102" s="428" t="s">
        <v>3665</v>
      </c>
      <c r="C3102" s="429" t="str">
        <f t="shared" si="257"/>
        <v>石嘴山市深阳蓝光市政工程有限公司</v>
      </c>
      <c r="D3102" s="1389" t="s">
        <v>1979</v>
      </c>
      <c r="E3102" s="521" t="s">
        <v>3675</v>
      </c>
      <c r="F3102" s="675"/>
      <c r="G3102" s="1330">
        <f>报表附注合并期初用!E2482</f>
        <v>0</v>
      </c>
      <c r="H3102" s="1393"/>
      <c r="I3102" s="1393"/>
      <c r="J3102" s="1393"/>
      <c r="K3102" s="1393"/>
      <c r="L3102" s="1393"/>
      <c r="X3102" s="501" t="b">
        <f t="shared" si="256"/>
        <v>1</v>
      </c>
    </row>
    <row r="3103" s="418" customFormat="1" hidden="1" outlineLevel="2" spans="1:24">
      <c r="A3103" s="418" t="s">
        <v>1983</v>
      </c>
      <c r="B3103" s="428" t="s">
        <v>3665</v>
      </c>
      <c r="C3103" s="429" t="str">
        <f t="shared" si="257"/>
        <v>石嘴山市深阳蓝光市政工程有限公司</v>
      </c>
      <c r="D3103" s="1389" t="s">
        <v>1979</v>
      </c>
      <c r="E3103" s="521" t="s">
        <v>3672</v>
      </c>
      <c r="F3103" s="675"/>
      <c r="G3103" s="1330">
        <f>报表附注合并期初用!E2483</f>
        <v>0</v>
      </c>
      <c r="H3103" s="1393"/>
      <c r="I3103" s="1393"/>
      <c r="J3103" s="1393"/>
      <c r="K3103" s="1393"/>
      <c r="L3103" s="1393"/>
      <c r="X3103" s="501" t="b">
        <f t="shared" si="256"/>
        <v>1</v>
      </c>
    </row>
    <row r="3104" s="418" customFormat="1" hidden="1" outlineLevel="2" spans="1:24">
      <c r="A3104" s="418" t="s">
        <v>1984</v>
      </c>
      <c r="B3104" s="428" t="s">
        <v>3665</v>
      </c>
      <c r="C3104" s="429" t="str">
        <f t="shared" si="257"/>
        <v>石嘴山市深阳蓝光市政工程有限公司</v>
      </c>
      <c r="D3104" s="1389" t="s">
        <v>1979</v>
      </c>
      <c r="E3104" s="1444" t="s">
        <v>3673</v>
      </c>
      <c r="F3104" s="762">
        <f>F3101-F3102-F3103</f>
        <v>0</v>
      </c>
      <c r="G3104" s="1330">
        <f>G3101-G3102-G3103</f>
        <v>0</v>
      </c>
      <c r="H3104" s="1393"/>
      <c r="I3104" s="1393"/>
      <c r="J3104" s="1393"/>
      <c r="K3104" s="1393"/>
      <c r="L3104" s="1393"/>
      <c r="X3104" s="501" t="b">
        <f t="shared" si="256"/>
        <v>1</v>
      </c>
    </row>
    <row r="3105" s="418" customFormat="1" hidden="1" outlineLevel="2" spans="1:24">
      <c r="A3105" s="418" t="s">
        <v>1987</v>
      </c>
      <c r="B3105" s="428" t="s">
        <v>3665</v>
      </c>
      <c r="C3105" s="429" t="str">
        <f t="shared" si="257"/>
        <v>石嘴山市深阳蓝光市政工程有限公司</v>
      </c>
      <c r="D3105" s="1389" t="s">
        <v>1979</v>
      </c>
      <c r="E3105" s="521" t="s">
        <v>3676</v>
      </c>
      <c r="F3105" s="675"/>
      <c r="G3105" s="1330">
        <f>报表附注合并期初用!E2485</f>
        <v>0</v>
      </c>
      <c r="H3105" s="1393"/>
      <c r="I3105" s="1393"/>
      <c r="J3105" s="1393"/>
      <c r="K3105" s="1393"/>
      <c r="L3105" s="1393"/>
      <c r="X3105" s="501" t="b">
        <f t="shared" si="256"/>
        <v>1</v>
      </c>
    </row>
    <row r="3106" s="418" customFormat="1" hidden="1" outlineLevel="2" spans="1:24">
      <c r="A3106" s="418" t="s">
        <v>1988</v>
      </c>
      <c r="B3106" s="428" t="s">
        <v>3665</v>
      </c>
      <c r="C3106" s="429" t="str">
        <f t="shared" si="257"/>
        <v>石嘴山市深阳蓝光市政工程有限公司</v>
      </c>
      <c r="D3106" s="1389" t="s">
        <v>1979</v>
      </c>
      <c r="E3106" s="521" t="s">
        <v>3677</v>
      </c>
      <c r="F3106" s="675"/>
      <c r="G3106" s="1330">
        <f>报表附注合并期初用!E2486</f>
        <v>0</v>
      </c>
      <c r="H3106" s="1393"/>
      <c r="I3106" s="1393"/>
      <c r="J3106" s="1393"/>
      <c r="K3106" s="1393"/>
      <c r="L3106" s="1393"/>
      <c r="X3106" s="501" t="b">
        <f t="shared" si="256"/>
        <v>1</v>
      </c>
    </row>
    <row r="3107" s="418" customFormat="1" hidden="1" outlineLevel="2" spans="1:24">
      <c r="A3107" s="418" t="s">
        <v>1983</v>
      </c>
      <c r="B3107" s="428" t="s">
        <v>3665</v>
      </c>
      <c r="C3107" s="429" t="str">
        <f t="shared" si="257"/>
        <v>石嘴山市深阳蓝光市政工程有限公司</v>
      </c>
      <c r="D3107" s="1389" t="s">
        <v>1979</v>
      </c>
      <c r="E3107" s="521" t="s">
        <v>3672</v>
      </c>
      <c r="F3107" s="675"/>
      <c r="G3107" s="1330">
        <f>报表附注合并期初用!E2487</f>
        <v>0</v>
      </c>
      <c r="H3107" s="1393"/>
      <c r="I3107" s="1393"/>
      <c r="J3107" s="1393"/>
      <c r="K3107" s="1393"/>
      <c r="L3107" s="1393"/>
      <c r="X3107" s="501" t="b">
        <f t="shared" si="256"/>
        <v>1</v>
      </c>
    </row>
    <row r="3108" s="418" customFormat="1" hidden="1" outlineLevel="2" spans="1:24">
      <c r="A3108" s="418" t="s">
        <v>1989</v>
      </c>
      <c r="B3108" s="428" t="s">
        <v>3665</v>
      </c>
      <c r="C3108" s="429" t="str">
        <f t="shared" si="257"/>
        <v>石嘴山市深阳蓝光市政工程有限公司</v>
      </c>
      <c r="D3108" s="1389" t="s">
        <v>1979</v>
      </c>
      <c r="E3108" s="521" t="s">
        <v>1989</v>
      </c>
      <c r="F3108" s="675"/>
      <c r="G3108" s="1330">
        <f>报表附注合并期初用!E2488</f>
        <v>0</v>
      </c>
      <c r="H3108" s="1393"/>
      <c r="I3108" s="1393"/>
      <c r="J3108" s="1393"/>
      <c r="K3108" s="1393"/>
      <c r="L3108" s="1393"/>
      <c r="X3108" s="501" t="b">
        <f t="shared" si="256"/>
        <v>1</v>
      </c>
    </row>
    <row r="3109" s="418" customFormat="1" hidden="1" outlineLevel="2" spans="1:24">
      <c r="A3109" s="418" t="s">
        <v>1984</v>
      </c>
      <c r="B3109" s="428" t="s">
        <v>3665</v>
      </c>
      <c r="C3109" s="429" t="str">
        <f t="shared" si="257"/>
        <v>石嘴山市深阳蓝光市政工程有限公司</v>
      </c>
      <c r="D3109" s="1389" t="s">
        <v>1979</v>
      </c>
      <c r="E3109" s="1444" t="s">
        <v>3673</v>
      </c>
      <c r="F3109" s="762">
        <f>F3105-F3106-F3107-F3108</f>
        <v>0</v>
      </c>
      <c r="G3109" s="1330">
        <f>G3105-G3106-G3107-G3108</f>
        <v>0</v>
      </c>
      <c r="H3109" s="1393"/>
      <c r="I3109" s="1393"/>
      <c r="J3109" s="1393"/>
      <c r="K3109" s="1393"/>
      <c r="L3109" s="1393"/>
      <c r="X3109" s="501" t="b">
        <f t="shared" si="256"/>
        <v>1</v>
      </c>
    </row>
    <row r="3110" s="418" customFormat="1" hidden="1" outlineLevel="2" spans="1:24">
      <c r="A3110" s="418" t="s">
        <v>1990</v>
      </c>
      <c r="B3110" s="428" t="s">
        <v>3665</v>
      </c>
      <c r="C3110" s="429" t="str">
        <f t="shared" si="257"/>
        <v>石嘴山市深阳蓝光市政工程有限公司</v>
      </c>
      <c r="D3110" s="1389" t="s">
        <v>1979</v>
      </c>
      <c r="E3110" s="521" t="s">
        <v>3678</v>
      </c>
      <c r="F3110" s="675"/>
      <c r="G3110" s="1330">
        <f>报表附注合并期初用!E2490</f>
        <v>0</v>
      </c>
      <c r="H3110" s="1393"/>
      <c r="I3110" s="1393"/>
      <c r="J3110" s="1393"/>
      <c r="K3110" s="1393"/>
      <c r="L3110" s="1393"/>
      <c r="X3110" s="501" t="b">
        <f t="shared" si="256"/>
        <v>1</v>
      </c>
    </row>
    <row r="3111" s="418" customFormat="1" hidden="1" outlineLevel="2" spans="1:24">
      <c r="A3111" s="418" t="s">
        <v>1991</v>
      </c>
      <c r="B3111" s="428" t="s">
        <v>3665</v>
      </c>
      <c r="C3111" s="429" t="str">
        <f t="shared" si="257"/>
        <v>石嘴山市深阳蓝光市政工程有限公司</v>
      </c>
      <c r="D3111" s="1389" t="s">
        <v>1979</v>
      </c>
      <c r="E3111" s="521" t="s">
        <v>3679</v>
      </c>
      <c r="F3111" s="675"/>
      <c r="G3111" s="1330">
        <f>报表附注合并期初用!E2491</f>
        <v>0</v>
      </c>
      <c r="H3111" s="1393"/>
      <c r="I3111" s="1393"/>
      <c r="J3111" s="1393"/>
      <c r="K3111" s="1393"/>
      <c r="L3111" s="1393"/>
      <c r="X3111" s="501" t="b">
        <f t="shared" si="256"/>
        <v>1</v>
      </c>
    </row>
    <row r="3112" s="418" customFormat="1" hidden="1" outlineLevel="2" spans="1:24">
      <c r="A3112" s="418" t="s">
        <v>1984</v>
      </c>
      <c r="B3112" s="428" t="s">
        <v>3665</v>
      </c>
      <c r="C3112" s="429" t="str">
        <f t="shared" si="257"/>
        <v>石嘴山市深阳蓝光市政工程有限公司</v>
      </c>
      <c r="D3112" s="1389" t="s">
        <v>1979</v>
      </c>
      <c r="E3112" s="1444" t="s">
        <v>3673</v>
      </c>
      <c r="F3112" s="762">
        <f>F3110-F3111</f>
        <v>0</v>
      </c>
      <c r="G3112" s="1330">
        <f>G3110-G3111</f>
        <v>0</v>
      </c>
      <c r="H3112" s="1393"/>
      <c r="I3112" s="1393"/>
      <c r="J3112" s="1393"/>
      <c r="K3112" s="1393"/>
      <c r="L3112" s="1393"/>
      <c r="X3112" s="501" t="b">
        <f t="shared" si="256"/>
        <v>1</v>
      </c>
    </row>
    <row r="3113" s="418" customFormat="1" hidden="1" outlineLevel="2" spans="1:24">
      <c r="A3113" s="418" t="s">
        <v>1992</v>
      </c>
      <c r="B3113" s="428" t="s">
        <v>3665</v>
      </c>
      <c r="C3113" s="429" t="str">
        <f t="shared" si="257"/>
        <v>石嘴山市深阳蓝光市政工程有限公司</v>
      </c>
      <c r="D3113" s="1389" t="s">
        <v>1979</v>
      </c>
      <c r="E3113" s="521" t="s">
        <v>3680</v>
      </c>
      <c r="F3113" s="675"/>
      <c r="G3113" s="1330">
        <f>报表附注合并期初用!E2493</f>
        <v>0</v>
      </c>
      <c r="H3113" s="1393"/>
      <c r="I3113" s="1393"/>
      <c r="J3113" s="1393"/>
      <c r="K3113" s="1393"/>
      <c r="L3113" s="1393"/>
      <c r="X3113" s="501" t="b">
        <f t="shared" si="256"/>
        <v>1</v>
      </c>
    </row>
    <row r="3114" s="418" customFormat="1" hidden="1" outlineLevel="2" spans="1:24">
      <c r="A3114" s="418" t="s">
        <v>1993</v>
      </c>
      <c r="B3114" s="428" t="s">
        <v>3665</v>
      </c>
      <c r="C3114" s="429" t="str">
        <f t="shared" si="257"/>
        <v>石嘴山市深阳蓝光市政工程有限公司</v>
      </c>
      <c r="D3114" s="1389" t="s">
        <v>1979</v>
      </c>
      <c r="E3114" s="521" t="s">
        <v>3681</v>
      </c>
      <c r="F3114" s="675"/>
      <c r="G3114" s="1330">
        <f>报表附注合并期初用!E2494</f>
        <v>0</v>
      </c>
      <c r="H3114" s="1393"/>
      <c r="I3114" s="1393"/>
      <c r="J3114" s="1393"/>
      <c r="K3114" s="1393"/>
      <c r="L3114" s="1393"/>
      <c r="X3114" s="501" t="b">
        <f t="shared" si="256"/>
        <v>1</v>
      </c>
    </row>
    <row r="3115" s="418" customFormat="1" hidden="1" outlineLevel="2" spans="1:24">
      <c r="A3115" s="418" t="s">
        <v>1994</v>
      </c>
      <c r="B3115" s="428" t="s">
        <v>3665</v>
      </c>
      <c r="C3115" s="429" t="str">
        <f t="shared" si="257"/>
        <v>石嘴山市深阳蓝光市政工程有限公司</v>
      </c>
      <c r="D3115" s="1389" t="s">
        <v>1979</v>
      </c>
      <c r="E3115" s="521" t="s">
        <v>3682</v>
      </c>
      <c r="F3115" s="675"/>
      <c r="G3115" s="1330">
        <f>报表附注合并期初用!E2495</f>
        <v>0</v>
      </c>
      <c r="H3115" s="1393"/>
      <c r="I3115" s="1393"/>
      <c r="J3115" s="1393"/>
      <c r="K3115" s="1393"/>
      <c r="L3115" s="1393"/>
      <c r="X3115" s="501" t="b">
        <f t="shared" si="256"/>
        <v>1</v>
      </c>
    </row>
    <row r="3116" s="418" customFormat="1" hidden="1" outlineLevel="2" spans="1:24">
      <c r="A3116" s="418" t="s">
        <v>1984</v>
      </c>
      <c r="B3116" s="428" t="s">
        <v>3665</v>
      </c>
      <c r="C3116" s="429" t="str">
        <f t="shared" si="257"/>
        <v>石嘴山市深阳蓝光市政工程有限公司</v>
      </c>
      <c r="D3116" s="1389" t="s">
        <v>1979</v>
      </c>
      <c r="E3116" s="1444" t="s">
        <v>3673</v>
      </c>
      <c r="F3116" s="762">
        <f>F3113-F3114-F3115</f>
        <v>0</v>
      </c>
      <c r="G3116" s="762">
        <f>G3113-G3114-G3115</f>
        <v>0</v>
      </c>
      <c r="H3116" s="1393"/>
      <c r="I3116" s="1393"/>
      <c r="J3116" s="1393"/>
      <c r="K3116" s="1393"/>
      <c r="L3116" s="1393"/>
      <c r="X3116" s="501" t="b">
        <f t="shared" si="256"/>
        <v>1</v>
      </c>
    </row>
    <row r="3117" s="418" customFormat="1" hidden="1" outlineLevel="2" spans="1:24">
      <c r="A3117" s="418" t="s">
        <v>1762</v>
      </c>
      <c r="B3117" s="428" t="s">
        <v>3665</v>
      </c>
      <c r="C3117" s="429" t="str">
        <f t="shared" si="257"/>
        <v>石嘴山市深阳蓝光市政工程有限公司</v>
      </c>
      <c r="D3117" s="1389" t="s">
        <v>1979</v>
      </c>
      <c r="E3117" s="944" t="s">
        <v>3683</v>
      </c>
      <c r="F3117" s="762">
        <f>F3100+F3104+F3109+F3112+F3116</f>
        <v>0</v>
      </c>
      <c r="G3117" s="762">
        <f>G3100+G3104+G3109+G3112+G3116</f>
        <v>0</v>
      </c>
      <c r="H3117" s="1393"/>
      <c r="I3117" s="1393"/>
      <c r="J3117" s="1393"/>
      <c r="K3117" s="1393"/>
      <c r="L3117" s="1393"/>
      <c r="X3117" s="501" t="b">
        <f t="shared" si="256"/>
        <v>1</v>
      </c>
    </row>
    <row r="3118" s="418" customFormat="1" hidden="1" outlineLevel="2" spans="2:24">
      <c r="B3118" s="428" t="s">
        <v>3665</v>
      </c>
      <c r="C3118" s="429" t="str">
        <f t="shared" si="257"/>
        <v>石嘴山市深阳蓝光市政工程有限公司</v>
      </c>
      <c r="D3118" s="1389" t="s">
        <v>1979</v>
      </c>
      <c r="E3118" s="813"/>
      <c r="F3118" s="141"/>
      <c r="G3118" s="141"/>
      <c r="H3118" s="1393"/>
      <c r="I3118" s="1393"/>
      <c r="J3118" s="1393"/>
      <c r="K3118" s="1393"/>
      <c r="L3118" s="1393"/>
      <c r="X3118" s="501" t="b">
        <f t="shared" si="256"/>
        <v>1</v>
      </c>
    </row>
    <row r="3119" s="418" customFormat="1" hidden="1" outlineLevel="2" spans="2:24">
      <c r="B3119" s="428" t="s">
        <v>3665</v>
      </c>
      <c r="C3119" s="429" t="str">
        <f t="shared" si="257"/>
        <v>石嘴山市深阳蓝光市政工程有限公司</v>
      </c>
      <c r="D3119" s="1389" t="s">
        <v>1979</v>
      </c>
      <c r="E3119" s="813"/>
      <c r="F3119" s="141"/>
      <c r="G3119" s="141"/>
      <c r="H3119" s="1393"/>
      <c r="I3119" s="1393"/>
      <c r="J3119" s="1393"/>
      <c r="K3119" s="1393"/>
      <c r="L3119" s="1393"/>
      <c r="X3119" s="501" t="b">
        <f t="shared" si="256"/>
        <v>1</v>
      </c>
    </row>
    <row r="3120" s="418" customFormat="1" hidden="1" outlineLevel="2" spans="2:24">
      <c r="B3120" s="428" t="s">
        <v>3665</v>
      </c>
      <c r="C3120" s="429" t="str">
        <f t="shared" si="257"/>
        <v>石嘴山市深阳蓝光市政工程有限公司</v>
      </c>
      <c r="D3120" s="1389" t="s">
        <v>1979</v>
      </c>
      <c r="E3120" s="149"/>
      <c r="F3120" s="141"/>
      <c r="G3120" s="141"/>
      <c r="H3120" s="1393"/>
      <c r="I3120" s="1393"/>
      <c r="J3120" s="1393"/>
      <c r="K3120" s="1393"/>
      <c r="L3120" s="1393"/>
      <c r="X3120" s="501" t="b">
        <f t="shared" si="256"/>
        <v>1</v>
      </c>
    </row>
    <row r="3121" s="418" customFormat="1" spans="1:24">
      <c r="A3121" s="418" t="s">
        <v>3684</v>
      </c>
      <c r="B3121" s="428" t="s">
        <v>3685</v>
      </c>
      <c r="C3121" s="429" t="str">
        <f t="shared" si="257"/>
        <v>石嘴山市深阳蓝光市政工程有限公司</v>
      </c>
      <c r="D3121" s="1389" t="s">
        <v>3686</v>
      </c>
      <c r="E3121" s="1445" t="s">
        <v>3684</v>
      </c>
      <c r="F3121" s="485"/>
      <c r="G3121" s="1446" t="s">
        <v>2635</v>
      </c>
      <c r="H3121" s="1393"/>
      <c r="I3121" s="1393"/>
      <c r="J3121" s="1393"/>
      <c r="K3121" s="1393"/>
      <c r="L3121" s="1393"/>
      <c r="X3121" s="501" t="b">
        <f t="shared" si="256"/>
        <v>1</v>
      </c>
    </row>
    <row r="3122" s="418" customFormat="1" outlineLevel="2" spans="1:24">
      <c r="A3122" s="418" t="s">
        <v>3687</v>
      </c>
      <c r="B3122" s="428" t="s">
        <v>3685</v>
      </c>
      <c r="C3122" s="429" t="str">
        <f t="shared" si="257"/>
        <v>石嘴山市深阳蓝光市政工程有限公司</v>
      </c>
      <c r="D3122" s="1389" t="s">
        <v>3686</v>
      </c>
      <c r="E3122" s="143" t="s">
        <v>3687</v>
      </c>
      <c r="F3122" s="143" t="s">
        <v>2005</v>
      </c>
      <c r="G3122" s="143" t="s">
        <v>2001</v>
      </c>
      <c r="H3122" s="1447" t="s">
        <v>2000</v>
      </c>
      <c r="I3122" s="1465"/>
      <c r="J3122" s="1466" t="s">
        <v>3688</v>
      </c>
      <c r="K3122" s="1467"/>
      <c r="L3122" s="1393"/>
      <c r="X3122" s="501" t="b">
        <f t="shared" si="256"/>
        <v>1</v>
      </c>
    </row>
    <row r="3123" s="418" customFormat="1" outlineLevel="2" spans="1:24">
      <c r="A3123" s="418" t="s">
        <v>3686</v>
      </c>
      <c r="B3123" s="428" t="s">
        <v>3685</v>
      </c>
      <c r="C3123" s="429" t="str">
        <f t="shared" si="257"/>
        <v>石嘴山市深阳蓝光市政工程有限公司</v>
      </c>
      <c r="D3123" s="1389" t="s">
        <v>3686</v>
      </c>
      <c r="E3123" s="1170" t="s">
        <v>3686</v>
      </c>
      <c r="F3123" s="636">
        <f>SUM(F3124:F3137)</f>
        <v>0</v>
      </c>
      <c r="G3123" s="636">
        <f>SUM(G3124:G3137)</f>
        <v>0</v>
      </c>
      <c r="H3123" s="1448" t="s">
        <v>3689</v>
      </c>
      <c r="I3123" s="1448" t="s">
        <v>365</v>
      </c>
      <c r="J3123" s="1448" t="s">
        <v>3689</v>
      </c>
      <c r="K3123" s="1448" t="s">
        <v>365</v>
      </c>
      <c r="L3123" s="1393"/>
      <c r="X3123" s="501" t="b">
        <f t="shared" si="256"/>
        <v>1</v>
      </c>
    </row>
    <row r="3124" s="418" customFormat="1" outlineLevel="2" spans="1:24">
      <c r="A3124" s="418" t="s">
        <v>3690</v>
      </c>
      <c r="B3124" s="428" t="s">
        <v>3685</v>
      </c>
      <c r="C3124" s="429" t="str">
        <f t="shared" si="257"/>
        <v>石嘴山市深阳蓝光市政工程有限公司</v>
      </c>
      <c r="D3124" s="1389" t="s">
        <v>3686</v>
      </c>
      <c r="E3124" s="1170" t="s">
        <v>3690</v>
      </c>
      <c r="F3124" s="636">
        <f>I3137</f>
        <v>0</v>
      </c>
      <c r="G3124" s="636">
        <f>K3137</f>
        <v>0</v>
      </c>
      <c r="H3124" s="1449"/>
      <c r="I3124" s="1468"/>
      <c r="J3124" s="1449"/>
      <c r="K3124" s="1468"/>
      <c r="L3124" s="1393"/>
      <c r="X3124" s="501" t="b">
        <f t="shared" si="256"/>
        <v>1</v>
      </c>
    </row>
    <row r="3125" s="418" customFormat="1" outlineLevel="2" spans="1:24">
      <c r="A3125" s="418" t="s">
        <v>3691</v>
      </c>
      <c r="B3125" s="428" t="s">
        <v>3685</v>
      </c>
      <c r="C3125" s="429" t="str">
        <f t="shared" si="257"/>
        <v>石嘴山市深阳蓝光市政工程有限公司</v>
      </c>
      <c r="D3125" s="1389" t="s">
        <v>3686</v>
      </c>
      <c r="E3125" s="1170" t="s">
        <v>3692</v>
      </c>
      <c r="F3125" s="732"/>
      <c r="G3125" s="732"/>
      <c r="H3125" s="1450"/>
      <c r="I3125" s="1468"/>
      <c r="J3125" s="1450"/>
      <c r="K3125" s="1468"/>
      <c r="L3125" s="1393"/>
      <c r="X3125" s="501" t="b">
        <f t="shared" si="256"/>
        <v>1</v>
      </c>
    </row>
    <row r="3126" s="418" customFormat="1" outlineLevel="2" spans="1:24">
      <c r="A3126" s="418" t="s">
        <v>3693</v>
      </c>
      <c r="B3126" s="428" t="s">
        <v>3685</v>
      </c>
      <c r="C3126" s="429" t="str">
        <f t="shared" si="257"/>
        <v>石嘴山市深阳蓝光市政工程有限公司</v>
      </c>
      <c r="D3126" s="1389" t="s">
        <v>3686</v>
      </c>
      <c r="E3126" s="1451" t="s">
        <v>3693</v>
      </c>
      <c r="F3126" s="732"/>
      <c r="G3126" s="732"/>
      <c r="H3126" s="1450"/>
      <c r="I3126" s="1469"/>
      <c r="J3126" s="1450"/>
      <c r="K3126" s="1469"/>
      <c r="L3126" s="1393"/>
      <c r="X3126" s="501" t="b">
        <f t="shared" si="256"/>
        <v>1</v>
      </c>
    </row>
    <row r="3127" s="418" customFormat="1" outlineLevel="2" spans="1:24">
      <c r="A3127" s="418" t="s">
        <v>3694</v>
      </c>
      <c r="B3127" s="428" t="s">
        <v>3685</v>
      </c>
      <c r="C3127" s="429" t="str">
        <f t="shared" si="257"/>
        <v>石嘴山市深阳蓝光市政工程有限公司</v>
      </c>
      <c r="D3127" s="1389" t="s">
        <v>3686</v>
      </c>
      <c r="E3127" s="1170" t="s">
        <v>3695</v>
      </c>
      <c r="F3127" s="732"/>
      <c r="G3127" s="732"/>
      <c r="H3127" s="1450"/>
      <c r="I3127" s="1469"/>
      <c r="J3127" s="1450"/>
      <c r="K3127" s="1469"/>
      <c r="L3127" s="1393"/>
      <c r="X3127" s="501" t="b">
        <f t="shared" si="256"/>
        <v>1</v>
      </c>
    </row>
    <row r="3128" s="418" customFormat="1" outlineLevel="2" spans="2:24">
      <c r="B3128" s="428" t="s">
        <v>3685</v>
      </c>
      <c r="C3128" s="429" t="str">
        <f t="shared" si="257"/>
        <v>石嘴山市深阳蓝光市政工程有限公司</v>
      </c>
      <c r="D3128" s="1389" t="s">
        <v>3686</v>
      </c>
      <c r="E3128" s="1451" t="s">
        <v>3696</v>
      </c>
      <c r="F3128" s="732"/>
      <c r="G3128" s="732"/>
      <c r="H3128" s="1450"/>
      <c r="I3128" s="1469"/>
      <c r="J3128" s="1450"/>
      <c r="K3128" s="1469"/>
      <c r="L3128" s="1393"/>
      <c r="X3128" s="501" t="b">
        <f t="shared" si="256"/>
        <v>0</v>
      </c>
    </row>
    <row r="3129" s="418" customFormat="1" outlineLevel="2" spans="2:24">
      <c r="B3129" s="428" t="s">
        <v>3685</v>
      </c>
      <c r="C3129" s="429" t="str">
        <f t="shared" si="257"/>
        <v>石嘴山市深阳蓝光市政工程有限公司</v>
      </c>
      <c r="D3129" s="1389" t="s">
        <v>3686</v>
      </c>
      <c r="E3129" s="1451" t="s">
        <v>3697</v>
      </c>
      <c r="F3129" s="732"/>
      <c r="G3129" s="732"/>
      <c r="H3129" s="1450"/>
      <c r="I3129" s="1469"/>
      <c r="J3129" s="1450"/>
      <c r="K3129" s="1469"/>
      <c r="L3129" s="1393"/>
      <c r="X3129" s="501" t="b">
        <f t="shared" si="256"/>
        <v>0</v>
      </c>
    </row>
    <row r="3130" s="418" customFormat="1" outlineLevel="2" spans="2:24">
      <c r="B3130" s="428" t="s">
        <v>3685</v>
      </c>
      <c r="C3130" s="429" t="str">
        <f t="shared" si="257"/>
        <v>石嘴山市深阳蓝光市政工程有限公司</v>
      </c>
      <c r="D3130" s="1389" t="s">
        <v>3686</v>
      </c>
      <c r="E3130" s="1170" t="s">
        <v>3698</v>
      </c>
      <c r="F3130" s="732"/>
      <c r="G3130" s="732"/>
      <c r="H3130" s="1450"/>
      <c r="I3130" s="1469"/>
      <c r="J3130" s="1450"/>
      <c r="K3130" s="1469"/>
      <c r="L3130" s="1393"/>
      <c r="X3130" s="501" t="b">
        <f t="shared" si="256"/>
        <v>0</v>
      </c>
    </row>
    <row r="3131" s="418" customFormat="1" outlineLevel="2" spans="2:24">
      <c r="B3131" s="428" t="s">
        <v>3685</v>
      </c>
      <c r="C3131" s="429" t="str">
        <f t="shared" si="257"/>
        <v>石嘴山市深阳蓝光市政工程有限公司</v>
      </c>
      <c r="D3131" s="1389" t="s">
        <v>3686</v>
      </c>
      <c r="E3131" s="1134"/>
      <c r="F3131" s="732"/>
      <c r="G3131" s="732"/>
      <c r="H3131" s="1450"/>
      <c r="I3131" s="1469"/>
      <c r="J3131" s="1450"/>
      <c r="K3131" s="1469"/>
      <c r="L3131" s="1393"/>
      <c r="X3131" s="501" t="b">
        <f t="shared" si="256"/>
        <v>1</v>
      </c>
    </row>
    <row r="3132" s="418" customFormat="1" outlineLevel="2" spans="2:24">
      <c r="B3132" s="428" t="s">
        <v>3685</v>
      </c>
      <c r="C3132" s="429" t="str">
        <f t="shared" si="257"/>
        <v>石嘴山市深阳蓝光市政工程有限公司</v>
      </c>
      <c r="D3132" s="1389" t="s">
        <v>3686</v>
      </c>
      <c r="E3132" s="1134"/>
      <c r="F3132" s="732"/>
      <c r="G3132" s="732"/>
      <c r="H3132" s="1450"/>
      <c r="I3132" s="1469"/>
      <c r="J3132" s="1450"/>
      <c r="K3132" s="1469"/>
      <c r="L3132" s="1393"/>
      <c r="X3132" s="501" t="b">
        <f t="shared" si="256"/>
        <v>1</v>
      </c>
    </row>
    <row r="3133" s="418" customFormat="1" outlineLevel="2" spans="2:24">
      <c r="B3133" s="428" t="s">
        <v>3685</v>
      </c>
      <c r="C3133" s="429" t="str">
        <f t="shared" si="257"/>
        <v>石嘴山市深阳蓝光市政工程有限公司</v>
      </c>
      <c r="D3133" s="1389" t="s">
        <v>3686</v>
      </c>
      <c r="E3133" s="1134"/>
      <c r="F3133" s="732"/>
      <c r="G3133" s="732"/>
      <c r="H3133" s="1450"/>
      <c r="I3133" s="1469"/>
      <c r="J3133" s="1450"/>
      <c r="K3133" s="1469"/>
      <c r="L3133" s="1393"/>
      <c r="X3133" s="501" t="b">
        <f t="shared" si="256"/>
        <v>1</v>
      </c>
    </row>
    <row r="3134" s="418" customFormat="1" outlineLevel="2" spans="2:24">
      <c r="B3134" s="428" t="s">
        <v>3685</v>
      </c>
      <c r="C3134" s="429" t="str">
        <f t="shared" si="257"/>
        <v>石嘴山市深阳蓝光市政工程有限公司</v>
      </c>
      <c r="D3134" s="1389" t="s">
        <v>3686</v>
      </c>
      <c r="E3134" s="1134"/>
      <c r="F3134" s="732"/>
      <c r="G3134" s="732"/>
      <c r="H3134" s="1450"/>
      <c r="I3134" s="1469"/>
      <c r="J3134" s="1450"/>
      <c r="K3134" s="1469"/>
      <c r="L3134" s="1393"/>
      <c r="X3134" s="501" t="b">
        <f t="shared" si="256"/>
        <v>1</v>
      </c>
    </row>
    <row r="3135" s="418" customFormat="1" outlineLevel="2" spans="2:24">
      <c r="B3135" s="428" t="s">
        <v>3685</v>
      </c>
      <c r="C3135" s="429" t="str">
        <f t="shared" si="257"/>
        <v>石嘴山市深阳蓝光市政工程有限公司</v>
      </c>
      <c r="D3135" s="1389" t="s">
        <v>3686</v>
      </c>
      <c r="E3135" s="1134"/>
      <c r="F3135" s="732"/>
      <c r="G3135" s="732"/>
      <c r="H3135" s="1450"/>
      <c r="I3135" s="1469"/>
      <c r="J3135" s="1450"/>
      <c r="K3135" s="1469"/>
      <c r="L3135" s="1393"/>
      <c r="X3135" s="501" t="b">
        <f t="shared" si="256"/>
        <v>1</v>
      </c>
    </row>
    <row r="3136" s="418" customFormat="1" outlineLevel="2" spans="2:24">
      <c r="B3136" s="428" t="s">
        <v>3685</v>
      </c>
      <c r="C3136" s="429" t="str">
        <f t="shared" si="257"/>
        <v>石嘴山市深阳蓝光市政工程有限公司</v>
      </c>
      <c r="D3136" s="1389" t="s">
        <v>3686</v>
      </c>
      <c r="E3136" s="1169"/>
      <c r="F3136" s="732"/>
      <c r="G3136" s="732"/>
      <c r="H3136" s="1450"/>
      <c r="I3136" s="547"/>
      <c r="J3136" s="1450"/>
      <c r="K3136" s="547"/>
      <c r="L3136" s="1393"/>
      <c r="X3136" s="501" t="b">
        <f t="shared" si="256"/>
        <v>1</v>
      </c>
    </row>
    <row r="3137" s="418" customFormat="1" outlineLevel="2" spans="2:24">
      <c r="B3137" s="428" t="s">
        <v>3685</v>
      </c>
      <c r="C3137" s="429" t="str">
        <f t="shared" si="257"/>
        <v>石嘴山市深阳蓝光市政工程有限公司</v>
      </c>
      <c r="D3137" s="1389" t="s">
        <v>3686</v>
      </c>
      <c r="E3137" s="1169"/>
      <c r="F3137" s="732"/>
      <c r="G3137" s="732"/>
      <c r="H3137" s="1366" t="s">
        <v>1580</v>
      </c>
      <c r="I3137" s="553">
        <f>ROUND(SUM(I3124:I3136),2)</f>
        <v>0</v>
      </c>
      <c r="J3137" s="1366" t="s">
        <v>1580</v>
      </c>
      <c r="K3137" s="553">
        <f>ROUND(SUM(K3124:K3136),2)</f>
        <v>0</v>
      </c>
      <c r="L3137" s="1393"/>
      <c r="X3137" s="501" t="b">
        <f t="shared" si="256"/>
        <v>1</v>
      </c>
    </row>
    <row r="3138" s="418" customFormat="1" outlineLevel="2" spans="1:24">
      <c r="A3138" s="418" t="s">
        <v>3699</v>
      </c>
      <c r="B3138" s="428" t="s">
        <v>3685</v>
      </c>
      <c r="C3138" s="429" t="str">
        <f t="shared" si="257"/>
        <v>石嘴山市深阳蓝光市政工程有限公司</v>
      </c>
      <c r="D3138" s="1389" t="s">
        <v>3699</v>
      </c>
      <c r="E3138" s="1170" t="s">
        <v>3699</v>
      </c>
      <c r="F3138" s="636">
        <f>SUM(F3139:F3153)</f>
        <v>0</v>
      </c>
      <c r="G3138" s="636">
        <f>SUM(G3139:G3153)</f>
        <v>0</v>
      </c>
      <c r="H3138" s="1470" t="s">
        <v>2000</v>
      </c>
      <c r="I3138" s="1470"/>
      <c r="J3138" s="1470" t="s">
        <v>3688</v>
      </c>
      <c r="K3138" s="1470"/>
      <c r="L3138" s="1393"/>
      <c r="X3138" s="501" t="b">
        <f t="shared" si="256"/>
        <v>1</v>
      </c>
    </row>
    <row r="3139" s="418" customFormat="1" outlineLevel="2" spans="1:24">
      <c r="A3139" s="418" t="s">
        <v>3700</v>
      </c>
      <c r="B3139" s="428" t="s">
        <v>3685</v>
      </c>
      <c r="C3139" s="429" t="str">
        <f t="shared" si="257"/>
        <v>石嘴山市深阳蓝光市政工程有限公司</v>
      </c>
      <c r="D3139" s="1389" t="s">
        <v>3699</v>
      </c>
      <c r="E3139" s="1170" t="s">
        <v>3700</v>
      </c>
      <c r="F3139" s="732"/>
      <c r="G3139" s="732"/>
      <c r="H3139" s="1471" t="s">
        <v>3689</v>
      </c>
      <c r="I3139" s="1448" t="s">
        <v>365</v>
      </c>
      <c r="J3139" s="1471" t="s">
        <v>3689</v>
      </c>
      <c r="K3139" s="1448" t="s">
        <v>365</v>
      </c>
      <c r="L3139" s="1393"/>
      <c r="X3139" s="501" t="b">
        <f t="shared" si="256"/>
        <v>1</v>
      </c>
    </row>
    <row r="3140" s="418" customFormat="1" outlineLevel="2" spans="1:24">
      <c r="A3140" s="418" t="s">
        <v>3701</v>
      </c>
      <c r="B3140" s="428" t="s">
        <v>3685</v>
      </c>
      <c r="C3140" s="429" t="str">
        <f t="shared" si="257"/>
        <v>石嘴山市深阳蓝光市政工程有限公司</v>
      </c>
      <c r="D3140" s="1389" t="s">
        <v>3699</v>
      </c>
      <c r="E3140" s="1170" t="s">
        <v>3701</v>
      </c>
      <c r="F3140" s="636">
        <f>I3153</f>
        <v>0</v>
      </c>
      <c r="G3140" s="636">
        <f>K3153</f>
        <v>0</v>
      </c>
      <c r="H3140" s="1449"/>
      <c r="I3140" s="547"/>
      <c r="J3140" s="1449"/>
      <c r="K3140" s="547"/>
      <c r="L3140" s="1393"/>
      <c r="X3140" s="501" t="b">
        <f t="shared" si="256"/>
        <v>1</v>
      </c>
    </row>
    <row r="3141" s="418" customFormat="1" outlineLevel="2" spans="1:24">
      <c r="A3141" s="418" t="s">
        <v>3702</v>
      </c>
      <c r="B3141" s="428" t="s">
        <v>3685</v>
      </c>
      <c r="C3141" s="429" t="str">
        <f t="shared" si="257"/>
        <v>石嘴山市深阳蓝光市政工程有限公司</v>
      </c>
      <c r="D3141" s="1389" t="s">
        <v>3699</v>
      </c>
      <c r="E3141" s="1451" t="s">
        <v>3702</v>
      </c>
      <c r="F3141" s="732"/>
      <c r="G3141" s="732"/>
      <c r="H3141" s="1450"/>
      <c r="I3141" s="1450"/>
      <c r="J3141" s="1450"/>
      <c r="K3141" s="547"/>
      <c r="L3141" s="1393"/>
      <c r="X3141" s="501" t="b">
        <f t="shared" si="256"/>
        <v>1</v>
      </c>
    </row>
    <row r="3142" s="418" customFormat="1" outlineLevel="2" spans="1:24">
      <c r="A3142" s="418" t="s">
        <v>3703</v>
      </c>
      <c r="B3142" s="428" t="s">
        <v>3685</v>
      </c>
      <c r="C3142" s="429" t="str">
        <f t="shared" si="257"/>
        <v>石嘴山市深阳蓝光市政工程有限公司</v>
      </c>
      <c r="D3142" s="1389" t="s">
        <v>3699</v>
      </c>
      <c r="E3142" s="1170" t="s">
        <v>3703</v>
      </c>
      <c r="F3142" s="732"/>
      <c r="G3142" s="732"/>
      <c r="H3142" s="1450"/>
      <c r="I3142" s="1450"/>
      <c r="J3142" s="1450"/>
      <c r="K3142" s="547"/>
      <c r="L3142" s="1393"/>
      <c r="X3142" s="501" t="b">
        <f t="shared" ref="X3142:X3205" si="258">EXACT(A3142,E3142)</f>
        <v>1</v>
      </c>
    </row>
    <row r="3143" s="418" customFormat="1" outlineLevel="2" spans="1:24">
      <c r="A3143" s="418" t="s">
        <v>3694</v>
      </c>
      <c r="B3143" s="428" t="s">
        <v>3685</v>
      </c>
      <c r="C3143" s="429" t="str">
        <f t="shared" si="257"/>
        <v>石嘴山市深阳蓝光市政工程有限公司</v>
      </c>
      <c r="D3143" s="1389" t="s">
        <v>3699</v>
      </c>
      <c r="E3143" s="1170" t="s">
        <v>3695</v>
      </c>
      <c r="F3143" s="732"/>
      <c r="G3143" s="732"/>
      <c r="H3143" s="1450"/>
      <c r="I3143" s="1450"/>
      <c r="J3143" s="1450"/>
      <c r="K3143" s="547"/>
      <c r="L3143" s="1393"/>
      <c r="X3143" s="501" t="b">
        <f t="shared" si="258"/>
        <v>1</v>
      </c>
    </row>
    <row r="3144" s="418" customFormat="1" outlineLevel="2" spans="2:24">
      <c r="B3144" s="428" t="s">
        <v>3685</v>
      </c>
      <c r="C3144" s="429" t="str">
        <f t="shared" si="257"/>
        <v>石嘴山市深阳蓝光市政工程有限公司</v>
      </c>
      <c r="D3144" s="1389" t="s">
        <v>3699</v>
      </c>
      <c r="E3144" s="1451" t="s">
        <v>3704</v>
      </c>
      <c r="F3144" s="732"/>
      <c r="G3144" s="732"/>
      <c r="H3144" s="1450"/>
      <c r="I3144" s="1450"/>
      <c r="J3144" s="1450"/>
      <c r="K3144" s="547"/>
      <c r="L3144" s="1393"/>
      <c r="X3144" s="501" t="b">
        <f t="shared" si="258"/>
        <v>0</v>
      </c>
    </row>
    <row r="3145" s="418" customFormat="1" outlineLevel="2" spans="2:24">
      <c r="B3145" s="428" t="s">
        <v>3685</v>
      </c>
      <c r="C3145" s="429" t="str">
        <f t="shared" si="257"/>
        <v>石嘴山市深阳蓝光市政工程有限公司</v>
      </c>
      <c r="D3145" s="1389" t="s">
        <v>3699</v>
      </c>
      <c r="E3145" s="1169"/>
      <c r="F3145" s="732"/>
      <c r="G3145" s="732"/>
      <c r="H3145" s="1450"/>
      <c r="I3145" s="1450"/>
      <c r="J3145" s="1450"/>
      <c r="K3145" s="547"/>
      <c r="L3145" s="1393"/>
      <c r="X3145" s="501" t="b">
        <f t="shared" si="258"/>
        <v>1</v>
      </c>
    </row>
    <row r="3146" s="418" customFormat="1" outlineLevel="2" spans="2:24">
      <c r="B3146" s="428" t="s">
        <v>3685</v>
      </c>
      <c r="C3146" s="429" t="str">
        <f t="shared" si="257"/>
        <v>石嘴山市深阳蓝光市政工程有限公司</v>
      </c>
      <c r="D3146" s="1389" t="s">
        <v>3699</v>
      </c>
      <c r="E3146" s="1169"/>
      <c r="F3146" s="732"/>
      <c r="G3146" s="732"/>
      <c r="H3146" s="1450"/>
      <c r="I3146" s="1450"/>
      <c r="J3146" s="1450"/>
      <c r="K3146" s="547"/>
      <c r="L3146" s="1393"/>
      <c r="X3146" s="501" t="b">
        <f t="shared" si="258"/>
        <v>1</v>
      </c>
    </row>
    <row r="3147" s="418" customFormat="1" outlineLevel="2" spans="2:24">
      <c r="B3147" s="428" t="s">
        <v>3685</v>
      </c>
      <c r="C3147" s="429" t="str">
        <f t="shared" si="257"/>
        <v>石嘴山市深阳蓝光市政工程有限公司</v>
      </c>
      <c r="D3147" s="1389" t="s">
        <v>3699</v>
      </c>
      <c r="E3147" s="1169"/>
      <c r="F3147" s="732"/>
      <c r="G3147" s="732"/>
      <c r="H3147" s="1450"/>
      <c r="I3147" s="1450"/>
      <c r="J3147" s="1450"/>
      <c r="K3147" s="547"/>
      <c r="L3147" s="1393"/>
      <c r="X3147" s="501" t="b">
        <f t="shared" si="258"/>
        <v>1</v>
      </c>
    </row>
    <row r="3148" s="418" customFormat="1" outlineLevel="2" spans="2:24">
      <c r="B3148" s="428" t="s">
        <v>3685</v>
      </c>
      <c r="C3148" s="429" t="str">
        <f t="shared" si="257"/>
        <v>石嘴山市深阳蓝光市政工程有限公司</v>
      </c>
      <c r="D3148" s="1389" t="s">
        <v>3699</v>
      </c>
      <c r="E3148" s="1169"/>
      <c r="F3148" s="732"/>
      <c r="G3148" s="732"/>
      <c r="H3148" s="1450"/>
      <c r="I3148" s="1450"/>
      <c r="J3148" s="1450"/>
      <c r="K3148" s="547"/>
      <c r="L3148" s="1393"/>
      <c r="X3148" s="501" t="b">
        <f t="shared" si="258"/>
        <v>1</v>
      </c>
    </row>
    <row r="3149" s="418" customFormat="1" outlineLevel="2" spans="2:24">
      <c r="B3149" s="428" t="s">
        <v>3685</v>
      </c>
      <c r="C3149" s="429" t="str">
        <f t="shared" si="257"/>
        <v>石嘴山市深阳蓝光市政工程有限公司</v>
      </c>
      <c r="D3149" s="1389" t="s">
        <v>3699</v>
      </c>
      <c r="E3149" s="1169"/>
      <c r="F3149" s="732"/>
      <c r="G3149" s="732"/>
      <c r="H3149" s="1450"/>
      <c r="I3149" s="1450"/>
      <c r="J3149" s="1450"/>
      <c r="K3149" s="547"/>
      <c r="L3149" s="1393"/>
      <c r="X3149" s="501" t="b">
        <f t="shared" si="258"/>
        <v>1</v>
      </c>
    </row>
    <row r="3150" s="418" customFormat="1" outlineLevel="2" spans="2:24">
      <c r="B3150" s="428" t="s">
        <v>3685</v>
      </c>
      <c r="C3150" s="429" t="str">
        <f t="shared" si="257"/>
        <v>石嘴山市深阳蓝光市政工程有限公司</v>
      </c>
      <c r="D3150" s="1389" t="s">
        <v>3699</v>
      </c>
      <c r="E3150" s="1169"/>
      <c r="F3150" s="732"/>
      <c r="G3150" s="732"/>
      <c r="H3150" s="1450"/>
      <c r="I3150" s="1450"/>
      <c r="J3150" s="1450"/>
      <c r="K3150" s="547"/>
      <c r="L3150" s="1393"/>
      <c r="X3150" s="501" t="b">
        <f t="shared" si="258"/>
        <v>1</v>
      </c>
    </row>
    <row r="3151" s="418" customFormat="1" outlineLevel="2" spans="2:24">
      <c r="B3151" s="428" t="s">
        <v>3685</v>
      </c>
      <c r="C3151" s="429" t="str">
        <f t="shared" si="257"/>
        <v>石嘴山市深阳蓝光市政工程有限公司</v>
      </c>
      <c r="D3151" s="1389" t="s">
        <v>3699</v>
      </c>
      <c r="E3151" s="1169"/>
      <c r="F3151" s="732"/>
      <c r="G3151" s="732"/>
      <c r="H3151" s="1450"/>
      <c r="I3151" s="1450"/>
      <c r="J3151" s="1450"/>
      <c r="K3151" s="547"/>
      <c r="L3151" s="1393"/>
      <c r="X3151" s="501" t="b">
        <f t="shared" si="258"/>
        <v>1</v>
      </c>
    </row>
    <row r="3152" s="418" customFormat="1" outlineLevel="2" spans="2:24">
      <c r="B3152" s="428" t="s">
        <v>3685</v>
      </c>
      <c r="C3152" s="429" t="str">
        <f t="shared" si="257"/>
        <v>石嘴山市深阳蓝光市政工程有限公司</v>
      </c>
      <c r="D3152" s="1389" t="s">
        <v>3699</v>
      </c>
      <c r="E3152" s="1169"/>
      <c r="F3152" s="732"/>
      <c r="G3152" s="732"/>
      <c r="H3152" s="1450"/>
      <c r="I3152" s="1450"/>
      <c r="J3152" s="1450"/>
      <c r="K3152" s="547"/>
      <c r="L3152" s="1393"/>
      <c r="X3152" s="501" t="b">
        <f t="shared" si="258"/>
        <v>1</v>
      </c>
    </row>
    <row r="3153" s="418" customFormat="1" outlineLevel="2" spans="2:24">
      <c r="B3153" s="428" t="s">
        <v>3685</v>
      </c>
      <c r="C3153" s="429" t="str">
        <f t="shared" si="257"/>
        <v>石嘴山市深阳蓝光市政工程有限公司</v>
      </c>
      <c r="D3153" s="1389" t="s">
        <v>3699</v>
      </c>
      <c r="E3153" s="553"/>
      <c r="F3153" s="553"/>
      <c r="G3153" s="553"/>
      <c r="H3153" s="1366" t="s">
        <v>1580</v>
      </c>
      <c r="I3153" s="553">
        <f>ROUND(SUM(I3140:I3152),2)</f>
        <v>0</v>
      </c>
      <c r="J3153" s="1366" t="s">
        <v>1580</v>
      </c>
      <c r="K3153" s="553">
        <f>ROUND(SUM(K3140:K3152),2)</f>
        <v>0</v>
      </c>
      <c r="L3153" s="1393"/>
      <c r="X3153" s="501" t="b">
        <f t="shared" si="258"/>
        <v>1</v>
      </c>
    </row>
    <row r="3154" s="418" customFormat="1" outlineLevel="2" spans="1:24">
      <c r="A3154" s="418" t="s">
        <v>3705</v>
      </c>
      <c r="B3154" s="428" t="s">
        <v>3685</v>
      </c>
      <c r="C3154" s="429" t="str">
        <f t="shared" si="257"/>
        <v>石嘴山市深阳蓝光市政工程有限公司</v>
      </c>
      <c r="D3154" s="1389" t="s">
        <v>3699</v>
      </c>
      <c r="E3154" s="1472" t="s">
        <v>3706</v>
      </c>
      <c r="F3154" s="1153">
        <f>审定现流表!C9</f>
        <v>0</v>
      </c>
      <c r="G3154" s="1153">
        <f>审定现流表!D9</f>
        <v>0</v>
      </c>
      <c r="H3154" s="1393"/>
      <c r="I3154" s="1393"/>
      <c r="J3154" s="1393"/>
      <c r="L3154" s="1478" t="s">
        <v>3448</v>
      </c>
      <c r="M3154" s="1478" t="s">
        <v>3449</v>
      </c>
      <c r="N3154" s="1479" t="s">
        <v>279</v>
      </c>
      <c r="X3154" s="501" t="b">
        <f t="shared" si="258"/>
        <v>1</v>
      </c>
    </row>
    <row r="3155" s="418" customFormat="1" ht="15" customHeight="1" outlineLevel="1" spans="1:24">
      <c r="A3155" s="418" t="s">
        <v>1556</v>
      </c>
      <c r="B3155" s="428" t="s">
        <v>3685</v>
      </c>
      <c r="C3155" s="429" t="str">
        <f t="shared" ref="C3155:C3218" si="259">$G$1</f>
        <v>石嘴山市深阳蓝光市政工程有限公司</v>
      </c>
      <c r="D3155" s="1389" t="s">
        <v>3699</v>
      </c>
      <c r="E3155" s="1472" t="s">
        <v>1556</v>
      </c>
      <c r="F3155" s="721">
        <f>ROUND(F3123-F3154,2)</f>
        <v>0</v>
      </c>
      <c r="G3155" s="721">
        <f>ROUND(G3123-G3154,2)</f>
        <v>0</v>
      </c>
      <c r="H3155" s="1473" t="s">
        <v>3707</v>
      </c>
      <c r="I3155" s="721" t="str">
        <f>IF(ROUND(F3125=-F2735+(F159-I159),2),"相符","不相符，请说明差异："&amp;(F3125-(-F2735+(F159-I159))))</f>
        <v>相符</v>
      </c>
      <c r="J3155" s="1480" t="s">
        <v>3708</v>
      </c>
      <c r="K3155" s="1398"/>
      <c r="L3155" s="772">
        <v>0</v>
      </c>
      <c r="M3155" s="772">
        <v>0</v>
      </c>
      <c r="N3155" s="772">
        <v>0</v>
      </c>
      <c r="X3155" s="501" t="b">
        <f t="shared" si="258"/>
        <v>1</v>
      </c>
    </row>
    <row r="3156" s="418" customFormat="1" outlineLevel="2" spans="1:24">
      <c r="A3156" s="418" t="s">
        <v>3709</v>
      </c>
      <c r="B3156" s="428" t="s">
        <v>3685</v>
      </c>
      <c r="C3156" s="429" t="str">
        <f t="shared" si="259"/>
        <v>石嘴山市深阳蓝光市政工程有限公司</v>
      </c>
      <c r="D3156" s="1389" t="s">
        <v>3699</v>
      </c>
      <c r="E3156" s="1472" t="s">
        <v>3710</v>
      </c>
      <c r="F3156" s="1153">
        <f>审定现流表!C14</f>
        <v>0</v>
      </c>
      <c r="G3156" s="1153">
        <f>审定现流表!D14</f>
        <v>0</v>
      </c>
      <c r="H3156" s="1393" t="s">
        <v>3711</v>
      </c>
      <c r="I3156" s="721" t="str">
        <f>IF(F3139&gt;F2776,"不合理","合理")</f>
        <v>合理</v>
      </c>
      <c r="J3156" s="1393"/>
      <c r="K3156" s="1393"/>
      <c r="L3156" s="1393"/>
      <c r="X3156" s="501" t="b">
        <f t="shared" si="258"/>
        <v>1</v>
      </c>
    </row>
    <row r="3157" s="418" customFormat="1" outlineLevel="2" spans="1:24">
      <c r="A3157" s="418" t="s">
        <v>1556</v>
      </c>
      <c r="B3157" s="428" t="s">
        <v>3685</v>
      </c>
      <c r="C3157" s="429" t="str">
        <f t="shared" si="259"/>
        <v>石嘴山市深阳蓝光市政工程有限公司</v>
      </c>
      <c r="D3157" s="1389" t="s">
        <v>3699</v>
      </c>
      <c r="E3157" s="1472" t="s">
        <v>1556</v>
      </c>
      <c r="F3157" s="721">
        <f>ROUND(F3138-F3156,2)</f>
        <v>0</v>
      </c>
      <c r="G3157" s="721">
        <f>ROUND(G3138-G3156,2)</f>
        <v>0</v>
      </c>
      <c r="H3157" s="1393" t="s">
        <v>3712</v>
      </c>
      <c r="I3157" s="721" t="str">
        <f>IF(F3141&gt;F2847,"不合理","合理")</f>
        <v>合理</v>
      </c>
      <c r="J3157" s="1393"/>
      <c r="K3157" s="1393"/>
      <c r="L3157" s="1393"/>
      <c r="X3157" s="501" t="b">
        <f t="shared" si="258"/>
        <v>1</v>
      </c>
    </row>
    <row r="3158" s="418" customFormat="1" outlineLevel="2" spans="1:24">
      <c r="A3158" s="418" t="s">
        <v>3713</v>
      </c>
      <c r="B3158" s="428" t="s">
        <v>3685</v>
      </c>
      <c r="C3158" s="429" t="str">
        <f t="shared" si="259"/>
        <v>石嘴山市深阳蓝光市政工程有限公司</v>
      </c>
      <c r="D3158" s="1389" t="s">
        <v>3713</v>
      </c>
      <c r="E3158" s="149" t="s">
        <v>3713</v>
      </c>
      <c r="F3158" s="1393"/>
      <c r="G3158" s="1393"/>
      <c r="H3158" s="418" t="s">
        <v>3714</v>
      </c>
      <c r="I3158" s="721" t="str">
        <f>IF(F3126&lt;F2920,"不合理","合理")</f>
        <v>合理</v>
      </c>
      <c r="J3158" s="1480" t="s">
        <v>3708</v>
      </c>
      <c r="K3158" s="1398"/>
      <c r="L3158" s="1393"/>
      <c r="X3158" s="501" t="b">
        <f t="shared" si="258"/>
        <v>1</v>
      </c>
    </row>
    <row r="3159" s="418" customFormat="1" outlineLevel="2" spans="1:24">
      <c r="A3159" s="418" t="s">
        <v>2315</v>
      </c>
      <c r="B3159" s="428" t="s">
        <v>3685</v>
      </c>
      <c r="C3159" s="429" t="str">
        <f t="shared" si="259"/>
        <v>石嘴山市深阳蓝光市政工程有限公司</v>
      </c>
      <c r="D3159" s="1389" t="s">
        <v>3713</v>
      </c>
      <c r="E3159" s="149" t="s">
        <v>2334</v>
      </c>
      <c r="F3159" s="1398"/>
      <c r="G3159" s="1398"/>
      <c r="H3159" s="1393"/>
      <c r="I3159" s="1393"/>
      <c r="J3159" s="1393"/>
      <c r="K3159" s="1393"/>
      <c r="L3159" s="1393"/>
      <c r="X3159" s="501" t="b">
        <f t="shared" si="258"/>
        <v>1</v>
      </c>
    </row>
    <row r="3160" s="418" customFormat="1" outlineLevel="2" spans="1:24">
      <c r="A3160" s="418" t="s">
        <v>3715</v>
      </c>
      <c r="B3160" s="428" t="s">
        <v>3685</v>
      </c>
      <c r="C3160" s="429" t="str">
        <f t="shared" si="259"/>
        <v>石嘴山市深阳蓝光市政工程有限公司</v>
      </c>
      <c r="D3160" s="1389" t="s">
        <v>3715</v>
      </c>
      <c r="E3160" s="149" t="s">
        <v>3715</v>
      </c>
      <c r="F3160" s="1393"/>
      <c r="G3160" s="1393"/>
      <c r="H3160" s="1393"/>
      <c r="I3160" s="1393"/>
      <c r="J3160" s="1393"/>
      <c r="K3160" s="1393"/>
      <c r="L3160" s="1393"/>
      <c r="X3160" s="501" t="b">
        <f t="shared" si="258"/>
        <v>1</v>
      </c>
    </row>
    <row r="3161" s="418" customFormat="1" outlineLevel="2" spans="1:24">
      <c r="A3161" s="418" t="s">
        <v>2315</v>
      </c>
      <c r="B3161" s="428" t="s">
        <v>3685</v>
      </c>
      <c r="C3161" s="429" t="str">
        <f t="shared" si="259"/>
        <v>石嘴山市深阳蓝光市政工程有限公司</v>
      </c>
      <c r="D3161" s="1389" t="s">
        <v>3715</v>
      </c>
      <c r="E3161" s="149" t="s">
        <v>2334</v>
      </c>
      <c r="F3161" s="1398"/>
      <c r="G3161" s="1398"/>
      <c r="H3161" s="1393"/>
      <c r="I3161" s="1393"/>
      <c r="J3161" s="1393"/>
      <c r="K3161" s="1393"/>
      <c r="L3161" s="1393"/>
      <c r="X3161" s="501" t="b">
        <f t="shared" si="258"/>
        <v>1</v>
      </c>
    </row>
    <row r="3162" s="418" customFormat="1" outlineLevel="2" spans="2:24">
      <c r="B3162" s="428" t="s">
        <v>3685</v>
      </c>
      <c r="C3162" s="429" t="str">
        <f t="shared" si="259"/>
        <v>石嘴山市深阳蓝光市政工程有限公司</v>
      </c>
      <c r="D3162" s="1389" t="s">
        <v>3715</v>
      </c>
      <c r="E3162" s="1472"/>
      <c r="F3162" s="1474"/>
      <c r="G3162" s="1474"/>
      <c r="H3162" s="1393"/>
      <c r="I3162" s="1393"/>
      <c r="J3162" s="1393"/>
      <c r="K3162" s="1393"/>
      <c r="L3162" s="1393"/>
      <c r="X3162" s="501" t="b">
        <f t="shared" si="258"/>
        <v>1</v>
      </c>
    </row>
    <row r="3163" s="418" customFormat="1" spans="1:24">
      <c r="A3163" s="418" t="s">
        <v>3716</v>
      </c>
      <c r="B3163" s="428" t="s">
        <v>3717</v>
      </c>
      <c r="C3163" s="429" t="str">
        <f t="shared" si="259"/>
        <v>石嘴山市深阳蓝光市政工程有限公司</v>
      </c>
      <c r="D3163" s="1389" t="s">
        <v>3718</v>
      </c>
      <c r="E3163" s="937" t="s">
        <v>3719</v>
      </c>
      <c r="F3163" s="485"/>
      <c r="G3163" s="1446" t="s">
        <v>2635</v>
      </c>
      <c r="H3163" s="1393"/>
      <c r="I3163" s="1393"/>
      <c r="J3163" s="1393"/>
      <c r="K3163" s="1393"/>
      <c r="L3163" s="1393"/>
      <c r="X3163" s="501" t="b">
        <f t="shared" si="258"/>
        <v>0</v>
      </c>
    </row>
    <row r="3164" s="418" customFormat="1" outlineLevel="2" spans="1:24">
      <c r="A3164" s="418" t="s">
        <v>3687</v>
      </c>
      <c r="B3164" s="428" t="s">
        <v>3717</v>
      </c>
      <c r="C3164" s="429" t="str">
        <f t="shared" si="259"/>
        <v>石嘴山市深阳蓝光市政工程有限公司</v>
      </c>
      <c r="D3164" s="1389" t="s">
        <v>3718</v>
      </c>
      <c r="E3164" s="143" t="s">
        <v>3687</v>
      </c>
      <c r="F3164" s="143" t="s">
        <v>2005</v>
      </c>
      <c r="G3164" s="143" t="s">
        <v>2001</v>
      </c>
      <c r="H3164" s="1393"/>
      <c r="I3164" s="1393"/>
      <c r="J3164" s="1393"/>
      <c r="K3164" s="1393"/>
      <c r="L3164" s="1393"/>
      <c r="X3164" s="501" t="b">
        <f t="shared" si="258"/>
        <v>1</v>
      </c>
    </row>
    <row r="3165" s="418" customFormat="1" outlineLevel="2" spans="1:24">
      <c r="A3165" s="418" t="s">
        <v>3718</v>
      </c>
      <c r="B3165" s="428" t="s">
        <v>3717</v>
      </c>
      <c r="C3165" s="429" t="str">
        <f t="shared" si="259"/>
        <v>石嘴山市深阳蓝光市政工程有限公司</v>
      </c>
      <c r="D3165" s="1389" t="s">
        <v>3718</v>
      </c>
      <c r="E3165" s="1170" t="s">
        <v>3718</v>
      </c>
      <c r="F3165" s="636">
        <f>SUM(F3166:F3176)</f>
        <v>0</v>
      </c>
      <c r="G3165" s="636">
        <f>SUM(G3166:G3176)</f>
        <v>0</v>
      </c>
      <c r="H3165" s="1393"/>
      <c r="I3165" s="1393"/>
      <c r="J3165" s="1414"/>
      <c r="K3165" s="1393"/>
      <c r="L3165" s="1393"/>
      <c r="X3165" s="501" t="b">
        <f t="shared" si="258"/>
        <v>1</v>
      </c>
    </row>
    <row r="3166" s="418" customFormat="1" outlineLevel="2" spans="1:24">
      <c r="A3166" s="418" t="s">
        <v>3720</v>
      </c>
      <c r="B3166" s="428" t="s">
        <v>3717</v>
      </c>
      <c r="C3166" s="429" t="str">
        <f t="shared" si="259"/>
        <v>石嘴山市深阳蓝光市政工程有限公司</v>
      </c>
      <c r="D3166" s="1389" t="s">
        <v>3718</v>
      </c>
      <c r="E3166" s="1170" t="s">
        <v>3721</v>
      </c>
      <c r="F3166" s="732"/>
      <c r="G3166" s="732"/>
      <c r="H3166" s="1393"/>
      <c r="I3166" s="1393"/>
      <c r="J3166" s="1393"/>
      <c r="K3166" s="1393"/>
      <c r="L3166" s="1393"/>
      <c r="X3166" s="501" t="b">
        <f t="shared" si="258"/>
        <v>0</v>
      </c>
    </row>
    <row r="3167" s="418" customFormat="1" outlineLevel="2" spans="2:24">
      <c r="B3167" s="428" t="s">
        <v>3717</v>
      </c>
      <c r="C3167" s="429" t="str">
        <f t="shared" si="259"/>
        <v>石嘴山市深阳蓝光市政工程有限公司</v>
      </c>
      <c r="D3167" s="1389" t="s">
        <v>3718</v>
      </c>
      <c r="E3167" s="1169"/>
      <c r="F3167" s="732"/>
      <c r="G3167" s="732"/>
      <c r="H3167" s="1393"/>
      <c r="I3167" s="1393"/>
      <c r="J3167" s="1393"/>
      <c r="K3167" s="1393"/>
      <c r="L3167" s="1393"/>
      <c r="X3167" s="501" t="b">
        <f t="shared" si="258"/>
        <v>1</v>
      </c>
    </row>
    <row r="3168" s="418" customFormat="1" outlineLevel="2" spans="2:24">
      <c r="B3168" s="428" t="s">
        <v>3717</v>
      </c>
      <c r="C3168" s="429" t="str">
        <f t="shared" si="259"/>
        <v>石嘴山市深阳蓝光市政工程有限公司</v>
      </c>
      <c r="D3168" s="1389" t="s">
        <v>3718</v>
      </c>
      <c r="E3168" s="1169"/>
      <c r="F3168" s="732"/>
      <c r="G3168" s="732"/>
      <c r="H3168" s="1393"/>
      <c r="I3168" s="1393"/>
      <c r="J3168" s="1393"/>
      <c r="K3168" s="1393"/>
      <c r="L3168" s="1393"/>
      <c r="X3168" s="501" t="b">
        <f t="shared" si="258"/>
        <v>1</v>
      </c>
    </row>
    <row r="3169" s="418" customFormat="1" outlineLevel="2" spans="2:24">
      <c r="B3169" s="428" t="s">
        <v>3717</v>
      </c>
      <c r="C3169" s="429" t="str">
        <f t="shared" si="259"/>
        <v>石嘴山市深阳蓝光市政工程有限公司</v>
      </c>
      <c r="D3169" s="1389" t="s">
        <v>3718</v>
      </c>
      <c r="E3169" s="1169"/>
      <c r="F3169" s="732"/>
      <c r="G3169" s="732"/>
      <c r="H3169" s="1393"/>
      <c r="I3169" s="1393"/>
      <c r="J3169" s="1393"/>
      <c r="K3169" s="1393"/>
      <c r="L3169" s="1393"/>
      <c r="X3169" s="501" t="b">
        <f t="shared" si="258"/>
        <v>1</v>
      </c>
    </row>
    <row r="3170" s="418" customFormat="1" outlineLevel="2" spans="2:24">
      <c r="B3170" s="428" t="s">
        <v>3717</v>
      </c>
      <c r="C3170" s="429" t="str">
        <f t="shared" si="259"/>
        <v>石嘴山市深阳蓝光市政工程有限公司</v>
      </c>
      <c r="D3170" s="1389" t="s">
        <v>3718</v>
      </c>
      <c r="E3170" s="1169"/>
      <c r="F3170" s="732"/>
      <c r="G3170" s="732"/>
      <c r="H3170" s="1393"/>
      <c r="I3170" s="1393"/>
      <c r="J3170" s="1393"/>
      <c r="K3170" s="1393"/>
      <c r="L3170" s="1393"/>
      <c r="X3170" s="501" t="b">
        <f t="shared" si="258"/>
        <v>1</v>
      </c>
    </row>
    <row r="3171" s="418" customFormat="1" outlineLevel="2" spans="2:24">
      <c r="B3171" s="428" t="s">
        <v>3717</v>
      </c>
      <c r="C3171" s="429" t="str">
        <f t="shared" si="259"/>
        <v>石嘴山市深阳蓝光市政工程有限公司</v>
      </c>
      <c r="D3171" s="1389" t="s">
        <v>3718</v>
      </c>
      <c r="E3171" s="1169"/>
      <c r="F3171" s="732"/>
      <c r="G3171" s="732"/>
      <c r="H3171" s="1393"/>
      <c r="I3171" s="1393"/>
      <c r="J3171" s="1393"/>
      <c r="K3171" s="1393"/>
      <c r="L3171" s="1393"/>
      <c r="X3171" s="501" t="b">
        <f t="shared" si="258"/>
        <v>1</v>
      </c>
    </row>
    <row r="3172" s="418" customFormat="1" outlineLevel="2" spans="2:24">
      <c r="B3172" s="428" t="s">
        <v>3717</v>
      </c>
      <c r="C3172" s="429" t="str">
        <f t="shared" si="259"/>
        <v>石嘴山市深阳蓝光市政工程有限公司</v>
      </c>
      <c r="D3172" s="1389" t="s">
        <v>3718</v>
      </c>
      <c r="E3172" s="1169"/>
      <c r="F3172" s="732"/>
      <c r="G3172" s="732"/>
      <c r="H3172" s="1393"/>
      <c r="I3172" s="1393"/>
      <c r="J3172" s="1393"/>
      <c r="K3172" s="1393"/>
      <c r="L3172" s="1393"/>
      <c r="X3172" s="501" t="b">
        <f t="shared" si="258"/>
        <v>1</v>
      </c>
    </row>
    <row r="3173" s="418" customFormat="1" outlineLevel="2" spans="2:24">
      <c r="B3173" s="428" t="s">
        <v>3717</v>
      </c>
      <c r="C3173" s="429" t="str">
        <f t="shared" si="259"/>
        <v>石嘴山市深阳蓝光市政工程有限公司</v>
      </c>
      <c r="D3173" s="1389" t="s">
        <v>3718</v>
      </c>
      <c r="E3173" s="1169"/>
      <c r="F3173" s="732"/>
      <c r="G3173" s="732"/>
      <c r="H3173" s="1393"/>
      <c r="I3173" s="1393"/>
      <c r="J3173" s="1393"/>
      <c r="K3173" s="1393"/>
      <c r="L3173" s="1393"/>
      <c r="X3173" s="501" t="b">
        <f t="shared" si="258"/>
        <v>1</v>
      </c>
    </row>
    <row r="3174" s="418" customFormat="1" outlineLevel="2" spans="2:24">
      <c r="B3174" s="428" t="s">
        <v>3717</v>
      </c>
      <c r="C3174" s="429" t="str">
        <f t="shared" si="259"/>
        <v>石嘴山市深阳蓝光市政工程有限公司</v>
      </c>
      <c r="D3174" s="1389" t="s">
        <v>3718</v>
      </c>
      <c r="E3174" s="1169"/>
      <c r="F3174" s="732"/>
      <c r="G3174" s="732"/>
      <c r="H3174" s="1393"/>
      <c r="I3174" s="1393"/>
      <c r="J3174" s="1393"/>
      <c r="K3174" s="1393"/>
      <c r="L3174" s="1393"/>
      <c r="X3174" s="501" t="b">
        <f t="shared" si="258"/>
        <v>1</v>
      </c>
    </row>
    <row r="3175" s="418" customFormat="1" outlineLevel="2" spans="2:24">
      <c r="B3175" s="428" t="s">
        <v>3717</v>
      </c>
      <c r="C3175" s="429" t="str">
        <f t="shared" si="259"/>
        <v>石嘴山市深阳蓝光市政工程有限公司</v>
      </c>
      <c r="D3175" s="1389" t="s">
        <v>3718</v>
      </c>
      <c r="E3175" s="1169"/>
      <c r="F3175" s="732"/>
      <c r="G3175" s="732"/>
      <c r="H3175" s="1393"/>
      <c r="I3175" s="1393"/>
      <c r="J3175" s="1393"/>
      <c r="K3175" s="1393"/>
      <c r="L3175" s="1393"/>
      <c r="X3175" s="501" t="b">
        <f t="shared" si="258"/>
        <v>1</v>
      </c>
    </row>
    <row r="3176" s="418" customFormat="1" outlineLevel="2" spans="2:24">
      <c r="B3176" s="428" t="s">
        <v>3717</v>
      </c>
      <c r="C3176" s="429" t="str">
        <f t="shared" si="259"/>
        <v>石嘴山市深阳蓝光市政工程有限公司</v>
      </c>
      <c r="D3176" s="1389" t="s">
        <v>3718</v>
      </c>
      <c r="E3176" s="1169"/>
      <c r="F3176" s="732"/>
      <c r="G3176" s="732"/>
      <c r="H3176" s="1393"/>
      <c r="I3176" s="1393"/>
      <c r="J3176" s="1393"/>
      <c r="K3176" s="1393"/>
      <c r="L3176" s="1393"/>
      <c r="X3176" s="501" t="b">
        <f t="shared" si="258"/>
        <v>1</v>
      </c>
    </row>
    <row r="3177" s="418" customFormat="1" outlineLevel="2" spans="1:24">
      <c r="A3177" s="418" t="s">
        <v>3722</v>
      </c>
      <c r="B3177" s="428" t="s">
        <v>3717</v>
      </c>
      <c r="C3177" s="429" t="str">
        <f t="shared" si="259"/>
        <v>石嘴山市深阳蓝光市政工程有限公司</v>
      </c>
      <c r="D3177" s="1389" t="s">
        <v>3722</v>
      </c>
      <c r="E3177" s="1170" t="s">
        <v>3722</v>
      </c>
      <c r="F3177" s="636">
        <f>SUM(F3178:F3188)</f>
        <v>0</v>
      </c>
      <c r="G3177" s="636">
        <f>SUM(G3178:G3188)</f>
        <v>0</v>
      </c>
      <c r="H3177" s="1393"/>
      <c r="I3177" s="1393"/>
      <c r="J3177" s="1393"/>
      <c r="K3177" s="1393"/>
      <c r="L3177" s="1393"/>
      <c r="X3177" s="501" t="b">
        <f t="shared" si="258"/>
        <v>1</v>
      </c>
    </row>
    <row r="3178" s="418" customFormat="1" outlineLevel="2" spans="1:24">
      <c r="A3178" s="418" t="s">
        <v>3720</v>
      </c>
      <c r="B3178" s="428" t="s">
        <v>3717</v>
      </c>
      <c r="C3178" s="429" t="str">
        <f t="shared" si="259"/>
        <v>石嘴山市深阳蓝光市政工程有限公司</v>
      </c>
      <c r="D3178" s="1389" t="s">
        <v>3722</v>
      </c>
      <c r="E3178" s="1170" t="s">
        <v>2641</v>
      </c>
      <c r="F3178" s="732"/>
      <c r="G3178" s="732"/>
      <c r="H3178" s="1393"/>
      <c r="I3178" s="1393"/>
      <c r="J3178" s="1393"/>
      <c r="K3178" s="1393"/>
      <c r="L3178" s="1393"/>
      <c r="X3178" s="501" t="b">
        <f t="shared" si="258"/>
        <v>0</v>
      </c>
    </row>
    <row r="3179" s="418" customFormat="1" outlineLevel="2" spans="2:24">
      <c r="B3179" s="428" t="s">
        <v>3717</v>
      </c>
      <c r="C3179" s="429" t="str">
        <f t="shared" si="259"/>
        <v>石嘴山市深阳蓝光市政工程有限公司</v>
      </c>
      <c r="D3179" s="1389" t="s">
        <v>3722</v>
      </c>
      <c r="E3179" s="1170" t="s">
        <v>3723</v>
      </c>
      <c r="F3179" s="732"/>
      <c r="G3179" s="732"/>
      <c r="H3179" s="1393"/>
      <c r="I3179" s="1393"/>
      <c r="J3179" s="1393"/>
      <c r="K3179" s="1393"/>
      <c r="L3179" s="1393"/>
      <c r="X3179" s="501" t="b">
        <f t="shared" si="258"/>
        <v>0</v>
      </c>
    </row>
    <row r="3180" s="418" customFormat="1" outlineLevel="2" spans="2:24">
      <c r="B3180" s="428" t="s">
        <v>3717</v>
      </c>
      <c r="C3180" s="429" t="str">
        <f t="shared" si="259"/>
        <v>石嘴山市深阳蓝光市政工程有限公司</v>
      </c>
      <c r="D3180" s="1389" t="s">
        <v>3722</v>
      </c>
      <c r="E3180" s="1169"/>
      <c r="F3180" s="732"/>
      <c r="G3180" s="732"/>
      <c r="H3180" s="1393"/>
      <c r="I3180" s="1393"/>
      <c r="J3180" s="1393"/>
      <c r="K3180" s="1393"/>
      <c r="L3180" s="1393"/>
      <c r="X3180" s="501" t="b">
        <f t="shared" si="258"/>
        <v>1</v>
      </c>
    </row>
    <row r="3181" s="418" customFormat="1" ht="15" customHeight="1" outlineLevel="2" spans="2:24">
      <c r="B3181" s="428" t="s">
        <v>3717</v>
      </c>
      <c r="C3181" s="429" t="str">
        <f t="shared" si="259"/>
        <v>石嘴山市深阳蓝光市政工程有限公司</v>
      </c>
      <c r="D3181" s="1389" t="s">
        <v>3722</v>
      </c>
      <c r="E3181" s="1169"/>
      <c r="F3181" s="732"/>
      <c r="G3181" s="732"/>
      <c r="H3181" s="1393"/>
      <c r="I3181" s="1393"/>
      <c r="J3181" s="1393"/>
      <c r="K3181" s="1393"/>
      <c r="L3181" s="1393"/>
      <c r="X3181" s="501" t="b">
        <f t="shared" si="258"/>
        <v>1</v>
      </c>
    </row>
    <row r="3182" s="418" customFormat="1" outlineLevel="2" spans="2:24">
      <c r="B3182" s="428" t="s">
        <v>3717</v>
      </c>
      <c r="C3182" s="429" t="str">
        <f t="shared" si="259"/>
        <v>石嘴山市深阳蓝光市政工程有限公司</v>
      </c>
      <c r="D3182" s="1389" t="s">
        <v>3722</v>
      </c>
      <c r="E3182" s="1169"/>
      <c r="F3182" s="732"/>
      <c r="G3182" s="732"/>
      <c r="H3182" s="1393"/>
      <c r="I3182" s="1393"/>
      <c r="J3182" s="1393"/>
      <c r="K3182" s="1393"/>
      <c r="L3182" s="1393"/>
      <c r="X3182" s="501" t="b">
        <f t="shared" si="258"/>
        <v>1</v>
      </c>
    </row>
    <row r="3183" s="418" customFormat="1" outlineLevel="2" spans="2:24">
      <c r="B3183" s="428" t="s">
        <v>3717</v>
      </c>
      <c r="C3183" s="429" t="str">
        <f t="shared" si="259"/>
        <v>石嘴山市深阳蓝光市政工程有限公司</v>
      </c>
      <c r="D3183" s="1389" t="s">
        <v>3722</v>
      </c>
      <c r="E3183" s="1169"/>
      <c r="F3183" s="732"/>
      <c r="G3183" s="732"/>
      <c r="H3183" s="1393"/>
      <c r="I3183" s="1393"/>
      <c r="J3183" s="1393"/>
      <c r="K3183" s="1393"/>
      <c r="L3183" s="1393"/>
      <c r="X3183" s="501" t="b">
        <f t="shared" si="258"/>
        <v>1</v>
      </c>
    </row>
    <row r="3184" s="418" customFormat="1" outlineLevel="2" spans="2:24">
      <c r="B3184" s="428" t="s">
        <v>3717</v>
      </c>
      <c r="C3184" s="429" t="str">
        <f t="shared" si="259"/>
        <v>石嘴山市深阳蓝光市政工程有限公司</v>
      </c>
      <c r="D3184" s="1389" t="s">
        <v>3722</v>
      </c>
      <c r="E3184" s="1169"/>
      <c r="F3184" s="732"/>
      <c r="G3184" s="732"/>
      <c r="H3184" s="1393"/>
      <c r="I3184" s="1393"/>
      <c r="J3184" s="1393"/>
      <c r="K3184" s="1393"/>
      <c r="L3184" s="1393"/>
      <c r="X3184" s="501" t="b">
        <f t="shared" si="258"/>
        <v>1</v>
      </c>
    </row>
    <row r="3185" s="418" customFormat="1" outlineLevel="2" spans="2:24">
      <c r="B3185" s="428" t="s">
        <v>3717</v>
      </c>
      <c r="C3185" s="429" t="str">
        <f t="shared" si="259"/>
        <v>石嘴山市深阳蓝光市政工程有限公司</v>
      </c>
      <c r="D3185" s="1389" t="s">
        <v>3722</v>
      </c>
      <c r="E3185" s="1169"/>
      <c r="F3185" s="732"/>
      <c r="G3185" s="732"/>
      <c r="H3185" s="1393"/>
      <c r="I3185" s="1393"/>
      <c r="J3185" s="1393"/>
      <c r="K3185" s="1393"/>
      <c r="L3185" s="1393"/>
      <c r="X3185" s="501" t="b">
        <f t="shared" si="258"/>
        <v>1</v>
      </c>
    </row>
    <row r="3186" outlineLevel="2" spans="2:24">
      <c r="B3186" s="428" t="s">
        <v>3717</v>
      </c>
      <c r="C3186" s="429" t="str">
        <f t="shared" si="259"/>
        <v>石嘴山市深阳蓝光市政工程有限公司</v>
      </c>
      <c r="D3186" s="423" t="s">
        <v>3722</v>
      </c>
      <c r="E3186" s="1169"/>
      <c r="F3186" s="732"/>
      <c r="G3186" s="732"/>
      <c r="X3186" s="501" t="b">
        <f t="shared" si="258"/>
        <v>1</v>
      </c>
    </row>
    <row r="3187" outlineLevel="2" spans="2:24">
      <c r="B3187" s="428" t="s">
        <v>3717</v>
      </c>
      <c r="C3187" s="429" t="str">
        <f t="shared" si="259"/>
        <v>石嘴山市深阳蓝光市政工程有限公司</v>
      </c>
      <c r="D3187" s="423" t="s">
        <v>3722</v>
      </c>
      <c r="E3187" s="1169"/>
      <c r="F3187" s="732"/>
      <c r="G3187" s="732"/>
      <c r="X3187" s="501" t="b">
        <f t="shared" si="258"/>
        <v>1</v>
      </c>
    </row>
    <row r="3188" outlineLevel="2" spans="2:24">
      <c r="B3188" s="428" t="s">
        <v>3717</v>
      </c>
      <c r="C3188" s="429" t="str">
        <f t="shared" si="259"/>
        <v>石嘴山市深阳蓝光市政工程有限公司</v>
      </c>
      <c r="D3188" s="423" t="s">
        <v>3722</v>
      </c>
      <c r="E3188" s="1475"/>
      <c r="F3188" s="1476"/>
      <c r="G3188" s="1476"/>
      <c r="X3188" s="501" t="b">
        <f t="shared" si="258"/>
        <v>1</v>
      </c>
    </row>
    <row r="3189" outlineLevel="2" spans="1:24">
      <c r="A3189" s="85" t="s">
        <v>3724</v>
      </c>
      <c r="B3189" s="428" t="s">
        <v>3717</v>
      </c>
      <c r="C3189" s="429" t="str">
        <f t="shared" si="259"/>
        <v>石嘴山市深阳蓝光市政工程有限公司</v>
      </c>
      <c r="D3189" s="423" t="s">
        <v>3722</v>
      </c>
      <c r="E3189" s="1472" t="s">
        <v>3725</v>
      </c>
      <c r="F3189" s="1153">
        <f>审定现流表!C23</f>
        <v>0</v>
      </c>
      <c r="G3189" s="1153">
        <f>审定现流表!D23</f>
        <v>0</v>
      </c>
      <c r="X3189" s="501" t="b">
        <f t="shared" si="258"/>
        <v>1</v>
      </c>
    </row>
    <row r="3190" outlineLevel="1" spans="1:24">
      <c r="A3190" s="85" t="s">
        <v>1556</v>
      </c>
      <c r="B3190" s="428" t="s">
        <v>3717</v>
      </c>
      <c r="C3190" s="429" t="str">
        <f t="shared" si="259"/>
        <v>石嘴山市深阳蓝光市政工程有限公司</v>
      </c>
      <c r="D3190" s="423" t="s">
        <v>3722</v>
      </c>
      <c r="E3190" s="1472" t="s">
        <v>1556</v>
      </c>
      <c r="F3190" s="721">
        <f>ROUND(F3165-F3189,2)</f>
        <v>0</v>
      </c>
      <c r="G3190" s="721">
        <f>ROUND(G3165-G3189,2)</f>
        <v>0</v>
      </c>
      <c r="X3190" s="501" t="b">
        <f t="shared" si="258"/>
        <v>1</v>
      </c>
    </row>
    <row r="3191" outlineLevel="2" spans="1:24">
      <c r="A3191" s="85" t="s">
        <v>3726</v>
      </c>
      <c r="B3191" s="428" t="s">
        <v>3717</v>
      </c>
      <c r="C3191" s="429" t="str">
        <f t="shared" si="259"/>
        <v>石嘴山市深阳蓝光市政工程有限公司</v>
      </c>
      <c r="D3191" s="423" t="s">
        <v>3722</v>
      </c>
      <c r="E3191" s="1472" t="s">
        <v>3727</v>
      </c>
      <c r="F3191" s="1153">
        <f>审定现流表!C28</f>
        <v>0</v>
      </c>
      <c r="G3191" s="1153">
        <f>审定现流表!D28</f>
        <v>0</v>
      </c>
      <c r="X3191" s="501" t="b">
        <f t="shared" si="258"/>
        <v>1</v>
      </c>
    </row>
    <row r="3192" outlineLevel="2" spans="1:24">
      <c r="A3192" s="85" t="s">
        <v>1556</v>
      </c>
      <c r="B3192" s="428" t="s">
        <v>3717</v>
      </c>
      <c r="C3192" s="429" t="str">
        <f t="shared" si="259"/>
        <v>石嘴山市深阳蓝光市政工程有限公司</v>
      </c>
      <c r="D3192" s="423" t="s">
        <v>3722</v>
      </c>
      <c r="E3192" s="1472" t="s">
        <v>1556</v>
      </c>
      <c r="F3192" s="721">
        <f>ROUND(F3177-F3191,2)</f>
        <v>0</v>
      </c>
      <c r="G3192" s="721">
        <f>ROUND(G3177-G3191,2)</f>
        <v>0</v>
      </c>
      <c r="X3192" s="501" t="b">
        <f t="shared" si="258"/>
        <v>1</v>
      </c>
    </row>
    <row r="3193" outlineLevel="2" spans="1:24">
      <c r="A3193" s="85" t="s">
        <v>3728</v>
      </c>
      <c r="B3193" s="428" t="s">
        <v>3717</v>
      </c>
      <c r="C3193" s="429" t="str">
        <f t="shared" si="259"/>
        <v>石嘴山市深阳蓝光市政工程有限公司</v>
      </c>
      <c r="D3193" s="423" t="s">
        <v>3728</v>
      </c>
      <c r="E3193" s="149" t="s">
        <v>3728</v>
      </c>
      <c r="F3193" s="1472"/>
      <c r="G3193" s="1472"/>
      <c r="X3193" s="501" t="b">
        <f t="shared" si="258"/>
        <v>1</v>
      </c>
    </row>
    <row r="3194" outlineLevel="2" spans="1:24">
      <c r="A3194" s="85" t="s">
        <v>2315</v>
      </c>
      <c r="B3194" s="428" t="s">
        <v>3717</v>
      </c>
      <c r="C3194" s="429" t="str">
        <f t="shared" si="259"/>
        <v>石嘴山市深阳蓝光市政工程有限公司</v>
      </c>
      <c r="D3194" s="423" t="s">
        <v>3728</v>
      </c>
      <c r="E3194" s="149" t="s">
        <v>2334</v>
      </c>
      <c r="F3194" s="1477"/>
      <c r="G3194" s="1477"/>
      <c r="X3194" s="501" t="b">
        <f t="shared" si="258"/>
        <v>1</v>
      </c>
    </row>
    <row r="3195" outlineLevel="2" spans="1:24">
      <c r="A3195" s="85" t="s">
        <v>3729</v>
      </c>
      <c r="B3195" s="428" t="s">
        <v>3717</v>
      </c>
      <c r="C3195" s="429" t="str">
        <f t="shared" si="259"/>
        <v>石嘴山市深阳蓝光市政工程有限公司</v>
      </c>
      <c r="D3195" s="423" t="s">
        <v>3729</v>
      </c>
      <c r="E3195" s="149" t="s">
        <v>3729</v>
      </c>
      <c r="F3195" s="1472"/>
      <c r="G3195" s="1472"/>
      <c r="X3195" s="501" t="b">
        <f t="shared" si="258"/>
        <v>1</v>
      </c>
    </row>
    <row r="3196" outlineLevel="2" spans="1:24">
      <c r="A3196" s="85" t="s">
        <v>2315</v>
      </c>
      <c r="B3196" s="428" t="s">
        <v>3717</v>
      </c>
      <c r="C3196" s="429" t="str">
        <f t="shared" si="259"/>
        <v>石嘴山市深阳蓝光市政工程有限公司</v>
      </c>
      <c r="D3196" s="423" t="s">
        <v>3729</v>
      </c>
      <c r="E3196" s="149" t="s">
        <v>2334</v>
      </c>
      <c r="F3196" s="1477"/>
      <c r="G3196" s="1477"/>
      <c r="X3196" s="501" t="b">
        <f t="shared" si="258"/>
        <v>1</v>
      </c>
    </row>
    <row r="3197" outlineLevel="2" spans="2:24">
      <c r="B3197" s="428" t="s">
        <v>3717</v>
      </c>
      <c r="C3197" s="429" t="str">
        <f t="shared" si="259"/>
        <v>石嘴山市深阳蓝光市政工程有限公司</v>
      </c>
      <c r="D3197" s="423" t="s">
        <v>3729</v>
      </c>
      <c r="E3197" s="149"/>
      <c r="F3197" s="1472"/>
      <c r="G3197" s="1472"/>
      <c r="X3197" s="501" t="b">
        <f t="shared" si="258"/>
        <v>1</v>
      </c>
    </row>
    <row r="3198" outlineLevel="2" spans="2:24">
      <c r="B3198" s="428" t="s">
        <v>3717</v>
      </c>
      <c r="C3198" s="429" t="str">
        <f t="shared" si="259"/>
        <v>石嘴山市深阳蓝光市政工程有限公司</v>
      </c>
      <c r="D3198" s="423" t="s">
        <v>3729</v>
      </c>
      <c r="E3198" s="1472"/>
      <c r="F3198" s="1472"/>
      <c r="G3198" s="1472"/>
      <c r="X3198" s="501" t="b">
        <f t="shared" si="258"/>
        <v>1</v>
      </c>
    </row>
    <row r="3199" spans="1:24">
      <c r="A3199" s="85" t="s">
        <v>3730</v>
      </c>
      <c r="B3199" s="421" t="s">
        <v>3731</v>
      </c>
      <c r="C3199" s="429" t="str">
        <f t="shared" si="259"/>
        <v>石嘴山市深阳蓝光市政工程有限公司</v>
      </c>
      <c r="D3199" s="423" t="s">
        <v>3732</v>
      </c>
      <c r="E3199" s="937" t="s">
        <v>3733</v>
      </c>
      <c r="F3199" s="485"/>
      <c r="G3199" s="1446" t="s">
        <v>2635</v>
      </c>
      <c r="X3199" s="501" t="b">
        <f t="shared" si="258"/>
        <v>0</v>
      </c>
    </row>
    <row r="3200" outlineLevel="2" spans="1:24">
      <c r="A3200" s="85" t="s">
        <v>3687</v>
      </c>
      <c r="B3200" s="421" t="s">
        <v>3731</v>
      </c>
      <c r="C3200" s="429" t="str">
        <f t="shared" si="259"/>
        <v>石嘴山市深阳蓝光市政工程有限公司</v>
      </c>
      <c r="D3200" s="423" t="s">
        <v>3732</v>
      </c>
      <c r="E3200" s="128" t="s">
        <v>3687</v>
      </c>
      <c r="F3200" s="128" t="s">
        <v>2005</v>
      </c>
      <c r="G3200" s="128" t="s">
        <v>2001</v>
      </c>
      <c r="X3200" s="501" t="b">
        <f t="shared" si="258"/>
        <v>1</v>
      </c>
    </row>
    <row r="3201" outlineLevel="2" spans="1:24">
      <c r="A3201" s="85" t="s">
        <v>3732</v>
      </c>
      <c r="B3201" s="421" t="s">
        <v>3731</v>
      </c>
      <c r="C3201" s="429" t="str">
        <f t="shared" si="259"/>
        <v>石嘴山市深阳蓝光市政工程有限公司</v>
      </c>
      <c r="D3201" s="423" t="s">
        <v>3732</v>
      </c>
      <c r="E3201" s="521" t="s">
        <v>3732</v>
      </c>
      <c r="F3201" s="858">
        <f>SUM(F3202:F3209)</f>
        <v>0</v>
      </c>
      <c r="G3201" s="858">
        <f>SUM(G3202:G3209)</f>
        <v>0</v>
      </c>
      <c r="X3201" s="501" t="b">
        <f t="shared" si="258"/>
        <v>1</v>
      </c>
    </row>
    <row r="3202" outlineLevel="2" spans="1:24">
      <c r="A3202" s="85" t="s">
        <v>3720</v>
      </c>
      <c r="B3202" s="421" t="s">
        <v>3731</v>
      </c>
      <c r="C3202" s="429" t="str">
        <f t="shared" si="259"/>
        <v>石嘴山市深阳蓝光市政工程有限公司</v>
      </c>
      <c r="D3202" s="423" t="s">
        <v>3732</v>
      </c>
      <c r="E3202" s="521" t="s">
        <v>3734</v>
      </c>
      <c r="F3202" s="997"/>
      <c r="G3202" s="997"/>
      <c r="X3202" s="501" t="b">
        <f t="shared" si="258"/>
        <v>0</v>
      </c>
    </row>
    <row r="3203" outlineLevel="2" spans="2:24">
      <c r="B3203" s="421" t="s">
        <v>3731</v>
      </c>
      <c r="C3203" s="429" t="str">
        <f t="shared" si="259"/>
        <v>石嘴山市深阳蓝光市政工程有限公司</v>
      </c>
      <c r="D3203" s="423" t="s">
        <v>3732</v>
      </c>
      <c r="E3203" s="949"/>
      <c r="F3203" s="997"/>
      <c r="G3203" s="997"/>
      <c r="X3203" s="501" t="b">
        <f t="shared" si="258"/>
        <v>1</v>
      </c>
    </row>
    <row r="3204" outlineLevel="2" spans="2:24">
      <c r="B3204" s="421" t="s">
        <v>3731</v>
      </c>
      <c r="C3204" s="429" t="str">
        <f t="shared" si="259"/>
        <v>石嘴山市深阳蓝光市政工程有限公司</v>
      </c>
      <c r="D3204" s="423" t="s">
        <v>3732</v>
      </c>
      <c r="E3204" s="949"/>
      <c r="F3204" s="997"/>
      <c r="G3204" s="997"/>
      <c r="X3204" s="501" t="b">
        <f t="shared" si="258"/>
        <v>1</v>
      </c>
    </row>
    <row r="3205" outlineLevel="2" spans="2:24">
      <c r="B3205" s="421" t="s">
        <v>3731</v>
      </c>
      <c r="C3205" s="429" t="str">
        <f t="shared" si="259"/>
        <v>石嘴山市深阳蓝光市政工程有限公司</v>
      </c>
      <c r="D3205" s="423" t="s">
        <v>3732</v>
      </c>
      <c r="E3205" s="949"/>
      <c r="F3205" s="997"/>
      <c r="G3205" s="997"/>
      <c r="X3205" s="501" t="b">
        <f t="shared" si="258"/>
        <v>1</v>
      </c>
    </row>
    <row r="3206" outlineLevel="2" spans="2:24">
      <c r="B3206" s="421" t="s">
        <v>3731</v>
      </c>
      <c r="C3206" s="429" t="str">
        <f t="shared" si="259"/>
        <v>石嘴山市深阳蓝光市政工程有限公司</v>
      </c>
      <c r="D3206" s="423" t="s">
        <v>3732</v>
      </c>
      <c r="E3206" s="949"/>
      <c r="F3206" s="997"/>
      <c r="G3206" s="997"/>
      <c r="X3206" s="501" t="b">
        <f t="shared" ref="X3206:X3269" si="260">EXACT(A3206,E3206)</f>
        <v>1</v>
      </c>
    </row>
    <row r="3207" outlineLevel="2" spans="2:24">
      <c r="B3207" s="421" t="s">
        <v>3731</v>
      </c>
      <c r="C3207" s="429" t="str">
        <f t="shared" si="259"/>
        <v>石嘴山市深阳蓝光市政工程有限公司</v>
      </c>
      <c r="D3207" s="423" t="s">
        <v>3732</v>
      </c>
      <c r="E3207" s="949"/>
      <c r="F3207" s="997"/>
      <c r="G3207" s="997"/>
      <c r="X3207" s="501" t="b">
        <f t="shared" si="260"/>
        <v>1</v>
      </c>
    </row>
    <row r="3208" outlineLevel="2" spans="2:24">
      <c r="B3208" s="421" t="s">
        <v>3731</v>
      </c>
      <c r="C3208" s="429" t="str">
        <f t="shared" si="259"/>
        <v>石嘴山市深阳蓝光市政工程有限公司</v>
      </c>
      <c r="D3208" s="423" t="s">
        <v>3732</v>
      </c>
      <c r="E3208" s="949"/>
      <c r="F3208" s="997"/>
      <c r="G3208" s="997"/>
      <c r="X3208" s="501" t="b">
        <f t="shared" si="260"/>
        <v>1</v>
      </c>
    </row>
    <row r="3209" outlineLevel="2" spans="2:24">
      <c r="B3209" s="421" t="s">
        <v>3731</v>
      </c>
      <c r="C3209" s="429" t="str">
        <f t="shared" si="259"/>
        <v>石嘴山市深阳蓝光市政工程有限公司</v>
      </c>
      <c r="D3209" s="423" t="s">
        <v>3732</v>
      </c>
      <c r="E3209" s="949"/>
      <c r="F3209" s="997"/>
      <c r="G3209" s="997"/>
      <c r="X3209" s="501" t="b">
        <f t="shared" si="260"/>
        <v>1</v>
      </c>
    </row>
    <row r="3210" outlineLevel="2" spans="1:24">
      <c r="A3210" s="85" t="s">
        <v>3735</v>
      </c>
      <c r="B3210" s="421" t="s">
        <v>3731</v>
      </c>
      <c r="C3210" s="429" t="str">
        <f t="shared" si="259"/>
        <v>石嘴山市深阳蓝光市政工程有限公司</v>
      </c>
      <c r="D3210" s="423" t="s">
        <v>3735</v>
      </c>
      <c r="E3210" s="521" t="s">
        <v>3735</v>
      </c>
      <c r="F3210" s="858">
        <f>SUM(F3211:F3219)</f>
        <v>0</v>
      </c>
      <c r="G3210" s="858">
        <f>SUM(G3211:G3219)</f>
        <v>0</v>
      </c>
      <c r="X3210" s="501" t="b">
        <f t="shared" si="260"/>
        <v>1</v>
      </c>
    </row>
    <row r="3211" outlineLevel="2" spans="1:24">
      <c r="A3211" s="85" t="s">
        <v>3720</v>
      </c>
      <c r="B3211" s="421" t="s">
        <v>3731</v>
      </c>
      <c r="C3211" s="429" t="str">
        <f t="shared" si="259"/>
        <v>石嘴山市深阳蓝光市政工程有限公司</v>
      </c>
      <c r="D3211" s="423" t="s">
        <v>3735</v>
      </c>
      <c r="E3211" s="521" t="s">
        <v>3736</v>
      </c>
      <c r="F3211" s="997"/>
      <c r="G3211" s="997"/>
      <c r="X3211" s="501" t="b">
        <f t="shared" si="260"/>
        <v>0</v>
      </c>
    </row>
    <row r="3212" outlineLevel="2" spans="2:24">
      <c r="B3212" s="421" t="s">
        <v>3731</v>
      </c>
      <c r="C3212" s="429" t="str">
        <f t="shared" si="259"/>
        <v>石嘴山市深阳蓝光市政工程有限公司</v>
      </c>
      <c r="D3212" s="423" t="s">
        <v>3735</v>
      </c>
      <c r="E3212" s="521" t="s">
        <v>3737</v>
      </c>
      <c r="F3212" s="997"/>
      <c r="G3212" s="997"/>
      <c r="X3212" s="501" t="b">
        <f t="shared" si="260"/>
        <v>0</v>
      </c>
    </row>
    <row r="3213" outlineLevel="2" spans="2:24">
      <c r="B3213" s="421" t="s">
        <v>3731</v>
      </c>
      <c r="C3213" s="429" t="str">
        <f t="shared" si="259"/>
        <v>石嘴山市深阳蓝光市政工程有限公司</v>
      </c>
      <c r="D3213" s="423" t="s">
        <v>3735</v>
      </c>
      <c r="E3213" s="521" t="s">
        <v>3738</v>
      </c>
      <c r="F3213" s="997"/>
      <c r="G3213" s="997"/>
      <c r="X3213" s="501" t="b">
        <f t="shared" si="260"/>
        <v>0</v>
      </c>
    </row>
    <row r="3214" outlineLevel="2" spans="2:24">
      <c r="B3214" s="421" t="s">
        <v>3731</v>
      </c>
      <c r="C3214" s="429" t="str">
        <f t="shared" si="259"/>
        <v>石嘴山市深阳蓝光市政工程有限公司</v>
      </c>
      <c r="D3214" s="423" t="s">
        <v>3735</v>
      </c>
      <c r="E3214" s="949"/>
      <c r="F3214" s="997"/>
      <c r="G3214" s="997"/>
      <c r="X3214" s="501" t="b">
        <f t="shared" si="260"/>
        <v>1</v>
      </c>
    </row>
    <row r="3215" outlineLevel="2" spans="2:24">
      <c r="B3215" s="421" t="s">
        <v>3731</v>
      </c>
      <c r="C3215" s="429" t="str">
        <f t="shared" si="259"/>
        <v>石嘴山市深阳蓝光市政工程有限公司</v>
      </c>
      <c r="D3215" s="423" t="s">
        <v>3735</v>
      </c>
      <c r="E3215" s="949"/>
      <c r="F3215" s="997"/>
      <c r="G3215" s="997"/>
      <c r="X3215" s="501" t="b">
        <f t="shared" si="260"/>
        <v>1</v>
      </c>
    </row>
    <row r="3216" outlineLevel="2" spans="2:24">
      <c r="B3216" s="421" t="s">
        <v>3731</v>
      </c>
      <c r="C3216" s="429" t="str">
        <f t="shared" si="259"/>
        <v>石嘴山市深阳蓝光市政工程有限公司</v>
      </c>
      <c r="D3216" s="423" t="s">
        <v>3735</v>
      </c>
      <c r="E3216" s="98"/>
      <c r="F3216" s="547"/>
      <c r="G3216" s="547"/>
      <c r="X3216" s="501" t="b">
        <f t="shared" si="260"/>
        <v>1</v>
      </c>
    </row>
    <row r="3217" outlineLevel="2" spans="2:24">
      <c r="B3217" s="421" t="s">
        <v>3731</v>
      </c>
      <c r="C3217" s="429" t="str">
        <f t="shared" si="259"/>
        <v>石嘴山市深阳蓝光市政工程有限公司</v>
      </c>
      <c r="D3217" s="423" t="s">
        <v>3735</v>
      </c>
      <c r="E3217" s="98"/>
      <c r="F3217" s="547"/>
      <c r="G3217" s="547"/>
      <c r="X3217" s="501" t="b">
        <f t="shared" si="260"/>
        <v>1</v>
      </c>
    </row>
    <row r="3218" outlineLevel="2" spans="2:24">
      <c r="B3218" s="421" t="s">
        <v>3731</v>
      </c>
      <c r="C3218" s="429" t="str">
        <f t="shared" si="259"/>
        <v>石嘴山市深阳蓝光市政工程有限公司</v>
      </c>
      <c r="D3218" s="423" t="s">
        <v>3735</v>
      </c>
      <c r="E3218" s="98"/>
      <c r="F3218" s="547"/>
      <c r="G3218" s="547"/>
      <c r="X3218" s="501" t="b">
        <f t="shared" si="260"/>
        <v>1</v>
      </c>
    </row>
    <row r="3219" outlineLevel="2" spans="2:24">
      <c r="B3219" s="421" t="s">
        <v>3731</v>
      </c>
      <c r="C3219" s="429" t="str">
        <f t="shared" ref="C3219:C3282" si="261">$G$1</f>
        <v>石嘴山市深阳蓝光市政工程有限公司</v>
      </c>
      <c r="D3219" s="423" t="s">
        <v>3735</v>
      </c>
      <c r="E3219" s="98"/>
      <c r="F3219" s="547"/>
      <c r="G3219" s="547"/>
      <c r="X3219" s="501" t="b">
        <f t="shared" si="260"/>
        <v>1</v>
      </c>
    </row>
    <row r="3220" outlineLevel="2" spans="1:24">
      <c r="A3220" s="85" t="s">
        <v>3739</v>
      </c>
      <c r="B3220" s="421" t="s">
        <v>3731</v>
      </c>
      <c r="C3220" s="429" t="str">
        <f t="shared" si="261"/>
        <v>石嘴山市深阳蓝光市政工程有限公司</v>
      </c>
      <c r="D3220" s="423" t="s">
        <v>3735</v>
      </c>
      <c r="E3220" s="1472" t="s">
        <v>3740</v>
      </c>
      <c r="F3220" s="1481">
        <f>审定现流表!C37</f>
        <v>0</v>
      </c>
      <c r="G3220" s="1481">
        <f>审定现流表!D37</f>
        <v>0</v>
      </c>
      <c r="X3220" s="501" t="b">
        <f t="shared" si="260"/>
        <v>1</v>
      </c>
    </row>
    <row r="3221" outlineLevel="1" spans="1:24">
      <c r="A3221" s="85" t="s">
        <v>1556</v>
      </c>
      <c r="B3221" s="421" t="s">
        <v>3731</v>
      </c>
      <c r="C3221" s="429" t="str">
        <f t="shared" si="261"/>
        <v>石嘴山市深阳蓝光市政工程有限公司</v>
      </c>
      <c r="D3221" s="423" t="s">
        <v>3735</v>
      </c>
      <c r="E3221" s="1472" t="s">
        <v>1556</v>
      </c>
      <c r="F3221" s="721">
        <f>ROUND(F3201-F3220,2)</f>
        <v>0</v>
      </c>
      <c r="G3221" s="721">
        <f>G3201-G3220</f>
        <v>0</v>
      </c>
      <c r="X3221" s="501" t="b">
        <f t="shared" si="260"/>
        <v>1</v>
      </c>
    </row>
    <row r="3222" outlineLevel="2" spans="1:24">
      <c r="A3222" s="85" t="s">
        <v>3741</v>
      </c>
      <c r="B3222" s="421" t="s">
        <v>3731</v>
      </c>
      <c r="C3222" s="429" t="str">
        <f t="shared" si="261"/>
        <v>石嘴山市深阳蓝光市政工程有限公司</v>
      </c>
      <c r="D3222" s="423" t="s">
        <v>3735</v>
      </c>
      <c r="E3222" s="1472" t="s">
        <v>3742</v>
      </c>
      <c r="F3222" s="1481">
        <f>审定现流表!C42</f>
        <v>0</v>
      </c>
      <c r="G3222" s="1481">
        <f>审定现流表!D42</f>
        <v>0</v>
      </c>
      <c r="X3222" s="501" t="b">
        <f t="shared" si="260"/>
        <v>1</v>
      </c>
    </row>
    <row r="3223" outlineLevel="2" spans="1:24">
      <c r="A3223" s="85" t="s">
        <v>1556</v>
      </c>
      <c r="B3223" s="421" t="s">
        <v>3731</v>
      </c>
      <c r="C3223" s="429" t="str">
        <f t="shared" si="261"/>
        <v>石嘴山市深阳蓝光市政工程有限公司</v>
      </c>
      <c r="D3223" s="423" t="s">
        <v>3735</v>
      </c>
      <c r="E3223" s="1472" t="s">
        <v>1556</v>
      </c>
      <c r="F3223" s="721">
        <f>F3210-F3222</f>
        <v>0</v>
      </c>
      <c r="G3223" s="721">
        <f>G3210-G3222</f>
        <v>0</v>
      </c>
      <c r="X3223" s="501" t="b">
        <f t="shared" si="260"/>
        <v>1</v>
      </c>
    </row>
    <row r="3224" outlineLevel="2" spans="1:24">
      <c r="A3224" s="85" t="s">
        <v>3743</v>
      </c>
      <c r="B3224" s="421" t="s">
        <v>3731</v>
      </c>
      <c r="C3224" s="429" t="str">
        <f t="shared" si="261"/>
        <v>石嘴山市深阳蓝光市政工程有限公司</v>
      </c>
      <c r="D3224" s="423" t="s">
        <v>3743</v>
      </c>
      <c r="E3224" s="149" t="s">
        <v>3743</v>
      </c>
      <c r="X3224" s="501" t="b">
        <f t="shared" si="260"/>
        <v>1</v>
      </c>
    </row>
    <row r="3225" outlineLevel="2" spans="1:24">
      <c r="A3225" s="85" t="s">
        <v>2315</v>
      </c>
      <c r="B3225" s="421" t="s">
        <v>3731</v>
      </c>
      <c r="C3225" s="429" t="str">
        <f t="shared" si="261"/>
        <v>石嘴山市深阳蓝光市政工程有限公司</v>
      </c>
      <c r="D3225" s="423" t="s">
        <v>3743</v>
      </c>
      <c r="E3225" s="149" t="s">
        <v>2334</v>
      </c>
      <c r="F3225" s="1477"/>
      <c r="G3225" s="1477"/>
      <c r="X3225" s="501" t="b">
        <f t="shared" si="260"/>
        <v>1</v>
      </c>
    </row>
    <row r="3226" outlineLevel="2" spans="1:24">
      <c r="A3226" s="85" t="s">
        <v>3744</v>
      </c>
      <c r="B3226" s="421" t="s">
        <v>3731</v>
      </c>
      <c r="C3226" s="429" t="str">
        <f t="shared" si="261"/>
        <v>石嘴山市深阳蓝光市政工程有限公司</v>
      </c>
      <c r="D3226" s="423" t="s">
        <v>3744</v>
      </c>
      <c r="E3226" s="149" t="s">
        <v>3744</v>
      </c>
      <c r="X3226" s="501" t="b">
        <f t="shared" si="260"/>
        <v>1</v>
      </c>
    </row>
    <row r="3227" outlineLevel="2" spans="1:24">
      <c r="A3227" s="85" t="s">
        <v>2315</v>
      </c>
      <c r="B3227" s="421" t="s">
        <v>3731</v>
      </c>
      <c r="C3227" s="429" t="str">
        <f t="shared" si="261"/>
        <v>石嘴山市深阳蓝光市政工程有限公司</v>
      </c>
      <c r="D3227" s="423" t="s">
        <v>3744</v>
      </c>
      <c r="E3227" s="149" t="s">
        <v>2334</v>
      </c>
      <c r="F3227" s="1477"/>
      <c r="G3227" s="1477"/>
      <c r="X3227" s="501" t="b">
        <f t="shared" si="260"/>
        <v>1</v>
      </c>
    </row>
    <row r="3228" outlineLevel="2" spans="2:24">
      <c r="B3228" s="421" t="s">
        <v>3731</v>
      </c>
      <c r="C3228" s="429" t="str">
        <f t="shared" si="261"/>
        <v>石嘴山市深阳蓝光市政工程有限公司</v>
      </c>
      <c r="D3228" s="423" t="s">
        <v>3744</v>
      </c>
      <c r="X3228" s="501" t="b">
        <f t="shared" si="260"/>
        <v>1</v>
      </c>
    </row>
    <row r="3229" spans="1:24">
      <c r="A3229" s="85" t="s">
        <v>3745</v>
      </c>
      <c r="B3229" s="421" t="s">
        <v>3746</v>
      </c>
      <c r="C3229" s="429" t="str">
        <f t="shared" si="261"/>
        <v>石嘴山市深阳蓝光市政工程有限公司</v>
      </c>
      <c r="D3229" s="423" t="s">
        <v>3747</v>
      </c>
      <c r="E3229" s="937" t="s">
        <v>3745</v>
      </c>
      <c r="H3229" s="1446" t="s">
        <v>2635</v>
      </c>
      <c r="X3229" s="501" t="b">
        <f t="shared" si="260"/>
        <v>1</v>
      </c>
    </row>
    <row r="3230" outlineLevel="2" spans="2:24">
      <c r="B3230" s="421" t="s">
        <v>3746</v>
      </c>
      <c r="C3230" s="429" t="str">
        <f t="shared" si="261"/>
        <v>石嘴山市深阳蓝光市政工程有限公司</v>
      </c>
      <c r="D3230" s="423" t="s">
        <v>3747</v>
      </c>
      <c r="X3230" s="501" t="b">
        <f t="shared" si="260"/>
        <v>1</v>
      </c>
    </row>
    <row r="3231" outlineLevel="2" spans="1:24">
      <c r="A3231" s="85" t="s">
        <v>2325</v>
      </c>
      <c r="B3231" s="421" t="s">
        <v>3746</v>
      </c>
      <c r="C3231" s="429" t="str">
        <f t="shared" si="261"/>
        <v>石嘴山市深阳蓝光市政工程有限公司</v>
      </c>
      <c r="D3231" s="423" t="s">
        <v>3747</v>
      </c>
      <c r="E3231" s="1170" t="s">
        <v>2326</v>
      </c>
      <c r="F3231" s="1169" t="s">
        <v>3748</v>
      </c>
      <c r="G3231" s="1169" t="s">
        <v>3749</v>
      </c>
      <c r="H3231" s="1169" t="s">
        <v>3750</v>
      </c>
      <c r="X3231" s="501" t="b">
        <f t="shared" si="260"/>
        <v>1</v>
      </c>
    </row>
    <row r="3232" outlineLevel="2" spans="1:24">
      <c r="A3232" s="85" t="s">
        <v>3747</v>
      </c>
      <c r="B3232" s="421" t="s">
        <v>3746</v>
      </c>
      <c r="C3232" s="429" t="str">
        <f t="shared" si="261"/>
        <v>石嘴山市深阳蓝光市政工程有限公司</v>
      </c>
      <c r="D3232" s="423" t="s">
        <v>3747</v>
      </c>
      <c r="E3232" s="1443" t="s">
        <v>3747</v>
      </c>
      <c r="F3232" s="1169"/>
      <c r="G3232" s="1169"/>
      <c r="H3232" s="1169"/>
      <c r="X3232" s="501" t="b">
        <f t="shared" si="260"/>
        <v>1</v>
      </c>
    </row>
    <row r="3233" outlineLevel="2" spans="1:24">
      <c r="A3233" s="85" t="s">
        <v>3751</v>
      </c>
      <c r="B3233" s="421" t="s">
        <v>3746</v>
      </c>
      <c r="C3233" s="429" t="str">
        <f t="shared" si="261"/>
        <v>石嘴山市深阳蓝光市政工程有限公司</v>
      </c>
      <c r="D3233" s="423" t="s">
        <v>3747</v>
      </c>
      <c r="E3233" s="1443" t="s">
        <v>3752</v>
      </c>
      <c r="F3233" s="1169"/>
      <c r="G3233" s="1169"/>
      <c r="H3233" s="1169"/>
      <c r="X3233" s="501" t="b">
        <f t="shared" si="260"/>
        <v>1</v>
      </c>
    </row>
    <row r="3234" outlineLevel="2" spans="1:24">
      <c r="A3234" s="85" t="s">
        <v>3753</v>
      </c>
      <c r="B3234" s="421" t="s">
        <v>3746</v>
      </c>
      <c r="C3234" s="429" t="str">
        <f t="shared" si="261"/>
        <v>石嘴山市深阳蓝光市政工程有限公司</v>
      </c>
      <c r="D3234" s="423" t="s">
        <v>3747</v>
      </c>
      <c r="E3234" s="1443" t="s">
        <v>3754</v>
      </c>
      <c r="F3234" s="1169"/>
      <c r="G3234" s="1169"/>
      <c r="H3234" s="1169"/>
      <c r="X3234" s="501" t="b">
        <f t="shared" si="260"/>
        <v>1</v>
      </c>
    </row>
    <row r="3235" outlineLevel="2" spans="1:24">
      <c r="A3235" s="85" t="s">
        <v>3755</v>
      </c>
      <c r="B3235" s="421" t="s">
        <v>3746</v>
      </c>
      <c r="C3235" s="429" t="str">
        <f t="shared" si="261"/>
        <v>石嘴山市深阳蓝光市政工程有限公司</v>
      </c>
      <c r="D3235" s="423" t="s">
        <v>3747</v>
      </c>
      <c r="E3235" s="1443" t="s">
        <v>3756</v>
      </c>
      <c r="F3235" s="1169"/>
      <c r="G3235" s="1169"/>
      <c r="H3235" s="1169"/>
      <c r="X3235" s="501" t="b">
        <f t="shared" si="260"/>
        <v>1</v>
      </c>
    </row>
    <row r="3236" outlineLevel="2" spans="1:24">
      <c r="A3236" s="85" t="s">
        <v>3757</v>
      </c>
      <c r="B3236" s="421" t="s">
        <v>3746</v>
      </c>
      <c r="C3236" s="429" t="str">
        <f t="shared" si="261"/>
        <v>石嘴山市深阳蓝光市政工程有限公司</v>
      </c>
      <c r="D3236" s="423" t="s">
        <v>3747</v>
      </c>
      <c r="E3236" s="1443" t="s">
        <v>3758</v>
      </c>
      <c r="F3236" s="1169"/>
      <c r="G3236" s="1169"/>
      <c r="H3236" s="1169"/>
      <c r="X3236" s="501" t="b">
        <f t="shared" si="260"/>
        <v>1</v>
      </c>
    </row>
    <row r="3237" outlineLevel="2" spans="1:24">
      <c r="A3237" s="85" t="s">
        <v>3759</v>
      </c>
      <c r="B3237" s="421" t="s">
        <v>3746</v>
      </c>
      <c r="C3237" s="429" t="str">
        <f t="shared" si="261"/>
        <v>石嘴山市深阳蓝光市政工程有限公司</v>
      </c>
      <c r="D3237" s="423" t="s">
        <v>3747</v>
      </c>
      <c r="E3237" s="1443" t="s">
        <v>3760</v>
      </c>
      <c r="F3237" s="1169"/>
      <c r="G3237" s="1169"/>
      <c r="H3237" s="1169"/>
      <c r="X3237" s="501" t="b">
        <f t="shared" si="260"/>
        <v>1</v>
      </c>
    </row>
    <row r="3238" outlineLevel="2" spans="1:24">
      <c r="A3238" s="85" t="s">
        <v>3761</v>
      </c>
      <c r="B3238" s="421" t="s">
        <v>3746</v>
      </c>
      <c r="C3238" s="429" t="str">
        <f t="shared" si="261"/>
        <v>石嘴山市深阳蓝光市政工程有限公司</v>
      </c>
      <c r="D3238" s="423" t="s">
        <v>3747</v>
      </c>
      <c r="E3238" s="1443" t="s">
        <v>3762</v>
      </c>
      <c r="F3238" s="1169"/>
      <c r="G3238" s="1169"/>
      <c r="H3238" s="1169"/>
      <c r="X3238" s="501" t="b">
        <f t="shared" si="260"/>
        <v>1</v>
      </c>
    </row>
    <row r="3239" outlineLevel="2" spans="1:24">
      <c r="A3239" s="85" t="s">
        <v>3763</v>
      </c>
      <c r="B3239" s="421" t="s">
        <v>3746</v>
      </c>
      <c r="C3239" s="429" t="str">
        <f t="shared" si="261"/>
        <v>石嘴山市深阳蓝光市政工程有限公司</v>
      </c>
      <c r="D3239" s="423" t="s">
        <v>3747</v>
      </c>
      <c r="E3239" s="1443" t="s">
        <v>3764</v>
      </c>
      <c r="F3239" s="1169"/>
      <c r="G3239" s="1169"/>
      <c r="H3239" s="1169"/>
      <c r="X3239" s="501" t="b">
        <f t="shared" si="260"/>
        <v>1</v>
      </c>
    </row>
    <row r="3240" outlineLevel="2" spans="1:24">
      <c r="A3240" s="85" t="s">
        <v>3765</v>
      </c>
      <c r="B3240" s="421" t="s">
        <v>3746</v>
      </c>
      <c r="C3240" s="429" t="str">
        <f t="shared" si="261"/>
        <v>石嘴山市深阳蓝光市政工程有限公司</v>
      </c>
      <c r="D3240" s="423" t="s">
        <v>3747</v>
      </c>
      <c r="E3240" s="1443" t="s">
        <v>3766</v>
      </c>
      <c r="F3240" s="1169"/>
      <c r="G3240" s="1169"/>
      <c r="H3240" s="1169"/>
      <c r="X3240" s="501" t="b">
        <f t="shared" si="260"/>
        <v>1</v>
      </c>
    </row>
    <row r="3241" outlineLevel="2" spans="1:24">
      <c r="A3241" s="85" t="s">
        <v>3767</v>
      </c>
      <c r="B3241" s="421" t="s">
        <v>3746</v>
      </c>
      <c r="C3241" s="429" t="str">
        <f t="shared" si="261"/>
        <v>石嘴山市深阳蓝光市政工程有限公司</v>
      </c>
      <c r="D3241" s="423" t="s">
        <v>3747</v>
      </c>
      <c r="E3241" s="1443" t="s">
        <v>3768</v>
      </c>
      <c r="F3241" s="1169"/>
      <c r="G3241" s="1169"/>
      <c r="H3241" s="1169"/>
      <c r="X3241" s="501" t="b">
        <f t="shared" si="260"/>
        <v>1</v>
      </c>
    </row>
    <row r="3242" outlineLevel="2" spans="1:24">
      <c r="A3242" s="85" t="s">
        <v>3769</v>
      </c>
      <c r="B3242" s="421" t="s">
        <v>3746</v>
      </c>
      <c r="C3242" s="429" t="str">
        <f t="shared" si="261"/>
        <v>石嘴山市深阳蓝光市政工程有限公司</v>
      </c>
      <c r="D3242" s="423" t="s">
        <v>3769</v>
      </c>
      <c r="E3242" s="1443" t="s">
        <v>3769</v>
      </c>
      <c r="F3242" s="1169"/>
      <c r="G3242" s="1169"/>
      <c r="H3242" s="1169"/>
      <c r="X3242" s="501" t="b">
        <f t="shared" si="260"/>
        <v>1</v>
      </c>
    </row>
    <row r="3243" outlineLevel="2" spans="1:24">
      <c r="A3243" s="85" t="s">
        <v>3770</v>
      </c>
      <c r="B3243" s="421" t="s">
        <v>3746</v>
      </c>
      <c r="C3243" s="429" t="str">
        <f t="shared" si="261"/>
        <v>石嘴山市深阳蓝光市政工程有限公司</v>
      </c>
      <c r="D3243" s="423" t="s">
        <v>3769</v>
      </c>
      <c r="E3243" s="1443" t="s">
        <v>3771</v>
      </c>
      <c r="F3243" s="1169"/>
      <c r="G3243" s="1169"/>
      <c r="H3243" s="1169"/>
      <c r="X3243" s="501" t="b">
        <f t="shared" si="260"/>
        <v>1</v>
      </c>
    </row>
    <row r="3244" outlineLevel="2" spans="1:24">
      <c r="A3244" s="85" t="s">
        <v>3772</v>
      </c>
      <c r="B3244" s="421" t="s">
        <v>3746</v>
      </c>
      <c r="C3244" s="429" t="str">
        <f t="shared" si="261"/>
        <v>石嘴山市深阳蓝光市政工程有限公司</v>
      </c>
      <c r="D3244" s="423" t="s">
        <v>3769</v>
      </c>
      <c r="E3244" s="1443" t="s">
        <v>3773</v>
      </c>
      <c r="F3244" s="1169"/>
      <c r="G3244" s="1169"/>
      <c r="H3244" s="1169"/>
      <c r="X3244" s="501" t="b">
        <f t="shared" si="260"/>
        <v>1</v>
      </c>
    </row>
    <row r="3245" outlineLevel="2" spans="1:24">
      <c r="A3245" s="85" t="s">
        <v>3755</v>
      </c>
      <c r="B3245" s="421" t="s">
        <v>3746</v>
      </c>
      <c r="C3245" s="429" t="str">
        <f t="shared" si="261"/>
        <v>石嘴山市深阳蓝光市政工程有限公司</v>
      </c>
      <c r="D3245" s="423" t="s">
        <v>3769</v>
      </c>
      <c r="E3245" s="1443" t="s">
        <v>3756</v>
      </c>
      <c r="F3245" s="1169"/>
      <c r="G3245" s="1169"/>
      <c r="H3245" s="1169"/>
      <c r="X3245" s="501" t="b">
        <f t="shared" si="260"/>
        <v>1</v>
      </c>
    </row>
    <row r="3246" outlineLevel="2" spans="1:24">
      <c r="A3246" s="85" t="s">
        <v>3774</v>
      </c>
      <c r="B3246" s="421" t="s">
        <v>3746</v>
      </c>
      <c r="C3246" s="429" t="str">
        <f t="shared" si="261"/>
        <v>石嘴山市深阳蓝光市政工程有限公司</v>
      </c>
      <c r="D3246" s="423" t="s">
        <v>3769</v>
      </c>
      <c r="E3246" s="1443" t="s">
        <v>3775</v>
      </c>
      <c r="F3246" s="1169"/>
      <c r="G3246" s="1169"/>
      <c r="H3246" s="1169"/>
      <c r="X3246" s="501" t="b">
        <f t="shared" si="260"/>
        <v>1</v>
      </c>
    </row>
    <row r="3247" outlineLevel="2" spans="1:24">
      <c r="A3247" s="85" t="s">
        <v>3776</v>
      </c>
      <c r="B3247" s="421" t="s">
        <v>3746</v>
      </c>
      <c r="C3247" s="429" t="str">
        <f t="shared" si="261"/>
        <v>石嘴山市深阳蓝光市政工程有限公司</v>
      </c>
      <c r="D3247" s="423" t="s">
        <v>3769</v>
      </c>
      <c r="E3247" s="1443" t="s">
        <v>3777</v>
      </c>
      <c r="F3247" s="1169"/>
      <c r="G3247" s="1169"/>
      <c r="H3247" s="1169"/>
      <c r="X3247" s="501" t="b">
        <f t="shared" si="260"/>
        <v>1</v>
      </c>
    </row>
    <row r="3248" outlineLevel="2" spans="1:24">
      <c r="A3248" s="85" t="s">
        <v>3761</v>
      </c>
      <c r="B3248" s="421" t="s">
        <v>3746</v>
      </c>
      <c r="C3248" s="429" t="str">
        <f t="shared" si="261"/>
        <v>石嘴山市深阳蓝光市政工程有限公司</v>
      </c>
      <c r="D3248" s="423" t="s">
        <v>3769</v>
      </c>
      <c r="E3248" s="1443" t="s">
        <v>3762</v>
      </c>
      <c r="F3248" s="1169"/>
      <c r="G3248" s="1169"/>
      <c r="H3248" s="1169"/>
      <c r="X3248" s="501" t="b">
        <f t="shared" si="260"/>
        <v>1</v>
      </c>
    </row>
    <row r="3249" outlineLevel="2" spans="1:24">
      <c r="A3249" s="85" t="s">
        <v>3763</v>
      </c>
      <c r="B3249" s="421" t="s">
        <v>3746</v>
      </c>
      <c r="C3249" s="429" t="str">
        <f t="shared" si="261"/>
        <v>石嘴山市深阳蓝光市政工程有限公司</v>
      </c>
      <c r="D3249" s="423" t="s">
        <v>3769</v>
      </c>
      <c r="E3249" s="1443" t="s">
        <v>3764</v>
      </c>
      <c r="F3249" s="1169"/>
      <c r="G3249" s="1169"/>
      <c r="H3249" s="1169"/>
      <c r="X3249" s="501" t="b">
        <f t="shared" si="260"/>
        <v>1</v>
      </c>
    </row>
    <row r="3250" outlineLevel="2" spans="1:24">
      <c r="A3250" s="85" t="s">
        <v>3765</v>
      </c>
      <c r="B3250" s="421" t="s">
        <v>3746</v>
      </c>
      <c r="C3250" s="429" t="str">
        <f t="shared" si="261"/>
        <v>石嘴山市深阳蓝光市政工程有限公司</v>
      </c>
      <c r="D3250" s="423" t="s">
        <v>3769</v>
      </c>
      <c r="E3250" s="1443" t="s">
        <v>3766</v>
      </c>
      <c r="F3250" s="1169"/>
      <c r="G3250" s="1169"/>
      <c r="H3250" s="1169"/>
      <c r="X3250" s="501" t="b">
        <f t="shared" si="260"/>
        <v>1</v>
      </c>
    </row>
    <row r="3251" outlineLevel="2" spans="1:24">
      <c r="A3251" s="85" t="s">
        <v>3767</v>
      </c>
      <c r="B3251" s="421" t="s">
        <v>3746</v>
      </c>
      <c r="C3251" s="429" t="str">
        <f t="shared" si="261"/>
        <v>石嘴山市深阳蓝光市政工程有限公司</v>
      </c>
      <c r="D3251" s="423" t="s">
        <v>3769</v>
      </c>
      <c r="E3251" s="1443" t="s">
        <v>3768</v>
      </c>
      <c r="F3251" s="1169"/>
      <c r="G3251" s="1169"/>
      <c r="H3251" s="1169"/>
      <c r="X3251" s="501" t="b">
        <f t="shared" si="260"/>
        <v>1</v>
      </c>
    </row>
    <row r="3252" outlineLevel="2" spans="2:24">
      <c r="B3252" s="421" t="s">
        <v>3746</v>
      </c>
      <c r="C3252" s="429" t="str">
        <f t="shared" si="261"/>
        <v>石嘴山市深阳蓝光市政工程有限公司</v>
      </c>
      <c r="D3252" s="423" t="s">
        <v>3769</v>
      </c>
      <c r="X3252" s="501" t="b">
        <f t="shared" si="260"/>
        <v>1</v>
      </c>
    </row>
    <row r="3253" spans="1:24">
      <c r="A3253" s="85" t="s">
        <v>3778</v>
      </c>
      <c r="B3253" s="421" t="s">
        <v>3779</v>
      </c>
      <c r="C3253" s="429" t="str">
        <f t="shared" si="261"/>
        <v>石嘴山市深阳蓝光市政工程有限公司</v>
      </c>
      <c r="D3253" s="423" t="s">
        <v>3780</v>
      </c>
      <c r="E3253" s="937" t="s">
        <v>3778</v>
      </c>
      <c r="F3253" s="485"/>
      <c r="G3253" s="485"/>
      <c r="X3253" s="501" t="b">
        <f t="shared" si="260"/>
        <v>1</v>
      </c>
    </row>
    <row r="3254" outlineLevel="2" spans="1:24">
      <c r="A3254" s="85" t="s">
        <v>2325</v>
      </c>
      <c r="B3254" s="421" t="s">
        <v>3779</v>
      </c>
      <c r="C3254" s="429" t="str">
        <f t="shared" si="261"/>
        <v>石嘴山市深阳蓝光市政工程有限公司</v>
      </c>
      <c r="D3254" s="423" t="s">
        <v>3780</v>
      </c>
      <c r="E3254" s="938" t="s">
        <v>3781</v>
      </c>
      <c r="F3254" s="938" t="s">
        <v>2407</v>
      </c>
      <c r="G3254" s="938" t="s">
        <v>2784</v>
      </c>
      <c r="X3254" s="501" t="b">
        <f t="shared" si="260"/>
        <v>1</v>
      </c>
    </row>
    <row r="3255" outlineLevel="2" spans="1:24">
      <c r="A3255" s="85" t="s">
        <v>3780</v>
      </c>
      <c r="B3255" s="421" t="s">
        <v>3779</v>
      </c>
      <c r="C3255" s="429" t="str">
        <f t="shared" si="261"/>
        <v>石嘴山市深阳蓝光市政工程有限公司</v>
      </c>
      <c r="D3255" s="423" t="s">
        <v>3780</v>
      </c>
      <c r="E3255" s="1026" t="s">
        <v>3780</v>
      </c>
      <c r="F3255" s="1482"/>
      <c r="G3255" s="1482"/>
      <c r="X3255" s="501" t="b">
        <f t="shared" si="260"/>
        <v>1</v>
      </c>
    </row>
    <row r="3256" outlineLevel="2" spans="1:24">
      <c r="A3256" s="85" t="s">
        <v>3782</v>
      </c>
      <c r="B3256" s="421" t="s">
        <v>3779</v>
      </c>
      <c r="C3256" s="429" t="str">
        <f t="shared" si="261"/>
        <v>石嘴山市深阳蓝光市政工程有限公司</v>
      </c>
      <c r="D3256" s="423" t="s">
        <v>3780</v>
      </c>
      <c r="E3256" s="1026" t="s">
        <v>3783</v>
      </c>
      <c r="F3256" s="1482"/>
      <c r="G3256" s="1482"/>
      <c r="X3256" s="501" t="b">
        <f t="shared" si="260"/>
        <v>1</v>
      </c>
    </row>
    <row r="3257" outlineLevel="2" spans="1:24">
      <c r="A3257" s="85" t="s">
        <v>3784</v>
      </c>
      <c r="B3257" s="421" t="s">
        <v>3779</v>
      </c>
      <c r="C3257" s="429" t="str">
        <f t="shared" si="261"/>
        <v>石嘴山市深阳蓝光市政工程有限公司</v>
      </c>
      <c r="D3257" s="423" t="s">
        <v>3780</v>
      </c>
      <c r="E3257" s="1026" t="s">
        <v>3785</v>
      </c>
      <c r="F3257" s="1482"/>
      <c r="G3257" s="1482"/>
      <c r="X3257" s="501" t="b">
        <f t="shared" si="260"/>
        <v>1</v>
      </c>
    </row>
    <row r="3258" outlineLevel="2" spans="1:24">
      <c r="A3258" s="85" t="s">
        <v>3786</v>
      </c>
      <c r="B3258" s="421" t="s">
        <v>3779</v>
      </c>
      <c r="C3258" s="429" t="str">
        <f t="shared" si="261"/>
        <v>石嘴山市深阳蓝光市政工程有限公司</v>
      </c>
      <c r="D3258" s="423" t="s">
        <v>3780</v>
      </c>
      <c r="E3258" s="1026" t="s">
        <v>3787</v>
      </c>
      <c r="F3258" s="1482"/>
      <c r="G3258" s="1482"/>
      <c r="X3258" s="501" t="b">
        <f t="shared" si="260"/>
        <v>1</v>
      </c>
    </row>
    <row r="3259" outlineLevel="2" spans="1:24">
      <c r="A3259" s="85" t="s">
        <v>3788</v>
      </c>
      <c r="B3259" s="421" t="s">
        <v>3779</v>
      </c>
      <c r="C3259" s="429" t="str">
        <f t="shared" si="261"/>
        <v>石嘴山市深阳蓝光市政工程有限公司</v>
      </c>
      <c r="D3259" s="423" t="s">
        <v>3780</v>
      </c>
      <c r="E3259" s="1026" t="s">
        <v>3789</v>
      </c>
      <c r="F3259" s="1482"/>
      <c r="G3259" s="1482"/>
      <c r="X3259" s="501" t="b">
        <f t="shared" si="260"/>
        <v>1</v>
      </c>
    </row>
    <row r="3260" outlineLevel="2" spans="1:24">
      <c r="A3260" s="85" t="s">
        <v>3790</v>
      </c>
      <c r="B3260" s="421" t="s">
        <v>3779</v>
      </c>
      <c r="C3260" s="429" t="str">
        <f t="shared" si="261"/>
        <v>石嘴山市深阳蓝光市政工程有限公司</v>
      </c>
      <c r="D3260" s="423" t="s">
        <v>3780</v>
      </c>
      <c r="E3260" s="1026" t="s">
        <v>3791</v>
      </c>
      <c r="F3260" s="1482"/>
      <c r="G3260" s="1482"/>
      <c r="X3260" s="501" t="b">
        <f t="shared" si="260"/>
        <v>1</v>
      </c>
    </row>
    <row r="3261" outlineLevel="2" spans="1:24">
      <c r="A3261" s="85" t="s">
        <v>3792</v>
      </c>
      <c r="B3261" s="421" t="s">
        <v>3779</v>
      </c>
      <c r="C3261" s="429" t="str">
        <f t="shared" si="261"/>
        <v>石嘴山市深阳蓝光市政工程有限公司</v>
      </c>
      <c r="D3261" s="423" t="s">
        <v>3780</v>
      </c>
      <c r="E3261" s="1026" t="s">
        <v>3793</v>
      </c>
      <c r="F3261" s="1482"/>
      <c r="G3261" s="1482"/>
      <c r="X3261" s="501" t="b">
        <f t="shared" si="260"/>
        <v>1</v>
      </c>
    </row>
    <row r="3262" outlineLevel="2" spans="1:24">
      <c r="A3262" s="85" t="s">
        <v>3794</v>
      </c>
      <c r="B3262" s="421" t="s">
        <v>3779</v>
      </c>
      <c r="C3262" s="429" t="str">
        <f t="shared" si="261"/>
        <v>石嘴山市深阳蓝光市政工程有限公司</v>
      </c>
      <c r="D3262" s="423" t="s">
        <v>3794</v>
      </c>
      <c r="E3262" s="1026" t="s">
        <v>3794</v>
      </c>
      <c r="F3262" s="1482"/>
      <c r="G3262" s="1482"/>
      <c r="X3262" s="501" t="b">
        <f t="shared" si="260"/>
        <v>1</v>
      </c>
    </row>
    <row r="3263" outlineLevel="2" spans="1:24">
      <c r="A3263" s="85" t="s">
        <v>3795</v>
      </c>
      <c r="B3263" s="421" t="s">
        <v>3779</v>
      </c>
      <c r="C3263" s="429" t="str">
        <f t="shared" si="261"/>
        <v>石嘴山市深阳蓝光市政工程有限公司</v>
      </c>
      <c r="D3263" s="423" t="s">
        <v>3794</v>
      </c>
      <c r="E3263" s="1026" t="s">
        <v>3796</v>
      </c>
      <c r="F3263" s="1482"/>
      <c r="G3263" s="1482"/>
      <c r="X3263" s="501" t="b">
        <f t="shared" si="260"/>
        <v>1</v>
      </c>
    </row>
    <row r="3264" outlineLevel="2" spans="1:24">
      <c r="A3264" s="85" t="s">
        <v>3797</v>
      </c>
      <c r="B3264" s="421" t="s">
        <v>3779</v>
      </c>
      <c r="C3264" s="429" t="str">
        <f t="shared" si="261"/>
        <v>石嘴山市深阳蓝光市政工程有限公司</v>
      </c>
      <c r="D3264" s="423" t="s">
        <v>3797</v>
      </c>
      <c r="E3264" s="1026" t="s">
        <v>3797</v>
      </c>
      <c r="F3264" s="1482"/>
      <c r="G3264" s="1482"/>
      <c r="X3264" s="501" t="b">
        <f t="shared" si="260"/>
        <v>1</v>
      </c>
    </row>
    <row r="3265" outlineLevel="2" spans="1:24">
      <c r="A3265" s="85" t="s">
        <v>3798</v>
      </c>
      <c r="B3265" s="421" t="s">
        <v>3779</v>
      </c>
      <c r="C3265" s="429" t="str">
        <f t="shared" si="261"/>
        <v>石嘴山市深阳蓝光市政工程有限公司</v>
      </c>
      <c r="D3265" s="423" t="s">
        <v>3797</v>
      </c>
      <c r="E3265" s="1026" t="s">
        <v>3798</v>
      </c>
      <c r="F3265" s="1482"/>
      <c r="G3265" s="1482"/>
      <c r="X3265" s="501" t="b">
        <f t="shared" si="260"/>
        <v>1</v>
      </c>
    </row>
    <row r="3266" outlineLevel="2" spans="2:24">
      <c r="B3266" s="421" t="s">
        <v>3779</v>
      </c>
      <c r="C3266" s="429" t="str">
        <f t="shared" si="261"/>
        <v>石嘴山市深阳蓝光市政工程有限公司</v>
      </c>
      <c r="D3266" s="423" t="s">
        <v>3797</v>
      </c>
      <c r="X3266" s="501" t="b">
        <f t="shared" si="260"/>
        <v>1</v>
      </c>
    </row>
    <row r="3267" outlineLevel="2" spans="1:24">
      <c r="A3267" s="85" t="s">
        <v>3799</v>
      </c>
      <c r="B3267" s="421" t="s">
        <v>3779</v>
      </c>
      <c r="C3267" s="429" t="str">
        <f t="shared" si="261"/>
        <v>石嘴山市深阳蓝光市政工程有限公司</v>
      </c>
      <c r="D3267" s="423" t="s">
        <v>3799</v>
      </c>
      <c r="E3267" s="149" t="s">
        <v>3800</v>
      </c>
      <c r="X3267" s="501" t="b">
        <f t="shared" si="260"/>
        <v>1</v>
      </c>
    </row>
    <row r="3268" outlineLevel="2" spans="1:24">
      <c r="A3268" s="85" t="s">
        <v>2315</v>
      </c>
      <c r="B3268" s="421" t="s">
        <v>3779</v>
      </c>
      <c r="C3268" s="429" t="str">
        <f t="shared" si="261"/>
        <v>石嘴山市深阳蓝光市政工程有限公司</v>
      </c>
      <c r="D3268" s="423" t="s">
        <v>3799</v>
      </c>
      <c r="E3268" s="149" t="s">
        <v>2334</v>
      </c>
      <c r="F3268" s="1477"/>
      <c r="G3268" s="1477"/>
      <c r="X3268" s="501" t="b">
        <f t="shared" si="260"/>
        <v>1</v>
      </c>
    </row>
    <row r="3269" spans="1:24">
      <c r="A3269" s="85" t="s">
        <v>3801</v>
      </c>
      <c r="B3269" s="421" t="s">
        <v>3802</v>
      </c>
      <c r="C3269" s="429" t="str">
        <f t="shared" si="261"/>
        <v>石嘴山市深阳蓝光市政工程有限公司</v>
      </c>
      <c r="D3269" s="423" t="s">
        <v>3801</v>
      </c>
      <c r="E3269" s="937" t="s">
        <v>3801</v>
      </c>
      <c r="X3269" s="501" t="b">
        <f t="shared" si="260"/>
        <v>1</v>
      </c>
    </row>
    <row r="3270" outlineLevel="2" spans="1:24">
      <c r="A3270" s="85" t="s">
        <v>3803</v>
      </c>
      <c r="B3270" s="421" t="s">
        <v>3802</v>
      </c>
      <c r="C3270" s="429" t="str">
        <f t="shared" si="261"/>
        <v>石嘴山市深阳蓝光市政工程有限公司</v>
      </c>
      <c r="D3270" s="423" t="s">
        <v>3801</v>
      </c>
      <c r="E3270" s="149" t="s">
        <v>3804</v>
      </c>
      <c r="X3270" s="501" t="b">
        <f t="shared" ref="X3270:X3430" si="262">EXACT(A3270,E3270)</f>
        <v>1</v>
      </c>
    </row>
    <row r="3271" outlineLevel="2" spans="1:24">
      <c r="A3271" s="85" t="s">
        <v>2315</v>
      </c>
      <c r="B3271" s="421" t="s">
        <v>3802</v>
      </c>
      <c r="C3271" s="429" t="str">
        <f t="shared" si="261"/>
        <v>石嘴山市深阳蓝光市政工程有限公司</v>
      </c>
      <c r="D3271" s="423" t="s">
        <v>3801</v>
      </c>
      <c r="E3271" s="149" t="s">
        <v>2334</v>
      </c>
      <c r="F3271" s="1477"/>
      <c r="G3271" s="1477"/>
      <c r="X3271" s="501" t="b">
        <f t="shared" si="262"/>
        <v>1</v>
      </c>
    </row>
    <row r="3272" spans="1:24">
      <c r="A3272" s="85" t="s">
        <v>3805</v>
      </c>
      <c r="B3272" s="421" t="s">
        <v>3806</v>
      </c>
      <c r="C3272" s="429" t="str">
        <f t="shared" si="261"/>
        <v>石嘴山市深阳蓝光市政工程有限公司</v>
      </c>
      <c r="D3272" s="423" t="s">
        <v>3805</v>
      </c>
      <c r="E3272" s="937" t="s">
        <v>3805</v>
      </c>
      <c r="F3272" s="485"/>
      <c r="G3272" s="485"/>
      <c r="H3272" s="485"/>
      <c r="I3272" s="485"/>
      <c r="J3272" s="485"/>
      <c r="K3272" s="485"/>
      <c r="X3272" s="501" t="b">
        <f t="shared" si="262"/>
        <v>1</v>
      </c>
    </row>
    <row r="3273" outlineLevel="2" spans="1:24">
      <c r="A3273" s="85" t="s">
        <v>3807</v>
      </c>
      <c r="B3273" s="421" t="s">
        <v>3806</v>
      </c>
      <c r="C3273" s="429" t="str">
        <f t="shared" si="261"/>
        <v>石嘴山市深阳蓝光市政工程有限公司</v>
      </c>
      <c r="D3273" s="423" t="s">
        <v>3805</v>
      </c>
      <c r="E3273" s="149" t="s">
        <v>3808</v>
      </c>
      <c r="F3273" s="485"/>
      <c r="G3273" s="485"/>
      <c r="H3273" s="485"/>
      <c r="I3273" s="485"/>
      <c r="J3273" s="485"/>
      <c r="K3273" s="485"/>
      <c r="X3273" s="501" t="b">
        <f t="shared" si="262"/>
        <v>1</v>
      </c>
    </row>
    <row r="3274" outlineLevel="2" spans="1:24">
      <c r="A3274" s="85" t="s">
        <v>3809</v>
      </c>
      <c r="B3274" s="421" t="s">
        <v>3806</v>
      </c>
      <c r="C3274" s="429" t="str">
        <f t="shared" si="261"/>
        <v>石嘴山市深阳蓝光市政工程有限公司</v>
      </c>
      <c r="D3274" s="423" t="s">
        <v>3805</v>
      </c>
      <c r="E3274" s="149" t="s">
        <v>3810</v>
      </c>
      <c r="F3274" s="485"/>
      <c r="G3274" s="485"/>
      <c r="H3274" s="485"/>
      <c r="I3274" s="485"/>
      <c r="J3274" s="485"/>
      <c r="K3274" s="485"/>
      <c r="X3274" s="501" t="b">
        <f t="shared" si="262"/>
        <v>1</v>
      </c>
    </row>
    <row r="3275" outlineLevel="2" spans="1:24">
      <c r="A3275" s="85" t="s">
        <v>850</v>
      </c>
      <c r="B3275" s="421" t="s">
        <v>3806</v>
      </c>
      <c r="C3275" s="429" t="str">
        <f t="shared" si="261"/>
        <v>石嘴山市深阳蓝光市政工程有限公司</v>
      </c>
      <c r="D3275" s="423" t="s">
        <v>3805</v>
      </c>
      <c r="E3275" s="128" t="s">
        <v>850</v>
      </c>
      <c r="F3275" s="128" t="s">
        <v>2681</v>
      </c>
      <c r="G3275" s="128" t="s">
        <v>2682</v>
      </c>
      <c r="H3275" s="128" t="s">
        <v>702</v>
      </c>
      <c r="I3275" s="128" t="s">
        <v>703</v>
      </c>
      <c r="J3275" s="128" t="s">
        <v>704</v>
      </c>
      <c r="K3275" s="128" t="s">
        <v>353</v>
      </c>
      <c r="X3275" s="501" t="b">
        <f t="shared" si="262"/>
        <v>1</v>
      </c>
    </row>
    <row r="3276" outlineLevel="2" spans="2:24">
      <c r="B3276" s="421" t="s">
        <v>3806</v>
      </c>
      <c r="C3276" s="429" t="str">
        <f t="shared" si="261"/>
        <v>石嘴山市深阳蓝光市政工程有限公司</v>
      </c>
      <c r="D3276" s="423" t="s">
        <v>3805</v>
      </c>
      <c r="E3276" s="486"/>
      <c r="F3276" s="486"/>
      <c r="G3276" s="486"/>
      <c r="H3276" s="486"/>
      <c r="I3276" s="486"/>
      <c r="J3276" s="486"/>
      <c r="K3276" s="486"/>
      <c r="X3276" s="501" t="b">
        <f t="shared" si="262"/>
        <v>1</v>
      </c>
    </row>
    <row r="3277" outlineLevel="2" spans="2:24">
      <c r="B3277" s="421" t="s">
        <v>3806</v>
      </c>
      <c r="C3277" s="429" t="str">
        <f t="shared" si="261"/>
        <v>石嘴山市深阳蓝光市政工程有限公司</v>
      </c>
      <c r="D3277" s="423" t="s">
        <v>3805</v>
      </c>
      <c r="E3277" s="486"/>
      <c r="F3277" s="486"/>
      <c r="G3277" s="486"/>
      <c r="H3277" s="486"/>
      <c r="I3277" s="486"/>
      <c r="J3277" s="486"/>
      <c r="K3277" s="486"/>
      <c r="X3277" s="501" t="b">
        <f t="shared" si="262"/>
        <v>1</v>
      </c>
    </row>
    <row r="3278" outlineLevel="2" spans="2:24">
      <c r="B3278" s="421" t="s">
        <v>3806</v>
      </c>
      <c r="C3278" s="429" t="str">
        <f t="shared" si="261"/>
        <v>石嘴山市深阳蓝光市政工程有限公司</v>
      </c>
      <c r="D3278" s="423" t="s">
        <v>3805</v>
      </c>
      <c r="E3278" s="98"/>
      <c r="F3278" s="98"/>
      <c r="G3278" s="98"/>
      <c r="H3278" s="98"/>
      <c r="I3278" s="98"/>
      <c r="J3278" s="98"/>
      <c r="K3278" s="98"/>
      <c r="X3278" s="501" t="b">
        <f t="shared" si="262"/>
        <v>1</v>
      </c>
    </row>
    <row r="3279" outlineLevel="2" spans="2:24">
      <c r="B3279" s="421" t="s">
        <v>3806</v>
      </c>
      <c r="C3279" s="429" t="str">
        <f t="shared" si="261"/>
        <v>石嘴山市深阳蓝光市政工程有限公司</v>
      </c>
      <c r="D3279" s="423" t="s">
        <v>3805</v>
      </c>
      <c r="E3279" s="98"/>
      <c r="F3279" s="98"/>
      <c r="G3279" s="98"/>
      <c r="H3279" s="98"/>
      <c r="I3279" s="98"/>
      <c r="J3279" s="98"/>
      <c r="K3279" s="98"/>
      <c r="X3279" s="501" t="b">
        <f t="shared" si="262"/>
        <v>1</v>
      </c>
    </row>
    <row r="3280" outlineLevel="2" spans="2:24">
      <c r="B3280" s="421" t="s">
        <v>3806</v>
      </c>
      <c r="C3280" s="429" t="str">
        <f t="shared" si="261"/>
        <v>石嘴山市深阳蓝光市政工程有限公司</v>
      </c>
      <c r="D3280" s="423" t="s">
        <v>3805</v>
      </c>
      <c r="E3280" s="98"/>
      <c r="F3280" s="98"/>
      <c r="G3280" s="98"/>
      <c r="H3280" s="98"/>
      <c r="I3280" s="98"/>
      <c r="J3280" s="98"/>
      <c r="K3280" s="98"/>
      <c r="X3280" s="501" t="b">
        <f t="shared" si="262"/>
        <v>1</v>
      </c>
    </row>
    <row r="3281" outlineLevel="2" spans="2:24">
      <c r="B3281" s="421" t="s">
        <v>3806</v>
      </c>
      <c r="C3281" s="429" t="str">
        <f t="shared" si="261"/>
        <v>石嘴山市深阳蓝光市政工程有限公司</v>
      </c>
      <c r="D3281" s="423" t="s">
        <v>3805</v>
      </c>
      <c r="E3281" s="98"/>
      <c r="F3281" s="98"/>
      <c r="G3281" s="98"/>
      <c r="H3281" s="98"/>
      <c r="I3281" s="98"/>
      <c r="J3281" s="98"/>
      <c r="K3281" s="98"/>
      <c r="X3281" s="501" t="b">
        <f t="shared" si="262"/>
        <v>1</v>
      </c>
    </row>
    <row r="3282" outlineLevel="2" spans="2:24">
      <c r="B3282" s="421" t="s">
        <v>3806</v>
      </c>
      <c r="C3282" s="429" t="str">
        <f t="shared" si="261"/>
        <v>石嘴山市深阳蓝光市政工程有限公司</v>
      </c>
      <c r="D3282" s="423" t="s">
        <v>3805</v>
      </c>
      <c r="X3282" s="501" t="b">
        <f t="shared" si="262"/>
        <v>1</v>
      </c>
    </row>
    <row r="3283" spans="1:24">
      <c r="A3283" s="85" t="s">
        <v>3811</v>
      </c>
      <c r="B3283" s="421" t="s">
        <v>3812</v>
      </c>
      <c r="C3283" s="429" t="str">
        <f t="shared" ref="C3283:C3346" si="263">$G$1</f>
        <v>石嘴山市深阳蓝光市政工程有限公司</v>
      </c>
      <c r="D3283" s="423" t="s">
        <v>3813</v>
      </c>
      <c r="E3283" s="1483" t="s">
        <v>3811</v>
      </c>
      <c r="F3283" s="1446" t="s">
        <v>2635</v>
      </c>
      <c r="G3283" s="485"/>
      <c r="H3283" s="485"/>
      <c r="I3283" s="485"/>
      <c r="J3283" s="485"/>
      <c r="K3283" s="485"/>
      <c r="L3283" s="485"/>
      <c r="M3283" s="485"/>
      <c r="X3283" s="501" t="b">
        <f t="shared" si="262"/>
        <v>1</v>
      </c>
    </row>
    <row r="3284" outlineLevel="2" spans="1:24">
      <c r="A3284" s="85" t="s">
        <v>3813</v>
      </c>
      <c r="B3284" s="421" t="s">
        <v>3812</v>
      </c>
      <c r="C3284" s="429" t="str">
        <f t="shared" si="263"/>
        <v>石嘴山市深阳蓝光市政工程有限公司</v>
      </c>
      <c r="D3284" s="423" t="s">
        <v>3813</v>
      </c>
      <c r="E3284" s="149" t="s">
        <v>3814</v>
      </c>
      <c r="F3284" s="485"/>
      <c r="G3284" s="485"/>
      <c r="H3284" s="485"/>
      <c r="I3284" s="485"/>
      <c r="J3284" s="485"/>
      <c r="K3284" s="485"/>
      <c r="L3284" s="485"/>
      <c r="M3284" s="485"/>
      <c r="X3284" s="501" t="b">
        <f t="shared" si="262"/>
        <v>1</v>
      </c>
    </row>
    <row r="3285" outlineLevel="2" spans="2:24">
      <c r="B3285" s="421" t="s">
        <v>3812</v>
      </c>
      <c r="C3285" s="429" t="str">
        <f t="shared" si="263"/>
        <v>石嘴山市深阳蓝光市政工程有限公司</v>
      </c>
      <c r="D3285" s="423" t="s">
        <v>3813</v>
      </c>
      <c r="E3285" s="748"/>
      <c r="F3285" s="485"/>
      <c r="G3285" s="485"/>
      <c r="H3285" s="485"/>
      <c r="I3285" s="485"/>
      <c r="J3285" s="485"/>
      <c r="K3285" s="485"/>
      <c r="L3285" s="485"/>
      <c r="M3285" s="485"/>
      <c r="X3285" s="501" t="b">
        <f t="shared" si="262"/>
        <v>1</v>
      </c>
    </row>
    <row r="3286" outlineLevel="2" spans="1:24">
      <c r="A3286" s="85" t="s">
        <v>3815</v>
      </c>
      <c r="B3286" s="421" t="s">
        <v>3812</v>
      </c>
      <c r="C3286" s="429" t="str">
        <f t="shared" si="263"/>
        <v>石嘴山市深阳蓝光市政工程有限公司</v>
      </c>
      <c r="D3286" s="423" t="s">
        <v>3815</v>
      </c>
      <c r="E3286" s="937" t="s">
        <v>3816</v>
      </c>
      <c r="F3286" s="485"/>
      <c r="G3286" s="485"/>
      <c r="H3286" s="485"/>
      <c r="I3286" s="485"/>
      <c r="J3286" s="485"/>
      <c r="K3286" s="485"/>
      <c r="L3286" s="485"/>
      <c r="M3286" s="485"/>
      <c r="X3286" s="501" t="b">
        <f t="shared" si="262"/>
        <v>1</v>
      </c>
    </row>
    <row r="3287" ht="11.25" customHeight="1" outlineLevel="2" spans="1:24">
      <c r="A3287" s="85" t="s">
        <v>3817</v>
      </c>
      <c r="B3287" s="421" t="s">
        <v>3812</v>
      </c>
      <c r="C3287" s="429" t="str">
        <f t="shared" si="263"/>
        <v>石嘴山市深阳蓝光市政工程有限公司</v>
      </c>
      <c r="D3287" s="423" t="s">
        <v>3815</v>
      </c>
      <c r="E3287" s="581" t="s">
        <v>3817</v>
      </c>
      <c r="F3287" s="581" t="s">
        <v>3818</v>
      </c>
      <c r="G3287" s="581" t="s">
        <v>698</v>
      </c>
      <c r="H3287" s="581" t="s">
        <v>3819</v>
      </c>
      <c r="I3287" s="581" t="s">
        <v>699</v>
      </c>
      <c r="J3287" s="581" t="s">
        <v>3820</v>
      </c>
      <c r="K3287" s="581" t="s">
        <v>3821</v>
      </c>
      <c r="L3287" s="827" t="s">
        <v>3822</v>
      </c>
      <c r="M3287" s="827" t="s">
        <v>3823</v>
      </c>
      <c r="N3287" s="827" t="s">
        <v>3824</v>
      </c>
      <c r="X3287" s="501" t="b">
        <f t="shared" si="262"/>
        <v>1</v>
      </c>
    </row>
    <row r="3288" outlineLevel="2" spans="2:24">
      <c r="B3288" s="421" t="s">
        <v>3812</v>
      </c>
      <c r="C3288" s="429" t="str">
        <f t="shared" si="263"/>
        <v>石嘴山市深阳蓝光市政工程有限公司</v>
      </c>
      <c r="D3288" s="423" t="s">
        <v>3815</v>
      </c>
      <c r="E3288" s="1482"/>
      <c r="F3288" s="1482"/>
      <c r="G3288" s="1482"/>
      <c r="H3288" s="1482"/>
      <c r="I3288" s="1165"/>
      <c r="J3288" s="1165"/>
      <c r="K3288" s="777"/>
      <c r="L3288" s="778"/>
      <c r="M3288" s="778"/>
      <c r="N3288" s="778"/>
      <c r="X3288" s="501" t="b">
        <f t="shared" si="262"/>
        <v>1</v>
      </c>
    </row>
    <row r="3289" outlineLevel="2" spans="2:24">
      <c r="B3289" s="421" t="s">
        <v>3812</v>
      </c>
      <c r="C3289" s="429" t="str">
        <f t="shared" si="263"/>
        <v>石嘴山市深阳蓝光市政工程有限公司</v>
      </c>
      <c r="D3289" s="423" t="s">
        <v>3815</v>
      </c>
      <c r="E3289" s="1482"/>
      <c r="F3289" s="1482"/>
      <c r="G3289" s="1482"/>
      <c r="H3289" s="1482"/>
      <c r="I3289" s="1165"/>
      <c r="J3289" s="1165"/>
      <c r="K3289" s="1165"/>
      <c r="L3289" s="1165"/>
      <c r="M3289" s="1165"/>
      <c r="N3289" s="98"/>
      <c r="X3289" s="501" t="b">
        <f t="shared" si="262"/>
        <v>1</v>
      </c>
    </row>
    <row r="3290" outlineLevel="2" spans="2:24">
      <c r="B3290" s="421" t="s">
        <v>3812</v>
      </c>
      <c r="C3290" s="429" t="str">
        <f t="shared" si="263"/>
        <v>石嘴山市深阳蓝光市政工程有限公司</v>
      </c>
      <c r="D3290" s="423" t="s">
        <v>3815</v>
      </c>
      <c r="E3290" s="1482"/>
      <c r="F3290" s="1482"/>
      <c r="G3290" s="1482"/>
      <c r="H3290" s="1482"/>
      <c r="I3290" s="1165"/>
      <c r="J3290" s="1165"/>
      <c r="K3290" s="1165"/>
      <c r="L3290" s="1165"/>
      <c r="M3290" s="1165"/>
      <c r="N3290" s="98"/>
      <c r="X3290" s="501" t="b">
        <f t="shared" si="262"/>
        <v>1</v>
      </c>
    </row>
    <row r="3291" outlineLevel="2" spans="1:24">
      <c r="A3291" s="85" t="s">
        <v>3825</v>
      </c>
      <c r="B3291" s="421" t="s">
        <v>3812</v>
      </c>
      <c r="C3291" s="429" t="str">
        <f t="shared" si="263"/>
        <v>石嘴山市深阳蓝光市政工程有限公司</v>
      </c>
      <c r="D3291" s="423" t="s">
        <v>3815</v>
      </c>
      <c r="E3291" s="748" t="s">
        <v>3826</v>
      </c>
      <c r="F3291" s="485"/>
      <c r="G3291" s="485"/>
      <c r="H3291" s="485"/>
      <c r="I3291" s="485"/>
      <c r="J3291" s="485"/>
      <c r="K3291" s="485"/>
      <c r="L3291" s="485"/>
      <c r="M3291" s="485"/>
      <c r="X3291" s="501" t="b">
        <f t="shared" si="262"/>
        <v>1</v>
      </c>
    </row>
    <row r="3292" outlineLevel="2" spans="2:24">
      <c r="B3292" s="421" t="s">
        <v>3812</v>
      </c>
      <c r="C3292" s="429" t="str">
        <f t="shared" si="263"/>
        <v>石嘴山市深阳蓝光市政工程有限公司</v>
      </c>
      <c r="D3292" s="423" t="s">
        <v>3815</v>
      </c>
      <c r="E3292" s="748"/>
      <c r="F3292" s="485"/>
      <c r="G3292" s="485"/>
      <c r="H3292" s="485"/>
      <c r="I3292" s="485"/>
      <c r="J3292" s="485"/>
      <c r="K3292" s="485"/>
      <c r="L3292" s="485"/>
      <c r="M3292" s="485"/>
      <c r="X3292" s="501" t="b">
        <f t="shared" si="262"/>
        <v>1</v>
      </c>
    </row>
    <row r="3293" outlineLevel="2" spans="1:24">
      <c r="A3293" s="85" t="s">
        <v>3827</v>
      </c>
      <c r="B3293" s="421" t="s">
        <v>3812</v>
      </c>
      <c r="C3293" s="429" t="str">
        <f t="shared" si="263"/>
        <v>石嘴山市深阳蓝光市政工程有限公司</v>
      </c>
      <c r="D3293" s="423" t="s">
        <v>3827</v>
      </c>
      <c r="E3293" s="937" t="s">
        <v>3828</v>
      </c>
      <c r="F3293" s="485"/>
      <c r="G3293" s="485"/>
      <c r="H3293" s="485"/>
      <c r="I3293" s="485"/>
      <c r="J3293" s="485"/>
      <c r="K3293" s="485"/>
      <c r="L3293" s="485"/>
      <c r="M3293" s="485"/>
      <c r="X3293" s="501" t="b">
        <f t="shared" si="262"/>
        <v>1</v>
      </c>
    </row>
    <row r="3294" ht="12" customHeight="1" outlineLevel="2" spans="1:24">
      <c r="A3294" s="85" t="s">
        <v>1375</v>
      </c>
      <c r="B3294" s="421" t="s">
        <v>3812</v>
      </c>
      <c r="C3294" s="429" t="str">
        <f t="shared" si="263"/>
        <v>石嘴山市深阳蓝光市政工程有限公司</v>
      </c>
      <c r="D3294" s="423" t="s">
        <v>3827</v>
      </c>
      <c r="E3294" s="581" t="s">
        <v>1375</v>
      </c>
      <c r="F3294" s="581" t="s">
        <v>3829</v>
      </c>
      <c r="G3294" s="581" t="s">
        <v>3818</v>
      </c>
      <c r="H3294" s="581" t="s">
        <v>698</v>
      </c>
      <c r="I3294" s="581" t="s">
        <v>3819</v>
      </c>
      <c r="J3294" s="827" t="s">
        <v>699</v>
      </c>
      <c r="K3294" s="827" t="s">
        <v>3820</v>
      </c>
      <c r="L3294" s="827" t="s">
        <v>3830</v>
      </c>
      <c r="M3294" s="581" t="s">
        <v>3831</v>
      </c>
      <c r="N3294" s="581" t="s">
        <v>3824</v>
      </c>
      <c r="X3294" s="501" t="b">
        <f t="shared" si="262"/>
        <v>1</v>
      </c>
    </row>
    <row r="3295" outlineLevel="2" spans="2:24">
      <c r="B3295" s="421" t="s">
        <v>3812</v>
      </c>
      <c r="C3295" s="429" t="str">
        <f t="shared" si="263"/>
        <v>石嘴山市深阳蓝光市政工程有限公司</v>
      </c>
      <c r="D3295" s="423" t="s">
        <v>3827</v>
      </c>
      <c r="E3295" s="999"/>
      <c r="F3295" s="999"/>
      <c r="G3295" s="999"/>
      <c r="H3295" s="999"/>
      <c r="I3295" s="999"/>
      <c r="J3295" s="778"/>
      <c r="K3295" s="778"/>
      <c r="L3295" s="778"/>
      <c r="M3295" s="778"/>
      <c r="N3295" s="777"/>
      <c r="X3295" s="501" t="b">
        <f t="shared" si="262"/>
        <v>1</v>
      </c>
    </row>
    <row r="3296" outlineLevel="2" spans="2:24">
      <c r="B3296" s="421" t="s">
        <v>3812</v>
      </c>
      <c r="C3296" s="429" t="str">
        <f t="shared" si="263"/>
        <v>石嘴山市深阳蓝光市政工程有限公司</v>
      </c>
      <c r="D3296" s="423" t="s">
        <v>3827</v>
      </c>
      <c r="E3296" s="999"/>
      <c r="F3296" s="999"/>
      <c r="G3296" s="999"/>
      <c r="H3296" s="999"/>
      <c r="I3296" s="999"/>
      <c r="J3296" s="1165"/>
      <c r="K3296" s="1165"/>
      <c r="L3296" s="1165"/>
      <c r="M3296" s="1165"/>
      <c r="N3296" s="98"/>
      <c r="X3296" s="501" t="b">
        <f t="shared" si="262"/>
        <v>1</v>
      </c>
    </row>
    <row r="3297" outlineLevel="2" spans="2:24">
      <c r="B3297" s="421" t="s">
        <v>3812</v>
      </c>
      <c r="C3297" s="429" t="str">
        <f t="shared" si="263"/>
        <v>石嘴山市深阳蓝光市政工程有限公司</v>
      </c>
      <c r="D3297" s="423" t="s">
        <v>3827</v>
      </c>
      <c r="E3297" s="999"/>
      <c r="F3297" s="999"/>
      <c r="G3297" s="999"/>
      <c r="H3297" s="999"/>
      <c r="I3297" s="999"/>
      <c r="J3297" s="1165"/>
      <c r="K3297" s="1165"/>
      <c r="L3297" s="1165"/>
      <c r="M3297" s="1165"/>
      <c r="N3297" s="98"/>
      <c r="X3297" s="501" t="b">
        <f t="shared" si="262"/>
        <v>1</v>
      </c>
    </row>
    <row r="3298" outlineLevel="2" spans="2:24">
      <c r="B3298" s="421" t="s">
        <v>3812</v>
      </c>
      <c r="C3298" s="429" t="str">
        <f t="shared" si="263"/>
        <v>石嘴山市深阳蓝光市政工程有限公司</v>
      </c>
      <c r="D3298" s="423" t="s">
        <v>3827</v>
      </c>
      <c r="E3298" s="999"/>
      <c r="F3298" s="999"/>
      <c r="G3298" s="999"/>
      <c r="H3298" s="999"/>
      <c r="I3298" s="999"/>
      <c r="J3298" s="1165"/>
      <c r="K3298" s="1165"/>
      <c r="L3298" s="1165"/>
      <c r="M3298" s="1165"/>
      <c r="N3298" s="98"/>
      <c r="X3298" s="501" t="b">
        <f t="shared" si="262"/>
        <v>1</v>
      </c>
    </row>
    <row r="3299" outlineLevel="2" spans="2:24">
      <c r="B3299" s="421" t="s">
        <v>3812</v>
      </c>
      <c r="C3299" s="429" t="str">
        <f t="shared" si="263"/>
        <v>石嘴山市深阳蓝光市政工程有限公司</v>
      </c>
      <c r="D3299" s="423" t="s">
        <v>3827</v>
      </c>
      <c r="E3299" s="755"/>
      <c r="F3299" s="1165"/>
      <c r="G3299" s="1165"/>
      <c r="H3299" s="1165"/>
      <c r="I3299" s="1165"/>
      <c r="J3299" s="1165"/>
      <c r="K3299" s="1165"/>
      <c r="L3299" s="1165"/>
      <c r="M3299" s="1165"/>
      <c r="N3299" s="98"/>
      <c r="X3299" s="501" t="b">
        <f t="shared" si="262"/>
        <v>1</v>
      </c>
    </row>
    <row r="3300" outlineLevel="2" spans="2:24">
      <c r="B3300" s="421" t="s">
        <v>3812</v>
      </c>
      <c r="C3300" s="429" t="str">
        <f t="shared" si="263"/>
        <v>石嘴山市深阳蓝光市政工程有限公司</v>
      </c>
      <c r="D3300" s="423" t="s">
        <v>3827</v>
      </c>
      <c r="E3300" s="755"/>
      <c r="F3300" s="1165"/>
      <c r="G3300" s="1165"/>
      <c r="H3300" s="1165"/>
      <c r="I3300" s="1165"/>
      <c r="J3300" s="1165"/>
      <c r="K3300" s="1165"/>
      <c r="L3300" s="1165"/>
      <c r="M3300" s="1165"/>
      <c r="N3300" s="98"/>
      <c r="X3300" s="501" t="b">
        <f t="shared" si="262"/>
        <v>1</v>
      </c>
    </row>
    <row r="3301" outlineLevel="2" spans="2:24">
      <c r="B3301" s="421" t="s">
        <v>3812</v>
      </c>
      <c r="C3301" s="429" t="str">
        <f t="shared" si="263"/>
        <v>石嘴山市深阳蓝光市政工程有限公司</v>
      </c>
      <c r="D3301" s="423" t="s">
        <v>3827</v>
      </c>
      <c r="E3301" s="755"/>
      <c r="F3301" s="1165"/>
      <c r="G3301" s="1165"/>
      <c r="H3301" s="1165"/>
      <c r="I3301" s="1165"/>
      <c r="J3301" s="1165"/>
      <c r="K3301" s="1165"/>
      <c r="L3301" s="1165"/>
      <c r="M3301" s="1165"/>
      <c r="N3301" s="98"/>
      <c r="X3301" s="501" t="b">
        <f t="shared" si="262"/>
        <v>1</v>
      </c>
    </row>
    <row r="3302" outlineLevel="2" spans="2:24">
      <c r="B3302" s="421" t="s">
        <v>3812</v>
      </c>
      <c r="C3302" s="429" t="str">
        <f t="shared" si="263"/>
        <v>石嘴山市深阳蓝光市政工程有限公司</v>
      </c>
      <c r="D3302" s="423" t="s">
        <v>3827</v>
      </c>
      <c r="E3302" s="755"/>
      <c r="F3302" s="1165"/>
      <c r="G3302" s="1165"/>
      <c r="H3302" s="1165"/>
      <c r="I3302" s="1165"/>
      <c r="J3302" s="1165"/>
      <c r="K3302" s="1165"/>
      <c r="L3302" s="1165"/>
      <c r="M3302" s="1165"/>
      <c r="N3302" s="98"/>
      <c r="X3302" s="501" t="b">
        <f t="shared" si="262"/>
        <v>1</v>
      </c>
    </row>
    <row r="3303" outlineLevel="2" spans="2:24">
      <c r="B3303" s="421" t="s">
        <v>3812</v>
      </c>
      <c r="C3303" s="429" t="str">
        <f t="shared" si="263"/>
        <v>石嘴山市深阳蓝光市政工程有限公司</v>
      </c>
      <c r="D3303" s="423" t="s">
        <v>3827</v>
      </c>
      <c r="E3303" s="755"/>
      <c r="F3303" s="1165"/>
      <c r="G3303" s="1165"/>
      <c r="H3303" s="1165"/>
      <c r="I3303" s="1165"/>
      <c r="J3303" s="1165"/>
      <c r="K3303" s="1165"/>
      <c r="L3303" s="1165"/>
      <c r="M3303" s="1165"/>
      <c r="N3303" s="98"/>
      <c r="X3303" s="501" t="b">
        <f t="shared" si="262"/>
        <v>1</v>
      </c>
    </row>
    <row r="3304" outlineLevel="2" spans="2:24">
      <c r="B3304" s="421" t="s">
        <v>3812</v>
      </c>
      <c r="C3304" s="429" t="str">
        <f t="shared" si="263"/>
        <v>石嘴山市深阳蓝光市政工程有限公司</v>
      </c>
      <c r="D3304" s="423" t="s">
        <v>3827</v>
      </c>
      <c r="E3304" s="755"/>
      <c r="F3304" s="1165"/>
      <c r="G3304" s="1165"/>
      <c r="H3304" s="1165"/>
      <c r="I3304" s="1165"/>
      <c r="J3304" s="1165"/>
      <c r="K3304" s="1165"/>
      <c r="L3304" s="1165"/>
      <c r="M3304" s="1165"/>
      <c r="N3304" s="98"/>
      <c r="X3304" s="501" t="b">
        <f t="shared" si="262"/>
        <v>1</v>
      </c>
    </row>
    <row r="3305" outlineLevel="2" spans="2:24">
      <c r="B3305" s="421" t="s">
        <v>3812</v>
      </c>
      <c r="C3305" s="429" t="str">
        <f t="shared" si="263"/>
        <v>石嘴山市深阳蓝光市政工程有限公司</v>
      </c>
      <c r="D3305" s="423" t="s">
        <v>3827</v>
      </c>
      <c r="E3305" s="755"/>
      <c r="F3305" s="1165"/>
      <c r="G3305" s="1165"/>
      <c r="H3305" s="1165"/>
      <c r="I3305" s="1165"/>
      <c r="J3305" s="1165"/>
      <c r="K3305" s="1165"/>
      <c r="L3305" s="1165"/>
      <c r="M3305" s="1165"/>
      <c r="N3305" s="98"/>
      <c r="X3305" s="501" t="b">
        <f t="shared" si="262"/>
        <v>1</v>
      </c>
    </row>
    <row r="3306" outlineLevel="2" spans="2:24">
      <c r="B3306" s="421" t="s">
        <v>3812</v>
      </c>
      <c r="C3306" s="429" t="str">
        <f t="shared" si="263"/>
        <v>石嘴山市深阳蓝光市政工程有限公司</v>
      </c>
      <c r="D3306" s="423" t="s">
        <v>3827</v>
      </c>
      <c r="E3306" s="755"/>
      <c r="F3306" s="1165"/>
      <c r="G3306" s="1165"/>
      <c r="H3306" s="1165"/>
      <c r="I3306" s="1165"/>
      <c r="J3306" s="1165"/>
      <c r="K3306" s="1165"/>
      <c r="L3306" s="1165"/>
      <c r="M3306" s="1165"/>
      <c r="N3306" s="98"/>
      <c r="X3306" s="501" t="b">
        <f t="shared" si="262"/>
        <v>1</v>
      </c>
    </row>
    <row r="3307" outlineLevel="2" spans="2:24">
      <c r="B3307" s="421" t="s">
        <v>3812</v>
      </c>
      <c r="C3307" s="429" t="str">
        <f t="shared" si="263"/>
        <v>石嘴山市深阳蓝光市政工程有限公司</v>
      </c>
      <c r="D3307" s="423" t="s">
        <v>3827</v>
      </c>
      <c r="E3307" s="755"/>
      <c r="F3307" s="1165"/>
      <c r="G3307" s="1165"/>
      <c r="H3307" s="1165"/>
      <c r="I3307" s="1165"/>
      <c r="J3307" s="1165"/>
      <c r="K3307" s="1165"/>
      <c r="L3307" s="1165"/>
      <c r="M3307" s="1165"/>
      <c r="N3307" s="98"/>
      <c r="X3307" s="501" t="b">
        <f t="shared" si="262"/>
        <v>1</v>
      </c>
    </row>
    <row r="3308" outlineLevel="2" spans="2:24">
      <c r="B3308" s="421" t="s">
        <v>3812</v>
      </c>
      <c r="C3308" s="429" t="str">
        <f t="shared" si="263"/>
        <v>石嘴山市深阳蓝光市政工程有限公司</v>
      </c>
      <c r="D3308" s="423" t="s">
        <v>3827</v>
      </c>
      <c r="E3308" s="755"/>
      <c r="F3308" s="1165"/>
      <c r="G3308" s="1165"/>
      <c r="H3308" s="1165"/>
      <c r="I3308" s="1165"/>
      <c r="J3308" s="1165"/>
      <c r="K3308" s="1165"/>
      <c r="L3308" s="1165"/>
      <c r="M3308" s="1165"/>
      <c r="N3308" s="98"/>
      <c r="X3308" s="501" t="b">
        <f t="shared" si="262"/>
        <v>1</v>
      </c>
    </row>
    <row r="3309" outlineLevel="2" spans="2:24">
      <c r="B3309" s="421" t="s">
        <v>3812</v>
      </c>
      <c r="C3309" s="429" t="str">
        <f t="shared" si="263"/>
        <v>石嘴山市深阳蓝光市政工程有限公司</v>
      </c>
      <c r="D3309" s="423" t="s">
        <v>3827</v>
      </c>
      <c r="E3309" s="755"/>
      <c r="F3309" s="1165"/>
      <c r="G3309" s="1165"/>
      <c r="H3309" s="1165"/>
      <c r="I3309" s="1165"/>
      <c r="J3309" s="1165"/>
      <c r="K3309" s="1165"/>
      <c r="L3309" s="1165"/>
      <c r="M3309" s="1165"/>
      <c r="N3309" s="98"/>
      <c r="X3309" s="501" t="b">
        <f t="shared" si="262"/>
        <v>1</v>
      </c>
    </row>
    <row r="3310" outlineLevel="2" spans="2:24">
      <c r="B3310" s="421" t="s">
        <v>3812</v>
      </c>
      <c r="C3310" s="429" t="str">
        <f t="shared" si="263"/>
        <v>石嘴山市深阳蓝光市政工程有限公司</v>
      </c>
      <c r="D3310" s="423" t="s">
        <v>3827</v>
      </c>
      <c r="E3310" s="1484"/>
      <c r="F3310" s="1485"/>
      <c r="G3310" s="1485"/>
      <c r="H3310" s="1485"/>
      <c r="I3310" s="1485"/>
      <c r="J3310" s="1485"/>
      <c r="K3310" s="1485"/>
      <c r="L3310" s="1485"/>
      <c r="M3310" s="1485"/>
      <c r="N3310" s="90"/>
      <c r="X3310" s="501" t="b">
        <f t="shared" si="262"/>
        <v>1</v>
      </c>
    </row>
    <row r="3311" outlineLevel="2" spans="1:24">
      <c r="A3311" s="85" t="s">
        <v>3832</v>
      </c>
      <c r="B3311" s="421" t="s">
        <v>3812</v>
      </c>
      <c r="C3311" s="429" t="str">
        <f t="shared" si="263"/>
        <v>石嘴山市深阳蓝光市政工程有限公司</v>
      </c>
      <c r="D3311" s="1486" t="s">
        <v>3833</v>
      </c>
      <c r="E3311" s="748" t="s">
        <v>3834</v>
      </c>
      <c r="F3311" s="485"/>
      <c r="G3311" s="485"/>
      <c r="H3311" s="485"/>
      <c r="I3311" s="485"/>
      <c r="J3311" s="485"/>
      <c r="K3311" s="485"/>
      <c r="L3311" s="485"/>
      <c r="M3311" s="1485"/>
      <c r="N3311" s="90"/>
      <c r="X3311" s="501" t="b">
        <f t="shared" si="262"/>
        <v>1</v>
      </c>
    </row>
    <row r="3312" ht="11.25" customHeight="1" outlineLevel="2" spans="1:24">
      <c r="A3312" s="85" t="s">
        <v>668</v>
      </c>
      <c r="B3312" s="421" t="s">
        <v>3812</v>
      </c>
      <c r="C3312" s="429" t="str">
        <f t="shared" si="263"/>
        <v>石嘴山市深阳蓝光市政工程有限公司</v>
      </c>
      <c r="D3312" s="1486" t="s">
        <v>3833</v>
      </c>
      <c r="E3312" s="1000" t="s">
        <v>668</v>
      </c>
      <c r="F3312" s="1487" t="s">
        <v>3818</v>
      </c>
      <c r="G3312" s="1487" t="s">
        <v>698</v>
      </c>
      <c r="H3312" s="1487" t="s">
        <v>3819</v>
      </c>
      <c r="I3312" s="1487" t="s">
        <v>699</v>
      </c>
      <c r="J3312" s="1487" t="s">
        <v>3820</v>
      </c>
      <c r="K3312" s="1487" t="s">
        <v>3835</v>
      </c>
      <c r="L3312" s="1487" t="s">
        <v>3836</v>
      </c>
      <c r="M3312" s="1000" t="s">
        <v>3837</v>
      </c>
      <c r="N3312" s="1000" t="s">
        <v>3824</v>
      </c>
      <c r="X3312" s="501" t="b">
        <f t="shared" si="262"/>
        <v>1</v>
      </c>
    </row>
    <row r="3313" outlineLevel="2" spans="1:24">
      <c r="A3313" s="85" t="s">
        <v>3833</v>
      </c>
      <c r="B3313" s="421" t="s">
        <v>3812</v>
      </c>
      <c r="C3313" s="429" t="str">
        <f t="shared" si="263"/>
        <v>石嘴山市深阳蓝光市政工程有限公司</v>
      </c>
      <c r="D3313" s="1486" t="s">
        <v>3833</v>
      </c>
      <c r="E3313" s="1488" t="s">
        <v>3833</v>
      </c>
      <c r="F3313" s="1237"/>
      <c r="G3313" s="1237"/>
      <c r="H3313" s="1237"/>
      <c r="I3313" s="1237"/>
      <c r="J3313" s="1237"/>
      <c r="K3313" s="1237"/>
      <c r="L3313" s="1237"/>
      <c r="M3313" s="661"/>
      <c r="N3313" s="661"/>
      <c r="X3313" s="501" t="b">
        <f t="shared" si="262"/>
        <v>1</v>
      </c>
    </row>
    <row r="3314" outlineLevel="2" spans="2:24">
      <c r="B3314" s="421" t="s">
        <v>3812</v>
      </c>
      <c r="C3314" s="429" t="str">
        <f t="shared" si="263"/>
        <v>石嘴山市深阳蓝光市政工程有限公司</v>
      </c>
      <c r="D3314" s="1486" t="s">
        <v>3833</v>
      </c>
      <c r="E3314" s="1489"/>
      <c r="F3314" s="941"/>
      <c r="G3314" s="941"/>
      <c r="H3314" s="941"/>
      <c r="I3314" s="941"/>
      <c r="J3314" s="941"/>
      <c r="K3314" s="941"/>
      <c r="L3314" s="941"/>
      <c r="M3314" s="547"/>
      <c r="N3314" s="547"/>
      <c r="X3314" s="501" t="b">
        <f t="shared" si="262"/>
        <v>1</v>
      </c>
    </row>
    <row r="3315" outlineLevel="2" spans="2:24">
      <c r="B3315" s="421" t="s">
        <v>3812</v>
      </c>
      <c r="C3315" s="429" t="str">
        <f t="shared" si="263"/>
        <v>石嘴山市深阳蓝光市政工程有限公司</v>
      </c>
      <c r="D3315" s="1486" t="s">
        <v>3833</v>
      </c>
      <c r="E3315" s="1489"/>
      <c r="F3315" s="941"/>
      <c r="G3315" s="941"/>
      <c r="H3315" s="941"/>
      <c r="I3315" s="941"/>
      <c r="J3315" s="941"/>
      <c r="K3315" s="941"/>
      <c r="L3315" s="941"/>
      <c r="M3315" s="547"/>
      <c r="N3315" s="547"/>
      <c r="X3315" s="501" t="b">
        <f t="shared" si="262"/>
        <v>1</v>
      </c>
    </row>
    <row r="3316" outlineLevel="2" spans="2:24">
      <c r="B3316" s="421" t="s">
        <v>3812</v>
      </c>
      <c r="C3316" s="429" t="str">
        <f t="shared" si="263"/>
        <v>石嘴山市深阳蓝光市政工程有限公司</v>
      </c>
      <c r="D3316" s="1486" t="s">
        <v>3833</v>
      </c>
      <c r="E3316" s="1489"/>
      <c r="F3316" s="941"/>
      <c r="G3316" s="941"/>
      <c r="H3316" s="941"/>
      <c r="I3316" s="941"/>
      <c r="J3316" s="941"/>
      <c r="K3316" s="941"/>
      <c r="L3316" s="941"/>
      <c r="M3316" s="547"/>
      <c r="N3316" s="547"/>
      <c r="X3316" s="501" t="b">
        <f t="shared" si="262"/>
        <v>1</v>
      </c>
    </row>
    <row r="3317" outlineLevel="2" spans="2:24">
      <c r="B3317" s="421" t="s">
        <v>3812</v>
      </c>
      <c r="C3317" s="429" t="str">
        <f t="shared" si="263"/>
        <v>石嘴山市深阳蓝光市政工程有限公司</v>
      </c>
      <c r="D3317" s="1486" t="s">
        <v>3833</v>
      </c>
      <c r="E3317" s="1489"/>
      <c r="F3317" s="941"/>
      <c r="G3317" s="941"/>
      <c r="H3317" s="941"/>
      <c r="I3317" s="941"/>
      <c r="J3317" s="941"/>
      <c r="K3317" s="941"/>
      <c r="L3317" s="941"/>
      <c r="M3317" s="547"/>
      <c r="N3317" s="547"/>
      <c r="X3317" s="501" t="b">
        <f t="shared" si="262"/>
        <v>1</v>
      </c>
    </row>
    <row r="3318" outlineLevel="2" spans="2:24">
      <c r="B3318" s="421" t="s">
        <v>3812</v>
      </c>
      <c r="C3318" s="429" t="str">
        <f t="shared" si="263"/>
        <v>石嘴山市深阳蓝光市政工程有限公司</v>
      </c>
      <c r="D3318" s="1486" t="s">
        <v>3833</v>
      </c>
      <c r="E3318" s="1489"/>
      <c r="F3318" s="941"/>
      <c r="G3318" s="941"/>
      <c r="H3318" s="941"/>
      <c r="I3318" s="941"/>
      <c r="J3318" s="941"/>
      <c r="K3318" s="941"/>
      <c r="L3318" s="941"/>
      <c r="M3318" s="547"/>
      <c r="N3318" s="547"/>
      <c r="X3318" s="501" t="b">
        <f t="shared" si="262"/>
        <v>1</v>
      </c>
    </row>
    <row r="3319" outlineLevel="2" spans="2:24">
      <c r="B3319" s="421" t="s">
        <v>3812</v>
      </c>
      <c r="C3319" s="429" t="str">
        <f t="shared" si="263"/>
        <v>石嘴山市深阳蓝光市政工程有限公司</v>
      </c>
      <c r="D3319" s="1486" t="s">
        <v>3833</v>
      </c>
      <c r="E3319" s="1489"/>
      <c r="F3319" s="941"/>
      <c r="G3319" s="941"/>
      <c r="H3319" s="941"/>
      <c r="I3319" s="941"/>
      <c r="J3319" s="941"/>
      <c r="K3319" s="941"/>
      <c r="L3319" s="941"/>
      <c r="M3319" s="547"/>
      <c r="N3319" s="547"/>
      <c r="X3319" s="501" t="b">
        <f t="shared" si="262"/>
        <v>1</v>
      </c>
    </row>
    <row r="3320" outlineLevel="2" spans="2:24">
      <c r="B3320" s="421" t="s">
        <v>3812</v>
      </c>
      <c r="C3320" s="429" t="str">
        <f t="shared" si="263"/>
        <v>石嘴山市深阳蓝光市政工程有限公司</v>
      </c>
      <c r="D3320" s="1486" t="s">
        <v>3833</v>
      </c>
      <c r="E3320" s="1489"/>
      <c r="F3320" s="941"/>
      <c r="G3320" s="941"/>
      <c r="H3320" s="941"/>
      <c r="I3320" s="941"/>
      <c r="J3320" s="941"/>
      <c r="K3320" s="941"/>
      <c r="L3320" s="941"/>
      <c r="M3320" s="547"/>
      <c r="N3320" s="547"/>
      <c r="X3320" s="501" t="b">
        <f t="shared" si="262"/>
        <v>1</v>
      </c>
    </row>
    <row r="3321" outlineLevel="2" spans="2:24">
      <c r="B3321" s="421" t="s">
        <v>3812</v>
      </c>
      <c r="C3321" s="429" t="str">
        <f t="shared" si="263"/>
        <v>石嘴山市深阳蓝光市政工程有限公司</v>
      </c>
      <c r="D3321" s="1486" t="s">
        <v>3833</v>
      </c>
      <c r="E3321" s="1489"/>
      <c r="F3321" s="941"/>
      <c r="G3321" s="941"/>
      <c r="H3321" s="941"/>
      <c r="I3321" s="941"/>
      <c r="J3321" s="941"/>
      <c r="K3321" s="941"/>
      <c r="L3321" s="941"/>
      <c r="M3321" s="547"/>
      <c r="N3321" s="547"/>
      <c r="X3321" s="501" t="b">
        <f t="shared" si="262"/>
        <v>1</v>
      </c>
    </row>
    <row r="3322" outlineLevel="2" spans="2:24">
      <c r="B3322" s="421" t="s">
        <v>3812</v>
      </c>
      <c r="C3322" s="429" t="str">
        <f t="shared" si="263"/>
        <v>石嘴山市深阳蓝光市政工程有限公司</v>
      </c>
      <c r="D3322" s="1486" t="s">
        <v>3833</v>
      </c>
      <c r="E3322" s="1489"/>
      <c r="F3322" s="941"/>
      <c r="G3322" s="941"/>
      <c r="H3322" s="941"/>
      <c r="I3322" s="941"/>
      <c r="J3322" s="941"/>
      <c r="K3322" s="941"/>
      <c r="L3322" s="941"/>
      <c r="M3322" s="547"/>
      <c r="N3322" s="547"/>
      <c r="X3322" s="501" t="b">
        <f t="shared" si="262"/>
        <v>1</v>
      </c>
    </row>
    <row r="3323" outlineLevel="2" spans="1:24">
      <c r="A3323" s="85" t="s">
        <v>3838</v>
      </c>
      <c r="B3323" s="421" t="s">
        <v>3812</v>
      </c>
      <c r="C3323" s="429" t="str">
        <f t="shared" si="263"/>
        <v>石嘴山市深阳蓝光市政工程有限公司</v>
      </c>
      <c r="D3323" s="1486" t="s">
        <v>3838</v>
      </c>
      <c r="E3323" s="1488" t="s">
        <v>3838</v>
      </c>
      <c r="F3323" s="1237"/>
      <c r="G3323" s="1237"/>
      <c r="H3323" s="1237"/>
      <c r="I3323" s="1237"/>
      <c r="J3323" s="1237"/>
      <c r="K3323" s="1237"/>
      <c r="L3323" s="1237"/>
      <c r="M3323" s="661"/>
      <c r="N3323" s="661"/>
      <c r="X3323" s="501" t="b">
        <f t="shared" si="262"/>
        <v>1</v>
      </c>
    </row>
    <row r="3324" outlineLevel="2" spans="2:24">
      <c r="B3324" s="421" t="s">
        <v>3812</v>
      </c>
      <c r="C3324" s="429" t="str">
        <f t="shared" si="263"/>
        <v>石嘴山市深阳蓝光市政工程有限公司</v>
      </c>
      <c r="D3324" s="1486" t="s">
        <v>3838</v>
      </c>
      <c r="E3324" s="1489"/>
      <c r="F3324" s="941"/>
      <c r="G3324" s="941"/>
      <c r="H3324" s="941"/>
      <c r="I3324" s="941"/>
      <c r="J3324" s="941"/>
      <c r="K3324" s="941"/>
      <c r="L3324" s="941"/>
      <c r="M3324" s="547"/>
      <c r="N3324" s="547"/>
      <c r="X3324" s="501" t="b">
        <f t="shared" si="262"/>
        <v>1</v>
      </c>
    </row>
    <row r="3325" outlineLevel="2" spans="2:24">
      <c r="B3325" s="421" t="s">
        <v>3812</v>
      </c>
      <c r="C3325" s="429" t="str">
        <f t="shared" si="263"/>
        <v>石嘴山市深阳蓝光市政工程有限公司</v>
      </c>
      <c r="D3325" s="1486" t="s">
        <v>3838</v>
      </c>
      <c r="E3325" s="1489"/>
      <c r="F3325" s="941"/>
      <c r="G3325" s="941"/>
      <c r="H3325" s="941"/>
      <c r="I3325" s="941"/>
      <c r="J3325" s="941"/>
      <c r="K3325" s="941"/>
      <c r="L3325" s="941"/>
      <c r="M3325" s="547"/>
      <c r="N3325" s="547"/>
      <c r="X3325" s="501" t="b">
        <f t="shared" si="262"/>
        <v>1</v>
      </c>
    </row>
    <row r="3326" outlineLevel="2" spans="2:24">
      <c r="B3326" s="421" t="s">
        <v>3812</v>
      </c>
      <c r="C3326" s="429" t="str">
        <f t="shared" si="263"/>
        <v>石嘴山市深阳蓝光市政工程有限公司</v>
      </c>
      <c r="D3326" s="1486" t="s">
        <v>3838</v>
      </c>
      <c r="E3326" s="1489"/>
      <c r="F3326" s="941"/>
      <c r="G3326" s="941"/>
      <c r="H3326" s="941"/>
      <c r="I3326" s="941"/>
      <c r="J3326" s="941"/>
      <c r="K3326" s="941"/>
      <c r="L3326" s="941"/>
      <c r="M3326" s="547"/>
      <c r="N3326" s="547"/>
      <c r="X3326" s="501" t="b">
        <f t="shared" si="262"/>
        <v>1</v>
      </c>
    </row>
    <row r="3327" outlineLevel="2" spans="2:24">
      <c r="B3327" s="421" t="s">
        <v>3812</v>
      </c>
      <c r="C3327" s="429" t="str">
        <f t="shared" si="263"/>
        <v>石嘴山市深阳蓝光市政工程有限公司</v>
      </c>
      <c r="D3327" s="1486" t="s">
        <v>3838</v>
      </c>
      <c r="E3327" s="1489"/>
      <c r="F3327" s="941"/>
      <c r="G3327" s="941"/>
      <c r="H3327" s="941"/>
      <c r="I3327" s="941"/>
      <c r="J3327" s="941"/>
      <c r="K3327" s="941"/>
      <c r="L3327" s="941"/>
      <c r="M3327" s="547"/>
      <c r="N3327" s="547"/>
      <c r="X3327" s="501" t="b">
        <f t="shared" si="262"/>
        <v>1</v>
      </c>
    </row>
    <row r="3328" outlineLevel="2" spans="2:24">
      <c r="B3328" s="421" t="s">
        <v>3812</v>
      </c>
      <c r="C3328" s="429" t="str">
        <f t="shared" si="263"/>
        <v>石嘴山市深阳蓝光市政工程有限公司</v>
      </c>
      <c r="D3328" s="1486" t="s">
        <v>3838</v>
      </c>
      <c r="E3328" s="1489"/>
      <c r="F3328" s="941"/>
      <c r="G3328" s="941"/>
      <c r="H3328" s="941"/>
      <c r="I3328" s="941"/>
      <c r="J3328" s="941"/>
      <c r="K3328" s="941"/>
      <c r="L3328" s="941"/>
      <c r="M3328" s="547"/>
      <c r="N3328" s="547"/>
      <c r="X3328" s="501" t="b">
        <f t="shared" si="262"/>
        <v>1</v>
      </c>
    </row>
    <row r="3329" outlineLevel="2" spans="2:24">
      <c r="B3329" s="421" t="s">
        <v>3812</v>
      </c>
      <c r="C3329" s="429" t="str">
        <f t="shared" si="263"/>
        <v>石嘴山市深阳蓝光市政工程有限公司</v>
      </c>
      <c r="D3329" s="1486" t="s">
        <v>3838</v>
      </c>
      <c r="E3329" s="1489"/>
      <c r="F3329" s="941"/>
      <c r="G3329" s="941"/>
      <c r="H3329" s="941"/>
      <c r="I3329" s="941"/>
      <c r="J3329" s="941"/>
      <c r="K3329" s="941"/>
      <c r="L3329" s="941"/>
      <c r="M3329" s="547"/>
      <c r="N3329" s="547"/>
      <c r="X3329" s="501" t="b">
        <f t="shared" si="262"/>
        <v>1</v>
      </c>
    </row>
    <row r="3330" outlineLevel="2" spans="2:24">
      <c r="B3330" s="421" t="s">
        <v>3812</v>
      </c>
      <c r="C3330" s="429" t="str">
        <f t="shared" si="263"/>
        <v>石嘴山市深阳蓝光市政工程有限公司</v>
      </c>
      <c r="D3330" s="1486" t="s">
        <v>3838</v>
      </c>
      <c r="E3330" s="1489"/>
      <c r="F3330" s="941"/>
      <c r="G3330" s="941"/>
      <c r="H3330" s="941"/>
      <c r="I3330" s="941"/>
      <c r="J3330" s="941"/>
      <c r="K3330" s="941"/>
      <c r="L3330" s="941"/>
      <c r="M3330" s="547"/>
      <c r="N3330" s="547"/>
      <c r="X3330" s="501" t="b">
        <f t="shared" si="262"/>
        <v>1</v>
      </c>
    </row>
    <row r="3331" outlineLevel="2" spans="2:24">
      <c r="B3331" s="421" t="s">
        <v>3812</v>
      </c>
      <c r="C3331" s="429" t="str">
        <f t="shared" si="263"/>
        <v>石嘴山市深阳蓝光市政工程有限公司</v>
      </c>
      <c r="D3331" s="1486" t="s">
        <v>3838</v>
      </c>
      <c r="E3331" s="1489"/>
      <c r="F3331" s="941"/>
      <c r="G3331" s="941"/>
      <c r="H3331" s="941"/>
      <c r="I3331" s="941"/>
      <c r="J3331" s="941"/>
      <c r="K3331" s="941"/>
      <c r="L3331" s="941"/>
      <c r="M3331" s="547"/>
      <c r="N3331" s="547"/>
      <c r="X3331" s="501" t="b">
        <f t="shared" si="262"/>
        <v>1</v>
      </c>
    </row>
    <row r="3332" outlineLevel="2" spans="2:24">
      <c r="B3332" s="421" t="s">
        <v>3812</v>
      </c>
      <c r="C3332" s="429" t="str">
        <f t="shared" si="263"/>
        <v>石嘴山市深阳蓝光市政工程有限公司</v>
      </c>
      <c r="D3332" s="1486" t="s">
        <v>3838</v>
      </c>
      <c r="E3332" s="1490"/>
      <c r="F3332" s="1173"/>
      <c r="G3332" s="1173"/>
      <c r="H3332" s="1173"/>
      <c r="I3332" s="1173"/>
      <c r="J3332" s="1173"/>
      <c r="K3332" s="1173"/>
      <c r="L3332" s="1173"/>
      <c r="M3332" s="547"/>
      <c r="N3332" s="547"/>
      <c r="X3332" s="501" t="b">
        <f t="shared" si="262"/>
        <v>1</v>
      </c>
    </row>
    <row r="3333" outlineLevel="2" spans="2:24">
      <c r="B3333" s="421" t="s">
        <v>3812</v>
      </c>
      <c r="C3333" s="429" t="str">
        <f t="shared" si="263"/>
        <v>石嘴山市深阳蓝光市政工程有限公司</v>
      </c>
      <c r="D3333" s="1486" t="s">
        <v>3838</v>
      </c>
      <c r="E3333" s="1490"/>
      <c r="F3333" s="1173"/>
      <c r="G3333" s="1173"/>
      <c r="H3333" s="1173"/>
      <c r="I3333" s="1173"/>
      <c r="J3333" s="1173"/>
      <c r="K3333" s="1173"/>
      <c r="L3333" s="1173"/>
      <c r="M3333" s="547"/>
      <c r="N3333" s="547"/>
      <c r="X3333" s="501" t="b">
        <f t="shared" si="262"/>
        <v>1</v>
      </c>
    </row>
    <row r="3334" outlineLevel="2" spans="2:24">
      <c r="B3334" s="421" t="s">
        <v>3812</v>
      </c>
      <c r="C3334" s="429" t="str">
        <f t="shared" si="263"/>
        <v>石嘴山市深阳蓝光市政工程有限公司</v>
      </c>
      <c r="D3334" s="1486" t="s">
        <v>3838</v>
      </c>
      <c r="E3334" s="1490"/>
      <c r="F3334" s="1173"/>
      <c r="G3334" s="1173"/>
      <c r="H3334" s="1173"/>
      <c r="I3334" s="1173"/>
      <c r="J3334" s="1173"/>
      <c r="K3334" s="1173"/>
      <c r="L3334" s="1173"/>
      <c r="M3334" s="547"/>
      <c r="N3334" s="547"/>
      <c r="X3334" s="501" t="b">
        <f t="shared" si="262"/>
        <v>1</v>
      </c>
    </row>
    <row r="3335" outlineLevel="2" spans="2:24">
      <c r="B3335" s="421" t="s">
        <v>3812</v>
      </c>
      <c r="C3335" s="429" t="str">
        <f t="shared" si="263"/>
        <v>石嘴山市深阳蓝光市政工程有限公司</v>
      </c>
      <c r="D3335" s="1486" t="s">
        <v>3838</v>
      </c>
      <c r="E3335" s="1490"/>
      <c r="F3335" s="1173"/>
      <c r="G3335" s="1173"/>
      <c r="H3335" s="1173"/>
      <c r="I3335" s="1173"/>
      <c r="J3335" s="1173"/>
      <c r="K3335" s="1173"/>
      <c r="L3335" s="1173"/>
      <c r="M3335" s="547"/>
      <c r="N3335" s="547"/>
      <c r="X3335" s="501" t="b">
        <f t="shared" si="262"/>
        <v>1</v>
      </c>
    </row>
    <row r="3336" outlineLevel="2" spans="2:24">
      <c r="B3336" s="421" t="s">
        <v>3812</v>
      </c>
      <c r="C3336" s="429" t="str">
        <f t="shared" si="263"/>
        <v>石嘴山市深阳蓝光市政工程有限公司</v>
      </c>
      <c r="D3336" s="1486" t="s">
        <v>3838</v>
      </c>
      <c r="E3336" s="1490"/>
      <c r="F3336" s="1173"/>
      <c r="G3336" s="1173"/>
      <c r="H3336" s="1173"/>
      <c r="I3336" s="1173"/>
      <c r="J3336" s="1173"/>
      <c r="K3336" s="1173"/>
      <c r="L3336" s="1173"/>
      <c r="M3336" s="547"/>
      <c r="N3336" s="547"/>
      <c r="X3336" s="501" t="b">
        <f t="shared" si="262"/>
        <v>1</v>
      </c>
    </row>
    <row r="3337" outlineLevel="2" spans="2:24">
      <c r="B3337" s="421" t="s">
        <v>3812</v>
      </c>
      <c r="C3337" s="429" t="str">
        <f t="shared" si="263"/>
        <v>石嘴山市深阳蓝光市政工程有限公司</v>
      </c>
      <c r="D3337" s="1486" t="s">
        <v>3838</v>
      </c>
      <c r="E3337" s="1484"/>
      <c r="F3337" s="1485"/>
      <c r="G3337" s="1485"/>
      <c r="H3337" s="1485"/>
      <c r="I3337" s="1485"/>
      <c r="J3337" s="1485"/>
      <c r="K3337" s="1485"/>
      <c r="L3337" s="1485"/>
      <c r="M3337" s="1485"/>
      <c r="N3337" s="90"/>
      <c r="X3337" s="501" t="b">
        <f t="shared" si="262"/>
        <v>1</v>
      </c>
    </row>
    <row r="3338" outlineLevel="2" spans="2:24">
      <c r="B3338" s="421" t="s">
        <v>3812</v>
      </c>
      <c r="C3338" s="429" t="str">
        <f t="shared" si="263"/>
        <v>石嘴山市深阳蓝光市政工程有限公司</v>
      </c>
      <c r="D3338" s="1486" t="s">
        <v>3838</v>
      </c>
      <c r="E3338" s="1484"/>
      <c r="F3338" s="1485"/>
      <c r="G3338" s="1485"/>
      <c r="H3338" s="1485"/>
      <c r="I3338" s="1485"/>
      <c r="J3338" s="1485"/>
      <c r="K3338" s="1485"/>
      <c r="L3338" s="1485"/>
      <c r="M3338" s="1485"/>
      <c r="N3338" s="90"/>
      <c r="X3338" s="501" t="b">
        <f t="shared" si="262"/>
        <v>1</v>
      </c>
    </row>
    <row r="3339" outlineLevel="2" spans="1:24">
      <c r="A3339" s="85" t="s">
        <v>3839</v>
      </c>
      <c r="B3339" s="421" t="s">
        <v>3812</v>
      </c>
      <c r="C3339" s="429" t="str">
        <f t="shared" si="263"/>
        <v>石嘴山市深阳蓝光市政工程有限公司</v>
      </c>
      <c r="D3339" s="423" t="s">
        <v>3839</v>
      </c>
      <c r="E3339" s="748" t="s">
        <v>3840</v>
      </c>
      <c r="F3339" s="485"/>
      <c r="G3339" s="485"/>
      <c r="H3339" s="1485"/>
      <c r="I3339" s="1485"/>
      <c r="J3339" s="1485"/>
      <c r="K3339" s="1485"/>
      <c r="L3339" s="1485"/>
      <c r="M3339" s="1485"/>
      <c r="N3339" s="90"/>
      <c r="X3339" s="501" t="b">
        <f t="shared" si="262"/>
        <v>1</v>
      </c>
    </row>
    <row r="3340" outlineLevel="2" spans="1:24">
      <c r="A3340" s="85" t="s">
        <v>3841</v>
      </c>
      <c r="B3340" s="421" t="s">
        <v>3812</v>
      </c>
      <c r="C3340" s="429" t="str">
        <f t="shared" si="263"/>
        <v>石嘴山市深阳蓝光市政工程有限公司</v>
      </c>
      <c r="D3340" s="423" t="s">
        <v>3839</v>
      </c>
      <c r="E3340" s="1491" t="s">
        <v>3841</v>
      </c>
      <c r="F3340" s="1491" t="s">
        <v>3842</v>
      </c>
      <c r="G3340" s="1491" t="s">
        <v>3824</v>
      </c>
      <c r="H3340" s="1485"/>
      <c r="I3340" s="1485"/>
      <c r="J3340" s="1485"/>
      <c r="K3340" s="1485"/>
      <c r="L3340" s="1485"/>
      <c r="M3340" s="1485"/>
      <c r="N3340" s="90"/>
      <c r="X3340" s="501" t="b">
        <f t="shared" si="262"/>
        <v>1</v>
      </c>
    </row>
    <row r="3341" outlineLevel="2" spans="2:24">
      <c r="B3341" s="421" t="s">
        <v>3812</v>
      </c>
      <c r="C3341" s="429" t="str">
        <f t="shared" si="263"/>
        <v>石嘴山市深阳蓝光市政工程有限公司</v>
      </c>
      <c r="D3341" s="423" t="s">
        <v>3839</v>
      </c>
      <c r="E3341" s="1492"/>
      <c r="F3341" s="1492"/>
      <c r="G3341" s="1492"/>
      <c r="H3341" s="1485"/>
      <c r="I3341" s="1485"/>
      <c r="J3341" s="1485"/>
      <c r="K3341" s="1485"/>
      <c r="L3341" s="1485"/>
      <c r="M3341" s="1485"/>
      <c r="N3341" s="90"/>
      <c r="X3341" s="501" t="b">
        <f t="shared" si="262"/>
        <v>1</v>
      </c>
    </row>
    <row r="3342" outlineLevel="2" spans="2:24">
      <c r="B3342" s="421" t="s">
        <v>3812</v>
      </c>
      <c r="C3342" s="429" t="str">
        <f t="shared" si="263"/>
        <v>石嘴山市深阳蓝光市政工程有限公司</v>
      </c>
      <c r="D3342" s="423" t="s">
        <v>3839</v>
      </c>
      <c r="E3342" s="755"/>
      <c r="F3342" s="1165"/>
      <c r="G3342" s="1165"/>
      <c r="H3342" s="1485"/>
      <c r="I3342" s="1485"/>
      <c r="J3342" s="1485"/>
      <c r="K3342" s="1485"/>
      <c r="L3342" s="1485"/>
      <c r="M3342" s="1485"/>
      <c r="N3342" s="90"/>
      <c r="X3342" s="501" t="b">
        <f t="shared" si="262"/>
        <v>1</v>
      </c>
    </row>
    <row r="3343" outlineLevel="2" spans="2:24">
      <c r="B3343" s="421" t="s">
        <v>3812</v>
      </c>
      <c r="C3343" s="429" t="str">
        <f t="shared" si="263"/>
        <v>石嘴山市深阳蓝光市政工程有限公司</v>
      </c>
      <c r="D3343" s="423" t="s">
        <v>3839</v>
      </c>
      <c r="E3343" s="755"/>
      <c r="F3343" s="1165"/>
      <c r="G3343" s="1165"/>
      <c r="H3343" s="1485"/>
      <c r="I3343" s="1485"/>
      <c r="J3343" s="1485"/>
      <c r="K3343" s="1485"/>
      <c r="L3343" s="1485"/>
      <c r="M3343" s="1485"/>
      <c r="N3343" s="90"/>
      <c r="X3343" s="501" t="b">
        <f t="shared" si="262"/>
        <v>1</v>
      </c>
    </row>
    <row r="3344" outlineLevel="2" spans="2:24">
      <c r="B3344" s="421" t="s">
        <v>3812</v>
      </c>
      <c r="C3344" s="429" t="str">
        <f t="shared" si="263"/>
        <v>石嘴山市深阳蓝光市政工程有限公司</v>
      </c>
      <c r="D3344" s="423" t="s">
        <v>3839</v>
      </c>
      <c r="E3344" s="755"/>
      <c r="F3344" s="1165"/>
      <c r="G3344" s="1165"/>
      <c r="H3344" s="1485"/>
      <c r="I3344" s="1485"/>
      <c r="J3344" s="1485"/>
      <c r="K3344" s="1485"/>
      <c r="L3344" s="1485"/>
      <c r="M3344" s="1485"/>
      <c r="N3344" s="90"/>
      <c r="X3344" s="501" t="b">
        <f t="shared" si="262"/>
        <v>1</v>
      </c>
    </row>
    <row r="3345" outlineLevel="2" spans="2:24">
      <c r="B3345" s="421" t="s">
        <v>3812</v>
      </c>
      <c r="C3345" s="429" t="str">
        <f t="shared" si="263"/>
        <v>石嘴山市深阳蓝光市政工程有限公司</v>
      </c>
      <c r="D3345" s="423" t="s">
        <v>3839</v>
      </c>
      <c r="E3345" s="755"/>
      <c r="F3345" s="1165"/>
      <c r="G3345" s="1165"/>
      <c r="H3345" s="1485"/>
      <c r="I3345" s="1485"/>
      <c r="J3345" s="1485"/>
      <c r="K3345" s="1485"/>
      <c r="L3345" s="1485"/>
      <c r="M3345" s="1485"/>
      <c r="N3345" s="90"/>
      <c r="X3345" s="501" t="b">
        <f t="shared" si="262"/>
        <v>1</v>
      </c>
    </row>
    <row r="3346" outlineLevel="2" spans="2:24">
      <c r="B3346" s="421" t="s">
        <v>3812</v>
      </c>
      <c r="C3346" s="429" t="str">
        <f t="shared" si="263"/>
        <v>石嘴山市深阳蓝光市政工程有限公司</v>
      </c>
      <c r="D3346" s="423" t="s">
        <v>3839</v>
      </c>
      <c r="E3346" s="755"/>
      <c r="F3346" s="1165"/>
      <c r="G3346" s="1165"/>
      <c r="H3346" s="1485"/>
      <c r="I3346" s="1485"/>
      <c r="J3346" s="1485"/>
      <c r="K3346" s="1485"/>
      <c r="L3346" s="1485"/>
      <c r="M3346" s="1485"/>
      <c r="N3346" s="90"/>
      <c r="X3346" s="501" t="b">
        <f t="shared" si="262"/>
        <v>1</v>
      </c>
    </row>
    <row r="3347" outlineLevel="2" spans="2:24">
      <c r="B3347" s="421" t="s">
        <v>3812</v>
      </c>
      <c r="C3347" s="429" t="str">
        <f t="shared" ref="C3347:C3361" si="264">$G$1</f>
        <v>石嘴山市深阳蓝光市政工程有限公司</v>
      </c>
      <c r="D3347" s="423" t="s">
        <v>3839</v>
      </c>
      <c r="E3347" s="755"/>
      <c r="F3347" s="1165"/>
      <c r="G3347" s="1165"/>
      <c r="H3347" s="1485"/>
      <c r="I3347" s="1485"/>
      <c r="J3347" s="1485"/>
      <c r="K3347" s="1485"/>
      <c r="L3347" s="1485"/>
      <c r="M3347" s="1485"/>
      <c r="N3347" s="90"/>
      <c r="X3347" s="501" t="b">
        <f t="shared" si="262"/>
        <v>1</v>
      </c>
    </row>
    <row r="3348" outlineLevel="2" spans="2:24">
      <c r="B3348" s="421" t="s">
        <v>3812</v>
      </c>
      <c r="C3348" s="429" t="str">
        <f t="shared" si="264"/>
        <v>石嘴山市深阳蓝光市政工程有限公司</v>
      </c>
      <c r="D3348" s="423" t="s">
        <v>3839</v>
      </c>
      <c r="E3348" s="755"/>
      <c r="F3348" s="1165"/>
      <c r="G3348" s="1165"/>
      <c r="H3348" s="1485"/>
      <c r="I3348" s="1485"/>
      <c r="J3348" s="1485"/>
      <c r="K3348" s="1485"/>
      <c r="L3348" s="1485"/>
      <c r="M3348" s="1485"/>
      <c r="N3348" s="90"/>
      <c r="X3348" s="501" t="b">
        <f t="shared" si="262"/>
        <v>1</v>
      </c>
    </row>
    <row r="3349" outlineLevel="2" spans="2:24">
      <c r="B3349" s="421" t="s">
        <v>3812</v>
      </c>
      <c r="C3349" s="429" t="str">
        <f t="shared" si="264"/>
        <v>石嘴山市深阳蓝光市政工程有限公司</v>
      </c>
      <c r="D3349" s="423" t="s">
        <v>3839</v>
      </c>
      <c r="E3349" s="755"/>
      <c r="F3349" s="1165"/>
      <c r="G3349" s="1165"/>
      <c r="H3349" s="1485"/>
      <c r="I3349" s="1485"/>
      <c r="J3349" s="1485"/>
      <c r="K3349" s="1485"/>
      <c r="L3349" s="1485"/>
      <c r="M3349" s="1485"/>
      <c r="N3349" s="90"/>
      <c r="X3349" s="501" t="b">
        <f t="shared" si="262"/>
        <v>1</v>
      </c>
    </row>
    <row r="3350" outlineLevel="2" spans="2:24">
      <c r="B3350" s="421" t="s">
        <v>3812</v>
      </c>
      <c r="C3350" s="429" t="str">
        <f t="shared" si="264"/>
        <v>石嘴山市深阳蓝光市政工程有限公司</v>
      </c>
      <c r="D3350" s="423" t="s">
        <v>3839</v>
      </c>
      <c r="E3350" s="755"/>
      <c r="F3350" s="1165"/>
      <c r="G3350" s="1165"/>
      <c r="H3350" s="1485"/>
      <c r="I3350" s="1485"/>
      <c r="J3350" s="1485"/>
      <c r="K3350" s="1485"/>
      <c r="L3350" s="1485"/>
      <c r="M3350" s="1485"/>
      <c r="N3350" s="90"/>
      <c r="X3350" s="501" t="b">
        <f t="shared" si="262"/>
        <v>1</v>
      </c>
    </row>
    <row r="3351" outlineLevel="2" spans="2:24">
      <c r="B3351" s="421" t="s">
        <v>3812</v>
      </c>
      <c r="C3351" s="429" t="str">
        <f t="shared" si="264"/>
        <v>石嘴山市深阳蓝光市政工程有限公司</v>
      </c>
      <c r="D3351" s="423" t="s">
        <v>3839</v>
      </c>
      <c r="E3351" s="755"/>
      <c r="F3351" s="1165"/>
      <c r="G3351" s="1165"/>
      <c r="H3351" s="1485"/>
      <c r="I3351" s="1485"/>
      <c r="J3351" s="1485"/>
      <c r="K3351" s="1485"/>
      <c r="L3351" s="1485"/>
      <c r="M3351" s="1485"/>
      <c r="N3351" s="90"/>
      <c r="X3351" s="501" t="b">
        <f t="shared" si="262"/>
        <v>1</v>
      </c>
    </row>
    <row r="3352" outlineLevel="2" spans="2:24">
      <c r="B3352" s="421" t="s">
        <v>3812</v>
      </c>
      <c r="C3352" s="429" t="str">
        <f t="shared" si="264"/>
        <v>石嘴山市深阳蓝光市政工程有限公司</v>
      </c>
      <c r="D3352" s="423" t="s">
        <v>3839</v>
      </c>
      <c r="E3352" s="755"/>
      <c r="F3352" s="1165"/>
      <c r="G3352" s="1165"/>
      <c r="H3352" s="1485"/>
      <c r="I3352" s="1485"/>
      <c r="J3352" s="1485"/>
      <c r="K3352" s="1485"/>
      <c r="L3352" s="1485"/>
      <c r="M3352" s="1485"/>
      <c r="N3352" s="90"/>
      <c r="X3352" s="501" t="b">
        <f t="shared" si="262"/>
        <v>1</v>
      </c>
    </row>
    <row r="3353" outlineLevel="2" spans="2:24">
      <c r="B3353" s="421" t="s">
        <v>3812</v>
      </c>
      <c r="C3353" s="429" t="str">
        <f t="shared" si="264"/>
        <v>石嘴山市深阳蓝光市政工程有限公司</v>
      </c>
      <c r="D3353" s="423" t="s">
        <v>3839</v>
      </c>
      <c r="E3353" s="755"/>
      <c r="F3353" s="1165"/>
      <c r="G3353" s="1165"/>
      <c r="H3353" s="1485"/>
      <c r="I3353" s="1485"/>
      <c r="J3353" s="1485"/>
      <c r="K3353" s="1485"/>
      <c r="L3353" s="1485"/>
      <c r="M3353" s="1485"/>
      <c r="N3353" s="90"/>
      <c r="X3353" s="501" t="b">
        <f t="shared" si="262"/>
        <v>1</v>
      </c>
    </row>
    <row r="3354" outlineLevel="2" spans="2:24">
      <c r="B3354" s="421" t="s">
        <v>3812</v>
      </c>
      <c r="C3354" s="429" t="str">
        <f t="shared" si="264"/>
        <v>石嘴山市深阳蓝光市政工程有限公司</v>
      </c>
      <c r="D3354" s="423" t="s">
        <v>3839</v>
      </c>
      <c r="E3354" s="755"/>
      <c r="F3354" s="1165"/>
      <c r="G3354" s="1165"/>
      <c r="H3354" s="1485"/>
      <c r="I3354" s="1485"/>
      <c r="J3354" s="1485"/>
      <c r="K3354" s="1485"/>
      <c r="L3354" s="1485"/>
      <c r="M3354" s="1485"/>
      <c r="N3354" s="90"/>
      <c r="X3354" s="501" t="b">
        <f t="shared" si="262"/>
        <v>1</v>
      </c>
    </row>
    <row r="3355" outlineLevel="2" spans="2:24">
      <c r="B3355" s="421" t="s">
        <v>3812</v>
      </c>
      <c r="C3355" s="429" t="str">
        <f t="shared" si="264"/>
        <v>石嘴山市深阳蓝光市政工程有限公司</v>
      </c>
      <c r="D3355" s="423" t="s">
        <v>3839</v>
      </c>
      <c r="E3355" s="1484"/>
      <c r="F3355" s="1485"/>
      <c r="G3355" s="1485"/>
      <c r="H3355" s="1485"/>
      <c r="I3355" s="1485"/>
      <c r="J3355" s="1485"/>
      <c r="K3355" s="1485"/>
      <c r="L3355" s="1485"/>
      <c r="M3355" s="1485"/>
      <c r="N3355" s="90"/>
      <c r="X3355" s="501" t="b">
        <f t="shared" si="262"/>
        <v>1</v>
      </c>
    </row>
    <row r="3356" outlineLevel="2" spans="1:24">
      <c r="A3356" s="85" t="s">
        <v>3843</v>
      </c>
      <c r="B3356" s="421" t="s">
        <v>3812</v>
      </c>
      <c r="C3356" s="429" t="str">
        <f t="shared" si="264"/>
        <v>石嘴山市深阳蓝光市政工程有限公司</v>
      </c>
      <c r="D3356" s="423" t="s">
        <v>3844</v>
      </c>
      <c r="E3356" s="1493" t="s">
        <v>3845</v>
      </c>
      <c r="F3356" s="1485"/>
      <c r="G3356" s="1485"/>
      <c r="H3356" s="1485"/>
      <c r="I3356" s="1485"/>
      <c r="J3356" s="1485"/>
      <c r="K3356" s="1485"/>
      <c r="L3356" s="1485"/>
      <c r="M3356" s="1485"/>
      <c r="N3356" s="90"/>
      <c r="X3356" s="501" t="b">
        <f t="shared" si="262"/>
        <v>0</v>
      </c>
    </row>
    <row r="3357" outlineLevel="2" spans="1:24">
      <c r="A3357" s="85" t="s">
        <v>3844</v>
      </c>
      <c r="B3357" s="421" t="s">
        <v>3812</v>
      </c>
      <c r="C3357" s="429" t="str">
        <f t="shared" si="264"/>
        <v>石嘴山市深阳蓝光市政工程有限公司</v>
      </c>
      <c r="D3357" s="423" t="s">
        <v>3844</v>
      </c>
      <c r="E3357" s="748" t="s">
        <v>3846</v>
      </c>
      <c r="F3357" s="485"/>
      <c r="G3357" s="485"/>
      <c r="H3357" s="485"/>
      <c r="I3357" s="485"/>
      <c r="J3357" s="485"/>
      <c r="K3357" s="485"/>
      <c r="L3357" s="485"/>
      <c r="M3357" s="485"/>
      <c r="N3357" s="90"/>
      <c r="X3357" s="501" t="b">
        <f t="shared" si="262"/>
        <v>1</v>
      </c>
    </row>
    <row r="3358" outlineLevel="2" spans="1:24">
      <c r="A3358" s="85" t="s">
        <v>3847</v>
      </c>
      <c r="B3358" s="421" t="s">
        <v>3812</v>
      </c>
      <c r="C3358" s="429" t="str">
        <f t="shared" si="264"/>
        <v>石嘴山市深阳蓝光市政工程有限公司</v>
      </c>
      <c r="D3358" s="423" t="s">
        <v>3844</v>
      </c>
      <c r="E3358" s="1494" t="s">
        <v>3848</v>
      </c>
      <c r="F3358" s="485"/>
      <c r="G3358" s="485"/>
      <c r="H3358" s="485"/>
      <c r="I3358" s="485"/>
      <c r="J3358" s="485"/>
      <c r="K3358" s="485"/>
      <c r="L3358" s="485"/>
      <c r="M3358" s="485"/>
      <c r="N3358" s="90"/>
      <c r="X3358" s="501" t="b">
        <f t="shared" si="262"/>
        <v>1</v>
      </c>
    </row>
    <row r="3359" outlineLevel="2" spans="1:24">
      <c r="A3359" s="85" t="s">
        <v>1375</v>
      </c>
      <c r="B3359" s="421" t="s">
        <v>3812</v>
      </c>
      <c r="C3359" s="429" t="str">
        <f t="shared" si="264"/>
        <v>石嘴山市深阳蓝光市政工程有限公司</v>
      </c>
      <c r="D3359" s="423" t="s">
        <v>3844</v>
      </c>
      <c r="E3359" s="613" t="s">
        <v>505</v>
      </c>
      <c r="F3359" s="581" t="s">
        <v>3849</v>
      </c>
      <c r="G3359" s="581" t="s">
        <v>3850</v>
      </c>
      <c r="H3359" s="1007" t="s">
        <v>3851</v>
      </c>
      <c r="I3359" s="581" t="s">
        <v>1241</v>
      </c>
      <c r="J3359" s="581"/>
      <c r="K3359" s="581" t="s">
        <v>1242</v>
      </c>
      <c r="L3359" s="581"/>
      <c r="M3359" s="523"/>
      <c r="N3359" s="90"/>
      <c r="X3359" s="501" t="b">
        <f t="shared" si="262"/>
        <v>0</v>
      </c>
    </row>
    <row r="3360" ht="24.75" outlineLevel="2" spans="2:24">
      <c r="B3360" s="421" t="s">
        <v>3812</v>
      </c>
      <c r="C3360" s="429" t="str">
        <f t="shared" si="264"/>
        <v>石嘴山市深阳蓝光市政工程有限公司</v>
      </c>
      <c r="D3360" s="423" t="s">
        <v>3844</v>
      </c>
      <c r="E3360" s="581"/>
      <c r="F3360" s="581"/>
      <c r="G3360" s="581"/>
      <c r="H3360" s="1495"/>
      <c r="I3360" s="581" t="s">
        <v>365</v>
      </c>
      <c r="J3360" s="581" t="s">
        <v>3852</v>
      </c>
      <c r="K3360" s="581" t="s">
        <v>365</v>
      </c>
      <c r="L3360" s="581" t="s">
        <v>3852</v>
      </c>
      <c r="M3360" s="523"/>
      <c r="N3360" s="90"/>
      <c r="X3360" s="501" t="b">
        <f t="shared" si="262"/>
        <v>1</v>
      </c>
    </row>
    <row r="3361" outlineLevel="2" spans="2:24">
      <c r="B3361" s="421" t="s">
        <v>3812</v>
      </c>
      <c r="C3361" s="429" t="str">
        <f t="shared" si="264"/>
        <v>石嘴山市深阳蓝光市政工程有限公司</v>
      </c>
      <c r="D3361" s="423" t="s">
        <v>3844</v>
      </c>
      <c r="E3361" s="1134"/>
      <c r="F3361" s="1134"/>
      <c r="G3361" s="1134"/>
      <c r="H3361" s="1134"/>
      <c r="I3361" s="1134"/>
      <c r="J3361" s="1134"/>
      <c r="K3361" s="1134"/>
      <c r="L3361" s="1134"/>
      <c r="M3361" s="1165"/>
      <c r="N3361" s="90"/>
      <c r="X3361" s="501" t="b">
        <f t="shared" si="262"/>
        <v>1</v>
      </c>
    </row>
    <row r="3362" outlineLevel="2" spans="3:14">
      <c r="C3362" s="479"/>
      <c r="E3362" s="1134"/>
      <c r="F3362" s="1134"/>
      <c r="G3362" s="1134"/>
      <c r="H3362" s="1134"/>
      <c r="I3362" s="1134"/>
      <c r="J3362" s="1134"/>
      <c r="K3362" s="1134"/>
      <c r="L3362" s="1134"/>
      <c r="M3362" s="1165"/>
      <c r="N3362" s="90"/>
    </row>
    <row r="3363" outlineLevel="2" spans="3:14">
      <c r="C3363" s="479"/>
      <c r="E3363" s="1134"/>
      <c r="F3363" s="1134"/>
      <c r="G3363" s="1134"/>
      <c r="H3363" s="1134"/>
      <c r="I3363" s="1134"/>
      <c r="J3363" s="1134"/>
      <c r="K3363" s="1134"/>
      <c r="L3363" s="1134"/>
      <c r="M3363" s="1165"/>
      <c r="N3363" s="90"/>
    </row>
    <row r="3364" outlineLevel="2" spans="3:14">
      <c r="C3364" s="479"/>
      <c r="E3364" s="1134"/>
      <c r="F3364" s="1134"/>
      <c r="G3364" s="1134"/>
      <c r="H3364" s="1134"/>
      <c r="I3364" s="1134"/>
      <c r="J3364" s="1134"/>
      <c r="K3364" s="1134"/>
      <c r="L3364" s="1134"/>
      <c r="M3364" s="1165"/>
      <c r="N3364" s="90"/>
    </row>
    <row r="3365" outlineLevel="2" spans="3:14">
      <c r="C3365" s="479"/>
      <c r="E3365" s="1134"/>
      <c r="F3365" s="1134"/>
      <c r="G3365" s="1134"/>
      <c r="H3365" s="1134"/>
      <c r="I3365" s="1134"/>
      <c r="J3365" s="1134"/>
      <c r="K3365" s="1134"/>
      <c r="L3365" s="1134"/>
      <c r="M3365" s="1165"/>
      <c r="N3365" s="90"/>
    </row>
    <row r="3366" outlineLevel="2" spans="3:14">
      <c r="C3366" s="479"/>
      <c r="E3366" s="1134"/>
      <c r="F3366" s="1134"/>
      <c r="G3366" s="1134"/>
      <c r="H3366" s="1134"/>
      <c r="I3366" s="1134"/>
      <c r="J3366" s="1134"/>
      <c r="K3366" s="1134"/>
      <c r="L3366" s="1134"/>
      <c r="M3366" s="1165"/>
      <c r="N3366" s="90"/>
    </row>
    <row r="3367" outlineLevel="2" spans="3:14">
      <c r="C3367" s="479"/>
      <c r="E3367" s="1134"/>
      <c r="F3367" s="1134"/>
      <c r="G3367" s="1134"/>
      <c r="H3367" s="1134"/>
      <c r="I3367" s="1134"/>
      <c r="J3367" s="1134"/>
      <c r="K3367" s="1134"/>
      <c r="L3367" s="1134"/>
      <c r="M3367" s="1165"/>
      <c r="N3367" s="90"/>
    </row>
    <row r="3368" outlineLevel="2" spans="3:14">
      <c r="C3368" s="479"/>
      <c r="E3368" s="1134"/>
      <c r="F3368" s="1134"/>
      <c r="G3368" s="1134"/>
      <c r="H3368" s="1134"/>
      <c r="I3368" s="1134"/>
      <c r="J3368" s="1134"/>
      <c r="K3368" s="1134"/>
      <c r="L3368" s="1134"/>
      <c r="M3368" s="1165"/>
      <c r="N3368" s="90"/>
    </row>
    <row r="3369" outlineLevel="2" spans="3:14">
      <c r="C3369" s="479"/>
      <c r="E3369" s="1134"/>
      <c r="F3369" s="1134"/>
      <c r="G3369" s="1134"/>
      <c r="H3369" s="1134"/>
      <c r="I3369" s="1134"/>
      <c r="J3369" s="1134"/>
      <c r="K3369" s="1134"/>
      <c r="L3369" s="1134"/>
      <c r="M3369" s="1165"/>
      <c r="N3369" s="90"/>
    </row>
    <row r="3370" outlineLevel="2" spans="3:14">
      <c r="C3370" s="479"/>
      <c r="E3370" s="1134"/>
      <c r="F3370" s="1134"/>
      <c r="G3370" s="1134"/>
      <c r="H3370" s="1134"/>
      <c r="I3370" s="1134"/>
      <c r="J3370" s="1134"/>
      <c r="K3370" s="1134"/>
      <c r="L3370" s="1134"/>
      <c r="M3370" s="1165"/>
      <c r="N3370" s="90"/>
    </row>
    <row r="3371" outlineLevel="2" spans="3:14">
      <c r="C3371" s="479"/>
      <c r="E3371" s="1134"/>
      <c r="F3371" s="1134"/>
      <c r="G3371" s="1134"/>
      <c r="H3371" s="1134"/>
      <c r="I3371" s="1134"/>
      <c r="J3371" s="1134"/>
      <c r="K3371" s="1134"/>
      <c r="L3371" s="1134"/>
      <c r="M3371" s="1165"/>
      <c r="N3371" s="90"/>
    </row>
    <row r="3372" outlineLevel="2" spans="3:14">
      <c r="C3372" s="479"/>
      <c r="E3372" s="1134"/>
      <c r="F3372" s="1134"/>
      <c r="G3372" s="1134"/>
      <c r="H3372" s="1134"/>
      <c r="I3372" s="1134"/>
      <c r="J3372" s="1134"/>
      <c r="K3372" s="1134"/>
      <c r="L3372" s="1134"/>
      <c r="M3372" s="1165"/>
      <c r="N3372" s="90"/>
    </row>
    <row r="3373" outlineLevel="2" spans="3:14">
      <c r="C3373" s="479"/>
      <c r="E3373" s="1134"/>
      <c r="F3373" s="1134"/>
      <c r="G3373" s="1134"/>
      <c r="H3373" s="1134"/>
      <c r="I3373" s="1134"/>
      <c r="J3373" s="1134"/>
      <c r="K3373" s="1134"/>
      <c r="L3373" s="1134"/>
      <c r="M3373" s="1165"/>
      <c r="N3373" s="90"/>
    </row>
    <row r="3374" outlineLevel="2" spans="3:14">
      <c r="C3374" s="479"/>
      <c r="E3374" s="1134"/>
      <c r="F3374" s="1134"/>
      <c r="G3374" s="1134"/>
      <c r="H3374" s="1134"/>
      <c r="I3374" s="1134"/>
      <c r="J3374" s="1134"/>
      <c r="K3374" s="1134"/>
      <c r="L3374" s="1134"/>
      <c r="M3374" s="1165"/>
      <c r="N3374" s="90"/>
    </row>
    <row r="3375" outlineLevel="2" spans="3:14">
      <c r="C3375" s="479"/>
      <c r="E3375" s="1134"/>
      <c r="F3375" s="1134"/>
      <c r="G3375" s="1134"/>
      <c r="H3375" s="1134"/>
      <c r="I3375" s="1134"/>
      <c r="J3375" s="1134"/>
      <c r="K3375" s="1134"/>
      <c r="L3375" s="1134"/>
      <c r="M3375" s="1165"/>
      <c r="N3375" s="90"/>
    </row>
    <row r="3376" outlineLevel="2" spans="3:14">
      <c r="C3376" s="479"/>
      <c r="E3376" s="1134"/>
      <c r="F3376" s="1134"/>
      <c r="G3376" s="1134"/>
      <c r="H3376" s="1134"/>
      <c r="I3376" s="1134"/>
      <c r="J3376" s="1134"/>
      <c r="K3376" s="1134"/>
      <c r="L3376" s="1134"/>
      <c r="M3376" s="1165"/>
      <c r="N3376" s="90"/>
    </row>
    <row r="3377" outlineLevel="2" spans="3:14">
      <c r="C3377" s="479"/>
      <c r="E3377" s="1134"/>
      <c r="F3377" s="1134"/>
      <c r="G3377" s="1134"/>
      <c r="H3377" s="1134"/>
      <c r="I3377" s="1134"/>
      <c r="J3377" s="1134"/>
      <c r="K3377" s="1134"/>
      <c r="L3377" s="1134"/>
      <c r="M3377" s="1165"/>
      <c r="N3377" s="90"/>
    </row>
    <row r="3378" outlineLevel="2" spans="3:14">
      <c r="C3378" s="479"/>
      <c r="E3378" s="1134"/>
      <c r="F3378" s="1134"/>
      <c r="G3378" s="1134"/>
      <c r="H3378" s="1134"/>
      <c r="I3378" s="1134"/>
      <c r="J3378" s="1134"/>
      <c r="K3378" s="1134"/>
      <c r="L3378" s="1134"/>
      <c r="M3378" s="1165"/>
      <c r="N3378" s="90"/>
    </row>
    <row r="3379" outlineLevel="2" spans="3:14">
      <c r="C3379" s="479"/>
      <c r="E3379" s="1134"/>
      <c r="F3379" s="1134"/>
      <c r="G3379" s="1134"/>
      <c r="H3379" s="1134"/>
      <c r="I3379" s="1134"/>
      <c r="J3379" s="1134"/>
      <c r="K3379" s="1134"/>
      <c r="L3379" s="1134"/>
      <c r="M3379" s="1165"/>
      <c r="N3379" s="90"/>
    </row>
    <row r="3380" outlineLevel="2" spans="2:24">
      <c r="B3380" s="421" t="s">
        <v>3812</v>
      </c>
      <c r="C3380" s="429" t="str">
        <f t="shared" ref="C3380:C3426" si="265">$G$1</f>
        <v>石嘴山市深阳蓝光市政工程有限公司</v>
      </c>
      <c r="D3380" s="423" t="s">
        <v>3844</v>
      </c>
      <c r="E3380" s="1134"/>
      <c r="F3380" s="1134"/>
      <c r="G3380" s="1134"/>
      <c r="H3380" s="1134"/>
      <c r="I3380" s="1134"/>
      <c r="J3380" s="1134"/>
      <c r="K3380" s="1134"/>
      <c r="L3380" s="1134"/>
      <c r="M3380" s="1165"/>
      <c r="N3380" s="90"/>
      <c r="X3380" s="501" t="b">
        <f t="shared" si="262"/>
        <v>1</v>
      </c>
    </row>
    <row r="3381" outlineLevel="2" spans="2:24">
      <c r="B3381" s="421" t="s">
        <v>3812</v>
      </c>
      <c r="C3381" s="429" t="str">
        <f t="shared" si="265"/>
        <v>石嘴山市深阳蓝光市政工程有限公司</v>
      </c>
      <c r="D3381" s="423" t="s">
        <v>3844</v>
      </c>
      <c r="E3381" s="1134"/>
      <c r="F3381" s="1134"/>
      <c r="G3381" s="1134"/>
      <c r="H3381" s="1134"/>
      <c r="I3381" s="1134"/>
      <c r="J3381" s="1134"/>
      <c r="K3381" s="1134"/>
      <c r="L3381" s="1134"/>
      <c r="M3381" s="1165"/>
      <c r="N3381" s="90"/>
      <c r="X3381" s="501" t="b">
        <f t="shared" si="262"/>
        <v>1</v>
      </c>
    </row>
    <row r="3382" outlineLevel="2" spans="2:24">
      <c r="B3382" s="421" t="s">
        <v>3812</v>
      </c>
      <c r="C3382" s="429" t="str">
        <f t="shared" si="265"/>
        <v>石嘴山市深阳蓝光市政工程有限公司</v>
      </c>
      <c r="D3382" s="423" t="s">
        <v>3844</v>
      </c>
      <c r="E3382" s="1134"/>
      <c r="F3382" s="1134"/>
      <c r="G3382" s="1134"/>
      <c r="H3382" s="1134"/>
      <c r="I3382" s="1134"/>
      <c r="J3382" s="1134"/>
      <c r="K3382" s="1134"/>
      <c r="L3382" s="1134"/>
      <c r="M3382" s="1165"/>
      <c r="N3382" s="90"/>
      <c r="X3382" s="501" t="b">
        <f t="shared" si="262"/>
        <v>1</v>
      </c>
    </row>
    <row r="3383" outlineLevel="2" spans="2:24">
      <c r="B3383" s="421" t="s">
        <v>3812</v>
      </c>
      <c r="C3383" s="429" t="str">
        <f t="shared" si="265"/>
        <v>石嘴山市深阳蓝光市政工程有限公司</v>
      </c>
      <c r="D3383" s="423" t="s">
        <v>3844</v>
      </c>
      <c r="E3383" s="1134"/>
      <c r="F3383" s="1134"/>
      <c r="G3383" s="1134"/>
      <c r="H3383" s="1134"/>
      <c r="I3383" s="1134"/>
      <c r="J3383" s="1134"/>
      <c r="K3383" s="1134"/>
      <c r="L3383" s="1134"/>
      <c r="M3383" s="1165"/>
      <c r="N3383" s="90"/>
      <c r="X3383" s="501" t="b">
        <f t="shared" si="262"/>
        <v>1</v>
      </c>
    </row>
    <row r="3384" outlineLevel="2" spans="2:24">
      <c r="B3384" s="421" t="s">
        <v>3812</v>
      </c>
      <c r="C3384" s="429" t="str">
        <f t="shared" si="265"/>
        <v>石嘴山市深阳蓝光市政工程有限公司</v>
      </c>
      <c r="D3384" s="423" t="s">
        <v>3844</v>
      </c>
      <c r="E3384" s="1134"/>
      <c r="F3384" s="1134"/>
      <c r="G3384" s="1134"/>
      <c r="H3384" s="1134"/>
      <c r="I3384" s="1134"/>
      <c r="J3384" s="1134"/>
      <c r="K3384" s="1134"/>
      <c r="L3384" s="1134"/>
      <c r="M3384" s="1165"/>
      <c r="N3384" s="90"/>
      <c r="X3384" s="501" t="b">
        <f t="shared" si="262"/>
        <v>1</v>
      </c>
    </row>
    <row r="3385" outlineLevel="2" spans="2:24">
      <c r="B3385" s="421" t="s">
        <v>3812</v>
      </c>
      <c r="C3385" s="429" t="str">
        <f t="shared" si="265"/>
        <v>石嘴山市深阳蓝光市政工程有限公司</v>
      </c>
      <c r="D3385" s="423" t="s">
        <v>3844</v>
      </c>
      <c r="E3385" s="1134"/>
      <c r="F3385" s="1134"/>
      <c r="G3385" s="1134"/>
      <c r="H3385" s="1134"/>
      <c r="I3385" s="1134"/>
      <c r="J3385" s="1134"/>
      <c r="K3385" s="1134"/>
      <c r="L3385" s="1134"/>
      <c r="M3385" s="1165"/>
      <c r="N3385" s="90"/>
      <c r="X3385" s="501" t="b">
        <f t="shared" si="262"/>
        <v>1</v>
      </c>
    </row>
    <row r="3386" outlineLevel="2" spans="2:24">
      <c r="B3386" s="421" t="s">
        <v>3812</v>
      </c>
      <c r="C3386" s="429" t="str">
        <f t="shared" si="265"/>
        <v>石嘴山市深阳蓝光市政工程有限公司</v>
      </c>
      <c r="D3386" s="423" t="s">
        <v>3844</v>
      </c>
      <c r="E3386" s="755"/>
      <c r="F3386" s="1165"/>
      <c r="G3386" s="1165"/>
      <c r="H3386" s="1165"/>
      <c r="I3386" s="1165"/>
      <c r="J3386" s="1165"/>
      <c r="K3386" s="1165"/>
      <c r="L3386" s="1165"/>
      <c r="M3386" s="1165"/>
      <c r="N3386" s="90"/>
      <c r="X3386" s="501" t="b">
        <f t="shared" si="262"/>
        <v>1</v>
      </c>
    </row>
    <row r="3387" outlineLevel="2" spans="1:24">
      <c r="A3387" s="85" t="s">
        <v>3853</v>
      </c>
      <c r="B3387" s="421" t="s">
        <v>3812</v>
      </c>
      <c r="C3387" s="429" t="str">
        <f t="shared" si="265"/>
        <v>石嘴山市深阳蓝光市政工程有限公司</v>
      </c>
      <c r="D3387" s="423" t="s">
        <v>3853</v>
      </c>
      <c r="E3387" s="1496" t="s">
        <v>3854</v>
      </c>
      <c r="F3387" s="523"/>
      <c r="G3387" s="523"/>
      <c r="H3387" s="523"/>
      <c r="I3387" s="523"/>
      <c r="J3387" s="523"/>
      <c r="K3387" s="523"/>
      <c r="L3387" s="523"/>
      <c r="M3387" s="523"/>
      <c r="N3387" s="90"/>
      <c r="X3387" s="501" t="b">
        <f t="shared" si="262"/>
        <v>0</v>
      </c>
    </row>
    <row r="3388" ht="13.15" customHeight="1" outlineLevel="2" spans="1:24">
      <c r="A3388" s="85" t="s">
        <v>3855</v>
      </c>
      <c r="B3388" s="421" t="s">
        <v>3812</v>
      </c>
      <c r="C3388" s="429" t="str">
        <f t="shared" si="265"/>
        <v>石嘴山市深阳蓝光市政工程有限公司</v>
      </c>
      <c r="D3388" s="423" t="s">
        <v>3853</v>
      </c>
      <c r="E3388" s="581" t="s">
        <v>3855</v>
      </c>
      <c r="F3388" s="581" t="s">
        <v>3856</v>
      </c>
      <c r="G3388" s="1007" t="s">
        <v>3857</v>
      </c>
      <c r="H3388" s="1007" t="s">
        <v>3858</v>
      </c>
      <c r="I3388" s="1007" t="s">
        <v>3859</v>
      </c>
      <c r="J3388" s="613" t="s">
        <v>3860</v>
      </c>
      <c r="K3388" s="613" t="s">
        <v>3861</v>
      </c>
      <c r="L3388" s="90"/>
      <c r="V3388" s="501" t="b">
        <f t="shared" ref="V3388:V3395" si="266">EXACT(A3388,E3388)</f>
        <v>1</v>
      </c>
      <c r="X3388" s="85"/>
    </row>
    <row r="3389" outlineLevel="2" spans="2:24">
      <c r="B3389" s="421" t="s">
        <v>3812</v>
      </c>
      <c r="C3389" s="429" t="str">
        <f t="shared" si="265"/>
        <v>石嘴山市深阳蓝光市政工程有限公司</v>
      </c>
      <c r="D3389" s="423" t="s">
        <v>3853</v>
      </c>
      <c r="E3389" s="581"/>
      <c r="F3389" s="581"/>
      <c r="G3389" s="1007" t="s">
        <v>3862</v>
      </c>
      <c r="H3389" s="1495"/>
      <c r="I3389" s="1495"/>
      <c r="J3389" s="581"/>
      <c r="K3389" s="581"/>
      <c r="L3389" s="90"/>
      <c r="V3389" s="501" t="b">
        <f t="shared" si="266"/>
        <v>1</v>
      </c>
      <c r="X3389" s="85"/>
    </row>
    <row r="3390" outlineLevel="2" spans="2:24">
      <c r="B3390" s="421" t="s">
        <v>3812</v>
      </c>
      <c r="C3390" s="429" t="str">
        <f t="shared" si="265"/>
        <v>石嘴山市深阳蓝光市政工程有限公司</v>
      </c>
      <c r="D3390" s="423" t="s">
        <v>3853</v>
      </c>
      <c r="E3390" s="1334"/>
      <c r="F3390" s="1334"/>
      <c r="G3390" s="1134"/>
      <c r="H3390" s="1134"/>
      <c r="I3390" s="1134"/>
      <c r="J3390" s="1134"/>
      <c r="K3390" s="1134"/>
      <c r="L3390" s="90"/>
      <c r="V3390" s="501" t="b">
        <f t="shared" si="266"/>
        <v>1</v>
      </c>
      <c r="X3390" s="85"/>
    </row>
    <row r="3391" outlineLevel="2" spans="2:24">
      <c r="B3391" s="421" t="s">
        <v>3812</v>
      </c>
      <c r="C3391" s="429" t="str">
        <f t="shared" si="265"/>
        <v>石嘴山市深阳蓝光市政工程有限公司</v>
      </c>
      <c r="D3391" s="423" t="s">
        <v>3853</v>
      </c>
      <c r="E3391" s="1334"/>
      <c r="F3391" s="999"/>
      <c r="G3391" s="999"/>
      <c r="H3391" s="999"/>
      <c r="I3391" s="999"/>
      <c r="J3391" s="1134"/>
      <c r="K3391" s="1134"/>
      <c r="L3391" s="90"/>
      <c r="V3391" s="501" t="b">
        <f t="shared" si="266"/>
        <v>1</v>
      </c>
      <c r="X3391" s="85"/>
    </row>
    <row r="3392" outlineLevel="2" spans="2:24">
      <c r="B3392" s="421" t="s">
        <v>3812</v>
      </c>
      <c r="C3392" s="429" t="str">
        <f t="shared" si="265"/>
        <v>石嘴山市深阳蓝光市政工程有限公司</v>
      </c>
      <c r="D3392" s="423" t="s">
        <v>3853</v>
      </c>
      <c r="E3392" s="1334"/>
      <c r="F3392" s="999"/>
      <c r="G3392" s="999"/>
      <c r="H3392" s="999"/>
      <c r="I3392" s="999"/>
      <c r="J3392" s="1134"/>
      <c r="K3392" s="1134"/>
      <c r="L3392" s="90"/>
      <c r="V3392" s="501" t="b">
        <f t="shared" si="266"/>
        <v>1</v>
      </c>
      <c r="X3392" s="85"/>
    </row>
    <row r="3393" outlineLevel="2" spans="2:24">
      <c r="B3393" s="421" t="s">
        <v>3812</v>
      </c>
      <c r="C3393" s="429" t="str">
        <f t="shared" si="265"/>
        <v>石嘴山市深阳蓝光市政工程有限公司</v>
      </c>
      <c r="D3393" s="423" t="s">
        <v>3853</v>
      </c>
      <c r="E3393" s="1334"/>
      <c r="F3393" s="999"/>
      <c r="G3393" s="999"/>
      <c r="H3393" s="999"/>
      <c r="I3393" s="999"/>
      <c r="J3393" s="1134"/>
      <c r="K3393" s="1134"/>
      <c r="L3393" s="90"/>
      <c r="V3393" s="501" t="b">
        <f t="shared" si="266"/>
        <v>1</v>
      </c>
      <c r="X3393" s="85"/>
    </row>
    <row r="3394" outlineLevel="2" spans="2:24">
      <c r="B3394" s="421" t="s">
        <v>3812</v>
      </c>
      <c r="C3394" s="429" t="str">
        <f t="shared" si="265"/>
        <v>石嘴山市深阳蓝光市政工程有限公司</v>
      </c>
      <c r="D3394" s="423" t="s">
        <v>3853</v>
      </c>
      <c r="E3394" s="1334"/>
      <c r="F3394" s="999"/>
      <c r="G3394" s="999"/>
      <c r="H3394" s="999"/>
      <c r="I3394" s="999"/>
      <c r="J3394" s="1134"/>
      <c r="K3394" s="1134"/>
      <c r="L3394" s="90"/>
      <c r="V3394" s="501" t="b">
        <f t="shared" si="266"/>
        <v>1</v>
      </c>
      <c r="X3394" s="85"/>
    </row>
    <row r="3395" outlineLevel="2" spans="2:24">
      <c r="B3395" s="421" t="s">
        <v>3812</v>
      </c>
      <c r="C3395" s="429" t="str">
        <f t="shared" si="265"/>
        <v>石嘴山市深阳蓝光市政工程有限公司</v>
      </c>
      <c r="D3395" s="423" t="s">
        <v>3853</v>
      </c>
      <c r="E3395" s="1334"/>
      <c r="F3395" s="999"/>
      <c r="G3395" s="999"/>
      <c r="H3395" s="999"/>
      <c r="I3395" s="999"/>
      <c r="J3395" s="1134"/>
      <c r="K3395" s="1134"/>
      <c r="L3395" s="90"/>
      <c r="V3395" s="501" t="b">
        <f t="shared" si="266"/>
        <v>1</v>
      </c>
      <c r="X3395" s="85"/>
    </row>
    <row r="3396" outlineLevel="2" spans="2:24">
      <c r="B3396" s="421" t="s">
        <v>3812</v>
      </c>
      <c r="C3396" s="429" t="str">
        <f t="shared" si="265"/>
        <v>石嘴山市深阳蓝光市政工程有限公司</v>
      </c>
      <c r="D3396" s="423" t="s">
        <v>3853</v>
      </c>
      <c r="E3396" s="748"/>
      <c r="F3396" s="1497"/>
      <c r="G3396" s="1497"/>
      <c r="H3396" s="1497"/>
      <c r="I3396" s="1497"/>
      <c r="J3396" s="1396"/>
      <c r="K3396" s="1396"/>
      <c r="L3396" s="1497"/>
      <c r="M3396" s="1497"/>
      <c r="N3396" s="90"/>
      <c r="X3396" s="501" t="b">
        <f t="shared" si="262"/>
        <v>1</v>
      </c>
    </row>
    <row r="3397" outlineLevel="2" spans="1:24">
      <c r="A3397" s="85" t="s">
        <v>3863</v>
      </c>
      <c r="B3397" s="421" t="s">
        <v>3812</v>
      </c>
      <c r="C3397" s="429" t="str">
        <f t="shared" si="265"/>
        <v>石嘴山市深阳蓝光市政工程有限公司</v>
      </c>
      <c r="D3397" s="423" t="s">
        <v>3853</v>
      </c>
      <c r="E3397" s="1498" t="s">
        <v>3864</v>
      </c>
      <c r="F3397" s="485"/>
      <c r="G3397" s="485"/>
      <c r="H3397" s="485"/>
      <c r="I3397" s="485"/>
      <c r="J3397" s="485"/>
      <c r="K3397" s="485"/>
      <c r="L3397" s="485"/>
      <c r="M3397" s="485"/>
      <c r="N3397" s="90"/>
      <c r="X3397" s="501" t="b">
        <f t="shared" si="262"/>
        <v>0</v>
      </c>
    </row>
    <row r="3398" ht="13.15" customHeight="1" outlineLevel="2" spans="1:24">
      <c r="A3398" s="85" t="s">
        <v>3855</v>
      </c>
      <c r="B3398" s="421" t="s">
        <v>3812</v>
      </c>
      <c r="C3398" s="429" t="str">
        <f t="shared" si="265"/>
        <v>石嘴山市深阳蓝光市政工程有限公司</v>
      </c>
      <c r="D3398" s="423" t="s">
        <v>3853</v>
      </c>
      <c r="E3398" s="613" t="s">
        <v>3865</v>
      </c>
      <c r="F3398" s="613" t="s">
        <v>3866</v>
      </c>
      <c r="G3398" s="1007" t="s">
        <v>3867</v>
      </c>
      <c r="H3398" s="1007" t="s">
        <v>3868</v>
      </c>
      <c r="I3398" s="1007" t="s">
        <v>3869</v>
      </c>
      <c r="J3398" s="613" t="s">
        <v>3870</v>
      </c>
      <c r="K3398" s="613" t="s">
        <v>3871</v>
      </c>
      <c r="L3398" s="90"/>
      <c r="V3398" s="501" t="b">
        <f t="shared" ref="V3398:V3405" si="267">EXACT(A3398,E3398)</f>
        <v>0</v>
      </c>
      <c r="X3398" s="85"/>
    </row>
    <row r="3399" outlineLevel="2" spans="2:24">
      <c r="B3399" s="421" t="s">
        <v>3812</v>
      </c>
      <c r="C3399" s="429" t="str">
        <f t="shared" si="265"/>
        <v>石嘴山市深阳蓝光市政工程有限公司</v>
      </c>
      <c r="D3399" s="423" t="s">
        <v>3853</v>
      </c>
      <c r="E3399" s="581"/>
      <c r="F3399" s="581"/>
      <c r="G3399" s="1007" t="s">
        <v>3862</v>
      </c>
      <c r="H3399" s="1495"/>
      <c r="I3399" s="1495"/>
      <c r="J3399" s="581"/>
      <c r="K3399" s="581"/>
      <c r="L3399" s="90"/>
      <c r="V3399" s="501" t="b">
        <f t="shared" si="267"/>
        <v>1</v>
      </c>
      <c r="X3399" s="85"/>
    </row>
    <row r="3400" outlineLevel="2" spans="2:24">
      <c r="B3400" s="421" t="s">
        <v>3812</v>
      </c>
      <c r="C3400" s="429" t="str">
        <f t="shared" si="265"/>
        <v>石嘴山市深阳蓝光市政工程有限公司</v>
      </c>
      <c r="D3400" s="423" t="s">
        <v>3853</v>
      </c>
      <c r="E3400" s="1334"/>
      <c r="F3400" s="1334"/>
      <c r="G3400" s="1134"/>
      <c r="H3400" s="1134"/>
      <c r="I3400" s="1134"/>
      <c r="J3400" s="1134"/>
      <c r="K3400" s="1134"/>
      <c r="L3400" s="90"/>
      <c r="V3400" s="501" t="b">
        <f t="shared" si="267"/>
        <v>1</v>
      </c>
      <c r="X3400" s="85"/>
    </row>
    <row r="3401" outlineLevel="2" spans="2:24">
      <c r="B3401" s="421" t="s">
        <v>3812</v>
      </c>
      <c r="C3401" s="429" t="str">
        <f t="shared" si="265"/>
        <v>石嘴山市深阳蓝光市政工程有限公司</v>
      </c>
      <c r="D3401" s="423" t="s">
        <v>3853</v>
      </c>
      <c r="E3401" s="1334"/>
      <c r="F3401" s="999"/>
      <c r="G3401" s="999"/>
      <c r="H3401" s="999"/>
      <c r="I3401" s="999"/>
      <c r="J3401" s="1134"/>
      <c r="K3401" s="1134"/>
      <c r="L3401" s="90"/>
      <c r="V3401" s="501" t="b">
        <f t="shared" si="267"/>
        <v>1</v>
      </c>
      <c r="X3401" s="85"/>
    </row>
    <row r="3402" outlineLevel="2" spans="2:24">
      <c r="B3402" s="421" t="s">
        <v>3812</v>
      </c>
      <c r="C3402" s="429" t="str">
        <f t="shared" si="265"/>
        <v>石嘴山市深阳蓝光市政工程有限公司</v>
      </c>
      <c r="D3402" s="423" t="s">
        <v>3853</v>
      </c>
      <c r="E3402" s="1334"/>
      <c r="F3402" s="999"/>
      <c r="G3402" s="999"/>
      <c r="H3402" s="999"/>
      <c r="I3402" s="999"/>
      <c r="J3402" s="1134"/>
      <c r="K3402" s="1134"/>
      <c r="L3402" s="90"/>
      <c r="V3402" s="501" t="b">
        <f t="shared" si="267"/>
        <v>1</v>
      </c>
      <c r="X3402" s="85"/>
    </row>
    <row r="3403" outlineLevel="2" spans="2:24">
      <c r="B3403" s="421" t="s">
        <v>3812</v>
      </c>
      <c r="C3403" s="429" t="str">
        <f t="shared" si="265"/>
        <v>石嘴山市深阳蓝光市政工程有限公司</v>
      </c>
      <c r="D3403" s="423" t="s">
        <v>3853</v>
      </c>
      <c r="E3403" s="1334"/>
      <c r="F3403" s="999"/>
      <c r="G3403" s="999"/>
      <c r="H3403" s="999"/>
      <c r="I3403" s="999"/>
      <c r="J3403" s="1134"/>
      <c r="K3403" s="1134"/>
      <c r="L3403" s="90"/>
      <c r="V3403" s="501" t="b">
        <f t="shared" si="267"/>
        <v>1</v>
      </c>
      <c r="X3403" s="85"/>
    </row>
    <row r="3404" outlineLevel="2" spans="2:24">
      <c r="B3404" s="421" t="s">
        <v>3812</v>
      </c>
      <c r="C3404" s="429" t="str">
        <f t="shared" si="265"/>
        <v>石嘴山市深阳蓝光市政工程有限公司</v>
      </c>
      <c r="D3404" s="423" t="s">
        <v>3853</v>
      </c>
      <c r="E3404" s="1334"/>
      <c r="F3404" s="999"/>
      <c r="G3404" s="999"/>
      <c r="H3404" s="999"/>
      <c r="I3404" s="999"/>
      <c r="J3404" s="1134"/>
      <c r="K3404" s="1134"/>
      <c r="L3404" s="90"/>
      <c r="V3404" s="501" t="b">
        <f t="shared" si="267"/>
        <v>1</v>
      </c>
      <c r="X3404" s="85"/>
    </row>
    <row r="3405" outlineLevel="2" spans="2:24">
      <c r="B3405" s="421" t="s">
        <v>3812</v>
      </c>
      <c r="C3405" s="429" t="str">
        <f t="shared" si="265"/>
        <v>石嘴山市深阳蓝光市政工程有限公司</v>
      </c>
      <c r="D3405" s="423" t="s">
        <v>3853</v>
      </c>
      <c r="E3405" s="1334"/>
      <c r="F3405" s="999"/>
      <c r="G3405" s="999"/>
      <c r="H3405" s="999"/>
      <c r="I3405" s="999"/>
      <c r="J3405" s="1134"/>
      <c r="K3405" s="1134"/>
      <c r="L3405" s="90"/>
      <c r="V3405" s="501" t="b">
        <f t="shared" si="267"/>
        <v>1</v>
      </c>
      <c r="X3405" s="85"/>
    </row>
    <row r="3406" outlineLevel="2" spans="2:24">
      <c r="B3406" s="421" t="s">
        <v>3812</v>
      </c>
      <c r="C3406" s="429" t="str">
        <f t="shared" si="265"/>
        <v>石嘴山市深阳蓝光市政工程有限公司</v>
      </c>
      <c r="D3406" s="423" t="s">
        <v>3853</v>
      </c>
      <c r="E3406" s="748" t="s">
        <v>3872</v>
      </c>
      <c r="F3406" s="1497"/>
      <c r="G3406" s="1497"/>
      <c r="H3406" s="1497"/>
      <c r="I3406" s="1497"/>
      <c r="J3406" s="1396"/>
      <c r="K3406" s="1396"/>
      <c r="L3406" s="1497"/>
      <c r="M3406" s="1497"/>
      <c r="N3406" s="90"/>
      <c r="X3406" s="501" t="b">
        <f>EXACT(A3406,E3406)</f>
        <v>0</v>
      </c>
    </row>
    <row r="3407" outlineLevel="2" spans="2:24">
      <c r="B3407" s="421" t="s">
        <v>3812</v>
      </c>
      <c r="C3407" s="429" t="str">
        <f t="shared" si="265"/>
        <v>石嘴山市深阳蓝光市政工程有限公司</v>
      </c>
      <c r="D3407" s="423" t="s">
        <v>3853</v>
      </c>
      <c r="E3407" s="1499"/>
      <c r="F3407" s="485"/>
      <c r="G3407" s="485"/>
      <c r="H3407" s="485"/>
      <c r="I3407" s="485"/>
      <c r="J3407" s="485"/>
      <c r="K3407" s="485"/>
      <c r="L3407" s="485"/>
      <c r="M3407" s="485"/>
      <c r="N3407" s="90"/>
      <c r="X3407" s="501" t="b">
        <f t="shared" si="262"/>
        <v>1</v>
      </c>
    </row>
    <row r="3408" outlineLevel="2" spans="1:24">
      <c r="A3408" s="85" t="s">
        <v>3853</v>
      </c>
      <c r="B3408" s="421" t="s">
        <v>3812</v>
      </c>
      <c r="C3408" s="429" t="str">
        <f t="shared" si="265"/>
        <v>石嘴山市深阳蓝光市政工程有限公司</v>
      </c>
      <c r="D3408" s="423" t="s">
        <v>3853</v>
      </c>
      <c r="E3408" s="1498" t="s">
        <v>3873</v>
      </c>
      <c r="F3408" s="523"/>
      <c r="G3408" s="523"/>
      <c r="H3408" s="523"/>
      <c r="I3408" s="523"/>
      <c r="J3408" s="523"/>
      <c r="K3408" s="523"/>
      <c r="L3408" s="523"/>
      <c r="M3408" s="523"/>
      <c r="N3408" s="90"/>
      <c r="X3408" s="501" t="b">
        <f t="shared" si="262"/>
        <v>0</v>
      </c>
    </row>
    <row r="3409" ht="13.15" customHeight="1" outlineLevel="2" spans="1:24">
      <c r="A3409" s="85" t="s">
        <v>3855</v>
      </c>
      <c r="B3409" s="421" t="s">
        <v>3812</v>
      </c>
      <c r="C3409" s="429" t="str">
        <f t="shared" si="265"/>
        <v>石嘴山市深阳蓝光市政工程有限公司</v>
      </c>
      <c r="D3409" s="423" t="s">
        <v>3853</v>
      </c>
      <c r="E3409" s="581" t="s">
        <v>3855</v>
      </c>
      <c r="F3409" s="581" t="s">
        <v>3856</v>
      </c>
      <c r="G3409" s="1007" t="s">
        <v>3874</v>
      </c>
      <c r="H3409" s="1007" t="s">
        <v>3875</v>
      </c>
      <c r="I3409" s="1007" t="s">
        <v>3876</v>
      </c>
      <c r="J3409" s="613" t="s">
        <v>3877</v>
      </c>
      <c r="K3409" s="613" t="s">
        <v>3878</v>
      </c>
      <c r="L3409" s="90"/>
      <c r="V3409" s="501" t="b">
        <f t="shared" ref="V3409:V3416" si="268">EXACT(A3409,E3409)</f>
        <v>1</v>
      </c>
      <c r="X3409" s="85"/>
    </row>
    <row r="3410" outlineLevel="2" spans="2:24">
      <c r="B3410" s="421" t="s">
        <v>3812</v>
      </c>
      <c r="C3410" s="429" t="str">
        <f t="shared" si="265"/>
        <v>石嘴山市深阳蓝光市政工程有限公司</v>
      </c>
      <c r="D3410" s="423" t="s">
        <v>3853</v>
      </c>
      <c r="E3410" s="581"/>
      <c r="F3410" s="581"/>
      <c r="G3410" s="1007" t="s">
        <v>3862</v>
      </c>
      <c r="H3410" s="1495"/>
      <c r="I3410" s="1495"/>
      <c r="J3410" s="581"/>
      <c r="K3410" s="581"/>
      <c r="L3410" s="90"/>
      <c r="V3410" s="501" t="b">
        <f t="shared" si="268"/>
        <v>1</v>
      </c>
      <c r="X3410" s="85"/>
    </row>
    <row r="3411" outlineLevel="2" spans="2:24">
      <c r="B3411" s="421" t="s">
        <v>3812</v>
      </c>
      <c r="C3411" s="429" t="str">
        <f t="shared" si="265"/>
        <v>石嘴山市深阳蓝光市政工程有限公司</v>
      </c>
      <c r="D3411" s="423" t="s">
        <v>3853</v>
      </c>
      <c r="E3411" s="1334"/>
      <c r="F3411" s="1334"/>
      <c r="G3411" s="1134"/>
      <c r="H3411" s="1134"/>
      <c r="I3411" s="1134"/>
      <c r="J3411" s="1134"/>
      <c r="K3411" s="1134"/>
      <c r="L3411" s="90"/>
      <c r="V3411" s="501" t="b">
        <f t="shared" si="268"/>
        <v>1</v>
      </c>
      <c r="X3411" s="85"/>
    </row>
    <row r="3412" outlineLevel="2" spans="2:24">
      <c r="B3412" s="421" t="s">
        <v>3812</v>
      </c>
      <c r="C3412" s="429" t="str">
        <f t="shared" si="265"/>
        <v>石嘴山市深阳蓝光市政工程有限公司</v>
      </c>
      <c r="D3412" s="423" t="s">
        <v>3853</v>
      </c>
      <c r="E3412" s="1334"/>
      <c r="F3412" s="999"/>
      <c r="G3412" s="999"/>
      <c r="H3412" s="999"/>
      <c r="I3412" s="999"/>
      <c r="J3412" s="1134"/>
      <c r="K3412" s="1134"/>
      <c r="L3412" s="90"/>
      <c r="V3412" s="501" t="b">
        <f t="shared" si="268"/>
        <v>1</v>
      </c>
      <c r="X3412" s="85"/>
    </row>
    <row r="3413" outlineLevel="2" spans="2:24">
      <c r="B3413" s="421" t="s">
        <v>3812</v>
      </c>
      <c r="C3413" s="429" t="str">
        <f t="shared" si="265"/>
        <v>石嘴山市深阳蓝光市政工程有限公司</v>
      </c>
      <c r="D3413" s="423" t="s">
        <v>3853</v>
      </c>
      <c r="E3413" s="1334"/>
      <c r="F3413" s="999"/>
      <c r="G3413" s="999"/>
      <c r="H3413" s="999"/>
      <c r="I3413" s="999"/>
      <c r="J3413" s="1134"/>
      <c r="K3413" s="1134"/>
      <c r="L3413" s="90"/>
      <c r="V3413" s="501" t="b">
        <f t="shared" si="268"/>
        <v>1</v>
      </c>
      <c r="X3413" s="85"/>
    </row>
    <row r="3414" outlineLevel="2" spans="2:24">
      <c r="B3414" s="421" t="s">
        <v>3812</v>
      </c>
      <c r="C3414" s="429" t="str">
        <f t="shared" si="265"/>
        <v>石嘴山市深阳蓝光市政工程有限公司</v>
      </c>
      <c r="D3414" s="423" t="s">
        <v>3853</v>
      </c>
      <c r="E3414" s="1334"/>
      <c r="F3414" s="999"/>
      <c r="G3414" s="999"/>
      <c r="H3414" s="999"/>
      <c r="I3414" s="999"/>
      <c r="J3414" s="1134"/>
      <c r="K3414" s="1134"/>
      <c r="L3414" s="90"/>
      <c r="V3414" s="501" t="b">
        <f t="shared" si="268"/>
        <v>1</v>
      </c>
      <c r="X3414" s="85"/>
    </row>
    <row r="3415" outlineLevel="2" spans="2:24">
      <c r="B3415" s="421" t="s">
        <v>3812</v>
      </c>
      <c r="C3415" s="429" t="str">
        <f t="shared" si="265"/>
        <v>石嘴山市深阳蓝光市政工程有限公司</v>
      </c>
      <c r="D3415" s="423" t="s">
        <v>3853</v>
      </c>
      <c r="E3415" s="1334"/>
      <c r="F3415" s="999"/>
      <c r="G3415" s="999"/>
      <c r="H3415" s="999"/>
      <c r="I3415" s="999"/>
      <c r="J3415" s="1134"/>
      <c r="K3415" s="1134"/>
      <c r="L3415" s="90"/>
      <c r="V3415" s="501" t="b">
        <f t="shared" si="268"/>
        <v>1</v>
      </c>
      <c r="X3415" s="85"/>
    </row>
    <row r="3416" outlineLevel="2" spans="2:24">
      <c r="B3416" s="421" t="s">
        <v>3812</v>
      </c>
      <c r="C3416" s="429" t="str">
        <f t="shared" si="265"/>
        <v>石嘴山市深阳蓝光市政工程有限公司</v>
      </c>
      <c r="D3416" s="423" t="s">
        <v>3853</v>
      </c>
      <c r="E3416" s="1334"/>
      <c r="F3416" s="999"/>
      <c r="G3416" s="999"/>
      <c r="H3416" s="999"/>
      <c r="I3416" s="999"/>
      <c r="J3416" s="1134"/>
      <c r="K3416" s="1134"/>
      <c r="L3416" s="90"/>
      <c r="V3416" s="501" t="b">
        <f t="shared" si="268"/>
        <v>1</v>
      </c>
      <c r="X3416" s="85"/>
    </row>
    <row r="3417" outlineLevel="2" spans="1:24">
      <c r="A3417" s="85" t="s">
        <v>3853</v>
      </c>
      <c r="B3417" s="421" t="s">
        <v>3812</v>
      </c>
      <c r="C3417" s="429" t="str">
        <f t="shared" si="265"/>
        <v>石嘴山市深阳蓝光市政工程有限公司</v>
      </c>
      <c r="D3417" s="423" t="s">
        <v>3853</v>
      </c>
      <c r="E3417" s="1498" t="s">
        <v>3879</v>
      </c>
      <c r="F3417" s="523"/>
      <c r="G3417" s="523"/>
      <c r="H3417" s="523"/>
      <c r="I3417" s="523"/>
      <c r="J3417" s="523"/>
      <c r="K3417" s="523"/>
      <c r="L3417" s="523"/>
      <c r="M3417" s="523"/>
      <c r="N3417" s="90"/>
      <c r="X3417" s="501" t="b">
        <f>EXACT(A3417,E3417)</f>
        <v>0</v>
      </c>
    </row>
    <row r="3418" ht="13.15" customHeight="1" outlineLevel="2" spans="1:24">
      <c r="A3418" s="85" t="s">
        <v>3855</v>
      </c>
      <c r="B3418" s="421" t="s">
        <v>3812</v>
      </c>
      <c r="C3418" s="429" t="str">
        <f t="shared" si="265"/>
        <v>石嘴山市深阳蓝光市政工程有限公司</v>
      </c>
      <c r="D3418" s="423" t="s">
        <v>3853</v>
      </c>
      <c r="E3418" s="613" t="s">
        <v>3865</v>
      </c>
      <c r="F3418" s="613" t="s">
        <v>3866</v>
      </c>
      <c r="G3418" s="1007" t="s">
        <v>3880</v>
      </c>
      <c r="H3418" s="1007" t="s">
        <v>3881</v>
      </c>
      <c r="I3418" s="1007" t="s">
        <v>3882</v>
      </c>
      <c r="J3418" s="613" t="s">
        <v>3883</v>
      </c>
      <c r="K3418" s="613" t="s">
        <v>3884</v>
      </c>
      <c r="L3418" s="90"/>
      <c r="V3418" s="501" t="b">
        <f t="shared" ref="V3418:V3425" si="269">EXACT(A3418,E3418)</f>
        <v>0</v>
      </c>
      <c r="X3418" s="85"/>
    </row>
    <row r="3419" outlineLevel="2" spans="2:24">
      <c r="B3419" s="421" t="s">
        <v>3812</v>
      </c>
      <c r="C3419" s="429" t="str">
        <f t="shared" si="265"/>
        <v>石嘴山市深阳蓝光市政工程有限公司</v>
      </c>
      <c r="D3419" s="423" t="s">
        <v>3853</v>
      </c>
      <c r="E3419" s="581"/>
      <c r="F3419" s="581"/>
      <c r="G3419" s="1007" t="s">
        <v>3862</v>
      </c>
      <c r="H3419" s="1495"/>
      <c r="I3419" s="1495"/>
      <c r="J3419" s="581"/>
      <c r="K3419" s="581"/>
      <c r="L3419" s="90"/>
      <c r="V3419" s="501" t="b">
        <f t="shared" si="269"/>
        <v>1</v>
      </c>
      <c r="X3419" s="85"/>
    </row>
    <row r="3420" outlineLevel="2" spans="2:24">
      <c r="B3420" s="421" t="s">
        <v>3812</v>
      </c>
      <c r="C3420" s="429" t="str">
        <f t="shared" si="265"/>
        <v>石嘴山市深阳蓝光市政工程有限公司</v>
      </c>
      <c r="D3420" s="423" t="s">
        <v>3853</v>
      </c>
      <c r="E3420" s="1334"/>
      <c r="F3420" s="1334"/>
      <c r="G3420" s="1134"/>
      <c r="H3420" s="1134"/>
      <c r="I3420" s="1134"/>
      <c r="J3420" s="1134"/>
      <c r="K3420" s="1134"/>
      <c r="L3420" s="90"/>
      <c r="V3420" s="501" t="b">
        <f t="shared" si="269"/>
        <v>1</v>
      </c>
      <c r="X3420" s="85"/>
    </row>
    <row r="3421" outlineLevel="2" spans="2:24">
      <c r="B3421" s="421" t="s">
        <v>3812</v>
      </c>
      <c r="C3421" s="429" t="str">
        <f t="shared" si="265"/>
        <v>石嘴山市深阳蓝光市政工程有限公司</v>
      </c>
      <c r="D3421" s="423" t="s">
        <v>3853</v>
      </c>
      <c r="E3421" s="1334"/>
      <c r="F3421" s="999"/>
      <c r="G3421" s="999"/>
      <c r="H3421" s="999"/>
      <c r="I3421" s="999"/>
      <c r="J3421" s="1134"/>
      <c r="K3421" s="1134"/>
      <c r="L3421" s="90"/>
      <c r="V3421" s="501" t="b">
        <f t="shared" si="269"/>
        <v>1</v>
      </c>
      <c r="X3421" s="85"/>
    </row>
    <row r="3422" outlineLevel="2" spans="2:24">
      <c r="B3422" s="421" t="s">
        <v>3812</v>
      </c>
      <c r="C3422" s="429" t="str">
        <f t="shared" si="265"/>
        <v>石嘴山市深阳蓝光市政工程有限公司</v>
      </c>
      <c r="D3422" s="423" t="s">
        <v>3853</v>
      </c>
      <c r="E3422" s="1334"/>
      <c r="F3422" s="999"/>
      <c r="G3422" s="999"/>
      <c r="H3422" s="999"/>
      <c r="I3422" s="999"/>
      <c r="J3422" s="1134"/>
      <c r="K3422" s="1134"/>
      <c r="L3422" s="90"/>
      <c r="V3422" s="501" t="b">
        <f t="shared" si="269"/>
        <v>1</v>
      </c>
      <c r="X3422" s="85"/>
    </row>
    <row r="3423" outlineLevel="2" spans="2:24">
      <c r="B3423" s="421" t="s">
        <v>3812</v>
      </c>
      <c r="C3423" s="429" t="str">
        <f t="shared" si="265"/>
        <v>石嘴山市深阳蓝光市政工程有限公司</v>
      </c>
      <c r="D3423" s="423" t="s">
        <v>3853</v>
      </c>
      <c r="E3423" s="1334"/>
      <c r="F3423" s="999"/>
      <c r="G3423" s="999"/>
      <c r="H3423" s="999"/>
      <c r="I3423" s="999"/>
      <c r="J3423" s="1134"/>
      <c r="K3423" s="1134"/>
      <c r="L3423" s="90"/>
      <c r="V3423" s="501" t="b">
        <f t="shared" si="269"/>
        <v>1</v>
      </c>
      <c r="X3423" s="85"/>
    </row>
    <row r="3424" outlineLevel="2" spans="2:24">
      <c r="B3424" s="421" t="s">
        <v>3812</v>
      </c>
      <c r="C3424" s="429" t="str">
        <f t="shared" si="265"/>
        <v>石嘴山市深阳蓝光市政工程有限公司</v>
      </c>
      <c r="D3424" s="423" t="s">
        <v>3853</v>
      </c>
      <c r="E3424" s="1334"/>
      <c r="F3424" s="999"/>
      <c r="G3424" s="999"/>
      <c r="H3424" s="999"/>
      <c r="I3424" s="999"/>
      <c r="J3424" s="1134"/>
      <c r="K3424" s="1134"/>
      <c r="L3424" s="90"/>
      <c r="V3424" s="501" t="b">
        <f t="shared" si="269"/>
        <v>1</v>
      </c>
      <c r="X3424" s="85"/>
    </row>
    <row r="3425" outlineLevel="2" spans="2:24">
      <c r="B3425" s="421" t="s">
        <v>3812</v>
      </c>
      <c r="C3425" s="429" t="str">
        <f t="shared" si="265"/>
        <v>石嘴山市深阳蓝光市政工程有限公司</v>
      </c>
      <c r="D3425" s="423" t="s">
        <v>3853</v>
      </c>
      <c r="E3425" s="1334"/>
      <c r="F3425" s="999"/>
      <c r="G3425" s="999"/>
      <c r="H3425" s="999"/>
      <c r="I3425" s="999"/>
      <c r="J3425" s="1134"/>
      <c r="K3425" s="1134"/>
      <c r="L3425" s="90"/>
      <c r="V3425" s="501" t="b">
        <f t="shared" si="269"/>
        <v>1</v>
      </c>
      <c r="X3425" s="85"/>
    </row>
    <row r="3426" outlineLevel="2" spans="2:24">
      <c r="B3426" s="421" t="s">
        <v>3812</v>
      </c>
      <c r="C3426" s="429" t="str">
        <f t="shared" si="265"/>
        <v>石嘴山市深阳蓝光市政工程有限公司</v>
      </c>
      <c r="D3426" s="423" t="s">
        <v>3885</v>
      </c>
      <c r="E3426" s="1500" t="s">
        <v>3886</v>
      </c>
      <c r="F3426" s="485"/>
      <c r="G3426" s="485"/>
      <c r="H3426" s="485"/>
      <c r="I3426" s="485"/>
      <c r="J3426" s="485"/>
      <c r="K3426" s="485"/>
      <c r="L3426" s="485"/>
      <c r="M3426" s="485"/>
      <c r="N3426" s="90"/>
      <c r="X3426" s="501" t="b">
        <f t="shared" si="262"/>
        <v>0</v>
      </c>
    </row>
    <row r="3427" outlineLevel="2" spans="3:14">
      <c r="C3427" s="479"/>
      <c r="E3427" s="1501"/>
      <c r="F3427" s="1164"/>
      <c r="G3427" s="1164"/>
      <c r="H3427" s="1164"/>
      <c r="I3427" s="1164"/>
      <c r="J3427" s="485"/>
      <c r="K3427" s="485"/>
      <c r="L3427" s="485"/>
      <c r="M3427" s="485"/>
      <c r="N3427" s="90"/>
    </row>
    <row r="3428" outlineLevel="2" spans="3:14">
      <c r="C3428" s="479"/>
      <c r="E3428" s="1501"/>
      <c r="F3428" s="1164"/>
      <c r="G3428" s="1164"/>
      <c r="H3428" s="1164"/>
      <c r="I3428" s="1164"/>
      <c r="J3428" s="485"/>
      <c r="K3428" s="485"/>
      <c r="L3428" s="485"/>
      <c r="M3428" s="485"/>
      <c r="N3428" s="90"/>
    </row>
    <row r="3429" outlineLevel="2" spans="3:14">
      <c r="C3429" s="479"/>
      <c r="E3429" s="1501"/>
      <c r="F3429" s="1164"/>
      <c r="G3429" s="1164"/>
      <c r="H3429" s="1164"/>
      <c r="I3429" s="1164"/>
      <c r="J3429" s="485"/>
      <c r="K3429" s="485"/>
      <c r="L3429" s="485"/>
      <c r="M3429" s="485"/>
      <c r="N3429" s="90"/>
    </row>
    <row r="3430" outlineLevel="2" spans="1:24">
      <c r="A3430" s="85" t="s">
        <v>3887</v>
      </c>
      <c r="B3430" s="421" t="s">
        <v>3812</v>
      </c>
      <c r="C3430" s="429" t="str">
        <f>$G$1</f>
        <v>石嘴山市深阳蓝光市政工程有限公司</v>
      </c>
      <c r="D3430" s="423" t="s">
        <v>3887</v>
      </c>
      <c r="E3430" s="748" t="s">
        <v>3888</v>
      </c>
      <c r="F3430" s="485"/>
      <c r="G3430" s="485"/>
      <c r="H3430" s="485"/>
      <c r="I3430" s="485"/>
      <c r="J3430" s="485"/>
      <c r="K3430" s="485"/>
      <c r="L3430" s="485"/>
      <c r="M3430" s="485"/>
      <c r="N3430" s="90"/>
      <c r="X3430" s="501" t="b">
        <f t="shared" si="262"/>
        <v>1</v>
      </c>
    </row>
    <row r="3431" outlineLevel="2" spans="3:14">
      <c r="C3431" s="479"/>
      <c r="E3431" s="1167" t="s">
        <v>3889</v>
      </c>
      <c r="F3431" s="485"/>
      <c r="G3431" s="485"/>
      <c r="H3431" s="485"/>
      <c r="I3431" s="485"/>
      <c r="J3431" s="485"/>
      <c r="K3431" s="485"/>
      <c r="L3431" s="485"/>
      <c r="M3431" s="485"/>
      <c r="N3431" s="90"/>
    </row>
    <row r="3432" outlineLevel="2" spans="1:24">
      <c r="A3432" s="85" t="s">
        <v>3890</v>
      </c>
      <c r="B3432" s="421" t="s">
        <v>3812</v>
      </c>
      <c r="C3432" s="429" t="str">
        <f t="shared" ref="C3432:C3441" si="270">$G$1</f>
        <v>石嘴山市深阳蓝光市政工程有限公司</v>
      </c>
      <c r="D3432" s="423" t="s">
        <v>3887</v>
      </c>
      <c r="E3432" s="613" t="s">
        <v>3891</v>
      </c>
      <c r="F3432" s="613" t="s">
        <v>3892</v>
      </c>
      <c r="G3432" s="581" t="s">
        <v>3893</v>
      </c>
      <c r="H3432" s="581" t="s">
        <v>3894</v>
      </c>
      <c r="I3432" s="581" t="s">
        <v>3895</v>
      </c>
      <c r="J3432" s="613" t="s">
        <v>3896</v>
      </c>
      <c r="K3432" s="613" t="s">
        <v>3897</v>
      </c>
      <c r="L3432" s="90"/>
      <c r="M3432" s="90"/>
      <c r="W3432" s="501" t="b">
        <f t="shared" ref="W3432:W3440" si="271">EXACT(A3432,E3432)</f>
        <v>0</v>
      </c>
      <c r="X3432" s="85"/>
    </row>
    <row r="3433" outlineLevel="2" spans="2:24">
      <c r="B3433" s="421" t="s">
        <v>3812</v>
      </c>
      <c r="C3433" s="429" t="str">
        <f t="shared" si="270"/>
        <v>石嘴山市深阳蓝光市政工程有限公司</v>
      </c>
      <c r="D3433" s="423" t="s">
        <v>3887</v>
      </c>
      <c r="E3433" s="581"/>
      <c r="F3433" s="581"/>
      <c r="G3433" s="613" t="s">
        <v>1148</v>
      </c>
      <c r="H3433" s="581"/>
      <c r="I3433" s="581"/>
      <c r="J3433" s="581"/>
      <c r="K3433" s="581"/>
      <c r="L3433" s="90"/>
      <c r="M3433" s="90"/>
      <c r="W3433" s="501" t="b">
        <f t="shared" si="271"/>
        <v>1</v>
      </c>
      <c r="X3433" s="85"/>
    </row>
    <row r="3434" outlineLevel="2" spans="2:24">
      <c r="B3434" s="421" t="s">
        <v>3812</v>
      </c>
      <c r="C3434" s="429" t="str">
        <f t="shared" si="270"/>
        <v>石嘴山市深阳蓝光市政工程有限公司</v>
      </c>
      <c r="D3434" s="423" t="s">
        <v>3887</v>
      </c>
      <c r="E3434" s="1334"/>
      <c r="F3434" s="1334"/>
      <c r="G3434" s="1134"/>
      <c r="H3434" s="1134"/>
      <c r="I3434" s="1134"/>
      <c r="J3434" s="1134"/>
      <c r="K3434" s="1504"/>
      <c r="L3434" s="90"/>
      <c r="M3434" s="90"/>
      <c r="W3434" s="501" t="b">
        <f t="shared" si="271"/>
        <v>1</v>
      </c>
      <c r="X3434" s="85"/>
    </row>
    <row r="3435" outlineLevel="2" spans="2:24">
      <c r="B3435" s="421" t="s">
        <v>3812</v>
      </c>
      <c r="C3435" s="429" t="str">
        <f t="shared" si="270"/>
        <v>石嘴山市深阳蓝光市政工程有限公司</v>
      </c>
      <c r="D3435" s="423" t="s">
        <v>3887</v>
      </c>
      <c r="E3435" s="1334"/>
      <c r="F3435" s="999"/>
      <c r="G3435" s="999"/>
      <c r="H3435" s="999"/>
      <c r="I3435" s="999"/>
      <c r="J3435" s="1134"/>
      <c r="K3435" s="999"/>
      <c r="L3435" s="90"/>
      <c r="M3435" s="90"/>
      <c r="W3435" s="501" t="b">
        <f t="shared" si="271"/>
        <v>1</v>
      </c>
      <c r="X3435" s="85"/>
    </row>
    <row r="3436" outlineLevel="2" spans="2:24">
      <c r="B3436" s="421" t="s">
        <v>3812</v>
      </c>
      <c r="C3436" s="429" t="str">
        <f t="shared" si="270"/>
        <v>石嘴山市深阳蓝光市政工程有限公司</v>
      </c>
      <c r="D3436" s="423" t="s">
        <v>3887</v>
      </c>
      <c r="E3436" s="1334"/>
      <c r="F3436" s="999"/>
      <c r="G3436" s="999"/>
      <c r="H3436" s="999"/>
      <c r="I3436" s="999"/>
      <c r="J3436" s="1134"/>
      <c r="K3436" s="999"/>
      <c r="L3436" s="90"/>
      <c r="M3436" s="90"/>
      <c r="W3436" s="501" t="b">
        <f t="shared" si="271"/>
        <v>1</v>
      </c>
      <c r="X3436" s="85"/>
    </row>
    <row r="3437" outlineLevel="2" spans="2:24">
      <c r="B3437" s="421" t="s">
        <v>3812</v>
      </c>
      <c r="C3437" s="429" t="str">
        <f t="shared" si="270"/>
        <v>石嘴山市深阳蓝光市政工程有限公司</v>
      </c>
      <c r="D3437" s="423" t="s">
        <v>3887</v>
      </c>
      <c r="E3437" s="1334"/>
      <c r="F3437" s="999"/>
      <c r="G3437" s="999"/>
      <c r="H3437" s="999"/>
      <c r="I3437" s="999"/>
      <c r="J3437" s="1134"/>
      <c r="K3437" s="999"/>
      <c r="L3437" s="90"/>
      <c r="M3437" s="90"/>
      <c r="W3437" s="501" t="b">
        <f t="shared" si="271"/>
        <v>1</v>
      </c>
      <c r="X3437" s="85"/>
    </row>
    <row r="3438" outlineLevel="2" spans="2:24">
      <c r="B3438" s="421" t="s">
        <v>3812</v>
      </c>
      <c r="C3438" s="429" t="str">
        <f t="shared" si="270"/>
        <v>石嘴山市深阳蓝光市政工程有限公司</v>
      </c>
      <c r="D3438" s="423" t="s">
        <v>3887</v>
      </c>
      <c r="E3438" s="1334"/>
      <c r="F3438" s="999"/>
      <c r="G3438" s="999"/>
      <c r="H3438" s="999"/>
      <c r="I3438" s="999"/>
      <c r="J3438" s="1134"/>
      <c r="K3438" s="999"/>
      <c r="L3438" s="90"/>
      <c r="M3438" s="90"/>
      <c r="W3438" s="501" t="b">
        <f t="shared" si="271"/>
        <v>1</v>
      </c>
      <c r="X3438" s="85"/>
    </row>
    <row r="3439" outlineLevel="2" spans="2:24">
      <c r="B3439" s="421" t="s">
        <v>3812</v>
      </c>
      <c r="C3439" s="429" t="str">
        <f t="shared" si="270"/>
        <v>石嘴山市深阳蓝光市政工程有限公司</v>
      </c>
      <c r="D3439" s="423" t="s">
        <v>3887</v>
      </c>
      <c r="E3439" s="1334"/>
      <c r="F3439" s="999"/>
      <c r="G3439" s="999"/>
      <c r="H3439" s="999"/>
      <c r="I3439" s="999"/>
      <c r="J3439" s="1134"/>
      <c r="K3439" s="999"/>
      <c r="L3439" s="90"/>
      <c r="M3439" s="90"/>
      <c r="W3439" s="501" t="b">
        <f t="shared" si="271"/>
        <v>1</v>
      </c>
      <c r="X3439" s="85"/>
    </row>
    <row r="3440" outlineLevel="2" spans="2:24">
      <c r="B3440" s="421" t="s">
        <v>3812</v>
      </c>
      <c r="C3440" s="429" t="str">
        <f t="shared" si="270"/>
        <v>石嘴山市深阳蓝光市政工程有限公司</v>
      </c>
      <c r="D3440" s="423" t="s">
        <v>3887</v>
      </c>
      <c r="E3440" s="1334"/>
      <c r="F3440" s="999"/>
      <c r="G3440" s="999"/>
      <c r="H3440" s="999"/>
      <c r="I3440" s="999"/>
      <c r="J3440" s="1134"/>
      <c r="K3440" s="999"/>
      <c r="L3440" s="90"/>
      <c r="M3440" s="90"/>
      <c r="W3440" s="501" t="b">
        <f t="shared" si="271"/>
        <v>1</v>
      </c>
      <c r="X3440" s="85"/>
    </row>
    <row r="3441" outlineLevel="2" spans="2:24">
      <c r="B3441" s="421" t="s">
        <v>3812</v>
      </c>
      <c r="C3441" s="429" t="str">
        <f t="shared" si="270"/>
        <v>石嘴山市深阳蓝光市政工程有限公司</v>
      </c>
      <c r="D3441" s="423" t="s">
        <v>3887</v>
      </c>
      <c r="E3441" s="1499"/>
      <c r="F3441" s="485"/>
      <c r="G3441" s="485"/>
      <c r="H3441" s="485"/>
      <c r="I3441" s="485"/>
      <c r="J3441" s="485"/>
      <c r="K3441" s="485"/>
      <c r="L3441" s="485"/>
      <c r="M3441" s="485"/>
      <c r="N3441" s="90"/>
      <c r="X3441" s="501" t="b">
        <f t="shared" ref="X3441:X3556" si="272">EXACT(A3441,E3441)</f>
        <v>1</v>
      </c>
    </row>
    <row r="3442" outlineLevel="2" spans="3:14">
      <c r="C3442" s="479"/>
      <c r="E3442" s="1167" t="s">
        <v>3898</v>
      </c>
      <c r="F3442" s="485"/>
      <c r="G3442" s="485"/>
      <c r="H3442" s="485"/>
      <c r="I3442" s="485"/>
      <c r="J3442" s="485"/>
      <c r="K3442" s="485"/>
      <c r="L3442" s="485"/>
      <c r="M3442" s="485"/>
      <c r="N3442" s="90"/>
    </row>
    <row r="3443" outlineLevel="2" spans="1:24">
      <c r="A3443" s="85" t="s">
        <v>3890</v>
      </c>
      <c r="B3443" s="421" t="s">
        <v>3812</v>
      </c>
      <c r="C3443" s="429" t="str">
        <f t="shared" ref="C3443:C3451" si="273">$G$1</f>
        <v>石嘴山市深阳蓝光市政工程有限公司</v>
      </c>
      <c r="D3443" s="423" t="s">
        <v>3887</v>
      </c>
      <c r="E3443" s="613" t="s">
        <v>3891</v>
      </c>
      <c r="F3443" s="613" t="s">
        <v>3892</v>
      </c>
      <c r="G3443" s="581" t="s">
        <v>3893</v>
      </c>
      <c r="H3443" s="581" t="s">
        <v>3894</v>
      </c>
      <c r="I3443" s="581" t="s">
        <v>3895</v>
      </c>
      <c r="J3443" s="613" t="s">
        <v>3899</v>
      </c>
      <c r="K3443" s="613" t="s">
        <v>3900</v>
      </c>
      <c r="L3443" s="90"/>
      <c r="M3443" s="90"/>
      <c r="W3443" s="501" t="b">
        <f t="shared" ref="W3443:W3451" si="274">EXACT(A3443,E3443)</f>
        <v>0</v>
      </c>
      <c r="X3443" s="85"/>
    </row>
    <row r="3444" outlineLevel="2" spans="2:24">
      <c r="B3444" s="421" t="s">
        <v>3812</v>
      </c>
      <c r="C3444" s="429" t="str">
        <f t="shared" si="273"/>
        <v>石嘴山市深阳蓝光市政工程有限公司</v>
      </c>
      <c r="D3444" s="423" t="s">
        <v>3887</v>
      </c>
      <c r="E3444" s="581"/>
      <c r="F3444" s="581"/>
      <c r="G3444" s="613" t="s">
        <v>1148</v>
      </c>
      <c r="H3444" s="581"/>
      <c r="I3444" s="581"/>
      <c r="J3444" s="581"/>
      <c r="K3444" s="581"/>
      <c r="L3444" s="90"/>
      <c r="M3444" s="90"/>
      <c r="W3444" s="501" t="b">
        <f t="shared" si="274"/>
        <v>1</v>
      </c>
      <c r="X3444" s="85"/>
    </row>
    <row r="3445" outlineLevel="2" spans="2:24">
      <c r="B3445" s="421" t="s">
        <v>3812</v>
      </c>
      <c r="C3445" s="429" t="str">
        <f t="shared" si="273"/>
        <v>石嘴山市深阳蓝光市政工程有限公司</v>
      </c>
      <c r="D3445" s="423" t="s">
        <v>3887</v>
      </c>
      <c r="E3445" s="1334"/>
      <c r="F3445" s="1334"/>
      <c r="G3445" s="1134"/>
      <c r="H3445" s="1134"/>
      <c r="I3445" s="1134"/>
      <c r="J3445" s="1134"/>
      <c r="K3445" s="1504"/>
      <c r="L3445" s="90"/>
      <c r="M3445" s="90"/>
      <c r="W3445" s="501" t="b">
        <f t="shared" si="274"/>
        <v>1</v>
      </c>
      <c r="X3445" s="85"/>
    </row>
    <row r="3446" outlineLevel="2" spans="2:24">
      <c r="B3446" s="421" t="s">
        <v>3812</v>
      </c>
      <c r="C3446" s="429" t="str">
        <f t="shared" si="273"/>
        <v>石嘴山市深阳蓝光市政工程有限公司</v>
      </c>
      <c r="D3446" s="423" t="s">
        <v>3887</v>
      </c>
      <c r="E3446" s="1334"/>
      <c r="F3446" s="999"/>
      <c r="G3446" s="999"/>
      <c r="H3446" s="999"/>
      <c r="I3446" s="999"/>
      <c r="J3446" s="1134"/>
      <c r="K3446" s="999"/>
      <c r="L3446" s="90"/>
      <c r="M3446" s="90"/>
      <c r="W3446" s="501" t="b">
        <f t="shared" si="274"/>
        <v>1</v>
      </c>
      <c r="X3446" s="85"/>
    </row>
    <row r="3447" outlineLevel="2" spans="2:24">
      <c r="B3447" s="421" t="s">
        <v>3812</v>
      </c>
      <c r="C3447" s="429" t="str">
        <f t="shared" si="273"/>
        <v>石嘴山市深阳蓝光市政工程有限公司</v>
      </c>
      <c r="D3447" s="423" t="s">
        <v>3887</v>
      </c>
      <c r="E3447" s="1334"/>
      <c r="F3447" s="999"/>
      <c r="G3447" s="999"/>
      <c r="H3447" s="999"/>
      <c r="I3447" s="999"/>
      <c r="J3447" s="1134"/>
      <c r="K3447" s="999"/>
      <c r="L3447" s="90"/>
      <c r="M3447" s="90"/>
      <c r="W3447" s="501" t="b">
        <f t="shared" si="274"/>
        <v>1</v>
      </c>
      <c r="X3447" s="85"/>
    </row>
    <row r="3448" outlineLevel="2" spans="2:24">
      <c r="B3448" s="421" t="s">
        <v>3812</v>
      </c>
      <c r="C3448" s="429" t="str">
        <f t="shared" si="273"/>
        <v>石嘴山市深阳蓝光市政工程有限公司</v>
      </c>
      <c r="D3448" s="423" t="s">
        <v>3887</v>
      </c>
      <c r="E3448" s="1334"/>
      <c r="F3448" s="999"/>
      <c r="G3448" s="999"/>
      <c r="H3448" s="999"/>
      <c r="I3448" s="999"/>
      <c r="J3448" s="1134"/>
      <c r="K3448" s="999"/>
      <c r="L3448" s="90"/>
      <c r="M3448" s="90"/>
      <c r="W3448" s="501" t="b">
        <f t="shared" si="274"/>
        <v>1</v>
      </c>
      <c r="X3448" s="85"/>
    </row>
    <row r="3449" outlineLevel="2" spans="2:24">
      <c r="B3449" s="421" t="s">
        <v>3812</v>
      </c>
      <c r="C3449" s="429" t="str">
        <f t="shared" si="273"/>
        <v>石嘴山市深阳蓝光市政工程有限公司</v>
      </c>
      <c r="D3449" s="423" t="s">
        <v>3887</v>
      </c>
      <c r="E3449" s="1334"/>
      <c r="F3449" s="999"/>
      <c r="G3449" s="999"/>
      <c r="H3449" s="999"/>
      <c r="I3449" s="999"/>
      <c r="J3449" s="1134"/>
      <c r="K3449" s="999"/>
      <c r="L3449" s="90"/>
      <c r="M3449" s="90"/>
      <c r="W3449" s="501" t="b">
        <f t="shared" si="274"/>
        <v>1</v>
      </c>
      <c r="X3449" s="85"/>
    </row>
    <row r="3450" outlineLevel="2" spans="2:24">
      <c r="B3450" s="421" t="s">
        <v>3812</v>
      </c>
      <c r="C3450" s="429" t="str">
        <f t="shared" si="273"/>
        <v>石嘴山市深阳蓝光市政工程有限公司</v>
      </c>
      <c r="D3450" s="423" t="s">
        <v>3887</v>
      </c>
      <c r="E3450" s="1334"/>
      <c r="F3450" s="999"/>
      <c r="G3450" s="999"/>
      <c r="H3450" s="999"/>
      <c r="I3450" s="999"/>
      <c r="J3450" s="1134"/>
      <c r="K3450" s="999"/>
      <c r="L3450" s="90"/>
      <c r="M3450" s="90"/>
      <c r="W3450" s="501" t="b">
        <f t="shared" si="274"/>
        <v>1</v>
      </c>
      <c r="X3450" s="85"/>
    </row>
    <row r="3451" outlineLevel="2" spans="2:24">
      <c r="B3451" s="421" t="s">
        <v>3812</v>
      </c>
      <c r="C3451" s="429" t="str">
        <f t="shared" si="273"/>
        <v>石嘴山市深阳蓝光市政工程有限公司</v>
      </c>
      <c r="D3451" s="423" t="s">
        <v>3887</v>
      </c>
      <c r="E3451" s="1334"/>
      <c r="F3451" s="999"/>
      <c r="G3451" s="999"/>
      <c r="H3451" s="999"/>
      <c r="I3451" s="999"/>
      <c r="J3451" s="1134"/>
      <c r="K3451" s="999"/>
      <c r="L3451" s="90"/>
      <c r="M3451" s="90"/>
      <c r="W3451" s="501" t="b">
        <f t="shared" si="274"/>
        <v>1</v>
      </c>
      <c r="X3451" s="85"/>
    </row>
    <row r="3452" outlineLevel="2" spans="3:24">
      <c r="C3452" s="479"/>
      <c r="E3452" s="717" t="s">
        <v>3901</v>
      </c>
      <c r="F3452" s="485"/>
      <c r="G3452" s="485"/>
      <c r="H3452" s="485"/>
      <c r="I3452" s="485"/>
      <c r="J3452" s="485"/>
      <c r="K3452" s="485"/>
      <c r="L3452" s="90"/>
      <c r="M3452" s="90"/>
      <c r="W3452" s="420"/>
      <c r="X3452" s="85"/>
    </row>
    <row r="3453" outlineLevel="2" spans="3:24">
      <c r="C3453" s="479"/>
      <c r="E3453" s="1502"/>
      <c r="F3453" s="1503"/>
      <c r="G3453" s="1503"/>
      <c r="H3453" s="1503"/>
      <c r="I3453" s="1503"/>
      <c r="J3453" s="1505"/>
      <c r="K3453" s="1503"/>
      <c r="L3453" s="90"/>
      <c r="M3453" s="90"/>
      <c r="W3453" s="420"/>
      <c r="X3453" s="85"/>
    </row>
    <row r="3454" outlineLevel="2" spans="3:24">
      <c r="C3454" s="479"/>
      <c r="E3454" s="1502"/>
      <c r="F3454" s="1503"/>
      <c r="G3454" s="1503"/>
      <c r="H3454" s="1503"/>
      <c r="I3454" s="1503"/>
      <c r="J3454" s="1505"/>
      <c r="K3454" s="1503"/>
      <c r="L3454" s="90"/>
      <c r="M3454" s="90"/>
      <c r="W3454" s="420"/>
      <c r="X3454" s="85"/>
    </row>
    <row r="3455" outlineLevel="2" spans="1:24">
      <c r="A3455" s="85" t="s">
        <v>3902</v>
      </c>
      <c r="B3455" s="421" t="s">
        <v>3812</v>
      </c>
      <c r="C3455" s="429" t="str">
        <f t="shared" ref="C3455:C3486" si="275">$G$1</f>
        <v>石嘴山市深阳蓝光市政工程有限公司</v>
      </c>
      <c r="D3455" s="423" t="s">
        <v>3902</v>
      </c>
      <c r="E3455" s="748" t="s">
        <v>3903</v>
      </c>
      <c r="F3455" s="485"/>
      <c r="G3455" s="485"/>
      <c r="H3455" s="485"/>
      <c r="I3455" s="485"/>
      <c r="J3455" s="485"/>
      <c r="K3455" s="485"/>
      <c r="L3455" s="485"/>
      <c r="M3455" s="485"/>
      <c r="N3455" s="90"/>
      <c r="X3455" s="501" t="b">
        <f t="shared" si="272"/>
        <v>1</v>
      </c>
    </row>
    <row r="3456" outlineLevel="2" spans="1:24">
      <c r="A3456" s="85" t="s">
        <v>3904</v>
      </c>
      <c r="B3456" s="421" t="s">
        <v>3812</v>
      </c>
      <c r="C3456" s="429" t="str">
        <f t="shared" si="275"/>
        <v>石嘴山市深阳蓝光市政工程有限公司</v>
      </c>
      <c r="D3456" s="423" t="s">
        <v>3902</v>
      </c>
      <c r="E3456" s="581" t="s">
        <v>3904</v>
      </c>
      <c r="F3456" s="581" t="s">
        <v>3905</v>
      </c>
      <c r="G3456" s="581" t="s">
        <v>3906</v>
      </c>
      <c r="H3456" s="581" t="s">
        <v>3907</v>
      </c>
      <c r="I3456" s="581" t="s">
        <v>3908</v>
      </c>
      <c r="J3456" s="581" t="s">
        <v>3909</v>
      </c>
      <c r="K3456" s="485"/>
      <c r="L3456" s="485"/>
      <c r="M3456" s="485"/>
      <c r="N3456" s="90"/>
      <c r="X3456" s="501" t="b">
        <f t="shared" si="272"/>
        <v>1</v>
      </c>
    </row>
    <row r="3457" outlineLevel="2" spans="2:24">
      <c r="B3457" s="421" t="s">
        <v>3812</v>
      </c>
      <c r="C3457" s="429" t="str">
        <f t="shared" si="275"/>
        <v>石嘴山市深阳蓝光市政工程有限公司</v>
      </c>
      <c r="D3457" s="423" t="s">
        <v>3902</v>
      </c>
      <c r="E3457" s="999"/>
      <c r="F3457" s="999"/>
      <c r="G3457" s="999"/>
      <c r="H3457" s="999"/>
      <c r="I3457" s="999"/>
      <c r="J3457" s="999"/>
      <c r="K3457" s="485"/>
      <c r="L3457" s="485"/>
      <c r="M3457" s="485"/>
      <c r="N3457" s="90"/>
      <c r="X3457" s="501" t="b">
        <f t="shared" si="272"/>
        <v>1</v>
      </c>
    </row>
    <row r="3458" outlineLevel="2" spans="2:24">
      <c r="B3458" s="421" t="s">
        <v>3812</v>
      </c>
      <c r="C3458" s="429" t="str">
        <f t="shared" si="275"/>
        <v>石嘴山市深阳蓝光市政工程有限公司</v>
      </c>
      <c r="D3458" s="423" t="s">
        <v>3902</v>
      </c>
      <c r="E3458" s="999"/>
      <c r="F3458" s="999"/>
      <c r="G3458" s="999"/>
      <c r="H3458" s="999"/>
      <c r="I3458" s="999"/>
      <c r="J3458" s="999"/>
      <c r="K3458" s="485"/>
      <c r="L3458" s="485"/>
      <c r="M3458" s="485"/>
      <c r="N3458" s="90"/>
      <c r="X3458" s="501" t="b">
        <f t="shared" si="272"/>
        <v>1</v>
      </c>
    </row>
    <row r="3459" outlineLevel="2" spans="2:24">
      <c r="B3459" s="421" t="s">
        <v>3812</v>
      </c>
      <c r="C3459" s="429" t="str">
        <f t="shared" si="275"/>
        <v>石嘴山市深阳蓝光市政工程有限公司</v>
      </c>
      <c r="D3459" s="423" t="s">
        <v>3902</v>
      </c>
      <c r="E3459" s="999"/>
      <c r="F3459" s="999"/>
      <c r="G3459" s="999"/>
      <c r="H3459" s="999"/>
      <c r="I3459" s="999"/>
      <c r="J3459" s="999"/>
      <c r="K3459" s="485"/>
      <c r="L3459" s="485"/>
      <c r="M3459" s="485"/>
      <c r="N3459" s="90"/>
      <c r="X3459" s="501" t="b">
        <f t="shared" si="272"/>
        <v>1</v>
      </c>
    </row>
    <row r="3460" outlineLevel="2" spans="2:24">
      <c r="B3460" s="421" t="s">
        <v>3812</v>
      </c>
      <c r="C3460" s="429" t="str">
        <f t="shared" si="275"/>
        <v>石嘴山市深阳蓝光市政工程有限公司</v>
      </c>
      <c r="D3460" s="423" t="s">
        <v>3902</v>
      </c>
      <c r="E3460" s="999"/>
      <c r="F3460" s="999"/>
      <c r="G3460" s="999"/>
      <c r="H3460" s="999"/>
      <c r="I3460" s="999"/>
      <c r="J3460" s="999"/>
      <c r="K3460" s="485"/>
      <c r="L3460" s="485"/>
      <c r="M3460" s="485"/>
      <c r="N3460" s="90"/>
      <c r="X3460" s="501" t="b">
        <f t="shared" si="272"/>
        <v>1</v>
      </c>
    </row>
    <row r="3461" outlineLevel="2" spans="2:24">
      <c r="B3461" s="421" t="s">
        <v>3812</v>
      </c>
      <c r="C3461" s="429" t="str">
        <f t="shared" si="275"/>
        <v>石嘴山市深阳蓝光市政工程有限公司</v>
      </c>
      <c r="D3461" s="423" t="s">
        <v>3902</v>
      </c>
      <c r="E3461" s="999"/>
      <c r="F3461" s="999"/>
      <c r="G3461" s="999"/>
      <c r="H3461" s="999"/>
      <c r="I3461" s="999"/>
      <c r="J3461" s="999"/>
      <c r="K3461" s="485"/>
      <c r="L3461" s="485"/>
      <c r="M3461" s="485"/>
      <c r="N3461" s="90"/>
      <c r="X3461" s="501" t="b">
        <f t="shared" si="272"/>
        <v>1</v>
      </c>
    </row>
    <row r="3462" outlineLevel="2" spans="2:24">
      <c r="B3462" s="421" t="s">
        <v>3812</v>
      </c>
      <c r="C3462" s="429" t="str">
        <f t="shared" si="275"/>
        <v>石嘴山市深阳蓝光市政工程有限公司</v>
      </c>
      <c r="D3462" s="423" t="s">
        <v>3902</v>
      </c>
      <c r="E3462" s="999"/>
      <c r="F3462" s="999"/>
      <c r="G3462" s="999"/>
      <c r="H3462" s="999"/>
      <c r="I3462" s="999"/>
      <c r="J3462" s="999"/>
      <c r="K3462" s="485"/>
      <c r="L3462" s="485"/>
      <c r="M3462" s="485"/>
      <c r="N3462" s="90"/>
      <c r="X3462" s="501" t="b">
        <f t="shared" si="272"/>
        <v>1</v>
      </c>
    </row>
    <row r="3463" outlineLevel="2" spans="2:24">
      <c r="B3463" s="421" t="s">
        <v>3812</v>
      </c>
      <c r="C3463" s="429" t="str">
        <f t="shared" si="275"/>
        <v>石嘴山市深阳蓝光市政工程有限公司</v>
      </c>
      <c r="D3463" s="423" t="s">
        <v>3902</v>
      </c>
      <c r="E3463" s="999"/>
      <c r="F3463" s="999"/>
      <c r="G3463" s="999"/>
      <c r="H3463" s="999"/>
      <c r="I3463" s="999"/>
      <c r="J3463" s="999"/>
      <c r="K3463" s="485"/>
      <c r="L3463" s="485"/>
      <c r="M3463" s="485"/>
      <c r="N3463" s="90"/>
      <c r="X3463" s="501" t="b">
        <f t="shared" si="272"/>
        <v>1</v>
      </c>
    </row>
    <row r="3464" outlineLevel="2" spans="2:24">
      <c r="B3464" s="421" t="s">
        <v>3812</v>
      </c>
      <c r="C3464" s="429" t="str">
        <f t="shared" si="275"/>
        <v>石嘴山市深阳蓝光市政工程有限公司</v>
      </c>
      <c r="D3464" s="423" t="s">
        <v>3902</v>
      </c>
      <c r="E3464" s="151"/>
      <c r="F3464" s="151"/>
      <c r="G3464" s="151"/>
      <c r="H3464" s="151"/>
      <c r="I3464" s="151"/>
      <c r="J3464" s="151"/>
      <c r="K3464" s="485"/>
      <c r="L3464" s="485"/>
      <c r="M3464" s="485"/>
      <c r="N3464" s="90"/>
      <c r="X3464" s="501" t="b">
        <f t="shared" si="272"/>
        <v>1</v>
      </c>
    </row>
    <row r="3465" outlineLevel="2" spans="2:24">
      <c r="B3465" s="421" t="s">
        <v>3812</v>
      </c>
      <c r="C3465" s="429" t="str">
        <f t="shared" si="275"/>
        <v>石嘴山市深阳蓝光市政工程有限公司</v>
      </c>
      <c r="D3465" s="423" t="s">
        <v>3902</v>
      </c>
      <c r="E3465" s="1499"/>
      <c r="F3465" s="485"/>
      <c r="G3465" s="485"/>
      <c r="H3465" s="485"/>
      <c r="I3465" s="485"/>
      <c r="J3465" s="485"/>
      <c r="K3465" s="485"/>
      <c r="L3465" s="485"/>
      <c r="M3465" s="485"/>
      <c r="N3465" s="90"/>
      <c r="X3465" s="501" t="b">
        <f t="shared" si="272"/>
        <v>1</v>
      </c>
    </row>
    <row r="3466" outlineLevel="2" spans="1:24">
      <c r="A3466" s="85" t="s">
        <v>3910</v>
      </c>
      <c r="B3466" s="421" t="s">
        <v>3812</v>
      </c>
      <c r="C3466" s="429" t="str">
        <f t="shared" si="275"/>
        <v>石嘴山市深阳蓝光市政工程有限公司</v>
      </c>
      <c r="D3466" s="423" t="s">
        <v>3910</v>
      </c>
      <c r="E3466" s="748" t="s">
        <v>3911</v>
      </c>
      <c r="F3466" s="485"/>
      <c r="G3466" s="485"/>
      <c r="H3466" s="485"/>
      <c r="I3466" s="485"/>
      <c r="J3466" s="485"/>
      <c r="K3466" s="485"/>
      <c r="L3466" s="485"/>
      <c r="M3466" s="485"/>
      <c r="N3466" s="90"/>
      <c r="X3466" s="501" t="b">
        <f t="shared" si="272"/>
        <v>1</v>
      </c>
    </row>
    <row r="3467" outlineLevel="2" spans="1:24">
      <c r="A3467" s="85" t="s">
        <v>505</v>
      </c>
      <c r="B3467" s="421" t="s">
        <v>3812</v>
      </c>
      <c r="C3467" s="429" t="str">
        <f t="shared" si="275"/>
        <v>石嘴山市深阳蓝光市政工程有限公司</v>
      </c>
      <c r="D3467" s="423" t="s">
        <v>3910</v>
      </c>
      <c r="E3467" s="128" t="s">
        <v>505</v>
      </c>
      <c r="F3467" s="128" t="s">
        <v>3912</v>
      </c>
      <c r="G3467" s="128" t="s">
        <v>3913</v>
      </c>
      <c r="H3467" s="128" t="s">
        <v>643</v>
      </c>
      <c r="I3467" s="128" t="s">
        <v>1420</v>
      </c>
      <c r="J3467" s="485"/>
      <c r="K3467" s="485"/>
      <c r="L3467" s="485"/>
      <c r="M3467" s="485"/>
      <c r="N3467" s="90"/>
      <c r="X3467" s="501" t="b">
        <f t="shared" si="272"/>
        <v>1</v>
      </c>
    </row>
    <row r="3468" outlineLevel="2" spans="1:24">
      <c r="A3468" s="85" t="s">
        <v>3914</v>
      </c>
      <c r="B3468" s="421" t="s">
        <v>3812</v>
      </c>
      <c r="C3468" s="429" t="str">
        <f t="shared" si="275"/>
        <v>石嘴山市深阳蓝光市政工程有限公司</v>
      </c>
      <c r="D3468" s="423" t="s">
        <v>3910</v>
      </c>
      <c r="E3468" s="1132" t="s">
        <v>3914</v>
      </c>
      <c r="F3468" s="1132"/>
      <c r="G3468" s="1132"/>
      <c r="H3468" s="1132"/>
      <c r="I3468" s="1132"/>
      <c r="J3468" s="485"/>
      <c r="K3468" s="485"/>
      <c r="L3468" s="485"/>
      <c r="M3468" s="485"/>
      <c r="N3468" s="90"/>
      <c r="X3468" s="501" t="b">
        <f t="shared" si="272"/>
        <v>1</v>
      </c>
    </row>
    <row r="3469" outlineLevel="2" spans="2:24">
      <c r="B3469" s="421" t="s">
        <v>3812</v>
      </c>
      <c r="C3469" s="429" t="str">
        <f t="shared" si="275"/>
        <v>石嘴山市深阳蓝光市政工程有限公司</v>
      </c>
      <c r="D3469" s="423" t="s">
        <v>3910</v>
      </c>
      <c r="E3469" s="1134"/>
      <c r="F3469" s="486"/>
      <c r="G3469" s="486"/>
      <c r="H3469" s="486"/>
      <c r="I3469" s="486"/>
      <c r="J3469" s="485"/>
      <c r="K3469" s="485"/>
      <c r="L3469" s="485"/>
      <c r="M3469" s="485"/>
      <c r="N3469" s="90"/>
      <c r="X3469" s="501" t="b">
        <f t="shared" si="272"/>
        <v>1</v>
      </c>
    </row>
    <row r="3470" outlineLevel="2" spans="2:24">
      <c r="B3470" s="421" t="s">
        <v>3812</v>
      </c>
      <c r="C3470" s="429" t="str">
        <f t="shared" si="275"/>
        <v>石嘴山市深阳蓝光市政工程有限公司</v>
      </c>
      <c r="D3470" s="423" t="s">
        <v>3910</v>
      </c>
      <c r="E3470" s="1134"/>
      <c r="F3470" s="486"/>
      <c r="G3470" s="486"/>
      <c r="H3470" s="486"/>
      <c r="I3470" s="486"/>
      <c r="J3470" s="485"/>
      <c r="K3470" s="485"/>
      <c r="L3470" s="485"/>
      <c r="M3470" s="485"/>
      <c r="N3470" s="90"/>
      <c r="X3470" s="501" t="b">
        <f t="shared" si="272"/>
        <v>1</v>
      </c>
    </row>
    <row r="3471" outlineLevel="2" spans="1:24">
      <c r="A3471" s="85" t="s">
        <v>3915</v>
      </c>
      <c r="B3471" s="421" t="s">
        <v>3812</v>
      </c>
      <c r="C3471" s="429" t="str">
        <f t="shared" si="275"/>
        <v>石嘴山市深阳蓝光市政工程有限公司</v>
      </c>
      <c r="D3471" s="423" t="s">
        <v>3910</v>
      </c>
      <c r="E3471" s="1132" t="s">
        <v>3915</v>
      </c>
      <c r="F3471" s="1132"/>
      <c r="G3471" s="1132"/>
      <c r="H3471" s="1132"/>
      <c r="I3471" s="1132"/>
      <c r="J3471" s="485"/>
      <c r="K3471" s="485"/>
      <c r="L3471" s="485"/>
      <c r="M3471" s="485"/>
      <c r="N3471" s="90"/>
      <c r="X3471" s="501" t="b">
        <f t="shared" si="272"/>
        <v>1</v>
      </c>
    </row>
    <row r="3472" outlineLevel="2" spans="2:24">
      <c r="B3472" s="421" t="s">
        <v>3812</v>
      </c>
      <c r="C3472" s="429" t="str">
        <f t="shared" si="275"/>
        <v>石嘴山市深阳蓝光市政工程有限公司</v>
      </c>
      <c r="D3472" s="423" t="s">
        <v>3910</v>
      </c>
      <c r="E3472" s="1134"/>
      <c r="F3472" s="486"/>
      <c r="G3472" s="486"/>
      <c r="H3472" s="486"/>
      <c r="I3472" s="486"/>
      <c r="J3472" s="485"/>
      <c r="K3472" s="485"/>
      <c r="L3472" s="485"/>
      <c r="M3472" s="485"/>
      <c r="N3472" s="90"/>
      <c r="X3472" s="501" t="b">
        <f t="shared" si="272"/>
        <v>1</v>
      </c>
    </row>
    <row r="3473" outlineLevel="2" spans="2:24">
      <c r="B3473" s="421" t="s">
        <v>3812</v>
      </c>
      <c r="C3473" s="429" t="str">
        <f t="shared" si="275"/>
        <v>石嘴山市深阳蓝光市政工程有限公司</v>
      </c>
      <c r="D3473" s="423" t="s">
        <v>3910</v>
      </c>
      <c r="E3473" s="1134"/>
      <c r="F3473" s="486"/>
      <c r="G3473" s="486"/>
      <c r="H3473" s="486"/>
      <c r="I3473" s="486"/>
      <c r="J3473" s="485"/>
      <c r="K3473" s="485"/>
      <c r="L3473" s="485"/>
      <c r="M3473" s="485"/>
      <c r="N3473" s="90"/>
      <c r="X3473" s="501" t="b">
        <f t="shared" si="272"/>
        <v>1</v>
      </c>
    </row>
    <row r="3474" outlineLevel="2" spans="1:24">
      <c r="A3474" s="85" t="s">
        <v>3916</v>
      </c>
      <c r="B3474" s="421" t="s">
        <v>3812</v>
      </c>
      <c r="C3474" s="429" t="str">
        <f t="shared" si="275"/>
        <v>石嘴山市深阳蓝光市政工程有限公司</v>
      </c>
      <c r="D3474" s="423" t="s">
        <v>3916</v>
      </c>
      <c r="E3474" s="748" t="s">
        <v>3917</v>
      </c>
      <c r="F3474" s="485"/>
      <c r="G3474" s="485"/>
      <c r="H3474" s="485"/>
      <c r="I3474" s="485"/>
      <c r="J3474" s="485"/>
      <c r="K3474" s="485"/>
      <c r="L3474" s="485"/>
      <c r="M3474" s="485"/>
      <c r="N3474" s="90"/>
      <c r="X3474" s="501" t="b">
        <f t="shared" si="272"/>
        <v>1</v>
      </c>
    </row>
    <row r="3475" outlineLevel="2" spans="1:24">
      <c r="A3475" s="85" t="s">
        <v>1375</v>
      </c>
      <c r="B3475" s="421" t="s">
        <v>3812</v>
      </c>
      <c r="C3475" s="429" t="str">
        <f t="shared" si="275"/>
        <v>石嘴山市深阳蓝光市政工程有限公司</v>
      </c>
      <c r="D3475" s="423" t="s">
        <v>3916</v>
      </c>
      <c r="E3475" s="581" t="s">
        <v>1375</v>
      </c>
      <c r="F3475" s="581" t="s">
        <v>3850</v>
      </c>
      <c r="G3475" s="581" t="s">
        <v>3849</v>
      </c>
      <c r="H3475" s="581" t="s">
        <v>3918</v>
      </c>
      <c r="I3475" s="581" t="s">
        <v>1241</v>
      </c>
      <c r="J3475" s="581"/>
      <c r="K3475" s="581" t="s">
        <v>1242</v>
      </c>
      <c r="L3475" s="581"/>
      <c r="M3475" s="485"/>
      <c r="N3475" s="90"/>
      <c r="X3475" s="501" t="b">
        <f t="shared" si="272"/>
        <v>1</v>
      </c>
    </row>
    <row r="3476" ht="24.75" outlineLevel="2" spans="2:24">
      <c r="B3476" s="421" t="s">
        <v>3812</v>
      </c>
      <c r="C3476" s="429" t="str">
        <f t="shared" si="275"/>
        <v>石嘴山市深阳蓝光市政工程有限公司</v>
      </c>
      <c r="D3476" s="423" t="s">
        <v>3916</v>
      </c>
      <c r="E3476" s="581"/>
      <c r="F3476" s="581"/>
      <c r="G3476" s="581"/>
      <c r="H3476" s="581"/>
      <c r="I3476" s="581" t="s">
        <v>365</v>
      </c>
      <c r="J3476" s="581" t="s">
        <v>3852</v>
      </c>
      <c r="K3476" s="581" t="s">
        <v>365</v>
      </c>
      <c r="L3476" s="581" t="s">
        <v>3852</v>
      </c>
      <c r="M3476" s="485"/>
      <c r="N3476" s="90"/>
      <c r="X3476" s="501" t="b">
        <f t="shared" si="272"/>
        <v>1</v>
      </c>
    </row>
    <row r="3477" outlineLevel="2" spans="2:24">
      <c r="B3477" s="421" t="s">
        <v>3812</v>
      </c>
      <c r="C3477" s="429" t="str">
        <f t="shared" si="275"/>
        <v>石嘴山市深阳蓝光市政工程有限公司</v>
      </c>
      <c r="D3477" s="423" t="s">
        <v>3916</v>
      </c>
      <c r="E3477" s="1134"/>
      <c r="F3477" s="1134"/>
      <c r="G3477" s="1134"/>
      <c r="H3477" s="1134"/>
      <c r="I3477" s="1134"/>
      <c r="J3477" s="1134"/>
      <c r="K3477" s="1134"/>
      <c r="L3477" s="1134"/>
      <c r="M3477" s="485"/>
      <c r="N3477" s="90"/>
      <c r="X3477" s="501" t="b">
        <f t="shared" si="272"/>
        <v>1</v>
      </c>
    </row>
    <row r="3478" outlineLevel="2" spans="2:24">
      <c r="B3478" s="421" t="s">
        <v>3812</v>
      </c>
      <c r="C3478" s="429" t="str">
        <f t="shared" si="275"/>
        <v>石嘴山市深阳蓝光市政工程有限公司</v>
      </c>
      <c r="D3478" s="423" t="s">
        <v>3916</v>
      </c>
      <c r="E3478" s="1134"/>
      <c r="F3478" s="1134"/>
      <c r="G3478" s="1134"/>
      <c r="H3478" s="1134"/>
      <c r="I3478" s="1134"/>
      <c r="J3478" s="1134"/>
      <c r="K3478" s="1134"/>
      <c r="L3478" s="1134"/>
      <c r="M3478" s="485"/>
      <c r="N3478" s="90"/>
      <c r="X3478" s="501" t="b">
        <f t="shared" si="272"/>
        <v>1</v>
      </c>
    </row>
    <row r="3479" outlineLevel="2" spans="2:24">
      <c r="B3479" s="421" t="s">
        <v>3812</v>
      </c>
      <c r="C3479" s="429" t="str">
        <f t="shared" si="275"/>
        <v>石嘴山市深阳蓝光市政工程有限公司</v>
      </c>
      <c r="D3479" s="423" t="s">
        <v>3916</v>
      </c>
      <c r="E3479" s="1134"/>
      <c r="F3479" s="1134"/>
      <c r="G3479" s="1134"/>
      <c r="H3479" s="1134"/>
      <c r="I3479" s="1134"/>
      <c r="J3479" s="1134"/>
      <c r="K3479" s="1134"/>
      <c r="L3479" s="1134"/>
      <c r="M3479" s="485"/>
      <c r="N3479" s="90"/>
      <c r="X3479" s="501" t="b">
        <f t="shared" si="272"/>
        <v>1</v>
      </c>
    </row>
    <row r="3480" outlineLevel="2" spans="2:24">
      <c r="B3480" s="421" t="s">
        <v>3812</v>
      </c>
      <c r="C3480" s="429" t="str">
        <f t="shared" si="275"/>
        <v>石嘴山市深阳蓝光市政工程有限公司</v>
      </c>
      <c r="D3480" s="423" t="s">
        <v>3916</v>
      </c>
      <c r="E3480" s="1134"/>
      <c r="F3480" s="1134"/>
      <c r="G3480" s="1134"/>
      <c r="H3480" s="1134"/>
      <c r="I3480" s="1134"/>
      <c r="J3480" s="1134"/>
      <c r="K3480" s="1134"/>
      <c r="L3480" s="1134"/>
      <c r="M3480" s="485"/>
      <c r="N3480" s="90"/>
      <c r="X3480" s="501" t="b">
        <f t="shared" si="272"/>
        <v>1</v>
      </c>
    </row>
    <row r="3481" outlineLevel="2" spans="2:24">
      <c r="B3481" s="421" t="s">
        <v>3812</v>
      </c>
      <c r="C3481" s="429" t="str">
        <f t="shared" si="275"/>
        <v>石嘴山市深阳蓝光市政工程有限公司</v>
      </c>
      <c r="D3481" s="423" t="s">
        <v>3916</v>
      </c>
      <c r="E3481" s="1134"/>
      <c r="F3481" s="1134"/>
      <c r="G3481" s="1134"/>
      <c r="H3481" s="1134"/>
      <c r="I3481" s="1134"/>
      <c r="J3481" s="1134"/>
      <c r="K3481" s="1134"/>
      <c r="L3481" s="1134"/>
      <c r="M3481" s="485"/>
      <c r="N3481" s="90"/>
      <c r="X3481" s="501" t="b">
        <f t="shared" si="272"/>
        <v>1</v>
      </c>
    </row>
    <row r="3482" outlineLevel="2" spans="2:24">
      <c r="B3482" s="421" t="s">
        <v>3812</v>
      </c>
      <c r="C3482" s="429" t="str">
        <f t="shared" si="275"/>
        <v>石嘴山市深阳蓝光市政工程有限公司</v>
      </c>
      <c r="D3482" s="423" t="s">
        <v>3916</v>
      </c>
      <c r="E3482" s="1134"/>
      <c r="F3482" s="1134"/>
      <c r="G3482" s="1134"/>
      <c r="H3482" s="1134"/>
      <c r="I3482" s="1134"/>
      <c r="J3482" s="1134"/>
      <c r="K3482" s="1134"/>
      <c r="L3482" s="1134"/>
      <c r="M3482" s="485"/>
      <c r="N3482" s="90"/>
      <c r="X3482" s="501" t="b">
        <f t="shared" si="272"/>
        <v>1</v>
      </c>
    </row>
    <row r="3483" outlineLevel="2" spans="2:24">
      <c r="B3483" s="421" t="s">
        <v>3812</v>
      </c>
      <c r="C3483" s="429" t="str">
        <f t="shared" si="275"/>
        <v>石嘴山市深阳蓝光市政工程有限公司</v>
      </c>
      <c r="D3483" s="423" t="s">
        <v>3916</v>
      </c>
      <c r="E3483" s="1134"/>
      <c r="F3483" s="1134"/>
      <c r="G3483" s="1134"/>
      <c r="H3483" s="1134"/>
      <c r="I3483" s="1134"/>
      <c r="J3483" s="1134"/>
      <c r="K3483" s="1134"/>
      <c r="L3483" s="1134"/>
      <c r="M3483" s="485"/>
      <c r="N3483" s="90"/>
      <c r="X3483" s="501" t="b">
        <f t="shared" si="272"/>
        <v>1</v>
      </c>
    </row>
    <row r="3484" outlineLevel="2" spans="2:24">
      <c r="B3484" s="421" t="s">
        <v>3812</v>
      </c>
      <c r="C3484" s="429" t="str">
        <f t="shared" si="275"/>
        <v>石嘴山市深阳蓝光市政工程有限公司</v>
      </c>
      <c r="D3484" s="423" t="s">
        <v>3916</v>
      </c>
      <c r="E3484" s="755"/>
      <c r="F3484" s="1165"/>
      <c r="G3484" s="1165"/>
      <c r="H3484" s="1165"/>
      <c r="I3484" s="1165"/>
      <c r="J3484" s="1165"/>
      <c r="K3484" s="1165"/>
      <c r="L3484" s="1165"/>
      <c r="M3484" s="485"/>
      <c r="N3484" s="90"/>
      <c r="X3484" s="501" t="b">
        <f t="shared" si="272"/>
        <v>1</v>
      </c>
    </row>
    <row r="3485" outlineLevel="2" spans="1:24">
      <c r="A3485" s="85" t="s">
        <v>3919</v>
      </c>
      <c r="B3485" s="421" t="s">
        <v>3812</v>
      </c>
      <c r="C3485" s="429" t="str">
        <f t="shared" si="275"/>
        <v>石嘴山市深阳蓝光市政工程有限公司</v>
      </c>
      <c r="E3485" s="748" t="s">
        <v>3920</v>
      </c>
      <c r="F3485" s="485"/>
      <c r="G3485" s="485"/>
      <c r="H3485" s="485"/>
      <c r="I3485" s="485"/>
      <c r="J3485" s="485"/>
      <c r="K3485" s="485"/>
      <c r="L3485" s="485"/>
      <c r="M3485" s="485"/>
      <c r="N3485" s="90"/>
      <c r="X3485" s="501" t="b">
        <f t="shared" si="272"/>
        <v>1</v>
      </c>
    </row>
    <row r="3486" outlineLevel="2" spans="1:24">
      <c r="A3486" s="85" t="s">
        <v>3921</v>
      </c>
      <c r="B3486" s="421" t="s">
        <v>3812</v>
      </c>
      <c r="C3486" s="429" t="str">
        <f t="shared" si="275"/>
        <v>石嘴山市深阳蓝光市政工程有限公司</v>
      </c>
      <c r="D3486" s="423" t="s">
        <v>3921</v>
      </c>
      <c r="E3486" s="748" t="s">
        <v>3922</v>
      </c>
      <c r="F3486" s="485"/>
      <c r="G3486" s="485"/>
      <c r="H3486" s="485"/>
      <c r="I3486" s="485"/>
      <c r="J3486" s="485"/>
      <c r="K3486" s="485"/>
      <c r="L3486" s="485"/>
      <c r="M3486" s="485"/>
      <c r="N3486" s="90"/>
      <c r="X3486" s="501" t="b">
        <f t="shared" si="272"/>
        <v>1</v>
      </c>
    </row>
    <row r="3487" outlineLevel="2" spans="3:14">
      <c r="C3487" s="479"/>
      <c r="E3487" s="1167" t="s">
        <v>3923</v>
      </c>
      <c r="F3487" s="485"/>
      <c r="G3487" s="485"/>
      <c r="H3487" s="485"/>
      <c r="I3487" s="485"/>
      <c r="J3487" s="485"/>
      <c r="K3487" s="485"/>
      <c r="L3487" s="485"/>
      <c r="M3487" s="485"/>
      <c r="N3487" s="90"/>
    </row>
    <row r="3488" outlineLevel="2" spans="1:24">
      <c r="A3488" s="85" t="s">
        <v>2477</v>
      </c>
      <c r="B3488" s="421" t="s">
        <v>3812</v>
      </c>
      <c r="C3488" s="429" t="str">
        <f>$G$1</f>
        <v>石嘴山市深阳蓝光市政工程有限公司</v>
      </c>
      <c r="D3488" s="423" t="s">
        <v>3921</v>
      </c>
      <c r="E3488" s="581" t="s">
        <v>2477</v>
      </c>
      <c r="F3488" s="581" t="s">
        <v>505</v>
      </c>
      <c r="G3488" s="613" t="s">
        <v>315</v>
      </c>
      <c r="H3488" s="613" t="s">
        <v>1593</v>
      </c>
      <c r="I3488" s="613" t="s">
        <v>1579</v>
      </c>
      <c r="J3488" s="613" t="s">
        <v>1591</v>
      </c>
      <c r="K3488" s="485"/>
      <c r="L3488" s="485"/>
      <c r="M3488" s="485"/>
      <c r="N3488" s="90"/>
      <c r="X3488" s="501" t="b">
        <f t="shared" si="272"/>
        <v>1</v>
      </c>
    </row>
    <row r="3489" outlineLevel="2" spans="2:24">
      <c r="B3489" s="421" t="s">
        <v>3812</v>
      </c>
      <c r="C3489" s="429" t="str">
        <f>$G$1</f>
        <v>石嘴山市深阳蓝光市政工程有限公司</v>
      </c>
      <c r="D3489" s="423" t="s">
        <v>3921</v>
      </c>
      <c r="E3489" s="999"/>
      <c r="F3489" s="999"/>
      <c r="G3489" s="999"/>
      <c r="H3489" s="999"/>
      <c r="I3489" s="999"/>
      <c r="J3489" s="999"/>
      <c r="K3489" s="485"/>
      <c r="L3489" s="485"/>
      <c r="M3489" s="485"/>
      <c r="N3489" s="90"/>
      <c r="X3489" s="501" t="b">
        <f t="shared" si="272"/>
        <v>1</v>
      </c>
    </row>
    <row r="3490" outlineLevel="2" spans="3:14">
      <c r="C3490" s="479"/>
      <c r="E3490" s="999"/>
      <c r="F3490" s="999"/>
      <c r="G3490" s="999"/>
      <c r="H3490" s="999"/>
      <c r="I3490" s="999"/>
      <c r="J3490" s="999"/>
      <c r="K3490" s="485"/>
      <c r="L3490" s="485"/>
      <c r="M3490" s="485"/>
      <c r="N3490" s="90"/>
    </row>
    <row r="3491" outlineLevel="2" spans="3:14">
      <c r="C3491" s="479"/>
      <c r="E3491" s="999"/>
      <c r="F3491" s="999"/>
      <c r="G3491" s="999"/>
      <c r="H3491" s="999"/>
      <c r="I3491" s="999"/>
      <c r="J3491" s="999"/>
      <c r="K3491" s="485"/>
      <c r="L3491" s="485"/>
      <c r="M3491" s="485"/>
      <c r="N3491" s="90"/>
    </row>
    <row r="3492" outlineLevel="2" spans="3:14">
      <c r="C3492" s="479"/>
      <c r="E3492" s="999"/>
      <c r="F3492" s="999"/>
      <c r="G3492" s="999"/>
      <c r="H3492" s="999"/>
      <c r="I3492" s="999"/>
      <c r="J3492" s="999"/>
      <c r="K3492" s="485"/>
      <c r="L3492" s="485"/>
      <c r="M3492" s="485"/>
      <c r="N3492" s="90"/>
    </row>
    <row r="3493" outlineLevel="2" spans="3:14">
      <c r="C3493" s="479"/>
      <c r="E3493" s="999"/>
      <c r="F3493" s="999"/>
      <c r="G3493" s="999"/>
      <c r="H3493" s="999"/>
      <c r="I3493" s="999"/>
      <c r="J3493" s="999"/>
      <c r="K3493" s="485"/>
      <c r="L3493" s="485"/>
      <c r="M3493" s="485"/>
      <c r="N3493" s="90"/>
    </row>
    <row r="3494" outlineLevel="2" spans="3:14">
      <c r="C3494" s="479"/>
      <c r="E3494" s="999"/>
      <c r="F3494" s="999"/>
      <c r="G3494" s="999"/>
      <c r="H3494" s="999"/>
      <c r="I3494" s="999"/>
      <c r="J3494" s="999"/>
      <c r="K3494" s="485"/>
      <c r="L3494" s="485"/>
      <c r="M3494" s="485"/>
      <c r="N3494" s="90"/>
    </row>
    <row r="3495" outlineLevel="2" spans="3:14">
      <c r="C3495" s="479"/>
      <c r="E3495" s="999"/>
      <c r="F3495" s="999"/>
      <c r="G3495" s="999"/>
      <c r="H3495" s="999"/>
      <c r="I3495" s="999"/>
      <c r="J3495" s="999"/>
      <c r="K3495" s="485"/>
      <c r="L3495" s="485"/>
      <c r="M3495" s="485"/>
      <c r="N3495" s="90"/>
    </row>
    <row r="3496" outlineLevel="2" spans="3:14">
      <c r="C3496" s="479"/>
      <c r="E3496" s="999"/>
      <c r="F3496" s="999"/>
      <c r="G3496" s="999"/>
      <c r="H3496" s="999"/>
      <c r="I3496" s="999"/>
      <c r="J3496" s="999"/>
      <c r="K3496" s="485"/>
      <c r="L3496" s="485"/>
      <c r="M3496" s="485"/>
      <c r="N3496" s="90"/>
    </row>
    <row r="3497" outlineLevel="2" spans="3:14">
      <c r="C3497" s="479"/>
      <c r="E3497" s="999"/>
      <c r="F3497" s="999"/>
      <c r="G3497" s="999"/>
      <c r="H3497" s="999"/>
      <c r="I3497" s="999"/>
      <c r="J3497" s="999"/>
      <c r="K3497" s="485"/>
      <c r="L3497" s="485"/>
      <c r="M3497" s="485"/>
      <c r="N3497" s="90"/>
    </row>
    <row r="3498" outlineLevel="2" spans="3:14">
      <c r="C3498" s="479"/>
      <c r="E3498" s="999"/>
      <c r="F3498" s="999"/>
      <c r="G3498" s="999"/>
      <c r="H3498" s="999"/>
      <c r="I3498" s="999"/>
      <c r="J3498" s="999"/>
      <c r="K3498" s="485"/>
      <c r="L3498" s="485"/>
      <c r="M3498" s="485"/>
      <c r="N3498" s="90"/>
    </row>
    <row r="3499" outlineLevel="2" spans="3:14">
      <c r="C3499" s="479"/>
      <c r="E3499" s="999"/>
      <c r="F3499" s="999"/>
      <c r="G3499" s="999"/>
      <c r="H3499" s="999"/>
      <c r="I3499" s="999"/>
      <c r="J3499" s="999"/>
      <c r="K3499" s="485"/>
      <c r="L3499" s="485"/>
      <c r="M3499" s="485"/>
      <c r="N3499" s="90"/>
    </row>
    <row r="3500" outlineLevel="2" spans="3:14">
      <c r="C3500" s="479"/>
      <c r="E3500" s="999"/>
      <c r="F3500" s="999"/>
      <c r="G3500" s="999"/>
      <c r="H3500" s="999"/>
      <c r="I3500" s="999"/>
      <c r="J3500" s="999"/>
      <c r="K3500" s="485"/>
      <c r="L3500" s="485"/>
      <c r="M3500" s="485"/>
      <c r="N3500" s="90"/>
    </row>
    <row r="3501" outlineLevel="2" spans="3:14">
      <c r="C3501" s="479"/>
      <c r="E3501" s="999"/>
      <c r="F3501" s="999"/>
      <c r="G3501" s="999"/>
      <c r="H3501" s="999"/>
      <c r="I3501" s="999"/>
      <c r="J3501" s="999"/>
      <c r="K3501" s="485"/>
      <c r="L3501" s="485"/>
      <c r="M3501" s="485"/>
      <c r="N3501" s="90"/>
    </row>
    <row r="3502" outlineLevel="2" spans="2:24">
      <c r="B3502" s="421" t="s">
        <v>3812</v>
      </c>
      <c r="C3502" s="429" t="str">
        <f t="shared" ref="C3502:C3514" si="276">$G$1</f>
        <v>石嘴山市深阳蓝光市政工程有限公司</v>
      </c>
      <c r="D3502" s="423" t="s">
        <v>3921</v>
      </c>
      <c r="E3502" s="999"/>
      <c r="F3502" s="999"/>
      <c r="G3502" s="999"/>
      <c r="H3502" s="999"/>
      <c r="I3502" s="999"/>
      <c r="J3502" s="999"/>
      <c r="K3502" s="485"/>
      <c r="L3502" s="485"/>
      <c r="M3502" s="485"/>
      <c r="N3502" s="90"/>
      <c r="X3502" s="501" t="b">
        <f t="shared" si="272"/>
        <v>1</v>
      </c>
    </row>
    <row r="3503" outlineLevel="2" spans="2:24">
      <c r="B3503" s="421" t="s">
        <v>3812</v>
      </c>
      <c r="C3503" s="429" t="str">
        <f t="shared" si="276"/>
        <v>石嘴山市深阳蓝光市政工程有限公司</v>
      </c>
      <c r="D3503" s="423" t="s">
        <v>3921</v>
      </c>
      <c r="E3503" s="999"/>
      <c r="F3503" s="999"/>
      <c r="G3503" s="999"/>
      <c r="H3503" s="999"/>
      <c r="I3503" s="999"/>
      <c r="J3503" s="999"/>
      <c r="K3503" s="485"/>
      <c r="L3503" s="485"/>
      <c r="M3503" s="485"/>
      <c r="N3503" s="90"/>
      <c r="X3503" s="501" t="b">
        <f t="shared" si="272"/>
        <v>1</v>
      </c>
    </row>
    <row r="3504" outlineLevel="2" spans="2:24">
      <c r="B3504" s="421" t="s">
        <v>3812</v>
      </c>
      <c r="C3504" s="429" t="str">
        <f t="shared" si="276"/>
        <v>石嘴山市深阳蓝光市政工程有限公司</v>
      </c>
      <c r="D3504" s="423" t="s">
        <v>3921</v>
      </c>
      <c r="E3504" s="999"/>
      <c r="F3504" s="999"/>
      <c r="G3504" s="999"/>
      <c r="H3504" s="999"/>
      <c r="I3504" s="999"/>
      <c r="J3504" s="999"/>
      <c r="K3504" s="485"/>
      <c r="L3504" s="485"/>
      <c r="M3504" s="485"/>
      <c r="N3504" s="90"/>
      <c r="X3504" s="501" t="b">
        <f t="shared" si="272"/>
        <v>1</v>
      </c>
    </row>
    <row r="3505" outlineLevel="2" spans="2:24">
      <c r="B3505" s="421" t="s">
        <v>3812</v>
      </c>
      <c r="C3505" s="429" t="str">
        <f t="shared" si="276"/>
        <v>石嘴山市深阳蓝光市政工程有限公司</v>
      </c>
      <c r="D3505" s="423" t="s">
        <v>3921</v>
      </c>
      <c r="E3505" s="755"/>
      <c r="F3505" s="1165"/>
      <c r="G3505" s="1165"/>
      <c r="H3505" s="1165"/>
      <c r="I3505" s="1165"/>
      <c r="J3505" s="1165"/>
      <c r="K3505" s="1485"/>
      <c r="L3505" s="1485"/>
      <c r="M3505" s="1485"/>
      <c r="N3505" s="90"/>
      <c r="X3505" s="501" t="b">
        <f t="shared" si="272"/>
        <v>1</v>
      </c>
    </row>
    <row r="3506" outlineLevel="2" spans="2:24">
      <c r="B3506" s="421" t="s">
        <v>3812</v>
      </c>
      <c r="C3506" s="429" t="str">
        <f t="shared" si="276"/>
        <v>石嘴山市深阳蓝光市政工程有限公司</v>
      </c>
      <c r="D3506" s="423" t="s">
        <v>3921</v>
      </c>
      <c r="E3506" s="755"/>
      <c r="F3506" s="1165"/>
      <c r="G3506" s="1165"/>
      <c r="H3506" s="1165"/>
      <c r="I3506" s="1165"/>
      <c r="J3506" s="1165"/>
      <c r="K3506" s="1485"/>
      <c r="L3506" s="1485"/>
      <c r="M3506" s="1485"/>
      <c r="N3506" s="90"/>
      <c r="X3506" s="501" t="b">
        <f t="shared" si="272"/>
        <v>1</v>
      </c>
    </row>
    <row r="3507" outlineLevel="2" spans="2:24">
      <c r="B3507" s="421" t="s">
        <v>3812</v>
      </c>
      <c r="C3507" s="429" t="str">
        <f t="shared" si="276"/>
        <v>石嘴山市深阳蓝光市政工程有限公司</v>
      </c>
      <c r="D3507" s="423" t="s">
        <v>3921</v>
      </c>
      <c r="E3507" s="755"/>
      <c r="F3507" s="1165"/>
      <c r="G3507" s="1165"/>
      <c r="H3507" s="1165"/>
      <c r="I3507" s="1165"/>
      <c r="J3507" s="1165"/>
      <c r="K3507" s="1485"/>
      <c r="L3507" s="1485"/>
      <c r="M3507" s="1485"/>
      <c r="N3507" s="90"/>
      <c r="X3507" s="501" t="b">
        <f t="shared" si="272"/>
        <v>1</v>
      </c>
    </row>
    <row r="3508" outlineLevel="2" spans="2:24">
      <c r="B3508" s="421" t="s">
        <v>3812</v>
      </c>
      <c r="C3508" s="429" t="str">
        <f t="shared" si="276"/>
        <v>石嘴山市深阳蓝光市政工程有限公司</v>
      </c>
      <c r="D3508" s="423" t="s">
        <v>3921</v>
      </c>
      <c r="E3508" s="755"/>
      <c r="F3508" s="1165"/>
      <c r="G3508" s="1165"/>
      <c r="H3508" s="1165"/>
      <c r="I3508" s="1165"/>
      <c r="J3508" s="1165"/>
      <c r="K3508" s="1485"/>
      <c r="L3508" s="1485"/>
      <c r="M3508" s="1485"/>
      <c r="N3508" s="90"/>
      <c r="X3508" s="501" t="b">
        <f t="shared" si="272"/>
        <v>1</v>
      </c>
    </row>
    <row r="3509" outlineLevel="2" spans="2:24">
      <c r="B3509" s="421" t="s">
        <v>3812</v>
      </c>
      <c r="C3509" s="429" t="str">
        <f t="shared" si="276"/>
        <v>石嘴山市深阳蓝光市政工程有限公司</v>
      </c>
      <c r="D3509" s="423" t="s">
        <v>3921</v>
      </c>
      <c r="E3509" s="755"/>
      <c r="F3509" s="1165"/>
      <c r="G3509" s="1165"/>
      <c r="H3509" s="1165"/>
      <c r="I3509" s="1165"/>
      <c r="J3509" s="1165"/>
      <c r="K3509" s="1485"/>
      <c r="L3509" s="1485"/>
      <c r="M3509" s="1485"/>
      <c r="N3509" s="90"/>
      <c r="X3509" s="501" t="b">
        <f t="shared" si="272"/>
        <v>1</v>
      </c>
    </row>
    <row r="3510" outlineLevel="2" spans="2:24">
      <c r="B3510" s="421" t="s">
        <v>3812</v>
      </c>
      <c r="C3510" s="429" t="str">
        <f t="shared" si="276"/>
        <v>石嘴山市深阳蓝光市政工程有限公司</v>
      </c>
      <c r="D3510" s="423" t="s">
        <v>3921</v>
      </c>
      <c r="E3510" s="755"/>
      <c r="F3510" s="1165"/>
      <c r="G3510" s="1165"/>
      <c r="H3510" s="1165"/>
      <c r="I3510" s="1165"/>
      <c r="J3510" s="1165"/>
      <c r="K3510" s="1485"/>
      <c r="L3510" s="1485"/>
      <c r="M3510" s="1485"/>
      <c r="N3510" s="90"/>
      <c r="X3510" s="501" t="b">
        <f t="shared" si="272"/>
        <v>1</v>
      </c>
    </row>
    <row r="3511" outlineLevel="2" spans="2:24">
      <c r="B3511" s="421" t="s">
        <v>3812</v>
      </c>
      <c r="C3511" s="429" t="str">
        <f t="shared" si="276"/>
        <v>石嘴山市深阳蓝光市政工程有限公司</v>
      </c>
      <c r="D3511" s="423" t="s">
        <v>3921</v>
      </c>
      <c r="E3511" s="755"/>
      <c r="F3511" s="1165"/>
      <c r="G3511" s="1165"/>
      <c r="H3511" s="1165"/>
      <c r="I3511" s="1165"/>
      <c r="J3511" s="1165"/>
      <c r="K3511" s="1485"/>
      <c r="L3511" s="1485"/>
      <c r="M3511" s="1485"/>
      <c r="N3511" s="90"/>
      <c r="X3511" s="501" t="b">
        <f t="shared" si="272"/>
        <v>1</v>
      </c>
    </row>
    <row r="3512" outlineLevel="2" spans="2:24">
      <c r="B3512" s="421" t="s">
        <v>3812</v>
      </c>
      <c r="C3512" s="429" t="str">
        <f t="shared" si="276"/>
        <v>石嘴山市深阳蓝光市政工程有限公司</v>
      </c>
      <c r="D3512" s="423" t="s">
        <v>3921</v>
      </c>
      <c r="E3512" s="1506" t="s">
        <v>3924</v>
      </c>
      <c r="F3512" s="1485"/>
      <c r="G3512" s="1485"/>
      <c r="H3512" s="1485"/>
      <c r="I3512" s="1485"/>
      <c r="J3512" s="1485"/>
      <c r="K3512" s="1485"/>
      <c r="L3512" s="1485"/>
      <c r="M3512" s="1485"/>
      <c r="N3512" s="90"/>
      <c r="X3512" s="501" t="b">
        <f t="shared" si="272"/>
        <v>0</v>
      </c>
    </row>
    <row r="3513" outlineLevel="2" spans="1:24">
      <c r="A3513" s="85" t="s">
        <v>2477</v>
      </c>
      <c r="B3513" s="421" t="s">
        <v>3812</v>
      </c>
      <c r="C3513" s="429" t="str">
        <f t="shared" si="276"/>
        <v>石嘴山市深阳蓝光市政工程有限公司</v>
      </c>
      <c r="D3513" s="423" t="s">
        <v>3921</v>
      </c>
      <c r="E3513" s="581" t="s">
        <v>2477</v>
      </c>
      <c r="F3513" s="581" t="s">
        <v>505</v>
      </c>
      <c r="G3513" s="581" t="s">
        <v>2016</v>
      </c>
      <c r="H3513" s="581" t="s">
        <v>2017</v>
      </c>
      <c r="I3513" s="485"/>
      <c r="J3513" s="485"/>
      <c r="K3513" s="485"/>
      <c r="L3513" s="485"/>
      <c r="M3513" s="485"/>
      <c r="N3513" s="90"/>
      <c r="X3513" s="501" t="b">
        <f t="shared" si="272"/>
        <v>1</v>
      </c>
    </row>
    <row r="3514" outlineLevel="2" spans="2:24">
      <c r="B3514" s="421" t="s">
        <v>3812</v>
      </c>
      <c r="C3514" s="429" t="str">
        <f t="shared" si="276"/>
        <v>石嘴山市深阳蓝光市政工程有限公司</v>
      </c>
      <c r="D3514" s="423" t="s">
        <v>3921</v>
      </c>
      <c r="E3514" s="999"/>
      <c r="F3514" s="999"/>
      <c r="G3514" s="999"/>
      <c r="H3514" s="999"/>
      <c r="I3514" s="485"/>
      <c r="J3514" s="485"/>
      <c r="K3514" s="485"/>
      <c r="L3514" s="485"/>
      <c r="M3514" s="485"/>
      <c r="N3514" s="90"/>
      <c r="X3514" s="501" t="b">
        <f t="shared" si="272"/>
        <v>1</v>
      </c>
    </row>
    <row r="3515" outlineLevel="2" spans="3:14">
      <c r="C3515" s="479"/>
      <c r="E3515" s="999"/>
      <c r="F3515" s="999"/>
      <c r="G3515" s="999"/>
      <c r="H3515" s="999"/>
      <c r="I3515" s="485"/>
      <c r="J3515" s="485"/>
      <c r="K3515" s="485"/>
      <c r="L3515" s="485"/>
      <c r="M3515" s="485"/>
      <c r="N3515" s="90"/>
    </row>
    <row r="3516" outlineLevel="2" spans="3:14">
      <c r="C3516" s="479"/>
      <c r="E3516" s="999"/>
      <c r="F3516" s="999"/>
      <c r="G3516" s="999"/>
      <c r="H3516" s="999"/>
      <c r="I3516" s="485"/>
      <c r="J3516" s="485"/>
      <c r="K3516" s="485"/>
      <c r="L3516" s="485"/>
      <c r="M3516" s="485"/>
      <c r="N3516" s="90"/>
    </row>
    <row r="3517" outlineLevel="2" spans="3:14">
      <c r="C3517" s="479"/>
      <c r="E3517" s="999"/>
      <c r="F3517" s="999"/>
      <c r="G3517" s="999"/>
      <c r="H3517" s="999"/>
      <c r="I3517" s="485"/>
      <c r="J3517" s="485"/>
      <c r="K3517" s="485"/>
      <c r="L3517" s="485"/>
      <c r="M3517" s="485"/>
      <c r="N3517" s="90"/>
    </row>
    <row r="3518" outlineLevel="2" spans="3:14">
      <c r="C3518" s="479"/>
      <c r="E3518" s="999"/>
      <c r="F3518" s="999"/>
      <c r="G3518" s="999"/>
      <c r="H3518" s="999"/>
      <c r="I3518" s="485"/>
      <c r="J3518" s="485"/>
      <c r="K3518" s="485"/>
      <c r="L3518" s="485"/>
      <c r="M3518" s="485"/>
      <c r="N3518" s="90"/>
    </row>
    <row r="3519" outlineLevel="2" spans="3:14">
      <c r="C3519" s="479"/>
      <c r="E3519" s="999"/>
      <c r="F3519" s="999"/>
      <c r="G3519" s="999"/>
      <c r="H3519" s="999"/>
      <c r="I3519" s="485"/>
      <c r="J3519" s="485"/>
      <c r="K3519" s="485"/>
      <c r="L3519" s="485"/>
      <c r="M3519" s="485"/>
      <c r="N3519" s="90"/>
    </row>
    <row r="3520" outlineLevel="2" spans="3:14">
      <c r="C3520" s="479"/>
      <c r="E3520" s="999"/>
      <c r="F3520" s="999"/>
      <c r="G3520" s="999"/>
      <c r="H3520" s="999"/>
      <c r="I3520" s="485"/>
      <c r="J3520" s="485"/>
      <c r="K3520" s="485"/>
      <c r="L3520" s="485"/>
      <c r="M3520" s="485"/>
      <c r="N3520" s="90"/>
    </row>
    <row r="3521" outlineLevel="2" spans="3:14">
      <c r="C3521" s="479"/>
      <c r="E3521" s="999"/>
      <c r="F3521" s="999"/>
      <c r="G3521" s="999"/>
      <c r="H3521" s="999"/>
      <c r="I3521" s="485"/>
      <c r="J3521" s="485"/>
      <c r="K3521" s="485"/>
      <c r="L3521" s="485"/>
      <c r="M3521" s="485"/>
      <c r="N3521" s="90"/>
    </row>
    <row r="3522" outlineLevel="2" spans="3:14">
      <c r="C3522" s="479"/>
      <c r="E3522" s="999"/>
      <c r="F3522" s="999"/>
      <c r="G3522" s="999"/>
      <c r="H3522" s="999"/>
      <c r="I3522" s="485"/>
      <c r="J3522" s="485"/>
      <c r="K3522" s="485"/>
      <c r="L3522" s="485"/>
      <c r="M3522" s="485"/>
      <c r="N3522" s="90"/>
    </row>
    <row r="3523" outlineLevel="2" spans="3:14">
      <c r="C3523" s="479"/>
      <c r="E3523" s="999"/>
      <c r="F3523" s="999"/>
      <c r="G3523" s="999"/>
      <c r="H3523" s="999"/>
      <c r="I3523" s="485"/>
      <c r="J3523" s="485"/>
      <c r="K3523" s="485"/>
      <c r="L3523" s="485"/>
      <c r="M3523" s="485"/>
      <c r="N3523" s="90"/>
    </row>
    <row r="3524" outlineLevel="2" spans="3:14">
      <c r="C3524" s="479"/>
      <c r="E3524" s="999"/>
      <c r="F3524" s="999"/>
      <c r="G3524" s="999"/>
      <c r="H3524" s="999"/>
      <c r="I3524" s="485"/>
      <c r="J3524" s="485"/>
      <c r="K3524" s="485"/>
      <c r="L3524" s="485"/>
      <c r="M3524" s="485"/>
      <c r="N3524" s="90"/>
    </row>
    <row r="3525" outlineLevel="2" spans="3:14">
      <c r="C3525" s="479"/>
      <c r="E3525" s="999"/>
      <c r="F3525" s="999"/>
      <c r="G3525" s="999"/>
      <c r="H3525" s="999"/>
      <c r="I3525" s="485"/>
      <c r="J3525" s="485"/>
      <c r="K3525" s="485"/>
      <c r="L3525" s="485"/>
      <c r="M3525" s="485"/>
      <c r="N3525" s="90"/>
    </row>
    <row r="3526" outlineLevel="2" spans="3:14">
      <c r="C3526" s="479"/>
      <c r="E3526" s="999"/>
      <c r="F3526" s="999"/>
      <c r="G3526" s="999"/>
      <c r="H3526" s="999"/>
      <c r="I3526" s="485"/>
      <c r="J3526" s="485"/>
      <c r="K3526" s="485"/>
      <c r="L3526" s="485"/>
      <c r="M3526" s="485"/>
      <c r="N3526" s="90"/>
    </row>
    <row r="3527" outlineLevel="2" spans="3:14">
      <c r="C3527" s="479"/>
      <c r="E3527" s="999"/>
      <c r="F3527" s="999"/>
      <c r="G3527" s="999"/>
      <c r="H3527" s="999"/>
      <c r="I3527" s="485"/>
      <c r="J3527" s="485"/>
      <c r="K3527" s="485"/>
      <c r="L3527" s="485"/>
      <c r="M3527" s="485"/>
      <c r="N3527" s="90"/>
    </row>
    <row r="3528" outlineLevel="2" spans="3:14">
      <c r="C3528" s="479"/>
      <c r="E3528" s="999"/>
      <c r="F3528" s="999"/>
      <c r="G3528" s="999"/>
      <c r="H3528" s="999"/>
      <c r="I3528" s="485"/>
      <c r="J3528" s="485"/>
      <c r="K3528" s="485"/>
      <c r="L3528" s="485"/>
      <c r="M3528" s="485"/>
      <c r="N3528" s="90"/>
    </row>
    <row r="3529" outlineLevel="2" spans="3:14">
      <c r="C3529" s="479"/>
      <c r="E3529" s="999"/>
      <c r="F3529" s="999"/>
      <c r="G3529" s="999"/>
      <c r="H3529" s="999"/>
      <c r="I3529" s="485"/>
      <c r="J3529" s="485"/>
      <c r="K3529" s="485"/>
      <c r="L3529" s="485"/>
      <c r="M3529" s="485"/>
      <c r="N3529" s="90"/>
    </row>
    <row r="3530" outlineLevel="2" spans="3:14">
      <c r="C3530" s="479"/>
      <c r="E3530" s="999"/>
      <c r="F3530" s="999"/>
      <c r="G3530" s="999"/>
      <c r="H3530" s="999"/>
      <c r="I3530" s="485"/>
      <c r="J3530" s="485"/>
      <c r="K3530" s="485"/>
      <c r="L3530" s="485"/>
      <c r="M3530" s="485"/>
      <c r="N3530" s="90"/>
    </row>
    <row r="3531" outlineLevel="2" spans="3:14">
      <c r="C3531" s="479"/>
      <c r="E3531" s="999"/>
      <c r="F3531" s="999"/>
      <c r="G3531" s="999"/>
      <c r="H3531" s="999"/>
      <c r="I3531" s="485"/>
      <c r="J3531" s="485"/>
      <c r="K3531" s="485"/>
      <c r="L3531" s="485"/>
      <c r="M3531" s="485"/>
      <c r="N3531" s="90"/>
    </row>
    <row r="3532" outlineLevel="2" spans="3:14">
      <c r="C3532" s="479"/>
      <c r="E3532" s="999"/>
      <c r="F3532" s="999"/>
      <c r="G3532" s="999"/>
      <c r="H3532" s="999"/>
      <c r="I3532" s="485"/>
      <c r="J3532" s="485"/>
      <c r="K3532" s="485"/>
      <c r="L3532" s="485"/>
      <c r="M3532" s="485"/>
      <c r="N3532" s="90"/>
    </row>
    <row r="3533" outlineLevel="2" spans="2:24">
      <c r="B3533" s="421" t="s">
        <v>3812</v>
      </c>
      <c r="C3533" s="429" t="str">
        <f t="shared" ref="C3533:C3596" si="277">$G$1</f>
        <v>石嘴山市深阳蓝光市政工程有限公司</v>
      </c>
      <c r="D3533" s="423" t="s">
        <v>3921</v>
      </c>
      <c r="E3533" s="999"/>
      <c r="F3533" s="999"/>
      <c r="G3533" s="999"/>
      <c r="H3533" s="999"/>
      <c r="I3533" s="485"/>
      <c r="J3533" s="485"/>
      <c r="K3533" s="485"/>
      <c r="L3533" s="485"/>
      <c r="M3533" s="485"/>
      <c r="N3533" s="90"/>
      <c r="X3533" s="501" t="b">
        <f t="shared" si="272"/>
        <v>1</v>
      </c>
    </row>
    <row r="3534" outlineLevel="2" spans="2:24">
      <c r="B3534" s="421" t="s">
        <v>3812</v>
      </c>
      <c r="C3534" s="429" t="str">
        <f t="shared" si="277"/>
        <v>石嘴山市深阳蓝光市政工程有限公司</v>
      </c>
      <c r="D3534" s="423" t="s">
        <v>3921</v>
      </c>
      <c r="E3534" s="999"/>
      <c r="F3534" s="999"/>
      <c r="G3534" s="999"/>
      <c r="H3534" s="999"/>
      <c r="I3534" s="485"/>
      <c r="J3534" s="485"/>
      <c r="K3534" s="485"/>
      <c r="L3534" s="485"/>
      <c r="M3534" s="485"/>
      <c r="N3534" s="90"/>
      <c r="X3534" s="501" t="b">
        <f t="shared" si="272"/>
        <v>1</v>
      </c>
    </row>
    <row r="3535" outlineLevel="2" spans="2:24">
      <c r="B3535" s="421" t="s">
        <v>3812</v>
      </c>
      <c r="C3535" s="429" t="str">
        <f t="shared" si="277"/>
        <v>石嘴山市深阳蓝光市政工程有限公司</v>
      </c>
      <c r="D3535" s="423" t="s">
        <v>3921</v>
      </c>
      <c r="E3535" s="999"/>
      <c r="F3535" s="999"/>
      <c r="G3535" s="999"/>
      <c r="H3535" s="999"/>
      <c r="I3535" s="485"/>
      <c r="J3535" s="485"/>
      <c r="K3535" s="485"/>
      <c r="L3535" s="485"/>
      <c r="M3535" s="485"/>
      <c r="N3535" s="90"/>
      <c r="X3535" s="501" t="b">
        <f t="shared" si="272"/>
        <v>1</v>
      </c>
    </row>
    <row r="3536" outlineLevel="2" spans="2:24">
      <c r="B3536" s="421" t="s">
        <v>3812</v>
      </c>
      <c r="C3536" s="429" t="str">
        <f t="shared" si="277"/>
        <v>石嘴山市深阳蓝光市政工程有限公司</v>
      </c>
      <c r="D3536" s="423" t="s">
        <v>3921</v>
      </c>
      <c r="E3536" s="755"/>
      <c r="F3536" s="1165"/>
      <c r="G3536" s="1165"/>
      <c r="H3536" s="1165"/>
      <c r="I3536" s="1485"/>
      <c r="J3536" s="1485"/>
      <c r="K3536" s="1485"/>
      <c r="L3536" s="1485"/>
      <c r="M3536" s="1485"/>
      <c r="N3536" s="90"/>
      <c r="X3536" s="501" t="b">
        <f t="shared" si="272"/>
        <v>1</v>
      </c>
    </row>
    <row r="3537" outlineLevel="2" spans="2:24">
      <c r="B3537" s="421" t="s">
        <v>3812</v>
      </c>
      <c r="C3537" s="429" t="str">
        <f t="shared" si="277"/>
        <v>石嘴山市深阳蓝光市政工程有限公司</v>
      </c>
      <c r="D3537" s="423" t="s">
        <v>3921</v>
      </c>
      <c r="E3537" s="755"/>
      <c r="F3537" s="1165"/>
      <c r="G3537" s="1165"/>
      <c r="H3537" s="1165"/>
      <c r="I3537" s="1485"/>
      <c r="J3537" s="1485"/>
      <c r="K3537" s="1485"/>
      <c r="L3537" s="1485"/>
      <c r="M3537" s="1485"/>
      <c r="N3537" s="90"/>
      <c r="X3537" s="501" t="b">
        <f t="shared" si="272"/>
        <v>1</v>
      </c>
    </row>
    <row r="3538" outlineLevel="2" spans="2:24">
      <c r="B3538" s="421" t="s">
        <v>3812</v>
      </c>
      <c r="C3538" s="429" t="str">
        <f t="shared" si="277"/>
        <v>石嘴山市深阳蓝光市政工程有限公司</v>
      </c>
      <c r="D3538" s="423" t="s">
        <v>3921</v>
      </c>
      <c r="E3538" s="755"/>
      <c r="F3538" s="1165"/>
      <c r="G3538" s="1165"/>
      <c r="H3538" s="1165"/>
      <c r="I3538" s="1485"/>
      <c r="J3538" s="1485"/>
      <c r="K3538" s="1485"/>
      <c r="L3538" s="1485"/>
      <c r="M3538" s="1485"/>
      <c r="N3538" s="90"/>
      <c r="X3538" s="501" t="b">
        <f t="shared" si="272"/>
        <v>1</v>
      </c>
    </row>
    <row r="3539" outlineLevel="2" spans="2:24">
      <c r="B3539" s="421" t="s">
        <v>3812</v>
      </c>
      <c r="C3539" s="429" t="str">
        <f t="shared" si="277"/>
        <v>石嘴山市深阳蓝光市政工程有限公司</v>
      </c>
      <c r="D3539" s="423" t="s">
        <v>3921</v>
      </c>
      <c r="E3539" s="755"/>
      <c r="F3539" s="1165"/>
      <c r="G3539" s="1165"/>
      <c r="H3539" s="1165"/>
      <c r="I3539" s="1485"/>
      <c r="J3539" s="1485"/>
      <c r="K3539" s="1485"/>
      <c r="L3539" s="1485"/>
      <c r="M3539" s="1485"/>
      <c r="N3539" s="90"/>
      <c r="X3539" s="501" t="b">
        <f t="shared" si="272"/>
        <v>1</v>
      </c>
    </row>
    <row r="3540" outlineLevel="2" spans="2:24">
      <c r="B3540" s="421" t="s">
        <v>3812</v>
      </c>
      <c r="C3540" s="429" t="str">
        <f t="shared" si="277"/>
        <v>石嘴山市深阳蓝光市政工程有限公司</v>
      </c>
      <c r="D3540" s="423" t="s">
        <v>3921</v>
      </c>
      <c r="E3540" s="755"/>
      <c r="F3540" s="1165"/>
      <c r="G3540" s="1165"/>
      <c r="H3540" s="1165"/>
      <c r="I3540" s="1485"/>
      <c r="J3540" s="1485"/>
      <c r="K3540" s="1485"/>
      <c r="L3540" s="1485"/>
      <c r="M3540" s="1485"/>
      <c r="N3540" s="90"/>
      <c r="X3540" s="501" t="b">
        <f t="shared" si="272"/>
        <v>1</v>
      </c>
    </row>
    <row r="3541" outlineLevel="2" spans="2:24">
      <c r="B3541" s="421" t="s">
        <v>3812</v>
      </c>
      <c r="C3541" s="429" t="str">
        <f t="shared" si="277"/>
        <v>石嘴山市深阳蓝光市政工程有限公司</v>
      </c>
      <c r="D3541" s="423" t="s">
        <v>3921</v>
      </c>
      <c r="E3541" s="755"/>
      <c r="F3541" s="1165"/>
      <c r="G3541" s="1165"/>
      <c r="H3541" s="1165"/>
      <c r="I3541" s="1485"/>
      <c r="J3541" s="1485"/>
      <c r="K3541" s="1485"/>
      <c r="L3541" s="1485"/>
      <c r="M3541" s="1485"/>
      <c r="N3541" s="90"/>
      <c r="X3541" s="501" t="b">
        <f t="shared" si="272"/>
        <v>1</v>
      </c>
    </row>
    <row r="3542" outlineLevel="2" spans="2:24">
      <c r="B3542" s="421" t="s">
        <v>3812</v>
      </c>
      <c r="C3542" s="429" t="str">
        <f t="shared" si="277"/>
        <v>石嘴山市深阳蓝光市政工程有限公司</v>
      </c>
      <c r="D3542" s="423" t="s">
        <v>3921</v>
      </c>
      <c r="E3542" s="755"/>
      <c r="F3542" s="1165"/>
      <c r="G3542" s="1165"/>
      <c r="H3542" s="1165"/>
      <c r="I3542" s="1485"/>
      <c r="J3542" s="1485"/>
      <c r="K3542" s="1485"/>
      <c r="L3542" s="1485"/>
      <c r="M3542" s="1485"/>
      <c r="N3542" s="90"/>
      <c r="X3542" s="501" t="b">
        <f t="shared" si="272"/>
        <v>1</v>
      </c>
    </row>
    <row r="3543" outlineLevel="2" spans="1:24">
      <c r="A3543" s="85" t="s">
        <v>3925</v>
      </c>
      <c r="B3543" s="421" t="s">
        <v>3812</v>
      </c>
      <c r="C3543" s="429" t="str">
        <f t="shared" si="277"/>
        <v>石嘴山市深阳蓝光市政工程有限公司</v>
      </c>
      <c r="D3543" s="423" t="s">
        <v>3926</v>
      </c>
      <c r="E3543" s="1484" t="s">
        <v>3927</v>
      </c>
      <c r="F3543" s="1484" t="s">
        <v>3928</v>
      </c>
      <c r="G3543" s="1484" t="s">
        <v>3929</v>
      </c>
      <c r="H3543" s="1485"/>
      <c r="I3543" s="1485"/>
      <c r="J3543" s="1485"/>
      <c r="K3543" s="1485"/>
      <c r="L3543" s="1485"/>
      <c r="M3543" s="1485"/>
      <c r="N3543" s="90"/>
      <c r="X3543" s="501" t="b">
        <f t="shared" si="272"/>
        <v>1</v>
      </c>
    </row>
    <row r="3544" outlineLevel="2" spans="1:24">
      <c r="A3544" s="85" t="s">
        <v>3930</v>
      </c>
      <c r="B3544" s="421" t="s">
        <v>3812</v>
      </c>
      <c r="C3544" s="429" t="str">
        <f t="shared" si="277"/>
        <v>石嘴山市深阳蓝光市政工程有限公司</v>
      </c>
      <c r="D3544" s="423" t="s">
        <v>3926</v>
      </c>
      <c r="E3544" s="1507" t="s">
        <v>3930</v>
      </c>
      <c r="F3544" s="102"/>
      <c r="G3544" s="102"/>
      <c r="H3544" s="1164"/>
      <c r="I3544" s="485"/>
      <c r="J3544" s="485"/>
      <c r="K3544" s="485"/>
      <c r="L3544" s="485"/>
      <c r="M3544" s="485"/>
      <c r="X3544" s="501" t="b">
        <f t="shared" si="272"/>
        <v>1</v>
      </c>
    </row>
    <row r="3545" outlineLevel="2" spans="1:24">
      <c r="A3545" s="85" t="s">
        <v>3930</v>
      </c>
      <c r="B3545" s="421" t="s">
        <v>3812</v>
      </c>
      <c r="C3545" s="429" t="str">
        <f t="shared" si="277"/>
        <v>石嘴山市深阳蓝光市政工程有限公司</v>
      </c>
      <c r="D3545" s="423" t="s">
        <v>3926</v>
      </c>
      <c r="E3545" s="1507" t="s">
        <v>3930</v>
      </c>
      <c r="F3545" s="102"/>
      <c r="G3545" s="102"/>
      <c r="H3545" s="1164"/>
      <c r="I3545" s="485"/>
      <c r="J3545" s="485"/>
      <c r="K3545" s="485"/>
      <c r="L3545" s="485"/>
      <c r="M3545" s="485"/>
      <c r="X3545" s="501" t="b">
        <f t="shared" si="272"/>
        <v>1</v>
      </c>
    </row>
    <row r="3546" outlineLevel="2" spans="1:24">
      <c r="A3546" s="85" t="s">
        <v>3930</v>
      </c>
      <c r="B3546" s="421" t="s">
        <v>3812</v>
      </c>
      <c r="C3546" s="429" t="str">
        <f t="shared" si="277"/>
        <v>石嘴山市深阳蓝光市政工程有限公司</v>
      </c>
      <c r="D3546" s="423" t="s">
        <v>3926</v>
      </c>
      <c r="E3546" s="1507" t="s">
        <v>3930</v>
      </c>
      <c r="F3546" s="102"/>
      <c r="G3546" s="102"/>
      <c r="H3546" s="1164"/>
      <c r="I3546" s="485"/>
      <c r="J3546" s="485"/>
      <c r="K3546" s="485"/>
      <c r="L3546" s="485"/>
      <c r="M3546" s="485"/>
      <c r="X3546" s="501" t="b">
        <f t="shared" si="272"/>
        <v>1</v>
      </c>
    </row>
    <row r="3547" outlineLevel="2" spans="1:24">
      <c r="A3547" s="85" t="s">
        <v>3930</v>
      </c>
      <c r="B3547" s="421" t="s">
        <v>3812</v>
      </c>
      <c r="C3547" s="429" t="str">
        <f t="shared" si="277"/>
        <v>石嘴山市深阳蓝光市政工程有限公司</v>
      </c>
      <c r="D3547" s="423" t="s">
        <v>3926</v>
      </c>
      <c r="E3547" s="1507" t="s">
        <v>3930</v>
      </c>
      <c r="F3547" s="102"/>
      <c r="G3547" s="102"/>
      <c r="H3547" s="1164"/>
      <c r="I3547" s="485"/>
      <c r="J3547" s="485"/>
      <c r="K3547" s="485"/>
      <c r="L3547" s="485"/>
      <c r="M3547" s="485"/>
      <c r="X3547" s="501" t="b">
        <f t="shared" si="272"/>
        <v>1</v>
      </c>
    </row>
    <row r="3548" outlineLevel="2" spans="1:24">
      <c r="A3548" s="85" t="s">
        <v>3930</v>
      </c>
      <c r="B3548" s="421" t="s">
        <v>3812</v>
      </c>
      <c r="C3548" s="429" t="str">
        <f t="shared" si="277"/>
        <v>石嘴山市深阳蓝光市政工程有限公司</v>
      </c>
      <c r="D3548" s="423" t="s">
        <v>3926</v>
      </c>
      <c r="E3548" s="1507" t="s">
        <v>3930</v>
      </c>
      <c r="F3548" s="102"/>
      <c r="G3548" s="102"/>
      <c r="H3548" s="1164"/>
      <c r="I3548" s="485"/>
      <c r="J3548" s="485"/>
      <c r="K3548" s="485"/>
      <c r="L3548" s="485"/>
      <c r="M3548" s="485"/>
      <c r="X3548" s="501" t="b">
        <f t="shared" si="272"/>
        <v>1</v>
      </c>
    </row>
    <row r="3549" outlineLevel="2" spans="1:24">
      <c r="A3549" s="85" t="s">
        <v>3930</v>
      </c>
      <c r="B3549" s="421" t="s">
        <v>3812</v>
      </c>
      <c r="C3549" s="429" t="str">
        <f t="shared" si="277"/>
        <v>石嘴山市深阳蓝光市政工程有限公司</v>
      </c>
      <c r="D3549" s="423" t="s">
        <v>3926</v>
      </c>
      <c r="E3549" s="1507" t="s">
        <v>3930</v>
      </c>
      <c r="F3549" s="102"/>
      <c r="G3549" s="102"/>
      <c r="H3549" s="1164"/>
      <c r="I3549" s="1483"/>
      <c r="J3549" s="1483"/>
      <c r="K3549" s="485"/>
      <c r="L3549" s="485"/>
      <c r="M3549" s="485"/>
      <c r="X3549" s="501" t="b">
        <f t="shared" si="272"/>
        <v>1</v>
      </c>
    </row>
    <row r="3550" outlineLevel="2" spans="1:24">
      <c r="A3550" s="85" t="s">
        <v>3930</v>
      </c>
      <c r="B3550" s="421" t="s">
        <v>3812</v>
      </c>
      <c r="C3550" s="429" t="str">
        <f t="shared" si="277"/>
        <v>石嘴山市深阳蓝光市政工程有限公司</v>
      </c>
      <c r="D3550" s="423" t="s">
        <v>3926</v>
      </c>
      <c r="E3550" s="1507" t="s">
        <v>3930</v>
      </c>
      <c r="F3550" s="102"/>
      <c r="G3550" s="102"/>
      <c r="H3550" s="1164"/>
      <c r="X3550" s="501" t="b">
        <f t="shared" si="272"/>
        <v>1</v>
      </c>
    </row>
    <row r="3551" outlineLevel="2" spans="1:24">
      <c r="A3551" s="85" t="s">
        <v>3930</v>
      </c>
      <c r="B3551" s="421" t="s">
        <v>3812</v>
      </c>
      <c r="C3551" s="429" t="str">
        <f t="shared" si="277"/>
        <v>石嘴山市深阳蓝光市政工程有限公司</v>
      </c>
      <c r="D3551" s="423" t="s">
        <v>3926</v>
      </c>
      <c r="E3551" s="1507" t="s">
        <v>3930</v>
      </c>
      <c r="F3551" s="102"/>
      <c r="G3551" s="102"/>
      <c r="H3551" s="1164"/>
      <c r="X3551" s="501" t="b">
        <f t="shared" si="272"/>
        <v>1</v>
      </c>
    </row>
    <row r="3552" outlineLevel="2" spans="1:24">
      <c r="A3552" s="85" t="s">
        <v>3930</v>
      </c>
      <c r="B3552" s="421" t="s">
        <v>3812</v>
      </c>
      <c r="C3552" s="429" t="str">
        <f t="shared" si="277"/>
        <v>石嘴山市深阳蓝光市政工程有限公司</v>
      </c>
      <c r="D3552" s="423" t="s">
        <v>3926</v>
      </c>
      <c r="E3552" s="1507" t="s">
        <v>3930</v>
      </c>
      <c r="F3552" s="102"/>
      <c r="G3552" s="102"/>
      <c r="H3552" s="1164"/>
      <c r="X3552" s="501" t="b">
        <f t="shared" si="272"/>
        <v>1</v>
      </c>
    </row>
    <row r="3553" collapsed="1" spans="1:24">
      <c r="A3553" s="85" t="s">
        <v>3931</v>
      </c>
      <c r="B3553" s="421" t="s">
        <v>3932</v>
      </c>
      <c r="C3553" s="429" t="str">
        <f t="shared" si="277"/>
        <v>石嘴山市深阳蓝光市政工程有限公司</v>
      </c>
      <c r="D3553" s="423" t="s">
        <v>3933</v>
      </c>
      <c r="E3553" s="1483" t="s">
        <v>3931</v>
      </c>
      <c r="F3553" s="485"/>
      <c r="G3553" s="485"/>
      <c r="H3553" s="485"/>
      <c r="I3553" s="485"/>
      <c r="J3553" s="485"/>
      <c r="K3553" s="485"/>
      <c r="L3553" s="485"/>
      <c r="M3553" s="485"/>
      <c r="N3553" s="485"/>
      <c r="O3553" s="485"/>
      <c r="P3553" s="485"/>
      <c r="X3553" s="501" t="b">
        <f t="shared" si="272"/>
        <v>1</v>
      </c>
    </row>
    <row r="3554" hidden="1" outlineLevel="2" spans="1:24">
      <c r="A3554" s="85" t="s">
        <v>3933</v>
      </c>
      <c r="B3554" s="421" t="s">
        <v>3932</v>
      </c>
      <c r="C3554" s="429" t="str">
        <f t="shared" si="277"/>
        <v>石嘴山市深阳蓝光市政工程有限公司</v>
      </c>
      <c r="D3554" s="423" t="s">
        <v>3933</v>
      </c>
      <c r="E3554" s="748" t="s">
        <v>3934</v>
      </c>
      <c r="F3554" s="485"/>
      <c r="G3554" s="485"/>
      <c r="H3554" s="485"/>
      <c r="I3554" s="485"/>
      <c r="J3554" s="485"/>
      <c r="K3554" s="485"/>
      <c r="L3554" s="485"/>
      <c r="M3554" s="485"/>
      <c r="N3554" s="485"/>
      <c r="O3554" s="485"/>
      <c r="P3554" s="485"/>
      <c r="X3554" s="501" t="b">
        <f t="shared" si="272"/>
        <v>1</v>
      </c>
    </row>
    <row r="3555" hidden="1" outlineLevel="2" spans="1:24">
      <c r="A3555" s="85" t="s">
        <v>60</v>
      </c>
      <c r="B3555" s="421" t="s">
        <v>3932</v>
      </c>
      <c r="C3555" s="429" t="str">
        <f t="shared" si="277"/>
        <v>石嘴山市深阳蓝光市政工程有限公司</v>
      </c>
      <c r="D3555" s="423" t="s">
        <v>3933</v>
      </c>
      <c r="E3555" s="581" t="s">
        <v>60</v>
      </c>
      <c r="F3555" s="581" t="s">
        <v>572</v>
      </c>
      <c r="G3555" s="485"/>
      <c r="H3555" s="485"/>
      <c r="I3555" s="485"/>
      <c r="J3555" s="485"/>
      <c r="K3555" s="485"/>
      <c r="L3555" s="485"/>
      <c r="M3555" s="485"/>
      <c r="N3555" s="485"/>
      <c r="O3555" s="485"/>
      <c r="P3555" s="485"/>
      <c r="X3555" s="501" t="b">
        <f t="shared" si="272"/>
        <v>1</v>
      </c>
    </row>
    <row r="3556" hidden="1" outlineLevel="2" spans="1:24">
      <c r="A3556" s="85" t="s">
        <v>3935</v>
      </c>
      <c r="B3556" s="421" t="s">
        <v>3932</v>
      </c>
      <c r="C3556" s="429" t="str">
        <f t="shared" si="277"/>
        <v>石嘴山市深阳蓝光市政工程有限公司</v>
      </c>
      <c r="D3556" s="423" t="s">
        <v>3933</v>
      </c>
      <c r="E3556" s="1508" t="s">
        <v>3935</v>
      </c>
      <c r="F3556" s="999"/>
      <c r="G3556" s="485"/>
      <c r="H3556" s="485"/>
      <c r="I3556" s="485"/>
      <c r="J3556" s="485"/>
      <c r="K3556" s="485"/>
      <c r="L3556" s="485"/>
      <c r="M3556" s="485"/>
      <c r="N3556" s="485"/>
      <c r="O3556" s="485"/>
      <c r="P3556" s="485"/>
      <c r="X3556" s="501" t="b">
        <f t="shared" si="272"/>
        <v>1</v>
      </c>
    </row>
    <row r="3557" hidden="1" outlineLevel="2" spans="1:24">
      <c r="A3557" s="85" t="s">
        <v>3936</v>
      </c>
      <c r="B3557" s="421" t="s">
        <v>3932</v>
      </c>
      <c r="C3557" s="429" t="str">
        <f t="shared" si="277"/>
        <v>石嘴山市深阳蓝光市政工程有限公司</v>
      </c>
      <c r="D3557" s="423" t="s">
        <v>3933</v>
      </c>
      <c r="E3557" s="1508" t="s">
        <v>3936</v>
      </c>
      <c r="F3557" s="999"/>
      <c r="G3557" s="485"/>
      <c r="H3557" s="485"/>
      <c r="I3557" s="485"/>
      <c r="J3557" s="485"/>
      <c r="K3557" s="485"/>
      <c r="L3557" s="485"/>
      <c r="M3557" s="485"/>
      <c r="N3557" s="485"/>
      <c r="O3557" s="485"/>
      <c r="P3557" s="485"/>
      <c r="X3557" s="501" t="b">
        <f t="shared" ref="X3557:X3620" si="278">EXACT(A3557,E3557)</f>
        <v>1</v>
      </c>
    </row>
    <row r="3558" hidden="1" outlineLevel="2" spans="1:24">
      <c r="A3558" s="85" t="s">
        <v>3937</v>
      </c>
      <c r="B3558" s="421" t="s">
        <v>3932</v>
      </c>
      <c r="C3558" s="429" t="str">
        <f t="shared" si="277"/>
        <v>石嘴山市深阳蓝光市政工程有限公司</v>
      </c>
      <c r="D3558" s="423" t="s">
        <v>3933</v>
      </c>
      <c r="E3558" s="1508" t="s">
        <v>3937</v>
      </c>
      <c r="F3558" s="999"/>
      <c r="G3558" s="485"/>
      <c r="H3558" s="485"/>
      <c r="I3558" s="485"/>
      <c r="J3558" s="485"/>
      <c r="K3558" s="485"/>
      <c r="L3558" s="485"/>
      <c r="M3558" s="485"/>
      <c r="N3558" s="485"/>
      <c r="O3558" s="485"/>
      <c r="P3558" s="485"/>
      <c r="X3558" s="501" t="b">
        <f t="shared" si="278"/>
        <v>1</v>
      </c>
    </row>
    <row r="3559" ht="22.5" hidden="1" outlineLevel="2" spans="1:24">
      <c r="A3559" s="85" t="s">
        <v>3938</v>
      </c>
      <c r="B3559" s="421" t="s">
        <v>3932</v>
      </c>
      <c r="C3559" s="429" t="str">
        <f t="shared" si="277"/>
        <v>石嘴山市深阳蓝光市政工程有限公司</v>
      </c>
      <c r="D3559" s="423" t="s">
        <v>3933</v>
      </c>
      <c r="E3559" s="1508" t="s">
        <v>3938</v>
      </c>
      <c r="F3559" s="999"/>
      <c r="G3559" s="485"/>
      <c r="H3559" s="485"/>
      <c r="I3559" s="485"/>
      <c r="J3559" s="485"/>
      <c r="K3559" s="485"/>
      <c r="L3559" s="485"/>
      <c r="M3559" s="485"/>
      <c r="N3559" s="485"/>
      <c r="O3559" s="485"/>
      <c r="P3559" s="485"/>
      <c r="X3559" s="501" t="b">
        <f t="shared" si="278"/>
        <v>1</v>
      </c>
    </row>
    <row r="3560" hidden="1" outlineLevel="2" spans="1:24">
      <c r="A3560" s="85" t="s">
        <v>3939</v>
      </c>
      <c r="B3560" s="421" t="s">
        <v>3932</v>
      </c>
      <c r="C3560" s="429" t="str">
        <f t="shared" si="277"/>
        <v>石嘴山市深阳蓝光市政工程有限公司</v>
      </c>
      <c r="D3560" s="423" t="s">
        <v>3933</v>
      </c>
      <c r="E3560" s="1508" t="s">
        <v>3939</v>
      </c>
      <c r="F3560" s="999"/>
      <c r="G3560" s="485"/>
      <c r="H3560" s="485"/>
      <c r="I3560" s="485"/>
      <c r="J3560" s="485"/>
      <c r="K3560" s="485"/>
      <c r="L3560" s="485"/>
      <c r="M3560" s="485"/>
      <c r="N3560" s="485"/>
      <c r="O3560" s="485"/>
      <c r="P3560" s="485"/>
      <c r="X3560" s="501" t="b">
        <f t="shared" si="278"/>
        <v>1</v>
      </c>
    </row>
    <row r="3561" hidden="1" outlineLevel="2" spans="1:24">
      <c r="A3561" s="85" t="s">
        <v>3940</v>
      </c>
      <c r="B3561" s="421" t="s">
        <v>3932</v>
      </c>
      <c r="C3561" s="429" t="str">
        <f t="shared" si="277"/>
        <v>石嘴山市深阳蓝光市政工程有限公司</v>
      </c>
      <c r="D3561" s="423" t="s">
        <v>3933</v>
      </c>
      <c r="E3561" s="748" t="s">
        <v>3940</v>
      </c>
      <c r="F3561" s="485"/>
      <c r="G3561" s="485"/>
      <c r="H3561" s="485"/>
      <c r="I3561" s="485"/>
      <c r="J3561" s="485"/>
      <c r="K3561" s="485"/>
      <c r="L3561" s="485"/>
      <c r="M3561" s="485"/>
      <c r="N3561" s="485"/>
      <c r="O3561" s="485"/>
      <c r="P3561" s="485"/>
      <c r="X3561" s="501" t="b">
        <f t="shared" si="278"/>
        <v>1</v>
      </c>
    </row>
    <row r="3562" hidden="1" outlineLevel="2" spans="1:24">
      <c r="A3562" s="85" t="s">
        <v>2315</v>
      </c>
      <c r="B3562" s="421" t="s">
        <v>3932</v>
      </c>
      <c r="C3562" s="429" t="str">
        <f t="shared" si="277"/>
        <v>石嘴山市深阳蓝光市政工程有限公司</v>
      </c>
      <c r="D3562" s="423" t="s">
        <v>3933</v>
      </c>
      <c r="E3562" s="748" t="s">
        <v>2334</v>
      </c>
      <c r="F3562" s="1164"/>
      <c r="G3562" s="485"/>
      <c r="H3562" s="485"/>
      <c r="I3562" s="485"/>
      <c r="J3562" s="485"/>
      <c r="K3562" s="485"/>
      <c r="L3562" s="485"/>
      <c r="M3562" s="485"/>
      <c r="N3562" s="485"/>
      <c r="O3562" s="485"/>
      <c r="P3562" s="485"/>
      <c r="X3562" s="501" t="b">
        <f t="shared" si="278"/>
        <v>1</v>
      </c>
    </row>
    <row r="3563" hidden="1" outlineLevel="2" spans="1:24">
      <c r="A3563" s="85" t="s">
        <v>3941</v>
      </c>
      <c r="B3563" s="421" t="s">
        <v>3932</v>
      </c>
      <c r="C3563" s="429" t="str">
        <f t="shared" si="277"/>
        <v>石嘴山市深阳蓝光市政工程有限公司</v>
      </c>
      <c r="D3563" s="423" t="s">
        <v>3941</v>
      </c>
      <c r="E3563" s="748" t="s">
        <v>3942</v>
      </c>
      <c r="F3563" s="485"/>
      <c r="G3563" s="485"/>
      <c r="H3563" s="485"/>
      <c r="I3563" s="485"/>
      <c r="J3563" s="485"/>
      <c r="K3563" s="485"/>
      <c r="L3563" s="485"/>
      <c r="M3563" s="485"/>
      <c r="N3563" s="485"/>
      <c r="O3563" s="485"/>
      <c r="P3563" s="485"/>
      <c r="X3563" s="501" t="b">
        <f t="shared" si="278"/>
        <v>1</v>
      </c>
    </row>
    <row r="3564" hidden="1" outlineLevel="2" spans="1:24">
      <c r="A3564" s="85" t="s">
        <v>60</v>
      </c>
      <c r="B3564" s="421" t="s">
        <v>3932</v>
      </c>
      <c r="C3564" s="429" t="str">
        <f t="shared" si="277"/>
        <v>石嘴山市深阳蓝光市政工程有限公司</v>
      </c>
      <c r="D3564" s="423" t="s">
        <v>3941</v>
      </c>
      <c r="E3564" s="581" t="s">
        <v>60</v>
      </c>
      <c r="F3564" s="581" t="s">
        <v>572</v>
      </c>
      <c r="G3564" s="485"/>
      <c r="H3564" s="485"/>
      <c r="I3564" s="485"/>
      <c r="J3564" s="485"/>
      <c r="K3564" s="485"/>
      <c r="L3564" s="485"/>
      <c r="M3564" s="485"/>
      <c r="N3564" s="485"/>
      <c r="O3564" s="485"/>
      <c r="P3564" s="485"/>
      <c r="X3564" s="501" t="b">
        <f t="shared" si="278"/>
        <v>1</v>
      </c>
    </row>
    <row r="3565" hidden="1" outlineLevel="2" spans="1:24">
      <c r="A3565" s="85" t="s">
        <v>3943</v>
      </c>
      <c r="B3565" s="421" t="s">
        <v>3932</v>
      </c>
      <c r="C3565" s="429" t="str">
        <f t="shared" si="277"/>
        <v>石嘴山市深阳蓝光市政工程有限公司</v>
      </c>
      <c r="D3565" s="423" t="s">
        <v>3941</v>
      </c>
      <c r="E3565" s="1508" t="s">
        <v>3943</v>
      </c>
      <c r="F3565" s="999"/>
      <c r="G3565" s="485"/>
      <c r="H3565" s="485"/>
      <c r="I3565" s="485"/>
      <c r="J3565" s="485"/>
      <c r="K3565" s="485"/>
      <c r="L3565" s="485"/>
      <c r="M3565" s="485"/>
      <c r="N3565" s="485"/>
      <c r="O3565" s="485"/>
      <c r="P3565" s="485"/>
      <c r="X3565" s="501" t="b">
        <f t="shared" si="278"/>
        <v>1</v>
      </c>
    </row>
    <row r="3566" hidden="1" outlineLevel="2" spans="1:24">
      <c r="A3566" s="85" t="s">
        <v>3944</v>
      </c>
      <c r="B3566" s="421" t="s">
        <v>3932</v>
      </c>
      <c r="C3566" s="429" t="str">
        <f t="shared" si="277"/>
        <v>石嘴山市深阳蓝光市政工程有限公司</v>
      </c>
      <c r="D3566" s="423" t="s">
        <v>3941</v>
      </c>
      <c r="E3566" s="1508" t="s">
        <v>3944</v>
      </c>
      <c r="F3566" s="999"/>
      <c r="G3566" s="485"/>
      <c r="H3566" s="485"/>
      <c r="I3566" s="485"/>
      <c r="J3566" s="485"/>
      <c r="K3566" s="485"/>
      <c r="L3566" s="485"/>
      <c r="M3566" s="485"/>
      <c r="N3566" s="485"/>
      <c r="O3566" s="485"/>
      <c r="P3566" s="485"/>
      <c r="X3566" s="501" t="b">
        <f t="shared" si="278"/>
        <v>1</v>
      </c>
    </row>
    <row r="3567" hidden="1" outlineLevel="2" spans="1:24">
      <c r="A3567" s="85" t="s">
        <v>3945</v>
      </c>
      <c r="B3567" s="421" t="s">
        <v>3932</v>
      </c>
      <c r="C3567" s="429" t="str">
        <f t="shared" si="277"/>
        <v>石嘴山市深阳蓝光市政工程有限公司</v>
      </c>
      <c r="D3567" s="423" t="s">
        <v>3941</v>
      </c>
      <c r="E3567" s="1508" t="s">
        <v>3945</v>
      </c>
      <c r="F3567" s="999"/>
      <c r="G3567" s="485"/>
      <c r="H3567" s="485"/>
      <c r="I3567" s="485"/>
      <c r="J3567" s="485"/>
      <c r="K3567" s="485"/>
      <c r="L3567" s="485"/>
      <c r="M3567" s="485"/>
      <c r="N3567" s="485"/>
      <c r="O3567" s="485"/>
      <c r="P3567" s="485"/>
      <c r="X3567" s="501" t="b">
        <f t="shared" si="278"/>
        <v>1</v>
      </c>
    </row>
    <row r="3568" hidden="1" outlineLevel="2" spans="1:24">
      <c r="A3568" s="85" t="s">
        <v>3946</v>
      </c>
      <c r="B3568" s="421" t="s">
        <v>3932</v>
      </c>
      <c r="C3568" s="429" t="str">
        <f t="shared" si="277"/>
        <v>石嘴山市深阳蓝光市政工程有限公司</v>
      </c>
      <c r="D3568" s="423" t="s">
        <v>3941</v>
      </c>
      <c r="E3568" s="1508" t="s">
        <v>3946</v>
      </c>
      <c r="F3568" s="999"/>
      <c r="G3568" s="485"/>
      <c r="H3568" s="485"/>
      <c r="I3568" s="485"/>
      <c r="J3568" s="485"/>
      <c r="K3568" s="485"/>
      <c r="L3568" s="485"/>
      <c r="M3568" s="485"/>
      <c r="N3568" s="485"/>
      <c r="O3568" s="485"/>
      <c r="P3568" s="485"/>
      <c r="X3568" s="501" t="b">
        <f t="shared" si="278"/>
        <v>1</v>
      </c>
    </row>
    <row r="3569" hidden="1" outlineLevel="2" spans="1:24">
      <c r="A3569" s="85" t="s">
        <v>3947</v>
      </c>
      <c r="B3569" s="421" t="s">
        <v>3932</v>
      </c>
      <c r="C3569" s="429" t="str">
        <f t="shared" si="277"/>
        <v>石嘴山市深阳蓝光市政工程有限公司</v>
      </c>
      <c r="D3569" s="423" t="s">
        <v>3941</v>
      </c>
      <c r="E3569" s="1508" t="s">
        <v>3947</v>
      </c>
      <c r="F3569" s="999"/>
      <c r="G3569" s="485"/>
      <c r="H3569" s="485"/>
      <c r="I3569" s="485"/>
      <c r="J3569" s="485"/>
      <c r="K3569" s="485"/>
      <c r="L3569" s="485"/>
      <c r="M3569" s="485"/>
      <c r="N3569" s="485"/>
      <c r="O3569" s="485"/>
      <c r="P3569" s="485"/>
      <c r="X3569" s="501" t="b">
        <f t="shared" si="278"/>
        <v>1</v>
      </c>
    </row>
    <row r="3570" hidden="1" outlineLevel="2" spans="1:24">
      <c r="A3570" s="85" t="s">
        <v>3948</v>
      </c>
      <c r="B3570" s="421" t="s">
        <v>3932</v>
      </c>
      <c r="C3570" s="429" t="str">
        <f t="shared" si="277"/>
        <v>石嘴山市深阳蓝光市政工程有限公司</v>
      </c>
      <c r="D3570" s="423" t="s">
        <v>3941</v>
      </c>
      <c r="E3570" s="748" t="s">
        <v>3949</v>
      </c>
      <c r="F3570" s="485"/>
      <c r="G3570" s="485"/>
      <c r="H3570" s="485"/>
      <c r="I3570" s="485"/>
      <c r="J3570" s="485"/>
      <c r="K3570" s="485"/>
      <c r="L3570" s="485"/>
      <c r="M3570" s="485"/>
      <c r="N3570" s="485"/>
      <c r="O3570" s="485"/>
      <c r="P3570" s="485"/>
      <c r="X3570" s="501" t="b">
        <f t="shared" si="278"/>
        <v>1</v>
      </c>
    </row>
    <row r="3571" hidden="1" outlineLevel="2" spans="1:24">
      <c r="A3571" s="85" t="s">
        <v>3950</v>
      </c>
      <c r="B3571" s="421" t="s">
        <v>3932</v>
      </c>
      <c r="C3571" s="429" t="str">
        <f t="shared" si="277"/>
        <v>石嘴山市深阳蓝光市政工程有限公司</v>
      </c>
      <c r="D3571" s="423" t="s">
        <v>3941</v>
      </c>
      <c r="E3571" s="748" t="s">
        <v>3951</v>
      </c>
      <c r="F3571" s="485"/>
      <c r="G3571" s="485"/>
      <c r="H3571" s="485"/>
      <c r="I3571" s="485"/>
      <c r="J3571" s="485"/>
      <c r="K3571" s="485"/>
      <c r="L3571" s="485"/>
      <c r="M3571" s="485"/>
      <c r="N3571" s="485"/>
      <c r="O3571" s="485"/>
      <c r="P3571" s="485"/>
      <c r="X3571" s="501" t="b">
        <f t="shared" si="278"/>
        <v>1</v>
      </c>
    </row>
    <row r="3572" hidden="1" outlineLevel="2" spans="1:24">
      <c r="A3572" s="85" t="s">
        <v>2315</v>
      </c>
      <c r="B3572" s="421" t="s">
        <v>3932</v>
      </c>
      <c r="C3572" s="429" t="str">
        <f t="shared" si="277"/>
        <v>石嘴山市深阳蓝光市政工程有限公司</v>
      </c>
      <c r="D3572" s="423" t="s">
        <v>3941</v>
      </c>
      <c r="E3572" s="748" t="s">
        <v>2334</v>
      </c>
      <c r="F3572" s="1164"/>
      <c r="G3572" s="485"/>
      <c r="H3572" s="485"/>
      <c r="I3572" s="485"/>
      <c r="J3572" s="485"/>
      <c r="K3572" s="485"/>
      <c r="L3572" s="485"/>
      <c r="M3572" s="485"/>
      <c r="N3572" s="485"/>
      <c r="O3572" s="485"/>
      <c r="P3572" s="485"/>
      <c r="X3572" s="501" t="b">
        <f t="shared" si="278"/>
        <v>1</v>
      </c>
    </row>
    <row r="3573" hidden="1" outlineLevel="2" spans="1:24">
      <c r="A3573" s="85" t="s">
        <v>3952</v>
      </c>
      <c r="B3573" s="421" t="s">
        <v>3932</v>
      </c>
      <c r="C3573" s="429" t="str">
        <f t="shared" si="277"/>
        <v>石嘴山市深阳蓝光市政工程有限公司</v>
      </c>
      <c r="D3573" s="423" t="s">
        <v>3952</v>
      </c>
      <c r="E3573" s="748" t="s">
        <v>3953</v>
      </c>
      <c r="F3573" s="485"/>
      <c r="G3573" s="485"/>
      <c r="H3573" s="485"/>
      <c r="I3573" s="485"/>
      <c r="J3573" s="485"/>
      <c r="K3573" s="485"/>
      <c r="L3573" s="485"/>
      <c r="M3573" s="485"/>
      <c r="N3573" s="485"/>
      <c r="O3573" s="485"/>
      <c r="P3573" s="485"/>
      <c r="X3573" s="501" t="b">
        <f t="shared" si="278"/>
        <v>1</v>
      </c>
    </row>
    <row r="3574" hidden="1" outlineLevel="2" spans="1:24">
      <c r="A3574" s="85" t="s">
        <v>60</v>
      </c>
      <c r="B3574" s="421" t="s">
        <v>3932</v>
      </c>
      <c r="C3574" s="429" t="str">
        <f t="shared" si="277"/>
        <v>石嘴山市深阳蓝光市政工程有限公司</v>
      </c>
      <c r="D3574" s="423" t="s">
        <v>3952</v>
      </c>
      <c r="E3574" s="581" t="s">
        <v>60</v>
      </c>
      <c r="F3574" s="581" t="s">
        <v>572</v>
      </c>
      <c r="G3574" s="485"/>
      <c r="H3574" s="485"/>
      <c r="I3574" s="485"/>
      <c r="J3574" s="485"/>
      <c r="K3574" s="485"/>
      <c r="L3574" s="485"/>
      <c r="M3574" s="485"/>
      <c r="N3574" s="485"/>
      <c r="O3574" s="485"/>
      <c r="P3574" s="485"/>
      <c r="X3574" s="501" t="b">
        <f t="shared" si="278"/>
        <v>1</v>
      </c>
    </row>
    <row r="3575" ht="22.5" hidden="1" outlineLevel="2" spans="1:24">
      <c r="A3575" s="85" t="s">
        <v>3954</v>
      </c>
      <c r="B3575" s="421" t="s">
        <v>3932</v>
      </c>
      <c r="C3575" s="429" t="str">
        <f t="shared" si="277"/>
        <v>石嘴山市深阳蓝光市政工程有限公司</v>
      </c>
      <c r="D3575" s="423" t="s">
        <v>3952</v>
      </c>
      <c r="E3575" s="521" t="s">
        <v>3954</v>
      </c>
      <c r="F3575" s="1134"/>
      <c r="G3575" s="485"/>
      <c r="H3575" s="485"/>
      <c r="I3575" s="485"/>
      <c r="J3575" s="485"/>
      <c r="K3575" s="485"/>
      <c r="L3575" s="485"/>
      <c r="M3575" s="485"/>
      <c r="N3575" s="485"/>
      <c r="O3575" s="485"/>
      <c r="P3575" s="485"/>
      <c r="X3575" s="501" t="b">
        <f t="shared" si="278"/>
        <v>1</v>
      </c>
    </row>
    <row r="3576" hidden="1" outlineLevel="2" spans="1:24">
      <c r="A3576" s="85" t="s">
        <v>3955</v>
      </c>
      <c r="B3576" s="421" t="s">
        <v>3932</v>
      </c>
      <c r="C3576" s="429" t="str">
        <f t="shared" si="277"/>
        <v>石嘴山市深阳蓝光市政工程有限公司</v>
      </c>
      <c r="D3576" s="423" t="s">
        <v>3952</v>
      </c>
      <c r="E3576" s="521" t="s">
        <v>3955</v>
      </c>
      <c r="F3576" s="1134"/>
      <c r="G3576" s="485"/>
      <c r="H3576" s="485"/>
      <c r="I3576" s="485"/>
      <c r="J3576" s="485"/>
      <c r="K3576" s="485"/>
      <c r="L3576" s="485"/>
      <c r="M3576" s="485"/>
      <c r="N3576" s="485"/>
      <c r="O3576" s="485"/>
      <c r="P3576" s="485"/>
      <c r="X3576" s="501" t="b">
        <f t="shared" si="278"/>
        <v>1</v>
      </c>
    </row>
    <row r="3577" hidden="1" outlineLevel="2" spans="1:24">
      <c r="A3577" s="85" t="s">
        <v>3956</v>
      </c>
      <c r="B3577" s="421" t="s">
        <v>3932</v>
      </c>
      <c r="C3577" s="429" t="str">
        <f t="shared" si="277"/>
        <v>石嘴山市深阳蓝光市政工程有限公司</v>
      </c>
      <c r="D3577" s="423" t="s">
        <v>3952</v>
      </c>
      <c r="E3577" s="521" t="s">
        <v>3956</v>
      </c>
      <c r="F3577" s="1134"/>
      <c r="G3577" s="485"/>
      <c r="H3577" s="485"/>
      <c r="I3577" s="485"/>
      <c r="J3577" s="485"/>
      <c r="K3577" s="485"/>
      <c r="L3577" s="485"/>
      <c r="M3577" s="485"/>
      <c r="N3577" s="485"/>
      <c r="O3577" s="485"/>
      <c r="P3577" s="485"/>
      <c r="X3577" s="501" t="b">
        <f t="shared" si="278"/>
        <v>1</v>
      </c>
    </row>
    <row r="3578" hidden="1" outlineLevel="2" spans="2:24">
      <c r="B3578" s="421" t="s">
        <v>3932</v>
      </c>
      <c r="C3578" s="429" t="str">
        <f t="shared" si="277"/>
        <v>石嘴山市深阳蓝光市政工程有限公司</v>
      </c>
      <c r="D3578" s="423" t="s">
        <v>3952</v>
      </c>
      <c r="E3578" s="748"/>
      <c r="F3578" s="485"/>
      <c r="G3578" s="485"/>
      <c r="H3578" s="485"/>
      <c r="I3578" s="485"/>
      <c r="J3578" s="485"/>
      <c r="K3578" s="485"/>
      <c r="L3578" s="485"/>
      <c r="M3578" s="485"/>
      <c r="N3578" s="485"/>
      <c r="O3578" s="485"/>
      <c r="P3578" s="485"/>
      <c r="X3578" s="501" t="b">
        <f t="shared" si="278"/>
        <v>1</v>
      </c>
    </row>
    <row r="3579" hidden="1" outlineLevel="2" spans="1:24">
      <c r="A3579" s="85" t="s">
        <v>3957</v>
      </c>
      <c r="B3579" s="421" t="s">
        <v>3932</v>
      </c>
      <c r="C3579" s="429" t="str">
        <f t="shared" si="277"/>
        <v>石嘴山市深阳蓝光市政工程有限公司</v>
      </c>
      <c r="D3579" s="423" t="s">
        <v>3957</v>
      </c>
      <c r="E3579" s="748" t="s">
        <v>3958</v>
      </c>
      <c r="F3579" s="485"/>
      <c r="G3579" s="485"/>
      <c r="H3579" s="485"/>
      <c r="I3579" s="485"/>
      <c r="J3579" s="485"/>
      <c r="K3579" s="485"/>
      <c r="L3579" s="485"/>
      <c r="M3579" s="485"/>
      <c r="N3579" s="485"/>
      <c r="O3579" s="485"/>
      <c r="P3579" s="485"/>
      <c r="X3579" s="501" t="b">
        <f t="shared" si="278"/>
        <v>1</v>
      </c>
    </row>
    <row r="3580" hidden="1" outlineLevel="2" spans="1:24">
      <c r="A3580" s="85" t="s">
        <v>60</v>
      </c>
      <c r="B3580" s="421" t="s">
        <v>3932</v>
      </c>
      <c r="C3580" s="429" t="str">
        <f t="shared" si="277"/>
        <v>石嘴山市深阳蓝光市政工程有限公司</v>
      </c>
      <c r="D3580" s="423" t="s">
        <v>3957</v>
      </c>
      <c r="E3580" s="581" t="s">
        <v>60</v>
      </c>
      <c r="F3580" s="581" t="s">
        <v>572</v>
      </c>
      <c r="G3580" s="485"/>
      <c r="H3580" s="485"/>
      <c r="I3580" s="485"/>
      <c r="J3580" s="485"/>
      <c r="K3580" s="485"/>
      <c r="L3580" s="485"/>
      <c r="M3580" s="485"/>
      <c r="N3580" s="485"/>
      <c r="O3580" s="485"/>
      <c r="P3580" s="485"/>
      <c r="X3580" s="501" t="b">
        <f t="shared" si="278"/>
        <v>1</v>
      </c>
    </row>
    <row r="3581" hidden="1" outlineLevel="2" spans="1:24">
      <c r="A3581" s="85" t="s">
        <v>3959</v>
      </c>
      <c r="B3581" s="421" t="s">
        <v>3932</v>
      </c>
      <c r="C3581" s="429" t="str">
        <f t="shared" si="277"/>
        <v>石嘴山市深阳蓝光市政工程有限公司</v>
      </c>
      <c r="D3581" s="423" t="s">
        <v>3957</v>
      </c>
      <c r="E3581" s="151" t="s">
        <v>3959</v>
      </c>
      <c r="F3581" s="999"/>
      <c r="G3581" s="485"/>
      <c r="H3581" s="485"/>
      <c r="I3581" s="485"/>
      <c r="J3581" s="485"/>
      <c r="K3581" s="485"/>
      <c r="L3581" s="485"/>
      <c r="M3581" s="485"/>
      <c r="N3581" s="485"/>
      <c r="O3581" s="485"/>
      <c r="P3581" s="485"/>
      <c r="X3581" s="501" t="b">
        <f t="shared" si="278"/>
        <v>1</v>
      </c>
    </row>
    <row r="3582" hidden="1" outlineLevel="2" spans="1:24">
      <c r="A3582" s="85" t="s">
        <v>3960</v>
      </c>
      <c r="B3582" s="421" t="s">
        <v>3932</v>
      </c>
      <c r="C3582" s="429" t="str">
        <f t="shared" si="277"/>
        <v>石嘴山市深阳蓝光市政工程有限公司</v>
      </c>
      <c r="D3582" s="423" t="s">
        <v>3957</v>
      </c>
      <c r="E3582" s="151" t="s">
        <v>3960</v>
      </c>
      <c r="F3582" s="999"/>
      <c r="G3582" s="485"/>
      <c r="H3582" s="485"/>
      <c r="I3582" s="485"/>
      <c r="J3582" s="485"/>
      <c r="K3582" s="485"/>
      <c r="L3582" s="485"/>
      <c r="M3582" s="485"/>
      <c r="N3582" s="485"/>
      <c r="O3582" s="485"/>
      <c r="P3582" s="485"/>
      <c r="X3582" s="501" t="b">
        <f t="shared" si="278"/>
        <v>1</v>
      </c>
    </row>
    <row r="3583" hidden="1" outlineLevel="2" spans="2:24">
      <c r="B3583" s="421" t="s">
        <v>3932</v>
      </c>
      <c r="C3583" s="429" t="str">
        <f t="shared" si="277"/>
        <v>石嘴山市深阳蓝光市政工程有限公司</v>
      </c>
      <c r="D3583" s="423" t="s">
        <v>3957</v>
      </c>
      <c r="E3583" s="748"/>
      <c r="F3583" s="485"/>
      <c r="G3583" s="485"/>
      <c r="H3583" s="485"/>
      <c r="I3583" s="485"/>
      <c r="J3583" s="485"/>
      <c r="K3583" s="485"/>
      <c r="L3583" s="485"/>
      <c r="M3583" s="485"/>
      <c r="N3583" s="485"/>
      <c r="O3583" s="485"/>
      <c r="P3583" s="485"/>
      <c r="X3583" s="501" t="b">
        <f t="shared" si="278"/>
        <v>1</v>
      </c>
    </row>
    <row r="3584" hidden="1" outlineLevel="2" spans="1:24">
      <c r="A3584" s="85" t="s">
        <v>3961</v>
      </c>
      <c r="B3584" s="421" t="s">
        <v>3932</v>
      </c>
      <c r="C3584" s="429" t="str">
        <f t="shared" si="277"/>
        <v>石嘴山市深阳蓝光市政工程有限公司</v>
      </c>
      <c r="D3584" s="423" t="s">
        <v>3961</v>
      </c>
      <c r="E3584" s="748" t="s">
        <v>3962</v>
      </c>
      <c r="F3584" s="485"/>
      <c r="G3584" s="485"/>
      <c r="H3584" s="485"/>
      <c r="I3584" s="485"/>
      <c r="J3584" s="485"/>
      <c r="K3584" s="485"/>
      <c r="L3584" s="485"/>
      <c r="M3584" s="485"/>
      <c r="N3584" s="485"/>
      <c r="O3584" s="485"/>
      <c r="P3584" s="485"/>
      <c r="X3584" s="501" t="b">
        <f t="shared" si="278"/>
        <v>1</v>
      </c>
    </row>
    <row r="3585" hidden="1" outlineLevel="2" spans="1:24">
      <c r="A3585" s="85" t="s">
        <v>2315</v>
      </c>
      <c r="B3585" s="421" t="s">
        <v>3932</v>
      </c>
      <c r="C3585" s="429" t="str">
        <f t="shared" si="277"/>
        <v>石嘴山市深阳蓝光市政工程有限公司</v>
      </c>
      <c r="D3585" s="423" t="s">
        <v>3961</v>
      </c>
      <c r="E3585" s="748" t="s">
        <v>2334</v>
      </c>
      <c r="F3585" s="1164"/>
      <c r="G3585" s="485"/>
      <c r="H3585" s="485"/>
      <c r="I3585" s="485"/>
      <c r="J3585" s="485"/>
      <c r="K3585" s="485"/>
      <c r="L3585" s="485"/>
      <c r="M3585" s="485"/>
      <c r="N3585" s="485"/>
      <c r="O3585" s="485"/>
      <c r="P3585" s="485"/>
      <c r="X3585" s="501" t="b">
        <f t="shared" si="278"/>
        <v>1</v>
      </c>
    </row>
    <row r="3586" hidden="1" outlineLevel="2" spans="2:24">
      <c r="B3586" s="421" t="s">
        <v>3932</v>
      </c>
      <c r="C3586" s="429" t="str">
        <f t="shared" si="277"/>
        <v>石嘴山市深阳蓝光市政工程有限公司</v>
      </c>
      <c r="D3586" s="423" t="s">
        <v>3961</v>
      </c>
      <c r="E3586" s="748"/>
      <c r="F3586" s="485"/>
      <c r="G3586" s="485"/>
      <c r="H3586" s="485"/>
      <c r="I3586" s="485"/>
      <c r="J3586" s="485"/>
      <c r="K3586" s="485"/>
      <c r="L3586" s="485"/>
      <c r="M3586" s="485"/>
      <c r="N3586" s="485"/>
      <c r="O3586" s="485"/>
      <c r="P3586" s="485"/>
      <c r="X3586" s="501" t="b">
        <f t="shared" si="278"/>
        <v>1</v>
      </c>
    </row>
    <row r="3587" spans="1:24">
      <c r="A3587" s="85" t="s">
        <v>3963</v>
      </c>
      <c r="B3587" s="421" t="s">
        <v>3964</v>
      </c>
      <c r="C3587" s="429" t="str">
        <f t="shared" si="277"/>
        <v>石嘴山市深阳蓝光市政工程有限公司</v>
      </c>
      <c r="D3587" s="423" t="s">
        <v>3963</v>
      </c>
      <c r="E3587" s="1483" t="s">
        <v>3963</v>
      </c>
      <c r="F3587" s="485"/>
      <c r="G3587" s="485"/>
      <c r="H3587" s="485"/>
      <c r="I3587" s="485"/>
      <c r="J3587" s="485"/>
      <c r="K3587" s="485"/>
      <c r="L3587" s="485"/>
      <c r="M3587" s="485"/>
      <c r="N3587" s="485"/>
      <c r="O3587" s="485"/>
      <c r="P3587" s="485"/>
      <c r="X3587" s="501" t="b">
        <f t="shared" si="278"/>
        <v>1</v>
      </c>
    </row>
    <row r="3588" outlineLevel="2" spans="1:24">
      <c r="A3588" s="85" t="s">
        <v>3965</v>
      </c>
      <c r="B3588" s="421" t="s">
        <v>3964</v>
      </c>
      <c r="C3588" s="429" t="str">
        <f t="shared" si="277"/>
        <v>石嘴山市深阳蓝光市政工程有限公司</v>
      </c>
      <c r="D3588" s="423" t="s">
        <v>3963</v>
      </c>
      <c r="E3588" s="748" t="s">
        <v>3965</v>
      </c>
      <c r="F3588" s="485"/>
      <c r="G3588" s="485"/>
      <c r="H3588" s="485"/>
      <c r="I3588" s="485"/>
      <c r="J3588" s="485"/>
      <c r="K3588" s="485"/>
      <c r="L3588" s="485"/>
      <c r="M3588" s="485"/>
      <c r="N3588" s="485"/>
      <c r="O3588" s="485"/>
      <c r="P3588" s="485"/>
      <c r="X3588" s="501" t="b">
        <f t="shared" si="278"/>
        <v>1</v>
      </c>
    </row>
    <row r="3589" outlineLevel="2" spans="1:24">
      <c r="A3589" s="85" t="s">
        <v>2315</v>
      </c>
      <c r="B3589" s="421" t="s">
        <v>3964</v>
      </c>
      <c r="C3589" s="429" t="str">
        <f t="shared" si="277"/>
        <v>石嘴山市深阳蓝光市政工程有限公司</v>
      </c>
      <c r="D3589" s="423" t="s">
        <v>3963</v>
      </c>
      <c r="E3589" s="748" t="s">
        <v>2334</v>
      </c>
      <c r="F3589" s="1164"/>
      <c r="G3589" s="1164"/>
      <c r="H3589" s="1164"/>
      <c r="I3589" s="1164"/>
      <c r="J3589" s="485"/>
      <c r="K3589" s="485"/>
      <c r="L3589" s="485"/>
      <c r="M3589" s="485"/>
      <c r="N3589" s="485"/>
      <c r="O3589" s="485"/>
      <c r="P3589" s="485"/>
      <c r="X3589" s="501" t="b">
        <f t="shared" si="278"/>
        <v>1</v>
      </c>
    </row>
    <row r="3590" outlineLevel="2" spans="2:24">
      <c r="B3590" s="421" t="s">
        <v>3964</v>
      </c>
      <c r="C3590" s="429" t="str">
        <f t="shared" si="277"/>
        <v>石嘴山市深阳蓝光市政工程有限公司</v>
      </c>
      <c r="D3590" s="423" t="s">
        <v>3963</v>
      </c>
      <c r="E3590" s="748"/>
      <c r="F3590" s="485"/>
      <c r="G3590" s="485"/>
      <c r="H3590" s="485"/>
      <c r="I3590" s="485"/>
      <c r="J3590" s="485"/>
      <c r="K3590" s="485"/>
      <c r="L3590" s="485"/>
      <c r="M3590" s="485"/>
      <c r="N3590" s="485"/>
      <c r="O3590" s="485"/>
      <c r="P3590" s="485"/>
      <c r="X3590" s="501" t="b">
        <f t="shared" si="278"/>
        <v>1</v>
      </c>
    </row>
    <row r="3591" spans="1:24">
      <c r="A3591" s="85" t="s">
        <v>3966</v>
      </c>
      <c r="B3591" s="421" t="s">
        <v>3967</v>
      </c>
      <c r="C3591" s="429" t="str">
        <f t="shared" si="277"/>
        <v>石嘴山市深阳蓝光市政工程有限公司</v>
      </c>
      <c r="D3591" s="423" t="s">
        <v>3966</v>
      </c>
      <c r="E3591" s="1483" t="s">
        <v>3966</v>
      </c>
      <c r="F3591" s="485"/>
      <c r="G3591" s="485"/>
      <c r="H3591" s="485"/>
      <c r="I3591" s="485"/>
      <c r="J3591" s="485"/>
      <c r="K3591" s="485"/>
      <c r="L3591" s="485"/>
      <c r="M3591" s="485"/>
      <c r="N3591" s="485"/>
      <c r="O3591" s="485"/>
      <c r="P3591" s="485"/>
      <c r="X3591" s="501" t="b">
        <f t="shared" si="278"/>
        <v>1</v>
      </c>
    </row>
    <row r="3592" outlineLevel="2" spans="1:24">
      <c r="A3592" s="85" t="s">
        <v>3968</v>
      </c>
      <c r="B3592" s="421" t="s">
        <v>3967</v>
      </c>
      <c r="C3592" s="429" t="str">
        <f t="shared" si="277"/>
        <v>石嘴山市深阳蓝光市政工程有限公司</v>
      </c>
      <c r="D3592" s="423" t="s">
        <v>3966</v>
      </c>
      <c r="E3592" s="748" t="s">
        <v>3969</v>
      </c>
      <c r="F3592" s="485"/>
      <c r="G3592" s="485"/>
      <c r="H3592" s="485"/>
      <c r="I3592" s="485"/>
      <c r="J3592" s="485"/>
      <c r="K3592" s="485"/>
      <c r="L3592" s="485"/>
      <c r="M3592" s="485"/>
      <c r="N3592" s="485"/>
      <c r="O3592" s="485"/>
      <c r="P3592" s="485"/>
      <c r="X3592" s="501" t="b">
        <f t="shared" si="278"/>
        <v>1</v>
      </c>
    </row>
    <row r="3593" outlineLevel="2" spans="1:24">
      <c r="A3593" s="85" t="s">
        <v>3970</v>
      </c>
      <c r="B3593" s="421" t="s">
        <v>3967</v>
      </c>
      <c r="C3593" s="429" t="str">
        <f t="shared" si="277"/>
        <v>石嘴山市深阳蓝光市政工程有限公司</v>
      </c>
      <c r="D3593" s="423" t="s">
        <v>3966</v>
      </c>
      <c r="E3593" s="748" t="s">
        <v>3971</v>
      </c>
      <c r="F3593" s="485"/>
      <c r="G3593" s="485"/>
      <c r="H3593" s="485"/>
      <c r="I3593" s="485"/>
      <c r="J3593" s="485"/>
      <c r="K3593" s="485"/>
      <c r="L3593" s="485"/>
      <c r="M3593" s="485"/>
      <c r="N3593" s="485"/>
      <c r="O3593" s="485"/>
      <c r="P3593" s="485"/>
      <c r="X3593" s="501" t="b">
        <f t="shared" si="278"/>
        <v>1</v>
      </c>
    </row>
    <row r="3594" outlineLevel="2" spans="1:24">
      <c r="A3594" s="85" t="s">
        <v>3972</v>
      </c>
      <c r="B3594" s="421" t="s">
        <v>3967</v>
      </c>
      <c r="C3594" s="429" t="str">
        <f t="shared" si="277"/>
        <v>石嘴山市深阳蓝光市政工程有限公司</v>
      </c>
      <c r="D3594" s="423" t="s">
        <v>3966</v>
      </c>
      <c r="E3594" s="748" t="s">
        <v>3973</v>
      </c>
      <c r="F3594" s="485"/>
      <c r="G3594" s="485"/>
      <c r="H3594" s="485"/>
      <c r="I3594" s="485"/>
      <c r="J3594" s="485"/>
      <c r="K3594" s="485"/>
      <c r="L3594" s="485"/>
      <c r="M3594" s="485"/>
      <c r="N3594" s="485"/>
      <c r="O3594" s="485"/>
      <c r="P3594" s="485"/>
      <c r="X3594" s="501" t="b">
        <f t="shared" si="278"/>
        <v>1</v>
      </c>
    </row>
    <row r="3595" outlineLevel="2" spans="1:24">
      <c r="A3595" s="85" t="s">
        <v>2315</v>
      </c>
      <c r="B3595" s="421" t="s">
        <v>3967</v>
      </c>
      <c r="C3595" s="429" t="str">
        <f t="shared" si="277"/>
        <v>石嘴山市深阳蓝光市政工程有限公司</v>
      </c>
      <c r="D3595" s="423" t="s">
        <v>3966</v>
      </c>
      <c r="E3595" s="748" t="s">
        <v>2334</v>
      </c>
      <c r="F3595" s="1164"/>
      <c r="G3595" s="1164"/>
      <c r="H3595" s="1164"/>
      <c r="I3595" s="1164"/>
      <c r="J3595" s="485"/>
      <c r="K3595" s="485"/>
      <c r="L3595" s="485"/>
      <c r="M3595" s="485"/>
      <c r="N3595" s="485"/>
      <c r="O3595" s="485"/>
      <c r="P3595" s="485"/>
      <c r="X3595" s="501" t="b">
        <f t="shared" si="278"/>
        <v>1</v>
      </c>
    </row>
    <row r="3596" outlineLevel="2" spans="2:24">
      <c r="B3596" s="421" t="s">
        <v>3967</v>
      </c>
      <c r="C3596" s="429" t="str">
        <f t="shared" si="277"/>
        <v>石嘴山市深阳蓝光市政工程有限公司</v>
      </c>
      <c r="D3596" s="423" t="s">
        <v>3966</v>
      </c>
      <c r="E3596" s="748"/>
      <c r="F3596" s="485"/>
      <c r="G3596" s="485"/>
      <c r="H3596" s="485"/>
      <c r="I3596" s="485"/>
      <c r="J3596" s="485"/>
      <c r="K3596" s="485"/>
      <c r="L3596" s="485"/>
      <c r="M3596" s="485"/>
      <c r="N3596" s="485"/>
      <c r="O3596" s="485"/>
      <c r="P3596" s="485"/>
      <c r="X3596" s="501" t="b">
        <f t="shared" si="278"/>
        <v>1</v>
      </c>
    </row>
    <row r="3597" outlineLevel="2" spans="2:24">
      <c r="B3597" s="421" t="s">
        <v>3967</v>
      </c>
      <c r="C3597" s="429" t="str">
        <f t="shared" ref="C3597:C3660" si="279">$G$1</f>
        <v>石嘴山市深阳蓝光市政工程有限公司</v>
      </c>
      <c r="D3597" s="423" t="s">
        <v>3966</v>
      </c>
      <c r="E3597" s="748"/>
      <c r="F3597" s="485"/>
      <c r="G3597" s="485"/>
      <c r="H3597" s="485"/>
      <c r="I3597" s="485"/>
      <c r="J3597" s="485"/>
      <c r="K3597" s="485"/>
      <c r="L3597" s="485"/>
      <c r="M3597" s="485"/>
      <c r="N3597" s="485"/>
      <c r="O3597" s="485"/>
      <c r="P3597" s="485"/>
      <c r="X3597" s="501" t="b">
        <f t="shared" si="278"/>
        <v>1</v>
      </c>
    </row>
    <row r="3598" spans="1:24">
      <c r="A3598" s="85" t="s">
        <v>3974</v>
      </c>
      <c r="B3598" s="421" t="s">
        <v>3975</v>
      </c>
      <c r="C3598" s="429" t="str">
        <f t="shared" si="279"/>
        <v>石嘴山市深阳蓝光市政工程有限公司</v>
      </c>
      <c r="D3598" s="423" t="s">
        <v>3974</v>
      </c>
      <c r="E3598" s="1483" t="s">
        <v>3974</v>
      </c>
      <c r="F3598" s="485"/>
      <c r="G3598" s="485"/>
      <c r="H3598" s="485"/>
      <c r="I3598" s="485"/>
      <c r="J3598" s="485"/>
      <c r="K3598" s="485"/>
      <c r="L3598" s="485"/>
      <c r="M3598" s="485"/>
      <c r="N3598" s="485"/>
      <c r="O3598" s="485"/>
      <c r="P3598" s="485"/>
      <c r="X3598" s="501" t="b">
        <f t="shared" si="278"/>
        <v>1</v>
      </c>
    </row>
    <row r="3599" outlineLevel="2" spans="1:24">
      <c r="A3599" s="85" t="s">
        <v>3968</v>
      </c>
      <c r="B3599" s="421" t="s">
        <v>3975</v>
      </c>
      <c r="C3599" s="429" t="str">
        <f t="shared" si="279"/>
        <v>石嘴山市深阳蓝光市政工程有限公司</v>
      </c>
      <c r="D3599" s="423" t="s">
        <v>3974</v>
      </c>
      <c r="E3599" s="748" t="s">
        <v>3969</v>
      </c>
      <c r="F3599" s="485"/>
      <c r="G3599" s="485"/>
      <c r="H3599" s="485"/>
      <c r="I3599" s="485"/>
      <c r="J3599" s="485"/>
      <c r="K3599" s="485"/>
      <c r="L3599" s="485"/>
      <c r="M3599" s="485"/>
      <c r="N3599" s="485"/>
      <c r="O3599" s="485"/>
      <c r="P3599" s="485"/>
      <c r="X3599" s="501" t="b">
        <f t="shared" si="278"/>
        <v>1</v>
      </c>
    </row>
    <row r="3600" outlineLevel="2" spans="1:24">
      <c r="A3600" s="85" t="s">
        <v>3976</v>
      </c>
      <c r="B3600" s="421" t="s">
        <v>3975</v>
      </c>
      <c r="C3600" s="429" t="str">
        <f t="shared" si="279"/>
        <v>石嘴山市深阳蓝光市政工程有限公司</v>
      </c>
      <c r="D3600" s="423" t="s">
        <v>3974</v>
      </c>
      <c r="E3600" s="748" t="s">
        <v>3977</v>
      </c>
      <c r="F3600" s="485"/>
      <c r="G3600" s="485"/>
      <c r="H3600" s="485"/>
      <c r="I3600" s="485"/>
      <c r="J3600" s="485"/>
      <c r="K3600" s="485"/>
      <c r="L3600" s="485"/>
      <c r="M3600" s="485"/>
      <c r="N3600" s="485"/>
      <c r="O3600" s="485"/>
      <c r="P3600" s="485"/>
      <c r="X3600" s="501" t="b">
        <f t="shared" si="278"/>
        <v>1</v>
      </c>
    </row>
    <row r="3601" ht="22.5" outlineLevel="2" spans="1:24">
      <c r="A3601" s="85" t="s">
        <v>60</v>
      </c>
      <c r="B3601" s="421" t="s">
        <v>3975</v>
      </c>
      <c r="C3601" s="429" t="str">
        <f t="shared" si="279"/>
        <v>石嘴山市深阳蓝光市政工程有限公司</v>
      </c>
      <c r="D3601" s="423" t="s">
        <v>3974</v>
      </c>
      <c r="E3601" s="1157" t="s">
        <v>60</v>
      </c>
      <c r="F3601" s="1157" t="s">
        <v>572</v>
      </c>
      <c r="G3601" s="1157" t="s">
        <v>3978</v>
      </c>
      <c r="H3601" s="1157" t="s">
        <v>3979</v>
      </c>
      <c r="I3601" s="485"/>
      <c r="J3601" s="485"/>
      <c r="K3601" s="485"/>
      <c r="L3601" s="485"/>
      <c r="M3601" s="485"/>
      <c r="N3601" s="485"/>
      <c r="O3601" s="485"/>
      <c r="P3601" s="485"/>
      <c r="X3601" s="501" t="b">
        <f t="shared" si="278"/>
        <v>1</v>
      </c>
    </row>
    <row r="3602" outlineLevel="2" spans="2:24">
      <c r="B3602" s="421" t="s">
        <v>3975</v>
      </c>
      <c r="C3602" s="429" t="str">
        <f t="shared" si="279"/>
        <v>石嘴山市深阳蓝光市政工程有限公司</v>
      </c>
      <c r="D3602" s="423" t="s">
        <v>3974</v>
      </c>
      <c r="E3602" s="486"/>
      <c r="F3602" s="486"/>
      <c r="G3602" s="486"/>
      <c r="H3602" s="486"/>
      <c r="I3602" s="485"/>
      <c r="J3602" s="485"/>
      <c r="K3602" s="485"/>
      <c r="L3602" s="485"/>
      <c r="M3602" s="485"/>
      <c r="N3602" s="485"/>
      <c r="O3602" s="485"/>
      <c r="P3602" s="485"/>
      <c r="X3602" s="501" t="b">
        <f t="shared" si="278"/>
        <v>1</v>
      </c>
    </row>
    <row r="3603" outlineLevel="2" spans="2:24">
      <c r="B3603" s="421" t="s">
        <v>3975</v>
      </c>
      <c r="C3603" s="429" t="str">
        <f t="shared" si="279"/>
        <v>石嘴山市深阳蓝光市政工程有限公司</v>
      </c>
      <c r="D3603" s="423" t="s">
        <v>3974</v>
      </c>
      <c r="E3603" s="486"/>
      <c r="F3603" s="486"/>
      <c r="G3603" s="486"/>
      <c r="H3603" s="486"/>
      <c r="I3603" s="485"/>
      <c r="J3603" s="485"/>
      <c r="K3603" s="485"/>
      <c r="L3603" s="485"/>
      <c r="M3603" s="485"/>
      <c r="N3603" s="485"/>
      <c r="O3603" s="485"/>
      <c r="P3603" s="485"/>
      <c r="X3603" s="501" t="b">
        <f t="shared" si="278"/>
        <v>1</v>
      </c>
    </row>
    <row r="3604" outlineLevel="2" spans="2:24">
      <c r="B3604" s="421" t="s">
        <v>3975</v>
      </c>
      <c r="C3604" s="429" t="str">
        <f t="shared" si="279"/>
        <v>石嘴山市深阳蓝光市政工程有限公司</v>
      </c>
      <c r="D3604" s="423" t="s">
        <v>3974</v>
      </c>
      <c r="E3604" s="1023"/>
      <c r="F3604" s="1165"/>
      <c r="G3604" s="1165"/>
      <c r="H3604" s="1165"/>
      <c r="I3604" s="485"/>
      <c r="J3604" s="485"/>
      <c r="K3604" s="485"/>
      <c r="L3604" s="485"/>
      <c r="M3604" s="485"/>
      <c r="N3604" s="485"/>
      <c r="O3604" s="485"/>
      <c r="P3604" s="485"/>
      <c r="X3604" s="501" t="b">
        <f t="shared" si="278"/>
        <v>1</v>
      </c>
    </row>
    <row r="3605" outlineLevel="2" spans="1:24">
      <c r="A3605" s="85" t="s">
        <v>3980</v>
      </c>
      <c r="B3605" s="421" t="s">
        <v>3975</v>
      </c>
      <c r="C3605" s="429" t="str">
        <f t="shared" si="279"/>
        <v>石嘴山市深阳蓝光市政工程有限公司</v>
      </c>
      <c r="D3605" s="423" t="s">
        <v>3974</v>
      </c>
      <c r="E3605" s="748" t="s">
        <v>3981</v>
      </c>
      <c r="F3605" s="485"/>
      <c r="G3605" s="485"/>
      <c r="H3605" s="485"/>
      <c r="I3605" s="485"/>
      <c r="J3605" s="485"/>
      <c r="K3605" s="485"/>
      <c r="L3605" s="485"/>
      <c r="M3605" s="485"/>
      <c r="N3605" s="485"/>
      <c r="O3605" s="485"/>
      <c r="P3605" s="485"/>
      <c r="X3605" s="501" t="b">
        <f t="shared" si="278"/>
        <v>1</v>
      </c>
    </row>
    <row r="3606" outlineLevel="2" spans="1:24">
      <c r="A3606" s="85" t="s">
        <v>2315</v>
      </c>
      <c r="B3606" s="421" t="s">
        <v>3975</v>
      </c>
      <c r="C3606" s="429" t="str">
        <f t="shared" si="279"/>
        <v>石嘴山市深阳蓝光市政工程有限公司</v>
      </c>
      <c r="D3606" s="423" t="s">
        <v>3974</v>
      </c>
      <c r="E3606" s="748" t="s">
        <v>2334</v>
      </c>
      <c r="F3606" s="1164"/>
      <c r="G3606" s="1164"/>
      <c r="H3606" s="1164"/>
      <c r="I3606" s="1164"/>
      <c r="J3606" s="485"/>
      <c r="K3606" s="485"/>
      <c r="L3606" s="485"/>
      <c r="M3606" s="485"/>
      <c r="N3606" s="485"/>
      <c r="O3606" s="485"/>
      <c r="P3606" s="485"/>
      <c r="X3606" s="501" t="b">
        <f t="shared" si="278"/>
        <v>1</v>
      </c>
    </row>
    <row r="3607" outlineLevel="2" spans="1:24">
      <c r="A3607" s="85" t="s">
        <v>3982</v>
      </c>
      <c r="B3607" s="421" t="s">
        <v>3975</v>
      </c>
      <c r="C3607" s="429" t="str">
        <f t="shared" si="279"/>
        <v>石嘴山市深阳蓝光市政工程有限公司</v>
      </c>
      <c r="D3607" s="423" t="s">
        <v>3974</v>
      </c>
      <c r="E3607" s="748" t="s">
        <v>3983</v>
      </c>
      <c r="F3607" s="485"/>
      <c r="G3607" s="485"/>
      <c r="H3607" s="485"/>
      <c r="I3607" s="485"/>
      <c r="J3607" s="485"/>
      <c r="K3607" s="485"/>
      <c r="L3607" s="485"/>
      <c r="M3607" s="485"/>
      <c r="N3607" s="485"/>
      <c r="O3607" s="485"/>
      <c r="P3607" s="485"/>
      <c r="X3607" s="501" t="b">
        <f t="shared" si="278"/>
        <v>1</v>
      </c>
    </row>
    <row r="3608" outlineLevel="2" spans="1:24">
      <c r="A3608" s="85" t="s">
        <v>2315</v>
      </c>
      <c r="B3608" s="421" t="s">
        <v>3975</v>
      </c>
      <c r="C3608" s="429" t="str">
        <f t="shared" si="279"/>
        <v>石嘴山市深阳蓝光市政工程有限公司</v>
      </c>
      <c r="D3608" s="423" t="s">
        <v>3974</v>
      </c>
      <c r="E3608" s="748" t="s">
        <v>2334</v>
      </c>
      <c r="F3608" s="1164"/>
      <c r="G3608" s="1164"/>
      <c r="H3608" s="1164"/>
      <c r="I3608" s="1164"/>
      <c r="J3608" s="485"/>
      <c r="K3608" s="485"/>
      <c r="L3608" s="485"/>
      <c r="M3608" s="485"/>
      <c r="N3608" s="485"/>
      <c r="O3608" s="485"/>
      <c r="P3608" s="485"/>
      <c r="X3608" s="501" t="b">
        <f t="shared" si="278"/>
        <v>1</v>
      </c>
    </row>
    <row r="3609" outlineLevel="2" spans="2:24">
      <c r="B3609" s="421" t="s">
        <v>3975</v>
      </c>
      <c r="C3609" s="429" t="str">
        <f t="shared" si="279"/>
        <v>石嘴山市深阳蓝光市政工程有限公司</v>
      </c>
      <c r="D3609" s="423" t="s">
        <v>3974</v>
      </c>
      <c r="E3609" s="748"/>
      <c r="F3609" s="485"/>
      <c r="G3609" s="485"/>
      <c r="H3609" s="485"/>
      <c r="I3609" s="485"/>
      <c r="J3609" s="485"/>
      <c r="K3609" s="485"/>
      <c r="L3609" s="485"/>
      <c r="M3609" s="485"/>
      <c r="N3609" s="485"/>
      <c r="O3609" s="485"/>
      <c r="P3609" s="485"/>
      <c r="X3609" s="501" t="b">
        <f t="shared" si="278"/>
        <v>1</v>
      </c>
    </row>
    <row r="3610" spans="1:24">
      <c r="A3610" s="85" t="s">
        <v>3984</v>
      </c>
      <c r="B3610" s="421" t="s">
        <v>3985</v>
      </c>
      <c r="C3610" s="429" t="str">
        <f t="shared" si="279"/>
        <v>石嘴山市深阳蓝光市政工程有限公司</v>
      </c>
      <c r="D3610" s="423" t="s">
        <v>3984</v>
      </c>
      <c r="E3610" s="1483" t="s">
        <v>3984</v>
      </c>
      <c r="F3610" s="485"/>
      <c r="G3610" s="485"/>
      <c r="H3610" s="485"/>
      <c r="I3610" s="485"/>
      <c r="J3610" s="485"/>
      <c r="K3610" s="485"/>
      <c r="L3610" s="485"/>
      <c r="M3610" s="485"/>
      <c r="N3610" s="485"/>
      <c r="O3610" s="485"/>
      <c r="P3610" s="485"/>
      <c r="X3610" s="501" t="b">
        <f t="shared" si="278"/>
        <v>1</v>
      </c>
    </row>
    <row r="3611" outlineLevel="2" spans="1:24">
      <c r="A3611" s="85" t="s">
        <v>3986</v>
      </c>
      <c r="B3611" s="421" t="s">
        <v>3985</v>
      </c>
      <c r="C3611" s="429" t="str">
        <f t="shared" si="279"/>
        <v>石嘴山市深阳蓝光市政工程有限公司</v>
      </c>
      <c r="D3611" s="423" t="s">
        <v>3984</v>
      </c>
      <c r="E3611" s="748" t="s">
        <v>3987</v>
      </c>
      <c r="F3611" s="485"/>
      <c r="G3611" s="485"/>
      <c r="H3611" s="485"/>
      <c r="I3611" s="485"/>
      <c r="J3611" s="485"/>
      <c r="K3611" s="485"/>
      <c r="L3611" s="485"/>
      <c r="M3611" s="485"/>
      <c r="N3611" s="485"/>
      <c r="O3611" s="485"/>
      <c r="P3611" s="485"/>
      <c r="X3611" s="501" t="b">
        <f t="shared" si="278"/>
        <v>1</v>
      </c>
    </row>
    <row r="3612" outlineLevel="2" spans="1:24">
      <c r="A3612" s="85" t="s">
        <v>3988</v>
      </c>
      <c r="B3612" s="421" t="s">
        <v>3985</v>
      </c>
      <c r="C3612" s="429" t="str">
        <f t="shared" si="279"/>
        <v>石嘴山市深阳蓝光市政工程有限公司</v>
      </c>
      <c r="D3612" s="423" t="s">
        <v>3984</v>
      </c>
      <c r="E3612" s="748" t="s">
        <v>3989</v>
      </c>
      <c r="F3612" s="485"/>
      <c r="G3612" s="485"/>
      <c r="H3612" s="485"/>
      <c r="I3612" s="485"/>
      <c r="J3612" s="485"/>
      <c r="K3612" s="485"/>
      <c r="L3612" s="485"/>
      <c r="M3612" s="485"/>
      <c r="N3612" s="485"/>
      <c r="O3612" s="485"/>
      <c r="P3612" s="485"/>
      <c r="X3612" s="501" t="b">
        <f t="shared" si="278"/>
        <v>1</v>
      </c>
    </row>
    <row r="3613" outlineLevel="2" spans="1:24">
      <c r="A3613" s="85" t="s">
        <v>3990</v>
      </c>
      <c r="B3613" s="421" t="s">
        <v>3985</v>
      </c>
      <c r="C3613" s="429" t="str">
        <f t="shared" si="279"/>
        <v>石嘴山市深阳蓝光市政工程有限公司</v>
      </c>
      <c r="D3613" s="423" t="s">
        <v>3984</v>
      </c>
      <c r="E3613" s="748" t="s">
        <v>3991</v>
      </c>
      <c r="F3613" s="485"/>
      <c r="G3613" s="485"/>
      <c r="H3613" s="485"/>
      <c r="I3613" s="485"/>
      <c r="J3613" s="485"/>
      <c r="K3613" s="485"/>
      <c r="L3613" s="485"/>
      <c r="M3613" s="485"/>
      <c r="N3613" s="485"/>
      <c r="O3613" s="485"/>
      <c r="P3613" s="485"/>
      <c r="X3613" s="501" t="b">
        <f t="shared" si="278"/>
        <v>1</v>
      </c>
    </row>
    <row r="3614" outlineLevel="2" spans="1:24">
      <c r="A3614" s="85" t="s">
        <v>3992</v>
      </c>
      <c r="B3614" s="421" t="s">
        <v>3985</v>
      </c>
      <c r="C3614" s="429" t="str">
        <f t="shared" si="279"/>
        <v>石嘴山市深阳蓝光市政工程有限公司</v>
      </c>
      <c r="D3614" s="423" t="s">
        <v>3984</v>
      </c>
      <c r="E3614" s="748" t="s">
        <v>3993</v>
      </c>
      <c r="F3614" s="485"/>
      <c r="G3614" s="485"/>
      <c r="H3614" s="485"/>
      <c r="I3614" s="485"/>
      <c r="J3614" s="485"/>
      <c r="K3614" s="485"/>
      <c r="L3614" s="485"/>
      <c r="M3614" s="485"/>
      <c r="N3614" s="485"/>
      <c r="O3614" s="485"/>
      <c r="P3614" s="485"/>
      <c r="X3614" s="501" t="b">
        <f t="shared" si="278"/>
        <v>1</v>
      </c>
    </row>
    <row r="3615" outlineLevel="2" spans="1:24">
      <c r="A3615" s="85" t="s">
        <v>2315</v>
      </c>
      <c r="B3615" s="421" t="s">
        <v>3985</v>
      </c>
      <c r="C3615" s="429" t="str">
        <f t="shared" si="279"/>
        <v>石嘴山市深阳蓝光市政工程有限公司</v>
      </c>
      <c r="D3615" s="423" t="s">
        <v>3984</v>
      </c>
      <c r="E3615" s="748" t="s">
        <v>2334</v>
      </c>
      <c r="F3615" s="1164"/>
      <c r="G3615" s="1164"/>
      <c r="H3615" s="1164"/>
      <c r="I3615" s="1164"/>
      <c r="J3615" s="485"/>
      <c r="K3615" s="485"/>
      <c r="L3615" s="485"/>
      <c r="M3615" s="485"/>
      <c r="N3615" s="485"/>
      <c r="O3615" s="485"/>
      <c r="P3615" s="485"/>
      <c r="X3615" s="501" t="b">
        <f t="shared" si="278"/>
        <v>1</v>
      </c>
    </row>
    <row r="3616" outlineLevel="2" spans="2:24">
      <c r="B3616" s="421" t="s">
        <v>3985</v>
      </c>
      <c r="C3616" s="429" t="str">
        <f t="shared" si="279"/>
        <v>石嘴山市深阳蓝光市政工程有限公司</v>
      </c>
      <c r="D3616" s="423" t="s">
        <v>3984</v>
      </c>
      <c r="E3616" s="748"/>
      <c r="F3616" s="485"/>
      <c r="G3616" s="485"/>
      <c r="H3616" s="485"/>
      <c r="I3616" s="485"/>
      <c r="J3616" s="485"/>
      <c r="K3616" s="485"/>
      <c r="L3616" s="485"/>
      <c r="M3616" s="485"/>
      <c r="N3616" s="485"/>
      <c r="O3616" s="485"/>
      <c r="P3616" s="485"/>
      <c r="X3616" s="501" t="b">
        <f t="shared" si="278"/>
        <v>1</v>
      </c>
    </row>
    <row r="3617" outlineLevel="2" spans="2:24">
      <c r="B3617" s="421" t="s">
        <v>3985</v>
      </c>
      <c r="C3617" s="429" t="str">
        <f t="shared" si="279"/>
        <v>石嘴山市深阳蓝光市政工程有限公司</v>
      </c>
      <c r="D3617" s="423" t="s">
        <v>3984</v>
      </c>
      <c r="E3617" s="748"/>
      <c r="F3617" s="485"/>
      <c r="G3617" s="485"/>
      <c r="H3617" s="485"/>
      <c r="I3617" s="485"/>
      <c r="J3617" s="485"/>
      <c r="K3617" s="485"/>
      <c r="L3617" s="485"/>
      <c r="M3617" s="485"/>
      <c r="N3617" s="485"/>
      <c r="O3617" s="485"/>
      <c r="P3617" s="485"/>
      <c r="X3617" s="501" t="b">
        <f t="shared" si="278"/>
        <v>1</v>
      </c>
    </row>
    <row r="3618" collapsed="1" spans="1:24">
      <c r="A3618" s="85" t="s">
        <v>3994</v>
      </c>
      <c r="B3618" s="421" t="s">
        <v>3995</v>
      </c>
      <c r="C3618" s="429" t="str">
        <f t="shared" si="279"/>
        <v>石嘴山市深阳蓝光市政工程有限公司</v>
      </c>
      <c r="D3618" s="423" t="s">
        <v>3994</v>
      </c>
      <c r="E3618" s="1483" t="s">
        <v>3994</v>
      </c>
      <c r="F3618" s="485"/>
      <c r="G3618" s="485"/>
      <c r="H3618" s="485"/>
      <c r="I3618" s="485"/>
      <c r="J3618" s="485"/>
      <c r="K3618" s="485"/>
      <c r="L3618" s="485"/>
      <c r="M3618" s="485"/>
      <c r="N3618" s="485"/>
      <c r="O3618" s="485"/>
      <c r="P3618" s="485"/>
      <c r="X3618" s="501" t="b">
        <f t="shared" si="278"/>
        <v>1</v>
      </c>
    </row>
    <row r="3619" hidden="1" outlineLevel="2" spans="1:24">
      <c r="A3619" s="85" t="s">
        <v>3996</v>
      </c>
      <c r="B3619" s="421" t="s">
        <v>3995</v>
      </c>
      <c r="C3619" s="429" t="str">
        <f t="shared" si="279"/>
        <v>石嘴山市深阳蓝光市政工程有限公司</v>
      </c>
      <c r="D3619" s="423" t="s">
        <v>3994</v>
      </c>
      <c r="E3619" s="748" t="s">
        <v>3997</v>
      </c>
      <c r="F3619" s="485"/>
      <c r="G3619" s="485"/>
      <c r="H3619" s="485"/>
      <c r="I3619" s="485"/>
      <c r="J3619" s="485"/>
      <c r="K3619" s="485"/>
      <c r="L3619" s="485"/>
      <c r="M3619" s="485"/>
      <c r="N3619" s="485"/>
      <c r="O3619" s="485"/>
      <c r="P3619" s="485"/>
      <c r="X3619" s="501" t="b">
        <f t="shared" si="278"/>
        <v>1</v>
      </c>
    </row>
    <row r="3620" hidden="1" outlineLevel="2" spans="1:24">
      <c r="A3620" s="85" t="s">
        <v>3998</v>
      </c>
      <c r="B3620" s="421" t="s">
        <v>3995</v>
      </c>
      <c r="C3620" s="429" t="str">
        <f t="shared" si="279"/>
        <v>石嘴山市深阳蓝光市政工程有限公司</v>
      </c>
      <c r="D3620" s="423" t="s">
        <v>3994</v>
      </c>
      <c r="E3620" s="748" t="s">
        <v>3999</v>
      </c>
      <c r="F3620" s="485"/>
      <c r="G3620" s="485"/>
      <c r="H3620" s="485"/>
      <c r="I3620" s="485"/>
      <c r="J3620" s="485"/>
      <c r="K3620" s="485"/>
      <c r="L3620" s="485"/>
      <c r="M3620" s="485"/>
      <c r="N3620" s="485"/>
      <c r="O3620" s="485"/>
      <c r="P3620" s="485"/>
      <c r="X3620" s="501" t="b">
        <f t="shared" si="278"/>
        <v>1</v>
      </c>
    </row>
    <row r="3621" hidden="1" outlineLevel="2" spans="1:24">
      <c r="A3621" s="85" t="s">
        <v>4000</v>
      </c>
      <c r="B3621" s="421" t="s">
        <v>3995</v>
      </c>
      <c r="C3621" s="429" t="str">
        <f t="shared" si="279"/>
        <v>石嘴山市深阳蓝光市政工程有限公司</v>
      </c>
      <c r="D3621" s="423" t="s">
        <v>3994</v>
      </c>
      <c r="E3621" s="748" t="s">
        <v>4001</v>
      </c>
      <c r="F3621" s="485"/>
      <c r="G3621" s="485"/>
      <c r="H3621" s="485"/>
      <c r="I3621" s="485"/>
      <c r="J3621" s="485"/>
      <c r="K3621" s="485"/>
      <c r="L3621" s="485"/>
      <c r="M3621" s="485"/>
      <c r="N3621" s="485"/>
      <c r="O3621" s="485"/>
      <c r="P3621" s="485"/>
      <c r="X3621" s="501" t="b">
        <f t="shared" ref="X3621:X3684" si="280">EXACT(A3621,E3621)</f>
        <v>1</v>
      </c>
    </row>
    <row r="3622" hidden="1" outlineLevel="2" spans="1:24">
      <c r="A3622" s="85" t="s">
        <v>4002</v>
      </c>
      <c r="B3622" s="421" t="s">
        <v>3995</v>
      </c>
      <c r="C3622" s="429" t="str">
        <f t="shared" si="279"/>
        <v>石嘴山市深阳蓝光市政工程有限公司</v>
      </c>
      <c r="D3622" s="423" t="s">
        <v>3994</v>
      </c>
      <c r="E3622" s="748" t="s">
        <v>4003</v>
      </c>
      <c r="F3622" s="485"/>
      <c r="G3622" s="485"/>
      <c r="H3622" s="485"/>
      <c r="I3622" s="485"/>
      <c r="J3622" s="485"/>
      <c r="K3622" s="485"/>
      <c r="L3622" s="485"/>
      <c r="M3622" s="485"/>
      <c r="N3622" s="485"/>
      <c r="O3622" s="485"/>
      <c r="P3622" s="485"/>
      <c r="X3622" s="501" t="b">
        <f t="shared" si="280"/>
        <v>1</v>
      </c>
    </row>
    <row r="3623" hidden="1" outlineLevel="2" spans="1:24">
      <c r="A3623" s="85" t="s">
        <v>4004</v>
      </c>
      <c r="B3623" s="421" t="s">
        <v>3995</v>
      </c>
      <c r="C3623" s="429" t="str">
        <f t="shared" si="279"/>
        <v>石嘴山市深阳蓝光市政工程有限公司</v>
      </c>
      <c r="D3623" s="423" t="s">
        <v>3994</v>
      </c>
      <c r="E3623" s="748" t="s">
        <v>4005</v>
      </c>
      <c r="F3623" s="485"/>
      <c r="G3623" s="485"/>
      <c r="H3623" s="485"/>
      <c r="I3623" s="485"/>
      <c r="J3623" s="485"/>
      <c r="K3623" s="485"/>
      <c r="L3623" s="485"/>
      <c r="M3623" s="485"/>
      <c r="N3623" s="485"/>
      <c r="O3623" s="485"/>
      <c r="P3623" s="485"/>
      <c r="X3623" s="501" t="b">
        <f t="shared" si="280"/>
        <v>1</v>
      </c>
    </row>
    <row r="3624" hidden="1" outlineLevel="2" spans="1:24">
      <c r="A3624" s="85" t="s">
        <v>4006</v>
      </c>
      <c r="B3624" s="421" t="s">
        <v>3995</v>
      </c>
      <c r="C3624" s="429" t="str">
        <f t="shared" si="279"/>
        <v>石嘴山市深阳蓝光市政工程有限公司</v>
      </c>
      <c r="D3624" s="423" t="s">
        <v>3994</v>
      </c>
      <c r="E3624" s="748" t="s">
        <v>4007</v>
      </c>
      <c r="F3624" s="485"/>
      <c r="G3624" s="485"/>
      <c r="H3624" s="485"/>
      <c r="I3624" s="485"/>
      <c r="J3624" s="485"/>
      <c r="K3624" s="485"/>
      <c r="L3624" s="485"/>
      <c r="M3624" s="485"/>
      <c r="N3624" s="485"/>
      <c r="O3624" s="485"/>
      <c r="P3624" s="485"/>
      <c r="X3624" s="501" t="b">
        <f t="shared" si="280"/>
        <v>1</v>
      </c>
    </row>
    <row r="3625" hidden="1" outlineLevel="2" spans="1:24">
      <c r="A3625" s="85" t="s">
        <v>4008</v>
      </c>
      <c r="B3625" s="421" t="s">
        <v>3995</v>
      </c>
      <c r="C3625" s="429" t="str">
        <f t="shared" si="279"/>
        <v>石嘴山市深阳蓝光市政工程有限公司</v>
      </c>
      <c r="D3625" s="423" t="s">
        <v>3994</v>
      </c>
      <c r="E3625" s="748" t="s">
        <v>4008</v>
      </c>
      <c r="F3625" s="485"/>
      <c r="G3625" s="485"/>
      <c r="H3625" s="485"/>
      <c r="I3625" s="485"/>
      <c r="J3625" s="485"/>
      <c r="K3625" s="485"/>
      <c r="L3625" s="485"/>
      <c r="M3625" s="485"/>
      <c r="N3625" s="485"/>
      <c r="O3625" s="485"/>
      <c r="P3625" s="485"/>
      <c r="X3625" s="501" t="b">
        <f t="shared" si="280"/>
        <v>1</v>
      </c>
    </row>
    <row r="3626" hidden="1" outlineLevel="2" spans="1:24">
      <c r="A3626" s="85" t="s">
        <v>4009</v>
      </c>
      <c r="B3626" s="421" t="s">
        <v>3995</v>
      </c>
      <c r="C3626" s="429" t="str">
        <f t="shared" si="279"/>
        <v>石嘴山市深阳蓝光市政工程有限公司</v>
      </c>
      <c r="D3626" s="423" t="s">
        <v>3994</v>
      </c>
      <c r="E3626" s="748" t="s">
        <v>4010</v>
      </c>
      <c r="F3626" s="485"/>
      <c r="G3626" s="485"/>
      <c r="H3626" s="485"/>
      <c r="I3626" s="485"/>
      <c r="J3626" s="485"/>
      <c r="K3626" s="485"/>
      <c r="L3626" s="485"/>
      <c r="M3626" s="485"/>
      <c r="N3626" s="485"/>
      <c r="O3626" s="485"/>
      <c r="P3626" s="485"/>
      <c r="X3626" s="501" t="b">
        <f t="shared" si="280"/>
        <v>1</v>
      </c>
    </row>
    <row r="3627" hidden="1" outlineLevel="2" spans="1:24">
      <c r="A3627" s="85" t="s">
        <v>4011</v>
      </c>
      <c r="B3627" s="421" t="s">
        <v>3995</v>
      </c>
      <c r="C3627" s="429" t="str">
        <f t="shared" si="279"/>
        <v>石嘴山市深阳蓝光市政工程有限公司</v>
      </c>
      <c r="D3627" s="423" t="s">
        <v>3994</v>
      </c>
      <c r="E3627" s="748" t="s">
        <v>4012</v>
      </c>
      <c r="F3627" s="485"/>
      <c r="G3627" s="485"/>
      <c r="H3627" s="485"/>
      <c r="I3627" s="485"/>
      <c r="J3627" s="485"/>
      <c r="K3627" s="485"/>
      <c r="L3627" s="485"/>
      <c r="M3627" s="485"/>
      <c r="N3627" s="485"/>
      <c r="O3627" s="485"/>
      <c r="P3627" s="485"/>
      <c r="X3627" s="501" t="b">
        <f t="shared" si="280"/>
        <v>1</v>
      </c>
    </row>
    <row r="3628" hidden="1" outlineLevel="2" spans="1:24">
      <c r="A3628" s="85" t="s">
        <v>4013</v>
      </c>
      <c r="B3628" s="421" t="s">
        <v>3995</v>
      </c>
      <c r="C3628" s="429" t="str">
        <f t="shared" si="279"/>
        <v>石嘴山市深阳蓝光市政工程有限公司</v>
      </c>
      <c r="D3628" s="423" t="s">
        <v>3994</v>
      </c>
      <c r="E3628" s="748" t="s">
        <v>4014</v>
      </c>
      <c r="F3628" s="485"/>
      <c r="G3628" s="485"/>
      <c r="H3628" s="485"/>
      <c r="I3628" s="485"/>
      <c r="J3628" s="485"/>
      <c r="K3628" s="485"/>
      <c r="L3628" s="485"/>
      <c r="M3628" s="485"/>
      <c r="N3628" s="485"/>
      <c r="O3628" s="485"/>
      <c r="P3628" s="485"/>
      <c r="X3628" s="501" t="b">
        <f t="shared" si="280"/>
        <v>1</v>
      </c>
    </row>
    <row r="3629" hidden="1" outlineLevel="2" spans="1:24">
      <c r="A3629" s="85" t="s">
        <v>4015</v>
      </c>
      <c r="B3629" s="421" t="s">
        <v>3995</v>
      </c>
      <c r="C3629" s="429" t="str">
        <f t="shared" si="279"/>
        <v>石嘴山市深阳蓝光市政工程有限公司</v>
      </c>
      <c r="D3629" s="423" t="s">
        <v>3994</v>
      </c>
      <c r="E3629" s="748" t="s">
        <v>4016</v>
      </c>
      <c r="F3629" s="485"/>
      <c r="G3629" s="485"/>
      <c r="H3629" s="485"/>
      <c r="I3629" s="485"/>
      <c r="J3629" s="485"/>
      <c r="K3629" s="485"/>
      <c r="L3629" s="485"/>
      <c r="M3629" s="485"/>
      <c r="N3629" s="485"/>
      <c r="O3629" s="485"/>
      <c r="P3629" s="485"/>
      <c r="X3629" s="501" t="b">
        <f t="shared" si="280"/>
        <v>1</v>
      </c>
    </row>
    <row r="3630" hidden="1" outlineLevel="2" spans="1:24">
      <c r="A3630" s="85" t="s">
        <v>2315</v>
      </c>
      <c r="B3630" s="421" t="s">
        <v>3995</v>
      </c>
      <c r="C3630" s="429" t="str">
        <f t="shared" si="279"/>
        <v>石嘴山市深阳蓝光市政工程有限公司</v>
      </c>
      <c r="D3630" s="423" t="s">
        <v>3994</v>
      </c>
      <c r="E3630" s="748" t="s">
        <v>2334</v>
      </c>
      <c r="F3630" s="1164"/>
      <c r="G3630" s="1164"/>
      <c r="H3630" s="1164"/>
      <c r="I3630" s="1164"/>
      <c r="J3630" s="485"/>
      <c r="K3630" s="485"/>
      <c r="L3630" s="485"/>
      <c r="M3630" s="485"/>
      <c r="N3630" s="485"/>
      <c r="O3630" s="485"/>
      <c r="P3630" s="485"/>
      <c r="X3630" s="501" t="b">
        <f t="shared" si="280"/>
        <v>1</v>
      </c>
    </row>
    <row r="3631" hidden="1" outlineLevel="2" spans="2:24">
      <c r="B3631" s="421" t="s">
        <v>3995</v>
      </c>
      <c r="C3631" s="429" t="str">
        <f t="shared" si="279"/>
        <v>石嘴山市深阳蓝光市政工程有限公司</v>
      </c>
      <c r="D3631" s="423" t="s">
        <v>3994</v>
      </c>
      <c r="E3631" s="748"/>
      <c r="F3631" s="485"/>
      <c r="G3631" s="485"/>
      <c r="H3631" s="485"/>
      <c r="I3631" s="485"/>
      <c r="J3631" s="485"/>
      <c r="K3631" s="485"/>
      <c r="L3631" s="485"/>
      <c r="M3631" s="485"/>
      <c r="N3631" s="485"/>
      <c r="O3631" s="485"/>
      <c r="P3631" s="485"/>
      <c r="X3631" s="501" t="b">
        <f t="shared" si="280"/>
        <v>1</v>
      </c>
    </row>
    <row r="3632" hidden="1" outlineLevel="2" spans="2:24">
      <c r="B3632" s="421" t="s">
        <v>3995</v>
      </c>
      <c r="C3632" s="429" t="str">
        <f t="shared" si="279"/>
        <v>石嘴山市深阳蓝光市政工程有限公司</v>
      </c>
      <c r="D3632" s="423" t="s">
        <v>3994</v>
      </c>
      <c r="E3632" s="748"/>
      <c r="F3632" s="485"/>
      <c r="G3632" s="485"/>
      <c r="H3632" s="485"/>
      <c r="I3632" s="485"/>
      <c r="J3632" s="485"/>
      <c r="K3632" s="485"/>
      <c r="L3632" s="485"/>
      <c r="M3632" s="485"/>
      <c r="N3632" s="485"/>
      <c r="O3632" s="485"/>
      <c r="P3632" s="485"/>
      <c r="X3632" s="501" t="b">
        <f t="shared" si="280"/>
        <v>1</v>
      </c>
    </row>
    <row r="3633" hidden="1" outlineLevel="2" spans="2:24">
      <c r="B3633" s="421" t="s">
        <v>3995</v>
      </c>
      <c r="C3633" s="429" t="str">
        <f t="shared" si="279"/>
        <v>石嘴山市深阳蓝光市政工程有限公司</v>
      </c>
      <c r="D3633" s="423" t="s">
        <v>3994</v>
      </c>
      <c r="E3633" s="748"/>
      <c r="F3633" s="485"/>
      <c r="G3633" s="485"/>
      <c r="H3633" s="485"/>
      <c r="I3633" s="485"/>
      <c r="J3633" s="485"/>
      <c r="K3633" s="485"/>
      <c r="L3633" s="485"/>
      <c r="M3633" s="485"/>
      <c r="N3633" s="485"/>
      <c r="O3633" s="485"/>
      <c r="P3633" s="485"/>
      <c r="X3633" s="501" t="b">
        <f t="shared" si="280"/>
        <v>1</v>
      </c>
    </row>
    <row r="3634" collapsed="1" spans="1:24">
      <c r="A3634" s="85" t="s">
        <v>4017</v>
      </c>
      <c r="B3634" s="421" t="s">
        <v>4018</v>
      </c>
      <c r="C3634" s="429" t="str">
        <f t="shared" si="279"/>
        <v>石嘴山市深阳蓝光市政工程有限公司</v>
      </c>
      <c r="D3634" s="423" t="s">
        <v>4017</v>
      </c>
      <c r="E3634" s="1483" t="s">
        <v>4017</v>
      </c>
      <c r="F3634" s="485"/>
      <c r="G3634" s="485"/>
      <c r="H3634" s="485"/>
      <c r="I3634" s="485"/>
      <c r="J3634" s="485"/>
      <c r="K3634" s="485"/>
      <c r="L3634" s="485"/>
      <c r="M3634" s="485"/>
      <c r="N3634" s="485"/>
      <c r="O3634" s="485"/>
      <c r="P3634" s="485"/>
      <c r="X3634" s="501" t="b">
        <f t="shared" si="280"/>
        <v>1</v>
      </c>
    </row>
    <row r="3635" hidden="1" outlineLevel="2" spans="1:24">
      <c r="A3635" s="85" t="s">
        <v>3986</v>
      </c>
      <c r="B3635" s="421" t="s">
        <v>4018</v>
      </c>
      <c r="C3635" s="429" t="str">
        <f t="shared" si="279"/>
        <v>石嘴山市深阳蓝光市政工程有限公司</v>
      </c>
      <c r="D3635" s="423" t="s">
        <v>4017</v>
      </c>
      <c r="E3635" s="748" t="s">
        <v>3987</v>
      </c>
      <c r="F3635" s="485"/>
      <c r="G3635" s="485"/>
      <c r="H3635" s="485"/>
      <c r="I3635" s="485"/>
      <c r="J3635" s="485"/>
      <c r="K3635" s="485"/>
      <c r="L3635" s="485"/>
      <c r="M3635" s="485"/>
      <c r="N3635" s="485"/>
      <c r="O3635" s="485"/>
      <c r="P3635" s="485"/>
      <c r="X3635" s="501" t="b">
        <f t="shared" si="280"/>
        <v>1</v>
      </c>
    </row>
    <row r="3636" hidden="1" outlineLevel="2" spans="1:24">
      <c r="A3636" s="85" t="s">
        <v>4019</v>
      </c>
      <c r="B3636" s="421" t="s">
        <v>4018</v>
      </c>
      <c r="C3636" s="429" t="str">
        <f t="shared" si="279"/>
        <v>石嘴山市深阳蓝光市政工程有限公司</v>
      </c>
      <c r="D3636" s="423" t="s">
        <v>4017</v>
      </c>
      <c r="E3636" s="748" t="s">
        <v>4020</v>
      </c>
      <c r="F3636" s="485"/>
      <c r="G3636" s="485"/>
      <c r="H3636" s="485"/>
      <c r="I3636" s="485"/>
      <c r="J3636" s="485"/>
      <c r="K3636" s="485"/>
      <c r="L3636" s="485"/>
      <c r="M3636" s="485"/>
      <c r="N3636" s="485"/>
      <c r="O3636" s="485"/>
      <c r="P3636" s="485"/>
      <c r="X3636" s="501" t="b">
        <f t="shared" si="280"/>
        <v>1</v>
      </c>
    </row>
    <row r="3637" hidden="1" outlineLevel="2" spans="1:24">
      <c r="A3637" s="85" t="s">
        <v>4021</v>
      </c>
      <c r="B3637" s="421" t="s">
        <v>4018</v>
      </c>
      <c r="C3637" s="429" t="str">
        <f t="shared" si="279"/>
        <v>石嘴山市深阳蓝光市政工程有限公司</v>
      </c>
      <c r="D3637" s="423" t="s">
        <v>4017</v>
      </c>
      <c r="E3637" s="748" t="s">
        <v>4022</v>
      </c>
      <c r="F3637" s="485"/>
      <c r="G3637" s="485"/>
      <c r="H3637" s="485"/>
      <c r="I3637" s="485"/>
      <c r="J3637" s="485"/>
      <c r="K3637" s="485"/>
      <c r="L3637" s="485"/>
      <c r="M3637" s="485"/>
      <c r="N3637" s="485"/>
      <c r="O3637" s="485"/>
      <c r="P3637" s="485"/>
      <c r="X3637" s="501" t="b">
        <f t="shared" si="280"/>
        <v>1</v>
      </c>
    </row>
    <row r="3638" hidden="1" outlineLevel="2" spans="1:24">
      <c r="A3638" s="85" t="s">
        <v>2315</v>
      </c>
      <c r="B3638" s="421" t="s">
        <v>4018</v>
      </c>
      <c r="C3638" s="429" t="str">
        <f t="shared" si="279"/>
        <v>石嘴山市深阳蓝光市政工程有限公司</v>
      </c>
      <c r="D3638" s="423" t="s">
        <v>4017</v>
      </c>
      <c r="E3638" s="748" t="s">
        <v>2334</v>
      </c>
      <c r="F3638" s="1164"/>
      <c r="G3638" s="1164"/>
      <c r="H3638" s="1164"/>
      <c r="I3638" s="1164"/>
      <c r="J3638" s="485"/>
      <c r="K3638" s="485"/>
      <c r="L3638" s="485"/>
      <c r="M3638" s="485"/>
      <c r="N3638" s="485"/>
      <c r="O3638" s="485"/>
      <c r="P3638" s="485"/>
      <c r="X3638" s="501" t="b">
        <f t="shared" si="280"/>
        <v>1</v>
      </c>
    </row>
    <row r="3639" hidden="1" outlineLevel="2" spans="2:24">
      <c r="B3639" s="421" t="s">
        <v>4018</v>
      </c>
      <c r="C3639" s="429" t="str">
        <f t="shared" si="279"/>
        <v>石嘴山市深阳蓝光市政工程有限公司</v>
      </c>
      <c r="D3639" s="423" t="s">
        <v>4017</v>
      </c>
      <c r="E3639" s="748"/>
      <c r="F3639" s="485"/>
      <c r="G3639" s="485"/>
      <c r="H3639" s="485"/>
      <c r="I3639" s="485"/>
      <c r="J3639" s="485"/>
      <c r="K3639" s="485"/>
      <c r="L3639" s="485"/>
      <c r="M3639" s="485"/>
      <c r="N3639" s="485"/>
      <c r="O3639" s="485"/>
      <c r="P3639" s="485"/>
      <c r="X3639" s="501" t="b">
        <f t="shared" si="280"/>
        <v>1</v>
      </c>
    </row>
    <row r="3640" collapsed="1" spans="1:24">
      <c r="A3640" s="85" t="s">
        <v>4023</v>
      </c>
      <c r="B3640" s="421" t="s">
        <v>4024</v>
      </c>
      <c r="C3640" s="429" t="str">
        <f t="shared" si="279"/>
        <v>石嘴山市深阳蓝光市政工程有限公司</v>
      </c>
      <c r="D3640" s="423" t="s">
        <v>4023</v>
      </c>
      <c r="E3640" s="1483" t="s">
        <v>4023</v>
      </c>
      <c r="F3640" s="485"/>
      <c r="G3640" s="485"/>
      <c r="H3640" s="485"/>
      <c r="I3640" s="485"/>
      <c r="J3640" s="485"/>
      <c r="K3640" s="485"/>
      <c r="L3640" s="485"/>
      <c r="M3640" s="485"/>
      <c r="N3640" s="485"/>
      <c r="O3640" s="485"/>
      <c r="P3640" s="485"/>
      <c r="X3640" s="501" t="b">
        <f t="shared" si="280"/>
        <v>1</v>
      </c>
    </row>
    <row r="3641" hidden="1" outlineLevel="2" spans="1:24">
      <c r="A3641" s="85" t="s">
        <v>3986</v>
      </c>
      <c r="B3641" s="421" t="s">
        <v>4024</v>
      </c>
      <c r="C3641" s="429" t="str">
        <f t="shared" si="279"/>
        <v>石嘴山市深阳蓝光市政工程有限公司</v>
      </c>
      <c r="D3641" s="423" t="s">
        <v>4023</v>
      </c>
      <c r="E3641" s="748" t="s">
        <v>3987</v>
      </c>
      <c r="F3641" s="485"/>
      <c r="G3641" s="485"/>
      <c r="H3641" s="485"/>
      <c r="I3641" s="485"/>
      <c r="J3641" s="485"/>
      <c r="K3641" s="485"/>
      <c r="L3641" s="485"/>
      <c r="M3641" s="485"/>
      <c r="N3641" s="485"/>
      <c r="O3641" s="485"/>
      <c r="P3641" s="485"/>
      <c r="X3641" s="501" t="b">
        <f t="shared" si="280"/>
        <v>1</v>
      </c>
    </row>
    <row r="3642" hidden="1" outlineLevel="2" spans="1:24">
      <c r="A3642" s="85" t="s">
        <v>4025</v>
      </c>
      <c r="B3642" s="421" t="s">
        <v>4024</v>
      </c>
      <c r="C3642" s="429" t="str">
        <f t="shared" si="279"/>
        <v>石嘴山市深阳蓝光市政工程有限公司</v>
      </c>
      <c r="D3642" s="423" t="s">
        <v>4023</v>
      </c>
      <c r="E3642" s="748" t="s">
        <v>4026</v>
      </c>
      <c r="F3642" s="485"/>
      <c r="G3642" s="485"/>
      <c r="H3642" s="485"/>
      <c r="I3642" s="485"/>
      <c r="J3642" s="485"/>
      <c r="K3642" s="485"/>
      <c r="L3642" s="485"/>
      <c r="M3642" s="485"/>
      <c r="N3642" s="485"/>
      <c r="O3642" s="485"/>
      <c r="P3642" s="485"/>
      <c r="X3642" s="501" t="b">
        <f t="shared" si="280"/>
        <v>1</v>
      </c>
    </row>
    <row r="3643" hidden="1" outlineLevel="2" spans="1:24">
      <c r="A3643" s="85" t="s">
        <v>4027</v>
      </c>
      <c r="B3643" s="421" t="s">
        <v>4024</v>
      </c>
      <c r="C3643" s="429" t="str">
        <f t="shared" si="279"/>
        <v>石嘴山市深阳蓝光市政工程有限公司</v>
      </c>
      <c r="D3643" s="423" t="s">
        <v>4023</v>
      </c>
      <c r="E3643" s="748" t="s">
        <v>4028</v>
      </c>
      <c r="F3643" s="485"/>
      <c r="G3643" s="485"/>
      <c r="H3643" s="485"/>
      <c r="I3643" s="485"/>
      <c r="J3643" s="485"/>
      <c r="K3643" s="485"/>
      <c r="L3643" s="485"/>
      <c r="M3643" s="485"/>
      <c r="N3643" s="485"/>
      <c r="O3643" s="485"/>
      <c r="P3643" s="485"/>
      <c r="X3643" s="501" t="b">
        <f t="shared" si="280"/>
        <v>1</v>
      </c>
    </row>
    <row r="3644" hidden="1" outlineLevel="2" spans="1:24">
      <c r="A3644" s="85" t="s">
        <v>2315</v>
      </c>
      <c r="B3644" s="421" t="s">
        <v>4024</v>
      </c>
      <c r="C3644" s="429" t="str">
        <f t="shared" si="279"/>
        <v>石嘴山市深阳蓝光市政工程有限公司</v>
      </c>
      <c r="D3644" s="423" t="s">
        <v>4023</v>
      </c>
      <c r="E3644" s="748" t="s">
        <v>2334</v>
      </c>
      <c r="F3644" s="1164"/>
      <c r="G3644" s="1164"/>
      <c r="H3644" s="1164"/>
      <c r="I3644" s="1164"/>
      <c r="J3644" s="485"/>
      <c r="K3644" s="485"/>
      <c r="L3644" s="485"/>
      <c r="M3644" s="485"/>
      <c r="N3644" s="485"/>
      <c r="O3644" s="485"/>
      <c r="P3644" s="485"/>
      <c r="X3644" s="501" t="b">
        <f t="shared" si="280"/>
        <v>1</v>
      </c>
    </row>
    <row r="3645" hidden="1" outlineLevel="2" spans="2:24">
      <c r="B3645" s="421" t="s">
        <v>4024</v>
      </c>
      <c r="C3645" s="429" t="str">
        <f t="shared" si="279"/>
        <v>石嘴山市深阳蓝光市政工程有限公司</v>
      </c>
      <c r="D3645" s="423" t="s">
        <v>4023</v>
      </c>
      <c r="E3645" s="748"/>
      <c r="F3645" s="485"/>
      <c r="G3645" s="485"/>
      <c r="H3645" s="485"/>
      <c r="I3645" s="485"/>
      <c r="J3645" s="485"/>
      <c r="K3645" s="485"/>
      <c r="L3645" s="485"/>
      <c r="M3645" s="485"/>
      <c r="N3645" s="485"/>
      <c r="O3645" s="485"/>
      <c r="P3645" s="485"/>
      <c r="X3645" s="501" t="b">
        <f t="shared" si="280"/>
        <v>1</v>
      </c>
    </row>
    <row r="3646" hidden="1" outlineLevel="2" spans="2:24">
      <c r="B3646" s="421" t="s">
        <v>4024</v>
      </c>
      <c r="C3646" s="429" t="str">
        <f t="shared" si="279"/>
        <v>石嘴山市深阳蓝光市政工程有限公司</v>
      </c>
      <c r="D3646" s="423" t="s">
        <v>4023</v>
      </c>
      <c r="E3646" s="748"/>
      <c r="F3646" s="485"/>
      <c r="G3646" s="485"/>
      <c r="H3646" s="485"/>
      <c r="I3646" s="485"/>
      <c r="J3646" s="485"/>
      <c r="K3646" s="485"/>
      <c r="L3646" s="485"/>
      <c r="M3646" s="485"/>
      <c r="N3646" s="485"/>
      <c r="O3646" s="485"/>
      <c r="P3646" s="485"/>
      <c r="X3646" s="501" t="b">
        <f t="shared" si="280"/>
        <v>1</v>
      </c>
    </row>
    <row r="3647" spans="1:24">
      <c r="A3647" s="85" t="s">
        <v>4029</v>
      </c>
      <c r="B3647" s="421" t="s">
        <v>4030</v>
      </c>
      <c r="C3647" s="429" t="str">
        <f t="shared" si="279"/>
        <v>石嘴山市深阳蓝光市政工程有限公司</v>
      </c>
      <c r="D3647" s="423" t="s">
        <v>4031</v>
      </c>
      <c r="E3647" s="1483" t="s">
        <v>4029</v>
      </c>
      <c r="F3647" s="485"/>
      <c r="G3647" s="485"/>
      <c r="H3647" s="485"/>
      <c r="I3647" s="485"/>
      <c r="J3647" s="485"/>
      <c r="K3647" s="485"/>
      <c r="L3647" s="485"/>
      <c r="M3647" s="485"/>
      <c r="N3647" s="485"/>
      <c r="O3647" s="485"/>
      <c r="P3647" s="485"/>
      <c r="X3647" s="501" t="b">
        <f t="shared" si="280"/>
        <v>1</v>
      </c>
    </row>
    <row r="3648" outlineLevel="2" spans="1:24">
      <c r="A3648" s="85" t="s">
        <v>4031</v>
      </c>
      <c r="B3648" s="421" t="s">
        <v>4030</v>
      </c>
      <c r="C3648" s="429" t="str">
        <f t="shared" si="279"/>
        <v>石嘴山市深阳蓝光市政工程有限公司</v>
      </c>
      <c r="D3648" s="423" t="s">
        <v>4031</v>
      </c>
      <c r="E3648" s="748" t="s">
        <v>4032</v>
      </c>
      <c r="F3648" s="485"/>
      <c r="G3648" s="485"/>
      <c r="H3648" s="485"/>
      <c r="I3648" s="485"/>
      <c r="J3648" s="485"/>
      <c r="K3648" s="485"/>
      <c r="L3648" s="485"/>
      <c r="M3648" s="485"/>
      <c r="N3648" s="485"/>
      <c r="O3648" s="485"/>
      <c r="P3648" s="485"/>
      <c r="X3648" s="501" t="b">
        <f t="shared" si="280"/>
        <v>1</v>
      </c>
    </row>
    <row r="3649" outlineLevel="2" spans="1:24">
      <c r="A3649" s="85" t="s">
        <v>4033</v>
      </c>
      <c r="B3649" s="421" t="s">
        <v>4030</v>
      </c>
      <c r="C3649" s="429" t="str">
        <f t="shared" si="279"/>
        <v>石嘴山市深阳蓝光市政工程有限公司</v>
      </c>
      <c r="D3649" s="423" t="s">
        <v>4031</v>
      </c>
      <c r="E3649" s="938" t="s">
        <v>4033</v>
      </c>
      <c r="F3649" s="938" t="s">
        <v>4034</v>
      </c>
      <c r="G3649" s="485"/>
      <c r="H3649" s="485"/>
      <c r="I3649" s="485"/>
      <c r="J3649" s="485"/>
      <c r="K3649" s="485"/>
      <c r="L3649" s="485"/>
      <c r="M3649" s="485"/>
      <c r="N3649" s="485"/>
      <c r="O3649" s="485"/>
      <c r="P3649" s="485"/>
      <c r="X3649" s="501" t="b">
        <f t="shared" si="280"/>
        <v>1</v>
      </c>
    </row>
    <row r="3650" outlineLevel="2" spans="1:24">
      <c r="A3650" s="85" t="s">
        <v>1585</v>
      </c>
      <c r="B3650" s="421" t="s">
        <v>4030</v>
      </c>
      <c r="C3650" s="429" t="str">
        <f t="shared" si="279"/>
        <v>石嘴山市深阳蓝光市政工程有限公司</v>
      </c>
      <c r="D3650" s="423" t="s">
        <v>4031</v>
      </c>
      <c r="E3650" s="1026" t="s">
        <v>2423</v>
      </c>
      <c r="F3650" s="1024"/>
      <c r="G3650" s="485"/>
      <c r="H3650" s="485"/>
      <c r="I3650" s="485"/>
      <c r="J3650" s="485"/>
      <c r="K3650" s="485"/>
      <c r="L3650" s="485"/>
      <c r="M3650" s="485"/>
      <c r="N3650" s="485"/>
      <c r="O3650" s="485"/>
      <c r="P3650" s="485"/>
      <c r="X3650" s="501" t="b">
        <f t="shared" si="280"/>
        <v>1</v>
      </c>
    </row>
    <row r="3651" outlineLevel="2" spans="1:24">
      <c r="A3651" s="85" t="s">
        <v>4035</v>
      </c>
      <c r="B3651" s="421" t="s">
        <v>4030</v>
      </c>
      <c r="C3651" s="429" t="str">
        <f t="shared" si="279"/>
        <v>石嘴山市深阳蓝光市政工程有限公司</v>
      </c>
      <c r="D3651" s="423" t="s">
        <v>4031</v>
      </c>
      <c r="E3651" s="1026" t="s">
        <v>4036</v>
      </c>
      <c r="F3651" s="1024"/>
      <c r="G3651" s="485"/>
      <c r="H3651" s="485"/>
      <c r="I3651" s="485"/>
      <c r="J3651" s="485"/>
      <c r="K3651" s="485"/>
      <c r="L3651" s="485"/>
      <c r="M3651" s="485"/>
      <c r="N3651" s="485"/>
      <c r="O3651" s="485"/>
      <c r="P3651" s="485"/>
      <c r="X3651" s="501" t="b">
        <f t="shared" si="280"/>
        <v>1</v>
      </c>
    </row>
    <row r="3652" outlineLevel="2" spans="1:24">
      <c r="A3652" s="85" t="s">
        <v>4037</v>
      </c>
      <c r="B3652" s="421" t="s">
        <v>4030</v>
      </c>
      <c r="C3652" s="429" t="str">
        <f t="shared" si="279"/>
        <v>石嘴山市深阳蓝光市政工程有限公司</v>
      </c>
      <c r="D3652" s="423" t="s">
        <v>4031</v>
      </c>
      <c r="E3652" s="1026" t="s">
        <v>4038</v>
      </c>
      <c r="F3652" s="1024"/>
      <c r="G3652" s="485"/>
      <c r="H3652" s="485"/>
      <c r="I3652" s="485"/>
      <c r="J3652" s="485"/>
      <c r="K3652" s="485"/>
      <c r="L3652" s="485"/>
      <c r="M3652" s="485"/>
      <c r="N3652" s="485"/>
      <c r="O3652" s="485"/>
      <c r="P3652" s="485"/>
      <c r="X3652" s="501" t="b">
        <f t="shared" si="280"/>
        <v>1</v>
      </c>
    </row>
    <row r="3653" outlineLevel="2" spans="1:24">
      <c r="A3653" s="85" t="s">
        <v>4039</v>
      </c>
      <c r="B3653" s="421" t="s">
        <v>4030</v>
      </c>
      <c r="C3653" s="429" t="str">
        <f t="shared" si="279"/>
        <v>石嘴山市深阳蓝光市政工程有限公司</v>
      </c>
      <c r="D3653" s="423" t="s">
        <v>4031</v>
      </c>
      <c r="E3653" s="1026" t="s">
        <v>2179</v>
      </c>
      <c r="F3653" s="1024"/>
      <c r="G3653" s="485"/>
      <c r="H3653" s="485"/>
      <c r="I3653" s="485"/>
      <c r="J3653" s="485"/>
      <c r="K3653" s="485"/>
      <c r="L3653" s="485"/>
      <c r="M3653" s="485"/>
      <c r="N3653" s="485"/>
      <c r="O3653" s="485"/>
      <c r="P3653" s="485"/>
      <c r="X3653" s="501" t="b">
        <f t="shared" si="280"/>
        <v>1</v>
      </c>
    </row>
    <row r="3654" outlineLevel="2" spans="1:24">
      <c r="A3654" s="85" t="s">
        <v>1577</v>
      </c>
      <c r="B3654" s="421" t="s">
        <v>4030</v>
      </c>
      <c r="C3654" s="429" t="str">
        <f t="shared" si="279"/>
        <v>石嘴山市深阳蓝光市政工程有限公司</v>
      </c>
      <c r="D3654" s="423" t="s">
        <v>4031</v>
      </c>
      <c r="E3654" s="1509" t="s">
        <v>2995</v>
      </c>
      <c r="F3654" s="782">
        <f>SUM(F3650:F3653)</f>
        <v>0</v>
      </c>
      <c r="G3654" s="485"/>
      <c r="H3654" s="485"/>
      <c r="I3654" s="485"/>
      <c r="J3654" s="485"/>
      <c r="K3654" s="485"/>
      <c r="L3654" s="485"/>
      <c r="M3654" s="485"/>
      <c r="N3654" s="485"/>
      <c r="O3654" s="485"/>
      <c r="P3654" s="485"/>
      <c r="X3654" s="501" t="b">
        <f t="shared" si="280"/>
        <v>1</v>
      </c>
    </row>
    <row r="3655" outlineLevel="2" spans="1:24">
      <c r="A3655" s="85" t="s">
        <v>4040</v>
      </c>
      <c r="B3655" s="421" t="s">
        <v>4030</v>
      </c>
      <c r="C3655" s="429" t="str">
        <f t="shared" si="279"/>
        <v>石嘴山市深阳蓝光市政工程有限公司</v>
      </c>
      <c r="D3655" s="423" t="s">
        <v>4031</v>
      </c>
      <c r="E3655" s="748" t="s">
        <v>4040</v>
      </c>
      <c r="F3655" s="485"/>
      <c r="G3655" s="485"/>
      <c r="H3655" s="485"/>
      <c r="I3655" s="485"/>
      <c r="J3655" s="485"/>
      <c r="K3655" s="485"/>
      <c r="L3655" s="485"/>
      <c r="M3655" s="485"/>
      <c r="N3655" s="485"/>
      <c r="O3655" s="485"/>
      <c r="P3655" s="485"/>
      <c r="X3655" s="501" t="b">
        <f t="shared" si="280"/>
        <v>1</v>
      </c>
    </row>
    <row r="3656" outlineLevel="2" spans="1:24">
      <c r="A3656" s="85" t="s">
        <v>2315</v>
      </c>
      <c r="B3656" s="421" t="s">
        <v>4030</v>
      </c>
      <c r="C3656" s="429" t="str">
        <f t="shared" si="279"/>
        <v>石嘴山市深阳蓝光市政工程有限公司</v>
      </c>
      <c r="D3656" s="423" t="s">
        <v>4031</v>
      </c>
      <c r="E3656" s="748" t="s">
        <v>2334</v>
      </c>
      <c r="F3656" s="1164"/>
      <c r="G3656" s="1164"/>
      <c r="H3656" s="1164"/>
      <c r="I3656" s="1164"/>
      <c r="J3656" s="485"/>
      <c r="K3656" s="485"/>
      <c r="L3656" s="485"/>
      <c r="M3656" s="485"/>
      <c r="N3656" s="485"/>
      <c r="O3656" s="485"/>
      <c r="P3656" s="485"/>
      <c r="X3656" s="501" t="b">
        <f t="shared" si="280"/>
        <v>1</v>
      </c>
    </row>
    <row r="3657" outlineLevel="2" spans="2:24">
      <c r="B3657" s="421" t="s">
        <v>4030</v>
      </c>
      <c r="C3657" s="429" t="str">
        <f t="shared" si="279"/>
        <v>石嘴山市深阳蓝光市政工程有限公司</v>
      </c>
      <c r="D3657" s="423" t="s">
        <v>4031</v>
      </c>
      <c r="E3657" s="748"/>
      <c r="F3657" s="485"/>
      <c r="G3657" s="485"/>
      <c r="H3657" s="485"/>
      <c r="I3657" s="485"/>
      <c r="J3657" s="485"/>
      <c r="K3657" s="485"/>
      <c r="L3657" s="485"/>
      <c r="M3657" s="485"/>
      <c r="N3657" s="485"/>
      <c r="O3657" s="485"/>
      <c r="P3657" s="485"/>
      <c r="X3657" s="501" t="b">
        <f t="shared" si="280"/>
        <v>1</v>
      </c>
    </row>
    <row r="3658" outlineLevel="2" spans="2:24">
      <c r="B3658" s="421" t="s">
        <v>4030</v>
      </c>
      <c r="C3658" s="429" t="str">
        <f t="shared" si="279"/>
        <v>石嘴山市深阳蓝光市政工程有限公司</v>
      </c>
      <c r="D3658" s="423" t="s">
        <v>4031</v>
      </c>
      <c r="E3658" s="748"/>
      <c r="F3658" s="485"/>
      <c r="G3658" s="485"/>
      <c r="H3658" s="485"/>
      <c r="I3658" s="485"/>
      <c r="J3658" s="485"/>
      <c r="K3658" s="485"/>
      <c r="L3658" s="485"/>
      <c r="M3658" s="485"/>
      <c r="N3658" s="485"/>
      <c r="O3658" s="485"/>
      <c r="P3658" s="485"/>
      <c r="X3658" s="501" t="b">
        <f t="shared" si="280"/>
        <v>1</v>
      </c>
    </row>
    <row r="3659" outlineLevel="2" spans="1:24">
      <c r="A3659" s="85" t="s">
        <v>4041</v>
      </c>
      <c r="B3659" s="421" t="s">
        <v>4030</v>
      </c>
      <c r="C3659" s="429" t="str">
        <f t="shared" si="279"/>
        <v>石嘴山市深阳蓝光市政工程有限公司</v>
      </c>
      <c r="D3659" s="423" t="s">
        <v>4041</v>
      </c>
      <c r="E3659" s="748" t="s">
        <v>4042</v>
      </c>
      <c r="F3659" s="485"/>
      <c r="G3659" s="485"/>
      <c r="H3659" s="485"/>
      <c r="I3659" s="485"/>
      <c r="J3659" s="485"/>
      <c r="K3659" s="485"/>
      <c r="L3659" s="485"/>
      <c r="M3659" s="485"/>
      <c r="N3659" s="485"/>
      <c r="O3659" s="485"/>
      <c r="P3659" s="485"/>
      <c r="X3659" s="501" t="b">
        <f t="shared" si="280"/>
        <v>1</v>
      </c>
    </row>
    <row r="3660" outlineLevel="2" spans="1:24">
      <c r="A3660" s="85" t="s">
        <v>4043</v>
      </c>
      <c r="B3660" s="421" t="s">
        <v>4030</v>
      </c>
      <c r="C3660" s="429" t="str">
        <f t="shared" si="279"/>
        <v>石嘴山市深阳蓝光市政工程有限公司</v>
      </c>
      <c r="D3660" s="423" t="s">
        <v>4041</v>
      </c>
      <c r="E3660" s="581" t="s">
        <v>4043</v>
      </c>
      <c r="F3660" s="581" t="s">
        <v>626</v>
      </c>
      <c r="G3660" s="581" t="s">
        <v>2602</v>
      </c>
      <c r="H3660" s="485"/>
      <c r="I3660" s="485"/>
      <c r="J3660" s="485"/>
      <c r="K3660" s="485"/>
      <c r="L3660" s="485"/>
      <c r="M3660" s="485"/>
      <c r="N3660" s="485"/>
      <c r="O3660" s="485"/>
      <c r="P3660" s="485"/>
      <c r="X3660" s="501" t="b">
        <f t="shared" si="280"/>
        <v>1</v>
      </c>
    </row>
    <row r="3661" outlineLevel="2" spans="1:24">
      <c r="A3661" s="85" t="s">
        <v>4044</v>
      </c>
      <c r="B3661" s="421" t="s">
        <v>4030</v>
      </c>
      <c r="C3661" s="429" t="str">
        <f t="shared" ref="C3661:C3724" si="281">$G$1</f>
        <v>石嘴山市深阳蓝光市政工程有限公司</v>
      </c>
      <c r="D3661" s="423" t="s">
        <v>4041</v>
      </c>
      <c r="E3661" s="659" t="s">
        <v>4045</v>
      </c>
      <c r="F3661" s="999"/>
      <c r="G3661" s="999"/>
      <c r="H3661" s="485"/>
      <c r="I3661" s="485"/>
      <c r="J3661" s="485"/>
      <c r="K3661" s="485"/>
      <c r="L3661" s="485"/>
      <c r="M3661" s="485"/>
      <c r="N3661" s="485"/>
      <c r="O3661" s="485"/>
      <c r="P3661" s="485"/>
      <c r="X3661" s="501" t="b">
        <f t="shared" si="280"/>
        <v>1</v>
      </c>
    </row>
    <row r="3662" outlineLevel="2" spans="1:24">
      <c r="A3662" s="85" t="s">
        <v>4046</v>
      </c>
      <c r="B3662" s="421" t="s">
        <v>4030</v>
      </c>
      <c r="C3662" s="429" t="str">
        <f t="shared" si="281"/>
        <v>石嘴山市深阳蓝光市政工程有限公司</v>
      </c>
      <c r="D3662" s="423" t="s">
        <v>4041</v>
      </c>
      <c r="E3662" s="659" t="s">
        <v>4047</v>
      </c>
      <c r="F3662" s="999"/>
      <c r="G3662" s="999"/>
      <c r="H3662" s="485"/>
      <c r="I3662" s="485"/>
      <c r="J3662" s="485"/>
      <c r="K3662" s="485"/>
      <c r="L3662" s="485"/>
      <c r="M3662" s="485"/>
      <c r="N3662" s="485"/>
      <c r="O3662" s="485"/>
      <c r="P3662" s="485"/>
      <c r="X3662" s="501" t="b">
        <f t="shared" si="280"/>
        <v>1</v>
      </c>
    </row>
    <row r="3663" outlineLevel="2" spans="1:24">
      <c r="A3663" s="85" t="s">
        <v>4048</v>
      </c>
      <c r="B3663" s="421" t="s">
        <v>4030</v>
      </c>
      <c r="C3663" s="429" t="str">
        <f t="shared" si="281"/>
        <v>石嘴山市深阳蓝光市政工程有限公司</v>
      </c>
      <c r="D3663" s="423" t="s">
        <v>4041</v>
      </c>
      <c r="E3663" s="659" t="s">
        <v>4048</v>
      </c>
      <c r="F3663" s="999"/>
      <c r="G3663" s="999"/>
      <c r="H3663" s="485"/>
      <c r="I3663" s="485"/>
      <c r="J3663" s="485"/>
      <c r="K3663" s="485"/>
      <c r="L3663" s="485"/>
      <c r="M3663" s="485"/>
      <c r="N3663" s="485"/>
      <c r="O3663" s="485"/>
      <c r="P3663" s="485"/>
      <c r="X3663" s="501" t="b">
        <f t="shared" si="280"/>
        <v>1</v>
      </c>
    </row>
    <row r="3664" outlineLevel="2" spans="1:24">
      <c r="A3664" s="85" t="s">
        <v>346</v>
      </c>
      <c r="B3664" s="421" t="s">
        <v>4030</v>
      </c>
      <c r="C3664" s="429" t="str">
        <f t="shared" si="281"/>
        <v>石嘴山市深阳蓝光市政工程有限公司</v>
      </c>
      <c r="D3664" s="423" t="s">
        <v>4041</v>
      </c>
      <c r="E3664" s="1135" t="s">
        <v>3135</v>
      </c>
      <c r="F3664" s="858">
        <f>SUM(F3661:F3663)</f>
        <v>0</v>
      </c>
      <c r="G3664" s="858">
        <f>SUM(G3661:G3663)</f>
        <v>0</v>
      </c>
      <c r="H3664" s="485"/>
      <c r="I3664" s="485"/>
      <c r="J3664" s="485"/>
      <c r="K3664" s="485"/>
      <c r="L3664" s="485"/>
      <c r="M3664" s="485"/>
      <c r="N3664" s="485"/>
      <c r="O3664" s="485"/>
      <c r="P3664" s="485"/>
      <c r="X3664" s="501" t="b">
        <f t="shared" si="280"/>
        <v>1</v>
      </c>
    </row>
    <row r="3665" outlineLevel="2" spans="2:24">
      <c r="B3665" s="421" t="s">
        <v>4030</v>
      </c>
      <c r="C3665" s="429" t="str">
        <f t="shared" si="281"/>
        <v>石嘴山市深阳蓝光市政工程有限公司</v>
      </c>
      <c r="D3665" s="423" t="s">
        <v>4041</v>
      </c>
      <c r="E3665" s="748"/>
      <c r="F3665" s="485"/>
      <c r="G3665" s="485"/>
      <c r="H3665" s="485"/>
      <c r="I3665" s="485"/>
      <c r="J3665" s="485"/>
      <c r="K3665" s="485"/>
      <c r="L3665" s="485"/>
      <c r="M3665" s="485"/>
      <c r="N3665" s="485"/>
      <c r="O3665" s="485"/>
      <c r="P3665" s="485"/>
      <c r="X3665" s="501" t="b">
        <f t="shared" si="280"/>
        <v>1</v>
      </c>
    </row>
    <row r="3666" outlineLevel="2" spans="1:24">
      <c r="A3666" s="85" t="s">
        <v>4049</v>
      </c>
      <c r="B3666" s="421" t="s">
        <v>4030</v>
      </c>
      <c r="C3666" s="429" t="str">
        <f t="shared" si="281"/>
        <v>石嘴山市深阳蓝光市政工程有限公司</v>
      </c>
      <c r="D3666" s="423" t="s">
        <v>4049</v>
      </c>
      <c r="E3666" s="748" t="s">
        <v>4050</v>
      </c>
      <c r="F3666" s="485"/>
      <c r="G3666" s="485"/>
      <c r="H3666" s="485"/>
      <c r="I3666" s="485"/>
      <c r="J3666" s="485"/>
      <c r="K3666" s="485"/>
      <c r="L3666" s="485"/>
      <c r="M3666" s="485"/>
      <c r="N3666" s="485"/>
      <c r="O3666" s="485"/>
      <c r="P3666" s="485"/>
      <c r="X3666" s="501" t="b">
        <f t="shared" si="280"/>
        <v>1</v>
      </c>
    </row>
    <row r="3667" outlineLevel="2" spans="1:24">
      <c r="A3667" s="85" t="s">
        <v>4051</v>
      </c>
      <c r="B3667" s="421" t="s">
        <v>4030</v>
      </c>
      <c r="C3667" s="429" t="str">
        <f t="shared" si="281"/>
        <v>石嘴山市深阳蓝光市政工程有限公司</v>
      </c>
      <c r="D3667" s="423" t="s">
        <v>4049</v>
      </c>
      <c r="E3667" s="748" t="s">
        <v>4052</v>
      </c>
      <c r="F3667" s="485"/>
      <c r="G3667" s="485"/>
      <c r="H3667" s="485"/>
      <c r="I3667" s="485"/>
      <c r="J3667" s="485"/>
      <c r="K3667" s="485"/>
      <c r="L3667" s="485"/>
      <c r="M3667" s="485"/>
      <c r="N3667" s="485"/>
      <c r="O3667" s="485"/>
      <c r="P3667" s="485"/>
      <c r="X3667" s="501" t="b">
        <f t="shared" si="280"/>
        <v>1</v>
      </c>
    </row>
    <row r="3668" outlineLevel="2" spans="1:24">
      <c r="A3668" s="85" t="s">
        <v>4043</v>
      </c>
      <c r="B3668" s="421" t="s">
        <v>4030</v>
      </c>
      <c r="C3668" s="429" t="str">
        <f t="shared" si="281"/>
        <v>石嘴山市深阳蓝光市政工程有限公司</v>
      </c>
      <c r="D3668" s="423" t="s">
        <v>4049</v>
      </c>
      <c r="E3668" s="581" t="s">
        <v>4043</v>
      </c>
      <c r="F3668" s="581" t="s">
        <v>670</v>
      </c>
      <c r="G3668" s="581"/>
      <c r="H3668" s="581"/>
      <c r="I3668" s="581" t="s">
        <v>515</v>
      </c>
      <c r="J3668" s="581"/>
      <c r="K3668" s="581"/>
      <c r="L3668" s="485"/>
      <c r="M3668" s="485"/>
      <c r="N3668" s="485"/>
      <c r="O3668" s="485"/>
      <c r="P3668" s="485"/>
      <c r="X3668" s="501" t="b">
        <f t="shared" si="280"/>
        <v>1</v>
      </c>
    </row>
    <row r="3669" outlineLevel="2" spans="2:24">
      <c r="B3669" s="421" t="s">
        <v>4030</v>
      </c>
      <c r="C3669" s="429" t="str">
        <f t="shared" si="281"/>
        <v>石嘴山市深阳蓝光市政工程有限公司</v>
      </c>
      <c r="D3669" s="423" t="s">
        <v>4049</v>
      </c>
      <c r="E3669" s="581"/>
      <c r="F3669" s="581" t="s">
        <v>4053</v>
      </c>
      <c r="G3669" s="581" t="s">
        <v>859</v>
      </c>
      <c r="H3669" s="581" t="s">
        <v>4054</v>
      </c>
      <c r="I3669" s="581" t="s">
        <v>4053</v>
      </c>
      <c r="J3669" s="581" t="s">
        <v>859</v>
      </c>
      <c r="K3669" s="581" t="s">
        <v>4054</v>
      </c>
      <c r="L3669" s="485"/>
      <c r="M3669" s="485"/>
      <c r="N3669" s="485"/>
      <c r="O3669" s="485"/>
      <c r="P3669" s="485"/>
      <c r="X3669" s="501" t="b">
        <f t="shared" si="280"/>
        <v>1</v>
      </c>
    </row>
    <row r="3670" outlineLevel="2" spans="2:24">
      <c r="B3670" s="421" t="s">
        <v>4030</v>
      </c>
      <c r="C3670" s="429" t="str">
        <f t="shared" si="281"/>
        <v>石嘴山市深阳蓝光市政工程有限公司</v>
      </c>
      <c r="D3670" s="423" t="s">
        <v>4049</v>
      </c>
      <c r="E3670" s="1510"/>
      <c r="F3670" s="1510"/>
      <c r="G3670" s="1510"/>
      <c r="H3670" s="1510"/>
      <c r="I3670" s="1510"/>
      <c r="J3670" s="1510"/>
      <c r="K3670" s="1510"/>
      <c r="L3670" s="485"/>
      <c r="M3670" s="485"/>
      <c r="N3670" s="485"/>
      <c r="O3670" s="485"/>
      <c r="P3670" s="485"/>
      <c r="X3670" s="501" t="b">
        <f t="shared" si="280"/>
        <v>1</v>
      </c>
    </row>
    <row r="3671" outlineLevel="2" spans="2:24">
      <c r="B3671" s="421" t="s">
        <v>4030</v>
      </c>
      <c r="C3671" s="429" t="str">
        <f t="shared" si="281"/>
        <v>石嘴山市深阳蓝光市政工程有限公司</v>
      </c>
      <c r="D3671" s="423" t="s">
        <v>4049</v>
      </c>
      <c r="E3671" s="1511"/>
      <c r="F3671" s="1511"/>
      <c r="G3671" s="1511"/>
      <c r="H3671" s="1512"/>
      <c r="I3671" s="1512"/>
      <c r="J3671" s="1512"/>
      <c r="K3671" s="1512"/>
      <c r="L3671" s="485"/>
      <c r="M3671" s="485"/>
      <c r="N3671" s="485"/>
      <c r="O3671" s="485"/>
      <c r="P3671" s="485"/>
      <c r="X3671" s="501" t="b">
        <f t="shared" si="280"/>
        <v>1</v>
      </c>
    </row>
    <row r="3672" outlineLevel="2" spans="2:24">
      <c r="B3672" s="421" t="s">
        <v>4030</v>
      </c>
      <c r="C3672" s="429" t="str">
        <f t="shared" si="281"/>
        <v>石嘴山市深阳蓝光市政工程有限公司</v>
      </c>
      <c r="D3672" s="423" t="s">
        <v>4049</v>
      </c>
      <c r="E3672" s="1513"/>
      <c r="F3672" s="1513"/>
      <c r="G3672" s="1513"/>
      <c r="H3672" s="1514"/>
      <c r="I3672" s="1514"/>
      <c r="J3672" s="1514"/>
      <c r="K3672" s="1514"/>
      <c r="L3672" s="485"/>
      <c r="M3672" s="485"/>
      <c r="N3672" s="485"/>
      <c r="O3672" s="485"/>
      <c r="P3672" s="485"/>
      <c r="X3672" s="501" t="b">
        <f t="shared" si="280"/>
        <v>1</v>
      </c>
    </row>
    <row r="3673" outlineLevel="2" spans="2:24">
      <c r="B3673" s="421" t="s">
        <v>4030</v>
      </c>
      <c r="C3673" s="429" t="str">
        <f t="shared" si="281"/>
        <v>石嘴山市深阳蓝光市政工程有限公司</v>
      </c>
      <c r="D3673" s="423" t="s">
        <v>4049</v>
      </c>
      <c r="E3673" s="1515" t="s">
        <v>346</v>
      </c>
      <c r="F3673" s="1516">
        <f t="shared" ref="F3673:K3673" si="282">SUM(F3670:F3672)</f>
        <v>0</v>
      </c>
      <c r="G3673" s="1516">
        <f t="shared" si="282"/>
        <v>0</v>
      </c>
      <c r="H3673" s="1516">
        <f t="shared" si="282"/>
        <v>0</v>
      </c>
      <c r="I3673" s="1516">
        <f t="shared" si="282"/>
        <v>0</v>
      </c>
      <c r="J3673" s="1516">
        <f t="shared" si="282"/>
        <v>0</v>
      </c>
      <c r="K3673" s="1516">
        <f t="shared" si="282"/>
        <v>0</v>
      </c>
      <c r="L3673" s="485"/>
      <c r="M3673" s="485"/>
      <c r="N3673" s="485"/>
      <c r="O3673" s="485"/>
      <c r="P3673" s="485"/>
      <c r="X3673" s="501" t="b">
        <f t="shared" si="280"/>
        <v>0</v>
      </c>
    </row>
    <row r="3674" outlineLevel="2" spans="1:24">
      <c r="A3674" s="85" t="s">
        <v>4055</v>
      </c>
      <c r="B3674" s="421" t="s">
        <v>4030</v>
      </c>
      <c r="C3674" s="429" t="str">
        <f t="shared" si="281"/>
        <v>石嘴山市深阳蓝光市政工程有限公司</v>
      </c>
      <c r="D3674" s="423" t="s">
        <v>4049</v>
      </c>
      <c r="E3674" s="748" t="s">
        <v>4056</v>
      </c>
      <c r="F3674" s="485"/>
      <c r="G3674" s="485"/>
      <c r="H3674" s="485"/>
      <c r="I3674" s="485"/>
      <c r="J3674" s="485"/>
      <c r="K3674" s="485"/>
      <c r="L3674" s="485"/>
      <c r="M3674" s="485"/>
      <c r="N3674" s="485"/>
      <c r="O3674" s="485"/>
      <c r="P3674" s="485"/>
      <c r="X3674" s="501" t="b">
        <f t="shared" si="280"/>
        <v>1</v>
      </c>
    </row>
    <row r="3675" outlineLevel="2" spans="1:24">
      <c r="A3675" s="85" t="s">
        <v>2315</v>
      </c>
      <c r="B3675" s="421" t="s">
        <v>4030</v>
      </c>
      <c r="C3675" s="429" t="str">
        <f t="shared" si="281"/>
        <v>石嘴山市深阳蓝光市政工程有限公司</v>
      </c>
      <c r="D3675" s="423" t="s">
        <v>4049</v>
      </c>
      <c r="E3675" s="748" t="s">
        <v>2334</v>
      </c>
      <c r="F3675" s="1164"/>
      <c r="G3675" s="1164"/>
      <c r="H3675" s="485"/>
      <c r="I3675" s="485"/>
      <c r="J3675" s="485"/>
      <c r="K3675" s="485"/>
      <c r="L3675" s="485"/>
      <c r="M3675" s="485"/>
      <c r="N3675" s="485"/>
      <c r="O3675" s="485"/>
      <c r="P3675" s="485"/>
      <c r="X3675" s="501" t="b">
        <f t="shared" si="280"/>
        <v>1</v>
      </c>
    </row>
    <row r="3676" outlineLevel="2" spans="1:24">
      <c r="A3676" s="85" t="s">
        <v>4057</v>
      </c>
      <c r="B3676" s="421" t="s">
        <v>4030</v>
      </c>
      <c r="C3676" s="429" t="str">
        <f t="shared" si="281"/>
        <v>石嘴山市深阳蓝光市政工程有限公司</v>
      </c>
      <c r="D3676" s="423" t="s">
        <v>4049</v>
      </c>
      <c r="E3676" s="748" t="s">
        <v>4058</v>
      </c>
      <c r="F3676" s="485"/>
      <c r="G3676" s="485"/>
      <c r="H3676" s="485"/>
      <c r="I3676" s="485"/>
      <c r="J3676" s="485"/>
      <c r="K3676" s="485"/>
      <c r="L3676" s="485"/>
      <c r="M3676" s="485"/>
      <c r="N3676" s="485"/>
      <c r="O3676" s="485"/>
      <c r="P3676" s="485"/>
      <c r="X3676" s="501" t="b">
        <f t="shared" si="280"/>
        <v>1</v>
      </c>
    </row>
    <row r="3677" outlineLevel="2" spans="1:24">
      <c r="A3677" s="85" t="s">
        <v>4033</v>
      </c>
      <c r="B3677" s="421" t="s">
        <v>4030</v>
      </c>
      <c r="C3677" s="429" t="str">
        <f t="shared" si="281"/>
        <v>石嘴山市深阳蓝光市政工程有限公司</v>
      </c>
      <c r="D3677" s="423" t="s">
        <v>4049</v>
      </c>
      <c r="E3677" s="1517" t="s">
        <v>4033</v>
      </c>
      <c r="F3677" s="1517" t="s">
        <v>4059</v>
      </c>
      <c r="G3677" s="485"/>
      <c r="H3677" s="485"/>
      <c r="I3677" s="485"/>
      <c r="J3677" s="485"/>
      <c r="K3677" s="485"/>
      <c r="L3677" s="485"/>
      <c r="M3677" s="485"/>
      <c r="N3677" s="485"/>
      <c r="O3677" s="485"/>
      <c r="P3677" s="485"/>
      <c r="X3677" s="501" t="b">
        <f t="shared" si="280"/>
        <v>1</v>
      </c>
    </row>
    <row r="3678" outlineLevel="2" spans="1:24">
      <c r="A3678" s="85" t="s">
        <v>4060</v>
      </c>
      <c r="B3678" s="421" t="s">
        <v>4030</v>
      </c>
      <c r="C3678" s="429" t="str">
        <f t="shared" si="281"/>
        <v>石嘴山市深阳蓝光市政工程有限公司</v>
      </c>
      <c r="D3678" s="423" t="s">
        <v>4049</v>
      </c>
      <c r="E3678" s="521" t="s">
        <v>4061</v>
      </c>
      <c r="F3678" s="949"/>
      <c r="G3678" s="485"/>
      <c r="H3678" s="485"/>
      <c r="I3678" s="485"/>
      <c r="J3678" s="485"/>
      <c r="K3678" s="485"/>
      <c r="L3678" s="485"/>
      <c r="M3678" s="485"/>
      <c r="N3678" s="485"/>
      <c r="O3678" s="485"/>
      <c r="P3678" s="485"/>
      <c r="X3678" s="501" t="b">
        <f t="shared" si="280"/>
        <v>1</v>
      </c>
    </row>
    <row r="3679" outlineLevel="2" spans="1:24">
      <c r="A3679" s="85" t="s">
        <v>4062</v>
      </c>
      <c r="B3679" s="421" t="s">
        <v>4030</v>
      </c>
      <c r="C3679" s="429" t="str">
        <f t="shared" si="281"/>
        <v>石嘴山市深阳蓝光市政工程有限公司</v>
      </c>
      <c r="D3679" s="423" t="s">
        <v>4049</v>
      </c>
      <c r="E3679" s="521" t="s">
        <v>4063</v>
      </c>
      <c r="F3679" s="949"/>
      <c r="G3679" s="485"/>
      <c r="H3679" s="485"/>
      <c r="I3679" s="485"/>
      <c r="J3679" s="485"/>
      <c r="K3679" s="485"/>
      <c r="L3679" s="485"/>
      <c r="M3679" s="485"/>
      <c r="N3679" s="485"/>
      <c r="O3679" s="485"/>
      <c r="P3679" s="485"/>
      <c r="X3679" s="501" t="b">
        <f t="shared" si="280"/>
        <v>1</v>
      </c>
    </row>
    <row r="3680" outlineLevel="2" spans="1:24">
      <c r="A3680" s="85" t="s">
        <v>4064</v>
      </c>
      <c r="B3680" s="421" t="s">
        <v>4030</v>
      </c>
      <c r="C3680" s="429" t="str">
        <f t="shared" si="281"/>
        <v>石嘴山市深阳蓝光市政工程有限公司</v>
      </c>
      <c r="D3680" s="423" t="s">
        <v>4049</v>
      </c>
      <c r="E3680" s="521" t="s">
        <v>4065</v>
      </c>
      <c r="F3680" s="949"/>
      <c r="G3680" s="485"/>
      <c r="H3680" s="485"/>
      <c r="I3680" s="485"/>
      <c r="J3680" s="485"/>
      <c r="K3680" s="485"/>
      <c r="L3680" s="485"/>
      <c r="M3680" s="485"/>
      <c r="N3680" s="485"/>
      <c r="O3680" s="485"/>
      <c r="P3680" s="485"/>
      <c r="X3680" s="501" t="b">
        <f t="shared" si="280"/>
        <v>1</v>
      </c>
    </row>
    <row r="3681" outlineLevel="2" spans="1:24">
      <c r="A3681" s="85" t="s">
        <v>4066</v>
      </c>
      <c r="B3681" s="421" t="s">
        <v>4030</v>
      </c>
      <c r="C3681" s="429" t="str">
        <f t="shared" si="281"/>
        <v>石嘴山市深阳蓝光市政工程有限公司</v>
      </c>
      <c r="D3681" s="423" t="s">
        <v>4049</v>
      </c>
      <c r="E3681" s="521" t="s">
        <v>4067</v>
      </c>
      <c r="F3681" s="949"/>
      <c r="G3681" s="485"/>
      <c r="H3681" s="485"/>
      <c r="I3681" s="485"/>
      <c r="J3681" s="485"/>
      <c r="K3681" s="485"/>
      <c r="L3681" s="485"/>
      <c r="M3681" s="485"/>
      <c r="N3681" s="485"/>
      <c r="O3681" s="485"/>
      <c r="P3681" s="485"/>
      <c r="X3681" s="501" t="b">
        <f t="shared" si="280"/>
        <v>1</v>
      </c>
    </row>
    <row r="3682" outlineLevel="2" spans="1:24">
      <c r="A3682" s="85" t="s">
        <v>346</v>
      </c>
      <c r="B3682" s="421" t="s">
        <v>4030</v>
      </c>
      <c r="C3682" s="429" t="str">
        <f t="shared" si="281"/>
        <v>石嘴山市深阳蓝光市政工程有限公司</v>
      </c>
      <c r="D3682" s="423" t="s">
        <v>4049</v>
      </c>
      <c r="E3682" s="944" t="s">
        <v>3135</v>
      </c>
      <c r="F3682" s="522">
        <f>SUM(F3678:F3681)</f>
        <v>0</v>
      </c>
      <c r="G3682" s="485"/>
      <c r="H3682" s="485"/>
      <c r="I3682" s="485"/>
      <c r="J3682" s="485"/>
      <c r="K3682" s="485"/>
      <c r="L3682" s="485"/>
      <c r="M3682" s="485"/>
      <c r="N3682" s="485"/>
      <c r="O3682" s="485"/>
      <c r="P3682" s="485"/>
      <c r="X3682" s="501" t="b">
        <f t="shared" si="280"/>
        <v>1</v>
      </c>
    </row>
    <row r="3683" outlineLevel="2" spans="2:24">
      <c r="B3683" s="421" t="s">
        <v>4030</v>
      </c>
      <c r="C3683" s="429" t="str">
        <f t="shared" si="281"/>
        <v>石嘴山市深阳蓝光市政工程有限公司</v>
      </c>
      <c r="D3683" s="423" t="s">
        <v>4049</v>
      </c>
      <c r="E3683" s="748"/>
      <c r="F3683" s="485"/>
      <c r="G3683" s="485"/>
      <c r="H3683" s="485"/>
      <c r="I3683" s="485"/>
      <c r="J3683" s="485"/>
      <c r="K3683" s="485"/>
      <c r="L3683" s="485"/>
      <c r="M3683" s="485"/>
      <c r="N3683" s="485"/>
      <c r="O3683" s="485"/>
      <c r="P3683" s="485"/>
      <c r="X3683" s="501" t="b">
        <f t="shared" si="280"/>
        <v>1</v>
      </c>
    </row>
    <row r="3684" outlineLevel="2" spans="1:24">
      <c r="A3684" s="85" t="s">
        <v>4068</v>
      </c>
      <c r="B3684" s="421" t="s">
        <v>4030</v>
      </c>
      <c r="C3684" s="429" t="str">
        <f t="shared" si="281"/>
        <v>石嘴山市深阳蓝光市政工程有限公司</v>
      </c>
      <c r="D3684" s="423" t="s">
        <v>4068</v>
      </c>
      <c r="E3684" s="748" t="s">
        <v>4069</v>
      </c>
      <c r="F3684" s="485"/>
      <c r="G3684" s="485"/>
      <c r="H3684" s="485"/>
      <c r="I3684" s="485"/>
      <c r="J3684" s="485"/>
      <c r="K3684" s="485"/>
      <c r="L3684" s="485"/>
      <c r="M3684" s="485"/>
      <c r="N3684" s="485"/>
      <c r="O3684" s="485"/>
      <c r="P3684" s="485"/>
      <c r="X3684" s="501" t="b">
        <f t="shared" si="280"/>
        <v>1</v>
      </c>
    </row>
    <row r="3685" outlineLevel="2" spans="1:24">
      <c r="A3685" s="85" t="s">
        <v>4033</v>
      </c>
      <c r="B3685" s="421" t="s">
        <v>4030</v>
      </c>
      <c r="C3685" s="429" t="str">
        <f t="shared" si="281"/>
        <v>石嘴山市深阳蓝光市政工程有限公司</v>
      </c>
      <c r="D3685" s="423" t="s">
        <v>4068</v>
      </c>
      <c r="E3685" s="1517" t="s">
        <v>4033</v>
      </c>
      <c r="F3685" s="1517" t="s">
        <v>4059</v>
      </c>
      <c r="G3685" s="485"/>
      <c r="H3685" s="485"/>
      <c r="I3685" s="485"/>
      <c r="J3685" s="485"/>
      <c r="K3685" s="485"/>
      <c r="L3685" s="485"/>
      <c r="M3685" s="485"/>
      <c r="N3685" s="485"/>
      <c r="O3685" s="485"/>
      <c r="P3685" s="485"/>
      <c r="X3685" s="501" t="b">
        <f t="shared" ref="X3685:X3746" si="283">EXACT(A3685,E3685)</f>
        <v>1</v>
      </c>
    </row>
    <row r="3686" outlineLevel="2" spans="1:24">
      <c r="A3686" s="85" t="s">
        <v>4060</v>
      </c>
      <c r="B3686" s="421" t="s">
        <v>4030</v>
      </c>
      <c r="C3686" s="429" t="str">
        <f t="shared" si="281"/>
        <v>石嘴山市深阳蓝光市政工程有限公司</v>
      </c>
      <c r="D3686" s="423" t="s">
        <v>4068</v>
      </c>
      <c r="E3686" s="521" t="s">
        <v>4061</v>
      </c>
      <c r="F3686" s="949"/>
      <c r="G3686" s="485"/>
      <c r="H3686" s="485"/>
      <c r="I3686" s="485"/>
      <c r="J3686" s="485"/>
      <c r="K3686" s="485"/>
      <c r="L3686" s="485"/>
      <c r="M3686" s="485"/>
      <c r="N3686" s="485"/>
      <c r="O3686" s="485"/>
      <c r="P3686" s="485"/>
      <c r="X3686" s="501" t="b">
        <f t="shared" si="283"/>
        <v>1</v>
      </c>
    </row>
    <row r="3687" outlineLevel="2" spans="1:24">
      <c r="A3687" s="85" t="s">
        <v>4062</v>
      </c>
      <c r="B3687" s="421" t="s">
        <v>4030</v>
      </c>
      <c r="C3687" s="429" t="str">
        <f t="shared" si="281"/>
        <v>石嘴山市深阳蓝光市政工程有限公司</v>
      </c>
      <c r="D3687" s="423" t="s">
        <v>4068</v>
      </c>
      <c r="E3687" s="521" t="s">
        <v>4063</v>
      </c>
      <c r="F3687" s="949"/>
      <c r="G3687" s="485"/>
      <c r="H3687" s="485"/>
      <c r="I3687" s="485"/>
      <c r="J3687" s="485"/>
      <c r="K3687" s="485"/>
      <c r="L3687" s="485"/>
      <c r="M3687" s="485"/>
      <c r="N3687" s="485"/>
      <c r="O3687" s="485"/>
      <c r="P3687" s="485"/>
      <c r="X3687" s="501" t="b">
        <f t="shared" si="283"/>
        <v>1</v>
      </c>
    </row>
    <row r="3688" outlineLevel="2" spans="1:24">
      <c r="A3688" s="85" t="s">
        <v>4064</v>
      </c>
      <c r="B3688" s="421" t="s">
        <v>4030</v>
      </c>
      <c r="C3688" s="429" t="str">
        <f t="shared" si="281"/>
        <v>石嘴山市深阳蓝光市政工程有限公司</v>
      </c>
      <c r="D3688" s="423" t="s">
        <v>4068</v>
      </c>
      <c r="E3688" s="521" t="s">
        <v>4065</v>
      </c>
      <c r="F3688" s="949"/>
      <c r="G3688" s="485"/>
      <c r="H3688" s="485"/>
      <c r="I3688" s="485"/>
      <c r="J3688" s="485"/>
      <c r="K3688" s="485"/>
      <c r="L3688" s="485"/>
      <c r="M3688" s="485"/>
      <c r="N3688" s="485"/>
      <c r="O3688" s="485"/>
      <c r="P3688" s="485"/>
      <c r="X3688" s="501" t="b">
        <f t="shared" si="283"/>
        <v>1</v>
      </c>
    </row>
    <row r="3689" outlineLevel="2" spans="1:24">
      <c r="A3689" s="85" t="s">
        <v>4066</v>
      </c>
      <c r="B3689" s="421" t="s">
        <v>4030</v>
      </c>
      <c r="C3689" s="429" t="str">
        <f t="shared" si="281"/>
        <v>石嘴山市深阳蓝光市政工程有限公司</v>
      </c>
      <c r="D3689" s="423" t="s">
        <v>4068</v>
      </c>
      <c r="E3689" s="521" t="s">
        <v>4067</v>
      </c>
      <c r="F3689" s="949"/>
      <c r="G3689" s="485"/>
      <c r="H3689" s="485"/>
      <c r="I3689" s="485"/>
      <c r="J3689" s="485"/>
      <c r="K3689" s="485"/>
      <c r="L3689" s="485"/>
      <c r="M3689" s="485"/>
      <c r="N3689" s="485"/>
      <c r="O3689" s="485"/>
      <c r="P3689" s="485"/>
      <c r="X3689" s="501" t="b">
        <f t="shared" si="283"/>
        <v>1</v>
      </c>
    </row>
    <row r="3690" outlineLevel="2" spans="1:24">
      <c r="A3690" s="85" t="s">
        <v>346</v>
      </c>
      <c r="B3690" s="421" t="s">
        <v>4030</v>
      </c>
      <c r="C3690" s="429" t="str">
        <f t="shared" si="281"/>
        <v>石嘴山市深阳蓝光市政工程有限公司</v>
      </c>
      <c r="D3690" s="423" t="s">
        <v>4068</v>
      </c>
      <c r="E3690" s="944" t="s">
        <v>3135</v>
      </c>
      <c r="F3690" s="945">
        <f>SUM(F3686:F3689)</f>
        <v>0</v>
      </c>
      <c r="G3690" s="485"/>
      <c r="H3690" s="485"/>
      <c r="I3690" s="485"/>
      <c r="J3690" s="485"/>
      <c r="K3690" s="485"/>
      <c r="L3690" s="485"/>
      <c r="M3690" s="485"/>
      <c r="N3690" s="485"/>
      <c r="O3690" s="485"/>
      <c r="P3690" s="485"/>
      <c r="X3690" s="501" t="b">
        <f t="shared" si="283"/>
        <v>1</v>
      </c>
    </row>
    <row r="3691" outlineLevel="2" spans="2:24">
      <c r="B3691" s="421" t="s">
        <v>4030</v>
      </c>
      <c r="C3691" s="429" t="str">
        <f t="shared" si="281"/>
        <v>石嘴山市深阳蓝光市政工程有限公司</v>
      </c>
      <c r="D3691" s="423" t="s">
        <v>4068</v>
      </c>
      <c r="E3691" s="748"/>
      <c r="F3691" s="485"/>
      <c r="G3691" s="485"/>
      <c r="H3691" s="485"/>
      <c r="I3691" s="485"/>
      <c r="J3691" s="485"/>
      <c r="K3691" s="485"/>
      <c r="L3691" s="485"/>
      <c r="M3691" s="485"/>
      <c r="N3691" s="485"/>
      <c r="O3691" s="485"/>
      <c r="P3691" s="485"/>
      <c r="X3691" s="501" t="b">
        <f t="shared" si="283"/>
        <v>1</v>
      </c>
    </row>
    <row r="3692" outlineLevel="2" spans="1:24">
      <c r="A3692" s="85" t="s">
        <v>4070</v>
      </c>
      <c r="B3692" s="421" t="s">
        <v>4030</v>
      </c>
      <c r="C3692" s="429" t="str">
        <f t="shared" si="281"/>
        <v>石嘴山市深阳蓝光市政工程有限公司</v>
      </c>
      <c r="D3692" s="423" t="s">
        <v>4070</v>
      </c>
      <c r="E3692" s="748" t="s">
        <v>4071</v>
      </c>
      <c r="F3692" s="485"/>
      <c r="G3692" s="485"/>
      <c r="H3692" s="485"/>
      <c r="I3692" s="485"/>
      <c r="J3692" s="485"/>
      <c r="K3692" s="485"/>
      <c r="L3692" s="485"/>
      <c r="M3692" s="485"/>
      <c r="N3692" s="485"/>
      <c r="O3692" s="485"/>
      <c r="P3692" s="485"/>
      <c r="X3692" s="501" t="b">
        <f t="shared" si="283"/>
        <v>1</v>
      </c>
    </row>
    <row r="3693" outlineLevel="2" spans="1:24">
      <c r="A3693" s="85" t="s">
        <v>2315</v>
      </c>
      <c r="B3693" s="421" t="s">
        <v>4030</v>
      </c>
      <c r="C3693" s="429" t="str">
        <f t="shared" si="281"/>
        <v>石嘴山市深阳蓝光市政工程有限公司</v>
      </c>
      <c r="D3693" s="423" t="s">
        <v>4070</v>
      </c>
      <c r="E3693" s="748" t="s">
        <v>2334</v>
      </c>
      <c r="F3693" s="1164"/>
      <c r="G3693" s="1164"/>
      <c r="H3693" s="485"/>
      <c r="I3693" s="485"/>
      <c r="J3693" s="485"/>
      <c r="K3693" s="485"/>
      <c r="L3693" s="485"/>
      <c r="M3693" s="485"/>
      <c r="N3693" s="485"/>
      <c r="O3693" s="485"/>
      <c r="P3693" s="485"/>
      <c r="X3693" s="501" t="b">
        <f t="shared" si="283"/>
        <v>1</v>
      </c>
    </row>
    <row r="3694" outlineLevel="2" spans="2:24">
      <c r="B3694" s="421" t="s">
        <v>4030</v>
      </c>
      <c r="C3694" s="429" t="str">
        <f t="shared" si="281"/>
        <v>石嘴山市深阳蓝光市政工程有限公司</v>
      </c>
      <c r="D3694" s="423" t="s">
        <v>4070</v>
      </c>
      <c r="E3694" s="748"/>
      <c r="F3694" s="485"/>
      <c r="G3694" s="485"/>
      <c r="H3694" s="485"/>
      <c r="I3694" s="485"/>
      <c r="J3694" s="485"/>
      <c r="K3694" s="485"/>
      <c r="L3694" s="485"/>
      <c r="M3694" s="485"/>
      <c r="N3694" s="485"/>
      <c r="O3694" s="485"/>
      <c r="P3694" s="485"/>
      <c r="X3694" s="501" t="b">
        <f t="shared" si="283"/>
        <v>1</v>
      </c>
    </row>
    <row r="3695" ht="14.25" customHeight="1" collapsed="1" spans="1:24">
      <c r="A3695" s="85" t="s">
        <v>4072</v>
      </c>
      <c r="B3695" s="421" t="s">
        <v>4073</v>
      </c>
      <c r="C3695" s="429" t="str">
        <f t="shared" si="281"/>
        <v>石嘴山市深阳蓝光市政工程有限公司</v>
      </c>
      <c r="D3695" s="423" t="s">
        <v>4072</v>
      </c>
      <c r="E3695" s="937" t="s">
        <v>4072</v>
      </c>
      <c r="F3695" s="485"/>
      <c r="G3695" s="485"/>
      <c r="H3695" s="485"/>
      <c r="I3695" s="485"/>
      <c r="J3695" s="485"/>
      <c r="K3695" s="485"/>
      <c r="L3695" s="485"/>
      <c r="M3695" s="485"/>
      <c r="N3695" s="485"/>
      <c r="O3695" s="485"/>
      <c r="P3695" s="485"/>
      <c r="X3695" s="501" t="b">
        <f t="shared" si="283"/>
        <v>1</v>
      </c>
    </row>
    <row r="3696" hidden="1" outlineLevel="2" spans="1:24">
      <c r="A3696" s="85" t="s">
        <v>2315</v>
      </c>
      <c r="B3696" s="421" t="s">
        <v>4073</v>
      </c>
      <c r="C3696" s="429" t="str">
        <f t="shared" si="281"/>
        <v>石嘴山市深阳蓝光市政工程有限公司</v>
      </c>
      <c r="D3696" s="423" t="s">
        <v>4072</v>
      </c>
      <c r="E3696" s="748" t="s">
        <v>2334</v>
      </c>
      <c r="F3696" s="1164"/>
      <c r="G3696" s="1164"/>
      <c r="H3696" s="485"/>
      <c r="I3696" s="485"/>
      <c r="J3696" s="485"/>
      <c r="K3696" s="485"/>
      <c r="L3696" s="485"/>
      <c r="M3696" s="485"/>
      <c r="N3696" s="485"/>
      <c r="O3696" s="485"/>
      <c r="P3696" s="485"/>
      <c r="X3696" s="501" t="b">
        <f t="shared" si="283"/>
        <v>1</v>
      </c>
    </row>
    <row r="3697" hidden="1" outlineLevel="2" spans="2:24">
      <c r="B3697" s="421" t="s">
        <v>4073</v>
      </c>
      <c r="C3697" s="429" t="str">
        <f t="shared" si="281"/>
        <v>石嘴山市深阳蓝光市政工程有限公司</v>
      </c>
      <c r="D3697" s="423" t="s">
        <v>4072</v>
      </c>
      <c r="E3697" s="1483"/>
      <c r="F3697" s="485"/>
      <c r="G3697" s="485"/>
      <c r="H3697" s="485"/>
      <c r="I3697" s="485"/>
      <c r="J3697" s="485"/>
      <c r="K3697" s="485"/>
      <c r="L3697" s="485"/>
      <c r="M3697" s="485"/>
      <c r="N3697" s="485"/>
      <c r="O3697" s="485"/>
      <c r="P3697" s="485"/>
      <c r="X3697" s="501" t="b">
        <f t="shared" si="283"/>
        <v>1</v>
      </c>
    </row>
    <row r="3698" spans="1:24">
      <c r="A3698" s="85" t="s">
        <v>4074</v>
      </c>
      <c r="B3698" s="421" t="s">
        <v>4075</v>
      </c>
      <c r="C3698" s="429" t="str">
        <f t="shared" si="281"/>
        <v>石嘴山市深阳蓝光市政工程有限公司</v>
      </c>
      <c r="D3698" s="423" t="s">
        <v>4074</v>
      </c>
      <c r="E3698" s="1483" t="s">
        <v>4074</v>
      </c>
      <c r="F3698" s="485"/>
      <c r="G3698" s="485"/>
      <c r="H3698" s="485"/>
      <c r="I3698" s="485"/>
      <c r="J3698" s="485"/>
      <c r="K3698" s="485"/>
      <c r="L3698" s="485"/>
      <c r="M3698" s="485"/>
      <c r="N3698" s="485"/>
      <c r="O3698" s="485"/>
      <c r="P3698" s="485"/>
      <c r="X3698" s="501" t="b">
        <f t="shared" si="283"/>
        <v>1</v>
      </c>
    </row>
    <row r="3699" outlineLevel="2" spans="1:24">
      <c r="A3699" s="85" t="s">
        <v>60</v>
      </c>
      <c r="B3699" s="421" t="s">
        <v>4075</v>
      </c>
      <c r="C3699" s="429" t="str">
        <f t="shared" si="281"/>
        <v>石嘴山市深阳蓝光市政工程有限公司</v>
      </c>
      <c r="D3699" s="423" t="s">
        <v>4074</v>
      </c>
      <c r="E3699" s="581" t="s">
        <v>60</v>
      </c>
      <c r="F3699" s="581" t="s">
        <v>2017</v>
      </c>
      <c r="G3699" s="581" t="s">
        <v>4076</v>
      </c>
      <c r="H3699" s="581" t="s">
        <v>4077</v>
      </c>
      <c r="I3699" s="581" t="s">
        <v>4078</v>
      </c>
      <c r="J3699" s="581" t="s">
        <v>2016</v>
      </c>
      <c r="K3699" s="485"/>
      <c r="L3699" s="485"/>
      <c r="M3699" s="485"/>
      <c r="N3699" s="485"/>
      <c r="O3699" s="485"/>
      <c r="P3699" s="485"/>
      <c r="X3699" s="501" t="b">
        <f t="shared" si="283"/>
        <v>1</v>
      </c>
    </row>
    <row r="3700" outlineLevel="2" spans="1:24">
      <c r="A3700" s="85" t="s">
        <v>4079</v>
      </c>
      <c r="B3700" s="421" t="s">
        <v>4075</v>
      </c>
      <c r="C3700" s="429" t="str">
        <f t="shared" si="281"/>
        <v>石嘴山市深阳蓝光市政工程有限公司</v>
      </c>
      <c r="D3700" s="423" t="s">
        <v>4074</v>
      </c>
      <c r="E3700" s="521" t="s">
        <v>4079</v>
      </c>
      <c r="F3700" s="521"/>
      <c r="G3700" s="521"/>
      <c r="H3700" s="521"/>
      <c r="I3700" s="521"/>
      <c r="J3700" s="521"/>
      <c r="K3700" s="485"/>
      <c r="L3700" s="485"/>
      <c r="M3700" s="485"/>
      <c r="N3700" s="485"/>
      <c r="O3700" s="485"/>
      <c r="P3700" s="485"/>
      <c r="X3700" s="501" t="b">
        <f t="shared" si="283"/>
        <v>1</v>
      </c>
    </row>
    <row r="3701" ht="24.75" outlineLevel="2" spans="1:24">
      <c r="A3701" s="85" t="s">
        <v>4080</v>
      </c>
      <c r="B3701" s="421" t="s">
        <v>4075</v>
      </c>
      <c r="C3701" s="429" t="str">
        <f t="shared" si="281"/>
        <v>石嘴山市深阳蓝光市政工程有限公司</v>
      </c>
      <c r="D3701" s="423" t="s">
        <v>4074</v>
      </c>
      <c r="E3701" s="521" t="s">
        <v>4081</v>
      </c>
      <c r="F3701" s="949"/>
      <c r="G3701" s="486"/>
      <c r="H3701" s="486"/>
      <c r="I3701" s="486"/>
      <c r="J3701" s="486"/>
      <c r="K3701" s="485"/>
      <c r="L3701" s="485"/>
      <c r="M3701" s="485"/>
      <c r="N3701" s="485"/>
      <c r="O3701" s="485"/>
      <c r="P3701" s="485"/>
      <c r="X3701" s="501" t="b">
        <f t="shared" si="283"/>
        <v>1</v>
      </c>
    </row>
    <row r="3702" outlineLevel="2" spans="1:24">
      <c r="A3702" s="85" t="s">
        <v>4082</v>
      </c>
      <c r="B3702" s="421" t="s">
        <v>4075</v>
      </c>
      <c r="C3702" s="429" t="str">
        <f t="shared" si="281"/>
        <v>石嘴山市深阳蓝光市政工程有限公司</v>
      </c>
      <c r="D3702" s="423" t="s">
        <v>4074</v>
      </c>
      <c r="E3702" s="521" t="s">
        <v>4083</v>
      </c>
      <c r="F3702" s="949"/>
      <c r="G3702" s="486"/>
      <c r="H3702" s="486"/>
      <c r="I3702" s="486"/>
      <c r="J3702" s="486"/>
      <c r="K3702" s="485"/>
      <c r="L3702" s="485"/>
      <c r="M3702" s="485"/>
      <c r="N3702" s="485"/>
      <c r="O3702" s="485"/>
      <c r="P3702" s="485"/>
      <c r="X3702" s="501" t="b">
        <f t="shared" si="283"/>
        <v>1</v>
      </c>
    </row>
    <row r="3703" outlineLevel="2" spans="1:24">
      <c r="A3703" s="85" t="s">
        <v>4084</v>
      </c>
      <c r="B3703" s="421" t="s">
        <v>4075</v>
      </c>
      <c r="C3703" s="429" t="str">
        <f t="shared" si="281"/>
        <v>石嘴山市深阳蓝光市政工程有限公司</v>
      </c>
      <c r="D3703" s="423" t="s">
        <v>4074</v>
      </c>
      <c r="E3703" s="521" t="s">
        <v>4085</v>
      </c>
      <c r="F3703" s="949"/>
      <c r="G3703" s="486"/>
      <c r="H3703" s="486"/>
      <c r="I3703" s="486"/>
      <c r="J3703" s="486"/>
      <c r="K3703" s="485"/>
      <c r="L3703" s="485"/>
      <c r="M3703" s="485"/>
      <c r="N3703" s="485"/>
      <c r="O3703" s="485"/>
      <c r="P3703" s="485"/>
      <c r="X3703" s="501" t="b">
        <f t="shared" si="283"/>
        <v>1</v>
      </c>
    </row>
    <row r="3704" outlineLevel="2" spans="1:24">
      <c r="A3704" s="85" t="s">
        <v>4086</v>
      </c>
      <c r="B3704" s="421" t="s">
        <v>4075</v>
      </c>
      <c r="C3704" s="429" t="str">
        <f t="shared" si="281"/>
        <v>石嘴山市深阳蓝光市政工程有限公司</v>
      </c>
      <c r="D3704" s="423" t="s">
        <v>4074</v>
      </c>
      <c r="E3704" s="521" t="s">
        <v>4086</v>
      </c>
      <c r="F3704" s="949"/>
      <c r="G3704" s="486"/>
      <c r="H3704" s="486"/>
      <c r="I3704" s="486"/>
      <c r="J3704" s="486"/>
      <c r="K3704" s="485"/>
      <c r="L3704" s="485"/>
      <c r="M3704" s="485"/>
      <c r="N3704" s="485"/>
      <c r="O3704" s="485"/>
      <c r="P3704" s="485"/>
      <c r="X3704" s="501" t="b">
        <f t="shared" si="283"/>
        <v>1</v>
      </c>
    </row>
    <row r="3705" outlineLevel="2" spans="1:24">
      <c r="A3705" s="85" t="s">
        <v>231</v>
      </c>
      <c r="B3705" s="421" t="s">
        <v>4075</v>
      </c>
      <c r="C3705" s="429" t="str">
        <f t="shared" si="281"/>
        <v>石嘴山市深阳蓝光市政工程有限公司</v>
      </c>
      <c r="D3705" s="423" t="s">
        <v>4074</v>
      </c>
      <c r="E3705" s="521" t="s">
        <v>231</v>
      </c>
      <c r="F3705" s="949"/>
      <c r="G3705" s="486"/>
      <c r="H3705" s="486"/>
      <c r="I3705" s="486"/>
      <c r="J3705" s="486"/>
      <c r="K3705" s="485"/>
      <c r="L3705" s="485"/>
      <c r="M3705" s="485"/>
      <c r="N3705" s="485"/>
      <c r="O3705" s="485"/>
      <c r="P3705" s="485"/>
      <c r="X3705" s="501" t="b">
        <f t="shared" si="283"/>
        <v>1</v>
      </c>
    </row>
    <row r="3706" outlineLevel="2" spans="1:24">
      <c r="A3706" s="85" t="s">
        <v>241</v>
      </c>
      <c r="B3706" s="421" t="s">
        <v>4075</v>
      </c>
      <c r="C3706" s="429" t="str">
        <f t="shared" si="281"/>
        <v>石嘴山市深阳蓝光市政工程有限公司</v>
      </c>
      <c r="D3706" s="423" t="s">
        <v>4074</v>
      </c>
      <c r="E3706" s="521" t="s">
        <v>241</v>
      </c>
      <c r="F3706" s="949"/>
      <c r="G3706" s="486"/>
      <c r="H3706" s="486"/>
      <c r="I3706" s="486"/>
      <c r="J3706" s="486"/>
      <c r="K3706" s="485"/>
      <c r="L3706" s="485"/>
      <c r="M3706" s="485"/>
      <c r="N3706" s="485"/>
      <c r="O3706" s="485"/>
      <c r="P3706" s="485"/>
      <c r="X3706" s="501" t="b">
        <f t="shared" si="283"/>
        <v>1</v>
      </c>
    </row>
    <row r="3707" outlineLevel="2" spans="1:24">
      <c r="A3707" s="85" t="s">
        <v>279</v>
      </c>
      <c r="B3707" s="421" t="s">
        <v>4075</v>
      </c>
      <c r="C3707" s="429" t="str">
        <f t="shared" si="281"/>
        <v>石嘴山市深阳蓝光市政工程有限公司</v>
      </c>
      <c r="D3707" s="423" t="s">
        <v>4074</v>
      </c>
      <c r="E3707" s="521" t="s">
        <v>279</v>
      </c>
      <c r="F3707" s="949"/>
      <c r="G3707" s="486"/>
      <c r="H3707" s="486"/>
      <c r="I3707" s="486"/>
      <c r="J3707" s="486"/>
      <c r="K3707" s="485"/>
      <c r="L3707" s="485"/>
      <c r="M3707" s="485"/>
      <c r="N3707" s="485"/>
      <c r="O3707" s="485"/>
      <c r="P3707" s="485"/>
      <c r="X3707" s="501" t="b">
        <f t="shared" si="283"/>
        <v>1</v>
      </c>
    </row>
    <row r="3708" outlineLevel="2" spans="1:24">
      <c r="A3708" s="85" t="s">
        <v>4087</v>
      </c>
      <c r="B3708" s="421" t="s">
        <v>4075</v>
      </c>
      <c r="C3708" s="429" t="str">
        <f t="shared" si="281"/>
        <v>石嘴山市深阳蓝光市政工程有限公司</v>
      </c>
      <c r="D3708" s="423" t="s">
        <v>4074</v>
      </c>
      <c r="E3708" s="521" t="s">
        <v>4087</v>
      </c>
      <c r="F3708" s="522">
        <f>SUM(F3701:F3707)</f>
        <v>0</v>
      </c>
      <c r="G3708" s="522">
        <f>SUM(G3701:G3707)</f>
        <v>0</v>
      </c>
      <c r="H3708" s="522">
        <f>SUM(H3701:H3707)</f>
        <v>0</v>
      </c>
      <c r="I3708" s="522">
        <f>SUM(I3701:I3707)</f>
        <v>0</v>
      </c>
      <c r="J3708" s="522">
        <f>SUM(J3701:J3707)</f>
        <v>0</v>
      </c>
      <c r="K3708" s="485"/>
      <c r="L3708" s="485"/>
      <c r="M3708" s="485"/>
      <c r="N3708" s="485"/>
      <c r="O3708" s="485"/>
      <c r="P3708" s="485"/>
      <c r="X3708" s="501" t="b">
        <f t="shared" si="283"/>
        <v>1</v>
      </c>
    </row>
    <row r="3709" outlineLevel="2" spans="1:24">
      <c r="A3709" s="85" t="s">
        <v>4088</v>
      </c>
      <c r="B3709" s="421" t="s">
        <v>4075</v>
      </c>
      <c r="C3709" s="429" t="str">
        <f t="shared" si="281"/>
        <v>石嘴山市深阳蓝光市政工程有限公司</v>
      </c>
      <c r="D3709" s="423" t="s">
        <v>4074</v>
      </c>
      <c r="E3709" s="521" t="s">
        <v>4088</v>
      </c>
      <c r="F3709" s="949"/>
      <c r="G3709" s="486"/>
      <c r="H3709" s="486"/>
      <c r="I3709" s="486"/>
      <c r="J3709" s="486"/>
      <c r="K3709" s="485"/>
      <c r="L3709" s="485"/>
      <c r="M3709" s="485"/>
      <c r="N3709" s="485"/>
      <c r="O3709" s="485"/>
      <c r="P3709" s="485"/>
      <c r="X3709" s="501" t="b">
        <f t="shared" si="283"/>
        <v>1</v>
      </c>
    </row>
    <row r="3710" collapsed="1" spans="1:24">
      <c r="A3710" s="85" t="s">
        <v>4089</v>
      </c>
      <c r="B3710" s="421" t="s">
        <v>4090</v>
      </c>
      <c r="C3710" s="429" t="str">
        <f t="shared" si="281"/>
        <v>石嘴山市深阳蓝光市政工程有限公司</v>
      </c>
      <c r="D3710" s="423" t="s">
        <v>4089</v>
      </c>
      <c r="E3710" s="1483" t="s">
        <v>4089</v>
      </c>
      <c r="F3710" s="485"/>
      <c r="G3710" s="485"/>
      <c r="H3710" s="485"/>
      <c r="I3710" s="485"/>
      <c r="J3710" s="485"/>
      <c r="K3710" s="485"/>
      <c r="L3710" s="485"/>
      <c r="M3710" s="485"/>
      <c r="N3710" s="485"/>
      <c r="O3710" s="485"/>
      <c r="P3710" s="485"/>
      <c r="X3710" s="501" t="b">
        <f t="shared" si="283"/>
        <v>1</v>
      </c>
    </row>
    <row r="3711" hidden="1" outlineLevel="2" spans="1:24">
      <c r="A3711" s="85" t="s">
        <v>60</v>
      </c>
      <c r="B3711" s="421" t="s">
        <v>4090</v>
      </c>
      <c r="C3711" s="429" t="str">
        <f t="shared" si="281"/>
        <v>石嘴山市深阳蓝光市政工程有限公司</v>
      </c>
      <c r="D3711" s="423" t="s">
        <v>4089</v>
      </c>
      <c r="E3711" s="581" t="s">
        <v>60</v>
      </c>
      <c r="F3711" s="581" t="s">
        <v>2017</v>
      </c>
      <c r="G3711" s="581" t="s">
        <v>4076</v>
      </c>
      <c r="H3711" s="581" t="s">
        <v>4077</v>
      </c>
      <c r="I3711" s="581" t="s">
        <v>4078</v>
      </c>
      <c r="J3711" s="581" t="s">
        <v>2016</v>
      </c>
      <c r="K3711" s="485"/>
      <c r="L3711" s="485"/>
      <c r="M3711" s="485"/>
      <c r="N3711" s="485"/>
      <c r="O3711" s="485"/>
      <c r="P3711" s="485"/>
      <c r="X3711" s="501" t="b">
        <f t="shared" si="283"/>
        <v>1</v>
      </c>
    </row>
    <row r="3712" hidden="1" outlineLevel="2" spans="1:24">
      <c r="A3712" s="85" t="s">
        <v>4079</v>
      </c>
      <c r="B3712" s="421" t="s">
        <v>4090</v>
      </c>
      <c r="C3712" s="429" t="str">
        <f t="shared" si="281"/>
        <v>石嘴山市深阳蓝光市政工程有限公司</v>
      </c>
      <c r="D3712" s="423" t="s">
        <v>4089</v>
      </c>
      <c r="E3712" s="521" t="s">
        <v>4079</v>
      </c>
      <c r="F3712" s="521"/>
      <c r="G3712" s="521"/>
      <c r="H3712" s="521"/>
      <c r="I3712" s="521"/>
      <c r="J3712" s="521"/>
      <c r="K3712" s="485"/>
      <c r="L3712" s="485"/>
      <c r="M3712" s="485"/>
      <c r="N3712" s="485"/>
      <c r="O3712" s="485"/>
      <c r="P3712" s="485"/>
      <c r="X3712" s="501" t="b">
        <f t="shared" si="283"/>
        <v>1</v>
      </c>
    </row>
    <row r="3713" ht="24.75" hidden="1" outlineLevel="2" spans="1:24">
      <c r="A3713" s="85" t="s">
        <v>4080</v>
      </c>
      <c r="B3713" s="421" t="s">
        <v>4090</v>
      </c>
      <c r="C3713" s="429" t="str">
        <f t="shared" si="281"/>
        <v>石嘴山市深阳蓝光市政工程有限公司</v>
      </c>
      <c r="D3713" s="423" t="s">
        <v>4089</v>
      </c>
      <c r="E3713" s="521" t="s">
        <v>4081</v>
      </c>
      <c r="F3713" s="949"/>
      <c r="G3713" s="949"/>
      <c r="H3713" s="949"/>
      <c r="I3713" s="949"/>
      <c r="J3713" s="949"/>
      <c r="K3713" s="485"/>
      <c r="L3713" s="485"/>
      <c r="M3713" s="485"/>
      <c r="N3713" s="485"/>
      <c r="O3713" s="485"/>
      <c r="P3713" s="485"/>
      <c r="X3713" s="501" t="b">
        <f t="shared" si="283"/>
        <v>1</v>
      </c>
    </row>
    <row r="3714" hidden="1" outlineLevel="2" spans="1:24">
      <c r="A3714" s="85" t="s">
        <v>4082</v>
      </c>
      <c r="B3714" s="421" t="s">
        <v>4090</v>
      </c>
      <c r="C3714" s="429" t="str">
        <f t="shared" si="281"/>
        <v>石嘴山市深阳蓝光市政工程有限公司</v>
      </c>
      <c r="D3714" s="423" t="s">
        <v>4089</v>
      </c>
      <c r="E3714" s="521" t="s">
        <v>4083</v>
      </c>
      <c r="F3714" s="949"/>
      <c r="G3714" s="949"/>
      <c r="H3714" s="949"/>
      <c r="I3714" s="949"/>
      <c r="J3714" s="949"/>
      <c r="K3714" s="485"/>
      <c r="L3714" s="485"/>
      <c r="M3714" s="485"/>
      <c r="N3714" s="485"/>
      <c r="O3714" s="485"/>
      <c r="P3714" s="485"/>
      <c r="X3714" s="501" t="b">
        <f t="shared" si="283"/>
        <v>1</v>
      </c>
    </row>
    <row r="3715" hidden="1" outlineLevel="2" spans="1:24">
      <c r="A3715" s="85" t="s">
        <v>4091</v>
      </c>
      <c r="B3715" s="421" t="s">
        <v>4090</v>
      </c>
      <c r="C3715" s="429" t="str">
        <f t="shared" si="281"/>
        <v>石嘴山市深阳蓝光市政工程有限公司</v>
      </c>
      <c r="D3715" s="423" t="s">
        <v>4089</v>
      </c>
      <c r="E3715" s="521" t="s">
        <v>4092</v>
      </c>
      <c r="F3715" s="949"/>
      <c r="G3715" s="949"/>
      <c r="H3715" s="949"/>
      <c r="I3715" s="949"/>
      <c r="J3715" s="949"/>
      <c r="K3715" s="485"/>
      <c r="L3715" s="485"/>
      <c r="M3715" s="485"/>
      <c r="N3715" s="485"/>
      <c r="O3715" s="485"/>
      <c r="P3715" s="485"/>
      <c r="X3715" s="501" t="b">
        <f t="shared" si="283"/>
        <v>1</v>
      </c>
    </row>
    <row r="3716" hidden="1" outlineLevel="2" spans="1:24">
      <c r="A3716" s="85" t="s">
        <v>4093</v>
      </c>
      <c r="B3716" s="421" t="s">
        <v>4090</v>
      </c>
      <c r="C3716" s="429" t="str">
        <f t="shared" si="281"/>
        <v>石嘴山市深阳蓝光市政工程有限公司</v>
      </c>
      <c r="D3716" s="423" t="s">
        <v>4089</v>
      </c>
      <c r="E3716" s="521" t="s">
        <v>4094</v>
      </c>
      <c r="F3716" s="949"/>
      <c r="G3716" s="949"/>
      <c r="H3716" s="949"/>
      <c r="I3716" s="949"/>
      <c r="J3716" s="949"/>
      <c r="K3716" s="485"/>
      <c r="L3716" s="485"/>
      <c r="M3716" s="485"/>
      <c r="N3716" s="485"/>
      <c r="O3716" s="485"/>
      <c r="P3716" s="485"/>
      <c r="X3716" s="501" t="b">
        <f t="shared" si="283"/>
        <v>1</v>
      </c>
    </row>
    <row r="3717" hidden="1" outlineLevel="2" spans="1:24">
      <c r="A3717" s="85" t="s">
        <v>4095</v>
      </c>
      <c r="B3717" s="421" t="s">
        <v>4090</v>
      </c>
      <c r="C3717" s="429" t="str">
        <f t="shared" si="281"/>
        <v>石嘴山市深阳蓝光市政工程有限公司</v>
      </c>
      <c r="D3717" s="423" t="s">
        <v>4089</v>
      </c>
      <c r="E3717" s="521" t="s">
        <v>4096</v>
      </c>
      <c r="F3717" s="949"/>
      <c r="G3717" s="949"/>
      <c r="H3717" s="949"/>
      <c r="I3717" s="949"/>
      <c r="J3717" s="949"/>
      <c r="K3717" s="485"/>
      <c r="L3717" s="485"/>
      <c r="M3717" s="485"/>
      <c r="N3717" s="485"/>
      <c r="O3717" s="485"/>
      <c r="P3717" s="485"/>
      <c r="X3717" s="501" t="b">
        <f t="shared" si="283"/>
        <v>1</v>
      </c>
    </row>
    <row r="3718" hidden="1" outlineLevel="2" spans="1:24">
      <c r="A3718" s="85" t="s">
        <v>4086</v>
      </c>
      <c r="B3718" s="421" t="s">
        <v>4090</v>
      </c>
      <c r="C3718" s="429" t="str">
        <f t="shared" si="281"/>
        <v>石嘴山市深阳蓝光市政工程有限公司</v>
      </c>
      <c r="D3718" s="423" t="s">
        <v>4089</v>
      </c>
      <c r="E3718" s="521" t="s">
        <v>4086</v>
      </c>
      <c r="F3718" s="522">
        <f>SUM(F3713:F3717)</f>
        <v>0</v>
      </c>
      <c r="G3718" s="522">
        <f>SUM(G3713:G3717)</f>
        <v>0</v>
      </c>
      <c r="H3718" s="522">
        <f>SUM(H3713:H3717)</f>
        <v>0</v>
      </c>
      <c r="I3718" s="522">
        <f>SUM(I3713:I3717)</f>
        <v>0</v>
      </c>
      <c r="J3718" s="522">
        <f>SUM(J3713:J3717)</f>
        <v>0</v>
      </c>
      <c r="K3718" s="485"/>
      <c r="L3718" s="485"/>
      <c r="M3718" s="485"/>
      <c r="N3718" s="485"/>
      <c r="O3718" s="485"/>
      <c r="P3718" s="485"/>
      <c r="X3718" s="501" t="b">
        <f t="shared" si="283"/>
        <v>1</v>
      </c>
    </row>
    <row r="3719" hidden="1" outlineLevel="2" spans="1:24">
      <c r="A3719" s="85" t="s">
        <v>4088</v>
      </c>
      <c r="B3719" s="421" t="s">
        <v>4090</v>
      </c>
      <c r="C3719" s="429" t="str">
        <f t="shared" si="281"/>
        <v>石嘴山市深阳蓝光市政工程有限公司</v>
      </c>
      <c r="D3719" s="423" t="s">
        <v>4089</v>
      </c>
      <c r="E3719" s="521" t="s">
        <v>4088</v>
      </c>
      <c r="F3719" s="949"/>
      <c r="G3719" s="949"/>
      <c r="H3719" s="949"/>
      <c r="I3719" s="949"/>
      <c r="J3719" s="949"/>
      <c r="K3719" s="485"/>
      <c r="L3719" s="485"/>
      <c r="M3719" s="485"/>
      <c r="N3719" s="485"/>
      <c r="O3719" s="485"/>
      <c r="P3719" s="485"/>
      <c r="X3719" s="501" t="b">
        <f t="shared" si="283"/>
        <v>1</v>
      </c>
    </row>
    <row r="3720" hidden="1" outlineLevel="2" spans="2:24">
      <c r="B3720" s="421" t="s">
        <v>4090</v>
      </c>
      <c r="C3720" s="429" t="str">
        <f t="shared" si="281"/>
        <v>石嘴山市深阳蓝光市政工程有限公司</v>
      </c>
      <c r="D3720" s="423" t="s">
        <v>4089</v>
      </c>
      <c r="E3720" s="1483"/>
      <c r="F3720" s="485"/>
      <c r="G3720" s="485"/>
      <c r="H3720" s="485"/>
      <c r="I3720" s="485"/>
      <c r="J3720" s="485"/>
      <c r="K3720" s="485"/>
      <c r="L3720" s="485"/>
      <c r="M3720" s="485"/>
      <c r="N3720" s="485"/>
      <c r="O3720" s="485"/>
      <c r="P3720" s="485"/>
      <c r="X3720" s="501" t="b">
        <f t="shared" si="283"/>
        <v>1</v>
      </c>
    </row>
    <row r="3721" collapsed="1" spans="1:24">
      <c r="A3721" s="85" t="s">
        <v>4097</v>
      </c>
      <c r="B3721" s="421" t="s">
        <v>4098</v>
      </c>
      <c r="C3721" s="429" t="str">
        <f t="shared" si="281"/>
        <v>石嘴山市深阳蓝光市政工程有限公司</v>
      </c>
      <c r="D3721" s="423" t="s">
        <v>4097</v>
      </c>
      <c r="E3721" s="1483" t="s">
        <v>4097</v>
      </c>
      <c r="F3721" s="485"/>
      <c r="G3721" s="485"/>
      <c r="H3721" s="485"/>
      <c r="I3721" s="485"/>
      <c r="J3721" s="485"/>
      <c r="K3721" s="485"/>
      <c r="L3721" s="485"/>
      <c r="M3721" s="485"/>
      <c r="N3721" s="485"/>
      <c r="O3721" s="485"/>
      <c r="P3721" s="485"/>
      <c r="X3721" s="501" t="b">
        <f t="shared" si="283"/>
        <v>1</v>
      </c>
    </row>
    <row r="3722" ht="14.25" hidden="1" outlineLevel="2" spans="1:24">
      <c r="A3722" s="85" t="s">
        <v>314</v>
      </c>
      <c r="B3722" s="421" t="s">
        <v>4098</v>
      </c>
      <c r="C3722" s="429" t="str">
        <f t="shared" si="281"/>
        <v>石嘴山市深阳蓝光市政工程有限公司</v>
      </c>
      <c r="D3722" s="423" t="s">
        <v>4097</v>
      </c>
      <c r="E3722" s="1518" t="s">
        <v>3185</v>
      </c>
      <c r="F3722" s="1518" t="s">
        <v>1241</v>
      </c>
      <c r="G3722" s="1518" t="s">
        <v>1242</v>
      </c>
      <c r="H3722" s="485"/>
      <c r="I3722" s="485"/>
      <c r="J3722" s="485"/>
      <c r="K3722" s="485"/>
      <c r="L3722" s="485"/>
      <c r="M3722" s="485"/>
      <c r="N3722" s="485"/>
      <c r="O3722" s="485"/>
      <c r="P3722" s="485"/>
      <c r="X3722" s="501" t="b">
        <f t="shared" si="283"/>
        <v>1</v>
      </c>
    </row>
    <row r="3723" hidden="1" outlineLevel="2" spans="1:24">
      <c r="A3723" s="85" t="s">
        <v>4099</v>
      </c>
      <c r="B3723" s="421" t="s">
        <v>4098</v>
      </c>
      <c r="C3723" s="429" t="str">
        <f t="shared" si="281"/>
        <v>石嘴山市深阳蓝光市政工程有限公司</v>
      </c>
      <c r="D3723" s="423" t="s">
        <v>4097</v>
      </c>
      <c r="E3723" s="1519" t="s">
        <v>4100</v>
      </c>
      <c r="F3723" s="1520"/>
      <c r="G3723" s="1520"/>
      <c r="H3723" s="485"/>
      <c r="I3723" s="485"/>
      <c r="J3723" s="485"/>
      <c r="K3723" s="485"/>
      <c r="L3723" s="485"/>
      <c r="M3723" s="485"/>
      <c r="N3723" s="485"/>
      <c r="O3723" s="485"/>
      <c r="P3723" s="485"/>
      <c r="X3723" s="501" t="b">
        <f t="shared" si="283"/>
        <v>1</v>
      </c>
    </row>
    <row r="3724" hidden="1" outlineLevel="2" spans="1:24">
      <c r="A3724" s="85" t="s">
        <v>4101</v>
      </c>
      <c r="B3724" s="421" t="s">
        <v>4098</v>
      </c>
      <c r="C3724" s="429" t="str">
        <f t="shared" si="281"/>
        <v>石嘴山市深阳蓝光市政工程有限公司</v>
      </c>
      <c r="D3724" s="423" t="s">
        <v>4097</v>
      </c>
      <c r="E3724" s="1519" t="s">
        <v>4101</v>
      </c>
      <c r="F3724" s="1520"/>
      <c r="G3724" s="1520"/>
      <c r="H3724" s="485"/>
      <c r="I3724" s="485"/>
      <c r="J3724" s="485"/>
      <c r="K3724" s="485"/>
      <c r="L3724" s="485"/>
      <c r="M3724" s="485"/>
      <c r="N3724" s="485"/>
      <c r="O3724" s="485"/>
      <c r="P3724" s="485"/>
      <c r="X3724" s="501" t="b">
        <f t="shared" si="283"/>
        <v>1</v>
      </c>
    </row>
    <row r="3725" hidden="1" outlineLevel="2" spans="1:24">
      <c r="A3725" s="85" t="s">
        <v>4102</v>
      </c>
      <c r="B3725" s="421" t="s">
        <v>4098</v>
      </c>
      <c r="C3725" s="429" t="str">
        <f t="shared" ref="C3725:C3749" si="284">$G$1</f>
        <v>石嘴山市深阳蓝光市政工程有限公司</v>
      </c>
      <c r="D3725" s="423" t="s">
        <v>4097</v>
      </c>
      <c r="E3725" s="1519" t="s">
        <v>4103</v>
      </c>
      <c r="F3725" s="1520"/>
      <c r="G3725" s="1520"/>
      <c r="H3725" s="485"/>
      <c r="I3725" s="485"/>
      <c r="J3725" s="485"/>
      <c r="K3725" s="485"/>
      <c r="L3725" s="485"/>
      <c r="M3725" s="485"/>
      <c r="N3725" s="485"/>
      <c r="O3725" s="485"/>
      <c r="P3725" s="485"/>
      <c r="X3725" s="501" t="b">
        <f t="shared" si="283"/>
        <v>1</v>
      </c>
    </row>
    <row r="3726" hidden="1" outlineLevel="2" spans="1:24">
      <c r="A3726" s="85" t="s">
        <v>4104</v>
      </c>
      <c r="B3726" s="421" t="s">
        <v>4098</v>
      </c>
      <c r="C3726" s="429" t="str">
        <f t="shared" si="284"/>
        <v>石嘴山市深阳蓝光市政工程有限公司</v>
      </c>
      <c r="D3726" s="423" t="s">
        <v>4097</v>
      </c>
      <c r="E3726" s="1519" t="s">
        <v>4104</v>
      </c>
      <c r="F3726" s="1520"/>
      <c r="G3726" s="1520"/>
      <c r="H3726" s="485"/>
      <c r="I3726" s="485"/>
      <c r="J3726" s="485"/>
      <c r="K3726" s="485"/>
      <c r="L3726" s="485"/>
      <c r="M3726" s="485"/>
      <c r="N3726" s="485"/>
      <c r="O3726" s="485"/>
      <c r="P3726" s="485"/>
      <c r="X3726" s="501" t="b">
        <f t="shared" si="283"/>
        <v>1</v>
      </c>
    </row>
    <row r="3727" hidden="1" outlineLevel="2" spans="1:24">
      <c r="A3727" s="85" t="s">
        <v>4105</v>
      </c>
      <c r="B3727" s="421" t="s">
        <v>4098</v>
      </c>
      <c r="C3727" s="429" t="str">
        <f t="shared" si="284"/>
        <v>石嘴山市深阳蓝光市政工程有限公司</v>
      </c>
      <c r="D3727" s="423" t="s">
        <v>4097</v>
      </c>
      <c r="E3727" s="1519" t="s">
        <v>4106</v>
      </c>
      <c r="F3727" s="1520"/>
      <c r="G3727" s="1520"/>
      <c r="H3727" s="485"/>
      <c r="I3727" s="485"/>
      <c r="J3727" s="485"/>
      <c r="K3727" s="485"/>
      <c r="L3727" s="485"/>
      <c r="M3727" s="485"/>
      <c r="N3727" s="485"/>
      <c r="O3727" s="485"/>
      <c r="P3727" s="485"/>
      <c r="X3727" s="501" t="b">
        <f t="shared" si="283"/>
        <v>1</v>
      </c>
    </row>
    <row r="3728" hidden="1" outlineLevel="2" spans="2:24">
      <c r="B3728" s="421" t="s">
        <v>4098</v>
      </c>
      <c r="C3728" s="429" t="str">
        <f t="shared" si="284"/>
        <v>石嘴山市深阳蓝光市政工程有限公司</v>
      </c>
      <c r="D3728" s="423" t="s">
        <v>4097</v>
      </c>
      <c r="E3728" s="1483"/>
      <c r="F3728" s="485"/>
      <c r="G3728" s="485"/>
      <c r="H3728" s="485"/>
      <c r="I3728" s="485"/>
      <c r="J3728" s="485"/>
      <c r="K3728" s="485"/>
      <c r="L3728" s="485"/>
      <c r="M3728" s="485"/>
      <c r="N3728" s="485"/>
      <c r="O3728" s="485"/>
      <c r="P3728" s="485"/>
      <c r="X3728" s="501" t="b">
        <f t="shared" si="283"/>
        <v>1</v>
      </c>
    </row>
    <row r="3729" spans="1:24">
      <c r="A3729" s="85" t="s">
        <v>4107</v>
      </c>
      <c r="B3729" s="421" t="s">
        <v>4108</v>
      </c>
      <c r="C3729" s="429" t="str">
        <f t="shared" si="284"/>
        <v>石嘴山市深阳蓝光市政工程有限公司</v>
      </c>
      <c r="D3729" s="423" t="s">
        <v>4107</v>
      </c>
      <c r="E3729" s="1483" t="s">
        <v>4107</v>
      </c>
      <c r="F3729" s="485"/>
      <c r="G3729" s="485"/>
      <c r="H3729" s="485"/>
      <c r="I3729" s="485"/>
      <c r="J3729" s="485"/>
      <c r="K3729" s="485"/>
      <c r="L3729" s="485"/>
      <c r="M3729" s="485"/>
      <c r="N3729" s="485"/>
      <c r="O3729" s="485"/>
      <c r="P3729" s="485"/>
      <c r="X3729" s="501" t="b">
        <f t="shared" si="283"/>
        <v>1</v>
      </c>
    </row>
    <row r="3730" hidden="1" spans="1:24">
      <c r="A3730" s="85" t="s">
        <v>4109</v>
      </c>
      <c r="B3730" s="421" t="s">
        <v>4108</v>
      </c>
      <c r="C3730" s="429" t="str">
        <f t="shared" si="284"/>
        <v>石嘴山市深阳蓝光市政工程有限公司</v>
      </c>
      <c r="D3730" s="423" t="s">
        <v>4107</v>
      </c>
      <c r="E3730" s="748" t="s">
        <v>4110</v>
      </c>
      <c r="F3730" s="485"/>
      <c r="G3730" s="485"/>
      <c r="H3730" s="485"/>
      <c r="I3730" s="485"/>
      <c r="J3730" s="485"/>
      <c r="K3730" s="485"/>
      <c r="L3730" s="485"/>
      <c r="M3730" s="485"/>
      <c r="N3730" s="485"/>
      <c r="O3730" s="485"/>
      <c r="P3730" s="485"/>
      <c r="X3730" s="501" t="b">
        <f t="shared" si="283"/>
        <v>1</v>
      </c>
    </row>
    <row r="3731" ht="11.25" hidden="1" customHeight="1" spans="1:24">
      <c r="A3731" s="85" t="s">
        <v>60</v>
      </c>
      <c r="B3731" s="421" t="s">
        <v>4108</v>
      </c>
      <c r="C3731" s="429" t="str">
        <f t="shared" si="284"/>
        <v>石嘴山市深阳蓝光市政工程有限公司</v>
      </c>
      <c r="D3731" s="423" t="s">
        <v>4107</v>
      </c>
      <c r="E3731" s="1521" t="s">
        <v>60</v>
      </c>
      <c r="F3731" s="1521" t="s">
        <v>4111</v>
      </c>
      <c r="G3731" s="1521"/>
      <c r="H3731" s="1521" t="s">
        <v>4111</v>
      </c>
      <c r="I3731" s="1521"/>
      <c r="J3731" s="1521" t="s">
        <v>4048</v>
      </c>
      <c r="K3731" s="1521" t="s">
        <v>279</v>
      </c>
      <c r="L3731" s="1521"/>
      <c r="M3731" s="1521" t="s">
        <v>4112</v>
      </c>
      <c r="N3731" s="1521"/>
      <c r="O3731" s="1521" t="s">
        <v>1580</v>
      </c>
      <c r="P3731" s="1521"/>
      <c r="X3731" s="501" t="b">
        <f t="shared" si="283"/>
        <v>1</v>
      </c>
    </row>
    <row r="3732" ht="14.25" hidden="1" spans="2:24">
      <c r="B3732" s="421" t="s">
        <v>4108</v>
      </c>
      <c r="C3732" s="429" t="str">
        <f t="shared" si="284"/>
        <v>石嘴山市深阳蓝光市政工程有限公司</v>
      </c>
      <c r="D3732" s="423" t="s">
        <v>4107</v>
      </c>
      <c r="E3732" s="1522"/>
      <c r="F3732" s="1522" t="s">
        <v>23</v>
      </c>
      <c r="G3732" s="1522" t="s">
        <v>20</v>
      </c>
      <c r="H3732" s="1522" t="s">
        <v>23</v>
      </c>
      <c r="I3732" s="1522" t="s">
        <v>20</v>
      </c>
      <c r="J3732" s="1522"/>
      <c r="K3732" s="1522" t="s">
        <v>23</v>
      </c>
      <c r="L3732" s="1522" t="s">
        <v>20</v>
      </c>
      <c r="M3732" s="1522" t="s">
        <v>23</v>
      </c>
      <c r="N3732" s="1522" t="s">
        <v>20</v>
      </c>
      <c r="O3732" s="1522" t="s">
        <v>23</v>
      </c>
      <c r="P3732" s="1522" t="s">
        <v>20</v>
      </c>
      <c r="X3732" s="501" t="b">
        <f t="shared" si="283"/>
        <v>1</v>
      </c>
    </row>
    <row r="3733" hidden="1" spans="1:24">
      <c r="A3733" s="85" t="s">
        <v>76</v>
      </c>
      <c r="B3733" s="421" t="s">
        <v>4108</v>
      </c>
      <c r="C3733" s="429" t="str">
        <f t="shared" si="284"/>
        <v>石嘴山市深阳蓝光市政工程有限公司</v>
      </c>
      <c r="D3733" s="423" t="s">
        <v>4107</v>
      </c>
      <c r="E3733" s="1519" t="s">
        <v>76</v>
      </c>
      <c r="F3733" s="1523"/>
      <c r="G3733" s="1523"/>
      <c r="H3733" s="1523"/>
      <c r="I3733" s="1523"/>
      <c r="J3733" s="1523"/>
      <c r="K3733" s="1523"/>
      <c r="L3733" s="1523"/>
      <c r="M3733" s="1523"/>
      <c r="N3733" s="1523"/>
      <c r="O3733" s="1523"/>
      <c r="P3733" s="1523"/>
      <c r="X3733" s="501" t="b">
        <f t="shared" si="283"/>
        <v>1</v>
      </c>
    </row>
    <row r="3734" hidden="1" spans="1:24">
      <c r="A3734" s="85" t="s">
        <v>4113</v>
      </c>
      <c r="B3734" s="421" t="s">
        <v>4108</v>
      </c>
      <c r="C3734" s="429" t="str">
        <f t="shared" si="284"/>
        <v>石嘴山市深阳蓝光市政工程有限公司</v>
      </c>
      <c r="D3734" s="423" t="s">
        <v>4107</v>
      </c>
      <c r="E3734" s="1519" t="s">
        <v>4113</v>
      </c>
      <c r="F3734" s="1523"/>
      <c r="G3734" s="1523"/>
      <c r="H3734" s="1523"/>
      <c r="I3734" s="1523"/>
      <c r="J3734" s="1523"/>
      <c r="K3734" s="1523"/>
      <c r="L3734" s="1523"/>
      <c r="M3734" s="1523"/>
      <c r="N3734" s="1523"/>
      <c r="O3734" s="1523"/>
      <c r="P3734" s="1523"/>
      <c r="X3734" s="501" t="b">
        <f t="shared" si="283"/>
        <v>1</v>
      </c>
    </row>
    <row r="3735" hidden="1" spans="1:24">
      <c r="A3735" s="85" t="s">
        <v>4114</v>
      </c>
      <c r="B3735" s="421" t="s">
        <v>4108</v>
      </c>
      <c r="C3735" s="429" t="str">
        <f t="shared" si="284"/>
        <v>石嘴山市深阳蓝光市政工程有限公司</v>
      </c>
      <c r="D3735" s="423" t="s">
        <v>4107</v>
      </c>
      <c r="E3735" s="1519" t="s">
        <v>4114</v>
      </c>
      <c r="F3735" s="1523"/>
      <c r="G3735" s="1523"/>
      <c r="H3735" s="1523"/>
      <c r="I3735" s="1523"/>
      <c r="J3735" s="1523"/>
      <c r="K3735" s="1523"/>
      <c r="L3735" s="1523"/>
      <c r="M3735" s="1523"/>
      <c r="N3735" s="1523"/>
      <c r="O3735" s="1523"/>
      <c r="P3735" s="1523"/>
      <c r="X3735" s="501" t="b">
        <f t="shared" si="283"/>
        <v>1</v>
      </c>
    </row>
    <row r="3736" hidden="1" spans="1:24">
      <c r="A3736" s="85" t="s">
        <v>4115</v>
      </c>
      <c r="B3736" s="421" t="s">
        <v>4108</v>
      </c>
      <c r="C3736" s="429" t="str">
        <f t="shared" si="284"/>
        <v>石嘴山市深阳蓝光市政工程有限公司</v>
      </c>
      <c r="D3736" s="423" t="s">
        <v>4107</v>
      </c>
      <c r="E3736" s="1519" t="s">
        <v>4115</v>
      </c>
      <c r="F3736" s="1523"/>
      <c r="G3736" s="1523"/>
      <c r="H3736" s="1523"/>
      <c r="I3736" s="1523"/>
      <c r="J3736" s="1523"/>
      <c r="K3736" s="1523"/>
      <c r="L3736" s="1523"/>
      <c r="M3736" s="1523"/>
      <c r="N3736" s="1523"/>
      <c r="O3736" s="1523"/>
      <c r="P3736" s="1523"/>
      <c r="X3736" s="501" t="b">
        <f t="shared" si="283"/>
        <v>1</v>
      </c>
    </row>
    <row r="3737" hidden="1" spans="1:24">
      <c r="A3737" s="85" t="s">
        <v>4116</v>
      </c>
      <c r="B3737" s="421" t="s">
        <v>4108</v>
      </c>
      <c r="C3737" s="429" t="str">
        <f t="shared" si="284"/>
        <v>石嘴山市深阳蓝光市政工程有限公司</v>
      </c>
      <c r="D3737" s="423" t="s">
        <v>4107</v>
      </c>
      <c r="E3737" s="1519" t="s">
        <v>4116</v>
      </c>
      <c r="F3737" s="1523"/>
      <c r="G3737" s="1523"/>
      <c r="H3737" s="1523"/>
      <c r="I3737" s="1523"/>
      <c r="J3737" s="1523"/>
      <c r="K3737" s="1523"/>
      <c r="L3737" s="1523"/>
      <c r="M3737" s="1523"/>
      <c r="N3737" s="1523"/>
      <c r="O3737" s="1523"/>
      <c r="P3737" s="1523"/>
      <c r="X3737" s="501" t="b">
        <f t="shared" si="283"/>
        <v>1</v>
      </c>
    </row>
    <row r="3738" hidden="1" spans="1:24">
      <c r="A3738" s="85" t="s">
        <v>4117</v>
      </c>
      <c r="B3738" s="421" t="s">
        <v>4108</v>
      </c>
      <c r="C3738" s="429" t="str">
        <f t="shared" si="284"/>
        <v>石嘴山市深阳蓝光市政工程有限公司</v>
      </c>
      <c r="D3738" s="423" t="s">
        <v>4107</v>
      </c>
      <c r="E3738" s="1519" t="s">
        <v>4117</v>
      </c>
      <c r="F3738" s="1523"/>
      <c r="G3738" s="1523"/>
      <c r="H3738" s="1523"/>
      <c r="I3738" s="1523"/>
      <c r="J3738" s="1523"/>
      <c r="K3738" s="1523"/>
      <c r="L3738" s="1523"/>
      <c r="M3738" s="1523"/>
      <c r="N3738" s="1523"/>
      <c r="O3738" s="1523"/>
      <c r="P3738" s="1523"/>
      <c r="X3738" s="501" t="b">
        <f t="shared" si="283"/>
        <v>1</v>
      </c>
    </row>
    <row r="3739" hidden="1" spans="1:24">
      <c r="A3739" s="85" t="s">
        <v>4118</v>
      </c>
      <c r="B3739" s="421" t="s">
        <v>4108</v>
      </c>
      <c r="C3739" s="429" t="str">
        <f t="shared" si="284"/>
        <v>石嘴山市深阳蓝光市政工程有限公司</v>
      </c>
      <c r="D3739" s="423" t="s">
        <v>4107</v>
      </c>
      <c r="E3739" s="1519" t="s">
        <v>4118</v>
      </c>
      <c r="F3739" s="1523"/>
      <c r="G3739" s="1523"/>
      <c r="H3739" s="1523"/>
      <c r="I3739" s="1523"/>
      <c r="J3739" s="1523"/>
      <c r="K3739" s="1523"/>
      <c r="L3739" s="1523"/>
      <c r="M3739" s="1523"/>
      <c r="N3739" s="1523"/>
      <c r="O3739" s="1523"/>
      <c r="P3739" s="1523"/>
      <c r="X3739" s="501" t="b">
        <f t="shared" si="283"/>
        <v>1</v>
      </c>
    </row>
    <row r="3740" hidden="1" spans="1:24">
      <c r="A3740" s="85" t="s">
        <v>4119</v>
      </c>
      <c r="B3740" s="421" t="s">
        <v>4108</v>
      </c>
      <c r="C3740" s="429" t="str">
        <f t="shared" si="284"/>
        <v>石嘴山市深阳蓝光市政工程有限公司</v>
      </c>
      <c r="D3740" s="423" t="s">
        <v>4107</v>
      </c>
      <c r="E3740" s="1519" t="s">
        <v>4119</v>
      </c>
      <c r="F3740" s="1523"/>
      <c r="G3740" s="1523"/>
      <c r="H3740" s="1523"/>
      <c r="I3740" s="1523"/>
      <c r="J3740" s="1523"/>
      <c r="K3740" s="1523"/>
      <c r="L3740" s="1523"/>
      <c r="M3740" s="1523"/>
      <c r="N3740" s="1523"/>
      <c r="O3740" s="1523"/>
      <c r="P3740" s="1523"/>
      <c r="X3740" s="501" t="b">
        <f t="shared" si="283"/>
        <v>1</v>
      </c>
    </row>
    <row r="3741" hidden="1" spans="1:24">
      <c r="A3741" s="85" t="s">
        <v>4120</v>
      </c>
      <c r="B3741" s="421" t="s">
        <v>4108</v>
      </c>
      <c r="C3741" s="429" t="str">
        <f t="shared" si="284"/>
        <v>石嘴山市深阳蓝光市政工程有限公司</v>
      </c>
      <c r="D3741" s="423" t="s">
        <v>4107</v>
      </c>
      <c r="E3741" s="1519" t="s">
        <v>4121</v>
      </c>
      <c r="F3741" s="1523"/>
      <c r="G3741" s="1523"/>
      <c r="H3741" s="1523"/>
      <c r="I3741" s="1523"/>
      <c r="J3741" s="1523"/>
      <c r="K3741" s="1523"/>
      <c r="L3741" s="1523"/>
      <c r="M3741" s="1523"/>
      <c r="N3741" s="1523"/>
      <c r="O3741" s="1523"/>
      <c r="P3741" s="1523"/>
      <c r="X3741" s="501" t="b">
        <f t="shared" si="283"/>
        <v>1</v>
      </c>
    </row>
    <row r="3742" hidden="1" spans="1:24">
      <c r="A3742" s="85" t="s">
        <v>4122</v>
      </c>
      <c r="B3742" s="421" t="s">
        <v>4108</v>
      </c>
      <c r="C3742" s="429" t="str">
        <f t="shared" si="284"/>
        <v>石嘴山市深阳蓝光市政工程有限公司</v>
      </c>
      <c r="D3742" s="423" t="s">
        <v>4107</v>
      </c>
      <c r="E3742" s="1519" t="s">
        <v>4123</v>
      </c>
      <c r="F3742" s="1523"/>
      <c r="G3742" s="1523"/>
      <c r="H3742" s="1523"/>
      <c r="I3742" s="1523"/>
      <c r="J3742" s="1523"/>
      <c r="K3742" s="1523"/>
      <c r="L3742" s="1523"/>
      <c r="M3742" s="1523"/>
      <c r="N3742" s="1523"/>
      <c r="O3742" s="1523"/>
      <c r="P3742" s="1523"/>
      <c r="X3742" s="501" t="b">
        <f t="shared" si="283"/>
        <v>1</v>
      </c>
    </row>
    <row r="3743" hidden="1" spans="1:24">
      <c r="A3743" s="85" t="s">
        <v>4124</v>
      </c>
      <c r="B3743" s="421" t="s">
        <v>4108</v>
      </c>
      <c r="C3743" s="429" t="str">
        <f t="shared" si="284"/>
        <v>石嘴山市深阳蓝光市政工程有限公司</v>
      </c>
      <c r="D3743" s="423" t="s">
        <v>4107</v>
      </c>
      <c r="E3743" s="1519" t="s">
        <v>4125</v>
      </c>
      <c r="F3743" s="1523"/>
      <c r="G3743" s="1523"/>
      <c r="H3743" s="1523"/>
      <c r="I3743" s="1523"/>
      <c r="J3743" s="1523"/>
      <c r="K3743" s="1523"/>
      <c r="L3743" s="1523"/>
      <c r="M3743" s="1523"/>
      <c r="N3743" s="1523"/>
      <c r="O3743" s="1523"/>
      <c r="P3743" s="1523"/>
      <c r="X3743" s="501" t="b">
        <f t="shared" si="283"/>
        <v>1</v>
      </c>
    </row>
    <row r="3744" hidden="1" spans="2:24">
      <c r="B3744" s="421" t="s">
        <v>4108</v>
      </c>
      <c r="C3744" s="429" t="str">
        <f t="shared" si="284"/>
        <v>石嘴山市深阳蓝光市政工程有限公司</v>
      </c>
      <c r="D3744" s="423" t="s">
        <v>4107</v>
      </c>
      <c r="E3744" s="1499"/>
      <c r="F3744" s="485"/>
      <c r="G3744" s="485"/>
      <c r="H3744" s="485"/>
      <c r="I3744" s="485"/>
      <c r="J3744" s="485"/>
      <c r="K3744" s="485"/>
      <c r="L3744" s="485"/>
      <c r="M3744" s="485"/>
      <c r="N3744" s="485"/>
      <c r="O3744" s="485"/>
      <c r="P3744" s="485"/>
      <c r="X3744" s="501" t="b">
        <f t="shared" si="283"/>
        <v>1</v>
      </c>
    </row>
    <row r="3745" hidden="1" spans="1:24">
      <c r="A3745" s="85" t="s">
        <v>4126</v>
      </c>
      <c r="B3745" s="421" t="s">
        <v>4108</v>
      </c>
      <c r="C3745" s="429" t="str">
        <f t="shared" si="284"/>
        <v>石嘴山市深阳蓝光市政工程有限公司</v>
      </c>
      <c r="D3745" s="423" t="s">
        <v>4107</v>
      </c>
      <c r="E3745" s="149" t="s">
        <v>4127</v>
      </c>
      <c r="F3745" s="485"/>
      <c r="G3745" s="485"/>
      <c r="H3745" s="485"/>
      <c r="I3745" s="485"/>
      <c r="J3745" s="485"/>
      <c r="K3745" s="485"/>
      <c r="L3745" s="485"/>
      <c r="M3745" s="485"/>
      <c r="N3745" s="485"/>
      <c r="O3745" s="485"/>
      <c r="P3745" s="485"/>
      <c r="X3745" s="501" t="b">
        <f t="shared" si="283"/>
        <v>1</v>
      </c>
    </row>
    <row r="3746" ht="11.25" hidden="1" customHeight="1" spans="1:24">
      <c r="A3746" s="85" t="s">
        <v>4128</v>
      </c>
      <c r="B3746" s="421" t="s">
        <v>4108</v>
      </c>
      <c r="C3746" s="429" t="str">
        <f t="shared" si="284"/>
        <v>石嘴山市深阳蓝光市政工程有限公司</v>
      </c>
      <c r="D3746" s="423" t="s">
        <v>4107</v>
      </c>
      <c r="E3746" s="149" t="s">
        <v>4129</v>
      </c>
      <c r="F3746" s="485"/>
      <c r="G3746" s="485"/>
      <c r="H3746" s="485"/>
      <c r="I3746" s="485"/>
      <c r="J3746" s="485"/>
      <c r="K3746" s="485"/>
      <c r="L3746" s="485"/>
      <c r="M3746" s="485"/>
      <c r="N3746" s="485"/>
      <c r="O3746" s="485"/>
      <c r="P3746" s="485"/>
      <c r="X3746" s="501" t="b">
        <f t="shared" si="283"/>
        <v>1</v>
      </c>
    </row>
    <row r="3747" s="420" customFormat="1" spans="2:4">
      <c r="B3747" s="1524"/>
      <c r="C3747" s="1525" t="str">
        <f t="shared" si="284"/>
        <v>石嘴山市深阳蓝光市政工程有限公司</v>
      </c>
      <c r="D3747" s="1526"/>
    </row>
    <row r="3748" spans="3:3">
      <c r="C3748" s="429" t="str">
        <f t="shared" si="284"/>
        <v>石嘴山市深阳蓝光市政工程有限公司</v>
      </c>
    </row>
    <row r="3749" spans="3:6">
      <c r="C3749" s="429" t="str">
        <f t="shared" si="284"/>
        <v>石嘴山市深阳蓝光市政工程有限公司</v>
      </c>
      <c r="D3749" s="423" t="s">
        <v>1638</v>
      </c>
      <c r="E3749" s="65" t="s">
        <v>2707</v>
      </c>
      <c r="F3749" s="66" t="s">
        <v>4130</v>
      </c>
    </row>
    <row r="3750" outlineLevel="1" spans="1:5">
      <c r="A3750" s="1527" t="s">
        <v>4131</v>
      </c>
      <c r="B3750" s="421" t="s">
        <v>4132</v>
      </c>
      <c r="C3750" s="429"/>
      <c r="D3750" s="423" t="s">
        <v>1638</v>
      </c>
      <c r="E3750" s="65" t="s">
        <v>4133</v>
      </c>
    </row>
    <row r="3751" outlineLevel="1" spans="1:9">
      <c r="A3751" s="1527" t="s">
        <v>4134</v>
      </c>
      <c r="B3751" s="421" t="s">
        <v>4135</v>
      </c>
      <c r="C3751" s="429" t="str">
        <f t="shared" ref="C3751:C3782" si="285">$G$1</f>
        <v>石嘴山市深阳蓝光市政工程有限公司</v>
      </c>
      <c r="D3751" s="423" t="s">
        <v>1638</v>
      </c>
      <c r="E3751" s="69" t="s">
        <v>60</v>
      </c>
      <c r="F3751" s="69" t="s">
        <v>2003</v>
      </c>
      <c r="G3751" s="69" t="s">
        <v>4136</v>
      </c>
      <c r="H3751" s="69" t="s">
        <v>235</v>
      </c>
      <c r="I3751" s="69" t="s">
        <v>1580</v>
      </c>
    </row>
    <row r="3752" outlineLevel="1" spans="1:9">
      <c r="A3752" s="1527" t="s">
        <v>4137</v>
      </c>
      <c r="B3752" s="421" t="s">
        <v>4138</v>
      </c>
      <c r="C3752" s="429" t="str">
        <f t="shared" si="285"/>
        <v>石嘴山市深阳蓝光市政工程有限公司</v>
      </c>
      <c r="D3752" s="423" t="s">
        <v>1638</v>
      </c>
      <c r="E3752" s="70" t="s">
        <v>4139</v>
      </c>
      <c r="F3752" s="71"/>
      <c r="G3752" s="71"/>
      <c r="H3752" s="71"/>
      <c r="I3752" s="71"/>
    </row>
    <row r="3753" outlineLevel="1" spans="1:9">
      <c r="A3753" s="1527" t="s">
        <v>4140</v>
      </c>
      <c r="B3753" s="421" t="s">
        <v>4141</v>
      </c>
      <c r="C3753" s="429" t="str">
        <f t="shared" si="285"/>
        <v>石嘴山市深阳蓝光市政工程有限公司</v>
      </c>
      <c r="D3753" s="423" t="s">
        <v>1638</v>
      </c>
      <c r="E3753" s="70" t="s">
        <v>4142</v>
      </c>
      <c r="F3753" s="1528"/>
      <c r="G3753" s="1528"/>
      <c r="H3753" s="1529"/>
      <c r="I3753" s="1530">
        <f>ROUND(SUM(F3753:H3753),2)</f>
        <v>0</v>
      </c>
    </row>
    <row r="3754" outlineLevel="1" spans="1:9">
      <c r="A3754" s="1527" t="s">
        <v>4143</v>
      </c>
      <c r="B3754" s="421" t="s">
        <v>4144</v>
      </c>
      <c r="C3754" s="429" t="str">
        <f t="shared" si="285"/>
        <v>石嘴山市深阳蓝光市政工程有限公司</v>
      </c>
      <c r="D3754" s="423" t="s">
        <v>1638</v>
      </c>
      <c r="E3754" s="70" t="s">
        <v>4145</v>
      </c>
      <c r="F3754" s="1530">
        <f>ROUND(SUM(F3755:F3758),2)</f>
        <v>0</v>
      </c>
      <c r="G3754" s="1530">
        <f>ROUND(SUM(G3755:G3758),2)</f>
        <v>0</v>
      </c>
      <c r="H3754" s="1530">
        <f>ROUND(SUM(H3755:H3758),2)</f>
        <v>0</v>
      </c>
      <c r="I3754" s="1530">
        <f t="shared" ref="I3754:I3787" si="286">ROUND(SUM(F3754:H3754),2)</f>
        <v>0</v>
      </c>
    </row>
    <row r="3755" outlineLevel="1" spans="1:9">
      <c r="A3755" s="1527" t="s">
        <v>4146</v>
      </c>
      <c r="B3755" s="421" t="s">
        <v>4147</v>
      </c>
      <c r="C3755" s="429" t="str">
        <f t="shared" si="285"/>
        <v>石嘴山市深阳蓝光市政工程有限公司</v>
      </c>
      <c r="D3755" s="423" t="s">
        <v>1638</v>
      </c>
      <c r="E3755" s="70" t="s">
        <v>4148</v>
      </c>
      <c r="F3755" s="1529"/>
      <c r="G3755" s="1529"/>
      <c r="H3755" s="1529"/>
      <c r="I3755" s="1530">
        <f t="shared" si="286"/>
        <v>0</v>
      </c>
    </row>
    <row r="3756" outlineLevel="1" spans="1:9">
      <c r="A3756" s="1527" t="s">
        <v>4149</v>
      </c>
      <c r="B3756" s="421" t="s">
        <v>4150</v>
      </c>
      <c r="C3756" s="429" t="str">
        <f t="shared" si="285"/>
        <v>石嘴山市深阳蓝光市政工程有限公司</v>
      </c>
      <c r="D3756" s="423" t="s">
        <v>1638</v>
      </c>
      <c r="E3756" s="70" t="s">
        <v>4151</v>
      </c>
      <c r="F3756" s="1528"/>
      <c r="G3756" s="1529"/>
      <c r="H3756" s="1529"/>
      <c r="I3756" s="1530">
        <f t="shared" si="286"/>
        <v>0</v>
      </c>
    </row>
    <row r="3757" outlineLevel="1" spans="1:9">
      <c r="A3757" s="1527" t="s">
        <v>4152</v>
      </c>
      <c r="B3757" s="421" t="s">
        <v>4153</v>
      </c>
      <c r="C3757" s="429" t="str">
        <f t="shared" si="285"/>
        <v>石嘴山市深阳蓝光市政工程有限公司</v>
      </c>
      <c r="D3757" s="423" t="s">
        <v>1638</v>
      </c>
      <c r="E3757" s="70" t="s">
        <v>4154</v>
      </c>
      <c r="F3757" s="1529"/>
      <c r="G3757" s="1529"/>
      <c r="H3757" s="1529"/>
      <c r="I3757" s="1530">
        <f t="shared" si="286"/>
        <v>0</v>
      </c>
    </row>
    <row r="3758" outlineLevel="1" spans="1:9">
      <c r="A3758" s="1527" t="s">
        <v>4155</v>
      </c>
      <c r="B3758" s="421" t="s">
        <v>4156</v>
      </c>
      <c r="C3758" s="429" t="str">
        <f t="shared" si="285"/>
        <v>石嘴山市深阳蓝光市政工程有限公司</v>
      </c>
      <c r="D3758" s="423" t="s">
        <v>1638</v>
      </c>
      <c r="E3758" s="70"/>
      <c r="F3758" s="71"/>
      <c r="G3758" s="71"/>
      <c r="H3758" s="71"/>
      <c r="I3758" s="1530">
        <f t="shared" si="286"/>
        <v>0</v>
      </c>
    </row>
    <row r="3759" outlineLevel="1" spans="1:9">
      <c r="A3759" s="1527" t="s">
        <v>4157</v>
      </c>
      <c r="B3759" s="421" t="s">
        <v>4158</v>
      </c>
      <c r="C3759" s="429" t="str">
        <f t="shared" si="285"/>
        <v>石嘴山市深阳蓝光市政工程有限公司</v>
      </c>
      <c r="D3759" s="423" t="s">
        <v>1638</v>
      </c>
      <c r="E3759" s="70" t="s">
        <v>4159</v>
      </c>
      <c r="F3759" s="1530">
        <f>ROUND(SUM(F3760:F3762),2)</f>
        <v>0</v>
      </c>
      <c r="G3759" s="1530">
        <f>ROUND(SUM(G3760:G3762),2)</f>
        <v>0</v>
      </c>
      <c r="H3759" s="1530">
        <f>ROUND(SUM(H3760:H3762),2)</f>
        <v>0</v>
      </c>
      <c r="I3759" s="1530">
        <f t="shared" si="286"/>
        <v>0</v>
      </c>
    </row>
    <row r="3760" outlineLevel="1" spans="1:9">
      <c r="A3760" s="1527" t="s">
        <v>4160</v>
      </c>
      <c r="B3760" s="421" t="s">
        <v>4161</v>
      </c>
      <c r="C3760" s="429" t="str">
        <f t="shared" si="285"/>
        <v>石嘴山市深阳蓝光市政工程有限公司</v>
      </c>
      <c r="D3760" s="423" t="s">
        <v>1638</v>
      </c>
      <c r="E3760" s="70" t="s">
        <v>4162</v>
      </c>
      <c r="F3760" s="1529"/>
      <c r="G3760" s="1529"/>
      <c r="H3760" s="1529"/>
      <c r="I3760" s="1530">
        <f t="shared" si="286"/>
        <v>0</v>
      </c>
    </row>
    <row r="3761" outlineLevel="1" spans="1:9">
      <c r="A3761" s="1527" t="s">
        <v>4163</v>
      </c>
      <c r="B3761" s="421" t="s">
        <v>4164</v>
      </c>
      <c r="C3761" s="429" t="str">
        <f t="shared" si="285"/>
        <v>石嘴山市深阳蓝光市政工程有限公司</v>
      </c>
      <c r="D3761" s="423" t="s">
        <v>1638</v>
      </c>
      <c r="E3761" s="70" t="s">
        <v>4165</v>
      </c>
      <c r="F3761" s="1528"/>
      <c r="G3761" s="1529"/>
      <c r="H3761" s="1529"/>
      <c r="I3761" s="1530">
        <f t="shared" si="286"/>
        <v>0</v>
      </c>
    </row>
    <row r="3762" outlineLevel="1" spans="1:9">
      <c r="A3762" s="1527" t="s">
        <v>4166</v>
      </c>
      <c r="B3762" s="421" t="s">
        <v>4167</v>
      </c>
      <c r="C3762" s="429" t="str">
        <f t="shared" si="285"/>
        <v>石嘴山市深阳蓝光市政工程有限公司</v>
      </c>
      <c r="D3762" s="423" t="s">
        <v>1638</v>
      </c>
      <c r="E3762" s="70" t="s">
        <v>4168</v>
      </c>
      <c r="F3762" s="1531"/>
      <c r="G3762" s="1531"/>
      <c r="H3762" s="1531"/>
      <c r="I3762" s="1530">
        <f t="shared" si="286"/>
        <v>0</v>
      </c>
    </row>
    <row r="3763" outlineLevel="1" spans="1:9">
      <c r="A3763" s="1527" t="s">
        <v>4169</v>
      </c>
      <c r="B3763" s="421" t="s">
        <v>4170</v>
      </c>
      <c r="C3763" s="429" t="str">
        <f t="shared" si="285"/>
        <v>石嘴山市深阳蓝光市政工程有限公司</v>
      </c>
      <c r="D3763" s="423" t="s">
        <v>1638</v>
      </c>
      <c r="E3763" s="70" t="s">
        <v>4171</v>
      </c>
      <c r="F3763" s="1530">
        <f>ROUND(F3753+F3754-F3759,2)</f>
        <v>0</v>
      </c>
      <c r="G3763" s="1530">
        <f>ROUND(G3753+G3754-G3759,2)</f>
        <v>0</v>
      </c>
      <c r="H3763" s="1530">
        <f>ROUND(H3753+H3754-H3759,2)</f>
        <v>0</v>
      </c>
      <c r="I3763" s="1530">
        <f t="shared" si="286"/>
        <v>0</v>
      </c>
    </row>
    <row r="3764" outlineLevel="1" spans="1:9">
      <c r="A3764" s="1527" t="s">
        <v>4172</v>
      </c>
      <c r="B3764" s="421" t="s">
        <v>4173</v>
      </c>
      <c r="C3764" s="429" t="str">
        <f t="shared" si="285"/>
        <v>石嘴山市深阳蓝光市政工程有限公司</v>
      </c>
      <c r="D3764" s="423" t="s">
        <v>1638</v>
      </c>
      <c r="E3764" s="70" t="s">
        <v>4174</v>
      </c>
      <c r="F3764" s="71"/>
      <c r="G3764" s="71"/>
      <c r="H3764" s="71"/>
      <c r="I3764" s="1530">
        <f t="shared" si="286"/>
        <v>0</v>
      </c>
    </row>
    <row r="3765" outlineLevel="1" spans="1:9">
      <c r="A3765" s="1527" t="s">
        <v>4175</v>
      </c>
      <c r="B3765" s="421" t="s">
        <v>4176</v>
      </c>
      <c r="C3765" s="429" t="str">
        <f t="shared" si="285"/>
        <v>石嘴山市深阳蓝光市政工程有限公司</v>
      </c>
      <c r="D3765" s="423" t="s">
        <v>1638</v>
      </c>
      <c r="E3765" s="70" t="s">
        <v>4142</v>
      </c>
      <c r="F3765" s="1528"/>
      <c r="G3765" s="1528"/>
      <c r="H3765" s="1529"/>
      <c r="I3765" s="1530">
        <f t="shared" si="286"/>
        <v>0</v>
      </c>
    </row>
    <row r="3766" outlineLevel="1" spans="1:9">
      <c r="A3766" s="1527" t="s">
        <v>4177</v>
      </c>
      <c r="B3766" s="421" t="s">
        <v>4178</v>
      </c>
      <c r="C3766" s="429" t="str">
        <f t="shared" si="285"/>
        <v>石嘴山市深阳蓝光市政工程有限公司</v>
      </c>
      <c r="D3766" s="423" t="s">
        <v>1638</v>
      </c>
      <c r="E3766" s="70" t="s">
        <v>4145</v>
      </c>
      <c r="F3766" s="1530">
        <f>ROUND(SUM(F3767:F3768),2)</f>
        <v>0</v>
      </c>
      <c r="G3766" s="1530">
        <f>ROUND(SUM(G3767:G3768),2)</f>
        <v>0</v>
      </c>
      <c r="H3766" s="1530">
        <f>ROUND(SUM(H3767:H3768),2)</f>
        <v>0</v>
      </c>
      <c r="I3766" s="1530">
        <f t="shared" si="286"/>
        <v>0</v>
      </c>
    </row>
    <row r="3767" outlineLevel="1" spans="1:9">
      <c r="A3767" s="1527" t="s">
        <v>4179</v>
      </c>
      <c r="B3767" s="421" t="s">
        <v>4180</v>
      </c>
      <c r="C3767" s="429" t="str">
        <f t="shared" si="285"/>
        <v>石嘴山市深阳蓝光市政工程有限公司</v>
      </c>
      <c r="D3767" s="423" t="s">
        <v>1638</v>
      </c>
      <c r="E3767" s="70" t="s">
        <v>4181</v>
      </c>
      <c r="F3767" s="1528"/>
      <c r="G3767" s="1528"/>
      <c r="H3767" s="1529"/>
      <c r="I3767" s="1530">
        <f t="shared" si="286"/>
        <v>0</v>
      </c>
    </row>
    <row r="3768" outlineLevel="1" spans="1:9">
      <c r="A3768" s="1527" t="s">
        <v>4182</v>
      </c>
      <c r="B3768" s="421" t="s">
        <v>4183</v>
      </c>
      <c r="C3768" s="429" t="str">
        <f t="shared" si="285"/>
        <v>石嘴山市深阳蓝光市政工程有限公司</v>
      </c>
      <c r="D3768" s="423" t="s">
        <v>1638</v>
      </c>
      <c r="E3768" s="70" t="s">
        <v>4184</v>
      </c>
      <c r="F3768" s="1532"/>
      <c r="G3768" s="1529"/>
      <c r="H3768" s="1529"/>
      <c r="I3768" s="1530">
        <f t="shared" si="286"/>
        <v>0</v>
      </c>
    </row>
    <row r="3769" outlineLevel="1" spans="1:9">
      <c r="A3769" s="1527" t="s">
        <v>4185</v>
      </c>
      <c r="B3769" s="421" t="s">
        <v>4186</v>
      </c>
      <c r="C3769" s="429" t="str">
        <f t="shared" si="285"/>
        <v>石嘴山市深阳蓝光市政工程有限公司</v>
      </c>
      <c r="D3769" s="423" t="s">
        <v>1638</v>
      </c>
      <c r="E3769" s="70" t="s">
        <v>4187</v>
      </c>
      <c r="F3769" s="1532"/>
      <c r="G3769" s="1529"/>
      <c r="H3769" s="1529"/>
      <c r="I3769" s="82"/>
    </row>
    <row r="3770" outlineLevel="1" spans="1:9">
      <c r="A3770" s="1527" t="s">
        <v>4188</v>
      </c>
      <c r="B3770" s="421" t="s">
        <v>4189</v>
      </c>
      <c r="C3770" s="429" t="str">
        <f t="shared" si="285"/>
        <v>石嘴山市深阳蓝光市政工程有限公司</v>
      </c>
      <c r="D3770" s="423" t="s">
        <v>1638</v>
      </c>
      <c r="E3770" s="70" t="s">
        <v>4159</v>
      </c>
      <c r="F3770" s="1530">
        <f>ROUND(SUM(F3771:F3772),2)</f>
        <v>0</v>
      </c>
      <c r="G3770" s="1530">
        <f>ROUND(SUM(G3771:G3772),2)</f>
        <v>0</v>
      </c>
      <c r="H3770" s="1530">
        <f>ROUND(SUM(H3771:H3772),2)</f>
        <v>0</v>
      </c>
      <c r="I3770" s="1530">
        <f t="shared" si="286"/>
        <v>0</v>
      </c>
    </row>
    <row r="3771" outlineLevel="1" spans="1:9">
      <c r="A3771" s="1527" t="s">
        <v>4190</v>
      </c>
      <c r="B3771" s="421" t="s">
        <v>4191</v>
      </c>
      <c r="C3771" s="429" t="str">
        <f t="shared" si="285"/>
        <v>石嘴山市深阳蓝光市政工程有限公司</v>
      </c>
      <c r="D3771" s="423" t="s">
        <v>1638</v>
      </c>
      <c r="E3771" s="70" t="s">
        <v>4162</v>
      </c>
      <c r="F3771" s="1529"/>
      <c r="G3771" s="1529"/>
      <c r="H3771" s="1529"/>
      <c r="I3771" s="1530">
        <f t="shared" si="286"/>
        <v>0</v>
      </c>
    </row>
    <row r="3772" outlineLevel="1" spans="1:9">
      <c r="A3772" s="1527" t="s">
        <v>4192</v>
      </c>
      <c r="B3772" s="421" t="s">
        <v>4193</v>
      </c>
      <c r="C3772" s="429" t="str">
        <f t="shared" si="285"/>
        <v>石嘴山市深阳蓝光市政工程有限公司</v>
      </c>
      <c r="D3772" s="423" t="s">
        <v>1638</v>
      </c>
      <c r="E3772" s="70" t="s">
        <v>4165</v>
      </c>
      <c r="F3772" s="1528"/>
      <c r="G3772" s="1529"/>
      <c r="H3772" s="1529"/>
      <c r="I3772" s="1530">
        <f t="shared" si="286"/>
        <v>0</v>
      </c>
    </row>
    <row r="3773" outlineLevel="1" spans="1:9">
      <c r="A3773" s="1527" t="s">
        <v>4194</v>
      </c>
      <c r="B3773" s="421" t="s">
        <v>4195</v>
      </c>
      <c r="C3773" s="429" t="str">
        <f t="shared" si="285"/>
        <v>石嘴山市深阳蓝光市政工程有限公司</v>
      </c>
      <c r="D3773" s="423" t="s">
        <v>1638</v>
      </c>
      <c r="E3773" s="78" t="s">
        <v>4196</v>
      </c>
      <c r="F3773" s="1531"/>
      <c r="G3773" s="1531"/>
      <c r="H3773" s="1531"/>
      <c r="I3773" s="1530">
        <f t="shared" si="286"/>
        <v>0</v>
      </c>
    </row>
    <row r="3774" outlineLevel="1" spans="1:9">
      <c r="A3774" s="1527" t="s">
        <v>4197</v>
      </c>
      <c r="B3774" s="421" t="s">
        <v>4198</v>
      </c>
      <c r="C3774" s="429" t="str">
        <f t="shared" si="285"/>
        <v>石嘴山市深阳蓝光市政工程有限公司</v>
      </c>
      <c r="D3774" s="423" t="s">
        <v>1638</v>
      </c>
      <c r="E3774" s="70" t="s">
        <v>4171</v>
      </c>
      <c r="F3774" s="1530">
        <f>ROUND(F3765+F3766-F3770,2)</f>
        <v>0</v>
      </c>
      <c r="G3774" s="1530">
        <f>ROUND(G3765+G3766-G3770,2)</f>
        <v>0</v>
      </c>
      <c r="H3774" s="1530">
        <f>ROUND(H3765+H3766-H3770,2)</f>
        <v>0</v>
      </c>
      <c r="I3774" s="1530">
        <f t="shared" si="286"/>
        <v>0</v>
      </c>
    </row>
    <row r="3775" outlineLevel="1" spans="1:9">
      <c r="A3775" s="1527" t="s">
        <v>4199</v>
      </c>
      <c r="B3775" s="421" t="s">
        <v>4200</v>
      </c>
      <c r="C3775" s="429" t="str">
        <f t="shared" si="285"/>
        <v>石嘴山市深阳蓝光市政工程有限公司</v>
      </c>
      <c r="D3775" s="423" t="s">
        <v>1638</v>
      </c>
      <c r="E3775" s="70" t="s">
        <v>4201</v>
      </c>
      <c r="F3775" s="71"/>
      <c r="G3775" s="71"/>
      <c r="H3775" s="71"/>
      <c r="I3775" s="1530">
        <f t="shared" si="286"/>
        <v>0</v>
      </c>
    </row>
    <row r="3776" outlineLevel="1" spans="1:9">
      <c r="A3776" s="1527" t="s">
        <v>4202</v>
      </c>
      <c r="B3776" s="421" t="s">
        <v>4203</v>
      </c>
      <c r="C3776" s="429" t="str">
        <f t="shared" si="285"/>
        <v>石嘴山市深阳蓝光市政工程有限公司</v>
      </c>
      <c r="D3776" s="423" t="s">
        <v>1638</v>
      </c>
      <c r="E3776" s="70" t="s">
        <v>4142</v>
      </c>
      <c r="F3776" s="1529"/>
      <c r="G3776" s="1529"/>
      <c r="H3776" s="1529"/>
      <c r="I3776" s="1530">
        <f t="shared" si="286"/>
        <v>0</v>
      </c>
    </row>
    <row r="3777" outlineLevel="1" spans="1:9">
      <c r="A3777" s="1527" t="s">
        <v>4204</v>
      </c>
      <c r="B3777" s="421" t="s">
        <v>4205</v>
      </c>
      <c r="C3777" s="429" t="str">
        <f t="shared" si="285"/>
        <v>石嘴山市深阳蓝光市政工程有限公司</v>
      </c>
      <c r="D3777" s="423" t="s">
        <v>1638</v>
      </c>
      <c r="E3777" s="70" t="s">
        <v>4145</v>
      </c>
      <c r="F3777" s="1530">
        <f>ROUND(SUM(F3778:F3779),2)</f>
        <v>0</v>
      </c>
      <c r="G3777" s="1530">
        <f>ROUND(SUM(G3778:G3779),2)</f>
        <v>0</v>
      </c>
      <c r="H3777" s="1530">
        <f>ROUND(SUM(H3778:H3779),2)</f>
        <v>0</v>
      </c>
      <c r="I3777" s="1530">
        <f t="shared" si="286"/>
        <v>0</v>
      </c>
    </row>
    <row r="3778" outlineLevel="1" spans="1:9">
      <c r="A3778" s="1527" t="s">
        <v>4206</v>
      </c>
      <c r="B3778" s="421" t="s">
        <v>4207</v>
      </c>
      <c r="C3778" s="429" t="str">
        <f t="shared" si="285"/>
        <v>石嘴山市深阳蓝光市政工程有限公司</v>
      </c>
      <c r="D3778" s="423" t="s">
        <v>1638</v>
      </c>
      <c r="E3778" s="70" t="s">
        <v>4208</v>
      </c>
      <c r="F3778" s="1529"/>
      <c r="G3778" s="1529"/>
      <c r="H3778" s="1529"/>
      <c r="I3778" s="1530">
        <f t="shared" si="286"/>
        <v>0</v>
      </c>
    </row>
    <row r="3779" outlineLevel="1" spans="1:9">
      <c r="A3779" s="1527" t="s">
        <v>4209</v>
      </c>
      <c r="B3779" s="421" t="s">
        <v>4210</v>
      </c>
      <c r="C3779" s="429" t="str">
        <f t="shared" si="285"/>
        <v>石嘴山市深阳蓝光市政工程有限公司</v>
      </c>
      <c r="D3779" s="423" t="s">
        <v>1638</v>
      </c>
      <c r="E3779" s="78"/>
      <c r="F3779" s="71"/>
      <c r="G3779" s="71"/>
      <c r="H3779" s="71"/>
      <c r="I3779" s="1530">
        <f t="shared" si="286"/>
        <v>0</v>
      </c>
    </row>
    <row r="3780" outlineLevel="1" spans="1:9">
      <c r="A3780" s="1527" t="s">
        <v>4211</v>
      </c>
      <c r="B3780" s="421" t="s">
        <v>4212</v>
      </c>
      <c r="C3780" s="429" t="str">
        <f t="shared" si="285"/>
        <v>石嘴山市深阳蓝光市政工程有限公司</v>
      </c>
      <c r="D3780" s="423" t="s">
        <v>1638</v>
      </c>
      <c r="E3780" s="70" t="s">
        <v>4213</v>
      </c>
      <c r="F3780" s="1530">
        <f>ROUND(SUM(F3781:F3783),2)</f>
        <v>0</v>
      </c>
      <c r="G3780" s="1530">
        <f>ROUND(SUM(G3781:G3783),2)</f>
        <v>0</v>
      </c>
      <c r="H3780" s="1530">
        <f>ROUND(SUM(H3781:H3783),2)</f>
        <v>0</v>
      </c>
      <c r="I3780" s="1530">
        <f t="shared" si="286"/>
        <v>0</v>
      </c>
    </row>
    <row r="3781" outlineLevel="1" spans="1:9">
      <c r="A3781" s="1527" t="s">
        <v>4214</v>
      </c>
      <c r="B3781" s="421" t="s">
        <v>4215</v>
      </c>
      <c r="C3781" s="429" t="str">
        <f t="shared" si="285"/>
        <v>石嘴山市深阳蓝光市政工程有限公司</v>
      </c>
      <c r="D3781" s="423" t="s">
        <v>1638</v>
      </c>
      <c r="E3781" s="70" t="s">
        <v>4162</v>
      </c>
      <c r="F3781" s="1529"/>
      <c r="G3781" s="1529"/>
      <c r="H3781" s="1529"/>
      <c r="I3781" s="1530">
        <f t="shared" si="286"/>
        <v>0</v>
      </c>
    </row>
    <row r="3782" outlineLevel="1" spans="1:9">
      <c r="A3782" s="1527" t="s">
        <v>4216</v>
      </c>
      <c r="B3782" s="421" t="s">
        <v>4217</v>
      </c>
      <c r="C3782" s="429" t="str">
        <f t="shared" si="285"/>
        <v>石嘴山市深阳蓝光市政工程有限公司</v>
      </c>
      <c r="D3782" s="423" t="s">
        <v>1638</v>
      </c>
      <c r="E3782" s="70" t="s">
        <v>4165</v>
      </c>
      <c r="F3782" s="1529"/>
      <c r="G3782" s="1529"/>
      <c r="H3782" s="1529"/>
      <c r="I3782" s="1530">
        <f t="shared" si="286"/>
        <v>0</v>
      </c>
    </row>
    <row r="3783" outlineLevel="1" spans="1:9">
      <c r="A3783" s="1527" t="s">
        <v>4218</v>
      </c>
      <c r="B3783" s="421" t="s">
        <v>4219</v>
      </c>
      <c r="C3783" s="429" t="str">
        <f t="shared" ref="C3783:C3814" si="287">$G$1</f>
        <v>石嘴山市深阳蓝光市政工程有限公司</v>
      </c>
      <c r="D3783" s="423" t="s">
        <v>1638</v>
      </c>
      <c r="E3783" s="78"/>
      <c r="F3783" s="71"/>
      <c r="G3783" s="71"/>
      <c r="H3783" s="71"/>
      <c r="I3783" s="1530">
        <f t="shared" si="286"/>
        <v>0</v>
      </c>
    </row>
    <row r="3784" outlineLevel="1" spans="1:9">
      <c r="A3784" s="1527" t="s">
        <v>4220</v>
      </c>
      <c r="B3784" s="421" t="s">
        <v>4221</v>
      </c>
      <c r="C3784" s="429" t="str">
        <f t="shared" si="287"/>
        <v>石嘴山市深阳蓝光市政工程有限公司</v>
      </c>
      <c r="D3784" s="423" t="s">
        <v>1638</v>
      </c>
      <c r="E3784" s="70" t="s">
        <v>4171</v>
      </c>
      <c r="F3784" s="1530">
        <f>ROUND(F3776+F3777-F3780,2)</f>
        <v>0</v>
      </c>
      <c r="G3784" s="1530">
        <f>ROUND(G3776+G3777-G3780,2)</f>
        <v>0</v>
      </c>
      <c r="H3784" s="1530">
        <f>ROUND(H3776+H3777-H3780,2)</f>
        <v>0</v>
      </c>
      <c r="I3784" s="1530">
        <f t="shared" si="286"/>
        <v>0</v>
      </c>
    </row>
    <row r="3785" outlineLevel="1" spans="1:9">
      <c r="A3785" s="1527" t="s">
        <v>4222</v>
      </c>
      <c r="B3785" s="421" t="s">
        <v>4223</v>
      </c>
      <c r="C3785" s="429" t="str">
        <f t="shared" si="287"/>
        <v>石嘴山市深阳蓝光市政工程有限公司</v>
      </c>
      <c r="D3785" s="423" t="s">
        <v>1638</v>
      </c>
      <c r="E3785" s="70" t="s">
        <v>4224</v>
      </c>
      <c r="F3785" s="1529"/>
      <c r="G3785" s="1529"/>
      <c r="H3785" s="1529"/>
      <c r="I3785" s="1530">
        <f t="shared" si="286"/>
        <v>0</v>
      </c>
    </row>
    <row r="3786" outlineLevel="1" spans="1:9">
      <c r="A3786" s="1527" t="s">
        <v>4225</v>
      </c>
      <c r="B3786" s="421" t="s">
        <v>4226</v>
      </c>
      <c r="C3786" s="429" t="str">
        <f t="shared" si="287"/>
        <v>石嘴山市深阳蓝光市政工程有限公司</v>
      </c>
      <c r="D3786" s="423" t="s">
        <v>1638</v>
      </c>
      <c r="E3786" s="70" t="s">
        <v>4227</v>
      </c>
      <c r="F3786" s="1530">
        <f>ROUND(F3763-F3774-F3784,2)</f>
        <v>0</v>
      </c>
      <c r="G3786" s="1530">
        <f>ROUND(G3763-G3774-G3784,2)</f>
        <v>0</v>
      </c>
      <c r="H3786" s="1530">
        <f>ROUND(H3763-H3774-H3784,2)</f>
        <v>0</v>
      </c>
      <c r="I3786" s="1541">
        <f t="shared" si="286"/>
        <v>0</v>
      </c>
    </row>
    <row r="3787" outlineLevel="1" spans="1:9">
      <c r="A3787" s="1527" t="s">
        <v>4228</v>
      </c>
      <c r="B3787" s="421" t="s">
        <v>4229</v>
      </c>
      <c r="C3787" s="429" t="str">
        <f t="shared" si="287"/>
        <v>石嘴山市深阳蓝光市政工程有限公司</v>
      </c>
      <c r="D3787" s="423" t="s">
        <v>1638</v>
      </c>
      <c r="E3787" s="70" t="s">
        <v>4230</v>
      </c>
      <c r="F3787" s="1530">
        <f>ROUND(F3753-F3765-F3776,2)</f>
        <v>0</v>
      </c>
      <c r="G3787" s="1530">
        <f>ROUND(G3753-G3765-G3776,2)</f>
        <v>0</v>
      </c>
      <c r="H3787" s="1530">
        <f>ROUND(H3753-H3765-H3776,2)</f>
        <v>0</v>
      </c>
      <c r="I3787" s="1541">
        <f t="shared" si="286"/>
        <v>0</v>
      </c>
    </row>
    <row r="3788" outlineLevel="1" spans="1:9">
      <c r="A3788" s="1527" t="s">
        <v>4231</v>
      </c>
      <c r="B3788" s="421" t="s">
        <v>4232</v>
      </c>
      <c r="C3788" s="429" t="str">
        <f t="shared" si="287"/>
        <v>石嘴山市深阳蓝光市政工程有限公司</v>
      </c>
      <c r="D3788" s="423" t="s">
        <v>1638</v>
      </c>
      <c r="E3788" s="821" t="s">
        <v>4233</v>
      </c>
      <c r="I3788" s="88">
        <f>审定资负表!C26</f>
        <v>0</v>
      </c>
    </row>
    <row r="3789" outlineLevel="1" spans="1:9">
      <c r="A3789" s="1527" t="s">
        <v>4234</v>
      </c>
      <c r="B3789" s="421" t="s">
        <v>4235</v>
      </c>
      <c r="C3789" s="429" t="str">
        <f t="shared" si="287"/>
        <v>石嘴山市深阳蓝光市政工程有限公司</v>
      </c>
      <c r="D3789" s="423" t="s">
        <v>1638</v>
      </c>
      <c r="E3789" s="821" t="s">
        <v>1394</v>
      </c>
      <c r="F3789" s="1533" t="s">
        <v>4236</v>
      </c>
      <c r="G3789" s="1533" t="s">
        <v>4237</v>
      </c>
      <c r="H3789" s="141"/>
      <c r="I3789" s="87">
        <f>ROUND(I3788-I3786,2)</f>
        <v>0</v>
      </c>
    </row>
    <row r="3790" outlineLevel="1" spans="1:9">
      <c r="A3790" s="1527" t="s">
        <v>4238</v>
      </c>
      <c r="B3790" s="421" t="s">
        <v>4239</v>
      </c>
      <c r="C3790" s="429" t="str">
        <f t="shared" si="287"/>
        <v>石嘴山市深阳蓝光市政工程有限公司</v>
      </c>
      <c r="D3790" s="423" t="s">
        <v>1638</v>
      </c>
      <c r="E3790" s="821" t="s">
        <v>4240</v>
      </c>
      <c r="F3790" s="87">
        <f>F3761-F3803</f>
        <v>0</v>
      </c>
      <c r="G3790" s="87">
        <f>G3761-F3858</f>
        <v>0</v>
      </c>
      <c r="I3790" s="88">
        <f>审定资负表!D26</f>
        <v>0</v>
      </c>
    </row>
    <row r="3791" outlineLevel="1" spans="1:9">
      <c r="A3791" s="1527" t="s">
        <v>4241</v>
      </c>
      <c r="B3791" s="421" t="s">
        <v>4242</v>
      </c>
      <c r="C3791" s="429" t="str">
        <f t="shared" si="287"/>
        <v>石嘴山市深阳蓝光市政工程有限公司</v>
      </c>
      <c r="D3791" s="423" t="s">
        <v>1638</v>
      </c>
      <c r="E3791" s="1534" t="s">
        <v>1394</v>
      </c>
      <c r="F3791" s="87">
        <f>F3768-F3821</f>
        <v>0</v>
      </c>
      <c r="G3791" s="87">
        <f>G3768-F3875</f>
        <v>0</v>
      </c>
      <c r="H3791" s="141"/>
      <c r="I3791" s="87">
        <f>ROUND(I3790-I3787,2)</f>
        <v>0</v>
      </c>
    </row>
    <row r="3792" outlineLevel="1" spans="1:9">
      <c r="A3792" s="1527" t="s">
        <v>4243</v>
      </c>
      <c r="B3792" s="421" t="s">
        <v>4244</v>
      </c>
      <c r="C3792" s="429" t="str">
        <f t="shared" si="287"/>
        <v>石嘴山市深阳蓝光市政工程有限公司</v>
      </c>
      <c r="D3792" s="423" t="s">
        <v>1638</v>
      </c>
      <c r="E3792" s="1534" t="s">
        <v>1394</v>
      </c>
      <c r="F3792" s="87">
        <f>F3772-F3817</f>
        <v>0</v>
      </c>
      <c r="G3792" s="87">
        <f>G3772-F3871</f>
        <v>0</v>
      </c>
      <c r="H3792" s="141"/>
      <c r="I3792" s="141"/>
    </row>
    <row r="3793" outlineLevel="1" spans="1:9">
      <c r="A3793" s="1527"/>
      <c r="C3793" s="429" t="str">
        <f t="shared" si="287"/>
        <v>石嘴山市深阳蓝光市政工程有限公司</v>
      </c>
      <c r="E3793" s="101" t="s">
        <v>4245</v>
      </c>
      <c r="F3793" s="102"/>
      <c r="G3793" s="102"/>
      <c r="H3793" s="102"/>
      <c r="I3793" s="102"/>
    </row>
    <row r="3794" outlineLevel="1" spans="1:3">
      <c r="A3794" s="1527"/>
      <c r="C3794" s="429" t="str">
        <f t="shared" si="287"/>
        <v>石嘴山市深阳蓝光市政工程有限公司</v>
      </c>
    </row>
    <row r="3795" spans="1:6">
      <c r="A3795" s="1527" t="s">
        <v>4246</v>
      </c>
      <c r="B3795" s="421" t="s">
        <v>4247</v>
      </c>
      <c r="C3795" s="429" t="str">
        <f t="shared" si="287"/>
        <v>石嘴山市深阳蓝光市政工程有限公司</v>
      </c>
      <c r="D3795" s="423" t="s">
        <v>1657</v>
      </c>
      <c r="E3795" s="65" t="s">
        <v>4248</v>
      </c>
      <c r="F3795" s="66" t="s">
        <v>4130</v>
      </c>
    </row>
    <row r="3796" outlineLevel="2" spans="1:10">
      <c r="A3796" s="1527" t="s">
        <v>4249</v>
      </c>
      <c r="B3796" s="421" t="s">
        <v>4250</v>
      </c>
      <c r="C3796" s="429" t="str">
        <f t="shared" si="287"/>
        <v>石嘴山市深阳蓝光市政工程有限公司</v>
      </c>
      <c r="D3796" s="423" t="s">
        <v>1657</v>
      </c>
      <c r="E3796" s="108" t="s">
        <v>60</v>
      </c>
      <c r="F3796" s="108" t="s">
        <v>4251</v>
      </c>
      <c r="G3796" s="108" t="s">
        <v>1659</v>
      </c>
      <c r="H3796" s="108" t="s">
        <v>4252</v>
      </c>
      <c r="I3796" s="108" t="s">
        <v>4253</v>
      </c>
      <c r="J3796" s="108" t="s">
        <v>1580</v>
      </c>
    </row>
    <row r="3797" outlineLevel="2" spans="1:10">
      <c r="A3797" s="1527" t="s">
        <v>4254</v>
      </c>
      <c r="B3797" s="421" t="s">
        <v>4255</v>
      </c>
      <c r="C3797" s="429" t="str">
        <f t="shared" si="287"/>
        <v>石嘴山市深阳蓝光市政工程有限公司</v>
      </c>
      <c r="D3797" s="423" t="s">
        <v>1657</v>
      </c>
      <c r="E3797" s="79" t="s">
        <v>4256</v>
      </c>
      <c r="F3797" s="79"/>
      <c r="G3797" s="79"/>
      <c r="H3797" s="79"/>
      <c r="I3797" s="79"/>
      <c r="J3797" s="79"/>
    </row>
    <row r="3798" outlineLevel="2" spans="1:10">
      <c r="A3798" s="1527" t="s">
        <v>4257</v>
      </c>
      <c r="B3798" s="421" t="s">
        <v>4258</v>
      </c>
      <c r="C3798" s="429" t="str">
        <f t="shared" si="287"/>
        <v>石嘴山市深阳蓝光市政工程有限公司</v>
      </c>
      <c r="D3798" s="423" t="s">
        <v>1657</v>
      </c>
      <c r="E3798" s="79" t="s">
        <v>4259</v>
      </c>
      <c r="F3798" s="1535"/>
      <c r="G3798" s="1535"/>
      <c r="H3798" s="1535"/>
      <c r="I3798" s="1535"/>
      <c r="J3798" s="75">
        <f>ROUND(SUM(F3798:I3798),2)</f>
        <v>0</v>
      </c>
    </row>
    <row r="3799" outlineLevel="2" spans="1:10">
      <c r="A3799" s="1527" t="s">
        <v>4260</v>
      </c>
      <c r="B3799" s="421" t="s">
        <v>4261</v>
      </c>
      <c r="C3799" s="429" t="str">
        <f t="shared" si="287"/>
        <v>石嘴山市深阳蓝光市政工程有限公司</v>
      </c>
      <c r="D3799" s="423" t="s">
        <v>1657</v>
      </c>
      <c r="E3799" s="79" t="s">
        <v>4262</v>
      </c>
      <c r="F3799" s="75">
        <f>ROUND(SUM(F3800:F3805),2)</f>
        <v>0</v>
      </c>
      <c r="G3799" s="75">
        <f>ROUND(SUM(G3800:G3805),2)</f>
        <v>0</v>
      </c>
      <c r="H3799" s="75">
        <f>ROUND(SUM(H3800:H3805),2)</f>
        <v>0</v>
      </c>
      <c r="I3799" s="75">
        <f>ROUND(SUM(I3800:I3805),2)</f>
        <v>0</v>
      </c>
      <c r="J3799" s="75">
        <f t="shared" ref="J3799:J3836" si="288">ROUND(SUM(F3799:I3799),2)</f>
        <v>0</v>
      </c>
    </row>
    <row r="3800" outlineLevel="2" spans="1:10">
      <c r="A3800" s="1527" t="s">
        <v>4263</v>
      </c>
      <c r="B3800" s="421" t="s">
        <v>4264</v>
      </c>
      <c r="C3800" s="429" t="str">
        <f t="shared" si="287"/>
        <v>石嘴山市深阳蓝光市政工程有限公司</v>
      </c>
      <c r="D3800" s="423" t="s">
        <v>1657</v>
      </c>
      <c r="E3800" s="115" t="s">
        <v>4265</v>
      </c>
      <c r="F3800" s="1535"/>
      <c r="G3800" s="1535"/>
      <c r="H3800" s="1535"/>
      <c r="I3800" s="1535"/>
      <c r="J3800" s="75">
        <f t="shared" si="288"/>
        <v>0</v>
      </c>
    </row>
    <row r="3801" outlineLevel="2" spans="1:10">
      <c r="A3801" s="1527" t="s">
        <v>4266</v>
      </c>
      <c r="B3801" s="421" t="s">
        <v>4267</v>
      </c>
      <c r="C3801" s="429" t="str">
        <f t="shared" si="287"/>
        <v>石嘴山市深阳蓝光市政工程有限公司</v>
      </c>
      <c r="D3801" s="423" t="s">
        <v>1657</v>
      </c>
      <c r="E3801" s="115" t="s">
        <v>4268</v>
      </c>
      <c r="F3801" s="1536"/>
      <c r="G3801" s="1536"/>
      <c r="H3801" s="1536"/>
      <c r="I3801" s="1536"/>
      <c r="J3801" s="75">
        <f t="shared" si="288"/>
        <v>0</v>
      </c>
    </row>
    <row r="3802" outlineLevel="2" spans="1:10">
      <c r="A3802" s="1527" t="s">
        <v>4269</v>
      </c>
      <c r="B3802" s="421" t="s">
        <v>4270</v>
      </c>
      <c r="C3802" s="429" t="str">
        <f t="shared" si="287"/>
        <v>石嘴山市深阳蓝光市政工程有限公司</v>
      </c>
      <c r="D3802" s="423" t="s">
        <v>1657</v>
      </c>
      <c r="E3802" s="115" t="s">
        <v>4271</v>
      </c>
      <c r="F3802" s="1536"/>
      <c r="G3802" s="1536"/>
      <c r="H3802" s="1536"/>
      <c r="I3802" s="1536"/>
      <c r="J3802" s="75">
        <f t="shared" si="288"/>
        <v>0</v>
      </c>
    </row>
    <row r="3803" outlineLevel="2" spans="1:10">
      <c r="A3803" s="1527" t="s">
        <v>4272</v>
      </c>
      <c r="B3803" s="421" t="s">
        <v>4273</v>
      </c>
      <c r="C3803" s="429" t="str">
        <f t="shared" si="287"/>
        <v>石嘴山市深阳蓝光市政工程有限公司</v>
      </c>
      <c r="D3803" s="423" t="s">
        <v>1657</v>
      </c>
      <c r="E3803" s="79" t="s">
        <v>4274</v>
      </c>
      <c r="F3803" s="1536"/>
      <c r="G3803" s="1536"/>
      <c r="H3803" s="1536"/>
      <c r="I3803" s="1536"/>
      <c r="J3803" s="75">
        <f t="shared" si="288"/>
        <v>0</v>
      </c>
    </row>
    <row r="3804" outlineLevel="2" spans="1:10">
      <c r="A3804" s="1527" t="s">
        <v>4275</v>
      </c>
      <c r="B3804" s="421" t="s">
        <v>4276</v>
      </c>
      <c r="C3804" s="429" t="str">
        <f t="shared" si="287"/>
        <v>石嘴山市深阳蓝光市政工程有限公司</v>
      </c>
      <c r="D3804" s="423" t="s">
        <v>1657</v>
      </c>
      <c r="E3804" s="79" t="s">
        <v>4277</v>
      </c>
      <c r="F3804" s="1536"/>
      <c r="G3804" s="1536"/>
      <c r="H3804" s="1536"/>
      <c r="I3804" s="1536"/>
      <c r="J3804" s="75">
        <f t="shared" si="288"/>
        <v>0</v>
      </c>
    </row>
    <row r="3805" outlineLevel="2" spans="1:10">
      <c r="A3805" s="1527" t="s">
        <v>4278</v>
      </c>
      <c r="B3805" s="421" t="s">
        <v>4279</v>
      </c>
      <c r="C3805" s="429" t="str">
        <f t="shared" si="287"/>
        <v>石嘴山市深阳蓝光市政工程有限公司</v>
      </c>
      <c r="D3805" s="423" t="s">
        <v>1657</v>
      </c>
      <c r="E3805" s="79" t="s">
        <v>4280</v>
      </c>
      <c r="F3805" s="1536"/>
      <c r="G3805" s="1536"/>
      <c r="H3805" s="1536"/>
      <c r="I3805" s="1536"/>
      <c r="J3805" s="75">
        <f t="shared" si="288"/>
        <v>0</v>
      </c>
    </row>
    <row r="3806" outlineLevel="2" spans="1:10">
      <c r="A3806" s="1527" t="s">
        <v>4281</v>
      </c>
      <c r="B3806" s="421" t="s">
        <v>4282</v>
      </c>
      <c r="C3806" s="429" t="str">
        <f t="shared" si="287"/>
        <v>石嘴山市深阳蓝光市政工程有限公司</v>
      </c>
      <c r="D3806" s="423" t="s">
        <v>1657</v>
      </c>
      <c r="E3806" s="79" t="s">
        <v>4283</v>
      </c>
      <c r="F3806" s="75">
        <f>ROUND(SUM(F3807:F3810),2)</f>
        <v>0</v>
      </c>
      <c r="G3806" s="75">
        <f>ROUND(SUM(G3807:G3810),2)</f>
        <v>0</v>
      </c>
      <c r="H3806" s="75">
        <f>ROUND(SUM(H3807:H3810),2)</f>
        <v>0</v>
      </c>
      <c r="I3806" s="75">
        <f>ROUND(SUM(I3807:I3810),2)</f>
        <v>0</v>
      </c>
      <c r="J3806" s="75">
        <f t="shared" si="288"/>
        <v>0</v>
      </c>
    </row>
    <row r="3807" outlineLevel="2" spans="1:10">
      <c r="A3807" s="1527" t="s">
        <v>4284</v>
      </c>
      <c r="B3807" s="421" t="s">
        <v>4285</v>
      </c>
      <c r="C3807" s="429" t="str">
        <f t="shared" si="287"/>
        <v>石嘴山市深阳蓝光市政工程有限公司</v>
      </c>
      <c r="D3807" s="423" t="s">
        <v>1657</v>
      </c>
      <c r="E3807" s="115" t="s">
        <v>4286</v>
      </c>
      <c r="F3807" s="1535"/>
      <c r="G3807" s="1535"/>
      <c r="H3807" s="1535"/>
      <c r="I3807" s="1535"/>
      <c r="J3807" s="75">
        <f t="shared" si="288"/>
        <v>0</v>
      </c>
    </row>
    <row r="3808" outlineLevel="2" spans="1:10">
      <c r="A3808" s="1527" t="s">
        <v>4287</v>
      </c>
      <c r="B3808" s="421" t="s">
        <v>4288</v>
      </c>
      <c r="C3808" s="429" t="str">
        <f t="shared" si="287"/>
        <v>石嘴山市深阳蓝光市政工程有限公司</v>
      </c>
      <c r="D3808" s="423" t="s">
        <v>1657</v>
      </c>
      <c r="E3808" s="79" t="s">
        <v>4289</v>
      </c>
      <c r="F3808" s="1536"/>
      <c r="G3808" s="1536"/>
      <c r="H3808" s="1537"/>
      <c r="I3808" s="1537"/>
      <c r="J3808" s="75">
        <f t="shared" si="288"/>
        <v>0</v>
      </c>
    </row>
    <row r="3809" outlineLevel="2" spans="1:10">
      <c r="A3809" s="1527" t="s">
        <v>4290</v>
      </c>
      <c r="B3809" s="421" t="s">
        <v>4291</v>
      </c>
      <c r="C3809" s="429" t="str">
        <f t="shared" si="287"/>
        <v>石嘴山市深阳蓝光市政工程有限公司</v>
      </c>
      <c r="D3809" s="423" t="s">
        <v>1657</v>
      </c>
      <c r="E3809" s="79" t="s">
        <v>4292</v>
      </c>
      <c r="F3809" s="1536"/>
      <c r="G3809" s="1536"/>
      <c r="H3809" s="1537"/>
      <c r="I3809" s="1537"/>
      <c r="J3809" s="75">
        <f t="shared" si="288"/>
        <v>0</v>
      </c>
    </row>
    <row r="3810" outlineLevel="2" spans="1:10">
      <c r="A3810" s="1527" t="s">
        <v>4293</v>
      </c>
      <c r="B3810" s="421" t="s">
        <v>4294</v>
      </c>
      <c r="C3810" s="429" t="str">
        <f t="shared" si="287"/>
        <v>石嘴山市深阳蓝光市政工程有限公司</v>
      </c>
      <c r="D3810" s="423" t="s">
        <v>1657</v>
      </c>
      <c r="E3810" s="79" t="s">
        <v>4295</v>
      </c>
      <c r="F3810" s="1536"/>
      <c r="G3810" s="1536"/>
      <c r="H3810" s="1537"/>
      <c r="I3810" s="1537"/>
      <c r="J3810" s="75">
        <f t="shared" si="288"/>
        <v>0</v>
      </c>
    </row>
    <row r="3811" outlineLevel="2" spans="1:10">
      <c r="A3811" s="1527" t="s">
        <v>4296</v>
      </c>
      <c r="B3811" s="421" t="s">
        <v>4297</v>
      </c>
      <c r="C3811" s="429" t="str">
        <f t="shared" si="287"/>
        <v>石嘴山市深阳蓝光市政工程有限公司</v>
      </c>
      <c r="D3811" s="423" t="s">
        <v>1657</v>
      </c>
      <c r="E3811" s="79" t="s">
        <v>4298</v>
      </c>
      <c r="F3811" s="75">
        <f>ROUND(F3798+F3799-F3806,2)</f>
        <v>0</v>
      </c>
      <c r="G3811" s="75">
        <f>ROUND(G3798+G3799-G3806,2)</f>
        <v>0</v>
      </c>
      <c r="H3811" s="75">
        <f>ROUND(H3798+H3799-H3806,2)</f>
        <v>0</v>
      </c>
      <c r="I3811" s="75">
        <f>ROUND(I3798+I3799-I3806,2)</f>
        <v>0</v>
      </c>
      <c r="J3811" s="75">
        <f t="shared" si="288"/>
        <v>0</v>
      </c>
    </row>
    <row r="3812" outlineLevel="2" spans="1:10">
      <c r="A3812" s="1527" t="s">
        <v>4299</v>
      </c>
      <c r="B3812" s="421" t="s">
        <v>4300</v>
      </c>
      <c r="C3812" s="429" t="str">
        <f t="shared" si="287"/>
        <v>石嘴山市深阳蓝光市政工程有限公司</v>
      </c>
      <c r="D3812" s="423" t="s">
        <v>1657</v>
      </c>
      <c r="E3812" s="79" t="s">
        <v>4301</v>
      </c>
      <c r="F3812" s="79"/>
      <c r="G3812" s="79"/>
      <c r="H3812" s="79"/>
      <c r="I3812" s="79"/>
      <c r="J3812" s="75">
        <f t="shared" si="288"/>
        <v>0</v>
      </c>
    </row>
    <row r="3813" outlineLevel="2" spans="1:10">
      <c r="A3813" s="1527" t="s">
        <v>4302</v>
      </c>
      <c r="B3813" s="421" t="s">
        <v>4303</v>
      </c>
      <c r="C3813" s="429" t="str">
        <f t="shared" si="287"/>
        <v>石嘴山市深阳蓝光市政工程有限公司</v>
      </c>
      <c r="D3813" s="423" t="s">
        <v>1657</v>
      </c>
      <c r="E3813" s="79" t="s">
        <v>4259</v>
      </c>
      <c r="F3813" s="1535"/>
      <c r="G3813" s="1535"/>
      <c r="H3813" s="1535"/>
      <c r="I3813" s="1535"/>
      <c r="J3813" s="75">
        <f t="shared" si="288"/>
        <v>0</v>
      </c>
    </row>
    <row r="3814" outlineLevel="2" spans="1:10">
      <c r="A3814" s="1527" t="s">
        <v>4304</v>
      </c>
      <c r="B3814" s="421" t="s">
        <v>4305</v>
      </c>
      <c r="C3814" s="429" t="str">
        <f t="shared" si="287"/>
        <v>石嘴山市深阳蓝光市政工程有限公司</v>
      </c>
      <c r="D3814" s="423" t="s">
        <v>1657</v>
      </c>
      <c r="E3814" s="79" t="s">
        <v>4262</v>
      </c>
      <c r="F3814" s="75">
        <f>ROUND(SUM(F3815:F3818),2)</f>
        <v>0</v>
      </c>
      <c r="G3814" s="75">
        <f>ROUND(SUM(G3815:G3818),2)</f>
        <v>0</v>
      </c>
      <c r="H3814" s="75">
        <f>ROUND(SUM(H3815:H3818),2)</f>
        <v>0</v>
      </c>
      <c r="I3814" s="75">
        <f>ROUND(SUM(I3815:I3818),2)</f>
        <v>0</v>
      </c>
      <c r="J3814" s="75">
        <f t="shared" si="288"/>
        <v>0</v>
      </c>
    </row>
    <row r="3815" outlineLevel="2" spans="1:10">
      <c r="A3815" s="1527" t="s">
        <v>4306</v>
      </c>
      <c r="B3815" s="421" t="s">
        <v>4307</v>
      </c>
      <c r="C3815" s="429" t="str">
        <f t="shared" ref="C3815:C3840" si="289">$G$1</f>
        <v>石嘴山市深阳蓝光市政工程有限公司</v>
      </c>
      <c r="D3815" s="423" t="s">
        <v>1657</v>
      </c>
      <c r="E3815" s="115" t="s">
        <v>4308</v>
      </c>
      <c r="F3815" s="1535"/>
      <c r="G3815" s="1535"/>
      <c r="H3815" s="1535"/>
      <c r="I3815" s="1535"/>
      <c r="J3815" s="75">
        <f t="shared" si="288"/>
        <v>0</v>
      </c>
    </row>
    <row r="3816" outlineLevel="2" spans="1:10">
      <c r="A3816" s="1527" t="s">
        <v>4309</v>
      </c>
      <c r="B3816" s="421" t="s">
        <v>4310</v>
      </c>
      <c r="C3816" s="429" t="str">
        <f t="shared" si="289"/>
        <v>石嘴山市深阳蓝光市政工程有限公司</v>
      </c>
      <c r="D3816" s="423" t="s">
        <v>1657</v>
      </c>
      <c r="E3816" s="79" t="s">
        <v>4311</v>
      </c>
      <c r="F3816" s="1535"/>
      <c r="G3816" s="1535"/>
      <c r="H3816" s="1535"/>
      <c r="I3816" s="1535"/>
      <c r="J3816" s="75">
        <f t="shared" si="288"/>
        <v>0</v>
      </c>
    </row>
    <row r="3817" outlineLevel="2" spans="1:10">
      <c r="A3817" s="1527" t="s">
        <v>4312</v>
      </c>
      <c r="B3817" s="421" t="s">
        <v>4313</v>
      </c>
      <c r="C3817" s="429" t="str">
        <f t="shared" si="289"/>
        <v>石嘴山市深阳蓝光市政工程有限公司</v>
      </c>
      <c r="D3817" s="423" t="s">
        <v>1657</v>
      </c>
      <c r="E3817" s="79" t="s">
        <v>4314</v>
      </c>
      <c r="F3817" s="1536"/>
      <c r="G3817" s="1536"/>
      <c r="H3817" s="1536"/>
      <c r="I3817" s="1536"/>
      <c r="J3817" s="75">
        <f t="shared" si="288"/>
        <v>0</v>
      </c>
    </row>
    <row r="3818" outlineLevel="2" spans="1:10">
      <c r="A3818" s="1527" t="s">
        <v>4315</v>
      </c>
      <c r="B3818" s="421" t="s">
        <v>4316</v>
      </c>
      <c r="C3818" s="429" t="str">
        <f t="shared" si="289"/>
        <v>石嘴山市深阳蓝光市政工程有限公司</v>
      </c>
      <c r="D3818" s="423" t="s">
        <v>1657</v>
      </c>
      <c r="E3818" s="79" t="s">
        <v>4317</v>
      </c>
      <c r="F3818" s="1536"/>
      <c r="G3818" s="1536"/>
      <c r="H3818" s="1536"/>
      <c r="I3818" s="1536"/>
      <c r="J3818" s="75">
        <f t="shared" si="288"/>
        <v>0</v>
      </c>
    </row>
    <row r="3819" outlineLevel="2" spans="1:10">
      <c r="A3819" s="1527" t="s">
        <v>4318</v>
      </c>
      <c r="B3819" s="421" t="s">
        <v>4319</v>
      </c>
      <c r="C3819" s="429" t="str">
        <f t="shared" si="289"/>
        <v>石嘴山市深阳蓝光市政工程有限公司</v>
      </c>
      <c r="D3819" s="423" t="s">
        <v>1657</v>
      </c>
      <c r="E3819" s="79" t="s">
        <v>4283</v>
      </c>
      <c r="F3819" s="75">
        <f>ROUND(SUM(F3820:F3823),2)</f>
        <v>0</v>
      </c>
      <c r="G3819" s="75">
        <f>ROUND(SUM(G3820:G3823),2)</f>
        <v>0</v>
      </c>
      <c r="H3819" s="75">
        <f>ROUND(SUM(H3820:H3823),2)</f>
        <v>0</v>
      </c>
      <c r="I3819" s="75">
        <f>ROUND(SUM(I3820:I3823),2)</f>
        <v>0</v>
      </c>
      <c r="J3819" s="75">
        <f t="shared" si="288"/>
        <v>0</v>
      </c>
    </row>
    <row r="3820" outlineLevel="2" spans="1:10">
      <c r="A3820" s="1527" t="s">
        <v>4320</v>
      </c>
      <c r="B3820" s="421" t="s">
        <v>4321</v>
      </c>
      <c r="C3820" s="429" t="str">
        <f t="shared" si="289"/>
        <v>石嘴山市深阳蓝光市政工程有限公司</v>
      </c>
      <c r="D3820" s="423" t="s">
        <v>1657</v>
      </c>
      <c r="E3820" s="115" t="s">
        <v>4286</v>
      </c>
      <c r="F3820" s="1538"/>
      <c r="G3820" s="1538"/>
      <c r="H3820" s="1538"/>
      <c r="I3820" s="1538"/>
      <c r="J3820" s="75">
        <f t="shared" si="288"/>
        <v>0</v>
      </c>
    </row>
    <row r="3821" outlineLevel="2" spans="1:10">
      <c r="A3821" s="1527" t="s">
        <v>4322</v>
      </c>
      <c r="B3821" s="421" t="s">
        <v>4323</v>
      </c>
      <c r="C3821" s="429" t="str">
        <f t="shared" si="289"/>
        <v>石嘴山市深阳蓝光市政工程有限公司</v>
      </c>
      <c r="D3821" s="423" t="s">
        <v>1657</v>
      </c>
      <c r="E3821" s="79" t="s">
        <v>4289</v>
      </c>
      <c r="F3821" s="1539"/>
      <c r="G3821" s="1539"/>
      <c r="H3821" s="1539"/>
      <c r="I3821" s="1539"/>
      <c r="J3821" s="75">
        <f t="shared" si="288"/>
        <v>0</v>
      </c>
    </row>
    <row r="3822" outlineLevel="2" spans="1:10">
      <c r="A3822" s="1527" t="s">
        <v>4324</v>
      </c>
      <c r="B3822" s="421" t="s">
        <v>4325</v>
      </c>
      <c r="C3822" s="429" t="str">
        <f t="shared" si="289"/>
        <v>石嘴山市深阳蓝光市政工程有限公司</v>
      </c>
      <c r="D3822" s="423" t="s">
        <v>1657</v>
      </c>
      <c r="E3822" s="79" t="s">
        <v>4292</v>
      </c>
      <c r="F3822" s="1539"/>
      <c r="G3822" s="1539"/>
      <c r="H3822" s="1539"/>
      <c r="I3822" s="1539"/>
      <c r="J3822" s="75">
        <f t="shared" si="288"/>
        <v>0</v>
      </c>
    </row>
    <row r="3823" outlineLevel="2" spans="1:10">
      <c r="A3823" s="1527" t="s">
        <v>4326</v>
      </c>
      <c r="B3823" s="421" t="s">
        <v>4327</v>
      </c>
      <c r="C3823" s="429" t="str">
        <f t="shared" si="289"/>
        <v>石嘴山市深阳蓝光市政工程有限公司</v>
      </c>
      <c r="D3823" s="423" t="s">
        <v>1657</v>
      </c>
      <c r="E3823" s="79" t="s">
        <v>4328</v>
      </c>
      <c r="F3823" s="1539"/>
      <c r="G3823" s="1539"/>
      <c r="H3823" s="1539"/>
      <c r="I3823" s="1539"/>
      <c r="J3823" s="75">
        <f t="shared" si="288"/>
        <v>0</v>
      </c>
    </row>
    <row r="3824" outlineLevel="2" spans="1:10">
      <c r="A3824" s="1527" t="s">
        <v>4329</v>
      </c>
      <c r="B3824" s="421" t="s">
        <v>4330</v>
      </c>
      <c r="C3824" s="429" t="str">
        <f t="shared" si="289"/>
        <v>石嘴山市深阳蓝光市政工程有限公司</v>
      </c>
      <c r="D3824" s="423" t="s">
        <v>1657</v>
      </c>
      <c r="E3824" s="79" t="s">
        <v>4298</v>
      </c>
      <c r="F3824" s="75">
        <f>ROUND(F3813+F3814-F3819,2)</f>
        <v>0</v>
      </c>
      <c r="G3824" s="75">
        <f>ROUND(G3813+G3814-G3819,2)</f>
        <v>0</v>
      </c>
      <c r="H3824" s="75">
        <f>ROUND(H3813+H3814-H3819,2)</f>
        <v>0</v>
      </c>
      <c r="I3824" s="75">
        <f>ROUND(I3813+I3814-I3819,2)</f>
        <v>0</v>
      </c>
      <c r="J3824" s="75">
        <f t="shared" si="288"/>
        <v>0</v>
      </c>
    </row>
    <row r="3825" outlineLevel="2" spans="1:10">
      <c r="A3825" s="1527" t="s">
        <v>4331</v>
      </c>
      <c r="B3825" s="421" t="s">
        <v>4332</v>
      </c>
      <c r="C3825" s="429" t="str">
        <f t="shared" si="289"/>
        <v>石嘴山市深阳蓝光市政工程有限公司</v>
      </c>
      <c r="D3825" s="423" t="s">
        <v>1657</v>
      </c>
      <c r="E3825" s="79" t="s">
        <v>4201</v>
      </c>
      <c r="F3825" s="79"/>
      <c r="G3825" s="79"/>
      <c r="H3825" s="79"/>
      <c r="I3825" s="79"/>
      <c r="J3825" s="75">
        <f t="shared" si="288"/>
        <v>0</v>
      </c>
    </row>
    <row r="3826" outlineLevel="2" spans="1:10">
      <c r="A3826" s="1527" t="s">
        <v>4333</v>
      </c>
      <c r="B3826" s="421" t="s">
        <v>4334</v>
      </c>
      <c r="C3826" s="429" t="str">
        <f t="shared" si="289"/>
        <v>石嘴山市深阳蓝光市政工程有限公司</v>
      </c>
      <c r="D3826" s="423" t="s">
        <v>1657</v>
      </c>
      <c r="E3826" s="79" t="s">
        <v>4259</v>
      </c>
      <c r="F3826" s="1535"/>
      <c r="G3826" s="1535"/>
      <c r="H3826" s="1535"/>
      <c r="I3826" s="1535"/>
      <c r="J3826" s="75">
        <f t="shared" si="288"/>
        <v>0</v>
      </c>
    </row>
    <row r="3827" outlineLevel="2" spans="1:10">
      <c r="A3827" s="1527" t="s">
        <v>4335</v>
      </c>
      <c r="B3827" s="421" t="s">
        <v>4336</v>
      </c>
      <c r="C3827" s="429" t="str">
        <f t="shared" si="289"/>
        <v>石嘴山市深阳蓝光市政工程有限公司</v>
      </c>
      <c r="D3827" s="423" t="s">
        <v>1657</v>
      </c>
      <c r="E3827" s="79" t="s">
        <v>4262</v>
      </c>
      <c r="F3827" s="75">
        <f>ROUND(SUM(F3828:F3829),2)</f>
        <v>0</v>
      </c>
      <c r="G3827" s="75">
        <f>ROUND(SUM(G3828:G3829),2)</f>
        <v>0</v>
      </c>
      <c r="H3827" s="75">
        <f>ROUND(SUM(H3828:H3829),2)</f>
        <v>0</v>
      </c>
      <c r="I3827" s="75">
        <f>ROUND(SUM(I3828:I3829),2)</f>
        <v>0</v>
      </c>
      <c r="J3827" s="75">
        <f t="shared" si="288"/>
        <v>0</v>
      </c>
    </row>
    <row r="3828" outlineLevel="2" spans="1:10">
      <c r="A3828" s="1527" t="s">
        <v>4337</v>
      </c>
      <c r="B3828" s="421" t="s">
        <v>4338</v>
      </c>
      <c r="C3828" s="429" t="str">
        <f t="shared" si="289"/>
        <v>石嘴山市深阳蓝光市政工程有限公司</v>
      </c>
      <c r="D3828" s="423" t="s">
        <v>1657</v>
      </c>
      <c r="E3828" s="115" t="s">
        <v>4308</v>
      </c>
      <c r="F3828" s="1535"/>
      <c r="G3828" s="1535"/>
      <c r="H3828" s="1535"/>
      <c r="I3828" s="1535"/>
      <c r="J3828" s="75">
        <f t="shared" si="288"/>
        <v>0</v>
      </c>
    </row>
    <row r="3829" outlineLevel="2" spans="1:10">
      <c r="A3829" s="1527" t="s">
        <v>4339</v>
      </c>
      <c r="B3829" s="421" t="s">
        <v>4340</v>
      </c>
      <c r="C3829" s="429" t="str">
        <f t="shared" si="289"/>
        <v>石嘴山市深阳蓝光市政工程有限公司</v>
      </c>
      <c r="D3829" s="423" t="s">
        <v>1657</v>
      </c>
      <c r="E3829" s="79"/>
      <c r="F3829" s="1537"/>
      <c r="G3829" s="1537"/>
      <c r="H3829" s="1537"/>
      <c r="I3829" s="1537"/>
      <c r="J3829" s="75">
        <f t="shared" si="288"/>
        <v>0</v>
      </c>
    </row>
    <row r="3830" outlineLevel="2" spans="1:10">
      <c r="A3830" s="1527" t="s">
        <v>4341</v>
      </c>
      <c r="B3830" s="421" t="s">
        <v>4342</v>
      </c>
      <c r="C3830" s="429" t="str">
        <f t="shared" si="289"/>
        <v>石嘴山市深阳蓝光市政工程有限公司</v>
      </c>
      <c r="D3830" s="423" t="s">
        <v>1657</v>
      </c>
      <c r="E3830" s="79" t="s">
        <v>4283</v>
      </c>
      <c r="F3830" s="75">
        <f>ROUND(SUM(F3831:F3832),2)</f>
        <v>0</v>
      </c>
      <c r="G3830" s="75">
        <f>ROUND(SUM(G3831:G3832),2)</f>
        <v>0</v>
      </c>
      <c r="H3830" s="75">
        <f>ROUND(SUM(H3831:H3832),2)</f>
        <v>0</v>
      </c>
      <c r="I3830" s="75">
        <f>ROUND(SUM(I3831:I3832),2)</f>
        <v>0</v>
      </c>
      <c r="J3830" s="75">
        <f t="shared" si="288"/>
        <v>0</v>
      </c>
    </row>
    <row r="3831" outlineLevel="2" spans="1:10">
      <c r="A3831" s="1527" t="s">
        <v>4343</v>
      </c>
      <c r="B3831" s="421" t="s">
        <v>4344</v>
      </c>
      <c r="C3831" s="429" t="str">
        <f t="shared" si="289"/>
        <v>石嘴山市深阳蓝光市政工程有限公司</v>
      </c>
      <c r="D3831" s="423" t="s">
        <v>1657</v>
      </c>
      <c r="E3831" s="115" t="s">
        <v>4286</v>
      </c>
      <c r="F3831" s="1535"/>
      <c r="G3831" s="1535"/>
      <c r="H3831" s="1535"/>
      <c r="I3831" s="1535"/>
      <c r="J3831" s="75">
        <f t="shared" si="288"/>
        <v>0</v>
      </c>
    </row>
    <row r="3832" outlineLevel="2" spans="1:10">
      <c r="A3832" s="1527" t="s">
        <v>4345</v>
      </c>
      <c r="B3832" s="421" t="s">
        <v>4346</v>
      </c>
      <c r="C3832" s="429" t="str">
        <f t="shared" si="289"/>
        <v>石嘴山市深阳蓝光市政工程有限公司</v>
      </c>
      <c r="D3832" s="423" t="s">
        <v>1657</v>
      </c>
      <c r="E3832" s="79"/>
      <c r="F3832" s="1537"/>
      <c r="G3832" s="1537"/>
      <c r="H3832" s="1537"/>
      <c r="I3832" s="1537"/>
      <c r="J3832" s="75">
        <f t="shared" si="288"/>
        <v>0</v>
      </c>
    </row>
    <row r="3833" outlineLevel="2" spans="1:10">
      <c r="A3833" s="1527" t="s">
        <v>4347</v>
      </c>
      <c r="B3833" s="421" t="s">
        <v>4348</v>
      </c>
      <c r="C3833" s="429" t="str">
        <f t="shared" si="289"/>
        <v>石嘴山市深阳蓝光市政工程有限公司</v>
      </c>
      <c r="D3833" s="423" t="s">
        <v>1657</v>
      </c>
      <c r="E3833" s="79" t="s">
        <v>4298</v>
      </c>
      <c r="F3833" s="75">
        <f>ROUND(F3826+F3827-F3830,2)</f>
        <v>0</v>
      </c>
      <c r="G3833" s="75">
        <f>ROUND(G3826+G3827-G3830,2)</f>
        <v>0</v>
      </c>
      <c r="H3833" s="75">
        <f>ROUND(H3826+H3827-H3830,2)</f>
        <v>0</v>
      </c>
      <c r="I3833" s="75">
        <f>ROUND(I3826+I3827-I3830,2)</f>
        <v>0</v>
      </c>
      <c r="J3833" s="75">
        <f t="shared" si="288"/>
        <v>0</v>
      </c>
    </row>
    <row r="3834" outlineLevel="2" spans="1:10">
      <c r="A3834" s="1527" t="s">
        <v>4349</v>
      </c>
      <c r="B3834" s="421" t="s">
        <v>4350</v>
      </c>
      <c r="C3834" s="429" t="str">
        <f t="shared" si="289"/>
        <v>石嘴山市深阳蓝光市政工程有限公司</v>
      </c>
      <c r="D3834" s="423" t="s">
        <v>1657</v>
      </c>
      <c r="E3834" s="79" t="s">
        <v>4224</v>
      </c>
      <c r="F3834" s="79"/>
      <c r="G3834" s="79"/>
      <c r="H3834" s="79"/>
      <c r="I3834" s="79"/>
      <c r="J3834" s="75">
        <f t="shared" si="288"/>
        <v>0</v>
      </c>
    </row>
    <row r="3835" outlineLevel="2" spans="1:10">
      <c r="A3835" s="1527" t="s">
        <v>4351</v>
      </c>
      <c r="B3835" s="421" t="s">
        <v>4352</v>
      </c>
      <c r="C3835" s="429" t="str">
        <f t="shared" si="289"/>
        <v>石嘴山市深阳蓝光市政工程有限公司</v>
      </c>
      <c r="D3835" s="423" t="s">
        <v>1657</v>
      </c>
      <c r="E3835" s="79" t="s">
        <v>4353</v>
      </c>
      <c r="F3835" s="75">
        <f>ROUND(F3811-F3824-F3833,2)</f>
        <v>0</v>
      </c>
      <c r="G3835" s="75">
        <f>ROUND(G3811-G3824-G3833,2)</f>
        <v>0</v>
      </c>
      <c r="H3835" s="75">
        <f>ROUND(H3811-H3824-H3833,2)</f>
        <v>0</v>
      </c>
      <c r="I3835" s="75">
        <f>ROUND(I3811-I3824-I3833,2)</f>
        <v>0</v>
      </c>
      <c r="J3835" s="75">
        <f t="shared" si="288"/>
        <v>0</v>
      </c>
    </row>
    <row r="3836" outlineLevel="2" spans="1:10">
      <c r="A3836" s="1527" t="s">
        <v>4354</v>
      </c>
      <c r="B3836" s="421" t="s">
        <v>4355</v>
      </c>
      <c r="C3836" s="429" t="str">
        <f t="shared" si="289"/>
        <v>石嘴山市深阳蓝光市政工程有限公司</v>
      </c>
      <c r="D3836" s="423" t="s">
        <v>1657</v>
      </c>
      <c r="E3836" s="79" t="s">
        <v>4356</v>
      </c>
      <c r="F3836" s="1540">
        <f>ROUND(F3798-F3813-F3826,2)</f>
        <v>0</v>
      </c>
      <c r="G3836" s="1540">
        <f>ROUND(G3798-G3813-G3826,2)</f>
        <v>0</v>
      </c>
      <c r="H3836" s="1540">
        <f>ROUND(H3798-H3813-H3826,2)</f>
        <v>0</v>
      </c>
      <c r="I3836" s="1540">
        <f>ROUND(I3798-I3813-I3826,2)</f>
        <v>0</v>
      </c>
      <c r="J3836" s="75">
        <f t="shared" si="288"/>
        <v>0</v>
      </c>
    </row>
    <row r="3837" outlineLevel="2" spans="1:10">
      <c r="A3837" s="1527" t="s">
        <v>4357</v>
      </c>
      <c r="B3837" s="421" t="s">
        <v>4358</v>
      </c>
      <c r="C3837" s="429" t="str">
        <f t="shared" si="289"/>
        <v>石嘴山市深阳蓝光市政工程有限公司</v>
      </c>
      <c r="D3837" s="423" t="s">
        <v>1657</v>
      </c>
      <c r="E3837" s="84" t="s">
        <v>4233</v>
      </c>
      <c r="F3837" s="119"/>
      <c r="G3837" s="119"/>
      <c r="H3837" s="119"/>
      <c r="I3837" s="119"/>
      <c r="J3837" s="86">
        <f>审定资负表!C27</f>
        <v>0</v>
      </c>
    </row>
    <row r="3838" outlineLevel="2" spans="1:10">
      <c r="A3838" s="1527" t="s">
        <v>4359</v>
      </c>
      <c r="B3838" s="421" t="s">
        <v>4360</v>
      </c>
      <c r="C3838" s="429" t="str">
        <f t="shared" si="289"/>
        <v>石嘴山市深阳蓝光市政工程有限公司</v>
      </c>
      <c r="D3838" s="423" t="s">
        <v>1657</v>
      </c>
      <c r="E3838" s="84" t="s">
        <v>1394</v>
      </c>
      <c r="F3838" s="119"/>
      <c r="G3838" s="119"/>
      <c r="H3838" s="119"/>
      <c r="I3838" s="122"/>
      <c r="J3838" s="87">
        <f>ROUND(J3837-J3835,2)</f>
        <v>0</v>
      </c>
    </row>
    <row r="3839" outlineLevel="2" spans="1:10">
      <c r="A3839" s="1527" t="s">
        <v>4361</v>
      </c>
      <c r="B3839" s="421" t="s">
        <v>4362</v>
      </c>
      <c r="C3839" s="429" t="str">
        <f t="shared" si="289"/>
        <v>石嘴山市深阳蓝光市政工程有限公司</v>
      </c>
      <c r="D3839" s="423" t="s">
        <v>1657</v>
      </c>
      <c r="E3839" s="84" t="s">
        <v>4240</v>
      </c>
      <c r="F3839" s="119"/>
      <c r="G3839" s="119"/>
      <c r="H3839" s="119"/>
      <c r="I3839" s="122"/>
      <c r="J3839" s="88">
        <f>审定资负表!D27</f>
        <v>0</v>
      </c>
    </row>
    <row r="3840" outlineLevel="2" spans="1:10">
      <c r="A3840" s="1527" t="s">
        <v>4363</v>
      </c>
      <c r="B3840" s="421" t="s">
        <v>4364</v>
      </c>
      <c r="C3840" s="429" t="str">
        <f t="shared" si="289"/>
        <v>石嘴山市深阳蓝光市政工程有限公司</v>
      </c>
      <c r="D3840" s="423" t="s">
        <v>1657</v>
      </c>
      <c r="E3840" s="84" t="s">
        <v>1394</v>
      </c>
      <c r="F3840" s="119"/>
      <c r="G3840" s="119"/>
      <c r="H3840" s="119"/>
      <c r="I3840" s="122"/>
      <c r="J3840" s="87">
        <f>ROUND(J3839-J3836,2)</f>
        <v>0</v>
      </c>
    </row>
    <row r="3841" outlineLevel="2" spans="1:10">
      <c r="A3841" s="1527"/>
      <c r="C3841" s="429"/>
      <c r="E3841" s="123" t="s">
        <v>4365</v>
      </c>
      <c r="F3841" s="122"/>
      <c r="G3841" s="122"/>
      <c r="H3841" s="122"/>
      <c r="I3841" s="122"/>
      <c r="J3841" s="88">
        <f>$I$1309</f>
        <v>0</v>
      </c>
    </row>
    <row r="3842" outlineLevel="1" spans="1:10">
      <c r="A3842" s="1527" t="s">
        <v>4366</v>
      </c>
      <c r="B3842" s="421" t="s">
        <v>4367</v>
      </c>
      <c r="C3842" s="429" t="str">
        <f t="shared" ref="C3842:C3873" si="290">$G$1</f>
        <v>石嘴山市深阳蓝光市政工程有限公司</v>
      </c>
      <c r="D3842" s="423" t="s">
        <v>1657</v>
      </c>
      <c r="E3842" s="84" t="s">
        <v>1394</v>
      </c>
      <c r="F3842" s="122"/>
      <c r="G3842" s="122"/>
      <c r="H3842" s="122"/>
      <c r="I3842" s="122"/>
      <c r="J3842" s="87">
        <f>ROUND(J3841-J3801,2)</f>
        <v>0</v>
      </c>
    </row>
    <row r="3843" outlineLevel="2" spans="1:10">
      <c r="A3843" s="1527" t="s">
        <v>4368</v>
      </c>
      <c r="B3843" s="421" t="s">
        <v>4369</v>
      </c>
      <c r="C3843" s="429" t="str">
        <f t="shared" si="290"/>
        <v>石嘴山市深阳蓝光市政工程有限公司</v>
      </c>
      <c r="D3843" s="423" t="s">
        <v>1657</v>
      </c>
      <c r="E3843" s="91" t="s">
        <v>60</v>
      </c>
      <c r="F3843" s="92" t="s">
        <v>4251</v>
      </c>
      <c r="G3843" s="92" t="s">
        <v>1659</v>
      </c>
      <c r="H3843" s="92" t="s">
        <v>4252</v>
      </c>
      <c r="I3843" s="92" t="s">
        <v>4253</v>
      </c>
      <c r="J3843" s="93" t="s">
        <v>1580</v>
      </c>
    </row>
    <row r="3844" outlineLevel="2" spans="1:10">
      <c r="A3844" s="1527" t="s">
        <v>4370</v>
      </c>
      <c r="B3844" s="421" t="s">
        <v>4371</v>
      </c>
      <c r="C3844" s="429" t="str">
        <f t="shared" si="290"/>
        <v>石嘴山市深阳蓝光市政工程有限公司</v>
      </c>
      <c r="D3844" s="423" t="s">
        <v>1657</v>
      </c>
      <c r="E3844" s="94" t="s">
        <v>4372</v>
      </c>
      <c r="F3844" s="95">
        <f>F3807-F3820-F3831</f>
        <v>0</v>
      </c>
      <c r="G3844" s="95">
        <f>G3807-G3820-G3831</f>
        <v>0</v>
      </c>
      <c r="H3844" s="95">
        <f>H3807-H3820-H3831</f>
        <v>0</v>
      </c>
      <c r="I3844" s="95">
        <f>I3807-I3820-I3831</f>
        <v>0</v>
      </c>
      <c r="J3844" s="95">
        <f>J3807-J3820-J3831</f>
        <v>0</v>
      </c>
    </row>
    <row r="3845" outlineLevel="2" spans="1:10">
      <c r="A3845" s="1527" t="s">
        <v>4373</v>
      </c>
      <c r="B3845" s="421" t="s">
        <v>4374</v>
      </c>
      <c r="C3845" s="429" t="str">
        <f t="shared" si="290"/>
        <v>石嘴山市深阳蓝光市政工程有限公司</v>
      </c>
      <c r="D3845" s="423" t="s">
        <v>1657</v>
      </c>
      <c r="E3845" s="99" t="s">
        <v>4375</v>
      </c>
      <c r="F3845" s="97"/>
      <c r="G3845" s="98"/>
      <c r="H3845" s="98"/>
      <c r="I3845" s="98"/>
      <c r="J3845" s="98"/>
    </row>
    <row r="3846" outlineLevel="2" spans="1:10">
      <c r="A3846" s="1527" t="s">
        <v>4376</v>
      </c>
      <c r="B3846" s="421" t="s">
        <v>4377</v>
      </c>
      <c r="C3846" s="429" t="str">
        <f t="shared" si="290"/>
        <v>石嘴山市深阳蓝光市政工程有限公司</v>
      </c>
      <c r="D3846" s="423" t="s">
        <v>1657</v>
      </c>
      <c r="E3846" s="99" t="s">
        <v>4378</v>
      </c>
      <c r="F3846" s="95">
        <f>F3844-F3845</f>
        <v>0</v>
      </c>
      <c r="G3846" s="95">
        <f>G3844-G3845</f>
        <v>0</v>
      </c>
      <c r="H3846" s="95">
        <f>H3844-H3845</f>
        <v>0</v>
      </c>
      <c r="I3846" s="95">
        <f>I3844-I3845</f>
        <v>0</v>
      </c>
      <c r="J3846" s="95">
        <f>J3844-J3845</f>
        <v>0</v>
      </c>
    </row>
    <row r="3847" outlineLevel="2" spans="1:10">
      <c r="A3847" s="1527" t="s">
        <v>4379</v>
      </c>
      <c r="B3847" s="421" t="s">
        <v>4380</v>
      </c>
      <c r="C3847" s="429" t="str">
        <f t="shared" si="290"/>
        <v>石嘴山市深阳蓝光市政工程有限公司</v>
      </c>
      <c r="D3847" s="423" t="s">
        <v>1657</v>
      </c>
      <c r="E3847" s="124"/>
      <c r="F3847" s="100"/>
      <c r="G3847" s="100"/>
      <c r="H3847" s="100"/>
      <c r="I3847" s="100"/>
      <c r="J3847" s="100"/>
    </row>
    <row r="3848" outlineLevel="2" spans="1:10">
      <c r="A3848" s="1527" t="s">
        <v>4381</v>
      </c>
      <c r="B3848" s="421" t="s">
        <v>4382</v>
      </c>
      <c r="C3848" s="429" t="str">
        <f t="shared" si="290"/>
        <v>石嘴山市深阳蓝光市政工程有限公司</v>
      </c>
      <c r="D3848" s="423" t="s">
        <v>1657</v>
      </c>
      <c r="E3848" s="101" t="s">
        <v>4245</v>
      </c>
      <c r="F3848" s="103"/>
      <c r="G3848" s="103"/>
      <c r="H3848" s="103"/>
      <c r="I3848" s="103"/>
      <c r="J3848" s="103"/>
    </row>
    <row r="3849" outlineLevel="1" spans="1:3">
      <c r="A3849" s="1527"/>
      <c r="C3849" s="429" t="str">
        <f t="shared" si="290"/>
        <v>石嘴山市深阳蓝光市政工程有限公司</v>
      </c>
    </row>
    <row r="3850" ht="14.25" spans="1:10">
      <c r="A3850" s="1527" t="s">
        <v>4383</v>
      </c>
      <c r="B3850" s="421" t="s">
        <v>4384</v>
      </c>
      <c r="C3850" s="429" t="str">
        <f t="shared" si="290"/>
        <v>石嘴山市深阳蓝光市政工程有限公司</v>
      </c>
      <c r="D3850" s="423" t="s">
        <v>1686</v>
      </c>
      <c r="E3850" s="65" t="s">
        <v>4385</v>
      </c>
      <c r="F3850" s="66" t="s">
        <v>4130</v>
      </c>
      <c r="G3850" s="67"/>
      <c r="H3850" s="67"/>
      <c r="I3850" s="67"/>
      <c r="J3850" s="67"/>
    </row>
    <row r="3851" outlineLevel="1" spans="1:10">
      <c r="A3851" s="1527" t="s">
        <v>4386</v>
      </c>
      <c r="B3851" s="421" t="s">
        <v>4387</v>
      </c>
      <c r="C3851" s="429" t="str">
        <f t="shared" si="290"/>
        <v>石嘴山市深阳蓝光市政工程有限公司</v>
      </c>
      <c r="D3851" s="423" t="s">
        <v>1686</v>
      </c>
      <c r="E3851" s="69" t="s">
        <v>60</v>
      </c>
      <c r="F3851" s="69" t="s">
        <v>4136</v>
      </c>
      <c r="G3851" s="69" t="s">
        <v>4388</v>
      </c>
      <c r="H3851" s="69" t="s">
        <v>4389</v>
      </c>
      <c r="I3851" s="69" t="s">
        <v>279</v>
      </c>
      <c r="J3851" s="69" t="s">
        <v>1580</v>
      </c>
    </row>
    <row r="3852" outlineLevel="1" spans="1:10">
      <c r="A3852" s="1527" t="s">
        <v>4390</v>
      </c>
      <c r="B3852" s="421" t="s">
        <v>4391</v>
      </c>
      <c r="C3852" s="429" t="str">
        <f t="shared" si="290"/>
        <v>石嘴山市深阳蓝光市政工程有限公司</v>
      </c>
      <c r="D3852" s="423" t="s">
        <v>1686</v>
      </c>
      <c r="E3852" s="70" t="s">
        <v>4139</v>
      </c>
      <c r="F3852" s="71"/>
      <c r="G3852" s="71"/>
      <c r="H3852" s="71"/>
      <c r="I3852" s="71"/>
      <c r="J3852" s="71"/>
    </row>
    <row r="3853" outlineLevel="1" spans="1:10">
      <c r="A3853" s="1527" t="s">
        <v>4392</v>
      </c>
      <c r="B3853" s="421" t="s">
        <v>4393</v>
      </c>
      <c r="C3853" s="429" t="str">
        <f t="shared" si="290"/>
        <v>石嘴山市深阳蓝光市政工程有限公司</v>
      </c>
      <c r="D3853" s="423" t="s">
        <v>1686</v>
      </c>
      <c r="E3853" s="70" t="s">
        <v>4142</v>
      </c>
      <c r="F3853" s="1542"/>
      <c r="G3853" s="1542"/>
      <c r="H3853" s="1542"/>
      <c r="I3853" s="1542"/>
      <c r="J3853" s="73">
        <f>ROUND(SUM(F3853:I3853),2)</f>
        <v>0</v>
      </c>
    </row>
    <row r="3854" outlineLevel="1" spans="1:10">
      <c r="A3854" s="1527" t="s">
        <v>4394</v>
      </c>
      <c r="B3854" s="421" t="s">
        <v>4395</v>
      </c>
      <c r="C3854" s="429" t="str">
        <f t="shared" si="290"/>
        <v>石嘴山市深阳蓝光市政工程有限公司</v>
      </c>
      <c r="D3854" s="423" t="s">
        <v>1686</v>
      </c>
      <c r="E3854" s="70" t="s">
        <v>4145</v>
      </c>
      <c r="F3854" s="73">
        <f>ROUND(SUM(F3855:F3859),2)</f>
        <v>0</v>
      </c>
      <c r="G3854" s="73">
        <f>ROUND(SUM(G3855:G3859),2)</f>
        <v>0</v>
      </c>
      <c r="H3854" s="73">
        <f>ROUND(SUM(H3855:H3859),2)</f>
        <v>0</v>
      </c>
      <c r="I3854" s="73">
        <f>ROUND(SUM(I3855:I3859),2)</f>
        <v>0</v>
      </c>
      <c r="J3854" s="73">
        <f>ROUND(SUM(F3854:I3854),2)</f>
        <v>0</v>
      </c>
    </row>
    <row r="3855" outlineLevel="1" spans="1:10">
      <c r="A3855" s="1527" t="s">
        <v>4396</v>
      </c>
      <c r="B3855" s="421" t="s">
        <v>4397</v>
      </c>
      <c r="C3855" s="429" t="str">
        <f t="shared" si="290"/>
        <v>石嘴山市深阳蓝光市政工程有限公司</v>
      </c>
      <c r="D3855" s="423" t="s">
        <v>1686</v>
      </c>
      <c r="E3855" s="76" t="s">
        <v>4398</v>
      </c>
      <c r="F3855" s="1543"/>
      <c r="G3855" s="1542"/>
      <c r="H3855" s="1542"/>
      <c r="I3855" s="1543"/>
      <c r="J3855" s="73">
        <f t="shared" ref="J3855:J3890" si="291">ROUND(SUM(F3855:I3855),2)</f>
        <v>0</v>
      </c>
    </row>
    <row r="3856" outlineLevel="1" spans="1:10">
      <c r="A3856" s="1527" t="s">
        <v>4399</v>
      </c>
      <c r="B3856" s="421" t="s">
        <v>4400</v>
      </c>
      <c r="C3856" s="429" t="str">
        <f t="shared" si="290"/>
        <v>石嘴山市深阳蓝光市政工程有限公司</v>
      </c>
      <c r="D3856" s="423" t="s">
        <v>1686</v>
      </c>
      <c r="E3856" s="76" t="s">
        <v>4401</v>
      </c>
      <c r="F3856" s="1543"/>
      <c r="G3856" s="1542"/>
      <c r="H3856" s="1542"/>
      <c r="I3856" s="1543"/>
      <c r="J3856" s="73">
        <f t="shared" si="291"/>
        <v>0</v>
      </c>
    </row>
    <row r="3857" outlineLevel="1" spans="1:10">
      <c r="A3857" s="1527" t="s">
        <v>4402</v>
      </c>
      <c r="B3857" s="421" t="s">
        <v>4403</v>
      </c>
      <c r="C3857" s="429" t="str">
        <f t="shared" si="290"/>
        <v>石嘴山市深阳蓝光市政工程有限公司</v>
      </c>
      <c r="D3857" s="423" t="s">
        <v>1686</v>
      </c>
      <c r="E3857" s="76" t="s">
        <v>4404</v>
      </c>
      <c r="F3857" s="1543"/>
      <c r="G3857" s="1542"/>
      <c r="H3857" s="1542"/>
      <c r="I3857" s="1543"/>
      <c r="J3857" s="73">
        <f t="shared" si="291"/>
        <v>0</v>
      </c>
    </row>
    <row r="3858" outlineLevel="1" spans="1:10">
      <c r="A3858" s="1527" t="s">
        <v>4405</v>
      </c>
      <c r="B3858" s="421" t="s">
        <v>4406</v>
      </c>
      <c r="C3858" s="429" t="str">
        <f t="shared" si="290"/>
        <v>石嘴山市深阳蓝光市政工程有限公司</v>
      </c>
      <c r="D3858" s="423" t="s">
        <v>1686</v>
      </c>
      <c r="E3858" s="78" t="s">
        <v>4274</v>
      </c>
      <c r="F3858" s="1543"/>
      <c r="G3858" s="1542"/>
      <c r="H3858" s="1542"/>
      <c r="I3858" s="1543"/>
      <c r="J3858" s="73">
        <f t="shared" si="291"/>
        <v>0</v>
      </c>
    </row>
    <row r="3859" outlineLevel="1" spans="1:10">
      <c r="A3859" s="1527" t="s">
        <v>4407</v>
      </c>
      <c r="B3859" s="421" t="s">
        <v>4408</v>
      </c>
      <c r="C3859" s="429" t="str">
        <f t="shared" si="290"/>
        <v>石嘴山市深阳蓝光市政工程有限公司</v>
      </c>
      <c r="D3859" s="423" t="s">
        <v>1686</v>
      </c>
      <c r="E3859" s="79" t="s">
        <v>4409</v>
      </c>
      <c r="F3859" s="1543"/>
      <c r="G3859" s="1542"/>
      <c r="H3859" s="1542"/>
      <c r="I3859" s="1543"/>
      <c r="J3859" s="73">
        <f t="shared" si="291"/>
        <v>0</v>
      </c>
    </row>
    <row r="3860" outlineLevel="1" spans="1:10">
      <c r="A3860" s="1527" t="s">
        <v>4410</v>
      </c>
      <c r="B3860" s="421" t="s">
        <v>4411</v>
      </c>
      <c r="C3860" s="429" t="str">
        <f t="shared" si="290"/>
        <v>石嘴山市深阳蓝光市政工程有限公司</v>
      </c>
      <c r="D3860" s="423" t="s">
        <v>1686</v>
      </c>
      <c r="E3860" s="70" t="s">
        <v>4159</v>
      </c>
      <c r="F3860" s="73">
        <f>ROUND(SUM(F3861:F3864),2)</f>
        <v>0</v>
      </c>
      <c r="G3860" s="73">
        <f>ROUND(SUM(G3861:G3864),2)</f>
        <v>0</v>
      </c>
      <c r="H3860" s="73">
        <f>ROUND(SUM(H3861:H3864),2)</f>
        <v>0</v>
      </c>
      <c r="I3860" s="73">
        <f>ROUND(SUM(I3861:I3864),2)</f>
        <v>0</v>
      </c>
      <c r="J3860" s="73">
        <f t="shared" si="291"/>
        <v>0</v>
      </c>
    </row>
    <row r="3861" outlineLevel="1" spans="1:10">
      <c r="A3861" s="1527" t="s">
        <v>4412</v>
      </c>
      <c r="B3861" s="421" t="s">
        <v>4413</v>
      </c>
      <c r="C3861" s="429" t="str">
        <f t="shared" si="290"/>
        <v>石嘴山市深阳蓝光市政工程有限公司</v>
      </c>
      <c r="D3861" s="423" t="s">
        <v>1686</v>
      </c>
      <c r="E3861" s="76" t="s">
        <v>4414</v>
      </c>
      <c r="F3861" s="1543"/>
      <c r="G3861" s="1542"/>
      <c r="H3861" s="1542"/>
      <c r="I3861" s="1542"/>
      <c r="J3861" s="73">
        <f t="shared" si="291"/>
        <v>0</v>
      </c>
    </row>
    <row r="3862" outlineLevel="1" spans="1:10">
      <c r="A3862" s="1527" t="s">
        <v>4415</v>
      </c>
      <c r="B3862" s="421" t="s">
        <v>4416</v>
      </c>
      <c r="C3862" s="429" t="str">
        <f t="shared" si="290"/>
        <v>石嘴山市深阳蓝光市政工程有限公司</v>
      </c>
      <c r="D3862" s="423" t="s">
        <v>1686</v>
      </c>
      <c r="E3862" s="79" t="s">
        <v>4289</v>
      </c>
      <c r="F3862" s="1543"/>
      <c r="G3862" s="1542"/>
      <c r="H3862" s="1542"/>
      <c r="I3862" s="1542"/>
      <c r="J3862" s="73">
        <f t="shared" si="291"/>
        <v>0</v>
      </c>
    </row>
    <row r="3863" outlineLevel="1" spans="1:10">
      <c r="A3863" s="1527" t="s">
        <v>4417</v>
      </c>
      <c r="B3863" s="421" t="s">
        <v>4418</v>
      </c>
      <c r="C3863" s="429" t="str">
        <f t="shared" si="290"/>
        <v>石嘴山市深阳蓝光市政工程有限公司</v>
      </c>
      <c r="D3863" s="423" t="s">
        <v>1686</v>
      </c>
      <c r="E3863" s="79" t="s">
        <v>4292</v>
      </c>
      <c r="F3863" s="1543"/>
      <c r="G3863" s="1542"/>
      <c r="H3863" s="1542"/>
      <c r="I3863" s="1542"/>
      <c r="J3863" s="73">
        <f t="shared" si="291"/>
        <v>0</v>
      </c>
    </row>
    <row r="3864" outlineLevel="1" spans="1:10">
      <c r="A3864" s="1527" t="s">
        <v>4419</v>
      </c>
      <c r="B3864" s="421" t="s">
        <v>4420</v>
      </c>
      <c r="C3864" s="429" t="str">
        <f t="shared" si="290"/>
        <v>石嘴山市深阳蓝光市政工程有限公司</v>
      </c>
      <c r="D3864" s="423" t="s">
        <v>1686</v>
      </c>
      <c r="E3864" s="79" t="s">
        <v>4295</v>
      </c>
      <c r="F3864" s="1543"/>
      <c r="G3864" s="1542"/>
      <c r="H3864" s="1542"/>
      <c r="I3864" s="1542"/>
      <c r="J3864" s="73">
        <f t="shared" si="291"/>
        <v>0</v>
      </c>
    </row>
    <row r="3865" outlineLevel="1" spans="1:10">
      <c r="A3865" s="1527" t="s">
        <v>4421</v>
      </c>
      <c r="B3865" s="421" t="s">
        <v>4422</v>
      </c>
      <c r="C3865" s="429" t="str">
        <f t="shared" si="290"/>
        <v>石嘴山市深阳蓝光市政工程有限公司</v>
      </c>
      <c r="D3865" s="423" t="s">
        <v>1686</v>
      </c>
      <c r="E3865" s="70" t="s">
        <v>4171</v>
      </c>
      <c r="F3865" s="73">
        <f>ROUND(F3853+F3854-F3860,2)</f>
        <v>0</v>
      </c>
      <c r="G3865" s="73">
        <f>ROUND(G3853+G3854-G3860,2)</f>
        <v>0</v>
      </c>
      <c r="H3865" s="73">
        <f>ROUND(H3853+H3854-H3860,2)</f>
        <v>0</v>
      </c>
      <c r="I3865" s="73">
        <f>ROUND(I3853+I3854-I3860,2)</f>
        <v>0</v>
      </c>
      <c r="J3865" s="73">
        <f t="shared" si="291"/>
        <v>0</v>
      </c>
    </row>
    <row r="3866" outlineLevel="1" spans="1:10">
      <c r="A3866" s="1527" t="s">
        <v>4423</v>
      </c>
      <c r="B3866" s="421" t="s">
        <v>4424</v>
      </c>
      <c r="C3866" s="429" t="str">
        <f t="shared" si="290"/>
        <v>石嘴山市深阳蓝光市政工程有限公司</v>
      </c>
      <c r="D3866" s="423" t="s">
        <v>1686</v>
      </c>
      <c r="E3866" s="70" t="s">
        <v>4425</v>
      </c>
      <c r="F3866" s="81"/>
      <c r="G3866" s="81"/>
      <c r="H3866" s="81"/>
      <c r="I3866" s="81"/>
      <c r="J3866" s="73">
        <f t="shared" si="291"/>
        <v>0</v>
      </c>
    </row>
    <row r="3867" outlineLevel="1" spans="1:10">
      <c r="A3867" s="1527" t="s">
        <v>4426</v>
      </c>
      <c r="B3867" s="421" t="s">
        <v>4427</v>
      </c>
      <c r="C3867" s="429" t="str">
        <f t="shared" si="290"/>
        <v>石嘴山市深阳蓝光市政工程有限公司</v>
      </c>
      <c r="D3867" s="423" t="s">
        <v>1686</v>
      </c>
      <c r="E3867" s="70" t="s">
        <v>4142</v>
      </c>
      <c r="F3867" s="1542"/>
      <c r="G3867" s="1542"/>
      <c r="H3867" s="1542"/>
      <c r="I3867" s="1542"/>
      <c r="J3867" s="73">
        <f t="shared" si="291"/>
        <v>0</v>
      </c>
    </row>
    <row r="3868" outlineLevel="1" spans="1:10">
      <c r="A3868" s="1527" t="s">
        <v>4428</v>
      </c>
      <c r="B3868" s="421" t="s">
        <v>4429</v>
      </c>
      <c r="C3868" s="429" t="str">
        <f t="shared" si="290"/>
        <v>石嘴山市深阳蓝光市政工程有限公司</v>
      </c>
      <c r="D3868" s="423" t="s">
        <v>1686</v>
      </c>
      <c r="E3868" s="70" t="s">
        <v>4145</v>
      </c>
      <c r="F3868" s="73">
        <f>ROUND(SUM(F3869:F3872),2)</f>
        <v>0</v>
      </c>
      <c r="G3868" s="73">
        <f>ROUND(SUM(G3869:G3872),2)</f>
        <v>0</v>
      </c>
      <c r="H3868" s="73">
        <f>ROUND(SUM(H3869:H3872),2)</f>
        <v>0</v>
      </c>
      <c r="I3868" s="73">
        <f>ROUND(SUM(I3869:I3872),2)</f>
        <v>0</v>
      </c>
      <c r="J3868" s="73">
        <f t="shared" si="291"/>
        <v>0</v>
      </c>
    </row>
    <row r="3869" outlineLevel="1" spans="1:10">
      <c r="A3869" s="1527" t="s">
        <v>4430</v>
      </c>
      <c r="B3869" s="421" t="s">
        <v>4431</v>
      </c>
      <c r="C3869" s="429" t="str">
        <f t="shared" si="290"/>
        <v>石嘴山市深阳蓝光市政工程有限公司</v>
      </c>
      <c r="D3869" s="423" t="s">
        <v>1686</v>
      </c>
      <c r="E3869" s="76" t="s">
        <v>4432</v>
      </c>
      <c r="F3869" s="1543"/>
      <c r="G3869" s="1542"/>
      <c r="H3869" s="1542"/>
      <c r="I3869" s="1542"/>
      <c r="J3869" s="73">
        <f t="shared" si="291"/>
        <v>0</v>
      </c>
    </row>
    <row r="3870" outlineLevel="1" spans="1:10">
      <c r="A3870" s="1527" t="s">
        <v>4433</v>
      </c>
      <c r="B3870" s="421" t="s">
        <v>4434</v>
      </c>
      <c r="C3870" s="429" t="str">
        <f t="shared" si="290"/>
        <v>石嘴山市深阳蓝光市政工程有限公司</v>
      </c>
      <c r="D3870" s="423" t="s">
        <v>1686</v>
      </c>
      <c r="E3870" s="79" t="s">
        <v>4311</v>
      </c>
      <c r="F3870" s="1543"/>
      <c r="G3870" s="1542"/>
      <c r="H3870" s="1542"/>
      <c r="I3870" s="1542"/>
      <c r="J3870" s="73">
        <f t="shared" si="291"/>
        <v>0</v>
      </c>
    </row>
    <row r="3871" outlineLevel="1" spans="1:10">
      <c r="A3871" s="1527" t="s">
        <v>4435</v>
      </c>
      <c r="B3871" s="421" t="s">
        <v>4436</v>
      </c>
      <c r="C3871" s="429" t="str">
        <f t="shared" si="290"/>
        <v>石嘴山市深阳蓝光市政工程有限公司</v>
      </c>
      <c r="D3871" s="423" t="s">
        <v>1686</v>
      </c>
      <c r="E3871" s="79" t="s">
        <v>4314</v>
      </c>
      <c r="F3871" s="1543"/>
      <c r="G3871" s="1542"/>
      <c r="H3871" s="1542"/>
      <c r="I3871" s="1542"/>
      <c r="J3871" s="73">
        <f t="shared" si="291"/>
        <v>0</v>
      </c>
    </row>
    <row r="3872" outlineLevel="1" spans="1:10">
      <c r="A3872" s="1527" t="s">
        <v>4437</v>
      </c>
      <c r="B3872" s="421" t="s">
        <v>4438</v>
      </c>
      <c r="C3872" s="429" t="str">
        <f t="shared" si="290"/>
        <v>石嘴山市深阳蓝光市政工程有限公司</v>
      </c>
      <c r="D3872" s="423" t="s">
        <v>1686</v>
      </c>
      <c r="E3872" s="79" t="s">
        <v>4317</v>
      </c>
      <c r="F3872" s="1543"/>
      <c r="G3872" s="1542"/>
      <c r="H3872" s="1542"/>
      <c r="I3872" s="1542"/>
      <c r="J3872" s="73">
        <f t="shared" si="291"/>
        <v>0</v>
      </c>
    </row>
    <row r="3873" outlineLevel="1" spans="1:10">
      <c r="A3873" s="1527" t="s">
        <v>4439</v>
      </c>
      <c r="B3873" s="421" t="s">
        <v>4440</v>
      </c>
      <c r="C3873" s="429" t="str">
        <f t="shared" si="290"/>
        <v>石嘴山市深阳蓝光市政工程有限公司</v>
      </c>
      <c r="D3873" s="423" t="s">
        <v>1686</v>
      </c>
      <c r="E3873" s="70" t="s">
        <v>4159</v>
      </c>
      <c r="F3873" s="73">
        <f>ROUND(SUM(F3874:F3877),2)</f>
        <v>0</v>
      </c>
      <c r="G3873" s="73">
        <f>ROUND(SUM(G3874:G3877),2)</f>
        <v>0</v>
      </c>
      <c r="H3873" s="73">
        <f>ROUND(SUM(H3874:H3877),2)</f>
        <v>0</v>
      </c>
      <c r="I3873" s="73">
        <f>ROUND(SUM(I3874:I3877),2)</f>
        <v>0</v>
      </c>
      <c r="J3873" s="73">
        <f t="shared" si="291"/>
        <v>0</v>
      </c>
    </row>
    <row r="3874" outlineLevel="1" spans="1:10">
      <c r="A3874" s="1527" t="s">
        <v>4441</v>
      </c>
      <c r="B3874" s="421" t="s">
        <v>4442</v>
      </c>
      <c r="C3874" s="429" t="str">
        <f t="shared" ref="C3874:C3929" si="292">$G$1</f>
        <v>石嘴山市深阳蓝光市政工程有限公司</v>
      </c>
      <c r="D3874" s="423" t="s">
        <v>1686</v>
      </c>
      <c r="E3874" s="76" t="s">
        <v>4414</v>
      </c>
      <c r="F3874" s="1542"/>
      <c r="G3874" s="1542"/>
      <c r="H3874" s="1542"/>
      <c r="I3874" s="1542"/>
      <c r="J3874" s="73">
        <f t="shared" si="291"/>
        <v>0</v>
      </c>
    </row>
    <row r="3875" outlineLevel="1" spans="1:10">
      <c r="A3875" s="1527" t="s">
        <v>4443</v>
      </c>
      <c r="B3875" s="421" t="s">
        <v>4444</v>
      </c>
      <c r="C3875" s="429" t="str">
        <f t="shared" si="292"/>
        <v>石嘴山市深阳蓝光市政工程有限公司</v>
      </c>
      <c r="D3875" s="423" t="s">
        <v>1686</v>
      </c>
      <c r="E3875" s="79" t="s">
        <v>4289</v>
      </c>
      <c r="F3875" s="1542"/>
      <c r="G3875" s="1542"/>
      <c r="H3875" s="1542"/>
      <c r="I3875" s="1542"/>
      <c r="J3875" s="73">
        <f t="shared" si="291"/>
        <v>0</v>
      </c>
    </row>
    <row r="3876" outlineLevel="1" spans="1:10">
      <c r="A3876" s="1527" t="s">
        <v>4445</v>
      </c>
      <c r="B3876" s="421" t="s">
        <v>4446</v>
      </c>
      <c r="C3876" s="429" t="str">
        <f t="shared" si="292"/>
        <v>石嘴山市深阳蓝光市政工程有限公司</v>
      </c>
      <c r="D3876" s="423" t="s">
        <v>1686</v>
      </c>
      <c r="E3876" s="79" t="s">
        <v>4292</v>
      </c>
      <c r="F3876" s="1542"/>
      <c r="G3876" s="1542"/>
      <c r="H3876" s="1542"/>
      <c r="I3876" s="1542"/>
      <c r="J3876" s="73">
        <f t="shared" si="291"/>
        <v>0</v>
      </c>
    </row>
    <row r="3877" outlineLevel="1" spans="1:10">
      <c r="A3877" s="1527" t="s">
        <v>4447</v>
      </c>
      <c r="B3877" s="421" t="s">
        <v>4448</v>
      </c>
      <c r="C3877" s="429" t="str">
        <f t="shared" si="292"/>
        <v>石嘴山市深阳蓝光市政工程有限公司</v>
      </c>
      <c r="D3877" s="423" t="s">
        <v>1686</v>
      </c>
      <c r="E3877" s="79" t="s">
        <v>4328</v>
      </c>
      <c r="F3877" s="1542"/>
      <c r="G3877" s="1542"/>
      <c r="H3877" s="1542"/>
      <c r="I3877" s="1542"/>
      <c r="J3877" s="73">
        <f t="shared" si="291"/>
        <v>0</v>
      </c>
    </row>
    <row r="3878" outlineLevel="1" spans="1:10">
      <c r="A3878" s="1527" t="s">
        <v>4449</v>
      </c>
      <c r="B3878" s="421" t="s">
        <v>4450</v>
      </c>
      <c r="C3878" s="429" t="str">
        <f t="shared" si="292"/>
        <v>石嘴山市深阳蓝光市政工程有限公司</v>
      </c>
      <c r="D3878" s="423" t="s">
        <v>1686</v>
      </c>
      <c r="E3878" s="70" t="s">
        <v>4171</v>
      </c>
      <c r="F3878" s="73">
        <f>ROUND(F3867+F3868-F3873,2)</f>
        <v>0</v>
      </c>
      <c r="G3878" s="73">
        <f>ROUND(G3867+G3868-G3873,2)</f>
        <v>0</v>
      </c>
      <c r="H3878" s="73">
        <f>ROUND(H3867+H3868-H3873,2)</f>
        <v>0</v>
      </c>
      <c r="I3878" s="73">
        <f>ROUND(I3867+I3868-I3873,2)</f>
        <v>0</v>
      </c>
      <c r="J3878" s="73">
        <f t="shared" si="291"/>
        <v>0</v>
      </c>
    </row>
    <row r="3879" outlineLevel="1" spans="1:10">
      <c r="A3879" s="1527" t="s">
        <v>4451</v>
      </c>
      <c r="B3879" s="421" t="s">
        <v>4452</v>
      </c>
      <c r="C3879" s="429" t="str">
        <f t="shared" si="292"/>
        <v>石嘴山市深阳蓝光市政工程有限公司</v>
      </c>
      <c r="D3879" s="423" t="s">
        <v>1686</v>
      </c>
      <c r="E3879" s="70" t="s">
        <v>4201</v>
      </c>
      <c r="F3879" s="81"/>
      <c r="G3879" s="81"/>
      <c r="H3879" s="81"/>
      <c r="I3879" s="81"/>
      <c r="J3879" s="73">
        <f t="shared" si="291"/>
        <v>0</v>
      </c>
    </row>
    <row r="3880" outlineLevel="1" spans="1:10">
      <c r="A3880" s="1527" t="s">
        <v>4453</v>
      </c>
      <c r="B3880" s="421" t="s">
        <v>4454</v>
      </c>
      <c r="C3880" s="429" t="str">
        <f t="shared" si="292"/>
        <v>石嘴山市深阳蓝光市政工程有限公司</v>
      </c>
      <c r="D3880" s="423" t="s">
        <v>1686</v>
      </c>
      <c r="E3880" s="70" t="s">
        <v>4142</v>
      </c>
      <c r="F3880" s="1542"/>
      <c r="G3880" s="1542"/>
      <c r="H3880" s="1542"/>
      <c r="I3880" s="1542"/>
      <c r="J3880" s="73">
        <f t="shared" si="291"/>
        <v>0</v>
      </c>
    </row>
    <row r="3881" outlineLevel="1" spans="1:10">
      <c r="A3881" s="1527" t="s">
        <v>4455</v>
      </c>
      <c r="B3881" s="421" t="s">
        <v>4456</v>
      </c>
      <c r="C3881" s="429" t="str">
        <f t="shared" si="292"/>
        <v>石嘴山市深阳蓝光市政工程有限公司</v>
      </c>
      <c r="D3881" s="423" t="s">
        <v>1686</v>
      </c>
      <c r="E3881" s="70" t="s">
        <v>4145</v>
      </c>
      <c r="F3881" s="73">
        <f>ROUND(SUM(F3882:F3883),2)</f>
        <v>0</v>
      </c>
      <c r="G3881" s="73">
        <f>ROUND(SUM(G3882:G3883),2)</f>
        <v>0</v>
      </c>
      <c r="H3881" s="73">
        <f>ROUND(SUM(H3882:H3883),2)</f>
        <v>0</v>
      </c>
      <c r="I3881" s="73">
        <f>ROUND(SUM(I3882:I3883),2)</f>
        <v>0</v>
      </c>
      <c r="J3881" s="73">
        <f t="shared" si="291"/>
        <v>0</v>
      </c>
    </row>
    <row r="3882" outlineLevel="1" spans="1:10">
      <c r="A3882" s="1527" t="s">
        <v>4457</v>
      </c>
      <c r="B3882" s="421" t="s">
        <v>4458</v>
      </c>
      <c r="C3882" s="429" t="str">
        <f t="shared" si="292"/>
        <v>石嘴山市深阳蓝光市政工程有限公司</v>
      </c>
      <c r="D3882" s="423" t="s">
        <v>1686</v>
      </c>
      <c r="E3882" s="76" t="s">
        <v>4432</v>
      </c>
      <c r="F3882" s="1542"/>
      <c r="G3882" s="1542"/>
      <c r="H3882" s="1542"/>
      <c r="I3882" s="1542"/>
      <c r="J3882" s="73">
        <f t="shared" si="291"/>
        <v>0</v>
      </c>
    </row>
    <row r="3883" outlineLevel="1" spans="1:10">
      <c r="A3883" s="1527" t="s">
        <v>4459</v>
      </c>
      <c r="B3883" s="421" t="s">
        <v>4460</v>
      </c>
      <c r="C3883" s="429" t="str">
        <f t="shared" si="292"/>
        <v>石嘴山市深阳蓝光市政工程有限公司</v>
      </c>
      <c r="D3883" s="423" t="s">
        <v>1686</v>
      </c>
      <c r="E3883" s="78"/>
      <c r="F3883" s="1542"/>
      <c r="G3883" s="1542"/>
      <c r="H3883" s="1542"/>
      <c r="I3883" s="1542"/>
      <c r="J3883" s="73">
        <f t="shared" si="291"/>
        <v>0</v>
      </c>
    </row>
    <row r="3884" outlineLevel="1" spans="1:10">
      <c r="A3884" s="1527" t="s">
        <v>4461</v>
      </c>
      <c r="B3884" s="421" t="s">
        <v>4462</v>
      </c>
      <c r="C3884" s="429" t="str">
        <f t="shared" si="292"/>
        <v>石嘴山市深阳蓝光市政工程有限公司</v>
      </c>
      <c r="D3884" s="423" t="s">
        <v>1686</v>
      </c>
      <c r="E3884" s="70" t="s">
        <v>4159</v>
      </c>
      <c r="F3884" s="73">
        <f>ROUND(SUM(F3885:F3886),2)</f>
        <v>0</v>
      </c>
      <c r="G3884" s="73">
        <f>ROUND(SUM(G3885:G3886),2)</f>
        <v>0</v>
      </c>
      <c r="H3884" s="73">
        <f>ROUND(SUM(H3885:H3886),2)</f>
        <v>0</v>
      </c>
      <c r="I3884" s="73">
        <f>ROUND(SUM(I3885:I3886),2)</f>
        <v>0</v>
      </c>
      <c r="J3884" s="73">
        <f t="shared" si="291"/>
        <v>0</v>
      </c>
    </row>
    <row r="3885" outlineLevel="1" spans="1:10">
      <c r="A3885" s="1527" t="s">
        <v>4463</v>
      </c>
      <c r="B3885" s="421" t="s">
        <v>4464</v>
      </c>
      <c r="C3885" s="429" t="str">
        <f t="shared" si="292"/>
        <v>石嘴山市深阳蓝光市政工程有限公司</v>
      </c>
      <c r="D3885" s="423" t="s">
        <v>1686</v>
      </c>
      <c r="E3885" s="76" t="s">
        <v>4465</v>
      </c>
      <c r="F3885" s="1542"/>
      <c r="G3885" s="1542"/>
      <c r="H3885" s="1542"/>
      <c r="I3885" s="1542"/>
      <c r="J3885" s="73">
        <f t="shared" si="291"/>
        <v>0</v>
      </c>
    </row>
    <row r="3886" outlineLevel="1" spans="1:10">
      <c r="A3886" s="1527" t="s">
        <v>4466</v>
      </c>
      <c r="B3886" s="421" t="s">
        <v>4467</v>
      </c>
      <c r="C3886" s="429" t="str">
        <f t="shared" si="292"/>
        <v>石嘴山市深阳蓝光市政工程有限公司</v>
      </c>
      <c r="D3886" s="423" t="s">
        <v>1686</v>
      </c>
      <c r="E3886" s="78"/>
      <c r="F3886" s="1542"/>
      <c r="G3886" s="1542"/>
      <c r="H3886" s="1542"/>
      <c r="I3886" s="1542"/>
      <c r="J3886" s="73">
        <f t="shared" si="291"/>
        <v>0</v>
      </c>
    </row>
    <row r="3887" outlineLevel="1" spans="1:10">
      <c r="A3887" s="1527" t="s">
        <v>4468</v>
      </c>
      <c r="B3887" s="421" t="s">
        <v>4469</v>
      </c>
      <c r="C3887" s="429" t="str">
        <f t="shared" si="292"/>
        <v>石嘴山市深阳蓝光市政工程有限公司</v>
      </c>
      <c r="D3887" s="423" t="s">
        <v>1686</v>
      </c>
      <c r="E3887" s="70" t="s">
        <v>4171</v>
      </c>
      <c r="F3887" s="73">
        <f>ROUND(F3880+F3881-F3884,2)</f>
        <v>0</v>
      </c>
      <c r="G3887" s="73">
        <f>ROUND(G3880+G3881-G3884,2)</f>
        <v>0</v>
      </c>
      <c r="H3887" s="73">
        <f>ROUND(H3880+H3881-H3884,2)</f>
        <v>0</v>
      </c>
      <c r="I3887" s="73">
        <f>ROUND(I3880+I3881-I3884,2)</f>
        <v>0</v>
      </c>
      <c r="J3887" s="73">
        <f t="shared" si="291"/>
        <v>0</v>
      </c>
    </row>
    <row r="3888" outlineLevel="1" spans="1:10">
      <c r="A3888" s="1527" t="s">
        <v>4470</v>
      </c>
      <c r="B3888" s="421" t="s">
        <v>4471</v>
      </c>
      <c r="C3888" s="429" t="str">
        <f t="shared" si="292"/>
        <v>石嘴山市深阳蓝光市政工程有限公司</v>
      </c>
      <c r="D3888" s="423" t="s">
        <v>1686</v>
      </c>
      <c r="E3888" s="70" t="s">
        <v>4224</v>
      </c>
      <c r="F3888" s="81"/>
      <c r="G3888" s="81"/>
      <c r="H3888" s="81"/>
      <c r="I3888" s="81"/>
      <c r="J3888" s="73">
        <f t="shared" si="291"/>
        <v>0</v>
      </c>
    </row>
    <row r="3889" outlineLevel="1" spans="1:10">
      <c r="A3889" s="1527" t="s">
        <v>4472</v>
      </c>
      <c r="B3889" s="421" t="s">
        <v>4473</v>
      </c>
      <c r="C3889" s="429" t="str">
        <f t="shared" si="292"/>
        <v>石嘴山市深阳蓝光市政工程有限公司</v>
      </c>
      <c r="D3889" s="423" t="s">
        <v>1686</v>
      </c>
      <c r="E3889" s="70" t="s">
        <v>4227</v>
      </c>
      <c r="F3889" s="73">
        <f>ROUND(F3865-F3878-F3887,2)</f>
        <v>0</v>
      </c>
      <c r="G3889" s="73">
        <f>ROUND(G3865-G3878-G3887,2)</f>
        <v>0</v>
      </c>
      <c r="H3889" s="73">
        <f>ROUND(H3865-H3878-H3887,2)</f>
        <v>0</v>
      </c>
      <c r="I3889" s="73">
        <f>ROUND(I3865-I3878-I3887,2)</f>
        <v>0</v>
      </c>
      <c r="J3889" s="73">
        <f t="shared" si="291"/>
        <v>0</v>
      </c>
    </row>
    <row r="3890" outlineLevel="1" spans="1:10">
      <c r="A3890" s="1527" t="s">
        <v>4474</v>
      </c>
      <c r="B3890" s="421" t="s">
        <v>4475</v>
      </c>
      <c r="C3890" s="429" t="str">
        <f t="shared" si="292"/>
        <v>石嘴山市深阳蓝光市政工程有限公司</v>
      </c>
      <c r="D3890" s="423" t="s">
        <v>1686</v>
      </c>
      <c r="E3890" s="70" t="s">
        <v>4230</v>
      </c>
      <c r="F3890" s="73">
        <f>ROUND(F3853-F3867-F3880,2)</f>
        <v>0</v>
      </c>
      <c r="G3890" s="73">
        <f>ROUND(G3853-G3867-G3880,2)</f>
        <v>0</v>
      </c>
      <c r="H3890" s="73">
        <f>ROUND(H3853-H3867-H3880,2)</f>
        <v>0</v>
      </c>
      <c r="I3890" s="73">
        <f>ROUND(I3853-I3867-I3880,2)</f>
        <v>0</v>
      </c>
      <c r="J3890" s="73">
        <f t="shared" si="291"/>
        <v>0</v>
      </c>
    </row>
    <row r="3891" outlineLevel="1" spans="1:10">
      <c r="A3891" s="1527" t="s">
        <v>4476</v>
      </c>
      <c r="B3891" s="421" t="s">
        <v>4477</v>
      </c>
      <c r="C3891" s="429" t="str">
        <f t="shared" si="292"/>
        <v>石嘴山市深阳蓝光市政工程有限公司</v>
      </c>
      <c r="D3891" s="423" t="s">
        <v>1686</v>
      </c>
      <c r="E3891" s="84" t="s">
        <v>4233</v>
      </c>
      <c r="J3891" s="86">
        <f>审定资负表!C33</f>
        <v>0</v>
      </c>
    </row>
    <row r="3892" outlineLevel="1" spans="1:10">
      <c r="A3892" s="1527" t="s">
        <v>4478</v>
      </c>
      <c r="B3892" s="421" t="s">
        <v>4479</v>
      </c>
      <c r="C3892" s="429" t="str">
        <f t="shared" si="292"/>
        <v>石嘴山市深阳蓝光市政工程有限公司</v>
      </c>
      <c r="D3892" s="423" t="s">
        <v>1686</v>
      </c>
      <c r="E3892" s="84" t="s">
        <v>1394</v>
      </c>
      <c r="J3892" s="87">
        <f>ROUND(J3889-J3891,2)</f>
        <v>0</v>
      </c>
    </row>
    <row r="3893" outlineLevel="1" spans="1:10">
      <c r="A3893" s="1527" t="s">
        <v>4480</v>
      </c>
      <c r="B3893" s="421" t="s">
        <v>4481</v>
      </c>
      <c r="C3893" s="429" t="str">
        <f t="shared" si="292"/>
        <v>石嘴山市深阳蓝光市政工程有限公司</v>
      </c>
      <c r="D3893" s="423" t="s">
        <v>1686</v>
      </c>
      <c r="E3893" s="84" t="s">
        <v>4240</v>
      </c>
      <c r="J3893" s="88">
        <f>审定资负表!D33</f>
        <v>0</v>
      </c>
    </row>
    <row r="3894" outlineLevel="1" spans="1:10">
      <c r="A3894" s="1527" t="s">
        <v>4482</v>
      </c>
      <c r="B3894" s="421" t="s">
        <v>4483</v>
      </c>
      <c r="C3894" s="429" t="str">
        <f t="shared" si="292"/>
        <v>石嘴山市深阳蓝光市政工程有限公司</v>
      </c>
      <c r="D3894" s="423" t="s">
        <v>1686</v>
      </c>
      <c r="E3894" s="84" t="s">
        <v>1394</v>
      </c>
      <c r="J3894" s="87">
        <f>ROUND(J3893-J3890,2)</f>
        <v>0</v>
      </c>
    </row>
    <row r="3895" outlineLevel="1" spans="1:10">
      <c r="A3895" s="1527" t="s">
        <v>4484</v>
      </c>
      <c r="B3895" s="421" t="s">
        <v>4485</v>
      </c>
      <c r="C3895" s="429" t="str">
        <f t="shared" si="292"/>
        <v>石嘴山市深阳蓝光市政工程有限公司</v>
      </c>
      <c r="D3895" s="423" t="s">
        <v>1686</v>
      </c>
      <c r="E3895" s="89" t="s">
        <v>4486</v>
      </c>
      <c r="J3895" s="90"/>
    </row>
    <row r="3896" outlineLevel="2" spans="1:10">
      <c r="A3896" s="1527" t="s">
        <v>4487</v>
      </c>
      <c r="B3896" s="421" t="s">
        <v>4488</v>
      </c>
      <c r="C3896" s="429" t="str">
        <f t="shared" si="292"/>
        <v>石嘴山市深阳蓝光市政工程有限公司</v>
      </c>
      <c r="D3896" s="423" t="s">
        <v>1686</v>
      </c>
      <c r="E3896" s="91" t="s">
        <v>60</v>
      </c>
      <c r="F3896" s="92" t="s">
        <v>4136</v>
      </c>
      <c r="G3896" s="92" t="s">
        <v>4388</v>
      </c>
      <c r="H3896" s="92" t="s">
        <v>4489</v>
      </c>
      <c r="I3896" s="92" t="s">
        <v>279</v>
      </c>
      <c r="J3896" s="93" t="s">
        <v>1580</v>
      </c>
    </row>
    <row r="3897" outlineLevel="2" spans="1:10">
      <c r="A3897" s="1527" t="s">
        <v>4490</v>
      </c>
      <c r="B3897" s="421" t="s">
        <v>4491</v>
      </c>
      <c r="C3897" s="429" t="str">
        <f t="shared" si="292"/>
        <v>石嘴山市深阳蓝光市政工程有限公司</v>
      </c>
      <c r="D3897" s="423" t="s">
        <v>1686</v>
      </c>
      <c r="E3897" s="94" t="s">
        <v>4372</v>
      </c>
      <c r="F3897" s="95">
        <f>F3861-F3874-F3885</f>
        <v>0</v>
      </c>
      <c r="G3897" s="95">
        <f>G3861-G3874-G3885</f>
        <v>0</v>
      </c>
      <c r="H3897" s="95">
        <f>H3861-H3874-H3885</f>
        <v>0</v>
      </c>
      <c r="I3897" s="95">
        <f>I3861-I3874-I3885</f>
        <v>0</v>
      </c>
      <c r="J3897" s="95">
        <f>J3861-J3874-J3885</f>
        <v>0</v>
      </c>
    </row>
    <row r="3898" outlineLevel="2" spans="1:10">
      <c r="A3898" s="1527" t="s">
        <v>4492</v>
      </c>
      <c r="B3898" s="421" t="s">
        <v>4493</v>
      </c>
      <c r="C3898" s="429" t="str">
        <f t="shared" si="292"/>
        <v>石嘴山市深阳蓝光市政工程有限公司</v>
      </c>
      <c r="D3898" s="423" t="s">
        <v>1686</v>
      </c>
      <c r="E3898" s="96" t="s">
        <v>4375</v>
      </c>
      <c r="F3898" s="97"/>
      <c r="G3898" s="98"/>
      <c r="H3898" s="98"/>
      <c r="I3898" s="98"/>
      <c r="J3898" s="98"/>
    </row>
    <row r="3899" outlineLevel="2" spans="1:10">
      <c r="A3899" s="1527" t="s">
        <v>4494</v>
      </c>
      <c r="B3899" s="421" t="s">
        <v>4495</v>
      </c>
      <c r="C3899" s="429" t="str">
        <f t="shared" si="292"/>
        <v>石嘴山市深阳蓝光市政工程有限公司</v>
      </c>
      <c r="D3899" s="423" t="s">
        <v>1686</v>
      </c>
      <c r="E3899" s="99" t="s">
        <v>4378</v>
      </c>
      <c r="F3899" s="95">
        <f>F3897-F3898</f>
        <v>0</v>
      </c>
      <c r="G3899" s="95">
        <f>G3897-G3898</f>
        <v>0</v>
      </c>
      <c r="H3899" s="95">
        <f>H3897-H3898</f>
        <v>0</v>
      </c>
      <c r="I3899" s="95">
        <f>I3897-I3898</f>
        <v>0</v>
      </c>
      <c r="J3899" s="95">
        <f>J3897-J3898</f>
        <v>0</v>
      </c>
    </row>
    <row r="3900" outlineLevel="2" spans="1:10">
      <c r="A3900" s="1527" t="s">
        <v>4496</v>
      </c>
      <c r="B3900" s="421" t="s">
        <v>4497</v>
      </c>
      <c r="C3900" s="429" t="str">
        <f t="shared" si="292"/>
        <v>石嘴山市深阳蓝光市政工程有限公司</v>
      </c>
      <c r="D3900" s="423" t="s">
        <v>1686</v>
      </c>
      <c r="E3900" s="90"/>
      <c r="F3900" s="100"/>
      <c r="G3900" s="100"/>
      <c r="H3900" s="100"/>
      <c r="I3900" s="100"/>
      <c r="J3900" s="100"/>
    </row>
    <row r="3901" outlineLevel="2" spans="1:10">
      <c r="A3901" s="1527" t="s">
        <v>4498</v>
      </c>
      <c r="B3901" s="421" t="s">
        <v>4499</v>
      </c>
      <c r="C3901" s="429" t="str">
        <f t="shared" si="292"/>
        <v>石嘴山市深阳蓝光市政工程有限公司</v>
      </c>
      <c r="D3901" s="423" t="s">
        <v>1686</v>
      </c>
      <c r="E3901" s="101" t="s">
        <v>4245</v>
      </c>
      <c r="F3901" s="102"/>
      <c r="G3901" s="102"/>
      <c r="H3901" s="102"/>
      <c r="I3901" s="102"/>
      <c r="J3901" s="103"/>
    </row>
    <row r="3902" outlineLevel="1" spans="3:3">
      <c r="C3902" s="429" t="str">
        <f t="shared" si="292"/>
        <v>石嘴山市深阳蓝光市政工程有限公司</v>
      </c>
    </row>
    <row r="3903" spans="3:5">
      <c r="C3903" s="429" t="str">
        <f t="shared" si="292"/>
        <v>石嘴山市深阳蓝光市政工程有限公司</v>
      </c>
      <c r="D3903" s="423" t="s">
        <v>4500</v>
      </c>
      <c r="E3903" s="1544" t="s">
        <v>4501</v>
      </c>
    </row>
    <row r="3904" outlineLevel="1" spans="2:5">
      <c r="B3904" s="421" t="s">
        <v>2336</v>
      </c>
      <c r="C3904" s="429" t="str">
        <f t="shared" si="292"/>
        <v>石嘴山市深阳蓝光市政工程有限公司</v>
      </c>
      <c r="D3904" s="423" t="s">
        <v>4500</v>
      </c>
      <c r="E3904" s="85" t="s">
        <v>2339</v>
      </c>
    </row>
    <row r="3905" outlineLevel="1" spans="2:13">
      <c r="B3905" s="421" t="s">
        <v>2336</v>
      </c>
      <c r="C3905" s="429" t="str">
        <f t="shared" si="292"/>
        <v>石嘴山市深阳蓝光市政工程有限公司</v>
      </c>
      <c r="D3905" s="423" t="s">
        <v>4500</v>
      </c>
      <c r="E3905" s="93" t="s">
        <v>314</v>
      </c>
      <c r="F3905" s="93" t="s">
        <v>4502</v>
      </c>
      <c r="G3905" s="93" t="s">
        <v>4503</v>
      </c>
      <c r="H3905" s="93" t="s">
        <v>1579</v>
      </c>
      <c r="I3905" s="93" t="s">
        <v>671</v>
      </c>
      <c r="J3905" s="93" t="s">
        <v>4504</v>
      </c>
      <c r="K3905" s="93" t="s">
        <v>4505</v>
      </c>
      <c r="L3905" s="93" t="s">
        <v>315</v>
      </c>
      <c r="M3905" s="1563" t="s">
        <v>4506</v>
      </c>
    </row>
    <row r="3906" outlineLevel="1" spans="2:13">
      <c r="B3906" s="421" t="s">
        <v>2336</v>
      </c>
      <c r="C3906" s="429" t="str">
        <f t="shared" si="292"/>
        <v>石嘴山市深阳蓝光市政工程有限公司</v>
      </c>
      <c r="D3906" s="423" t="s">
        <v>4500</v>
      </c>
      <c r="E3906" s="98"/>
      <c r="F3906" s="547"/>
      <c r="G3906" s="547"/>
      <c r="H3906" s="534">
        <f>ROUND(SUM(F3906-G3906),2)</f>
        <v>0</v>
      </c>
      <c r="I3906" s="547"/>
      <c r="J3906" s="547"/>
      <c r="K3906" s="547"/>
      <c r="L3906" s="534">
        <f>ROUND(H3906+I3906-J3906-K3906,2)</f>
        <v>0</v>
      </c>
      <c r="M3906" s="98"/>
    </row>
    <row r="3907" outlineLevel="1" spans="2:13">
      <c r="B3907" s="421" t="s">
        <v>2336</v>
      </c>
      <c r="C3907" s="429" t="str">
        <f t="shared" si="292"/>
        <v>石嘴山市深阳蓝光市政工程有限公司</v>
      </c>
      <c r="D3907" s="423" t="s">
        <v>4500</v>
      </c>
      <c r="E3907" s="98"/>
      <c r="F3907" s="547"/>
      <c r="G3907" s="547"/>
      <c r="H3907" s="534">
        <f t="shared" ref="H3907:H3915" si="293">ROUND(SUM(F3907-G3907),2)</f>
        <v>0</v>
      </c>
      <c r="I3907" s="547"/>
      <c r="J3907" s="547"/>
      <c r="K3907" s="547"/>
      <c r="L3907" s="534">
        <f t="shared" ref="L3907:L3915" si="294">ROUND(H3907+I3907-J3907-K3907,2)</f>
        <v>0</v>
      </c>
      <c r="M3907" s="98"/>
    </row>
    <row r="3908" outlineLevel="1" spans="2:13">
      <c r="B3908" s="421" t="s">
        <v>2336</v>
      </c>
      <c r="C3908" s="429" t="str">
        <f t="shared" si="292"/>
        <v>石嘴山市深阳蓝光市政工程有限公司</v>
      </c>
      <c r="D3908" s="423" t="s">
        <v>4500</v>
      </c>
      <c r="E3908" s="98"/>
      <c r="F3908" s="547"/>
      <c r="G3908" s="547"/>
      <c r="H3908" s="534">
        <f t="shared" si="293"/>
        <v>0</v>
      </c>
      <c r="I3908" s="547"/>
      <c r="J3908" s="547"/>
      <c r="K3908" s="547"/>
      <c r="L3908" s="534">
        <f t="shared" si="294"/>
        <v>0</v>
      </c>
      <c r="M3908" s="98"/>
    </row>
    <row r="3909" outlineLevel="1" spans="2:13">
      <c r="B3909" s="421" t="s">
        <v>2336</v>
      </c>
      <c r="C3909" s="429" t="str">
        <f t="shared" si="292"/>
        <v>石嘴山市深阳蓝光市政工程有限公司</v>
      </c>
      <c r="D3909" s="423" t="s">
        <v>4500</v>
      </c>
      <c r="E3909" s="98"/>
      <c r="F3909" s="547"/>
      <c r="G3909" s="547"/>
      <c r="H3909" s="534">
        <f t="shared" si="293"/>
        <v>0</v>
      </c>
      <c r="I3909" s="547"/>
      <c r="J3909" s="547"/>
      <c r="K3909" s="547"/>
      <c r="L3909" s="534">
        <f t="shared" si="294"/>
        <v>0</v>
      </c>
      <c r="M3909" s="98"/>
    </row>
    <row r="3910" outlineLevel="1" spans="2:13">
      <c r="B3910" s="421" t="s">
        <v>2336</v>
      </c>
      <c r="C3910" s="429" t="str">
        <f t="shared" si="292"/>
        <v>石嘴山市深阳蓝光市政工程有限公司</v>
      </c>
      <c r="D3910" s="423" t="s">
        <v>4500</v>
      </c>
      <c r="E3910" s="98"/>
      <c r="F3910" s="547"/>
      <c r="G3910" s="547"/>
      <c r="H3910" s="534">
        <f t="shared" si="293"/>
        <v>0</v>
      </c>
      <c r="I3910" s="547"/>
      <c r="J3910" s="547"/>
      <c r="K3910" s="547"/>
      <c r="L3910" s="534">
        <f t="shared" si="294"/>
        <v>0</v>
      </c>
      <c r="M3910" s="98"/>
    </row>
    <row r="3911" outlineLevel="1" spans="2:13">
      <c r="B3911" s="421" t="s">
        <v>2336</v>
      </c>
      <c r="C3911" s="429" t="str">
        <f t="shared" si="292"/>
        <v>石嘴山市深阳蓝光市政工程有限公司</v>
      </c>
      <c r="D3911" s="423" t="s">
        <v>4500</v>
      </c>
      <c r="E3911" s="98"/>
      <c r="F3911" s="547"/>
      <c r="G3911" s="547"/>
      <c r="H3911" s="534">
        <f t="shared" si="293"/>
        <v>0</v>
      </c>
      <c r="I3911" s="547"/>
      <c r="J3911" s="547"/>
      <c r="K3911" s="547"/>
      <c r="L3911" s="534">
        <f t="shared" si="294"/>
        <v>0</v>
      </c>
      <c r="M3911" s="98"/>
    </row>
    <row r="3912" outlineLevel="1" spans="2:13">
      <c r="B3912" s="421" t="s">
        <v>2336</v>
      </c>
      <c r="C3912" s="429" t="str">
        <f t="shared" si="292"/>
        <v>石嘴山市深阳蓝光市政工程有限公司</v>
      </c>
      <c r="D3912" s="423" t="s">
        <v>4500</v>
      </c>
      <c r="E3912" s="98"/>
      <c r="F3912" s="547"/>
      <c r="G3912" s="547"/>
      <c r="H3912" s="534">
        <f t="shared" si="293"/>
        <v>0</v>
      </c>
      <c r="I3912" s="547"/>
      <c r="J3912" s="547"/>
      <c r="K3912" s="547"/>
      <c r="L3912" s="534">
        <f t="shared" si="294"/>
        <v>0</v>
      </c>
      <c r="M3912" s="98"/>
    </row>
    <row r="3913" outlineLevel="1" spans="2:13">
      <c r="B3913" s="421" t="s">
        <v>2336</v>
      </c>
      <c r="C3913" s="429" t="str">
        <f t="shared" si="292"/>
        <v>石嘴山市深阳蓝光市政工程有限公司</v>
      </c>
      <c r="D3913" s="423" t="s">
        <v>4500</v>
      </c>
      <c r="E3913" s="98"/>
      <c r="F3913" s="547"/>
      <c r="G3913" s="547"/>
      <c r="H3913" s="534">
        <f t="shared" si="293"/>
        <v>0</v>
      </c>
      <c r="I3913" s="547"/>
      <c r="J3913" s="547"/>
      <c r="K3913" s="547"/>
      <c r="L3913" s="534">
        <f t="shared" si="294"/>
        <v>0</v>
      </c>
      <c r="M3913" s="98"/>
    </row>
    <row r="3914" outlineLevel="1" spans="2:13">
      <c r="B3914" s="421" t="s">
        <v>2336</v>
      </c>
      <c r="C3914" s="429" t="str">
        <f t="shared" si="292"/>
        <v>石嘴山市深阳蓝光市政工程有限公司</v>
      </c>
      <c r="D3914" s="423" t="s">
        <v>4500</v>
      </c>
      <c r="E3914" s="98"/>
      <c r="F3914" s="547"/>
      <c r="G3914" s="547"/>
      <c r="H3914" s="534">
        <f t="shared" si="293"/>
        <v>0</v>
      </c>
      <c r="I3914" s="547"/>
      <c r="J3914" s="547"/>
      <c r="K3914" s="547"/>
      <c r="L3914" s="534">
        <f t="shared" si="294"/>
        <v>0</v>
      </c>
      <c r="M3914" s="98"/>
    </row>
    <row r="3915" outlineLevel="1" spans="2:13">
      <c r="B3915" s="421" t="s">
        <v>2336</v>
      </c>
      <c r="C3915" s="429" t="str">
        <f t="shared" si="292"/>
        <v>石嘴山市深阳蓝光市政工程有限公司</v>
      </c>
      <c r="D3915" s="423" t="s">
        <v>4500</v>
      </c>
      <c r="E3915" s="98"/>
      <c r="F3915" s="547"/>
      <c r="G3915" s="547"/>
      <c r="H3915" s="534">
        <f t="shared" si="293"/>
        <v>0</v>
      </c>
      <c r="I3915" s="547"/>
      <c r="J3915" s="547"/>
      <c r="K3915" s="547"/>
      <c r="L3915" s="534">
        <f t="shared" si="294"/>
        <v>0</v>
      </c>
      <c r="M3915" s="98"/>
    </row>
    <row r="3916" outlineLevel="1" spans="2:13">
      <c r="B3916" s="421" t="s">
        <v>2336</v>
      </c>
      <c r="C3916" s="429" t="str">
        <f t="shared" si="292"/>
        <v>石嘴山市深阳蓝光市政工程有限公司</v>
      </c>
      <c r="D3916" s="423" t="s">
        <v>4500</v>
      </c>
      <c r="E3916" s="93" t="s">
        <v>1580</v>
      </c>
      <c r="F3916" s="534">
        <f t="shared" ref="F3916:L3916" si="295">ROUND(SUM(F3906:F3915),2)</f>
        <v>0</v>
      </c>
      <c r="G3916" s="534">
        <f t="shared" si="295"/>
        <v>0</v>
      </c>
      <c r="H3916" s="534">
        <f t="shared" si="295"/>
        <v>0</v>
      </c>
      <c r="I3916" s="534">
        <f t="shared" si="295"/>
        <v>0</v>
      </c>
      <c r="J3916" s="534">
        <f t="shared" si="295"/>
        <v>0</v>
      </c>
      <c r="K3916" s="534">
        <f t="shared" si="295"/>
        <v>0</v>
      </c>
      <c r="L3916" s="534">
        <f t="shared" si="295"/>
        <v>0</v>
      </c>
      <c r="M3916" s="99"/>
    </row>
    <row r="3917" outlineLevel="1" spans="2:12">
      <c r="B3917" s="421" t="s">
        <v>2336</v>
      </c>
      <c r="C3917" s="429" t="str">
        <f t="shared" si="292"/>
        <v>石嘴山市深阳蓝光市政工程有限公司</v>
      </c>
      <c r="D3917" s="423" t="s">
        <v>4500</v>
      </c>
      <c r="E3917" s="1322" t="s">
        <v>1444</v>
      </c>
      <c r="H3917" s="1394">
        <f>审定资负表!H30</f>
        <v>0</v>
      </c>
      <c r="J3917" s="1567">
        <f>F2920</f>
        <v>0</v>
      </c>
      <c r="L3917" s="1394">
        <f>审定资负表!G30</f>
        <v>0</v>
      </c>
    </row>
    <row r="3918" outlineLevel="1" spans="2:12">
      <c r="B3918" s="421" t="s">
        <v>2336</v>
      </c>
      <c r="C3918" s="429" t="str">
        <f t="shared" si="292"/>
        <v>石嘴山市深阳蓝光市政工程有限公司</v>
      </c>
      <c r="D3918" s="423" t="s">
        <v>4500</v>
      </c>
      <c r="E3918" s="1322" t="s">
        <v>1394</v>
      </c>
      <c r="H3918" s="721">
        <f>ROUND(H3916-H3917,2)</f>
        <v>0</v>
      </c>
      <c r="J3918" s="721">
        <f>IF(ROUND(J3916-J3917,2)&gt;0,J3916-J3917,0)</f>
        <v>0</v>
      </c>
      <c r="L3918" s="721">
        <f>ROUND(L3916-L3917,2)</f>
        <v>0</v>
      </c>
    </row>
    <row r="3919" outlineLevel="1" spans="2:5">
      <c r="B3919" s="421" t="s">
        <v>4507</v>
      </c>
      <c r="C3919" s="429" t="str">
        <f t="shared" si="292"/>
        <v>石嘴山市深阳蓝光市政工程有限公司</v>
      </c>
      <c r="D3919" s="423" t="s">
        <v>4500</v>
      </c>
      <c r="E3919" s="85" t="s">
        <v>4508</v>
      </c>
    </row>
    <row r="3920" outlineLevel="1" spans="2:13">
      <c r="B3920" s="421" t="s">
        <v>4507</v>
      </c>
      <c r="C3920" s="429" t="str">
        <f t="shared" si="292"/>
        <v>石嘴山市深阳蓝光市政工程有限公司</v>
      </c>
      <c r="D3920" s="423" t="s">
        <v>4500</v>
      </c>
      <c r="E3920" s="2549" t="s">
        <v>4509</v>
      </c>
      <c r="F3920" s="1545"/>
      <c r="G3920" s="1546"/>
      <c r="H3920" s="1546"/>
      <c r="I3920" s="1546"/>
      <c r="J3920" s="1546"/>
      <c r="K3920" s="1546"/>
      <c r="L3920" s="1546"/>
      <c r="M3920" s="1546"/>
    </row>
    <row r="3921" outlineLevel="1" spans="2:13">
      <c r="B3921" s="421" t="s">
        <v>4507</v>
      </c>
      <c r="C3921" s="429" t="str">
        <f t="shared" si="292"/>
        <v>石嘴山市深阳蓝光市政工程有限公司</v>
      </c>
      <c r="D3921" s="423" t="s">
        <v>4500</v>
      </c>
      <c r="E3921" s="2549" t="s">
        <v>4510</v>
      </c>
      <c r="F3921" s="1545"/>
      <c r="G3921" s="1546"/>
      <c r="H3921" s="1546"/>
      <c r="I3921" s="1546"/>
      <c r="J3921" s="1546"/>
      <c r="K3921" s="1546"/>
      <c r="L3921" s="1546"/>
      <c r="M3921" s="1546"/>
    </row>
    <row r="3922" outlineLevel="1" spans="2:13">
      <c r="B3922" s="421" t="s">
        <v>4507</v>
      </c>
      <c r="C3922" s="429" t="str">
        <f t="shared" si="292"/>
        <v>石嘴山市深阳蓝光市政工程有限公司</v>
      </c>
      <c r="D3922" s="423" t="s">
        <v>4500</v>
      </c>
      <c r="E3922" s="2549" t="s">
        <v>4511</v>
      </c>
      <c r="F3922" s="1545"/>
      <c r="G3922" s="1546"/>
      <c r="H3922" s="1546"/>
      <c r="I3922" s="1546"/>
      <c r="J3922" s="1546"/>
      <c r="K3922" s="1546"/>
      <c r="L3922" s="1546"/>
      <c r="M3922" s="1546"/>
    </row>
    <row r="3923" outlineLevel="1" spans="2:13">
      <c r="B3923" s="421" t="s">
        <v>4507</v>
      </c>
      <c r="C3923" s="429" t="str">
        <f t="shared" si="292"/>
        <v>石嘴山市深阳蓝光市政工程有限公司</v>
      </c>
      <c r="D3923" s="423" t="s">
        <v>4500</v>
      </c>
      <c r="E3923" s="2549" t="s">
        <v>4512</v>
      </c>
      <c r="F3923" s="1545"/>
      <c r="G3923" s="1546"/>
      <c r="H3923" s="1546"/>
      <c r="I3923" s="1546"/>
      <c r="J3923" s="1546"/>
      <c r="K3923" s="1546"/>
      <c r="L3923" s="1546"/>
      <c r="M3923" s="1546"/>
    </row>
    <row r="3924" outlineLevel="1" spans="2:13">
      <c r="B3924" s="421" t="s">
        <v>4507</v>
      </c>
      <c r="C3924" s="429" t="str">
        <f t="shared" si="292"/>
        <v>石嘴山市深阳蓝光市政工程有限公司</v>
      </c>
      <c r="D3924" s="423" t="s">
        <v>4500</v>
      </c>
      <c r="E3924" s="2549" t="s">
        <v>4513</v>
      </c>
      <c r="F3924" s="1545"/>
      <c r="G3924" s="1546"/>
      <c r="H3924" s="1546"/>
      <c r="I3924" s="1546"/>
      <c r="J3924" s="1546"/>
      <c r="K3924" s="1546"/>
      <c r="L3924" s="1546"/>
      <c r="M3924" s="1546"/>
    </row>
    <row r="3925" outlineLevel="1" spans="2:13">
      <c r="B3925" s="421" t="s">
        <v>4507</v>
      </c>
      <c r="C3925" s="429" t="str">
        <f t="shared" si="292"/>
        <v>石嘴山市深阳蓝光市政工程有限公司</v>
      </c>
      <c r="D3925" s="423" t="s">
        <v>4500</v>
      </c>
      <c r="E3925" s="2549" t="s">
        <v>4514</v>
      </c>
      <c r="F3925" s="1545"/>
      <c r="G3925" s="1546"/>
      <c r="H3925" s="1546"/>
      <c r="I3925" s="1546"/>
      <c r="J3925" s="1546"/>
      <c r="K3925" s="1546"/>
      <c r="L3925" s="1546"/>
      <c r="M3925" s="1546"/>
    </row>
    <row r="3926" outlineLevel="1" spans="2:13">
      <c r="B3926" s="421" t="s">
        <v>4507</v>
      </c>
      <c r="C3926" s="429" t="str">
        <f t="shared" si="292"/>
        <v>石嘴山市深阳蓝光市政工程有限公司</v>
      </c>
      <c r="D3926" s="423" t="s">
        <v>4500</v>
      </c>
      <c r="E3926" s="2549" t="s">
        <v>4515</v>
      </c>
      <c r="F3926" s="1545"/>
      <c r="G3926" s="1546"/>
      <c r="H3926" s="1546"/>
      <c r="I3926" s="1546"/>
      <c r="J3926" s="1546"/>
      <c r="K3926" s="1546"/>
      <c r="L3926" s="1546"/>
      <c r="M3926" s="1546"/>
    </row>
    <row r="3927" outlineLevel="1" spans="2:13">
      <c r="B3927" s="421" t="s">
        <v>4507</v>
      </c>
      <c r="C3927" s="429" t="str">
        <f t="shared" si="292"/>
        <v>石嘴山市深阳蓝光市政工程有限公司</v>
      </c>
      <c r="D3927" s="423" t="s">
        <v>4500</v>
      </c>
      <c r="E3927" s="2549" t="s">
        <v>4516</v>
      </c>
      <c r="F3927" s="1545"/>
      <c r="G3927" s="1546"/>
      <c r="H3927" s="1546"/>
      <c r="I3927" s="1546"/>
      <c r="J3927" s="1546"/>
      <c r="K3927" s="1546"/>
      <c r="L3927" s="1546"/>
      <c r="M3927" s="1546"/>
    </row>
    <row r="3928" outlineLevel="1" spans="2:13">
      <c r="B3928" s="421" t="s">
        <v>4507</v>
      </c>
      <c r="C3928" s="429" t="str">
        <f t="shared" si="292"/>
        <v>石嘴山市深阳蓝光市政工程有限公司</v>
      </c>
      <c r="D3928" s="423" t="s">
        <v>4500</v>
      </c>
      <c r="E3928" s="2549" t="s">
        <v>4517</v>
      </c>
      <c r="F3928" s="1545"/>
      <c r="G3928" s="1546"/>
      <c r="H3928" s="1546"/>
      <c r="I3928" s="1546"/>
      <c r="J3928" s="1546"/>
      <c r="K3928" s="1546"/>
      <c r="L3928" s="1546"/>
      <c r="M3928" s="1546"/>
    </row>
    <row r="3929" outlineLevel="1" spans="2:13">
      <c r="B3929" s="421" t="s">
        <v>4507</v>
      </c>
      <c r="C3929" s="429" t="str">
        <f t="shared" si="292"/>
        <v>石嘴山市深阳蓝光市政工程有限公司</v>
      </c>
      <c r="D3929" s="423" t="s">
        <v>4500</v>
      </c>
      <c r="E3929" s="2549" t="s">
        <v>4518</v>
      </c>
      <c r="F3929" s="1545"/>
      <c r="G3929" s="1546"/>
      <c r="H3929" s="1546"/>
      <c r="I3929" s="1546"/>
      <c r="J3929" s="1546"/>
      <c r="K3929" s="1546"/>
      <c r="L3929" s="1546"/>
      <c r="M3929" s="1546"/>
    </row>
    <row r="3930" outlineLevel="1" spans="3:3">
      <c r="C3930" s="1547"/>
    </row>
    <row r="3932" spans="5:5">
      <c r="E3932" s="65" t="s">
        <v>2678</v>
      </c>
    </row>
    <row r="3933" spans="5:5">
      <c r="E3933" s="65" t="s">
        <v>4519</v>
      </c>
    </row>
    <row r="3934" customHeight="1" spans="5:12">
      <c r="E3934" s="1548" t="s">
        <v>668</v>
      </c>
      <c r="F3934" s="1548" t="s">
        <v>4520</v>
      </c>
      <c r="G3934" s="1548" t="s">
        <v>698</v>
      </c>
      <c r="H3934" s="1548" t="s">
        <v>699</v>
      </c>
      <c r="I3934" s="1568" t="s">
        <v>4521</v>
      </c>
      <c r="J3934" s="1569"/>
      <c r="K3934" s="1570" t="s">
        <v>4522</v>
      </c>
      <c r="L3934" s="1570" t="s">
        <v>4523</v>
      </c>
    </row>
    <row r="3935" spans="5:12">
      <c r="E3935" s="1549"/>
      <c r="F3935" s="1549"/>
      <c r="G3935" s="1549"/>
      <c r="H3935" s="1549"/>
      <c r="I3935" s="741" t="s">
        <v>4524</v>
      </c>
      <c r="J3935" s="741" t="s">
        <v>4525</v>
      </c>
      <c r="K3935" s="1571"/>
      <c r="L3935" s="1571"/>
    </row>
    <row r="3936" spans="5:12">
      <c r="E3936" s="1550" t="s">
        <v>3833</v>
      </c>
      <c r="F3936" s="661"/>
      <c r="G3936" s="661"/>
      <c r="H3936" s="661"/>
      <c r="I3936" s="661"/>
      <c r="J3936" s="661"/>
      <c r="K3936" s="661"/>
      <c r="L3936" s="661"/>
    </row>
    <row r="3937" hidden="1" spans="5:12">
      <c r="E3937" s="1551"/>
      <c r="F3937" s="1552"/>
      <c r="G3937" s="1553"/>
      <c r="H3937" s="1554"/>
      <c r="I3937" s="1553"/>
      <c r="J3937" s="1553"/>
      <c r="K3937" s="1553"/>
      <c r="L3937" s="1553"/>
    </row>
    <row r="3938" hidden="1" spans="5:12">
      <c r="E3938" s="1555"/>
      <c r="F3938" s="1552"/>
      <c r="G3938" s="1553"/>
      <c r="H3938" s="1554"/>
      <c r="I3938" s="1553"/>
      <c r="J3938" s="1553"/>
      <c r="K3938" s="1553"/>
      <c r="L3938" s="1553"/>
    </row>
    <row r="3939" hidden="1" spans="5:12">
      <c r="E3939" s="1555"/>
      <c r="F3939" s="1552"/>
      <c r="G3939" s="1553"/>
      <c r="H3939" s="1554"/>
      <c r="I3939" s="1553"/>
      <c r="J3939" s="1553"/>
      <c r="K3939" s="1553"/>
      <c r="L3939" s="1553"/>
    </row>
    <row r="3940" hidden="1" spans="5:12">
      <c r="E3940" s="1551"/>
      <c r="F3940" s="1552"/>
      <c r="G3940" s="1553"/>
      <c r="H3940" s="1554"/>
      <c r="I3940" s="1553"/>
      <c r="J3940" s="1553"/>
      <c r="K3940" s="1553"/>
      <c r="L3940" s="1553"/>
    </row>
    <row r="3941" hidden="1" spans="5:12">
      <c r="E3941" s="1551"/>
      <c r="F3941" s="1552"/>
      <c r="G3941" s="1553"/>
      <c r="H3941" s="1554"/>
      <c r="I3941" s="1553"/>
      <c r="J3941" s="1553"/>
      <c r="K3941" s="1553"/>
      <c r="L3941" s="1553"/>
    </row>
    <row r="3942" hidden="1" spans="5:12">
      <c r="E3942" s="1551"/>
      <c r="F3942" s="1552"/>
      <c r="G3942" s="1553"/>
      <c r="H3942" s="1554"/>
      <c r="I3942" s="1553"/>
      <c r="J3942" s="1553"/>
      <c r="K3942" s="1553"/>
      <c r="L3942" s="1553"/>
    </row>
    <row r="3943" hidden="1" spans="5:12">
      <c r="E3943" s="1555"/>
      <c r="F3943" s="1552"/>
      <c r="G3943" s="1552"/>
      <c r="H3943" s="1554"/>
      <c r="I3943" s="1553"/>
      <c r="J3943" s="1553"/>
      <c r="K3943" s="1553"/>
      <c r="L3943" s="1553"/>
    </row>
    <row r="3944" spans="5:12">
      <c r="E3944" s="661" t="s">
        <v>3838</v>
      </c>
      <c r="F3944" s="661"/>
      <c r="G3944" s="661"/>
      <c r="H3944" s="661"/>
      <c r="I3944" s="661"/>
      <c r="J3944" s="661"/>
      <c r="K3944" s="661"/>
      <c r="L3944" s="661"/>
    </row>
    <row r="3945" spans="5:12">
      <c r="E3945" s="1551"/>
      <c r="F3945" s="1552"/>
      <c r="G3945" s="1553"/>
      <c r="H3945" s="1554"/>
      <c r="I3945" s="1553"/>
      <c r="J3945" s="1553"/>
      <c r="K3945" s="1553"/>
      <c r="L3945" s="1553"/>
    </row>
    <row r="3946" spans="5:12">
      <c r="E3946" s="1555"/>
      <c r="F3946" s="1552"/>
      <c r="G3946" s="1553"/>
      <c r="H3946" s="1554"/>
      <c r="I3946" s="1553"/>
      <c r="J3946" s="1553"/>
      <c r="K3946" s="1553"/>
      <c r="L3946" s="1553"/>
    </row>
    <row r="3947" spans="5:12">
      <c r="E3947" s="1555"/>
      <c r="F3947" s="1556"/>
      <c r="G3947" s="1556"/>
      <c r="H3947" s="1557"/>
      <c r="I3947" s="1572"/>
      <c r="J3947" s="1572"/>
      <c r="K3947" s="1572"/>
      <c r="L3947" s="1572"/>
    </row>
    <row r="3948" spans="5:12">
      <c r="E3948" s="1551"/>
      <c r="F3948" s="1556"/>
      <c r="G3948" s="1556"/>
      <c r="H3948" s="1557"/>
      <c r="I3948" s="1572"/>
      <c r="J3948" s="1572"/>
      <c r="K3948" s="1572"/>
      <c r="L3948" s="1572"/>
    </row>
    <row r="3949" spans="5:12">
      <c r="E3949" s="1551"/>
      <c r="F3949" s="1556"/>
      <c r="G3949" s="1556"/>
      <c r="H3949" s="1557"/>
      <c r="I3949" s="1572"/>
      <c r="J3949" s="1572"/>
      <c r="K3949" s="1572"/>
      <c r="L3949" s="1572"/>
    </row>
    <row r="3950" spans="5:12">
      <c r="E3950" s="1551"/>
      <c r="F3950" s="1556"/>
      <c r="G3950" s="1556"/>
      <c r="H3950" s="1557"/>
      <c r="I3950" s="1572"/>
      <c r="J3950" s="1572"/>
      <c r="K3950" s="1572"/>
      <c r="L3950" s="1572"/>
    </row>
    <row r="3951" spans="5:12">
      <c r="E3951" s="1555"/>
      <c r="F3951" s="1556"/>
      <c r="G3951" s="1556"/>
      <c r="H3951" s="1557"/>
      <c r="I3951" s="1572"/>
      <c r="J3951" s="1572"/>
      <c r="K3951" s="1572"/>
      <c r="L3951" s="1572"/>
    </row>
    <row r="3952" spans="5:13">
      <c r="E3952" s="1544" t="s">
        <v>4526</v>
      </c>
      <c r="F3952" s="1544"/>
      <c r="G3952" s="1544"/>
      <c r="H3952" s="1544"/>
      <c r="I3952" s="1544"/>
      <c r="J3952" s="1544"/>
      <c r="K3952" s="1544"/>
      <c r="M3952" s="1544"/>
    </row>
    <row r="3953" spans="5:12">
      <c r="E3953" s="93" t="s">
        <v>60</v>
      </c>
      <c r="F3953" s="1558" t="s">
        <v>4527</v>
      </c>
      <c r="G3953" s="1559"/>
      <c r="H3953" s="1559"/>
      <c r="I3953" s="1559"/>
      <c r="J3953" s="1559"/>
      <c r="K3953" s="1559"/>
      <c r="L3953" s="1559"/>
    </row>
    <row r="3954" spans="5:12">
      <c r="E3954" s="1560" t="s">
        <v>705</v>
      </c>
      <c r="F3954" s="1561">
        <f>E3937</f>
        <v>0</v>
      </c>
      <c r="G3954" s="1562">
        <f>E3938</f>
        <v>0</v>
      </c>
      <c r="H3954" s="1562">
        <f>E3939</f>
        <v>0</v>
      </c>
      <c r="I3954" s="1562">
        <f>E3940</f>
        <v>0</v>
      </c>
      <c r="J3954" s="1562">
        <f>E3941</f>
        <v>0</v>
      </c>
      <c r="K3954" s="1562">
        <f>E3942</f>
        <v>0</v>
      </c>
      <c r="L3954" s="1562">
        <f>E3943</f>
        <v>0</v>
      </c>
    </row>
    <row r="3955" hidden="1" spans="5:12">
      <c r="E3955" s="1563" t="s">
        <v>4528</v>
      </c>
      <c r="F3955" s="496"/>
      <c r="G3955" s="496"/>
      <c r="H3955" s="496"/>
      <c r="I3955" s="496"/>
      <c r="J3955" s="496"/>
      <c r="K3955" s="496"/>
      <c r="L3955" s="496"/>
    </row>
    <row r="3956" hidden="1" spans="5:12">
      <c r="E3956" s="1563" t="s">
        <v>4529</v>
      </c>
      <c r="F3956" s="496"/>
      <c r="G3956" s="496"/>
      <c r="H3956" s="496"/>
      <c r="I3956" s="496"/>
      <c r="J3956" s="496"/>
      <c r="K3956" s="496"/>
      <c r="L3956" s="496"/>
    </row>
    <row r="3957" hidden="1" spans="5:12">
      <c r="E3957" s="1563" t="s">
        <v>4530</v>
      </c>
      <c r="F3957" s="661">
        <f t="shared" ref="F3957:L3957" si="296">ROUND(SUM(F3955:F3956),2)</f>
        <v>0</v>
      </c>
      <c r="G3957" s="661">
        <f t="shared" si="296"/>
        <v>0</v>
      </c>
      <c r="H3957" s="661">
        <f t="shared" si="296"/>
        <v>0</v>
      </c>
      <c r="I3957" s="661">
        <f t="shared" si="296"/>
        <v>0</v>
      </c>
      <c r="J3957" s="661">
        <f t="shared" si="296"/>
        <v>0</v>
      </c>
      <c r="K3957" s="661">
        <f t="shared" si="296"/>
        <v>0</v>
      </c>
      <c r="L3957" s="661">
        <f t="shared" si="296"/>
        <v>0</v>
      </c>
    </row>
    <row r="3958" hidden="1" spans="5:12">
      <c r="E3958" s="1563" t="s">
        <v>4531</v>
      </c>
      <c r="F3958" s="496"/>
      <c r="G3958" s="496"/>
      <c r="H3958" s="496"/>
      <c r="I3958" s="496"/>
      <c r="J3958" s="496"/>
      <c r="K3958" s="496"/>
      <c r="L3958" s="496"/>
    </row>
    <row r="3959" hidden="1" spans="5:12">
      <c r="E3959" s="1563" t="s">
        <v>4532</v>
      </c>
      <c r="F3959" s="496"/>
      <c r="G3959" s="496"/>
      <c r="H3959" s="496"/>
      <c r="I3959" s="496"/>
      <c r="J3959" s="496"/>
      <c r="K3959" s="496"/>
      <c r="L3959" s="496"/>
    </row>
    <row r="3960" hidden="1" spans="5:12">
      <c r="E3960" s="1563" t="s">
        <v>245</v>
      </c>
      <c r="F3960" s="661">
        <f t="shared" ref="F3960:L3960" si="297">ROUND(SUM(F3958:F3959),2)</f>
        <v>0</v>
      </c>
      <c r="G3960" s="661">
        <f t="shared" si="297"/>
        <v>0</v>
      </c>
      <c r="H3960" s="661">
        <f t="shared" si="297"/>
        <v>0</v>
      </c>
      <c r="I3960" s="661">
        <f t="shared" si="297"/>
        <v>0</v>
      </c>
      <c r="J3960" s="661">
        <f t="shared" si="297"/>
        <v>0</v>
      </c>
      <c r="K3960" s="661">
        <f t="shared" si="297"/>
        <v>0</v>
      </c>
      <c r="L3960" s="661">
        <f t="shared" si="297"/>
        <v>0</v>
      </c>
    </row>
    <row r="3961" hidden="1" spans="5:12">
      <c r="E3961" s="1563" t="s">
        <v>4533</v>
      </c>
      <c r="F3961" s="661">
        <f t="shared" ref="F3961:L3961" si="298">ROUND(F3957-F3960,2)</f>
        <v>0</v>
      </c>
      <c r="G3961" s="661">
        <f t="shared" si="298"/>
        <v>0</v>
      </c>
      <c r="H3961" s="661">
        <f t="shared" si="298"/>
        <v>0</v>
      </c>
      <c r="I3961" s="661">
        <f t="shared" si="298"/>
        <v>0</v>
      </c>
      <c r="J3961" s="661">
        <f t="shared" si="298"/>
        <v>0</v>
      </c>
      <c r="K3961" s="661">
        <f t="shared" si="298"/>
        <v>0</v>
      </c>
      <c r="L3961" s="661">
        <f t="shared" si="298"/>
        <v>0</v>
      </c>
    </row>
    <row r="3962" hidden="1" spans="5:12">
      <c r="E3962" s="1563" t="s">
        <v>4534</v>
      </c>
      <c r="F3962" s="1564"/>
      <c r="G3962" s="1564"/>
      <c r="H3962" s="1564"/>
      <c r="I3962" s="1564"/>
      <c r="J3962" s="1564"/>
      <c r="K3962" s="1564"/>
      <c r="L3962" s="1564"/>
    </row>
    <row r="3963" hidden="1" spans="5:12">
      <c r="E3963" s="1565" t="s">
        <v>4535</v>
      </c>
      <c r="F3963" s="1566">
        <f t="shared" ref="F3963:L3963" si="299">F3964-F3962</f>
        <v>0</v>
      </c>
      <c r="G3963" s="1566">
        <f t="shared" si="299"/>
        <v>0</v>
      </c>
      <c r="H3963" s="1566">
        <f t="shared" si="299"/>
        <v>0</v>
      </c>
      <c r="I3963" s="1566">
        <f t="shared" si="299"/>
        <v>0</v>
      </c>
      <c r="J3963" s="1566">
        <f t="shared" si="299"/>
        <v>0</v>
      </c>
      <c r="K3963" s="1566">
        <f t="shared" si="299"/>
        <v>0</v>
      </c>
      <c r="L3963" s="1566">
        <f t="shared" si="299"/>
        <v>0</v>
      </c>
    </row>
    <row r="3964" hidden="1" spans="5:12">
      <c r="E3964" s="1563" t="s">
        <v>4536</v>
      </c>
      <c r="F3964" s="496"/>
      <c r="G3964" s="496"/>
      <c r="H3964" s="496"/>
      <c r="I3964" s="496"/>
      <c r="J3964" s="496"/>
      <c r="K3964" s="496"/>
      <c r="L3964" s="496"/>
    </row>
    <row r="3965" hidden="1" spans="5:12">
      <c r="E3965" s="1563" t="s">
        <v>4537</v>
      </c>
      <c r="F3965" s="496"/>
      <c r="G3965" s="496"/>
      <c r="H3965" s="496"/>
      <c r="I3965" s="496"/>
      <c r="J3965" s="496"/>
      <c r="K3965" s="496"/>
      <c r="L3965" s="496"/>
    </row>
    <row r="3966" hidden="1" spans="5:12">
      <c r="E3966" s="1563" t="s">
        <v>1403</v>
      </c>
      <c r="F3966" s="496"/>
      <c r="G3966" s="496"/>
      <c r="H3966" s="496"/>
      <c r="I3966" s="496"/>
      <c r="J3966" s="496"/>
      <c r="K3966" s="496"/>
      <c r="L3966" s="496"/>
    </row>
    <row r="3967" hidden="1" spans="5:12">
      <c r="E3967" s="1563" t="s">
        <v>109</v>
      </c>
      <c r="F3967" s="496"/>
      <c r="G3967" s="496"/>
      <c r="H3967" s="496"/>
      <c r="I3967" s="496"/>
      <c r="J3967" s="496"/>
      <c r="K3967" s="496"/>
      <c r="L3967" s="496"/>
    </row>
    <row r="3968" hidden="1" spans="5:12">
      <c r="E3968" s="1563" t="s">
        <v>259</v>
      </c>
      <c r="F3968" s="496"/>
      <c r="G3968" s="496"/>
      <c r="H3968" s="496"/>
      <c r="I3968" s="496"/>
      <c r="J3968" s="496"/>
      <c r="K3968" s="496"/>
      <c r="L3968" s="496"/>
    </row>
    <row r="3969" hidden="1" spans="5:12">
      <c r="E3969" s="1563" t="s">
        <v>4538</v>
      </c>
      <c r="F3969" s="661">
        <f t="shared" ref="F3969:L3969" si="300">F3967+F3968</f>
        <v>0</v>
      </c>
      <c r="G3969" s="661">
        <f t="shared" si="300"/>
        <v>0</v>
      </c>
      <c r="H3969" s="661">
        <f t="shared" si="300"/>
        <v>0</v>
      </c>
      <c r="I3969" s="661">
        <f t="shared" si="300"/>
        <v>0</v>
      </c>
      <c r="J3969" s="661">
        <f t="shared" si="300"/>
        <v>0</v>
      </c>
      <c r="K3969" s="661">
        <f t="shared" si="300"/>
        <v>0</v>
      </c>
      <c r="L3969" s="661">
        <f t="shared" si="300"/>
        <v>0</v>
      </c>
    </row>
    <row r="3970" hidden="1" spans="5:12">
      <c r="E3970" s="1563" t="s">
        <v>4539</v>
      </c>
      <c r="F3970" s="496"/>
      <c r="G3970" s="496"/>
      <c r="H3970" s="496"/>
      <c r="I3970" s="496"/>
      <c r="J3970" s="496"/>
      <c r="K3970" s="496"/>
      <c r="L3970" s="496"/>
    </row>
    <row r="3971" hidden="1" spans="5:5">
      <c r="E3971" s="89" t="s">
        <v>4540</v>
      </c>
    </row>
    <row r="3972" ht="14.25" hidden="1" customHeight="1" spans="5:12">
      <c r="E3972" s="93" t="s">
        <v>60</v>
      </c>
      <c r="F3972" s="1558" t="s">
        <v>4541</v>
      </c>
      <c r="G3972" s="1559"/>
      <c r="H3972" s="1559"/>
      <c r="I3972" s="1559"/>
      <c r="J3972" s="1559"/>
      <c r="K3972" s="1559"/>
      <c r="L3972" s="1559"/>
    </row>
    <row r="3973" hidden="1" spans="5:12">
      <c r="E3973" s="1563" t="s">
        <v>705</v>
      </c>
      <c r="F3973" s="1561">
        <f t="shared" ref="F3973:L3973" si="301">F3954</f>
        <v>0</v>
      </c>
      <c r="G3973" s="1561">
        <f t="shared" si="301"/>
        <v>0</v>
      </c>
      <c r="H3973" s="1561">
        <f t="shared" si="301"/>
        <v>0</v>
      </c>
      <c r="I3973" s="1561">
        <f t="shared" si="301"/>
        <v>0</v>
      </c>
      <c r="J3973" s="1561">
        <f t="shared" si="301"/>
        <v>0</v>
      </c>
      <c r="K3973" s="1561">
        <f t="shared" si="301"/>
        <v>0</v>
      </c>
      <c r="L3973" s="1561">
        <f t="shared" si="301"/>
        <v>0</v>
      </c>
    </row>
    <row r="3974" hidden="1" spans="5:12">
      <c r="E3974" s="1563" t="s">
        <v>4528</v>
      </c>
      <c r="F3974" s="496"/>
      <c r="G3974" s="496"/>
      <c r="H3974" s="496"/>
      <c r="I3974" s="496"/>
      <c r="J3974" s="496"/>
      <c r="K3974" s="496"/>
      <c r="L3974" s="496"/>
    </row>
    <row r="3975" hidden="1" spans="5:12">
      <c r="E3975" s="1563" t="s">
        <v>4529</v>
      </c>
      <c r="F3975" s="496"/>
      <c r="G3975" s="496"/>
      <c r="H3975" s="496"/>
      <c r="I3975" s="496"/>
      <c r="J3975" s="496"/>
      <c r="K3975" s="496"/>
      <c r="L3975" s="496"/>
    </row>
    <row r="3976" hidden="1" spans="5:12">
      <c r="E3976" s="1563" t="s">
        <v>4530</v>
      </c>
      <c r="F3976" s="661">
        <f t="shared" ref="F3976:L3976" si="302">ROUND(SUM(F3974:F3975),2)</f>
        <v>0</v>
      </c>
      <c r="G3976" s="661">
        <f t="shared" si="302"/>
        <v>0</v>
      </c>
      <c r="H3976" s="661">
        <f t="shared" si="302"/>
        <v>0</v>
      </c>
      <c r="I3976" s="661">
        <f t="shared" si="302"/>
        <v>0</v>
      </c>
      <c r="J3976" s="661">
        <f t="shared" si="302"/>
        <v>0</v>
      </c>
      <c r="K3976" s="661">
        <f t="shared" si="302"/>
        <v>0</v>
      </c>
      <c r="L3976" s="661">
        <f t="shared" si="302"/>
        <v>0</v>
      </c>
    </row>
    <row r="3977" hidden="1" spans="5:12">
      <c r="E3977" s="1563" t="s">
        <v>4531</v>
      </c>
      <c r="F3977" s="496"/>
      <c r="G3977" s="496"/>
      <c r="H3977" s="496"/>
      <c r="I3977" s="496"/>
      <c r="J3977" s="496"/>
      <c r="K3977" s="496"/>
      <c r="L3977" s="496"/>
    </row>
    <row r="3978" hidden="1" spans="5:12">
      <c r="E3978" s="1563" t="s">
        <v>4532</v>
      </c>
      <c r="F3978" s="496"/>
      <c r="G3978" s="496"/>
      <c r="H3978" s="496"/>
      <c r="I3978" s="496"/>
      <c r="J3978" s="496"/>
      <c r="K3978" s="496"/>
      <c r="L3978" s="496"/>
    </row>
    <row r="3979" hidden="1" spans="5:12">
      <c r="E3979" s="1563" t="s">
        <v>245</v>
      </c>
      <c r="F3979" s="661">
        <f t="shared" ref="F3979:L3979" si="303">ROUND(SUM(F3977:F3978),2)</f>
        <v>0</v>
      </c>
      <c r="G3979" s="661">
        <f t="shared" si="303"/>
        <v>0</v>
      </c>
      <c r="H3979" s="661">
        <f t="shared" si="303"/>
        <v>0</v>
      </c>
      <c r="I3979" s="661">
        <f t="shared" si="303"/>
        <v>0</v>
      </c>
      <c r="J3979" s="661">
        <f t="shared" si="303"/>
        <v>0</v>
      </c>
      <c r="K3979" s="661">
        <f t="shared" si="303"/>
        <v>0</v>
      </c>
      <c r="L3979" s="661">
        <f t="shared" si="303"/>
        <v>0</v>
      </c>
    </row>
    <row r="3980" hidden="1" spans="5:12">
      <c r="E3980" s="1563" t="s">
        <v>4533</v>
      </c>
      <c r="F3980" s="661">
        <f t="shared" ref="F3980:L3980" si="304">ROUND(F3976-F3979,2)</f>
        <v>0</v>
      </c>
      <c r="G3980" s="661">
        <f t="shared" si="304"/>
        <v>0</v>
      </c>
      <c r="H3980" s="661">
        <f t="shared" si="304"/>
        <v>0</v>
      </c>
      <c r="I3980" s="661">
        <f t="shared" si="304"/>
        <v>0</v>
      </c>
      <c r="J3980" s="661">
        <f t="shared" si="304"/>
        <v>0</v>
      </c>
      <c r="K3980" s="661">
        <f t="shared" si="304"/>
        <v>0</v>
      </c>
      <c r="L3980" s="661">
        <f t="shared" si="304"/>
        <v>0</v>
      </c>
    </row>
    <row r="3981" hidden="1" spans="5:12">
      <c r="E3981" s="1563" t="s">
        <v>4534</v>
      </c>
      <c r="F3981" s="1564"/>
      <c r="G3981" s="1564"/>
      <c r="H3981" s="1564"/>
      <c r="I3981" s="1564"/>
      <c r="J3981" s="1564"/>
      <c r="K3981" s="1564"/>
      <c r="L3981" s="1564"/>
    </row>
    <row r="3982" hidden="1" spans="5:12">
      <c r="E3982" s="1565" t="s">
        <v>4535</v>
      </c>
      <c r="F3982" s="1566">
        <f t="shared" ref="F3982:L3982" si="305">F3983-F3981</f>
        <v>0</v>
      </c>
      <c r="G3982" s="1566">
        <f t="shared" si="305"/>
        <v>0</v>
      </c>
      <c r="H3982" s="1566">
        <f t="shared" si="305"/>
        <v>0</v>
      </c>
      <c r="I3982" s="1566">
        <f t="shared" si="305"/>
        <v>0</v>
      </c>
      <c r="J3982" s="1566">
        <f t="shared" si="305"/>
        <v>0</v>
      </c>
      <c r="K3982" s="1566">
        <f t="shared" si="305"/>
        <v>0</v>
      </c>
      <c r="L3982" s="1566">
        <f t="shared" si="305"/>
        <v>0</v>
      </c>
    </row>
    <row r="3983" hidden="1" spans="5:12">
      <c r="E3983" s="1563" t="s">
        <v>4536</v>
      </c>
      <c r="F3983" s="496"/>
      <c r="G3983" s="496"/>
      <c r="H3983" s="496"/>
      <c r="I3983" s="496"/>
      <c r="J3983" s="496"/>
      <c r="K3983" s="496"/>
      <c r="L3983" s="496"/>
    </row>
    <row r="3984" hidden="1" spans="5:12">
      <c r="E3984" s="1563" t="s">
        <v>4537</v>
      </c>
      <c r="F3984" s="496"/>
      <c r="G3984" s="496"/>
      <c r="H3984" s="496"/>
      <c r="I3984" s="496"/>
      <c r="J3984" s="496"/>
      <c r="K3984" s="496"/>
      <c r="L3984" s="496"/>
    </row>
    <row r="3985" hidden="1" spans="5:12">
      <c r="E3985" s="1563" t="s">
        <v>1403</v>
      </c>
      <c r="F3985" s="496"/>
      <c r="G3985" s="496"/>
      <c r="H3985" s="496"/>
      <c r="I3985" s="496"/>
      <c r="J3985" s="496"/>
      <c r="K3985" s="496"/>
      <c r="L3985" s="496"/>
    </row>
    <row r="3986" hidden="1" spans="5:12">
      <c r="E3986" s="1563" t="s">
        <v>109</v>
      </c>
      <c r="F3986" s="496"/>
      <c r="G3986" s="496"/>
      <c r="H3986" s="496"/>
      <c r="I3986" s="496"/>
      <c r="J3986" s="496"/>
      <c r="K3986" s="496"/>
      <c r="L3986" s="496"/>
    </row>
    <row r="3987" hidden="1" spans="5:12">
      <c r="E3987" s="1563" t="s">
        <v>259</v>
      </c>
      <c r="F3987" s="496"/>
      <c r="G3987" s="496"/>
      <c r="H3987" s="496"/>
      <c r="I3987" s="496"/>
      <c r="J3987" s="496"/>
      <c r="K3987" s="496"/>
      <c r="L3987" s="496"/>
    </row>
    <row r="3988" hidden="1" spans="5:12">
      <c r="E3988" s="1563" t="s">
        <v>4538</v>
      </c>
      <c r="F3988" s="661">
        <f t="shared" ref="F3988:L3988" si="306">F3986+F3987</f>
        <v>0</v>
      </c>
      <c r="G3988" s="661">
        <f t="shared" si="306"/>
        <v>0</v>
      </c>
      <c r="H3988" s="661">
        <f t="shared" si="306"/>
        <v>0</v>
      </c>
      <c r="I3988" s="661">
        <f t="shared" si="306"/>
        <v>0</v>
      </c>
      <c r="J3988" s="661">
        <f t="shared" si="306"/>
        <v>0</v>
      </c>
      <c r="K3988" s="661">
        <f t="shared" si="306"/>
        <v>0</v>
      </c>
      <c r="L3988" s="661">
        <f t="shared" si="306"/>
        <v>0</v>
      </c>
    </row>
    <row r="3989" hidden="1" spans="5:12">
      <c r="E3989" s="1563" t="s">
        <v>4539</v>
      </c>
      <c r="F3989" s="496"/>
      <c r="G3989" s="496"/>
      <c r="H3989" s="496"/>
      <c r="I3989" s="496"/>
      <c r="J3989" s="496"/>
      <c r="K3989" s="496"/>
      <c r="L3989" s="496"/>
    </row>
    <row r="3990" hidden="1" spans="5:12">
      <c r="E3990" s="1573" t="s">
        <v>4542</v>
      </c>
      <c r="F3990" s="1574">
        <f>ROUND((F3961-F3980-F3967),2)</f>
        <v>0</v>
      </c>
      <c r="G3990" s="1574">
        <f t="shared" ref="G3990:L3990" si="307">ROUND((G3961-G3980-G3967),2)</f>
        <v>0</v>
      </c>
      <c r="H3990" s="1574">
        <f t="shared" si="307"/>
        <v>0</v>
      </c>
      <c r="I3990" s="1574">
        <f t="shared" si="307"/>
        <v>0</v>
      </c>
      <c r="J3990" s="1574">
        <f t="shared" si="307"/>
        <v>0</v>
      </c>
      <c r="K3990" s="1574">
        <f t="shared" si="307"/>
        <v>0</v>
      </c>
      <c r="L3990" s="1574">
        <f t="shared" si="307"/>
        <v>0</v>
      </c>
    </row>
    <row r="3991" hidden="1" spans="5:12">
      <c r="E3991" s="1573" t="s">
        <v>1420</v>
      </c>
      <c r="F3991" s="1575"/>
      <c r="G3991" s="1575"/>
      <c r="H3991" s="1575"/>
      <c r="I3991" s="1575"/>
      <c r="J3991" s="1575"/>
      <c r="K3991" s="1575"/>
      <c r="L3991" s="1575"/>
    </row>
    <row r="3992" hidden="1" spans="5:11">
      <c r="E3992" s="1544"/>
      <c r="F3992" s="1544"/>
      <c r="G3992" s="1544"/>
      <c r="H3992" s="1544"/>
      <c r="I3992" s="1544"/>
      <c r="J3992" s="1544"/>
      <c r="K3992" s="1544"/>
    </row>
    <row r="3993" spans="5:12">
      <c r="E3993" s="1576" t="s">
        <v>60</v>
      </c>
      <c r="F3993" s="1558" t="s">
        <v>4527</v>
      </c>
      <c r="G3993" s="1559"/>
      <c r="H3993" s="1559"/>
      <c r="I3993" s="1559"/>
      <c r="J3993" s="1559"/>
      <c r="K3993" s="1559"/>
      <c r="L3993" s="1559"/>
    </row>
    <row r="3994" spans="5:12">
      <c r="E3994" s="1560" t="s">
        <v>3838</v>
      </c>
      <c r="F3994" s="1561">
        <f>E3945</f>
        <v>0</v>
      </c>
      <c r="G3994" s="1562">
        <f>E3946</f>
        <v>0</v>
      </c>
      <c r="H3994" s="1562">
        <f>E3947</f>
        <v>0</v>
      </c>
      <c r="I3994" s="1562">
        <f>E3948</f>
        <v>0</v>
      </c>
      <c r="J3994" s="1562">
        <f>E3949</f>
        <v>0</v>
      </c>
      <c r="K3994" s="1562">
        <f>E3950</f>
        <v>0</v>
      </c>
      <c r="L3994" s="1562">
        <f>E3951</f>
        <v>0</v>
      </c>
    </row>
    <row r="3995" spans="5:12">
      <c r="E3995" s="1563" t="s">
        <v>4528</v>
      </c>
      <c r="F3995" s="496"/>
      <c r="G3995" s="496"/>
      <c r="H3995" s="496"/>
      <c r="I3995" s="496"/>
      <c r="J3995" s="496"/>
      <c r="K3995" s="496"/>
      <c r="L3995" s="496"/>
    </row>
    <row r="3996" spans="5:12">
      <c r="E3996" s="1563" t="s">
        <v>4529</v>
      </c>
      <c r="F3996" s="496"/>
      <c r="G3996" s="496"/>
      <c r="H3996" s="496"/>
      <c r="I3996" s="496"/>
      <c r="J3996" s="496"/>
      <c r="K3996" s="496"/>
      <c r="L3996" s="496"/>
    </row>
    <row r="3997" spans="5:12">
      <c r="E3997" s="1563" t="s">
        <v>4530</v>
      </c>
      <c r="F3997" s="661">
        <f t="shared" ref="F3997:L3997" si="308">ROUND(SUM(F3995:F3996),2)</f>
        <v>0</v>
      </c>
      <c r="G3997" s="661">
        <f t="shared" si="308"/>
        <v>0</v>
      </c>
      <c r="H3997" s="661">
        <f t="shared" si="308"/>
        <v>0</v>
      </c>
      <c r="I3997" s="661">
        <f t="shared" si="308"/>
        <v>0</v>
      </c>
      <c r="J3997" s="661">
        <f t="shared" si="308"/>
        <v>0</v>
      </c>
      <c r="K3997" s="661">
        <f t="shared" si="308"/>
        <v>0</v>
      </c>
      <c r="L3997" s="661">
        <f t="shared" si="308"/>
        <v>0</v>
      </c>
    </row>
    <row r="3998" spans="5:12">
      <c r="E3998" s="1563" t="s">
        <v>4531</v>
      </c>
      <c r="F3998" s="496"/>
      <c r="G3998" s="496"/>
      <c r="H3998" s="496"/>
      <c r="I3998" s="496"/>
      <c r="J3998" s="496"/>
      <c r="K3998" s="496"/>
      <c r="L3998" s="496"/>
    </row>
    <row r="3999" spans="5:12">
      <c r="E3999" s="1563" t="s">
        <v>4532</v>
      </c>
      <c r="F3999" s="496"/>
      <c r="G3999" s="496"/>
      <c r="H3999" s="496"/>
      <c r="I3999" s="496"/>
      <c r="J3999" s="496"/>
      <c r="K3999" s="496"/>
      <c r="L3999" s="496"/>
    </row>
    <row r="4000" spans="5:12">
      <c r="E4000" s="1563" t="s">
        <v>245</v>
      </c>
      <c r="F4000" s="661">
        <f t="shared" ref="F4000:L4000" si="309">ROUND(SUM(F3998:F3999),2)</f>
        <v>0</v>
      </c>
      <c r="G4000" s="661">
        <f t="shared" si="309"/>
        <v>0</v>
      </c>
      <c r="H4000" s="661">
        <f t="shared" si="309"/>
        <v>0</v>
      </c>
      <c r="I4000" s="661">
        <f t="shared" si="309"/>
        <v>0</v>
      </c>
      <c r="J4000" s="661">
        <f t="shared" si="309"/>
        <v>0</v>
      </c>
      <c r="K4000" s="661">
        <f t="shared" si="309"/>
        <v>0</v>
      </c>
      <c r="L4000" s="661">
        <f t="shared" si="309"/>
        <v>0</v>
      </c>
    </row>
    <row r="4001" spans="5:12">
      <c r="E4001" s="1563" t="s">
        <v>4533</v>
      </c>
      <c r="F4001" s="661">
        <f t="shared" ref="F4001:L4001" si="310">ROUND(F3997-F4000,2)</f>
        <v>0</v>
      </c>
      <c r="G4001" s="661">
        <f t="shared" si="310"/>
        <v>0</v>
      </c>
      <c r="H4001" s="661">
        <f t="shared" si="310"/>
        <v>0</v>
      </c>
      <c r="I4001" s="661">
        <f t="shared" si="310"/>
        <v>0</v>
      </c>
      <c r="J4001" s="661">
        <f t="shared" si="310"/>
        <v>0</v>
      </c>
      <c r="K4001" s="661">
        <f t="shared" si="310"/>
        <v>0</v>
      </c>
      <c r="L4001" s="661">
        <f t="shared" si="310"/>
        <v>0</v>
      </c>
    </row>
    <row r="4002" spans="5:12">
      <c r="E4002" s="1563" t="s">
        <v>4534</v>
      </c>
      <c r="F4002" s="1564"/>
      <c r="G4002" s="1564"/>
      <c r="H4002" s="1564"/>
      <c r="I4002" s="1564"/>
      <c r="J4002" s="1564"/>
      <c r="K4002" s="1564"/>
      <c r="L4002" s="1564"/>
    </row>
    <row r="4003" spans="5:12">
      <c r="E4003" s="1565" t="s">
        <v>4535</v>
      </c>
      <c r="F4003" s="1566">
        <f t="shared" ref="F4003:L4003" si="311">F4004-F4002</f>
        <v>0</v>
      </c>
      <c r="G4003" s="1566">
        <f t="shared" si="311"/>
        <v>0</v>
      </c>
      <c r="H4003" s="1566">
        <f t="shared" si="311"/>
        <v>0</v>
      </c>
      <c r="I4003" s="1566">
        <f t="shared" si="311"/>
        <v>0</v>
      </c>
      <c r="J4003" s="1566">
        <f t="shared" si="311"/>
        <v>0</v>
      </c>
      <c r="K4003" s="1566">
        <f t="shared" si="311"/>
        <v>0</v>
      </c>
      <c r="L4003" s="1566">
        <f t="shared" si="311"/>
        <v>0</v>
      </c>
    </row>
    <row r="4004" spans="5:12">
      <c r="E4004" s="1563" t="s">
        <v>4536</v>
      </c>
      <c r="F4004" s="496"/>
      <c r="G4004" s="496"/>
      <c r="H4004" s="496"/>
      <c r="I4004" s="496"/>
      <c r="J4004" s="496"/>
      <c r="K4004" s="496"/>
      <c r="L4004" s="496"/>
    </row>
    <row r="4005" spans="5:12">
      <c r="E4005" s="1563" t="s">
        <v>4537</v>
      </c>
      <c r="F4005" s="496"/>
      <c r="G4005" s="496"/>
      <c r="H4005" s="496"/>
      <c r="I4005" s="496"/>
      <c r="J4005" s="496"/>
      <c r="K4005" s="496"/>
      <c r="L4005" s="496"/>
    </row>
    <row r="4006" spans="5:12">
      <c r="E4006" s="1563" t="s">
        <v>1403</v>
      </c>
      <c r="F4006" s="496"/>
      <c r="G4006" s="496"/>
      <c r="H4006" s="496"/>
      <c r="I4006" s="496"/>
      <c r="J4006" s="496"/>
      <c r="K4006" s="496"/>
      <c r="L4006" s="496"/>
    </row>
    <row r="4007" spans="5:12">
      <c r="E4007" s="1563" t="s">
        <v>109</v>
      </c>
      <c r="F4007" s="496"/>
      <c r="G4007" s="496"/>
      <c r="H4007" s="496"/>
      <c r="I4007" s="496"/>
      <c r="J4007" s="496"/>
      <c r="K4007" s="496"/>
      <c r="L4007" s="496"/>
    </row>
    <row r="4008" spans="5:12">
      <c r="E4008" s="1563" t="s">
        <v>259</v>
      </c>
      <c r="F4008" s="496"/>
      <c r="G4008" s="496"/>
      <c r="H4008" s="496"/>
      <c r="I4008" s="496"/>
      <c r="J4008" s="496"/>
      <c r="K4008" s="496"/>
      <c r="L4008" s="496"/>
    </row>
    <row r="4009" spans="5:12">
      <c r="E4009" s="1563" t="s">
        <v>4538</v>
      </c>
      <c r="F4009" s="661">
        <f t="shared" ref="F4009:L4009" si="312">F4007+F4008</f>
        <v>0</v>
      </c>
      <c r="G4009" s="661">
        <f t="shared" si="312"/>
        <v>0</v>
      </c>
      <c r="H4009" s="661">
        <f t="shared" si="312"/>
        <v>0</v>
      </c>
      <c r="I4009" s="661">
        <f t="shared" si="312"/>
        <v>0</v>
      </c>
      <c r="J4009" s="661">
        <f t="shared" si="312"/>
        <v>0</v>
      </c>
      <c r="K4009" s="661">
        <f t="shared" si="312"/>
        <v>0</v>
      </c>
      <c r="L4009" s="661">
        <f t="shared" si="312"/>
        <v>0</v>
      </c>
    </row>
    <row r="4010" spans="5:12">
      <c r="E4010" s="1563" t="s">
        <v>4539</v>
      </c>
      <c r="F4010" s="496"/>
      <c r="G4010" s="496"/>
      <c r="H4010" s="496"/>
      <c r="I4010" s="496"/>
      <c r="J4010" s="496"/>
      <c r="K4010" s="496"/>
      <c r="L4010" s="496"/>
    </row>
    <row r="4011" spans="5:5">
      <c r="E4011" s="89" t="s">
        <v>4543</v>
      </c>
    </row>
    <row r="4012" spans="5:12">
      <c r="E4012" s="1576" t="s">
        <v>60</v>
      </c>
      <c r="F4012" s="1558" t="s">
        <v>4541</v>
      </c>
      <c r="G4012" s="1559"/>
      <c r="H4012" s="1559"/>
      <c r="I4012" s="1559"/>
      <c r="J4012" s="1559"/>
      <c r="K4012" s="1559"/>
      <c r="L4012" s="1559"/>
    </row>
    <row r="4013" spans="5:12">
      <c r="E4013" s="1563" t="s">
        <v>3838</v>
      </c>
      <c r="F4013" s="1561">
        <f>F3994</f>
        <v>0</v>
      </c>
      <c r="G4013" s="1561">
        <f t="shared" ref="G4013:L4013" si="313">G3994</f>
        <v>0</v>
      </c>
      <c r="H4013" s="1561">
        <f t="shared" si="313"/>
        <v>0</v>
      </c>
      <c r="I4013" s="1561">
        <f t="shared" si="313"/>
        <v>0</v>
      </c>
      <c r="J4013" s="1561">
        <f t="shared" si="313"/>
        <v>0</v>
      </c>
      <c r="K4013" s="1561">
        <f t="shared" si="313"/>
        <v>0</v>
      </c>
      <c r="L4013" s="1561">
        <f t="shared" si="313"/>
        <v>0</v>
      </c>
    </row>
    <row r="4014" spans="5:12">
      <c r="E4014" s="1563" t="s">
        <v>4528</v>
      </c>
      <c r="F4014" s="496"/>
      <c r="G4014" s="496"/>
      <c r="H4014" s="496"/>
      <c r="I4014" s="496"/>
      <c r="J4014" s="496"/>
      <c r="K4014" s="496"/>
      <c r="L4014" s="496"/>
    </row>
    <row r="4015" spans="5:12">
      <c r="E4015" s="1563" t="s">
        <v>4529</v>
      </c>
      <c r="F4015" s="496"/>
      <c r="G4015" s="496"/>
      <c r="H4015" s="496"/>
      <c r="I4015" s="496"/>
      <c r="J4015" s="496"/>
      <c r="K4015" s="496"/>
      <c r="L4015" s="496"/>
    </row>
    <row r="4016" spans="5:12">
      <c r="E4016" s="1563" t="s">
        <v>4530</v>
      </c>
      <c r="F4016" s="661">
        <f t="shared" ref="F4016:L4016" si="314">ROUND(SUM(F4014:F4015),2)</f>
        <v>0</v>
      </c>
      <c r="G4016" s="661">
        <f t="shared" si="314"/>
        <v>0</v>
      </c>
      <c r="H4016" s="661">
        <f t="shared" si="314"/>
        <v>0</v>
      </c>
      <c r="I4016" s="661">
        <f t="shared" si="314"/>
        <v>0</v>
      </c>
      <c r="J4016" s="661">
        <f t="shared" si="314"/>
        <v>0</v>
      </c>
      <c r="K4016" s="661">
        <f t="shared" si="314"/>
        <v>0</v>
      </c>
      <c r="L4016" s="661">
        <f t="shared" si="314"/>
        <v>0</v>
      </c>
    </row>
    <row r="4017" spans="5:12">
      <c r="E4017" s="1563" t="s">
        <v>4531</v>
      </c>
      <c r="F4017" s="496"/>
      <c r="G4017" s="496"/>
      <c r="H4017" s="496"/>
      <c r="I4017" s="496"/>
      <c r="J4017" s="496"/>
      <c r="K4017" s="496"/>
      <c r="L4017" s="496"/>
    </row>
    <row r="4018" spans="5:12">
      <c r="E4018" s="1563" t="s">
        <v>4532</v>
      </c>
      <c r="F4018" s="496"/>
      <c r="G4018" s="496"/>
      <c r="H4018" s="496"/>
      <c r="I4018" s="496"/>
      <c r="J4018" s="496"/>
      <c r="K4018" s="496"/>
      <c r="L4018" s="496"/>
    </row>
    <row r="4019" spans="5:12">
      <c r="E4019" s="1563" t="s">
        <v>245</v>
      </c>
      <c r="F4019" s="661">
        <f t="shared" ref="F4019:L4019" si="315">ROUND(SUM(F4017:F4018),2)</f>
        <v>0</v>
      </c>
      <c r="G4019" s="661">
        <f t="shared" si="315"/>
        <v>0</v>
      </c>
      <c r="H4019" s="661">
        <f t="shared" si="315"/>
        <v>0</v>
      </c>
      <c r="I4019" s="661">
        <f t="shared" si="315"/>
        <v>0</v>
      </c>
      <c r="J4019" s="661">
        <f t="shared" si="315"/>
        <v>0</v>
      </c>
      <c r="K4019" s="661">
        <f t="shared" si="315"/>
        <v>0</v>
      </c>
      <c r="L4019" s="661">
        <f t="shared" si="315"/>
        <v>0</v>
      </c>
    </row>
    <row r="4020" spans="5:12">
      <c r="E4020" s="1563" t="s">
        <v>4533</v>
      </c>
      <c r="F4020" s="661">
        <f t="shared" ref="F4020:L4020" si="316">ROUND(F4016-F4019,2)</f>
        <v>0</v>
      </c>
      <c r="G4020" s="661">
        <f t="shared" si="316"/>
        <v>0</v>
      </c>
      <c r="H4020" s="661">
        <f t="shared" si="316"/>
        <v>0</v>
      </c>
      <c r="I4020" s="661">
        <f t="shared" si="316"/>
        <v>0</v>
      </c>
      <c r="J4020" s="661">
        <f t="shared" si="316"/>
        <v>0</v>
      </c>
      <c r="K4020" s="661">
        <f t="shared" si="316"/>
        <v>0</v>
      </c>
      <c r="L4020" s="661">
        <f t="shared" si="316"/>
        <v>0</v>
      </c>
    </row>
    <row r="4021" spans="5:12">
      <c r="E4021" s="1563" t="s">
        <v>4534</v>
      </c>
      <c r="F4021" s="1564"/>
      <c r="G4021" s="1564"/>
      <c r="H4021" s="1564"/>
      <c r="I4021" s="1564"/>
      <c r="J4021" s="1564"/>
      <c r="K4021" s="1564"/>
      <c r="L4021" s="1564"/>
    </row>
    <row r="4022" spans="5:12">
      <c r="E4022" s="1565" t="s">
        <v>4535</v>
      </c>
      <c r="F4022" s="1566">
        <f t="shared" ref="F4022:L4022" si="317">F4023-F4021</f>
        <v>0</v>
      </c>
      <c r="G4022" s="1566">
        <f t="shared" si="317"/>
        <v>0</v>
      </c>
      <c r="H4022" s="1566">
        <f t="shared" si="317"/>
        <v>0</v>
      </c>
      <c r="I4022" s="1566">
        <f t="shared" si="317"/>
        <v>0</v>
      </c>
      <c r="J4022" s="1566">
        <f t="shared" si="317"/>
        <v>0</v>
      </c>
      <c r="K4022" s="1566">
        <f t="shared" si="317"/>
        <v>0</v>
      </c>
      <c r="L4022" s="1566">
        <f t="shared" si="317"/>
        <v>0</v>
      </c>
    </row>
    <row r="4023" spans="5:12">
      <c r="E4023" s="1563" t="s">
        <v>4536</v>
      </c>
      <c r="F4023" s="496"/>
      <c r="G4023" s="496"/>
      <c r="H4023" s="496"/>
      <c r="I4023" s="496"/>
      <c r="J4023" s="496"/>
      <c r="K4023" s="496"/>
      <c r="L4023" s="496"/>
    </row>
    <row r="4024" spans="5:12">
      <c r="E4024" s="1563" t="s">
        <v>4537</v>
      </c>
      <c r="F4024" s="496"/>
      <c r="G4024" s="496"/>
      <c r="H4024" s="496"/>
      <c r="I4024" s="496"/>
      <c r="J4024" s="496"/>
      <c r="K4024" s="496"/>
      <c r="L4024" s="496"/>
    </row>
    <row r="4025" spans="5:12">
      <c r="E4025" s="1563" t="s">
        <v>1403</v>
      </c>
      <c r="F4025" s="496"/>
      <c r="G4025" s="496"/>
      <c r="H4025" s="496"/>
      <c r="I4025" s="496"/>
      <c r="J4025" s="496"/>
      <c r="K4025" s="496"/>
      <c r="L4025" s="496"/>
    </row>
    <row r="4026" spans="5:12">
      <c r="E4026" s="1563" t="s">
        <v>109</v>
      </c>
      <c r="F4026" s="496"/>
      <c r="G4026" s="496"/>
      <c r="H4026" s="496"/>
      <c r="I4026" s="496"/>
      <c r="J4026" s="496"/>
      <c r="K4026" s="496"/>
      <c r="L4026" s="496"/>
    </row>
    <row r="4027" spans="5:12">
      <c r="E4027" s="1563" t="s">
        <v>259</v>
      </c>
      <c r="F4027" s="496"/>
      <c r="G4027" s="496"/>
      <c r="H4027" s="496"/>
      <c r="I4027" s="496"/>
      <c r="J4027" s="496"/>
      <c r="K4027" s="496"/>
      <c r="L4027" s="496"/>
    </row>
    <row r="4028" spans="5:12">
      <c r="E4028" s="1563" t="s">
        <v>4538</v>
      </c>
      <c r="F4028" s="661">
        <f t="shared" ref="F4028:L4028" si="318">F4026+F4027</f>
        <v>0</v>
      </c>
      <c r="G4028" s="661">
        <f t="shared" si="318"/>
        <v>0</v>
      </c>
      <c r="H4028" s="661">
        <f t="shared" si="318"/>
        <v>0</v>
      </c>
      <c r="I4028" s="661">
        <f t="shared" si="318"/>
        <v>0</v>
      </c>
      <c r="J4028" s="661">
        <f t="shared" si="318"/>
        <v>0</v>
      </c>
      <c r="K4028" s="661">
        <f t="shared" si="318"/>
        <v>0</v>
      </c>
      <c r="L4028" s="661">
        <f t="shared" si="318"/>
        <v>0</v>
      </c>
    </row>
    <row r="4029" spans="5:12">
      <c r="E4029" s="1563" t="s">
        <v>4539</v>
      </c>
      <c r="F4029" s="496"/>
      <c r="G4029" s="496"/>
      <c r="H4029" s="496"/>
      <c r="I4029" s="496"/>
      <c r="J4029" s="496"/>
      <c r="K4029" s="496"/>
      <c r="L4029" s="496"/>
    </row>
    <row r="4030" spans="5:12">
      <c r="E4030" s="1573" t="s">
        <v>4542</v>
      </c>
      <c r="F4030" s="1574">
        <f>ROUND((F4001-F4020-F4007),2)</f>
        <v>0</v>
      </c>
      <c r="G4030" s="1574">
        <f t="shared" ref="G4030:L4030" si="319">ROUND((G4001-G4020-G4007),2)</f>
        <v>0</v>
      </c>
      <c r="H4030" s="1574">
        <f t="shared" si="319"/>
        <v>0</v>
      </c>
      <c r="I4030" s="1574">
        <f t="shared" si="319"/>
        <v>0</v>
      </c>
      <c r="J4030" s="1574">
        <f t="shared" si="319"/>
        <v>0</v>
      </c>
      <c r="K4030" s="1574">
        <f t="shared" si="319"/>
        <v>0</v>
      </c>
      <c r="L4030" s="1574">
        <f t="shared" si="319"/>
        <v>0</v>
      </c>
    </row>
    <row r="4031" spans="5:12">
      <c r="E4031" s="1573" t="s">
        <v>1420</v>
      </c>
      <c r="F4031" s="1577"/>
      <c r="G4031" s="1577"/>
      <c r="H4031" s="1577"/>
      <c r="I4031" s="1577"/>
      <c r="J4031" s="1577"/>
      <c r="K4031" s="1577"/>
      <c r="L4031" s="1577"/>
    </row>
    <row r="4033" spans="5:5">
      <c r="E4033" s="89" t="s">
        <v>4544</v>
      </c>
    </row>
    <row r="4034" spans="5:12">
      <c r="E4034" s="1578" t="s">
        <v>4545</v>
      </c>
      <c r="F4034" s="1579"/>
      <c r="G4034" s="1580"/>
      <c r="H4034" s="1580"/>
      <c r="I4034" s="1580"/>
      <c r="J4034" s="1580"/>
      <c r="K4034" s="1580"/>
      <c r="L4034" s="1589"/>
    </row>
    <row r="4035" spans="5:12">
      <c r="E4035" s="1578" t="s">
        <v>4546</v>
      </c>
      <c r="F4035" s="1579"/>
      <c r="G4035" s="1580"/>
      <c r="H4035" s="1580"/>
      <c r="I4035" s="1580"/>
      <c r="J4035" s="1580"/>
      <c r="K4035" s="1580"/>
      <c r="L4035" s="1589"/>
    </row>
    <row r="4038" spans="5:5">
      <c r="E4038" s="65" t="s">
        <v>4547</v>
      </c>
    </row>
    <row r="4039" spans="5:12">
      <c r="E4039" s="93" t="s">
        <v>60</v>
      </c>
      <c r="F4039" s="93" t="s">
        <v>670</v>
      </c>
      <c r="G4039" s="1581" t="s">
        <v>1241</v>
      </c>
      <c r="H4039" s="1582"/>
      <c r="I4039" s="1582"/>
      <c r="J4039" s="1582"/>
      <c r="K4039" s="1590"/>
      <c r="L4039" s="1591" t="s">
        <v>515</v>
      </c>
    </row>
    <row r="4040" spans="5:12">
      <c r="E4040" s="99"/>
      <c r="F4040" s="93"/>
      <c r="G4040" s="93" t="s">
        <v>4548</v>
      </c>
      <c r="H4040" s="93" t="s">
        <v>4549</v>
      </c>
      <c r="I4040" s="93" t="s">
        <v>100</v>
      </c>
      <c r="J4040" s="93" t="s">
        <v>4550</v>
      </c>
      <c r="K4040" s="93" t="s">
        <v>4551</v>
      </c>
      <c r="L4040" s="1592"/>
    </row>
    <row r="4041" spans="5:12">
      <c r="E4041" s="99" t="s">
        <v>4552</v>
      </c>
      <c r="F4041" s="661">
        <f t="shared" ref="F4041:K4041" si="320">SUM(F4042:F4043)</f>
        <v>0</v>
      </c>
      <c r="G4041" s="661">
        <f t="shared" si="320"/>
        <v>0</v>
      </c>
      <c r="H4041" s="661">
        <f t="shared" si="320"/>
        <v>0</v>
      </c>
      <c r="I4041" s="661">
        <f t="shared" si="320"/>
        <v>0</v>
      </c>
      <c r="J4041" s="661">
        <f t="shared" si="320"/>
        <v>0</v>
      </c>
      <c r="K4041" s="661">
        <f t="shared" si="320"/>
        <v>0</v>
      </c>
      <c r="L4041" s="661">
        <f>F4041+J4041</f>
        <v>0</v>
      </c>
    </row>
    <row r="4042" spans="5:12">
      <c r="E4042" s="99" t="s">
        <v>4553</v>
      </c>
      <c r="F4042" s="1583"/>
      <c r="G4042" s="1583"/>
      <c r="H4042" s="1583"/>
      <c r="I4042" s="1583"/>
      <c r="J4042" s="1583"/>
      <c r="K4042" s="1583"/>
      <c r="L4042" s="1593">
        <f t="shared" ref="L4042:L4052" si="321">F4042+J4042</f>
        <v>0</v>
      </c>
    </row>
    <row r="4043" spans="5:12">
      <c r="E4043" s="99" t="s">
        <v>4554</v>
      </c>
      <c r="F4043" s="1583"/>
      <c r="G4043" s="1583"/>
      <c r="H4043" s="1583"/>
      <c r="I4043" s="1583"/>
      <c r="J4043" s="1583"/>
      <c r="K4043" s="1583"/>
      <c r="L4043" s="1593">
        <f t="shared" si="321"/>
        <v>0</v>
      </c>
    </row>
    <row r="4044" spans="5:12">
      <c r="E4044" s="99"/>
      <c r="F4044" s="1583"/>
      <c r="G4044" s="1583"/>
      <c r="H4044" s="1583"/>
      <c r="I4044" s="1583"/>
      <c r="J4044" s="1583"/>
      <c r="K4044" s="1583"/>
      <c r="L4044" s="1593">
        <f t="shared" si="321"/>
        <v>0</v>
      </c>
    </row>
    <row r="4045" spans="5:12">
      <c r="E4045" s="99" t="s">
        <v>4555</v>
      </c>
      <c r="F4045" s="661">
        <f t="shared" ref="F4045:K4045" si="322">SUM(F4046:F4050)</f>
        <v>0</v>
      </c>
      <c r="G4045" s="661">
        <f t="shared" si="322"/>
        <v>0</v>
      </c>
      <c r="H4045" s="661">
        <f t="shared" si="322"/>
        <v>0</v>
      </c>
      <c r="I4045" s="661">
        <f t="shared" si="322"/>
        <v>0</v>
      </c>
      <c r="J4045" s="661">
        <f t="shared" si="322"/>
        <v>0</v>
      </c>
      <c r="K4045" s="661">
        <f t="shared" si="322"/>
        <v>0</v>
      </c>
      <c r="L4045" s="1593">
        <f t="shared" si="321"/>
        <v>0</v>
      </c>
    </row>
    <row r="4046" spans="5:12">
      <c r="E4046" s="99" t="s">
        <v>4556</v>
      </c>
      <c r="F4046" s="1583"/>
      <c r="G4046" s="1583"/>
      <c r="H4046" s="1583"/>
      <c r="I4046" s="1583"/>
      <c r="J4046" s="1583"/>
      <c r="K4046" s="1583"/>
      <c r="L4046" s="1593">
        <f t="shared" si="321"/>
        <v>0</v>
      </c>
    </row>
    <row r="4047" spans="5:12">
      <c r="E4047" s="99" t="s">
        <v>4557</v>
      </c>
      <c r="F4047" s="1583"/>
      <c r="G4047" s="1583"/>
      <c r="H4047" s="1583"/>
      <c r="I4047" s="1583"/>
      <c r="J4047" s="1583"/>
      <c r="K4047" s="1583"/>
      <c r="L4047" s="1593">
        <f t="shared" si="321"/>
        <v>0</v>
      </c>
    </row>
    <row r="4048" spans="5:12">
      <c r="E4048" s="99" t="s">
        <v>4558</v>
      </c>
      <c r="F4048" s="1583"/>
      <c r="G4048" s="1583"/>
      <c r="H4048" s="1583"/>
      <c r="I4048" s="1583"/>
      <c r="J4048" s="1583"/>
      <c r="K4048" s="1583"/>
      <c r="L4048" s="1593">
        <f t="shared" si="321"/>
        <v>0</v>
      </c>
    </row>
    <row r="4049" spans="5:12">
      <c r="E4049" s="99" t="s">
        <v>4559</v>
      </c>
      <c r="F4049" s="1583"/>
      <c r="G4049" s="1583"/>
      <c r="H4049" s="1583"/>
      <c r="I4049" s="1583"/>
      <c r="J4049" s="1583"/>
      <c r="K4049" s="1583"/>
      <c r="L4049" s="1593">
        <f t="shared" si="321"/>
        <v>0</v>
      </c>
    </row>
    <row r="4050" spans="5:12">
      <c r="E4050" s="99" t="s">
        <v>4560</v>
      </c>
      <c r="F4050" s="1584"/>
      <c r="G4050" s="1584"/>
      <c r="H4050" s="1583"/>
      <c r="I4050" s="1583"/>
      <c r="J4050" s="1584"/>
      <c r="K4050" s="1583"/>
      <c r="L4050" s="1593">
        <f t="shared" si="321"/>
        <v>0</v>
      </c>
    </row>
    <row r="4051" spans="5:12">
      <c r="E4051" s="99"/>
      <c r="F4051" s="1583"/>
      <c r="G4051" s="1583"/>
      <c r="H4051" s="1583"/>
      <c r="I4051" s="1583"/>
      <c r="J4051" s="1583"/>
      <c r="K4051" s="1583"/>
      <c r="L4051" s="1593">
        <f t="shared" si="321"/>
        <v>0</v>
      </c>
    </row>
    <row r="4052" spans="5:12">
      <c r="E4052" s="99" t="s">
        <v>4561</v>
      </c>
      <c r="F4052" s="661">
        <f t="shared" ref="F4052:K4052" si="323">F4041+F4045</f>
        <v>0</v>
      </c>
      <c r="G4052" s="661">
        <f t="shared" si="323"/>
        <v>0</v>
      </c>
      <c r="H4052" s="661">
        <f t="shared" si="323"/>
        <v>0</v>
      </c>
      <c r="I4052" s="661">
        <f t="shared" si="323"/>
        <v>0</v>
      </c>
      <c r="J4052" s="661">
        <f t="shared" si="323"/>
        <v>0</v>
      </c>
      <c r="K4052" s="661">
        <f t="shared" si="323"/>
        <v>0</v>
      </c>
      <c r="L4052" s="1593">
        <f t="shared" si="321"/>
        <v>0</v>
      </c>
    </row>
    <row r="4053" customHeight="1" spans="5:5">
      <c r="E4053" s="85" t="s">
        <v>4562</v>
      </c>
    </row>
    <row r="4054" spans="5:5">
      <c r="E4054" s="1585" t="s">
        <v>4563</v>
      </c>
    </row>
    <row r="4055" spans="5:12">
      <c r="E4055" s="1586" t="s">
        <v>4564</v>
      </c>
      <c r="F4055" s="1587"/>
      <c r="G4055" s="1587"/>
      <c r="H4055" s="1587"/>
      <c r="I4055" s="1587"/>
      <c r="J4055" s="1587"/>
      <c r="K4055" s="1587"/>
      <c r="L4055" s="1594"/>
    </row>
    <row r="4056" spans="5:12">
      <c r="E4056" s="85" t="s">
        <v>4565</v>
      </c>
      <c r="F4056" s="772">
        <f>审定资负表!H42</f>
        <v>0</v>
      </c>
      <c r="J4056" s="772">
        <f>审定利润表!C29</f>
        <v>0</v>
      </c>
      <c r="L4056" s="772">
        <f>审定资负表!G42</f>
        <v>0</v>
      </c>
    </row>
    <row r="4057" spans="5:12">
      <c r="E4057" s="85" t="s">
        <v>1394</v>
      </c>
      <c r="F4057" s="87">
        <f>ROUND(F4052-F4056,2)</f>
        <v>0</v>
      </c>
      <c r="J4057" s="87">
        <f>ROUND(J4052-J4056,2)</f>
        <v>0</v>
      </c>
      <c r="L4057" s="87">
        <f>ROUND(L4052-L4056,2)</f>
        <v>0</v>
      </c>
    </row>
    <row r="4059" spans="5:7">
      <c r="E4059" s="65" t="s">
        <v>4566</v>
      </c>
      <c r="F4059" s="786" t="s">
        <v>2635</v>
      </c>
      <c r="G4059" s="765"/>
    </row>
    <row r="4060" spans="5:7">
      <c r="E4060" s="149" t="s">
        <v>2637</v>
      </c>
      <c r="F4060" s="765"/>
      <c r="G4060" s="765"/>
    </row>
    <row r="4061" spans="5:11">
      <c r="E4061" s="1408" t="s">
        <v>60</v>
      </c>
      <c r="F4061" s="1408" t="s">
        <v>515</v>
      </c>
      <c r="G4061" s="1408" t="s">
        <v>670</v>
      </c>
      <c r="H4061" s="1588" t="s">
        <v>626</v>
      </c>
      <c r="I4061" s="1588" t="s">
        <v>373</v>
      </c>
      <c r="J4061" s="1588" t="s">
        <v>1672</v>
      </c>
      <c r="K4061" s="1588" t="s">
        <v>2767</v>
      </c>
    </row>
    <row r="4062" spans="5:11">
      <c r="E4062" s="742"/>
      <c r="F4062" s="454"/>
      <c r="G4062" s="454"/>
      <c r="H4062" s="454"/>
      <c r="I4062" s="454"/>
      <c r="J4062" s="454"/>
      <c r="K4062" s="454"/>
    </row>
    <row r="4063" spans="5:11">
      <c r="E4063" s="742"/>
      <c r="F4063" s="454"/>
      <c r="G4063" s="454"/>
      <c r="H4063" s="454"/>
      <c r="I4063" s="454"/>
      <c r="J4063" s="454"/>
      <c r="K4063" s="454"/>
    </row>
    <row r="4064" spans="5:11">
      <c r="E4064" s="742"/>
      <c r="F4064" s="454"/>
      <c r="G4064" s="454"/>
      <c r="H4064" s="454"/>
      <c r="I4064" s="454"/>
      <c r="J4064" s="454"/>
      <c r="K4064" s="454"/>
    </row>
    <row r="4065" spans="5:11">
      <c r="E4065" s="742"/>
      <c r="F4065" s="454"/>
      <c r="G4065" s="454"/>
      <c r="H4065" s="454"/>
      <c r="I4065" s="454"/>
      <c r="J4065" s="454"/>
      <c r="K4065" s="454"/>
    </row>
    <row r="4066" spans="5:11">
      <c r="E4066" s="742"/>
      <c r="F4066" s="454"/>
      <c r="G4066" s="454"/>
      <c r="H4066" s="454"/>
      <c r="I4066" s="454"/>
      <c r="J4066" s="454"/>
      <c r="K4066" s="454"/>
    </row>
    <row r="4067" spans="5:11">
      <c r="E4067" s="742"/>
      <c r="F4067" s="454"/>
      <c r="G4067" s="454"/>
      <c r="H4067" s="454"/>
      <c r="I4067" s="454"/>
      <c r="J4067" s="454"/>
      <c r="K4067" s="454"/>
    </row>
    <row r="4068" spans="5:11">
      <c r="E4068" s="454"/>
      <c r="F4068" s="454"/>
      <c r="G4068" s="454"/>
      <c r="H4068" s="454"/>
      <c r="I4068" s="454"/>
      <c r="J4068" s="454"/>
      <c r="K4068" s="454"/>
    </row>
    <row r="4069" spans="5:11">
      <c r="E4069" s="454"/>
      <c r="F4069" s="454"/>
      <c r="G4069" s="454"/>
      <c r="H4069" s="454"/>
      <c r="I4069" s="454"/>
      <c r="J4069" s="454"/>
      <c r="K4069" s="454"/>
    </row>
    <row r="4070" spans="5:11">
      <c r="E4070" s="742" t="s">
        <v>1580</v>
      </c>
      <c r="F4070" s="787">
        <f t="shared" ref="F4070:K4070" si="324">SUM(F4062:F4069)</f>
        <v>0</v>
      </c>
      <c r="G4070" s="787">
        <f t="shared" si="324"/>
        <v>0</v>
      </c>
      <c r="H4070" s="787">
        <f t="shared" si="324"/>
        <v>0</v>
      </c>
      <c r="I4070" s="787">
        <f t="shared" si="324"/>
        <v>0</v>
      </c>
      <c r="J4070" s="787">
        <f t="shared" si="324"/>
        <v>0</v>
      </c>
      <c r="K4070" s="787">
        <f t="shared" si="324"/>
        <v>0</v>
      </c>
    </row>
    <row r="4071" spans="5:7">
      <c r="E4071" s="85" t="s">
        <v>4565</v>
      </c>
      <c r="F4071" s="772">
        <f>审定资负表!C18</f>
        <v>0</v>
      </c>
      <c r="G4071" s="772">
        <f>审定资负表!D18</f>
        <v>0</v>
      </c>
    </row>
    <row r="4072" spans="5:7">
      <c r="E4072" s="85" t="s">
        <v>1394</v>
      </c>
      <c r="F4072" s="87">
        <f>ROUND(F4070-F4071,2)</f>
        <v>0</v>
      </c>
      <c r="G4072" s="87">
        <f>ROUND(G4070-G4071,2)</f>
        <v>0</v>
      </c>
    </row>
    <row r="4074" spans="5:7">
      <c r="E4074" s="65" t="s">
        <v>4567</v>
      </c>
      <c r="F4074" s="786" t="s">
        <v>2635</v>
      </c>
      <c r="G4074" s="765"/>
    </row>
    <row r="4075" spans="5:7">
      <c r="E4075" s="149" t="s">
        <v>2637</v>
      </c>
      <c r="F4075" s="765"/>
      <c r="G4075" s="765"/>
    </row>
    <row r="4076" spans="5:7">
      <c r="E4076" s="1408" t="s">
        <v>60</v>
      </c>
      <c r="F4076" s="1408" t="s">
        <v>515</v>
      </c>
      <c r="G4076" s="1408" t="s">
        <v>670</v>
      </c>
    </row>
    <row r="4077" spans="5:7">
      <c r="E4077" s="742"/>
      <c r="F4077" s="454"/>
      <c r="G4077" s="454"/>
    </row>
    <row r="4078" spans="5:7">
      <c r="E4078" s="742"/>
      <c r="F4078" s="454"/>
      <c r="G4078" s="454"/>
    </row>
    <row r="4079" spans="5:7">
      <c r="E4079" s="742"/>
      <c r="F4079" s="454"/>
      <c r="G4079" s="454"/>
    </row>
    <row r="4080" spans="5:7">
      <c r="E4080" s="742"/>
      <c r="F4080" s="454"/>
      <c r="G4080" s="454"/>
    </row>
    <row r="4081" spans="5:7">
      <c r="E4081" s="742"/>
      <c r="F4081" s="454"/>
      <c r="G4081" s="454"/>
    </row>
    <row r="4082" spans="5:7">
      <c r="E4082" s="742"/>
      <c r="F4082" s="454"/>
      <c r="G4082" s="454"/>
    </row>
    <row r="4083" spans="5:7">
      <c r="E4083" s="454"/>
      <c r="F4083" s="454"/>
      <c r="G4083" s="454"/>
    </row>
    <row r="4084" spans="5:7">
      <c r="E4084" s="454"/>
      <c r="F4084" s="454"/>
      <c r="G4084" s="454"/>
    </row>
    <row r="4085" spans="5:7">
      <c r="E4085" s="742" t="s">
        <v>1580</v>
      </c>
      <c r="F4085" s="787">
        <f>SUM(F4077:F4084)</f>
        <v>0</v>
      </c>
      <c r="G4085" s="787">
        <f>SUM(G4077:G4084)</f>
        <v>0</v>
      </c>
    </row>
    <row r="4086" spans="5:7">
      <c r="E4086" s="85" t="s">
        <v>4565</v>
      </c>
      <c r="F4086" s="772">
        <f>审定资负表!G19</f>
        <v>0</v>
      </c>
      <c r="G4086" s="772">
        <f>审定资负表!H19</f>
        <v>0</v>
      </c>
    </row>
    <row r="4087" spans="5:7">
      <c r="E4087" s="85" t="s">
        <v>1394</v>
      </c>
      <c r="F4087" s="87">
        <f>ROUND(F4085-F4086,2)</f>
        <v>0</v>
      </c>
      <c r="G4087" s="87">
        <f>ROUND(G4085-G4086,2)</f>
        <v>0</v>
      </c>
    </row>
    <row r="4089" spans="5:5">
      <c r="E4089" s="1390" t="s">
        <v>4568</v>
      </c>
    </row>
    <row r="4090" spans="5:7">
      <c r="E4090" s="149" t="s">
        <v>2637</v>
      </c>
      <c r="F4090" s="765"/>
      <c r="G4090" s="765"/>
    </row>
    <row r="4091" spans="5:7">
      <c r="E4091" s="1408" t="s">
        <v>60</v>
      </c>
      <c r="F4091" s="1408" t="s">
        <v>515</v>
      </c>
      <c r="G4091" s="1408" t="s">
        <v>670</v>
      </c>
    </row>
    <row r="4092" spans="5:7">
      <c r="E4092" s="742" t="s">
        <v>662</v>
      </c>
      <c r="F4092" s="454"/>
      <c r="G4092" s="454"/>
    </row>
    <row r="4093" spans="5:7">
      <c r="E4093" s="742" t="s">
        <v>4569</v>
      </c>
      <c r="F4093" s="454"/>
      <c r="G4093" s="454"/>
    </row>
    <row r="4094" spans="5:7">
      <c r="E4094" s="742"/>
      <c r="F4094" s="454"/>
      <c r="G4094" s="454"/>
    </row>
    <row r="4095" spans="5:7">
      <c r="E4095" s="742"/>
      <c r="F4095" s="454"/>
      <c r="G4095" s="454"/>
    </row>
    <row r="4096" spans="5:7">
      <c r="E4096" s="742"/>
      <c r="F4096" s="454"/>
      <c r="G4096" s="454"/>
    </row>
    <row r="4097" spans="5:7">
      <c r="E4097" s="742"/>
      <c r="F4097" s="454"/>
      <c r="G4097" s="454"/>
    </row>
    <row r="4098" spans="5:7">
      <c r="E4098" s="454"/>
      <c r="F4098" s="454"/>
      <c r="G4098" s="454"/>
    </row>
    <row r="4099" spans="5:7">
      <c r="E4099" s="454"/>
      <c r="F4099" s="454"/>
      <c r="G4099" s="454"/>
    </row>
    <row r="4100" spans="5:7">
      <c r="E4100" s="742" t="s">
        <v>1580</v>
      </c>
      <c r="F4100" s="787">
        <f>SUM(F4092:F4099)</f>
        <v>0</v>
      </c>
      <c r="G4100" s="787">
        <f>SUM(G4092:G4099)</f>
        <v>0</v>
      </c>
    </row>
    <row r="4101" spans="5:7">
      <c r="E4101" s="85" t="s">
        <v>4565</v>
      </c>
      <c r="F4101" s="772">
        <f>审定资负表!C16</f>
        <v>0</v>
      </c>
      <c r="G4101" s="772">
        <f>审定资负表!D16</f>
        <v>0</v>
      </c>
    </row>
    <row r="4102" spans="5:7">
      <c r="E4102" s="85" t="s">
        <v>1394</v>
      </c>
      <c r="F4102" s="87">
        <f>ROUND(F4100-F4101,2)</f>
        <v>0</v>
      </c>
      <c r="G4102" s="87">
        <f>ROUND(G4100-G4101,2)</f>
        <v>0</v>
      </c>
    </row>
    <row r="4104" spans="5:5">
      <c r="E4104" s="1390" t="s">
        <v>4570</v>
      </c>
    </row>
    <row r="4105" spans="5:7">
      <c r="E4105" s="149" t="s">
        <v>2637</v>
      </c>
      <c r="F4105" s="765"/>
      <c r="G4105" s="765"/>
    </row>
    <row r="4106" spans="5:7">
      <c r="E4106" s="1408" t="s">
        <v>60</v>
      </c>
      <c r="F4106" s="143" t="s">
        <v>62</v>
      </c>
      <c r="G4106" s="143" t="s">
        <v>2010</v>
      </c>
    </row>
    <row r="4107" spans="5:7">
      <c r="E4107" s="742"/>
      <c r="F4107" s="454"/>
      <c r="G4107" s="454"/>
    </row>
    <row r="4108" spans="5:7">
      <c r="E4108" s="742"/>
      <c r="F4108" s="454"/>
      <c r="G4108" s="454"/>
    </row>
    <row r="4109" spans="5:7">
      <c r="E4109" s="742"/>
      <c r="F4109" s="454"/>
      <c r="G4109" s="454"/>
    </row>
    <row r="4110" spans="5:7">
      <c r="E4110" s="742"/>
      <c r="F4110" s="454"/>
      <c r="G4110" s="454"/>
    </row>
    <row r="4111" spans="5:7">
      <c r="E4111" s="742"/>
      <c r="F4111" s="454"/>
      <c r="G4111" s="454"/>
    </row>
    <row r="4112" spans="5:7">
      <c r="E4112" s="742"/>
      <c r="F4112" s="454"/>
      <c r="G4112" s="454"/>
    </row>
    <row r="4113" spans="5:7">
      <c r="E4113" s="454"/>
      <c r="F4113" s="454"/>
      <c r="G4113" s="454"/>
    </row>
    <row r="4114" spans="5:7">
      <c r="E4114" s="454"/>
      <c r="F4114" s="454"/>
      <c r="G4114" s="454"/>
    </row>
    <row r="4115" spans="5:7">
      <c r="E4115" s="742" t="s">
        <v>1580</v>
      </c>
      <c r="F4115" s="787">
        <f>SUM(F4107:F4114)</f>
        <v>0</v>
      </c>
      <c r="G4115" s="787">
        <f>SUM(G4107:G4114)</f>
        <v>0</v>
      </c>
    </row>
    <row r="4116" spans="5:7">
      <c r="E4116" s="85" t="s">
        <v>4565</v>
      </c>
      <c r="F4116" s="772">
        <f>审定利润表!C16</f>
        <v>0</v>
      </c>
      <c r="G4116" s="772">
        <f>审定利润表!D16</f>
        <v>0</v>
      </c>
    </row>
    <row r="4117" spans="5:7">
      <c r="E4117" s="85" t="s">
        <v>1394</v>
      </c>
      <c r="F4117" s="87">
        <f>ROUND(F4115-F4116,2)</f>
        <v>0</v>
      </c>
      <c r="G4117" s="87">
        <f>ROUND(G4115-G4116,2)</f>
        <v>0</v>
      </c>
    </row>
    <row r="4119" spans="5:8">
      <c r="E4119" s="1390" t="s">
        <v>4571</v>
      </c>
      <c r="F4119" s="485"/>
      <c r="G4119" s="485"/>
      <c r="H4119" s="485"/>
    </row>
    <row r="4120" spans="5:8">
      <c r="E4120" s="143" t="s">
        <v>60</v>
      </c>
      <c r="F4120" s="143" t="s">
        <v>62</v>
      </c>
      <c r="G4120" s="143" t="s">
        <v>2010</v>
      </c>
      <c r="H4120" s="143" t="s">
        <v>3542</v>
      </c>
    </row>
    <row r="4121" spans="5:8">
      <c r="E4121" s="1391"/>
      <c r="F4121" s="132"/>
      <c r="G4121" s="732"/>
      <c r="H4121" s="1169"/>
    </row>
    <row r="4122" spans="5:8">
      <c r="E4122" s="1391"/>
      <c r="F4122" s="732"/>
      <c r="G4122" s="732"/>
      <c r="H4122" s="1169"/>
    </row>
    <row r="4123" spans="5:8">
      <c r="E4123" s="1391"/>
      <c r="F4123" s="732"/>
      <c r="G4123" s="732"/>
      <c r="H4123" s="1169"/>
    </row>
    <row r="4124" spans="5:8">
      <c r="E4124" s="1391"/>
      <c r="F4124" s="732"/>
      <c r="G4124" s="732"/>
      <c r="H4124" s="1169"/>
    </row>
    <row r="4125" spans="5:8">
      <c r="E4125" s="1391"/>
      <c r="F4125" s="732"/>
      <c r="G4125" s="732"/>
      <c r="H4125" s="1169"/>
    </row>
    <row r="4126" spans="5:8">
      <c r="E4126" s="1391"/>
      <c r="F4126" s="732"/>
      <c r="G4126" s="732"/>
      <c r="H4126" s="1169"/>
    </row>
    <row r="4127" spans="5:8">
      <c r="E4127" s="1169"/>
      <c r="F4127" s="732"/>
      <c r="G4127" s="732"/>
      <c r="H4127" s="1169"/>
    </row>
    <row r="4128" spans="5:8">
      <c r="E4128" s="1169"/>
      <c r="F4128" s="732"/>
      <c r="G4128" s="732"/>
      <c r="H4128" s="1169"/>
    </row>
    <row r="4129" spans="5:8">
      <c r="E4129" s="1169"/>
      <c r="F4129" s="732"/>
      <c r="G4129" s="732"/>
      <c r="H4129" s="1169"/>
    </row>
    <row r="4130" spans="5:8">
      <c r="E4130" s="1169"/>
      <c r="F4130" s="732"/>
      <c r="G4130" s="732"/>
      <c r="H4130" s="1169"/>
    </row>
    <row r="4131" spans="5:8">
      <c r="E4131" s="1168"/>
      <c r="F4131" s="1179"/>
      <c r="G4131" s="1179"/>
      <c r="H4131" s="1168"/>
    </row>
    <row r="4132" spans="5:8">
      <c r="E4132" s="1168"/>
      <c r="F4132" s="1179"/>
      <c r="G4132" s="1179"/>
      <c r="H4132" s="1168"/>
    </row>
    <row r="4133" spans="5:8">
      <c r="E4133" s="1168"/>
      <c r="F4133" s="1179"/>
      <c r="G4133" s="1179"/>
      <c r="H4133" s="1168"/>
    </row>
    <row r="4134" spans="5:8">
      <c r="E4134" s="1168"/>
      <c r="F4134" s="1179"/>
      <c r="G4134" s="1179"/>
      <c r="H4134" s="1168"/>
    </row>
    <row r="4135" spans="5:8">
      <c r="E4135" s="1168"/>
      <c r="F4135" s="1179"/>
      <c r="G4135" s="1179"/>
      <c r="H4135" s="1168"/>
    </row>
    <row r="4136" spans="5:8">
      <c r="E4136" s="1168"/>
      <c r="F4136" s="1179"/>
      <c r="G4136" s="1179"/>
      <c r="H4136" s="1168"/>
    </row>
    <row r="4137" spans="5:8">
      <c r="E4137" s="1168"/>
      <c r="F4137" s="1179"/>
      <c r="G4137" s="1179"/>
      <c r="H4137" s="1168"/>
    </row>
    <row r="4138" spans="5:8">
      <c r="E4138" s="1168"/>
      <c r="F4138" s="1179"/>
      <c r="G4138" s="1179"/>
      <c r="H4138" s="1168"/>
    </row>
    <row r="4139" spans="5:8">
      <c r="E4139" s="1168"/>
      <c r="F4139" s="1179"/>
      <c r="G4139" s="1179"/>
      <c r="H4139" s="1168"/>
    </row>
    <row r="4140" spans="5:8">
      <c r="E4140" s="1168"/>
      <c r="F4140" s="1179"/>
      <c r="G4140" s="1179"/>
      <c r="H4140" s="1168"/>
    </row>
    <row r="4141" spans="5:8">
      <c r="E4141" s="1168"/>
      <c r="F4141" s="1179"/>
      <c r="G4141" s="1179"/>
      <c r="H4141" s="1168"/>
    </row>
    <row r="4142" spans="5:8">
      <c r="E4142" s="1168"/>
      <c r="F4142" s="1179"/>
      <c r="G4142" s="1179"/>
      <c r="H4142" s="1168"/>
    </row>
    <row r="4143" spans="5:8">
      <c r="E4143" s="1168"/>
      <c r="F4143" s="1179"/>
      <c r="G4143" s="1179"/>
      <c r="H4143" s="1168"/>
    </row>
    <row r="4144" spans="5:8">
      <c r="E4144" s="1168"/>
      <c r="F4144" s="1179"/>
      <c r="G4144" s="1179"/>
      <c r="H4144" s="1168"/>
    </row>
    <row r="4145" spans="5:8">
      <c r="E4145" s="1168"/>
      <c r="F4145" s="1179"/>
      <c r="G4145" s="1179"/>
      <c r="H4145" s="1168"/>
    </row>
    <row r="4146" spans="5:8">
      <c r="E4146" s="1169"/>
      <c r="F4146" s="732"/>
      <c r="G4146" s="732"/>
      <c r="H4146" s="1169"/>
    </row>
    <row r="4147" spans="5:8">
      <c r="E4147" s="452" t="s">
        <v>1580</v>
      </c>
      <c r="F4147" s="636">
        <f>SUM(F4121:F4146)</f>
        <v>0</v>
      </c>
      <c r="G4147" s="636">
        <f>SUM(G4121:G4146)</f>
        <v>0</v>
      </c>
      <c r="H4147" s="1170"/>
    </row>
    <row r="4148" spans="5:8">
      <c r="E4148" s="1322" t="s">
        <v>1444</v>
      </c>
      <c r="F4148" s="1394">
        <f>审定利润表!C18</f>
        <v>0</v>
      </c>
      <c r="G4148" s="1394">
        <f>审定利润表!D18</f>
        <v>0</v>
      </c>
      <c r="H4148" s="1395"/>
    </row>
    <row r="4149" spans="5:8">
      <c r="E4149" s="1322" t="s">
        <v>1394</v>
      </c>
      <c r="F4149" s="721">
        <f>ROUND(F4147-F4148,2)</f>
        <v>0</v>
      </c>
      <c r="G4149" s="721">
        <f>ROUND(G4147-G4148,2)</f>
        <v>0</v>
      </c>
      <c r="H4149" s="1396"/>
    </row>
    <row r="4151" spans="5:10">
      <c r="E4151" s="65" t="s">
        <v>4572</v>
      </c>
      <c r="F4151" s="1252"/>
      <c r="G4151" s="1181"/>
      <c r="H4151" s="1181"/>
      <c r="I4151" s="411"/>
      <c r="J4151" s="411"/>
    </row>
    <row r="4152" spans="5:10">
      <c r="E4152" s="1595" t="s">
        <v>60</v>
      </c>
      <c r="F4152" s="1595" t="s">
        <v>1579</v>
      </c>
      <c r="G4152" s="1595" t="s">
        <v>671</v>
      </c>
      <c r="H4152" s="1595" t="s">
        <v>672</v>
      </c>
      <c r="I4152" s="1595" t="s">
        <v>315</v>
      </c>
      <c r="J4152" s="1595" t="s">
        <v>1196</v>
      </c>
    </row>
    <row r="4153" spans="5:10">
      <c r="E4153" s="1255" t="s">
        <v>3278</v>
      </c>
      <c r="F4153" s="477"/>
      <c r="G4153" s="132"/>
      <c r="H4153" s="132"/>
      <c r="I4153" s="135">
        <f>F4153+G4153-H4153</f>
        <v>0</v>
      </c>
      <c r="J4153" s="1269"/>
    </row>
    <row r="4154" spans="5:10">
      <c r="E4154" s="1255" t="s">
        <v>3279</v>
      </c>
      <c r="F4154" s="477"/>
      <c r="G4154" s="132"/>
      <c r="H4154" s="132"/>
      <c r="I4154" s="135">
        <f>F4154+G4154-H4154</f>
        <v>0</v>
      </c>
      <c r="J4154" s="1269"/>
    </row>
    <row r="4155" spans="5:10">
      <c r="E4155" s="1254" t="s">
        <v>1580</v>
      </c>
      <c r="F4155" s="565">
        <f>F4153+F4154</f>
        <v>0</v>
      </c>
      <c r="G4155" s="565">
        <f>G4153+G4154</f>
        <v>0</v>
      </c>
      <c r="H4155" s="565">
        <f>H4153+H4154</f>
        <v>0</v>
      </c>
      <c r="I4155" s="565">
        <f>I4153+I4154</f>
        <v>0</v>
      </c>
      <c r="J4155" s="1270"/>
    </row>
    <row r="4156" spans="5:10">
      <c r="E4156" s="1060" t="s">
        <v>1444</v>
      </c>
      <c r="F4156" s="566">
        <f>审定资负表!H38</f>
        <v>0</v>
      </c>
      <c r="G4156" s="451"/>
      <c r="H4156" s="451"/>
      <c r="I4156" s="566">
        <f>审定资负表!G38</f>
        <v>0</v>
      </c>
      <c r="J4156" s="1271"/>
    </row>
    <row r="4157" spans="5:10">
      <c r="E4157" s="1060" t="s">
        <v>1394</v>
      </c>
      <c r="F4157" s="87">
        <f>ROUND(F4155-F4156,2)</f>
        <v>0</v>
      </c>
      <c r="G4157" s="451"/>
      <c r="H4157" s="451"/>
      <c r="I4157" s="87">
        <f>ROUND(I4155-I4156,2)</f>
        <v>0</v>
      </c>
      <c r="J4157" s="1271"/>
    </row>
  </sheetData>
  <sheetProtection formatCells="0" formatColumns="0" formatRows="0" insertHyperlinks="0" sort="0" autoFilter="0" pivotTables="0"/>
  <mergeCells count="195">
    <mergeCell ref="F2:H2"/>
    <mergeCell ref="I2:K2"/>
    <mergeCell ref="E58:G58"/>
    <mergeCell ref="E59:G59"/>
    <mergeCell ref="E96:I96"/>
    <mergeCell ref="E98:I98"/>
    <mergeCell ref="E119:I119"/>
    <mergeCell ref="E121:I121"/>
    <mergeCell ref="F197:I197"/>
    <mergeCell ref="J197:M197"/>
    <mergeCell ref="F209:I209"/>
    <mergeCell ref="J209:M209"/>
    <mergeCell ref="F320:I320"/>
    <mergeCell ref="J320:M320"/>
    <mergeCell ref="F563:I563"/>
    <mergeCell ref="J563:M563"/>
    <mergeCell ref="F575:I575"/>
    <mergeCell ref="J575:M575"/>
    <mergeCell ref="F687:I687"/>
    <mergeCell ref="J687:M687"/>
    <mergeCell ref="H903:J903"/>
    <mergeCell ref="E1053:K1053"/>
    <mergeCell ref="E1086:K1086"/>
    <mergeCell ref="G1120:I1120"/>
    <mergeCell ref="J1120:K1120"/>
    <mergeCell ref="G1143:H1143"/>
    <mergeCell ref="F1228:H1228"/>
    <mergeCell ref="I1228:K1228"/>
    <mergeCell ref="H1507:I1507"/>
    <mergeCell ref="H1728:J1728"/>
    <mergeCell ref="E2119:F2119"/>
    <mergeCell ref="H2195:K2195"/>
    <mergeCell ref="L2195:O2195"/>
    <mergeCell ref="F2355:G2355"/>
    <mergeCell ref="H2355:I2355"/>
    <mergeCell ref="G2403:K2403"/>
    <mergeCell ref="F2536:G2536"/>
    <mergeCell ref="H2536:I2536"/>
    <mergeCell ref="J2536:K2536"/>
    <mergeCell ref="F2555:G2555"/>
    <mergeCell ref="F2573:G2573"/>
    <mergeCell ref="I2660:J2660"/>
    <mergeCell ref="I3079:M3079"/>
    <mergeCell ref="I3080:M3080"/>
    <mergeCell ref="I3088:M3088"/>
    <mergeCell ref="E3089:N3089"/>
    <mergeCell ref="H3122:I3122"/>
    <mergeCell ref="H3138:I3138"/>
    <mergeCell ref="J3138:K3138"/>
    <mergeCell ref="I3359:J3359"/>
    <mergeCell ref="K3359:L3359"/>
    <mergeCell ref="E3468:I3468"/>
    <mergeCell ref="E3471:I3471"/>
    <mergeCell ref="I3475:J3475"/>
    <mergeCell ref="K3475:L3475"/>
    <mergeCell ref="F3668:H3668"/>
    <mergeCell ref="I3668:K3668"/>
    <mergeCell ref="E3700:J3700"/>
    <mergeCell ref="E3712:J3712"/>
    <mergeCell ref="F3731:G3731"/>
    <mergeCell ref="H3731:I3731"/>
    <mergeCell ref="K3731:L3731"/>
    <mergeCell ref="M3731:N3731"/>
    <mergeCell ref="O3731:P3731"/>
    <mergeCell ref="I3934:J3934"/>
    <mergeCell ref="F4034:L4034"/>
    <mergeCell ref="F4035:L4035"/>
    <mergeCell ref="G4039:K4039"/>
    <mergeCell ref="E4055:L4055"/>
    <mergeCell ref="E197:E198"/>
    <mergeCell ref="E209:E210"/>
    <mergeCell ref="E388:E389"/>
    <mergeCell ref="E563:E564"/>
    <mergeCell ref="E575:E577"/>
    <mergeCell ref="E731:E732"/>
    <mergeCell ref="E903:E904"/>
    <mergeCell ref="E1120:E1121"/>
    <mergeCell ref="E1228:E1229"/>
    <mergeCell ref="E1507:E1508"/>
    <mergeCell ref="E1728:E1729"/>
    <mergeCell ref="E2195:E2196"/>
    <mergeCell ref="E2283:E2284"/>
    <mergeCell ref="E2355:E2356"/>
    <mergeCell ref="E2403:E2404"/>
    <mergeCell ref="E2536:E2537"/>
    <mergeCell ref="E2555:E2556"/>
    <mergeCell ref="E2573:E2574"/>
    <mergeCell ref="E3079:E3082"/>
    <mergeCell ref="E3359:E3360"/>
    <mergeCell ref="E3388:E3389"/>
    <mergeCell ref="E3398:E3399"/>
    <mergeCell ref="E3409:E3410"/>
    <mergeCell ref="E3418:E3419"/>
    <mergeCell ref="E3432:E3433"/>
    <mergeCell ref="E3443:E3444"/>
    <mergeCell ref="E3475:E3476"/>
    <mergeCell ref="E3668:E3669"/>
    <mergeCell ref="E3731:E3732"/>
    <mergeCell ref="E3934:E3935"/>
    <mergeCell ref="F388:F389"/>
    <mergeCell ref="F576:F577"/>
    <mergeCell ref="F731:F732"/>
    <mergeCell ref="F903:F904"/>
    <mergeCell ref="F1507:F1508"/>
    <mergeCell ref="F1728:F1729"/>
    <mergeCell ref="F2195:F2196"/>
    <mergeCell ref="F2283:F2284"/>
    <mergeCell ref="F2403:F2404"/>
    <mergeCell ref="F3079:F3082"/>
    <mergeCell ref="F3359:F3360"/>
    <mergeCell ref="F3388:F3389"/>
    <mergeCell ref="F3398:F3399"/>
    <mergeCell ref="F3409:F3410"/>
    <mergeCell ref="F3418:F3419"/>
    <mergeCell ref="F3432:F3433"/>
    <mergeCell ref="F3443:F3444"/>
    <mergeCell ref="F3475:F3476"/>
    <mergeCell ref="F3934:F3935"/>
    <mergeCell ref="F4039:F4040"/>
    <mergeCell ref="G388:G389"/>
    <mergeCell ref="G576:G577"/>
    <mergeCell ref="G731:G732"/>
    <mergeCell ref="G903:G904"/>
    <mergeCell ref="G1507:G1508"/>
    <mergeCell ref="G1728:G1729"/>
    <mergeCell ref="G2195:G2196"/>
    <mergeCell ref="G2283:G2284"/>
    <mergeCell ref="G2604:G2605"/>
    <mergeCell ref="G3079:G3081"/>
    <mergeCell ref="G3359:G3360"/>
    <mergeCell ref="G3475:G3476"/>
    <mergeCell ref="G3934:G3935"/>
    <mergeCell ref="H388:H389"/>
    <mergeCell ref="H576:H577"/>
    <mergeCell ref="H731:H732"/>
    <mergeCell ref="H2283:H2284"/>
    <mergeCell ref="H3079:H3081"/>
    <mergeCell ref="H3359:H3360"/>
    <mergeCell ref="H3388:H3389"/>
    <mergeCell ref="H3398:H3399"/>
    <mergeCell ref="H3409:H3410"/>
    <mergeCell ref="H3418:H3419"/>
    <mergeCell ref="H3432:H3433"/>
    <mergeCell ref="H3443:H3444"/>
    <mergeCell ref="H3475:H3476"/>
    <mergeCell ref="H3934:H3935"/>
    <mergeCell ref="I388:I389"/>
    <mergeCell ref="I576:I577"/>
    <mergeCell ref="I731:I732"/>
    <mergeCell ref="I2283:I2284"/>
    <mergeCell ref="I3388:I3389"/>
    <mergeCell ref="I3398:I3399"/>
    <mergeCell ref="I3409:I3410"/>
    <mergeCell ref="I3418:I3419"/>
    <mergeCell ref="I3432:I3433"/>
    <mergeCell ref="I3443:I3444"/>
    <mergeCell ref="J388:J389"/>
    <mergeCell ref="J576:J577"/>
    <mergeCell ref="J731:J732"/>
    <mergeCell ref="J1507:J1508"/>
    <mergeCell ref="J2283:J2284"/>
    <mergeCell ref="J3388:J3389"/>
    <mergeCell ref="J3398:J3399"/>
    <mergeCell ref="J3409:J3410"/>
    <mergeCell ref="J3418:J3419"/>
    <mergeCell ref="J3432:J3433"/>
    <mergeCell ref="J3443:J3444"/>
    <mergeCell ref="J3731:J3732"/>
    <mergeCell ref="K576:K577"/>
    <mergeCell ref="K903:K904"/>
    <mergeCell ref="K1728:K1729"/>
    <mergeCell ref="K3388:K3389"/>
    <mergeCell ref="K3398:K3399"/>
    <mergeCell ref="K3409:K3410"/>
    <mergeCell ref="K3418:K3419"/>
    <mergeCell ref="K3432:K3433"/>
    <mergeCell ref="K3443:K3444"/>
    <mergeCell ref="K3934:K3935"/>
    <mergeCell ref="L576:L577"/>
    <mergeCell ref="L1728:L1729"/>
    <mergeCell ref="L2403:L2404"/>
    <mergeCell ref="L3934:L3935"/>
    <mergeCell ref="L4039:L4040"/>
    <mergeCell ref="M576:M577"/>
    <mergeCell ref="M1728:M1729"/>
    <mergeCell ref="N1728:N1729"/>
    <mergeCell ref="N3079:N3081"/>
    <mergeCell ref="O1728:O1729"/>
    <mergeCell ref="O3079:O3081"/>
    <mergeCell ref="P1728:P1729"/>
    <mergeCell ref="P3079:P3081"/>
    <mergeCell ref="Q1728:Q1729"/>
    <mergeCell ref="R1728:R1729"/>
    <mergeCell ref="S1728:S1729"/>
    <mergeCell ref="E2604:F2605"/>
  </mergeCells>
  <conditionalFormatting sqref="G27">
    <cfRule type="cellIs" dxfId="8" priority="73" operator="notEqual">
      <formula>0</formula>
    </cfRule>
  </conditionalFormatting>
  <conditionalFormatting sqref="E40">
    <cfRule type="containsText" dxfId="6" priority="74" operator="between" text="文字描述">
      <formula>NOT(ISERROR(SEARCH("文字描述",E40)))</formula>
    </cfRule>
  </conditionalFormatting>
  <conditionalFormatting sqref="H72">
    <cfRule type="containsText" dxfId="6" priority="66" operator="between" text="文字描述">
      <formula>NOT(ISERROR(SEARCH("文字描述",H72)))</formula>
    </cfRule>
  </conditionalFormatting>
  <conditionalFormatting sqref="I1310">
    <cfRule type="containsText" dxfId="7" priority="82" operator="between" text="不">
      <formula>NOT(ISERROR(SEARCH("不",I1310)))</formula>
    </cfRule>
    <cfRule type="cellIs" dxfId="8" priority="81" operator="notEqual">
      <formula>0</formula>
    </cfRule>
  </conditionalFormatting>
  <conditionalFormatting sqref="F1982">
    <cfRule type="containsText" dxfId="7" priority="94" operator="between" text="不">
      <formula>NOT(ISERROR(SEARCH("不",F1982)))</formula>
    </cfRule>
    <cfRule type="cellIs" dxfId="8" priority="93" operator="notEqual">
      <formula>0</formula>
    </cfRule>
  </conditionalFormatting>
  <conditionalFormatting sqref="H1982">
    <cfRule type="containsText" dxfId="7" priority="78" operator="between" text="不">
      <formula>NOT(ISERROR(SEARCH("不",H1982)))</formula>
    </cfRule>
    <cfRule type="cellIs" dxfId="8" priority="77" operator="notEqual">
      <formula>0</formula>
    </cfRule>
  </conditionalFormatting>
  <conditionalFormatting sqref="E2566">
    <cfRule type="containsText" dxfId="6" priority="31" operator="between" text="文字描述">
      <formula>NOT(ISERROR(SEARCH("文字描述",E2566)))</formula>
    </cfRule>
  </conditionalFormatting>
  <conditionalFormatting sqref="G2995">
    <cfRule type="containsText" dxfId="7" priority="70" operator="between" text="不">
      <formula>NOT(ISERROR(SEARCH("不",G2995)))</formula>
    </cfRule>
    <cfRule type="cellIs" dxfId="8" priority="69" operator="notEqual">
      <formula>0</formula>
    </cfRule>
  </conditionalFormatting>
  <conditionalFormatting sqref="F3005:G3005">
    <cfRule type="containsText" dxfId="7" priority="80" operator="between" text="不">
      <formula>NOT(ISERROR(SEARCH("不",F3005)))</formula>
    </cfRule>
    <cfRule type="cellIs" dxfId="8" priority="79" operator="notEqual">
      <formula>0</formula>
    </cfRule>
  </conditionalFormatting>
  <conditionalFormatting sqref="E3051">
    <cfRule type="containsText" dxfId="6" priority="35" operator="between" text="文字描述">
      <formula>NOT(ISERROR(SEARCH("文字描述",E3051)))</formula>
    </cfRule>
  </conditionalFormatting>
  <conditionalFormatting sqref="I3158">
    <cfRule type="containsText" dxfId="7" priority="36" operator="between" text="不">
      <formula>NOT(ISERROR(SEARCH("不",I3158)))</formula>
    </cfRule>
  </conditionalFormatting>
  <conditionalFormatting sqref="E3166">
    <cfRule type="containsText" dxfId="6" priority="38" operator="between" text="文字描述">
      <formula>NOT(ISERROR(SEARCH("文字描述",E3166)))</formula>
    </cfRule>
  </conditionalFormatting>
  <conditionalFormatting sqref="F3792:G3792">
    <cfRule type="containsText" dxfId="7" priority="59" operator="between" text="不">
      <formula>NOT(ISERROR(SEARCH("不",F3792)))</formula>
    </cfRule>
    <cfRule type="cellIs" dxfId="8" priority="58" operator="notEqual">
      <formula>0</formula>
    </cfRule>
  </conditionalFormatting>
  <conditionalFormatting sqref="E3793">
    <cfRule type="containsText" dxfId="6" priority="60" operator="between" text="文字描述">
      <formula>NOT(ISERROR(SEARCH("文字描述",E3793)))</formula>
    </cfRule>
  </conditionalFormatting>
  <conditionalFormatting sqref="J3842">
    <cfRule type="containsText" dxfId="7" priority="96" operator="between" text="不">
      <formula>NOT(ISERROR(SEARCH("不",J3842)))</formula>
    </cfRule>
    <cfRule type="cellIs" dxfId="8" priority="95" operator="notEqual">
      <formula>0</formula>
    </cfRule>
  </conditionalFormatting>
  <conditionalFormatting sqref="H3918">
    <cfRule type="containsText" dxfId="7" priority="90" operator="between" text="不">
      <formula>NOT(ISERROR(SEARCH("不",H3918)))</formula>
    </cfRule>
    <cfRule type="cellIs" dxfId="8" priority="89" operator="notEqual">
      <formula>0</formula>
    </cfRule>
  </conditionalFormatting>
  <conditionalFormatting sqref="J3918">
    <cfRule type="containsText" dxfId="7" priority="84" operator="between" text="不">
      <formula>NOT(ISERROR(SEARCH("不",J3918)))</formula>
    </cfRule>
    <cfRule type="cellIs" dxfId="8" priority="83" operator="notEqual">
      <formula>0</formula>
    </cfRule>
  </conditionalFormatting>
  <conditionalFormatting sqref="L3918">
    <cfRule type="containsText" dxfId="7" priority="86" operator="between" text="不">
      <formula>NOT(ISERROR(SEARCH("不",L3918)))</formula>
    </cfRule>
    <cfRule type="cellIs" dxfId="8" priority="85" operator="notEqual">
      <formula>0</formula>
    </cfRule>
  </conditionalFormatting>
  <conditionalFormatting sqref="E4036">
    <cfRule type="containsText" dxfId="6" priority="63" operator="between" text="文字描述">
      <formula>NOT(ISERROR(SEARCH("文字描述",E4036)))</formula>
    </cfRule>
  </conditionalFormatting>
  <conditionalFormatting sqref="E4038">
    <cfRule type="containsText" dxfId="6" priority="45" operator="between" text="文字描述">
      <formula>NOT(ISERROR(SEARCH("文字描述",E4038)))</formula>
    </cfRule>
  </conditionalFormatting>
  <conditionalFormatting sqref="F4038:L4038">
    <cfRule type="containsText" dxfId="6" priority="46" operator="between" text="文字描述">
      <formula>NOT(ISERROR(SEARCH("文字描述",F4038)))</formula>
    </cfRule>
  </conditionalFormatting>
  <conditionalFormatting sqref="G4039">
    <cfRule type="containsText" dxfId="6" priority="50" operator="between" text="文字描述">
      <formula>NOT(ISERROR(SEARCH("文字描述",G4039)))</formula>
    </cfRule>
  </conditionalFormatting>
  <conditionalFormatting sqref="L4039">
    <cfRule type="containsText" dxfId="6" priority="47" operator="between" text="文字描述">
      <formula>NOT(ISERROR(SEARCH("文字描述",L4039)))</formula>
    </cfRule>
  </conditionalFormatting>
  <conditionalFormatting sqref="G4040">
    <cfRule type="containsText" dxfId="6" priority="49" operator="between" text="文字描述">
      <formula>NOT(ISERROR(SEARCH("文字描述",G4040)))</formula>
    </cfRule>
  </conditionalFormatting>
  <conditionalFormatting sqref="H4040:K4040">
    <cfRule type="containsText" dxfId="6" priority="48" operator="between" text="文字描述">
      <formula>NOT(ISERROR(SEARCH("文字描述",H4040)))</formula>
    </cfRule>
  </conditionalFormatting>
  <conditionalFormatting sqref="F4057">
    <cfRule type="containsText" dxfId="7" priority="44" operator="between" text="不">
      <formula>NOT(ISERROR(SEARCH("不",F4057)))</formula>
    </cfRule>
    <cfRule type="cellIs" dxfId="8" priority="43" operator="notEqual">
      <formula>0</formula>
    </cfRule>
  </conditionalFormatting>
  <conditionalFormatting sqref="J4057">
    <cfRule type="containsText" dxfId="7" priority="6" operator="between" text="不">
      <formula>NOT(ISERROR(SEARCH("不",J4057)))</formula>
    </cfRule>
    <cfRule type="cellIs" dxfId="8" priority="5" operator="notEqual">
      <formula>0</formula>
    </cfRule>
  </conditionalFormatting>
  <conditionalFormatting sqref="L4057">
    <cfRule type="containsText" dxfId="7" priority="40" operator="between" text="不">
      <formula>NOT(ISERROR(SEARCH("不",L4057)))</formula>
    </cfRule>
    <cfRule type="cellIs" dxfId="8" priority="39" operator="notEqual">
      <formula>0</formula>
    </cfRule>
  </conditionalFormatting>
  <conditionalFormatting sqref="F4072:G4072">
    <cfRule type="containsText" dxfId="7" priority="28" operator="between" text="不">
      <formula>NOT(ISERROR(SEARCH("不",F4072)))</formula>
    </cfRule>
    <cfRule type="cellIs" dxfId="8" priority="27" operator="notEqual">
      <formula>0</formula>
    </cfRule>
  </conditionalFormatting>
  <conditionalFormatting sqref="F4087:G4087">
    <cfRule type="containsText" dxfId="7" priority="24" operator="between" text="不">
      <formula>NOT(ISERROR(SEARCH("不",F4087)))</formula>
    </cfRule>
    <cfRule type="cellIs" dxfId="8" priority="23" operator="notEqual">
      <formula>0</formula>
    </cfRule>
  </conditionalFormatting>
  <conditionalFormatting sqref="E4089">
    <cfRule type="containsText" dxfId="6" priority="22" operator="between" text="文字描述">
      <formula>NOT(ISERROR(SEARCH("文字描述",E4089)))</formula>
    </cfRule>
  </conditionalFormatting>
  <conditionalFormatting sqref="F4102:G4102">
    <cfRule type="containsText" dxfId="7" priority="19" operator="between" text="不">
      <formula>NOT(ISERROR(SEARCH("不",F4102)))</formula>
    </cfRule>
    <cfRule type="cellIs" dxfId="8" priority="18" operator="notEqual">
      <formula>0</formula>
    </cfRule>
  </conditionalFormatting>
  <conditionalFormatting sqref="E4104">
    <cfRule type="containsText" dxfId="6" priority="17" operator="between" text="文字描述">
      <formula>NOT(ISERROR(SEARCH("文字描述",E4104)))</formula>
    </cfRule>
  </conditionalFormatting>
  <conditionalFormatting sqref="E4106">
    <cfRule type="containsText" dxfId="6" priority="1" operator="between" text="文字描述">
      <formula>NOT(ISERROR(SEARCH("文字描述",E4106)))</formula>
    </cfRule>
  </conditionalFormatting>
  <conditionalFormatting sqref="F4117:G4117">
    <cfRule type="containsText" dxfId="7" priority="14" operator="between" text="不">
      <formula>NOT(ISERROR(SEARCH("不",F4117)))</formula>
    </cfRule>
    <cfRule type="cellIs" dxfId="8" priority="13" operator="notEqual">
      <formula>0</formula>
    </cfRule>
  </conditionalFormatting>
  <conditionalFormatting sqref="E4119">
    <cfRule type="containsText" dxfId="6" priority="9" operator="between" text="文字描述">
      <formula>NOT(ISERROR(SEARCH("文字描述",E4119)))</formula>
    </cfRule>
  </conditionalFormatting>
  <conditionalFormatting sqref="F4149:G4149">
    <cfRule type="containsText" dxfId="7" priority="11" operator="between" text="不">
      <formula>NOT(ISERROR(SEARCH("不",F4149)))</formula>
    </cfRule>
    <cfRule type="cellIs" dxfId="8" priority="10" operator="notEqual">
      <formula>0</formula>
    </cfRule>
  </conditionalFormatting>
  <conditionalFormatting sqref="E849:E854">
    <cfRule type="containsText" dxfId="6" priority="68" operator="between" text="文字描述">
      <formula>NOT(ISERROR(SEARCH("文字描述",E849)))</formula>
    </cfRule>
  </conditionalFormatting>
  <conditionalFormatting sqref="E905:E910">
    <cfRule type="containsText" dxfId="6" priority="67" operator="between" text="文字描述">
      <formula>NOT(ISERROR(SEARCH("文字描述",E905)))</formula>
    </cfRule>
  </conditionalFormatting>
  <conditionalFormatting sqref="E2040:E2042">
    <cfRule type="containsText" dxfId="6" priority="53" operator="between" text="文字描述">
      <formula>NOT(ISERROR(SEARCH("文字描述",E2040)))</formula>
    </cfRule>
  </conditionalFormatting>
  <conditionalFormatting sqref="E3128:E3130">
    <cfRule type="containsText" dxfId="6" priority="32" operator="between" text="文字描述">
      <formula>NOT(ISERROR(SEARCH("文字描述",E3128)))</formula>
    </cfRule>
  </conditionalFormatting>
  <conditionalFormatting sqref="E3178:E3179">
    <cfRule type="containsText" dxfId="6" priority="37" operator="between" text="文字描述">
      <formula>NOT(ISERROR(SEARCH("文字描述",E3178)))</formula>
    </cfRule>
  </conditionalFormatting>
  <conditionalFormatting sqref="E3921:E3929">
    <cfRule type="containsText" dxfId="6" priority="76" operator="between" text="文字描述">
      <formula>NOT(ISERROR(SEARCH("文字描述",E3921)))</formula>
    </cfRule>
  </conditionalFormatting>
  <conditionalFormatting sqref="E4030:E4031">
    <cfRule type="containsText" dxfId="6" priority="64" operator="between" text="文字描述">
      <formula>NOT(ISERROR(SEARCH("文字描述",E4030)))</formula>
    </cfRule>
  </conditionalFormatting>
  <conditionalFormatting sqref="E4059:E4070">
    <cfRule type="containsText" dxfId="6" priority="30" operator="between" text="文字描述">
      <formula>NOT(ISERROR(SEARCH("文字描述",E4059)))</formula>
    </cfRule>
  </conditionalFormatting>
  <conditionalFormatting sqref="E4071:E4072">
    <cfRule type="containsText" dxfId="6" priority="29" operator="between" text="文字描述">
      <formula>NOT(ISERROR(SEARCH("文字描述",E4071)))</formula>
    </cfRule>
  </conditionalFormatting>
  <conditionalFormatting sqref="E4074:E4085">
    <cfRule type="containsText" dxfId="6" priority="26" operator="between" text="文字描述">
      <formula>NOT(ISERROR(SEARCH("文字描述",E4074)))</formula>
    </cfRule>
  </conditionalFormatting>
  <conditionalFormatting sqref="E4086:E4087">
    <cfRule type="containsText" dxfId="6" priority="25" operator="between" text="文字描述">
      <formula>NOT(ISERROR(SEARCH("文字描述",E4086)))</formula>
    </cfRule>
  </conditionalFormatting>
  <conditionalFormatting sqref="E4090:E4100">
    <cfRule type="containsText" dxfId="6" priority="21" operator="between" text="文字描述">
      <formula>NOT(ISERROR(SEARCH("文字描述",E4090)))</formula>
    </cfRule>
  </conditionalFormatting>
  <conditionalFormatting sqref="E4101:E4102">
    <cfRule type="containsText" dxfId="6" priority="20" operator="between" text="文字描述">
      <formula>NOT(ISERROR(SEARCH("文字描述",E4101)))</formula>
    </cfRule>
  </conditionalFormatting>
  <conditionalFormatting sqref="E4116:E4117">
    <cfRule type="containsText" dxfId="6" priority="15" operator="between" text="文字描述">
      <formula>NOT(ISERROR(SEARCH("文字描述",E4116)))</formula>
    </cfRule>
  </conditionalFormatting>
  <conditionalFormatting sqref="E4120:E4149">
    <cfRule type="containsText" dxfId="6" priority="12" operator="between" text="文字描述">
      <formula>NOT(ISERROR(SEARCH("文字描述",E4120)))</formula>
    </cfRule>
  </conditionalFormatting>
  <conditionalFormatting sqref="E4151:E4157">
    <cfRule type="containsText" dxfId="6" priority="4" operator="between" text="文字描述">
      <formula>NOT(ISERROR(SEARCH("文字描述",E4151)))</formula>
    </cfRule>
  </conditionalFormatting>
  <conditionalFormatting sqref="E118:E220 E3844:E3850 E2912:E2961 F2887:G2887 E2197:O2200 E2144:I2144 F2752:G2752 I3549:J3549 E2847 E2877:E2883 F2823:G2823 E2817:E2819 E2821:E2838 E2145:E2196 E2283:H2305 E2885:E2902 E2776 E2763:E2767 I2914:I2925 D1567:D1578 F582:M582 E109 E95:E100 E319:E329 E455:E457 E89 E1657:F1657 E1667:F1667 E1658:E1666 E60:E82 E499:E848 E856:E904 E1668:E1900 E3895:E3903 E3905:E3918 E1902:E2039 E3920 E1:E34 E41:E56 E2547:E2556 E2567:E2574 E3154:E3165 E1222:E1421 E1426:E1656 E3990:E3991 E3930:E3933 E3937:E3943 E3945:E3951 E1039 E1049:E1220 E4032:E4035 E3794:E3795 E3749:E3792 E2043:E2143 E2578:E2754 E4055:E4058 E4037 E4039:E4052 E3167:E3177 E911:E1031 E2201:E2537 E3180:E3747 E2963:E3035 E3037:E3050 E3052:E3127 E3131:E3152 E4073 E4088 E4103 E4118 E4150 E4158:E1048576">
    <cfRule type="containsText" dxfId="6" priority="227" operator="between" text="文字描述">
      <formula>NOT(ISERROR(SEARCH("文字描述",D1)))</formula>
    </cfRule>
  </conditionalFormatting>
  <conditionalFormatting sqref="J3894 J3892 F3223:G3223 F3221:G3221 N2233:N2235 F2436 J2436 F2467 I2467 F2553:I2553 F2571:I2571 F2589:I2589 F2653:G2653 F2533:I2533 F2675:G2675 F2728:G2728 F2748:G2748 F2822:G2822 F2886:G2886 F2927:G2927 F2959:G2959 F3155:G3155 F3157:G3157 F1780:G1780 F1804:G1804 F1818:G1818 F1835:G1835 F1899:G1899 F1362:G1362 I1982 F2019 I2019 F2059:G2059 F2073:G2073 F2169 I2169 F2182:G2182 F2191:G2191 F2265:G2265 F2280:G2280 N2327 G2344:H2344 F2379 I2379 F2396:G2396 F2421 L2421 F2489 I2489 F2512:G2512 F2476 I2476 F2632:G2632 F3004:G3004 F2703:G2703 F2033:G2033 J2327 F2995 I3789 I3791 J3840 H1083 K1083 F1512:H1512 F1575 I1575 F1631 I556 F584:F587 H584:H587 J584:J587 L584:L587 H27 F207 J207 F217:F220 L330:L498 J456:J498 H456:H457 F456:F457 H217:H220 J217:J220 L217:L220 H469:H498 G727:H727 I776 H804 F319 L319 J319 H319 F1117 K27 F56:G56 F78:G78 F508 H508 F573 J573 F151 I151 F182 I182 H866 K866 F956:G956 F968:G968 F996:G996 F1022:G1022 J1170 H1276 K1276 F1346 I1346 F1389 I1389 F1412 I1412 F1482 G1554 K1554 F1504 I1504 G1593:H1593 H1631 F1633 G1310 F1320 I1320 Q1310 F1170 F2993:G2993 I1117 I1482 H1633 F3190:G3190 F3192:G3192 J3838">
    <cfRule type="cellIs" dxfId="8" priority="221" operator="notEqual">
      <formula>0</formula>
    </cfRule>
  </conditionalFormatting>
  <conditionalFormatting sqref="H1828:H1832 H1894:H1896 H2066:H2070 J503:J505 O565:O570 R572 O199:O204 R206 O322:O327 O689:O694">
    <cfRule type="containsText" dxfId="7" priority="226" operator="between" text="不合理">
      <formula>NOT(ISERROR(SEARCH("不合理",H199)))</formula>
    </cfRule>
  </conditionalFormatting>
  <conditionalFormatting sqref="G506 I506 G581 G571 K581 K571 G205 K205 G214 K214 G695 K695">
    <cfRule type="cellIs" dxfId="8" priority="220" operator="between">
      <formula>0.0001</formula>
      <formula>0.9999</formula>
    </cfRule>
  </conditionalFormatting>
  <conditionalFormatting sqref="J3894 J3892 F3221:G3221 F3223:G3223 G2909:G2911 I3156:I3157 N2233:N2235 F2265:G2265 F2436 J2436 F2467 I2467 F2553:I2553 F2571:I2571 F2589:I2589 F2653:G2653 H2711:I2725 F2533:I2533 F2675:G2675 F2728:G2728 F2748:G2748 F2822:G2822 F2886:G2886 F2927:G2927 F2959:G2959 F3155:G3155 F3157:G3157 F1780:G1780 F1804:G1804 F1818:G1818 F1835:G1835 F1899:G1899 F1362:G1362 I1982 F2019 I2019 F2059:G2059 F2073:G2073 F2169 I2169 F2182:G2182 F2191:G2191 F2280:G2280 N2327 G2344:H2344 F2379 I2379 F2396:G2396 F2421 L2421 F2489 I2489 F2512:G2512 F2476 I2476 F2632:G2632 F3004:G3004 F2703:G2703 F2033:G2033 J2327 F2995 I3789 I3791 J3840 H866 K866 H1083 K1083 F1512:H1512 F1575 I1575 F1631 R1734:S1736 R1738:S1739 R1741:S1743 F508 H508 G507 I507 I556 F573 J573 J584:J587 G584 G572 K572 G206 K206 L584:L587 H469 R1730:S1731 G217:G220 G319 K319 F1117 K584 G727:H727 I776 K330:K411 H804 K217:K220 G456:G457 F584:F587 H584:H587 F956:G956 F968:G968 F996:G996 F1022:G1022 J1170 H1276 K1276 F1346 I1346 F1389 I1389 F1412 I1412 F1482 G1554 K1554 F1504 I1504 G1593:H1593 H1631 F1633 G1310 F1320 I1320 Q1310 F1170 F2993:G2993 I1117 I1482 H1633 F3190:G3190 F3192:G3192 J3838 K414:K428 K434:K439 K430:K432 K441:K498">
    <cfRule type="containsText" dxfId="7" priority="222" operator="between" text="不">
      <formula>NOT(ISERROR(SEARCH("不",F206)))</formula>
    </cfRule>
  </conditionalFormatting>
  <conditionalFormatting sqref="Q272:Q318 Q223:Q269 Q590:Q636 Q639:Q685">
    <cfRule type="containsText" dxfId="7" priority="225" operator="between" text="错误请核对">
      <formula>NOT(ISERROR(SEARCH("错误请核对",Q223)))</formula>
    </cfRule>
  </conditionalFormatting>
  <conditionalFormatting sqref="I3155 K1509 J1602:J1629">
    <cfRule type="containsText" dxfId="7" priority="223" operator="between" text="不">
      <formula>NOT(ISERROR(SEARCH("不",I1509)))</formula>
    </cfRule>
    <cfRule type="containsText" priority="224" operator="between" text="不">
      <formula>NOT(ISERROR(SEARCH("不",I1509)))</formula>
    </cfRule>
  </conditionalFormatting>
  <conditionalFormatting sqref="F3790:G3791">
    <cfRule type="containsText" dxfId="7" priority="55" operator="between" text="不">
      <formula>NOT(ISERROR(SEARCH("不",F3790)))</formula>
    </cfRule>
    <cfRule type="cellIs" dxfId="8" priority="54" operator="notEqual">
      <formula>0</formula>
    </cfRule>
  </conditionalFormatting>
  <conditionalFormatting sqref="E4105 E4107:E4115">
    <cfRule type="containsText" dxfId="6" priority="16" operator="between" text="文字描述">
      <formula>NOT(ISERROR(SEARCH("文字描述",E4105)))</formula>
    </cfRule>
  </conditionalFormatting>
  <conditionalFormatting sqref="F4157 I4157">
    <cfRule type="containsText" dxfId="7" priority="3" operator="between" text="不">
      <formula>NOT(ISERROR(SEARCH("不",F4157)))</formula>
    </cfRule>
    <cfRule type="cellIs" dxfId="8" priority="2" operator="notEqual">
      <formula>0</formula>
    </cfRule>
  </conditionalFormatting>
  <dataValidations count="1">
    <dataValidation type="list" allowBlank="1" showInputMessage="1" showErrorMessage="1" sqref="E40">
      <formula1>"4、贷款质押的银行存款,5、证券账户资金,6、保函保证金,7、土地保证金,8其他"</formula1>
    </dataValidation>
  </dataValidations>
  <hyperlinks>
    <hyperlink ref="F2752" location="'1.管理费用'!A1" display="连接表“1.管理费用”"/>
    <hyperlink ref="F2823" location="'2.销售费用'!A1" display="连接表“2.销售费用”"/>
    <hyperlink ref="G2732" location="报表附注合并期初用!C2312" display="(上期请点击连接填写)"/>
    <hyperlink ref="G2913" location="报表附注合并期初用!C2342" display="(上期请点击连接填写)"/>
    <hyperlink ref="G2979" location="报表附注合并期初用!C2392" display="(上期请点击连接填写)"/>
    <hyperlink ref="G2710" location="报表附注合并期初用!C2278" display="(上期请点击连接填写)"/>
    <hyperlink ref="G2659" location="报表附注合并期初用!C2248" display="(上期请点击连接填写)"/>
    <hyperlink ref="F1991" location="报表附注合并期初用!C1834" display="(期初请点击连接填写)"/>
    <hyperlink ref="F1952" location="报表附注合并期初用!C1726" display="(期初请点击连接填写)"/>
    <hyperlink ref="F1727" location="报表附注合并期初用!C1541" display="(期初请点击连接填写)"/>
    <hyperlink ref="G2621" location="报表附注合并期初用!C2226" display="(上期请点击连接填写)"/>
    <hyperlink ref="G2998" location="报表附注合并期初用!C2442" display="(上期请点击连接填写)"/>
    <hyperlink ref="F1418" location="报表附注!E3850" display="《无形资产》请点击连接填写"/>
    <hyperlink ref="F1142" location="报表附注!E3795" display="《固定资产》请点击连接填写"/>
    <hyperlink ref="F3795" location="报表附注!E1142" display="（返回公式连接表）"/>
    <hyperlink ref="F3850" location="报表附注!E1418" display="（返回公式连接表）"/>
    <hyperlink ref="F3749" location="报表附注!E1101" display="（返回公式连接表）"/>
    <hyperlink ref="G1770" location="报表附注合并期初用!C1562" display="(期初请点击连接填写)"/>
    <hyperlink ref="G1809" location="报表附注合并期初用!C1594" display="(期初请点击连接填写)"/>
    <hyperlink ref="G1824" location="报表附注合并期初用!C1610" display="(期初请点击连接填写)"/>
    <hyperlink ref="G1890" location="报表附注合并期初用!C1628" display="(期初请点击连接填写)"/>
    <hyperlink ref="G2063" location="报表附注合并期初用!C1872" display="(期初请点击连接填写)"/>
    <hyperlink ref="G2174" location="报表附注合并期初用!C1921" display="(期初请点击连接填写)"/>
    <hyperlink ref="F2470" location="报表附注合并期初用!C1979" display="(期初请点击连接填写)"/>
    <hyperlink ref="F2481" location="报表附注合并期初用!C1993" display="(期初请点击连接填写)"/>
    <hyperlink ref="G2527" location="报表附注合并期初用!C2016" display="(上期请点击连接填写)"/>
    <hyperlink ref="F1101" location="报表附注!E3749" display="《投资性房地产》请点击连接填写"/>
    <hyperlink ref="H1599" location="报表附注合并期初用!C1191" display="(期初请点击连接填写)"/>
    <hyperlink ref="I1599" location="报表附注合并期初用!C1220" display="(期初请点击连接填写)"/>
    <hyperlink ref="H1" location="附注、报表核对!A1" display="【返回】附注、报表核对"/>
    <hyperlink ref="I1" location="现流表勾稽!A1" display="【返回】现流表勾稽"/>
    <hyperlink ref="J1" location="审定资负表!A1" display="【返回】审定资负表"/>
    <hyperlink ref="K1" location="本月审定利润表!A1" display="【返回】本月审定利润表"/>
    <hyperlink ref="L1" location="本月审定现流表!A1" display="【返回】本月审定现流表"/>
    <hyperlink ref="I2527" location="报表附注合并期初用!C2024" display="(上期请点击连接填写)"/>
    <hyperlink ref="F2158" location="报表附注合并期初用!C1890" display="(期初请点击连接填写)"/>
    <hyperlink ref="G2272" location="报表附注合并期初用!C1951" display="(期初请点击连接填写)"/>
  </hyperlinks>
  <pageMargins left="0.7" right="0.7" top="0.75" bottom="0.75" header="0.3" footer="0.3"/>
  <pageSetup paperSize="9" orientation="portrait"/>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L2537"/>
  <sheetViews>
    <sheetView topLeftCell="B1" workbookViewId="0">
      <pane ySplit="1" topLeftCell="A1954" activePane="bottomLeft" state="frozen"/>
      <selection/>
      <selection pane="bottomLeft" activeCell="C1979" sqref="C1979"/>
    </sheetView>
  </sheetViews>
  <sheetFormatPr defaultColWidth="9" defaultRowHeight="11.25"/>
  <cols>
    <col min="1" max="1" width="14.25" style="1" hidden="1" customWidth="1"/>
    <col min="2" max="2" width="29.875" style="313" customWidth="1"/>
    <col min="3" max="3" width="19.375" style="1" customWidth="1"/>
    <col min="4" max="4" width="5.875" style="1" customWidth="1"/>
    <col min="5" max="5" width="16.375" style="1" customWidth="1"/>
    <col min="6" max="6" width="14.375" style="1" customWidth="1"/>
    <col min="7" max="7" width="19.5" style="1" customWidth="1"/>
    <col min="8" max="9" width="14.375" style="1" customWidth="1"/>
    <col min="10" max="10" width="23.5" style="314" customWidth="1"/>
    <col min="11" max="257" width="14.375" style="1" customWidth="1"/>
    <col min="258" max="16384" width="9" style="1"/>
  </cols>
  <sheetData>
    <row r="1" spans="1:10">
      <c r="A1" s="1" t="s">
        <v>60</v>
      </c>
      <c r="B1" s="313" t="s">
        <v>60</v>
      </c>
      <c r="C1" s="2" t="s">
        <v>4573</v>
      </c>
      <c r="D1" s="315"/>
      <c r="E1" s="2" t="s">
        <v>2784</v>
      </c>
      <c r="F1" s="316" t="s">
        <v>305</v>
      </c>
      <c r="G1" s="317" t="s">
        <v>1555</v>
      </c>
      <c r="H1" s="318"/>
      <c r="I1" s="1" t="s">
        <v>60</v>
      </c>
      <c r="J1" s="326" t="s">
        <v>4574</v>
      </c>
    </row>
    <row r="2" spans="4:11">
      <c r="D2" s="1" t="s">
        <v>1556</v>
      </c>
      <c r="K2" s="1" t="s">
        <v>1556</v>
      </c>
    </row>
    <row r="3" spans="1:11">
      <c r="A3" s="1" t="s">
        <v>1557</v>
      </c>
      <c r="B3" s="319" t="s">
        <v>1557</v>
      </c>
      <c r="D3" s="1" t="b">
        <f>EXACT(A3,B3)</f>
        <v>1</v>
      </c>
      <c r="H3" s="1" t="b">
        <f>I3=B3</f>
        <v>1</v>
      </c>
      <c r="I3" s="1" t="s">
        <v>1557</v>
      </c>
      <c r="K3" s="1" t="b">
        <v>1</v>
      </c>
    </row>
    <row r="4" ht="12" customHeight="1" spans="1:11">
      <c r="A4" s="1" t="s">
        <v>1558</v>
      </c>
      <c r="B4" s="319" t="s">
        <v>1558</v>
      </c>
      <c r="C4" s="320"/>
      <c r="D4" s="1" t="b">
        <f t="shared" ref="D4:D73" si="0">EXACT(A4,B4)</f>
        <v>1</v>
      </c>
      <c r="E4" s="320"/>
      <c r="H4" s="1" t="b">
        <f t="shared" ref="H4:H67" si="1">I4=B4</f>
        <v>1</v>
      </c>
      <c r="I4" s="1" t="s">
        <v>1558</v>
      </c>
      <c r="K4" s="1" t="b">
        <v>1</v>
      </c>
    </row>
    <row r="5" spans="1:11">
      <c r="A5" s="1" t="s">
        <v>320</v>
      </c>
      <c r="B5" s="321" t="str">
        <f>报表附注!E4</f>
        <v>现金</v>
      </c>
      <c r="C5" s="322">
        <f>J5</f>
        <v>0</v>
      </c>
      <c r="D5" s="1" t="b">
        <f t="shared" si="0"/>
        <v>1</v>
      </c>
      <c r="E5" s="315"/>
      <c r="H5" s="1" t="b">
        <f t="shared" si="1"/>
        <v>1</v>
      </c>
      <c r="I5" s="1" t="s">
        <v>320</v>
      </c>
      <c r="K5" s="1" t="b">
        <v>1</v>
      </c>
    </row>
    <row r="6" spans="1:11">
      <c r="A6" s="1" t="s">
        <v>322</v>
      </c>
      <c r="B6" s="321" t="str">
        <f>报表附注!E5</f>
        <v>其中：人民币</v>
      </c>
      <c r="C6" s="322">
        <f t="shared" ref="C6:C17" si="2">J6</f>
        <v>0</v>
      </c>
      <c r="D6" s="1" t="b">
        <f t="shared" si="0"/>
        <v>1</v>
      </c>
      <c r="E6" s="315"/>
      <c r="H6" s="1" t="b">
        <f t="shared" si="1"/>
        <v>1</v>
      </c>
      <c r="I6" s="1" t="s">
        <v>322</v>
      </c>
      <c r="K6" s="1" t="b">
        <v>1</v>
      </c>
    </row>
    <row r="7" spans="1:11">
      <c r="A7" s="1" t="s">
        <v>1559</v>
      </c>
      <c r="B7" s="321" t="str">
        <f>报表附注!E6</f>
        <v>美元</v>
      </c>
      <c r="C7" s="322">
        <f t="shared" si="2"/>
        <v>0</v>
      </c>
      <c r="D7" s="1" t="b">
        <f t="shared" si="0"/>
        <v>1</v>
      </c>
      <c r="E7" s="315"/>
      <c r="H7" s="1" t="b">
        <f t="shared" si="1"/>
        <v>1</v>
      </c>
      <c r="I7" s="1" t="s">
        <v>1559</v>
      </c>
      <c r="K7" s="1" t="b">
        <v>1</v>
      </c>
    </row>
    <row r="8" spans="1:11">
      <c r="A8" s="1" t="s">
        <v>1560</v>
      </c>
      <c r="B8" s="321" t="str">
        <f>报表附注!E7</f>
        <v>港币</v>
      </c>
      <c r="C8" s="322">
        <f t="shared" si="2"/>
        <v>0</v>
      </c>
      <c r="D8" s="1" t="b">
        <f t="shared" si="0"/>
        <v>1</v>
      </c>
      <c r="E8" s="315"/>
      <c r="H8" s="1" t="b">
        <f t="shared" si="1"/>
        <v>1</v>
      </c>
      <c r="I8" s="1" t="s">
        <v>1560</v>
      </c>
      <c r="K8" s="1" t="b">
        <v>1</v>
      </c>
    </row>
    <row r="9" spans="1:11">
      <c r="A9" s="1" t="s">
        <v>1561</v>
      </c>
      <c r="B9" s="321" t="str">
        <f>报表附注!E8</f>
        <v>欧元</v>
      </c>
      <c r="C9" s="322">
        <f t="shared" si="2"/>
        <v>0</v>
      </c>
      <c r="D9" s="1" t="b">
        <f t="shared" si="0"/>
        <v>1</v>
      </c>
      <c r="E9" s="315"/>
      <c r="H9" s="1" t="b">
        <f t="shared" si="1"/>
        <v>1</v>
      </c>
      <c r="I9" s="1" t="s">
        <v>1561</v>
      </c>
      <c r="K9" s="1" t="b">
        <v>1</v>
      </c>
    </row>
    <row r="10" spans="1:11">
      <c r="A10" s="1" t="s">
        <v>1562</v>
      </c>
      <c r="B10" s="321" t="str">
        <f>报表附注!E9</f>
        <v>日元</v>
      </c>
      <c r="C10" s="322">
        <f t="shared" si="2"/>
        <v>0</v>
      </c>
      <c r="D10" s="1" t="b">
        <f t="shared" si="0"/>
        <v>1</v>
      </c>
      <c r="E10" s="315"/>
      <c r="H10" s="1" t="b">
        <f t="shared" si="1"/>
        <v>1</v>
      </c>
      <c r="I10" s="1" t="s">
        <v>1562</v>
      </c>
      <c r="K10" s="1" t="b">
        <v>1</v>
      </c>
    </row>
    <row r="11" spans="1:11">
      <c r="A11" s="1" t="s">
        <v>332</v>
      </c>
      <c r="B11" s="321" t="str">
        <f>报表附注!E10</f>
        <v>银行存款</v>
      </c>
      <c r="C11" s="322">
        <f t="shared" si="2"/>
        <v>0</v>
      </c>
      <c r="D11" s="1" t="b">
        <f t="shared" si="0"/>
        <v>1</v>
      </c>
      <c r="E11" s="315"/>
      <c r="H11" s="1" t="b">
        <f t="shared" si="1"/>
        <v>1</v>
      </c>
      <c r="I11" s="1" t="s">
        <v>332</v>
      </c>
      <c r="K11" s="1" t="b">
        <v>1</v>
      </c>
    </row>
    <row r="12" spans="1:11">
      <c r="A12" s="1" t="s">
        <v>322</v>
      </c>
      <c r="B12" s="321" t="str">
        <f>报表附注!E11</f>
        <v>其中：人民币</v>
      </c>
      <c r="C12" s="322">
        <f t="shared" si="2"/>
        <v>0</v>
      </c>
      <c r="D12" s="1" t="b">
        <f t="shared" si="0"/>
        <v>1</v>
      </c>
      <c r="E12" s="315"/>
      <c r="H12" s="1" t="b">
        <f t="shared" si="1"/>
        <v>1</v>
      </c>
      <c r="I12" s="1" t="s">
        <v>322</v>
      </c>
      <c r="K12" s="1" t="b">
        <v>1</v>
      </c>
    </row>
    <row r="13" spans="1:11">
      <c r="A13" s="1" t="s">
        <v>1559</v>
      </c>
      <c r="B13" s="321" t="str">
        <f>报表附注!E12</f>
        <v>美元</v>
      </c>
      <c r="C13" s="322">
        <f t="shared" si="2"/>
        <v>0</v>
      </c>
      <c r="D13" s="1" t="b">
        <f t="shared" si="0"/>
        <v>1</v>
      </c>
      <c r="E13" s="315"/>
      <c r="H13" s="1" t="b">
        <f t="shared" si="1"/>
        <v>1</v>
      </c>
      <c r="I13" s="1" t="s">
        <v>1559</v>
      </c>
      <c r="K13" s="1" t="b">
        <v>1</v>
      </c>
    </row>
    <row r="14" spans="1:11">
      <c r="A14" s="1" t="s">
        <v>1563</v>
      </c>
      <c r="B14" s="321" t="str">
        <f>报表附注!E13</f>
        <v>     港币</v>
      </c>
      <c r="C14" s="322">
        <f t="shared" si="2"/>
        <v>0</v>
      </c>
      <c r="D14" s="1" t="b">
        <f t="shared" si="0"/>
        <v>1</v>
      </c>
      <c r="E14" s="315"/>
      <c r="H14" s="1" t="b">
        <f t="shared" si="1"/>
        <v>1</v>
      </c>
      <c r="I14" s="1" t="s">
        <v>1563</v>
      </c>
      <c r="K14" s="1" t="b">
        <v>1</v>
      </c>
    </row>
    <row r="15" spans="1:11">
      <c r="A15" s="1" t="s">
        <v>1561</v>
      </c>
      <c r="B15" s="321" t="str">
        <f>报表附注!E14</f>
        <v>欧元</v>
      </c>
      <c r="C15" s="322">
        <f t="shared" si="2"/>
        <v>0</v>
      </c>
      <c r="D15" s="1" t="b">
        <f t="shared" si="0"/>
        <v>1</v>
      </c>
      <c r="E15" s="315"/>
      <c r="H15" s="1" t="b">
        <f t="shared" si="1"/>
        <v>1</v>
      </c>
      <c r="I15" s="1" t="s">
        <v>1561</v>
      </c>
      <c r="K15" s="1" t="b">
        <v>1</v>
      </c>
    </row>
    <row r="16" spans="1:11">
      <c r="A16" s="1" t="s">
        <v>1562</v>
      </c>
      <c r="B16" s="321" t="str">
        <f>报表附注!E15</f>
        <v>日元</v>
      </c>
      <c r="C16" s="322">
        <f t="shared" si="2"/>
        <v>0</v>
      </c>
      <c r="D16" s="1" t="b">
        <f t="shared" si="0"/>
        <v>1</v>
      </c>
      <c r="E16" s="315"/>
      <c r="H16" s="1" t="b">
        <f t="shared" si="1"/>
        <v>1</v>
      </c>
      <c r="I16" s="1" t="s">
        <v>1562</v>
      </c>
      <c r="K16" s="1" t="b">
        <v>1</v>
      </c>
    </row>
    <row r="17" spans="1:11">
      <c r="A17" s="1" t="s">
        <v>1564</v>
      </c>
      <c r="B17" s="321" t="str">
        <f>报表附注!E16</f>
        <v>加拿大元</v>
      </c>
      <c r="C17" s="322">
        <f t="shared" si="2"/>
        <v>0</v>
      </c>
      <c r="D17" s="1" t="b">
        <f t="shared" si="0"/>
        <v>0</v>
      </c>
      <c r="E17" s="315"/>
      <c r="H17" s="1" t="b">
        <f t="shared" si="1"/>
        <v>0</v>
      </c>
      <c r="I17" s="1" t="s">
        <v>4575</v>
      </c>
      <c r="K17" s="1" t="b">
        <v>0</v>
      </c>
    </row>
    <row r="18" spans="2:11">
      <c r="B18" s="321" t="str">
        <f>报表附注!E17</f>
        <v>英镑</v>
      </c>
      <c r="C18" s="322"/>
      <c r="D18" s="1" t="b">
        <f t="shared" si="0"/>
        <v>0</v>
      </c>
      <c r="E18" s="315"/>
      <c r="H18" s="1" t="b">
        <f t="shared" si="1"/>
        <v>0</v>
      </c>
      <c r="I18" s="1" t="s">
        <v>339</v>
      </c>
      <c r="K18" s="1" t="b">
        <v>1</v>
      </c>
    </row>
    <row r="19" spans="2:11">
      <c r="B19" s="321" t="str">
        <f>报表附注!E18</f>
        <v>俄罗斯卢布</v>
      </c>
      <c r="C19" s="322"/>
      <c r="D19" s="1" t="b">
        <f t="shared" si="0"/>
        <v>0</v>
      </c>
      <c r="E19" s="315"/>
      <c r="H19" s="1" t="b">
        <f t="shared" si="1"/>
        <v>0</v>
      </c>
      <c r="I19" s="1" t="s">
        <v>322</v>
      </c>
      <c r="K19" s="1" t="b">
        <v>1</v>
      </c>
    </row>
    <row r="20" spans="1:11">
      <c r="A20" s="1" t="s">
        <v>339</v>
      </c>
      <c r="B20" s="321" t="str">
        <f>报表附注!E19</f>
        <v>其他货币资金</v>
      </c>
      <c r="C20" s="322">
        <f t="shared" ref="C20:C26" si="3">J18</f>
        <v>0</v>
      </c>
      <c r="D20" s="1" t="b">
        <f t="shared" si="0"/>
        <v>1</v>
      </c>
      <c r="E20" s="315"/>
      <c r="H20" s="1" t="b">
        <f t="shared" si="1"/>
        <v>0</v>
      </c>
      <c r="I20" s="1" t="s">
        <v>1559</v>
      </c>
      <c r="K20" s="1" t="b">
        <v>1</v>
      </c>
    </row>
    <row r="21" spans="1:11">
      <c r="A21" s="1" t="s">
        <v>322</v>
      </c>
      <c r="B21" s="321" t="str">
        <f>报表附注!E20</f>
        <v>其中：人民币</v>
      </c>
      <c r="C21" s="322">
        <f t="shared" si="3"/>
        <v>0</v>
      </c>
      <c r="D21" s="1" t="b">
        <f t="shared" si="0"/>
        <v>1</v>
      </c>
      <c r="E21" s="315"/>
      <c r="H21" s="1" t="b">
        <f t="shared" si="1"/>
        <v>0</v>
      </c>
      <c r="I21" s="1" t="s">
        <v>1563</v>
      </c>
      <c r="K21" s="1" t="b">
        <v>1</v>
      </c>
    </row>
    <row r="22" spans="1:11">
      <c r="A22" s="1" t="s">
        <v>1559</v>
      </c>
      <c r="B22" s="321" t="str">
        <f>报表附注!E21</f>
        <v>美元</v>
      </c>
      <c r="C22" s="322">
        <f t="shared" si="3"/>
        <v>0</v>
      </c>
      <c r="D22" s="1" t="b">
        <f t="shared" si="0"/>
        <v>1</v>
      </c>
      <c r="E22" s="315"/>
      <c r="H22" s="1" t="b">
        <f t="shared" si="1"/>
        <v>0</v>
      </c>
      <c r="I22" s="1" t="s">
        <v>1561</v>
      </c>
      <c r="K22" s="1" t="b">
        <v>1</v>
      </c>
    </row>
    <row r="23" spans="1:11">
      <c r="A23" s="1" t="s">
        <v>1563</v>
      </c>
      <c r="B23" s="321" t="str">
        <f>报表附注!E22</f>
        <v>     港币</v>
      </c>
      <c r="C23" s="322">
        <f t="shared" si="3"/>
        <v>0</v>
      </c>
      <c r="D23" s="1" t="b">
        <f t="shared" si="0"/>
        <v>1</v>
      </c>
      <c r="E23" s="315"/>
      <c r="H23" s="1" t="b">
        <f t="shared" si="1"/>
        <v>0</v>
      </c>
      <c r="I23" s="1" t="s">
        <v>1562</v>
      </c>
      <c r="K23" s="1" t="b">
        <v>1</v>
      </c>
    </row>
    <row r="24" spans="1:11">
      <c r="A24" s="1" t="s">
        <v>1561</v>
      </c>
      <c r="B24" s="321" t="str">
        <f>报表附注!E23</f>
        <v>欧元</v>
      </c>
      <c r="C24" s="322">
        <f t="shared" si="3"/>
        <v>0</v>
      </c>
      <c r="D24" s="1" t="b">
        <f t="shared" si="0"/>
        <v>1</v>
      </c>
      <c r="E24" s="315"/>
      <c r="H24" s="1" t="b">
        <f t="shared" si="1"/>
        <v>0</v>
      </c>
      <c r="I24" s="1" t="s">
        <v>1206</v>
      </c>
      <c r="K24" s="1" t="b">
        <v>1</v>
      </c>
    </row>
    <row r="25" spans="1:11">
      <c r="A25" s="1" t="s">
        <v>1562</v>
      </c>
      <c r="B25" s="321" t="str">
        <f>报表附注!E24</f>
        <v>日元</v>
      </c>
      <c r="C25" s="322">
        <f t="shared" si="3"/>
        <v>0</v>
      </c>
      <c r="D25" s="1" t="b">
        <f t="shared" si="0"/>
        <v>1</v>
      </c>
      <c r="E25" s="315"/>
      <c r="H25" s="1" t="b">
        <f t="shared" si="1"/>
        <v>0</v>
      </c>
      <c r="I25" s="1" t="s">
        <v>1566</v>
      </c>
      <c r="K25" s="1" t="b">
        <v>1</v>
      </c>
    </row>
    <row r="26" spans="1:11">
      <c r="A26" s="1" t="s">
        <v>1206</v>
      </c>
      <c r="B26" s="323" t="str">
        <f>报表附注!E25</f>
        <v>合  计</v>
      </c>
      <c r="C26" s="322">
        <f t="shared" si="3"/>
        <v>0</v>
      </c>
      <c r="D26" s="1" t="b">
        <f t="shared" si="0"/>
        <v>1</v>
      </c>
      <c r="E26" s="315"/>
      <c r="H26" s="1" t="b">
        <f t="shared" si="1"/>
        <v>0</v>
      </c>
      <c r="I26" s="1" t="s">
        <v>320</v>
      </c>
      <c r="K26" s="1" t="b">
        <v>1</v>
      </c>
    </row>
    <row r="27" spans="1:11">
      <c r="A27" s="1" t="s">
        <v>1566</v>
      </c>
      <c r="B27" s="319" t="s">
        <v>1566</v>
      </c>
      <c r="C27" s="320"/>
      <c r="D27" s="1" t="b">
        <f t="shared" si="0"/>
        <v>1</v>
      </c>
      <c r="E27" s="320"/>
      <c r="H27" s="1" t="b">
        <f t="shared" si="1"/>
        <v>0</v>
      </c>
      <c r="I27" s="1" t="s">
        <v>322</v>
      </c>
      <c r="K27" s="1" t="b">
        <v>1</v>
      </c>
    </row>
    <row r="28" spans="1:11">
      <c r="A28" s="1" t="s">
        <v>320</v>
      </c>
      <c r="B28" s="313" t="str">
        <f t="shared" ref="B28:B42" si="4">B5</f>
        <v>现金</v>
      </c>
      <c r="C28" s="322">
        <f t="shared" ref="C28:C40" si="5">J26</f>
        <v>0</v>
      </c>
      <c r="D28" s="1" t="b">
        <f t="shared" si="0"/>
        <v>1</v>
      </c>
      <c r="E28" s="315"/>
      <c r="H28" s="1" t="b">
        <f t="shared" si="1"/>
        <v>0</v>
      </c>
      <c r="I28" s="1" t="s">
        <v>1559</v>
      </c>
      <c r="K28" s="1" t="b">
        <v>1</v>
      </c>
    </row>
    <row r="29" spans="1:11">
      <c r="A29" s="1" t="s">
        <v>322</v>
      </c>
      <c r="B29" s="313" t="str">
        <f t="shared" si="4"/>
        <v>其中：人民币</v>
      </c>
      <c r="C29" s="322">
        <f t="shared" si="5"/>
        <v>0</v>
      </c>
      <c r="D29" s="1" t="b">
        <f t="shared" si="0"/>
        <v>1</v>
      </c>
      <c r="E29" s="315"/>
      <c r="H29" s="1" t="b">
        <f t="shared" si="1"/>
        <v>0</v>
      </c>
      <c r="I29" s="1" t="s">
        <v>1560</v>
      </c>
      <c r="K29" s="1" t="b">
        <v>1</v>
      </c>
    </row>
    <row r="30" spans="1:11">
      <c r="A30" s="1" t="s">
        <v>1559</v>
      </c>
      <c r="B30" s="313" t="str">
        <f t="shared" si="4"/>
        <v>美元</v>
      </c>
      <c r="C30" s="322">
        <f t="shared" si="5"/>
        <v>0</v>
      </c>
      <c r="D30" s="1" t="b">
        <f t="shared" si="0"/>
        <v>1</v>
      </c>
      <c r="E30" s="315"/>
      <c r="H30" s="1" t="b">
        <f t="shared" si="1"/>
        <v>0</v>
      </c>
      <c r="I30" s="1" t="s">
        <v>1561</v>
      </c>
      <c r="K30" s="1" t="b">
        <v>1</v>
      </c>
    </row>
    <row r="31" spans="1:11">
      <c r="A31" s="1" t="s">
        <v>1560</v>
      </c>
      <c r="B31" s="313" t="str">
        <f t="shared" si="4"/>
        <v>港币</v>
      </c>
      <c r="C31" s="322">
        <f t="shared" si="5"/>
        <v>0</v>
      </c>
      <c r="D31" s="1" t="b">
        <f t="shared" si="0"/>
        <v>1</v>
      </c>
      <c r="E31" s="315"/>
      <c r="H31" s="1" t="b">
        <f t="shared" si="1"/>
        <v>0</v>
      </c>
      <c r="I31" s="1" t="s">
        <v>1562</v>
      </c>
      <c r="K31" s="1" t="b">
        <v>1</v>
      </c>
    </row>
    <row r="32" spans="1:11">
      <c r="A32" s="1" t="s">
        <v>1561</v>
      </c>
      <c r="B32" s="313" t="str">
        <f t="shared" si="4"/>
        <v>欧元</v>
      </c>
      <c r="C32" s="322">
        <f t="shared" si="5"/>
        <v>0</v>
      </c>
      <c r="D32" s="1" t="b">
        <f t="shared" si="0"/>
        <v>1</v>
      </c>
      <c r="E32" s="315"/>
      <c r="H32" s="1" t="b">
        <f t="shared" si="1"/>
        <v>0</v>
      </c>
      <c r="I32" s="1" t="s">
        <v>332</v>
      </c>
      <c r="K32" s="1" t="b">
        <v>1</v>
      </c>
    </row>
    <row r="33" spans="1:11">
      <c r="A33" s="1" t="s">
        <v>1562</v>
      </c>
      <c r="B33" s="313" t="str">
        <f t="shared" si="4"/>
        <v>日元</v>
      </c>
      <c r="C33" s="322">
        <f t="shared" si="5"/>
        <v>0</v>
      </c>
      <c r="D33" s="1" t="b">
        <f t="shared" si="0"/>
        <v>1</v>
      </c>
      <c r="E33" s="315"/>
      <c r="H33" s="1" t="b">
        <f t="shared" si="1"/>
        <v>0</v>
      </c>
      <c r="I33" s="1" t="s">
        <v>322</v>
      </c>
      <c r="K33" s="1" t="b">
        <v>1</v>
      </c>
    </row>
    <row r="34" spans="1:11">
      <c r="A34" s="1" t="s">
        <v>332</v>
      </c>
      <c r="B34" s="313" t="str">
        <f t="shared" si="4"/>
        <v>银行存款</v>
      </c>
      <c r="C34" s="322">
        <f t="shared" si="5"/>
        <v>0</v>
      </c>
      <c r="D34" s="1" t="b">
        <f t="shared" si="0"/>
        <v>1</v>
      </c>
      <c r="E34" s="315"/>
      <c r="H34" s="1" t="b">
        <f t="shared" si="1"/>
        <v>0</v>
      </c>
      <c r="I34" s="1" t="s">
        <v>1559</v>
      </c>
      <c r="K34" s="1" t="b">
        <v>1</v>
      </c>
    </row>
    <row r="35" spans="1:11">
      <c r="A35" s="1" t="s">
        <v>322</v>
      </c>
      <c r="B35" s="313" t="str">
        <f t="shared" si="4"/>
        <v>其中：人民币</v>
      </c>
      <c r="C35" s="322">
        <f t="shared" si="5"/>
        <v>0</v>
      </c>
      <c r="D35" s="1" t="b">
        <f t="shared" si="0"/>
        <v>1</v>
      </c>
      <c r="E35" s="315"/>
      <c r="H35" s="1" t="b">
        <f t="shared" si="1"/>
        <v>0</v>
      </c>
      <c r="I35" s="1" t="s">
        <v>1563</v>
      </c>
      <c r="K35" s="1" t="b">
        <v>1</v>
      </c>
    </row>
    <row r="36" spans="1:11">
      <c r="A36" s="1" t="s">
        <v>1559</v>
      </c>
      <c r="B36" s="313" t="str">
        <f t="shared" si="4"/>
        <v>美元</v>
      </c>
      <c r="C36" s="322">
        <f t="shared" si="5"/>
        <v>0</v>
      </c>
      <c r="D36" s="1" t="b">
        <f t="shared" si="0"/>
        <v>1</v>
      </c>
      <c r="E36" s="315"/>
      <c r="H36" s="1" t="b">
        <f t="shared" si="1"/>
        <v>0</v>
      </c>
      <c r="I36" s="1" t="s">
        <v>1561</v>
      </c>
      <c r="K36" s="1" t="b">
        <v>1</v>
      </c>
    </row>
    <row r="37" spans="1:11">
      <c r="A37" s="1" t="s">
        <v>1563</v>
      </c>
      <c r="B37" s="313" t="str">
        <f t="shared" si="4"/>
        <v>     港币</v>
      </c>
      <c r="C37" s="322">
        <f t="shared" si="5"/>
        <v>0</v>
      </c>
      <c r="D37" s="1" t="b">
        <f t="shared" si="0"/>
        <v>1</v>
      </c>
      <c r="E37" s="315"/>
      <c r="H37" s="1" t="b">
        <f t="shared" si="1"/>
        <v>0</v>
      </c>
      <c r="I37" s="1" t="s">
        <v>1562</v>
      </c>
      <c r="K37" s="1" t="b">
        <v>1</v>
      </c>
    </row>
    <row r="38" spans="1:11">
      <c r="A38" s="1" t="s">
        <v>1561</v>
      </c>
      <c r="B38" s="313" t="str">
        <f t="shared" si="4"/>
        <v>欧元</v>
      </c>
      <c r="C38" s="322">
        <f t="shared" si="5"/>
        <v>0</v>
      </c>
      <c r="D38" s="1" t="b">
        <f t="shared" si="0"/>
        <v>1</v>
      </c>
      <c r="E38" s="315"/>
      <c r="H38" s="1" t="b">
        <f t="shared" si="1"/>
        <v>0</v>
      </c>
      <c r="I38" s="1" t="s">
        <v>4575</v>
      </c>
      <c r="K38" s="1" t="b">
        <v>0</v>
      </c>
    </row>
    <row r="39" spans="1:11">
      <c r="A39" s="1" t="s">
        <v>1562</v>
      </c>
      <c r="B39" s="313" t="str">
        <f t="shared" si="4"/>
        <v>日元</v>
      </c>
      <c r="C39" s="322">
        <f t="shared" si="5"/>
        <v>0</v>
      </c>
      <c r="D39" s="1" t="b">
        <f t="shared" si="0"/>
        <v>1</v>
      </c>
      <c r="E39" s="315"/>
      <c r="H39" s="1" t="b">
        <f t="shared" si="1"/>
        <v>0</v>
      </c>
      <c r="I39" s="1" t="s">
        <v>339</v>
      </c>
      <c r="K39" s="1" t="b">
        <v>1</v>
      </c>
    </row>
    <row r="40" spans="1:11">
      <c r="A40" s="1" t="s">
        <v>1564</v>
      </c>
      <c r="B40" s="313" t="str">
        <f t="shared" si="4"/>
        <v>加拿大元</v>
      </c>
      <c r="C40" s="322">
        <f t="shared" si="5"/>
        <v>0</v>
      </c>
      <c r="D40" s="1" t="b">
        <f t="shared" si="0"/>
        <v>0</v>
      </c>
      <c r="E40" s="315"/>
      <c r="H40" s="1" t="b">
        <f t="shared" si="1"/>
        <v>0</v>
      </c>
      <c r="I40" s="1" t="s">
        <v>322</v>
      </c>
      <c r="K40" s="1" t="b">
        <v>1</v>
      </c>
    </row>
    <row r="41" spans="2:11">
      <c r="B41" s="313" t="str">
        <f t="shared" si="4"/>
        <v>英镑</v>
      </c>
      <c r="C41" s="322"/>
      <c r="D41" s="1" t="b">
        <f t="shared" si="0"/>
        <v>0</v>
      </c>
      <c r="E41" s="315"/>
      <c r="H41" s="1" t="b">
        <f t="shared" si="1"/>
        <v>0</v>
      </c>
      <c r="I41" s="1" t="s">
        <v>1559</v>
      </c>
      <c r="K41" s="1" t="b">
        <v>1</v>
      </c>
    </row>
    <row r="42" spans="2:11">
      <c r="B42" s="313" t="str">
        <f t="shared" si="4"/>
        <v>俄罗斯卢布</v>
      </c>
      <c r="C42" s="322"/>
      <c r="D42" s="1" t="b">
        <f t="shared" si="0"/>
        <v>0</v>
      </c>
      <c r="E42" s="315"/>
      <c r="H42" s="1" t="b">
        <f t="shared" si="1"/>
        <v>0</v>
      </c>
      <c r="I42" s="1" t="s">
        <v>1563</v>
      </c>
      <c r="K42" s="1" t="b">
        <v>1</v>
      </c>
    </row>
    <row r="43" spans="1:11">
      <c r="A43" s="1" t="s">
        <v>339</v>
      </c>
      <c r="B43" s="313" t="str">
        <f t="shared" ref="B43:B49" si="6">B20</f>
        <v>其他货币资金</v>
      </c>
      <c r="C43" s="322">
        <f t="shared" ref="C43:C49" si="7">J39</f>
        <v>0</v>
      </c>
      <c r="D43" s="1" t="b">
        <f t="shared" si="0"/>
        <v>1</v>
      </c>
      <c r="E43" s="315"/>
      <c r="H43" s="1" t="b">
        <f t="shared" si="1"/>
        <v>0</v>
      </c>
      <c r="I43" s="1" t="s">
        <v>1561</v>
      </c>
      <c r="K43" s="1" t="b">
        <v>1</v>
      </c>
    </row>
    <row r="44" spans="1:11">
      <c r="A44" s="1" t="s">
        <v>322</v>
      </c>
      <c r="B44" s="313" t="str">
        <f t="shared" si="6"/>
        <v>其中：人民币</v>
      </c>
      <c r="C44" s="322">
        <f t="shared" si="7"/>
        <v>0</v>
      </c>
      <c r="D44" s="1" t="b">
        <f t="shared" si="0"/>
        <v>1</v>
      </c>
      <c r="E44" s="315"/>
      <c r="H44" s="1" t="b">
        <f t="shared" si="1"/>
        <v>0</v>
      </c>
      <c r="I44" s="1" t="s">
        <v>1562</v>
      </c>
      <c r="K44" s="1" t="b">
        <v>1</v>
      </c>
    </row>
    <row r="45" spans="1:11">
      <c r="A45" s="1" t="s">
        <v>1559</v>
      </c>
      <c r="B45" s="313" t="str">
        <f t="shared" si="6"/>
        <v>美元</v>
      </c>
      <c r="C45" s="322">
        <f t="shared" si="7"/>
        <v>0</v>
      </c>
      <c r="D45" s="1" t="b">
        <f t="shared" si="0"/>
        <v>1</v>
      </c>
      <c r="E45" s="315"/>
      <c r="H45" s="1" t="b">
        <f t="shared" si="1"/>
        <v>0</v>
      </c>
      <c r="I45" s="1" t="s">
        <v>1206</v>
      </c>
      <c r="K45" s="1" t="b">
        <v>1</v>
      </c>
    </row>
    <row r="46" spans="1:11">
      <c r="A46" s="1" t="s">
        <v>1563</v>
      </c>
      <c r="B46" s="313" t="str">
        <f t="shared" si="6"/>
        <v>     港币</v>
      </c>
      <c r="C46" s="322">
        <f t="shared" si="7"/>
        <v>0</v>
      </c>
      <c r="D46" s="1" t="b">
        <f t="shared" si="0"/>
        <v>1</v>
      </c>
      <c r="E46" s="315"/>
      <c r="H46" s="1" t="b">
        <f t="shared" si="1"/>
        <v>0</v>
      </c>
      <c r="I46" s="1" t="s">
        <v>1567</v>
      </c>
      <c r="K46" s="1" t="b">
        <v>1</v>
      </c>
    </row>
    <row r="47" spans="1:11">
      <c r="A47" s="1" t="s">
        <v>1561</v>
      </c>
      <c r="B47" s="313" t="str">
        <f t="shared" si="6"/>
        <v>欧元</v>
      </c>
      <c r="C47" s="322">
        <f t="shared" si="7"/>
        <v>0</v>
      </c>
      <c r="D47" s="1" t="b">
        <f t="shared" si="0"/>
        <v>1</v>
      </c>
      <c r="E47" s="315"/>
      <c r="H47" s="1" t="b">
        <f t="shared" si="1"/>
        <v>0</v>
      </c>
      <c r="I47" s="1" t="s">
        <v>320</v>
      </c>
      <c r="K47" s="1" t="b">
        <v>1</v>
      </c>
    </row>
    <row r="48" spans="1:11">
      <c r="A48" s="1" t="s">
        <v>1562</v>
      </c>
      <c r="B48" s="313" t="str">
        <f t="shared" si="6"/>
        <v>日元</v>
      </c>
      <c r="C48" s="322">
        <f t="shared" si="7"/>
        <v>0</v>
      </c>
      <c r="D48" s="1" t="b">
        <f t="shared" si="0"/>
        <v>1</v>
      </c>
      <c r="E48" s="315"/>
      <c r="H48" s="1" t="b">
        <f t="shared" si="1"/>
        <v>0</v>
      </c>
      <c r="I48" s="1" t="s">
        <v>322</v>
      </c>
      <c r="K48" s="1" t="b">
        <v>1</v>
      </c>
    </row>
    <row r="49" spans="1:11">
      <c r="A49" s="1" t="s">
        <v>1206</v>
      </c>
      <c r="B49" s="324" t="str">
        <f t="shared" si="6"/>
        <v>合  计</v>
      </c>
      <c r="C49" s="322">
        <f t="shared" si="7"/>
        <v>0</v>
      </c>
      <c r="D49" s="1" t="b">
        <f t="shared" si="0"/>
        <v>1</v>
      </c>
      <c r="E49" s="315"/>
      <c r="H49" s="1" t="b">
        <f t="shared" si="1"/>
        <v>0</v>
      </c>
      <c r="I49" s="1" t="s">
        <v>1559</v>
      </c>
      <c r="K49" s="1" t="b">
        <v>1</v>
      </c>
    </row>
    <row r="50" spans="1:11">
      <c r="A50" s="1" t="s">
        <v>1567</v>
      </c>
      <c r="B50" s="319" t="s">
        <v>1567</v>
      </c>
      <c r="C50" s="320"/>
      <c r="D50" s="1" t="b">
        <f t="shared" si="0"/>
        <v>1</v>
      </c>
      <c r="E50" s="320"/>
      <c r="H50" s="1" t="b">
        <f t="shared" si="1"/>
        <v>0</v>
      </c>
      <c r="I50" s="1" t="s">
        <v>1560</v>
      </c>
      <c r="K50" s="1" t="b">
        <v>1</v>
      </c>
    </row>
    <row r="51" spans="1:11">
      <c r="A51" s="1" t="s">
        <v>320</v>
      </c>
      <c r="B51" s="313" t="str">
        <f>报表附注!E4</f>
        <v>现金</v>
      </c>
      <c r="C51" s="325">
        <f t="shared" ref="C51:C63" si="8">J47</f>
        <v>0</v>
      </c>
      <c r="D51" s="1" t="b">
        <f t="shared" si="0"/>
        <v>1</v>
      </c>
      <c r="E51" s="325">
        <f>C5</f>
        <v>0</v>
      </c>
      <c r="H51" s="1" t="b">
        <f t="shared" si="1"/>
        <v>0</v>
      </c>
      <c r="I51" s="1" t="s">
        <v>1561</v>
      </c>
      <c r="K51" s="1" t="b">
        <v>1</v>
      </c>
    </row>
    <row r="52" spans="1:11">
      <c r="A52" s="1" t="s">
        <v>322</v>
      </c>
      <c r="B52" s="313" t="str">
        <f>报表附注!E5</f>
        <v>其中：人民币</v>
      </c>
      <c r="C52" s="325">
        <f t="shared" si="8"/>
        <v>0</v>
      </c>
      <c r="D52" s="1" t="b">
        <f t="shared" si="0"/>
        <v>1</v>
      </c>
      <c r="E52" s="325">
        <f t="shared" ref="E52:E65" si="9">C6</f>
        <v>0</v>
      </c>
      <c r="H52" s="1" t="b">
        <f t="shared" si="1"/>
        <v>0</v>
      </c>
      <c r="I52" s="1" t="s">
        <v>1562</v>
      </c>
      <c r="K52" s="1" t="b">
        <v>1</v>
      </c>
    </row>
    <row r="53" spans="1:11">
      <c r="A53" s="1" t="s">
        <v>1559</v>
      </c>
      <c r="B53" s="313" t="str">
        <f>报表附注!E6</f>
        <v>美元</v>
      </c>
      <c r="C53" s="325">
        <f t="shared" si="8"/>
        <v>0</v>
      </c>
      <c r="D53" s="1" t="b">
        <f t="shared" si="0"/>
        <v>1</v>
      </c>
      <c r="E53" s="325">
        <f t="shared" si="9"/>
        <v>0</v>
      </c>
      <c r="H53" s="1" t="b">
        <f t="shared" si="1"/>
        <v>0</v>
      </c>
      <c r="I53" s="1" t="s">
        <v>332</v>
      </c>
      <c r="K53" s="1" t="b">
        <v>1</v>
      </c>
    </row>
    <row r="54" spans="1:11">
      <c r="A54" s="1" t="s">
        <v>1560</v>
      </c>
      <c r="B54" s="313" t="str">
        <f>报表附注!E7</f>
        <v>港币</v>
      </c>
      <c r="C54" s="325">
        <f t="shared" si="8"/>
        <v>0</v>
      </c>
      <c r="D54" s="1" t="b">
        <f t="shared" si="0"/>
        <v>1</v>
      </c>
      <c r="E54" s="325">
        <f t="shared" si="9"/>
        <v>0</v>
      </c>
      <c r="H54" s="1" t="b">
        <f t="shared" si="1"/>
        <v>0</v>
      </c>
      <c r="I54" s="1" t="s">
        <v>322</v>
      </c>
      <c r="K54" s="1" t="b">
        <v>1</v>
      </c>
    </row>
    <row r="55" spans="1:11">
      <c r="A55" s="1" t="s">
        <v>1561</v>
      </c>
      <c r="B55" s="313" t="str">
        <f>报表附注!E8</f>
        <v>欧元</v>
      </c>
      <c r="C55" s="325">
        <f t="shared" si="8"/>
        <v>0</v>
      </c>
      <c r="D55" s="1" t="b">
        <f t="shared" si="0"/>
        <v>1</v>
      </c>
      <c r="E55" s="325">
        <f t="shared" si="9"/>
        <v>0</v>
      </c>
      <c r="H55" s="1" t="b">
        <f t="shared" si="1"/>
        <v>0</v>
      </c>
      <c r="I55" s="1" t="s">
        <v>1559</v>
      </c>
      <c r="K55" s="1" t="b">
        <v>1</v>
      </c>
    </row>
    <row r="56" spans="1:11">
      <c r="A56" s="1" t="s">
        <v>1562</v>
      </c>
      <c r="B56" s="313" t="str">
        <f>报表附注!E9</f>
        <v>日元</v>
      </c>
      <c r="C56" s="325">
        <f t="shared" si="8"/>
        <v>0</v>
      </c>
      <c r="D56" s="1" t="b">
        <f t="shared" si="0"/>
        <v>1</v>
      </c>
      <c r="E56" s="325">
        <f t="shared" si="9"/>
        <v>0</v>
      </c>
      <c r="H56" s="1" t="b">
        <f t="shared" si="1"/>
        <v>0</v>
      </c>
      <c r="I56" s="1" t="s">
        <v>1563</v>
      </c>
      <c r="K56" s="1" t="b">
        <v>1</v>
      </c>
    </row>
    <row r="57" spans="1:11">
      <c r="A57" s="1" t="s">
        <v>332</v>
      </c>
      <c r="B57" s="313" t="str">
        <f>报表附注!E10</f>
        <v>银行存款</v>
      </c>
      <c r="C57" s="325">
        <f t="shared" si="8"/>
        <v>0</v>
      </c>
      <c r="D57" s="1" t="b">
        <f t="shared" si="0"/>
        <v>1</v>
      </c>
      <c r="E57" s="325">
        <f t="shared" si="9"/>
        <v>0</v>
      </c>
      <c r="H57" s="1" t="b">
        <f t="shared" si="1"/>
        <v>0</v>
      </c>
      <c r="I57" s="1" t="s">
        <v>1561</v>
      </c>
      <c r="K57" s="1" t="b">
        <v>1</v>
      </c>
    </row>
    <row r="58" spans="1:11">
      <c r="A58" s="1" t="s">
        <v>322</v>
      </c>
      <c r="B58" s="313" t="str">
        <f>报表附注!E11</f>
        <v>其中：人民币</v>
      </c>
      <c r="C58" s="325">
        <f t="shared" si="8"/>
        <v>0</v>
      </c>
      <c r="D58" s="1" t="b">
        <f t="shared" si="0"/>
        <v>1</v>
      </c>
      <c r="E58" s="325">
        <f t="shared" si="9"/>
        <v>0</v>
      </c>
      <c r="H58" s="1" t="b">
        <f t="shared" si="1"/>
        <v>0</v>
      </c>
      <c r="I58" s="1" t="s">
        <v>1562</v>
      </c>
      <c r="K58" s="1" t="b">
        <v>1</v>
      </c>
    </row>
    <row r="59" spans="1:11">
      <c r="A59" s="1" t="s">
        <v>1559</v>
      </c>
      <c r="B59" s="313" t="str">
        <f>报表附注!E12</f>
        <v>美元</v>
      </c>
      <c r="C59" s="325">
        <f t="shared" si="8"/>
        <v>0</v>
      </c>
      <c r="D59" s="1" t="b">
        <f t="shared" si="0"/>
        <v>1</v>
      </c>
      <c r="E59" s="325">
        <f t="shared" si="9"/>
        <v>0</v>
      </c>
      <c r="H59" s="1" t="b">
        <f t="shared" si="1"/>
        <v>0</v>
      </c>
      <c r="I59" s="1" t="s">
        <v>4575</v>
      </c>
      <c r="K59" s="1" t="b">
        <v>0</v>
      </c>
    </row>
    <row r="60" spans="1:11">
      <c r="A60" s="1" t="s">
        <v>1563</v>
      </c>
      <c r="B60" s="313" t="str">
        <f>报表附注!E13</f>
        <v>     港币</v>
      </c>
      <c r="C60" s="325">
        <f t="shared" si="8"/>
        <v>0</v>
      </c>
      <c r="D60" s="1" t="b">
        <f t="shared" si="0"/>
        <v>1</v>
      </c>
      <c r="E60" s="325">
        <f t="shared" si="9"/>
        <v>0</v>
      </c>
      <c r="H60" s="1" t="b">
        <f t="shared" si="1"/>
        <v>0</v>
      </c>
      <c r="I60" s="1" t="s">
        <v>339</v>
      </c>
      <c r="K60" s="1" t="b">
        <v>1</v>
      </c>
    </row>
    <row r="61" spans="1:11">
      <c r="A61" s="1" t="s">
        <v>1561</v>
      </c>
      <c r="B61" s="313" t="str">
        <f>报表附注!E14</f>
        <v>欧元</v>
      </c>
      <c r="C61" s="325">
        <f t="shared" si="8"/>
        <v>0</v>
      </c>
      <c r="D61" s="1" t="b">
        <f t="shared" si="0"/>
        <v>1</v>
      </c>
      <c r="E61" s="325">
        <f t="shared" si="9"/>
        <v>0</v>
      </c>
      <c r="H61" s="1" t="b">
        <f t="shared" si="1"/>
        <v>0</v>
      </c>
      <c r="I61" s="1" t="s">
        <v>322</v>
      </c>
      <c r="K61" s="1" t="b">
        <v>1</v>
      </c>
    </row>
    <row r="62" spans="1:11">
      <c r="A62" s="1" t="s">
        <v>1562</v>
      </c>
      <c r="B62" s="313" t="str">
        <f>报表附注!E15</f>
        <v>日元</v>
      </c>
      <c r="C62" s="325">
        <f t="shared" si="8"/>
        <v>0</v>
      </c>
      <c r="D62" s="1" t="b">
        <f t="shared" si="0"/>
        <v>1</v>
      </c>
      <c r="E62" s="325">
        <f t="shared" si="9"/>
        <v>0</v>
      </c>
      <c r="H62" s="1" t="b">
        <f t="shared" si="1"/>
        <v>0</v>
      </c>
      <c r="I62" s="1" t="s">
        <v>1559</v>
      </c>
      <c r="K62" s="1" t="b">
        <v>1</v>
      </c>
    </row>
    <row r="63" spans="1:11">
      <c r="A63" s="1" t="s">
        <v>1564</v>
      </c>
      <c r="B63" s="313" t="str">
        <f>报表附注!E16</f>
        <v>加拿大元</v>
      </c>
      <c r="C63" s="325">
        <f t="shared" si="8"/>
        <v>0</v>
      </c>
      <c r="D63" s="1" t="b">
        <f t="shared" si="0"/>
        <v>0</v>
      </c>
      <c r="E63" s="325">
        <f t="shared" si="9"/>
        <v>0</v>
      </c>
      <c r="H63" s="1" t="b">
        <f t="shared" si="1"/>
        <v>0</v>
      </c>
      <c r="I63" s="1" t="s">
        <v>1563</v>
      </c>
      <c r="K63" s="1" t="b">
        <v>1</v>
      </c>
    </row>
    <row r="64" spans="2:11">
      <c r="B64" s="313" t="str">
        <f>报表附注!E17</f>
        <v>英镑</v>
      </c>
      <c r="C64" s="325"/>
      <c r="D64" s="1" t="b">
        <f t="shared" si="0"/>
        <v>0</v>
      </c>
      <c r="E64" s="325">
        <f t="shared" si="9"/>
        <v>0</v>
      </c>
      <c r="H64" s="1" t="b">
        <f t="shared" si="1"/>
        <v>0</v>
      </c>
      <c r="I64" s="1" t="s">
        <v>1561</v>
      </c>
      <c r="K64" s="1" t="b">
        <v>1</v>
      </c>
    </row>
    <row r="65" spans="2:11">
      <c r="B65" s="313" t="str">
        <f>报表附注!E18</f>
        <v>俄罗斯卢布</v>
      </c>
      <c r="C65" s="325"/>
      <c r="D65" s="1" t="b">
        <f t="shared" si="0"/>
        <v>0</v>
      </c>
      <c r="E65" s="325">
        <f t="shared" si="9"/>
        <v>0</v>
      </c>
      <c r="H65" s="1" t="b">
        <f t="shared" si="1"/>
        <v>0</v>
      </c>
      <c r="I65" s="1" t="s">
        <v>1562</v>
      </c>
      <c r="K65" s="1" t="b">
        <v>1</v>
      </c>
    </row>
    <row r="66" spans="1:11">
      <c r="A66" s="1" t="s">
        <v>339</v>
      </c>
      <c r="B66" s="313" t="str">
        <f>报表附注!E19</f>
        <v>其他货币资金</v>
      </c>
      <c r="C66" s="325">
        <f t="shared" ref="C66:C72" si="10">J60</f>
        <v>0</v>
      </c>
      <c r="D66" s="1" t="b">
        <f t="shared" si="0"/>
        <v>1</v>
      </c>
      <c r="E66" s="325">
        <f t="shared" ref="E66:E84" si="11">C20</f>
        <v>0</v>
      </c>
      <c r="H66" s="1" t="b">
        <f t="shared" si="1"/>
        <v>0</v>
      </c>
      <c r="I66" s="1" t="s">
        <v>1206</v>
      </c>
      <c r="K66" s="1" t="b">
        <v>1</v>
      </c>
    </row>
    <row r="67" spans="1:11">
      <c r="A67" s="1" t="s">
        <v>322</v>
      </c>
      <c r="B67" s="313" t="str">
        <f>报表附注!E20</f>
        <v>其中：人民币</v>
      </c>
      <c r="C67" s="325">
        <f t="shared" si="10"/>
        <v>0</v>
      </c>
      <c r="D67" s="1" t="b">
        <f t="shared" si="0"/>
        <v>1</v>
      </c>
      <c r="E67" s="325">
        <f t="shared" si="11"/>
        <v>0</v>
      </c>
      <c r="H67" s="1" t="b">
        <f t="shared" si="1"/>
        <v>0</v>
      </c>
      <c r="I67" s="1" t="s">
        <v>1568</v>
      </c>
      <c r="K67" s="1" t="b">
        <v>1</v>
      </c>
    </row>
    <row r="68" spans="1:11">
      <c r="A68" s="1" t="s">
        <v>1559</v>
      </c>
      <c r="B68" s="313" t="str">
        <f>报表附注!E21</f>
        <v>美元</v>
      </c>
      <c r="C68" s="325">
        <f t="shared" si="10"/>
        <v>0</v>
      </c>
      <c r="D68" s="1" t="b">
        <f t="shared" si="0"/>
        <v>1</v>
      </c>
      <c r="E68" s="325">
        <f t="shared" si="11"/>
        <v>0</v>
      </c>
      <c r="H68" s="1" t="b">
        <f t="shared" ref="H68:H131" si="12">I68=B68</f>
        <v>0</v>
      </c>
      <c r="I68" s="1" t="s">
        <v>320</v>
      </c>
      <c r="K68" s="1" t="b">
        <v>1</v>
      </c>
    </row>
    <row r="69" spans="1:11">
      <c r="A69" s="1" t="s">
        <v>1563</v>
      </c>
      <c r="B69" s="313" t="str">
        <f>报表附注!E22</f>
        <v>     港币</v>
      </c>
      <c r="C69" s="325">
        <f t="shared" si="10"/>
        <v>0</v>
      </c>
      <c r="D69" s="1" t="b">
        <f t="shared" si="0"/>
        <v>1</v>
      </c>
      <c r="E69" s="325">
        <f t="shared" si="11"/>
        <v>0</v>
      </c>
      <c r="H69" s="1" t="b">
        <f t="shared" si="12"/>
        <v>0</v>
      </c>
      <c r="I69" s="1" t="s">
        <v>322</v>
      </c>
      <c r="K69" s="1" t="b">
        <v>1</v>
      </c>
    </row>
    <row r="70" spans="1:11">
      <c r="A70" s="1" t="s">
        <v>1561</v>
      </c>
      <c r="B70" s="313" t="str">
        <f>报表附注!E23</f>
        <v>欧元</v>
      </c>
      <c r="C70" s="325">
        <f t="shared" si="10"/>
        <v>0</v>
      </c>
      <c r="D70" s="1" t="b">
        <f t="shared" si="0"/>
        <v>1</v>
      </c>
      <c r="E70" s="325">
        <f t="shared" si="11"/>
        <v>0</v>
      </c>
      <c r="H70" s="1" t="b">
        <f t="shared" si="12"/>
        <v>0</v>
      </c>
      <c r="I70" s="1" t="s">
        <v>1559</v>
      </c>
      <c r="K70" s="1" t="b">
        <v>1</v>
      </c>
    </row>
    <row r="71" spans="1:11">
      <c r="A71" s="1" t="s">
        <v>1562</v>
      </c>
      <c r="B71" s="313" t="str">
        <f>报表附注!E24</f>
        <v>日元</v>
      </c>
      <c r="C71" s="325">
        <f t="shared" si="10"/>
        <v>0</v>
      </c>
      <c r="D71" s="1" t="b">
        <f t="shared" si="0"/>
        <v>1</v>
      </c>
      <c r="E71" s="325">
        <f t="shared" si="11"/>
        <v>0</v>
      </c>
      <c r="H71" s="1" t="b">
        <f t="shared" si="12"/>
        <v>0</v>
      </c>
      <c r="I71" s="1" t="s">
        <v>1560</v>
      </c>
      <c r="K71" s="1" t="b">
        <v>1</v>
      </c>
    </row>
    <row r="72" spans="1:11">
      <c r="A72" s="1" t="s">
        <v>1206</v>
      </c>
      <c r="B72" s="324" t="str">
        <f>报表附注!E25</f>
        <v>合  计</v>
      </c>
      <c r="C72" s="325">
        <f t="shared" si="10"/>
        <v>0</v>
      </c>
      <c r="D72" s="1" t="b">
        <f t="shared" si="0"/>
        <v>1</v>
      </c>
      <c r="E72" s="325">
        <f t="shared" si="11"/>
        <v>0</v>
      </c>
      <c r="H72" s="1" t="b">
        <f t="shared" si="12"/>
        <v>0</v>
      </c>
      <c r="I72" s="1" t="s">
        <v>1561</v>
      </c>
      <c r="K72" s="1" t="b">
        <v>1</v>
      </c>
    </row>
    <row r="73" spans="1:11">
      <c r="A73" s="1" t="s">
        <v>1568</v>
      </c>
      <c r="B73" s="319" t="s">
        <v>1568</v>
      </c>
      <c r="C73" s="325"/>
      <c r="D73" s="1" t="b">
        <f t="shared" si="0"/>
        <v>1</v>
      </c>
      <c r="E73" s="325">
        <f t="shared" si="11"/>
        <v>0</v>
      </c>
      <c r="H73" s="1" t="b">
        <f t="shared" si="12"/>
        <v>0</v>
      </c>
      <c r="I73" s="1" t="s">
        <v>1562</v>
      </c>
      <c r="K73" s="1" t="b">
        <v>1</v>
      </c>
    </row>
    <row r="74" spans="1:11">
      <c r="A74" s="1" t="s">
        <v>320</v>
      </c>
      <c r="B74" s="313" t="str">
        <f>报表附注!E4</f>
        <v>现金</v>
      </c>
      <c r="C74" s="325">
        <f t="shared" ref="C74:C86" si="13">J68</f>
        <v>0</v>
      </c>
      <c r="D74" s="1" t="b">
        <f t="shared" ref="D74:D139" si="14">EXACT(A74,B74)</f>
        <v>1</v>
      </c>
      <c r="E74" s="325">
        <f t="shared" si="11"/>
        <v>0</v>
      </c>
      <c r="H74" s="1" t="b">
        <f t="shared" si="12"/>
        <v>0</v>
      </c>
      <c r="I74" s="1" t="s">
        <v>332</v>
      </c>
      <c r="K74" s="1" t="b">
        <v>1</v>
      </c>
    </row>
    <row r="75" spans="1:11">
      <c r="A75" s="1" t="s">
        <v>322</v>
      </c>
      <c r="B75" s="313" t="str">
        <f>报表附注!E5</f>
        <v>其中：人民币</v>
      </c>
      <c r="C75" s="325">
        <f t="shared" si="13"/>
        <v>0</v>
      </c>
      <c r="D75" s="1" t="b">
        <f t="shared" si="14"/>
        <v>1</v>
      </c>
      <c r="E75" s="325">
        <f t="shared" si="11"/>
        <v>0</v>
      </c>
      <c r="H75" s="1" t="b">
        <f t="shared" si="12"/>
        <v>1</v>
      </c>
      <c r="I75" s="1" t="s">
        <v>322</v>
      </c>
      <c r="K75" s="1" t="b">
        <v>1</v>
      </c>
    </row>
    <row r="76" spans="1:11">
      <c r="A76" s="1" t="s">
        <v>1559</v>
      </c>
      <c r="B76" s="313" t="str">
        <f>报表附注!E6</f>
        <v>美元</v>
      </c>
      <c r="C76" s="325">
        <f t="shared" si="13"/>
        <v>0</v>
      </c>
      <c r="D76" s="1" t="b">
        <f t="shared" si="14"/>
        <v>1</v>
      </c>
      <c r="E76" s="325">
        <f t="shared" si="11"/>
        <v>0</v>
      </c>
      <c r="H76" s="1" t="b">
        <f t="shared" si="12"/>
        <v>1</v>
      </c>
      <c r="I76" s="1" t="s">
        <v>1559</v>
      </c>
      <c r="K76" s="1" t="b">
        <v>1</v>
      </c>
    </row>
    <row r="77" spans="1:11">
      <c r="A77" s="1" t="s">
        <v>1560</v>
      </c>
      <c r="B77" s="313" t="str">
        <f>报表附注!E7</f>
        <v>港币</v>
      </c>
      <c r="C77" s="325">
        <f t="shared" si="13"/>
        <v>0</v>
      </c>
      <c r="D77" s="1" t="b">
        <f t="shared" si="14"/>
        <v>1</v>
      </c>
      <c r="E77" s="325">
        <f t="shared" si="11"/>
        <v>0</v>
      </c>
      <c r="H77" s="1" t="b">
        <f t="shared" si="12"/>
        <v>0</v>
      </c>
      <c r="I77" s="1" t="s">
        <v>1563</v>
      </c>
      <c r="K77" s="1" t="b">
        <v>1</v>
      </c>
    </row>
    <row r="78" spans="1:11">
      <c r="A78" s="1" t="s">
        <v>1561</v>
      </c>
      <c r="B78" s="313" t="str">
        <f>报表附注!E8</f>
        <v>欧元</v>
      </c>
      <c r="C78" s="325">
        <f t="shared" si="13"/>
        <v>0</v>
      </c>
      <c r="D78" s="1" t="b">
        <f t="shared" si="14"/>
        <v>1</v>
      </c>
      <c r="E78" s="325">
        <f t="shared" si="11"/>
        <v>0</v>
      </c>
      <c r="H78" s="1" t="b">
        <f t="shared" si="12"/>
        <v>1</v>
      </c>
      <c r="I78" s="1" t="s">
        <v>1561</v>
      </c>
      <c r="K78" s="1" t="b">
        <v>1</v>
      </c>
    </row>
    <row r="79" spans="1:11">
      <c r="A79" s="1" t="s">
        <v>1562</v>
      </c>
      <c r="B79" s="313" t="str">
        <f>报表附注!E9</f>
        <v>日元</v>
      </c>
      <c r="C79" s="325">
        <f t="shared" si="13"/>
        <v>0</v>
      </c>
      <c r="D79" s="1" t="b">
        <f t="shared" si="14"/>
        <v>1</v>
      </c>
      <c r="E79" s="325">
        <f t="shared" si="11"/>
        <v>0</v>
      </c>
      <c r="H79" s="1" t="b">
        <f t="shared" si="12"/>
        <v>1</v>
      </c>
      <c r="I79" s="1" t="s">
        <v>1562</v>
      </c>
      <c r="K79" s="1" t="b">
        <v>1</v>
      </c>
    </row>
    <row r="80" spans="1:11">
      <c r="A80" s="1" t="s">
        <v>332</v>
      </c>
      <c r="B80" s="313" t="str">
        <f>报表附注!E10</f>
        <v>银行存款</v>
      </c>
      <c r="C80" s="325">
        <f t="shared" si="13"/>
        <v>0</v>
      </c>
      <c r="D80" s="1" t="b">
        <f t="shared" si="14"/>
        <v>1</v>
      </c>
      <c r="E80" s="325">
        <f t="shared" si="11"/>
        <v>0</v>
      </c>
      <c r="H80" s="1" t="b">
        <f t="shared" si="12"/>
        <v>0</v>
      </c>
      <c r="I80" s="1" t="s">
        <v>4575</v>
      </c>
      <c r="K80" s="1" t="b">
        <v>0</v>
      </c>
    </row>
    <row r="81" spans="1:11">
      <c r="A81" s="1" t="s">
        <v>322</v>
      </c>
      <c r="B81" s="313" t="str">
        <f>报表附注!E11</f>
        <v>其中：人民币</v>
      </c>
      <c r="C81" s="325">
        <f t="shared" si="13"/>
        <v>0</v>
      </c>
      <c r="D81" s="1" t="b">
        <f t="shared" si="14"/>
        <v>1</v>
      </c>
      <c r="E81" s="325">
        <f t="shared" si="11"/>
        <v>0</v>
      </c>
      <c r="H81" s="1" t="b">
        <f t="shared" si="12"/>
        <v>0</v>
      </c>
      <c r="I81" s="1" t="s">
        <v>339</v>
      </c>
      <c r="K81" s="1" t="b">
        <v>1</v>
      </c>
    </row>
    <row r="82" spans="1:11">
      <c r="A82" s="1" t="s">
        <v>1559</v>
      </c>
      <c r="B82" s="313" t="str">
        <f>报表附注!E12</f>
        <v>美元</v>
      </c>
      <c r="C82" s="325">
        <f t="shared" si="13"/>
        <v>0</v>
      </c>
      <c r="D82" s="1" t="b">
        <f t="shared" si="14"/>
        <v>1</v>
      </c>
      <c r="E82" s="325">
        <f t="shared" si="11"/>
        <v>0</v>
      </c>
      <c r="H82" s="1" t="b">
        <f t="shared" si="12"/>
        <v>0</v>
      </c>
      <c r="I82" s="1" t="s">
        <v>322</v>
      </c>
      <c r="K82" s="1" t="b">
        <v>1</v>
      </c>
    </row>
    <row r="83" spans="1:11">
      <c r="A83" s="1" t="s">
        <v>1563</v>
      </c>
      <c r="B83" s="313" t="str">
        <f>报表附注!E13</f>
        <v>     港币</v>
      </c>
      <c r="C83" s="325">
        <f t="shared" si="13"/>
        <v>0</v>
      </c>
      <c r="D83" s="1" t="b">
        <f t="shared" si="14"/>
        <v>1</v>
      </c>
      <c r="E83" s="325">
        <f t="shared" si="11"/>
        <v>0</v>
      </c>
      <c r="H83" s="1" t="b">
        <f t="shared" si="12"/>
        <v>0</v>
      </c>
      <c r="I83" s="1" t="s">
        <v>1559</v>
      </c>
      <c r="K83" s="1" t="b">
        <v>1</v>
      </c>
    </row>
    <row r="84" spans="1:11">
      <c r="A84" s="1" t="s">
        <v>1561</v>
      </c>
      <c r="B84" s="313" t="str">
        <f>报表附注!E14</f>
        <v>欧元</v>
      </c>
      <c r="C84" s="325">
        <f t="shared" si="13"/>
        <v>0</v>
      </c>
      <c r="D84" s="1" t="b">
        <f t="shared" si="14"/>
        <v>1</v>
      </c>
      <c r="E84" s="325">
        <f t="shared" si="11"/>
        <v>0</v>
      </c>
      <c r="H84" s="1" t="b">
        <f t="shared" si="12"/>
        <v>0</v>
      </c>
      <c r="I84" s="1" t="s">
        <v>1563</v>
      </c>
      <c r="K84" s="1" t="b">
        <v>1</v>
      </c>
    </row>
    <row r="85" spans="1:11">
      <c r="A85" s="1" t="s">
        <v>1562</v>
      </c>
      <c r="B85" s="313" t="str">
        <f>报表附注!E15</f>
        <v>日元</v>
      </c>
      <c r="C85" s="325">
        <f t="shared" si="13"/>
        <v>0</v>
      </c>
      <c r="D85" s="1" t="b">
        <f t="shared" si="14"/>
        <v>1</v>
      </c>
      <c r="E85" s="325">
        <f t="shared" ref="E85:E95" si="15">C39</f>
        <v>0</v>
      </c>
      <c r="H85" s="1" t="b">
        <f t="shared" si="12"/>
        <v>0</v>
      </c>
      <c r="I85" s="1" t="s">
        <v>1561</v>
      </c>
      <c r="K85" s="1" t="b">
        <v>1</v>
      </c>
    </row>
    <row r="86" spans="1:11">
      <c r="A86" s="1" t="s">
        <v>1564</v>
      </c>
      <c r="B86" s="313" t="str">
        <f>报表附注!E16</f>
        <v>加拿大元</v>
      </c>
      <c r="C86" s="325">
        <f t="shared" si="13"/>
        <v>0</v>
      </c>
      <c r="D86" s="1" t="b">
        <f t="shared" si="14"/>
        <v>0</v>
      </c>
      <c r="E86" s="325">
        <f t="shared" si="15"/>
        <v>0</v>
      </c>
      <c r="H86" s="1" t="b">
        <f t="shared" si="12"/>
        <v>0</v>
      </c>
      <c r="I86" s="1" t="s">
        <v>1562</v>
      </c>
      <c r="K86" s="1" t="b">
        <v>1</v>
      </c>
    </row>
    <row r="87" spans="2:11">
      <c r="B87" s="313" t="str">
        <f>报表附注!E17</f>
        <v>英镑</v>
      </c>
      <c r="C87" s="325"/>
      <c r="D87" s="1" t="b">
        <f t="shared" si="14"/>
        <v>0</v>
      </c>
      <c r="E87" s="325">
        <f t="shared" si="15"/>
        <v>0</v>
      </c>
      <c r="H87" s="1" t="b">
        <f t="shared" si="12"/>
        <v>0</v>
      </c>
      <c r="I87" s="1" t="s">
        <v>1206</v>
      </c>
      <c r="K87" s="1" t="b">
        <v>1</v>
      </c>
    </row>
    <row r="88" spans="2:11">
      <c r="B88" s="313" t="str">
        <f>报表附注!E18</f>
        <v>俄罗斯卢布</v>
      </c>
      <c r="C88" s="325"/>
      <c r="D88" s="1" t="b">
        <f t="shared" si="14"/>
        <v>0</v>
      </c>
      <c r="E88" s="325">
        <f t="shared" si="15"/>
        <v>0</v>
      </c>
      <c r="H88" s="1" t="b">
        <f t="shared" si="12"/>
        <v>0</v>
      </c>
      <c r="K88" s="1" t="b">
        <v>1</v>
      </c>
    </row>
    <row r="89" spans="1:11">
      <c r="A89" s="1" t="s">
        <v>339</v>
      </c>
      <c r="B89" s="313" t="str">
        <f>报表附注!E19</f>
        <v>其他货币资金</v>
      </c>
      <c r="C89" s="325">
        <f t="shared" ref="C89:C95" si="16">J81</f>
        <v>0</v>
      </c>
      <c r="D89" s="1" t="b">
        <f t="shared" si="14"/>
        <v>1</v>
      </c>
      <c r="E89" s="325">
        <f t="shared" si="15"/>
        <v>0</v>
      </c>
      <c r="H89" s="1" t="b">
        <f t="shared" si="12"/>
        <v>0</v>
      </c>
      <c r="I89" s="1" t="s">
        <v>1569</v>
      </c>
      <c r="K89" s="1" t="b">
        <v>1</v>
      </c>
    </row>
    <row r="90" spans="1:11">
      <c r="A90" s="1" t="s">
        <v>322</v>
      </c>
      <c r="B90" s="313" t="str">
        <f>报表附注!E20</f>
        <v>其中：人民币</v>
      </c>
      <c r="C90" s="325">
        <f t="shared" si="16"/>
        <v>0</v>
      </c>
      <c r="D90" s="1" t="b">
        <f t="shared" si="14"/>
        <v>1</v>
      </c>
      <c r="E90" s="325">
        <f t="shared" si="15"/>
        <v>0</v>
      </c>
      <c r="H90" s="1" t="b">
        <f t="shared" si="12"/>
        <v>0</v>
      </c>
      <c r="K90" s="1" t="b">
        <v>1</v>
      </c>
    </row>
    <row r="91" spans="1:11">
      <c r="A91" s="1" t="s">
        <v>1559</v>
      </c>
      <c r="B91" s="313" t="str">
        <f>报表附注!E21</f>
        <v>美元</v>
      </c>
      <c r="C91" s="325">
        <f t="shared" si="16"/>
        <v>0</v>
      </c>
      <c r="D91" s="1" t="b">
        <f t="shared" si="14"/>
        <v>1</v>
      </c>
      <c r="E91" s="325">
        <f t="shared" si="15"/>
        <v>0</v>
      </c>
      <c r="H91" s="1" t="b">
        <f t="shared" si="12"/>
        <v>0</v>
      </c>
      <c r="I91" s="1" t="s">
        <v>1570</v>
      </c>
      <c r="K91" s="1" t="b">
        <v>1</v>
      </c>
    </row>
    <row r="92" spans="1:11">
      <c r="A92" s="1" t="s">
        <v>1563</v>
      </c>
      <c r="B92" s="313" t="str">
        <f>报表附注!E22</f>
        <v>     港币</v>
      </c>
      <c r="C92" s="325">
        <f t="shared" si="16"/>
        <v>0</v>
      </c>
      <c r="D92" s="1" t="b">
        <f t="shared" si="14"/>
        <v>1</v>
      </c>
      <c r="E92" s="325">
        <f t="shared" si="15"/>
        <v>0</v>
      </c>
      <c r="H92" s="1" t="b">
        <f t="shared" si="12"/>
        <v>0</v>
      </c>
      <c r="I92" s="1" t="s">
        <v>1571</v>
      </c>
      <c r="K92" s="1" t="b">
        <v>1</v>
      </c>
    </row>
    <row r="93" spans="1:11">
      <c r="A93" s="1" t="s">
        <v>1561</v>
      </c>
      <c r="B93" s="313" t="str">
        <f>报表附注!E23</f>
        <v>欧元</v>
      </c>
      <c r="C93" s="325">
        <f t="shared" si="16"/>
        <v>0</v>
      </c>
      <c r="D93" s="1" t="b">
        <f t="shared" si="14"/>
        <v>1</v>
      </c>
      <c r="E93" s="325">
        <f t="shared" si="15"/>
        <v>0</v>
      </c>
      <c r="H93" s="1" t="b">
        <f t="shared" si="12"/>
        <v>0</v>
      </c>
      <c r="I93" s="1" t="s">
        <v>1572</v>
      </c>
      <c r="K93" s="1" t="b">
        <v>1</v>
      </c>
    </row>
    <row r="94" spans="1:11">
      <c r="A94" s="1" t="s">
        <v>1562</v>
      </c>
      <c r="B94" s="313" t="str">
        <f>报表附注!E24</f>
        <v>日元</v>
      </c>
      <c r="C94" s="325">
        <f t="shared" si="16"/>
        <v>0</v>
      </c>
      <c r="D94" s="1" t="b">
        <f t="shared" si="14"/>
        <v>1</v>
      </c>
      <c r="E94" s="325">
        <f t="shared" si="15"/>
        <v>0</v>
      </c>
      <c r="H94" s="1" t="b">
        <f t="shared" si="12"/>
        <v>0</v>
      </c>
      <c r="I94" s="1" t="s">
        <v>1573</v>
      </c>
      <c r="K94" s="1" t="b">
        <v>1</v>
      </c>
    </row>
    <row r="95" spans="1:11">
      <c r="A95" s="1" t="s">
        <v>1206</v>
      </c>
      <c r="B95" s="324" t="str">
        <f>报表附注!E25</f>
        <v>合  计</v>
      </c>
      <c r="C95" s="325">
        <f t="shared" si="16"/>
        <v>0</v>
      </c>
      <c r="D95" s="1" t="b">
        <f t="shared" si="14"/>
        <v>1</v>
      </c>
      <c r="E95" s="325">
        <f t="shared" si="15"/>
        <v>0</v>
      </c>
      <c r="H95" s="1" t="b">
        <f t="shared" si="12"/>
        <v>0</v>
      </c>
      <c r="I95" s="1" t="s">
        <v>1574</v>
      </c>
      <c r="K95" s="1" t="b">
        <v>1</v>
      </c>
    </row>
    <row r="96" spans="4:11">
      <c r="D96" s="1" t="b">
        <f t="shared" si="14"/>
        <v>1</v>
      </c>
      <c r="H96" s="1" t="b">
        <f t="shared" si="12"/>
        <v>0</v>
      </c>
      <c r="I96" s="311" t="s">
        <v>1575</v>
      </c>
      <c r="J96" s="334"/>
      <c r="K96" s="311" t="b">
        <v>1</v>
      </c>
    </row>
    <row r="97" spans="1:11">
      <c r="A97" s="1" t="s">
        <v>1569</v>
      </c>
      <c r="B97" s="327" t="s">
        <v>1569</v>
      </c>
      <c r="D97" s="1" t="b">
        <f t="shared" si="14"/>
        <v>1</v>
      </c>
      <c r="H97" s="1" t="b">
        <f t="shared" si="12"/>
        <v>0</v>
      </c>
      <c r="I97" s="1" t="s">
        <v>1576</v>
      </c>
      <c r="K97" s="1" t="b">
        <v>1</v>
      </c>
    </row>
    <row r="98" spans="4:12">
      <c r="D98" s="1" t="b">
        <f t="shared" si="14"/>
        <v>1</v>
      </c>
      <c r="H98" s="1" t="b">
        <f t="shared" si="12"/>
        <v>0</v>
      </c>
      <c r="I98" s="1" t="s">
        <v>1577</v>
      </c>
      <c r="K98" s="1" t="b">
        <v>1</v>
      </c>
      <c r="L98" s="311"/>
    </row>
    <row r="99" ht="14.25" customHeight="1" spans="1:11">
      <c r="A99" s="1" t="s">
        <v>1570</v>
      </c>
      <c r="B99" s="328" t="s">
        <v>1570</v>
      </c>
      <c r="D99" s="1" t="b">
        <f t="shared" si="14"/>
        <v>1</v>
      </c>
      <c r="H99" s="1" t="b">
        <f t="shared" si="12"/>
        <v>0</v>
      </c>
      <c r="I99" s="1" t="s">
        <v>373</v>
      </c>
      <c r="K99" s="1" t="b">
        <v>1</v>
      </c>
    </row>
    <row r="100" spans="1:11">
      <c r="A100" s="1" t="s">
        <v>1571</v>
      </c>
      <c r="B100" s="313" t="str">
        <f>报表附注!E48</f>
        <v>1.交易性债券投资</v>
      </c>
      <c r="C100" s="325">
        <f t="shared" ref="C100:C114" si="17">J92</f>
        <v>0</v>
      </c>
      <c r="D100" s="1" t="b">
        <f t="shared" si="14"/>
        <v>1</v>
      </c>
      <c r="E100" s="325">
        <f>C108</f>
        <v>0</v>
      </c>
      <c r="H100" s="1" t="b">
        <f t="shared" si="12"/>
        <v>1</v>
      </c>
      <c r="I100" s="1" t="s">
        <v>1571</v>
      </c>
      <c r="K100" s="1" t="b">
        <v>1</v>
      </c>
    </row>
    <row r="101" spans="1:11">
      <c r="A101" s="1" t="s">
        <v>1572</v>
      </c>
      <c r="B101" s="313" t="str">
        <f>报表附注!E49</f>
        <v>2.交易性权益工具投资</v>
      </c>
      <c r="C101" s="325">
        <f t="shared" si="17"/>
        <v>0</v>
      </c>
      <c r="D101" s="1" t="b">
        <f t="shared" si="14"/>
        <v>1</v>
      </c>
      <c r="E101" s="325">
        <f t="shared" ref="E101:E106" si="18">C109</f>
        <v>0</v>
      </c>
      <c r="H101" s="1" t="b">
        <f t="shared" si="12"/>
        <v>1</v>
      </c>
      <c r="I101" s="1" t="s">
        <v>1572</v>
      </c>
      <c r="K101" s="1" t="b">
        <v>1</v>
      </c>
    </row>
    <row r="102" ht="22.5" spans="1:11">
      <c r="A102" s="1" t="s">
        <v>1573</v>
      </c>
      <c r="B102" s="313" t="str">
        <f>报表附注!E50</f>
        <v>3.指定为以公允价值计量且其变动计入当期损益的金融资产</v>
      </c>
      <c r="C102" s="325">
        <f t="shared" si="17"/>
        <v>0</v>
      </c>
      <c r="D102" s="1" t="b">
        <f t="shared" si="14"/>
        <v>1</v>
      </c>
      <c r="E102" s="325">
        <f t="shared" si="18"/>
        <v>0</v>
      </c>
      <c r="H102" s="1" t="b">
        <f t="shared" si="12"/>
        <v>1</v>
      </c>
      <c r="I102" s="1" t="s">
        <v>1573</v>
      </c>
      <c r="K102" s="1" t="b">
        <v>1</v>
      </c>
    </row>
    <row r="103" spans="1:11">
      <c r="A103" s="1" t="s">
        <v>1574</v>
      </c>
      <c r="B103" s="313" t="str">
        <f>报表附注!E51</f>
        <v>4.衍生金融资产</v>
      </c>
      <c r="C103" s="325">
        <f t="shared" si="17"/>
        <v>0</v>
      </c>
      <c r="D103" s="1" t="b">
        <f t="shared" si="14"/>
        <v>1</v>
      </c>
      <c r="E103" s="325">
        <f t="shared" si="18"/>
        <v>0</v>
      </c>
      <c r="H103" s="1" t="b">
        <f t="shared" si="12"/>
        <v>1</v>
      </c>
      <c r="I103" s="1" t="s">
        <v>1574</v>
      </c>
      <c r="K103" s="1" t="b">
        <v>1</v>
      </c>
    </row>
    <row r="104" s="311" customFormat="1" spans="1:12">
      <c r="A104" s="311" t="s">
        <v>1575</v>
      </c>
      <c r="B104" s="329" t="str">
        <f>报表附注!E52</f>
        <v>5.套期工具</v>
      </c>
      <c r="C104" s="325">
        <f t="shared" si="17"/>
        <v>0</v>
      </c>
      <c r="D104" s="311" t="b">
        <f t="shared" si="14"/>
        <v>1</v>
      </c>
      <c r="E104" s="325">
        <f t="shared" si="18"/>
        <v>0</v>
      </c>
      <c r="H104" s="1" t="b">
        <f t="shared" si="12"/>
        <v>1</v>
      </c>
      <c r="I104" s="311" t="s">
        <v>1575</v>
      </c>
      <c r="J104" s="334"/>
      <c r="K104" s="311" t="b">
        <v>1</v>
      </c>
      <c r="L104" s="1"/>
    </row>
    <row r="105" spans="1:11">
      <c r="A105" s="1" t="s">
        <v>1576</v>
      </c>
      <c r="B105" s="313" t="str">
        <f>报表附注!E53</f>
        <v>6.其他</v>
      </c>
      <c r="C105" s="325">
        <f t="shared" si="17"/>
        <v>0</v>
      </c>
      <c r="D105" s="1" t="b">
        <f t="shared" si="14"/>
        <v>1</v>
      </c>
      <c r="E105" s="325">
        <f t="shared" si="18"/>
        <v>0</v>
      </c>
      <c r="H105" s="1" t="b">
        <f t="shared" si="12"/>
        <v>1</v>
      </c>
      <c r="I105" s="1" t="s">
        <v>1576</v>
      </c>
      <c r="K105" s="1" t="b">
        <v>1</v>
      </c>
    </row>
    <row r="106" spans="1:12">
      <c r="A106" s="1" t="s">
        <v>1577</v>
      </c>
      <c r="B106" s="324" t="str">
        <f>报表附注!E54</f>
        <v>合    计</v>
      </c>
      <c r="C106" s="325">
        <f t="shared" si="17"/>
        <v>0</v>
      </c>
      <c r="D106" s="1" t="b">
        <f t="shared" si="14"/>
        <v>1</v>
      </c>
      <c r="E106" s="325">
        <f t="shared" si="18"/>
        <v>0</v>
      </c>
      <c r="H106" s="1" t="b">
        <f t="shared" si="12"/>
        <v>1</v>
      </c>
      <c r="I106" s="1" t="s">
        <v>1577</v>
      </c>
      <c r="K106" s="1" t="b">
        <v>1</v>
      </c>
      <c r="L106" s="311"/>
    </row>
    <row r="107" ht="12" spans="1:11">
      <c r="A107" s="1" t="s">
        <v>373</v>
      </c>
      <c r="B107" s="328" t="s">
        <v>373</v>
      </c>
      <c r="C107" s="330">
        <f t="shared" si="17"/>
        <v>0</v>
      </c>
      <c r="D107" s="1" t="b">
        <f t="shared" si="14"/>
        <v>1</v>
      </c>
      <c r="H107" s="1" t="b">
        <f t="shared" si="12"/>
        <v>0</v>
      </c>
      <c r="K107" s="1" t="b">
        <v>1</v>
      </c>
    </row>
    <row r="108" spans="1:11">
      <c r="A108" s="1" t="s">
        <v>1571</v>
      </c>
      <c r="B108" s="313" t="str">
        <f>报表附注!E48</f>
        <v>1.交易性债券投资</v>
      </c>
      <c r="C108" s="325">
        <f t="shared" si="17"/>
        <v>0</v>
      </c>
      <c r="D108" s="1" t="b">
        <f t="shared" si="14"/>
        <v>1</v>
      </c>
      <c r="E108" s="315"/>
      <c r="H108" s="1" t="b">
        <f t="shared" si="12"/>
        <v>0</v>
      </c>
      <c r="I108" s="1" t="s">
        <v>1578</v>
      </c>
      <c r="K108" s="1" t="b">
        <v>1</v>
      </c>
    </row>
    <row r="109" spans="1:11">
      <c r="A109" s="1" t="s">
        <v>1572</v>
      </c>
      <c r="B109" s="313" t="str">
        <f>报表附注!E49</f>
        <v>2.交易性权益工具投资</v>
      </c>
      <c r="C109" s="325">
        <f t="shared" si="17"/>
        <v>0</v>
      </c>
      <c r="D109" s="1" t="b">
        <f t="shared" si="14"/>
        <v>1</v>
      </c>
      <c r="E109" s="315"/>
      <c r="H109" s="1" t="b">
        <f t="shared" si="12"/>
        <v>0</v>
      </c>
      <c r="K109" s="1" t="b">
        <v>1</v>
      </c>
    </row>
    <row r="110" ht="22.5" spans="1:11">
      <c r="A110" s="1" t="s">
        <v>1573</v>
      </c>
      <c r="B110" s="313" t="str">
        <f>报表附注!E50</f>
        <v>3.指定为以公允价值计量且其变动计入当期损益的金融资产</v>
      </c>
      <c r="C110" s="325">
        <f t="shared" si="17"/>
        <v>0</v>
      </c>
      <c r="D110" s="1" t="b">
        <f t="shared" si="14"/>
        <v>1</v>
      </c>
      <c r="E110" s="315"/>
      <c r="H110" s="1" t="b">
        <f t="shared" si="12"/>
        <v>0</v>
      </c>
      <c r="I110" s="1" t="s">
        <v>1579</v>
      </c>
      <c r="K110" s="1" t="b">
        <v>1</v>
      </c>
    </row>
    <row r="111" spans="1:11">
      <c r="A111" s="1" t="s">
        <v>1574</v>
      </c>
      <c r="B111" s="313" t="str">
        <f>报表附注!E51</f>
        <v>4.衍生金融资产</v>
      </c>
      <c r="C111" s="325">
        <f t="shared" si="17"/>
        <v>0</v>
      </c>
      <c r="D111" s="1" t="b">
        <f t="shared" si="14"/>
        <v>1</v>
      </c>
      <c r="E111" s="315"/>
      <c r="H111" s="1" t="b">
        <f t="shared" si="12"/>
        <v>0</v>
      </c>
      <c r="I111" s="1" t="s">
        <v>391</v>
      </c>
      <c r="K111" s="1" t="b">
        <v>1</v>
      </c>
    </row>
    <row r="112" s="311" customFormat="1" spans="1:12">
      <c r="A112" s="311" t="s">
        <v>1575</v>
      </c>
      <c r="B112" s="329" t="str">
        <f>报表附注!E52</f>
        <v>5.套期工具</v>
      </c>
      <c r="C112" s="325">
        <f t="shared" si="17"/>
        <v>0</v>
      </c>
      <c r="D112" s="311" t="b">
        <f t="shared" si="14"/>
        <v>1</v>
      </c>
      <c r="E112" s="315"/>
      <c r="H112" s="1" t="b">
        <f t="shared" si="12"/>
        <v>0</v>
      </c>
      <c r="I112" s="1" t="s">
        <v>393</v>
      </c>
      <c r="J112" s="314"/>
      <c r="K112" s="1" t="b">
        <v>1</v>
      </c>
      <c r="L112" s="1"/>
    </row>
    <row r="113" spans="1:11">
      <c r="A113" s="1" t="s">
        <v>1576</v>
      </c>
      <c r="B113" s="313" t="str">
        <f>报表附注!E53</f>
        <v>6.其他</v>
      </c>
      <c r="C113" s="325">
        <f t="shared" si="17"/>
        <v>0</v>
      </c>
      <c r="D113" s="1" t="b">
        <f t="shared" si="14"/>
        <v>1</v>
      </c>
      <c r="E113" s="315"/>
      <c r="H113" s="1" t="b">
        <f t="shared" si="12"/>
        <v>0</v>
      </c>
      <c r="I113" s="1" t="s">
        <v>1580</v>
      </c>
      <c r="K113" s="1" t="b">
        <v>1</v>
      </c>
    </row>
    <row r="114" spans="1:11">
      <c r="A114" s="1" t="s">
        <v>1577</v>
      </c>
      <c r="B114" s="324" t="str">
        <f>报表附注!E54</f>
        <v>合    计</v>
      </c>
      <c r="C114" s="325">
        <f t="shared" si="17"/>
        <v>0</v>
      </c>
      <c r="D114" s="1" t="b">
        <f t="shared" si="14"/>
        <v>1</v>
      </c>
      <c r="E114" s="315"/>
      <c r="H114" s="1" t="b">
        <f t="shared" si="12"/>
        <v>0</v>
      </c>
      <c r="I114" s="1" t="s">
        <v>315</v>
      </c>
      <c r="K114" s="1" t="b">
        <v>1</v>
      </c>
    </row>
    <row r="115" spans="4:11">
      <c r="D115" s="1" t="b">
        <f t="shared" si="14"/>
        <v>1</v>
      </c>
      <c r="H115" s="1" t="b">
        <f t="shared" si="12"/>
        <v>0</v>
      </c>
      <c r="I115" s="1" t="s">
        <v>391</v>
      </c>
      <c r="K115" s="1" t="b">
        <v>1</v>
      </c>
    </row>
    <row r="116" spans="1:11">
      <c r="A116" s="1" t="s">
        <v>1578</v>
      </c>
      <c r="B116" s="331" t="s">
        <v>1578</v>
      </c>
      <c r="D116" s="1" t="b">
        <f t="shared" si="14"/>
        <v>1</v>
      </c>
      <c r="H116" s="1" t="b">
        <f t="shared" si="12"/>
        <v>0</v>
      </c>
      <c r="I116" s="1" t="s">
        <v>393</v>
      </c>
      <c r="K116" s="1" t="b">
        <v>1</v>
      </c>
    </row>
    <row r="117" spans="4:11">
      <c r="D117" s="1" t="b">
        <f t="shared" si="14"/>
        <v>1</v>
      </c>
      <c r="H117" s="1" t="b">
        <f t="shared" si="12"/>
        <v>0</v>
      </c>
      <c r="I117" s="1" t="s">
        <v>1580</v>
      </c>
      <c r="K117" s="1" t="b">
        <v>1</v>
      </c>
    </row>
    <row r="118" spans="1:11">
      <c r="A118" s="1" t="s">
        <v>1579</v>
      </c>
      <c r="B118" s="332" t="s">
        <v>1579</v>
      </c>
      <c r="D118" s="1" t="b">
        <f t="shared" si="14"/>
        <v>1</v>
      </c>
      <c r="H118" s="1" t="b">
        <f t="shared" si="12"/>
        <v>0</v>
      </c>
      <c r="K118" s="1" t="b">
        <v>1</v>
      </c>
    </row>
    <row r="119" spans="1:11">
      <c r="A119" s="1" t="s">
        <v>391</v>
      </c>
      <c r="B119" s="313" t="str">
        <f>报表附注!E74</f>
        <v>银行承兑汇票</v>
      </c>
      <c r="C119" s="325">
        <f t="shared" ref="C119:C125" si="19">J111</f>
        <v>0</v>
      </c>
      <c r="D119" s="1" t="b">
        <f t="shared" si="14"/>
        <v>1</v>
      </c>
      <c r="E119" s="325">
        <f>C123</f>
        <v>0</v>
      </c>
      <c r="H119" s="1" t="b">
        <f t="shared" si="12"/>
        <v>0</v>
      </c>
      <c r="I119" s="1" t="s">
        <v>1581</v>
      </c>
      <c r="K119" s="1" t="b">
        <v>1</v>
      </c>
    </row>
    <row r="120" spans="1:11">
      <c r="A120" s="1" t="s">
        <v>393</v>
      </c>
      <c r="B120" s="313" t="str">
        <f>报表附注!E75</f>
        <v>商业承兑汇票</v>
      </c>
      <c r="C120" s="325">
        <f t="shared" si="19"/>
        <v>0</v>
      </c>
      <c r="D120" s="1" t="b">
        <f t="shared" si="14"/>
        <v>1</v>
      </c>
      <c r="E120" s="325">
        <f>C124</f>
        <v>0</v>
      </c>
      <c r="H120" s="1" t="b">
        <f t="shared" si="12"/>
        <v>0</v>
      </c>
      <c r="K120" s="1" t="b">
        <v>1</v>
      </c>
    </row>
    <row r="121" spans="1:11">
      <c r="A121" s="1" t="s">
        <v>1580</v>
      </c>
      <c r="B121" s="324" t="str">
        <f>报表附注!E76</f>
        <v>合计</v>
      </c>
      <c r="C121" s="325">
        <f t="shared" si="19"/>
        <v>0</v>
      </c>
      <c r="D121" s="1" t="b">
        <f t="shared" si="14"/>
        <v>1</v>
      </c>
      <c r="E121" s="325">
        <f>C125</f>
        <v>0</v>
      </c>
      <c r="H121" s="1" t="b">
        <f t="shared" si="12"/>
        <v>0</v>
      </c>
      <c r="K121" s="1" t="b">
        <v>1</v>
      </c>
    </row>
    <row r="122" spans="1:11">
      <c r="A122" s="1" t="s">
        <v>315</v>
      </c>
      <c r="B122" s="332" t="s">
        <v>315</v>
      </c>
      <c r="C122" s="330"/>
      <c r="D122" s="1" t="b">
        <f t="shared" si="14"/>
        <v>1</v>
      </c>
      <c r="H122" s="1" t="b">
        <f t="shared" si="12"/>
        <v>0</v>
      </c>
      <c r="I122" s="1" t="s">
        <v>1583</v>
      </c>
      <c r="K122" s="1" t="b">
        <v>1</v>
      </c>
    </row>
    <row r="123" spans="1:11">
      <c r="A123" s="1" t="s">
        <v>391</v>
      </c>
      <c r="B123" s="313" t="str">
        <f>报表附注!E74</f>
        <v>银行承兑汇票</v>
      </c>
      <c r="C123" s="325">
        <f t="shared" si="19"/>
        <v>0</v>
      </c>
      <c r="D123" s="1" t="b">
        <f t="shared" si="14"/>
        <v>1</v>
      </c>
      <c r="E123" s="315"/>
      <c r="H123" s="1" t="b">
        <f t="shared" si="12"/>
        <v>0</v>
      </c>
      <c r="K123" s="1" t="b">
        <v>1</v>
      </c>
    </row>
    <row r="124" spans="1:11">
      <c r="A124" s="1" t="s">
        <v>393</v>
      </c>
      <c r="B124" s="313" t="str">
        <f>报表附注!E75</f>
        <v>商业承兑汇票</v>
      </c>
      <c r="C124" s="325">
        <f t="shared" si="19"/>
        <v>0</v>
      </c>
      <c r="D124" s="1" t="b">
        <f t="shared" si="14"/>
        <v>1</v>
      </c>
      <c r="E124" s="315"/>
      <c r="H124" s="1" t="b">
        <f t="shared" si="12"/>
        <v>0</v>
      </c>
      <c r="K124" s="1" t="b">
        <v>1</v>
      </c>
    </row>
    <row r="125" spans="1:11">
      <c r="A125" s="1" t="s">
        <v>1580</v>
      </c>
      <c r="B125" s="324" t="str">
        <f>报表附注!E76</f>
        <v>合计</v>
      </c>
      <c r="C125" s="325">
        <f t="shared" si="19"/>
        <v>0</v>
      </c>
      <c r="D125" s="1" t="b">
        <f t="shared" si="14"/>
        <v>1</v>
      </c>
      <c r="E125" s="315"/>
      <c r="H125" s="1" t="b">
        <f t="shared" si="12"/>
        <v>0</v>
      </c>
      <c r="I125" s="1" t="s">
        <v>1584</v>
      </c>
      <c r="K125" s="1" t="b">
        <v>1</v>
      </c>
    </row>
    <row r="126" spans="4:11">
      <c r="D126" s="1" t="b">
        <f t="shared" si="14"/>
        <v>1</v>
      </c>
      <c r="E126" s="311"/>
      <c r="H126" s="1" t="b">
        <f t="shared" si="12"/>
        <v>0</v>
      </c>
      <c r="I126" s="1" t="s">
        <v>1579</v>
      </c>
      <c r="K126" s="1" t="b">
        <v>1</v>
      </c>
    </row>
    <row r="127" ht="13.5" spans="1:11">
      <c r="A127" s="1" t="s">
        <v>1581</v>
      </c>
      <c r="B127" s="333" t="s">
        <v>1582</v>
      </c>
      <c r="D127" s="1" t="b">
        <f t="shared" si="14"/>
        <v>1</v>
      </c>
      <c r="H127" s="1" t="b">
        <f t="shared" si="12"/>
        <v>0</v>
      </c>
      <c r="I127" s="1" t="s">
        <v>1585</v>
      </c>
      <c r="K127" s="1" t="b">
        <v>1</v>
      </c>
    </row>
    <row r="128" spans="4:11">
      <c r="D128" s="1" t="b">
        <f t="shared" si="14"/>
        <v>1</v>
      </c>
      <c r="H128" s="1" t="b">
        <f t="shared" si="12"/>
        <v>0</v>
      </c>
      <c r="I128" s="1" t="s">
        <v>1586</v>
      </c>
      <c r="K128" s="1" t="b">
        <v>1</v>
      </c>
    </row>
    <row r="129" spans="4:11">
      <c r="D129" s="1" t="b">
        <f t="shared" si="14"/>
        <v>1</v>
      </c>
      <c r="H129" s="1" t="b">
        <f t="shared" si="12"/>
        <v>0</v>
      </c>
      <c r="I129" s="1" t="s">
        <v>1587</v>
      </c>
      <c r="K129" s="1" t="b">
        <v>1</v>
      </c>
    </row>
    <row r="130" spans="1:11">
      <c r="A130" s="1" t="s">
        <v>1583</v>
      </c>
      <c r="B130" s="333" t="s">
        <v>1583</v>
      </c>
      <c r="D130" s="1" t="b">
        <f t="shared" si="14"/>
        <v>1</v>
      </c>
      <c r="H130" s="1" t="b">
        <f t="shared" si="12"/>
        <v>0</v>
      </c>
      <c r="I130" s="1" t="s">
        <v>1588</v>
      </c>
      <c r="K130" s="1" t="b">
        <v>1</v>
      </c>
    </row>
    <row r="131" spans="4:11">
      <c r="D131" s="1" t="b">
        <f t="shared" si="14"/>
        <v>1</v>
      </c>
      <c r="H131" s="1" t="b">
        <f t="shared" si="12"/>
        <v>0</v>
      </c>
      <c r="I131" s="1" t="s">
        <v>1589</v>
      </c>
      <c r="K131" s="1" t="b">
        <v>1</v>
      </c>
    </row>
    <row r="132" spans="4:11">
      <c r="D132" s="1" t="b">
        <f t="shared" si="14"/>
        <v>1</v>
      </c>
      <c r="H132" s="1" t="b">
        <f t="shared" ref="H132:H195" si="20">I132=B132</f>
        <v>0</v>
      </c>
      <c r="I132" s="1" t="s">
        <v>1590</v>
      </c>
      <c r="K132" s="1" t="b">
        <v>1</v>
      </c>
    </row>
    <row r="133" spans="1:11">
      <c r="A133" s="1" t="s">
        <v>1584</v>
      </c>
      <c r="B133" s="331" t="s">
        <v>1584</v>
      </c>
      <c r="D133" s="1" t="b">
        <f t="shared" si="14"/>
        <v>1</v>
      </c>
      <c r="H133" s="1" t="b">
        <f t="shared" si="20"/>
        <v>0</v>
      </c>
      <c r="I133" s="1" t="s">
        <v>1580</v>
      </c>
      <c r="K133" s="1" t="b">
        <v>1</v>
      </c>
    </row>
    <row r="134" spans="1:11">
      <c r="A134" s="1" t="s">
        <v>1579</v>
      </c>
      <c r="B134" s="332" t="s">
        <v>1579</v>
      </c>
      <c r="D134" s="1" t="b">
        <f t="shared" si="14"/>
        <v>1</v>
      </c>
      <c r="H134" s="1" t="b">
        <f t="shared" si="20"/>
        <v>0</v>
      </c>
      <c r="I134" s="1" t="s">
        <v>1591</v>
      </c>
      <c r="K134" s="1" t="b">
        <v>1</v>
      </c>
    </row>
    <row r="135" spans="1:11">
      <c r="A135" s="1" t="s">
        <v>1585</v>
      </c>
      <c r="B135" s="313" t="str">
        <f>报表附注!E199</f>
        <v>1年以内（含1年）</v>
      </c>
      <c r="C135" s="325">
        <f t="shared" ref="C135:C158" si="21">J127</f>
        <v>0</v>
      </c>
      <c r="D135" s="1" t="b">
        <f t="shared" si="14"/>
        <v>1</v>
      </c>
      <c r="E135" s="325">
        <f>C152</f>
        <v>0</v>
      </c>
      <c r="H135" s="1" t="b">
        <f t="shared" si="20"/>
        <v>1</v>
      </c>
      <c r="I135" s="1" t="s">
        <v>1585</v>
      </c>
      <c r="K135" s="1" t="b">
        <v>1</v>
      </c>
    </row>
    <row r="136" spans="1:11">
      <c r="A136" s="1" t="s">
        <v>1586</v>
      </c>
      <c r="B136" s="313" t="str">
        <f>报表附注!E200</f>
        <v>1-2年（含2年）</v>
      </c>
      <c r="C136" s="325">
        <f t="shared" si="21"/>
        <v>0</v>
      </c>
      <c r="D136" s="1" t="b">
        <f t="shared" si="14"/>
        <v>1</v>
      </c>
      <c r="E136" s="325">
        <f t="shared" ref="E136:E150" si="22">C153</f>
        <v>0</v>
      </c>
      <c r="H136" s="1" t="b">
        <f t="shared" si="20"/>
        <v>1</v>
      </c>
      <c r="I136" s="1" t="s">
        <v>1586</v>
      </c>
      <c r="K136" s="1" t="b">
        <v>1</v>
      </c>
    </row>
    <row r="137" spans="1:11">
      <c r="A137" s="1" t="s">
        <v>1587</v>
      </c>
      <c r="B137" s="313" t="str">
        <f>报表附注!E201</f>
        <v>2-3年（含3年）</v>
      </c>
      <c r="C137" s="325">
        <f t="shared" si="21"/>
        <v>0</v>
      </c>
      <c r="D137" s="1" t="b">
        <f t="shared" si="14"/>
        <v>1</v>
      </c>
      <c r="E137" s="325">
        <f t="shared" si="22"/>
        <v>0</v>
      </c>
      <c r="H137" s="1" t="b">
        <f t="shared" si="20"/>
        <v>1</v>
      </c>
      <c r="I137" s="1" t="s">
        <v>1587</v>
      </c>
      <c r="K137" s="1" t="b">
        <v>1</v>
      </c>
    </row>
    <row r="138" spans="1:11">
      <c r="A138" s="1" t="s">
        <v>1588</v>
      </c>
      <c r="B138" s="313" t="str">
        <f>报表附注!E202</f>
        <v>3-4年（含4年）</v>
      </c>
      <c r="C138" s="325">
        <f t="shared" si="21"/>
        <v>0</v>
      </c>
      <c r="D138" s="1" t="b">
        <f t="shared" si="14"/>
        <v>1</v>
      </c>
      <c r="E138" s="325">
        <f t="shared" si="22"/>
        <v>0</v>
      </c>
      <c r="H138" s="1" t="b">
        <f t="shared" si="20"/>
        <v>1</v>
      </c>
      <c r="I138" s="1" t="s">
        <v>1588</v>
      </c>
      <c r="K138" s="1" t="b">
        <v>1</v>
      </c>
    </row>
    <row r="139" spans="1:11">
      <c r="A139" s="1" t="s">
        <v>1589</v>
      </c>
      <c r="B139" s="313" t="str">
        <f>报表附注!E203</f>
        <v>4-5年（含5年）</v>
      </c>
      <c r="C139" s="325">
        <f t="shared" si="21"/>
        <v>0</v>
      </c>
      <c r="D139" s="1" t="b">
        <f t="shared" si="14"/>
        <v>1</v>
      </c>
      <c r="E139" s="325">
        <f t="shared" si="22"/>
        <v>0</v>
      </c>
      <c r="H139" s="1" t="b">
        <f t="shared" si="20"/>
        <v>1</v>
      </c>
      <c r="I139" s="1" t="s">
        <v>1589</v>
      </c>
      <c r="K139" s="1" t="b">
        <v>1</v>
      </c>
    </row>
    <row r="140" spans="1:11">
      <c r="A140" s="1" t="s">
        <v>1590</v>
      </c>
      <c r="B140" s="313" t="str">
        <f>报表附注!E204</f>
        <v>5年以上</v>
      </c>
      <c r="C140" s="325">
        <f t="shared" si="21"/>
        <v>0</v>
      </c>
      <c r="D140" s="1" t="b">
        <f t="shared" ref="D140:D203" si="23">EXACT(A140,B140)</f>
        <v>1</v>
      </c>
      <c r="E140" s="325">
        <f t="shared" si="22"/>
        <v>0</v>
      </c>
      <c r="H140" s="1" t="b">
        <f t="shared" si="20"/>
        <v>1</v>
      </c>
      <c r="I140" s="1" t="s">
        <v>1590</v>
      </c>
      <c r="K140" s="1" t="b">
        <v>1</v>
      </c>
    </row>
    <row r="141" spans="1:11">
      <c r="A141" s="1" t="s">
        <v>1580</v>
      </c>
      <c r="B141" s="324" t="str">
        <f>报表附注!E205</f>
        <v>合计</v>
      </c>
      <c r="C141" s="325">
        <f t="shared" si="21"/>
        <v>0</v>
      </c>
      <c r="D141" s="1" t="b">
        <f t="shared" si="23"/>
        <v>1</v>
      </c>
      <c r="E141" s="325">
        <f t="shared" si="22"/>
        <v>0</v>
      </c>
      <c r="H141" s="1" t="b">
        <f t="shared" si="20"/>
        <v>1</v>
      </c>
      <c r="I141" s="1" t="s">
        <v>1580</v>
      </c>
      <c r="K141" s="1" t="b">
        <v>1</v>
      </c>
    </row>
    <row r="142" spans="1:11">
      <c r="A142" s="1" t="s">
        <v>1591</v>
      </c>
      <c r="B142" s="335" t="s">
        <v>1591</v>
      </c>
      <c r="C142" s="330">
        <f t="shared" si="21"/>
        <v>0</v>
      </c>
      <c r="D142" s="1" t="b">
        <f t="shared" si="23"/>
        <v>1</v>
      </c>
      <c r="E142" s="325">
        <f t="shared" si="22"/>
        <v>0</v>
      </c>
      <c r="H142" s="1" t="b">
        <f t="shared" si="20"/>
        <v>0</v>
      </c>
      <c r="I142" s="1" t="s">
        <v>1592</v>
      </c>
      <c r="K142" s="1" t="b">
        <v>1</v>
      </c>
    </row>
    <row r="143" spans="1:11">
      <c r="A143" s="1" t="s">
        <v>1585</v>
      </c>
      <c r="B143" s="313" t="str">
        <f>报表附注!E199</f>
        <v>1年以内（含1年）</v>
      </c>
      <c r="C143" s="325">
        <f t="shared" si="21"/>
        <v>0</v>
      </c>
      <c r="D143" s="1" t="b">
        <f t="shared" si="23"/>
        <v>1</v>
      </c>
      <c r="E143" s="325">
        <f t="shared" si="22"/>
        <v>0</v>
      </c>
      <c r="H143" s="1" t="b">
        <f t="shared" si="20"/>
        <v>0</v>
      </c>
      <c r="I143" s="1" t="s">
        <v>315</v>
      </c>
      <c r="K143" s="1" t="b">
        <v>1</v>
      </c>
    </row>
    <row r="144" spans="1:11">
      <c r="A144" s="1" t="s">
        <v>1586</v>
      </c>
      <c r="B144" s="313" t="str">
        <f>报表附注!E200</f>
        <v>1-2年（含2年）</v>
      </c>
      <c r="C144" s="325">
        <f t="shared" si="21"/>
        <v>0</v>
      </c>
      <c r="D144" s="1" t="b">
        <f t="shared" si="23"/>
        <v>1</v>
      </c>
      <c r="E144" s="325">
        <f t="shared" si="22"/>
        <v>0</v>
      </c>
      <c r="H144" s="1" t="b">
        <f t="shared" si="20"/>
        <v>0</v>
      </c>
      <c r="I144" s="1" t="s">
        <v>1585</v>
      </c>
      <c r="K144" s="1" t="b">
        <v>1</v>
      </c>
    </row>
    <row r="145" spans="1:11">
      <c r="A145" s="1" t="s">
        <v>1587</v>
      </c>
      <c r="B145" s="313" t="str">
        <f>报表附注!E201</f>
        <v>2-3年（含3年）</v>
      </c>
      <c r="C145" s="325">
        <f t="shared" si="21"/>
        <v>0</v>
      </c>
      <c r="D145" s="1" t="b">
        <f t="shared" si="23"/>
        <v>1</v>
      </c>
      <c r="E145" s="325">
        <f t="shared" si="22"/>
        <v>0</v>
      </c>
      <c r="H145" s="1" t="b">
        <f t="shared" si="20"/>
        <v>0</v>
      </c>
      <c r="I145" s="1" t="s">
        <v>1586</v>
      </c>
      <c r="K145" s="1" t="b">
        <v>1</v>
      </c>
    </row>
    <row r="146" spans="1:11">
      <c r="A146" s="1" t="s">
        <v>1588</v>
      </c>
      <c r="B146" s="313" t="str">
        <f>报表附注!E202</f>
        <v>3-4年（含4年）</v>
      </c>
      <c r="C146" s="325">
        <f t="shared" si="21"/>
        <v>0</v>
      </c>
      <c r="D146" s="1" t="b">
        <f t="shared" si="23"/>
        <v>1</v>
      </c>
      <c r="E146" s="325">
        <f t="shared" si="22"/>
        <v>0</v>
      </c>
      <c r="H146" s="1" t="b">
        <f t="shared" si="20"/>
        <v>0</v>
      </c>
      <c r="I146" s="1" t="s">
        <v>1587</v>
      </c>
      <c r="K146" s="1" t="b">
        <v>1</v>
      </c>
    </row>
    <row r="147" spans="1:11">
      <c r="A147" s="1" t="s">
        <v>1589</v>
      </c>
      <c r="B147" s="313" t="str">
        <f>报表附注!E203</f>
        <v>4-5年（含5年）</v>
      </c>
      <c r="C147" s="325">
        <f t="shared" si="21"/>
        <v>0</v>
      </c>
      <c r="D147" s="1" t="b">
        <f t="shared" si="23"/>
        <v>1</v>
      </c>
      <c r="E147" s="325">
        <f t="shared" si="22"/>
        <v>0</v>
      </c>
      <c r="H147" s="1" t="b">
        <f t="shared" si="20"/>
        <v>0</v>
      </c>
      <c r="I147" s="1" t="s">
        <v>1588</v>
      </c>
      <c r="K147" s="1" t="b">
        <v>1</v>
      </c>
    </row>
    <row r="148" spans="1:11">
      <c r="A148" s="1" t="s">
        <v>1590</v>
      </c>
      <c r="B148" s="313" t="str">
        <f>报表附注!E204</f>
        <v>5年以上</v>
      </c>
      <c r="C148" s="325">
        <f t="shared" si="21"/>
        <v>0</v>
      </c>
      <c r="D148" s="1" t="b">
        <f t="shared" si="23"/>
        <v>1</v>
      </c>
      <c r="E148" s="325">
        <f t="shared" si="22"/>
        <v>0</v>
      </c>
      <c r="H148" s="1" t="b">
        <f t="shared" si="20"/>
        <v>0</v>
      </c>
      <c r="I148" s="1" t="s">
        <v>1589</v>
      </c>
      <c r="K148" s="1" t="b">
        <v>1</v>
      </c>
    </row>
    <row r="149" spans="1:11">
      <c r="A149" s="1" t="s">
        <v>1580</v>
      </c>
      <c r="B149" s="324" t="str">
        <f>报表附注!E205</f>
        <v>合计</v>
      </c>
      <c r="C149" s="325">
        <f t="shared" si="21"/>
        <v>0</v>
      </c>
      <c r="D149" s="1" t="b">
        <f t="shared" si="23"/>
        <v>1</v>
      </c>
      <c r="E149" s="325">
        <f t="shared" si="22"/>
        <v>0</v>
      </c>
      <c r="H149" s="1" t="b">
        <f t="shared" si="20"/>
        <v>0</v>
      </c>
      <c r="I149" s="1" t="s">
        <v>1590</v>
      </c>
      <c r="K149" s="1" t="b">
        <v>1</v>
      </c>
    </row>
    <row r="150" spans="1:11">
      <c r="A150" s="1" t="s">
        <v>1592</v>
      </c>
      <c r="B150" s="324" t="s">
        <v>1592</v>
      </c>
      <c r="C150" s="325">
        <f t="shared" si="21"/>
        <v>0</v>
      </c>
      <c r="D150" s="1" t="b">
        <f t="shared" si="23"/>
        <v>1</v>
      </c>
      <c r="E150" s="325">
        <f t="shared" si="22"/>
        <v>0</v>
      </c>
      <c r="H150" s="1" t="b">
        <f t="shared" si="20"/>
        <v>0</v>
      </c>
      <c r="I150" s="1" t="s">
        <v>1580</v>
      </c>
      <c r="K150" s="1" t="b">
        <v>1</v>
      </c>
    </row>
    <row r="151" spans="1:11">
      <c r="A151" s="1" t="s">
        <v>315</v>
      </c>
      <c r="B151" s="332" t="s">
        <v>315</v>
      </c>
      <c r="C151" s="330">
        <f t="shared" si="21"/>
        <v>0</v>
      </c>
      <c r="D151" s="1" t="b">
        <f t="shared" si="23"/>
        <v>1</v>
      </c>
      <c r="H151" s="1" t="b">
        <f t="shared" si="20"/>
        <v>0</v>
      </c>
      <c r="I151" s="1" t="s">
        <v>1593</v>
      </c>
      <c r="K151" s="1" t="b">
        <v>1</v>
      </c>
    </row>
    <row r="152" spans="1:11">
      <c r="A152" s="1" t="s">
        <v>1585</v>
      </c>
      <c r="B152" s="313" t="str">
        <f>报表附注!E199</f>
        <v>1年以内（含1年）</v>
      </c>
      <c r="C152" s="325">
        <f t="shared" si="21"/>
        <v>0</v>
      </c>
      <c r="D152" s="1" t="b">
        <f t="shared" si="23"/>
        <v>1</v>
      </c>
      <c r="E152" s="315"/>
      <c r="H152" s="1" t="b">
        <f t="shared" si="20"/>
        <v>1</v>
      </c>
      <c r="I152" s="1" t="s">
        <v>1585</v>
      </c>
      <c r="K152" s="1" t="b">
        <v>1</v>
      </c>
    </row>
    <row r="153" spans="1:11">
      <c r="A153" s="1" t="s">
        <v>1586</v>
      </c>
      <c r="B153" s="313" t="str">
        <f>报表附注!E200</f>
        <v>1-2年（含2年）</v>
      </c>
      <c r="C153" s="325">
        <f t="shared" si="21"/>
        <v>0</v>
      </c>
      <c r="D153" s="1" t="b">
        <f t="shared" si="23"/>
        <v>1</v>
      </c>
      <c r="E153" s="315"/>
      <c r="H153" s="1" t="b">
        <f t="shared" si="20"/>
        <v>1</v>
      </c>
      <c r="I153" s="1" t="s">
        <v>1586</v>
      </c>
      <c r="K153" s="1" t="b">
        <v>1</v>
      </c>
    </row>
    <row r="154" spans="1:11">
      <c r="A154" s="1" t="s">
        <v>1587</v>
      </c>
      <c r="B154" s="313" t="str">
        <f>报表附注!E201</f>
        <v>2-3年（含3年）</v>
      </c>
      <c r="C154" s="325">
        <f t="shared" si="21"/>
        <v>0</v>
      </c>
      <c r="D154" s="1" t="b">
        <f t="shared" si="23"/>
        <v>1</v>
      </c>
      <c r="E154" s="315"/>
      <c r="H154" s="1" t="b">
        <f t="shared" si="20"/>
        <v>1</v>
      </c>
      <c r="I154" s="1" t="s">
        <v>1587</v>
      </c>
      <c r="K154" s="1" t="b">
        <v>1</v>
      </c>
    </row>
    <row r="155" spans="1:11">
      <c r="A155" s="1" t="s">
        <v>1588</v>
      </c>
      <c r="B155" s="313" t="str">
        <f>报表附注!E202</f>
        <v>3-4年（含4年）</v>
      </c>
      <c r="C155" s="325">
        <f t="shared" si="21"/>
        <v>0</v>
      </c>
      <c r="D155" s="1" t="b">
        <f t="shared" si="23"/>
        <v>1</v>
      </c>
      <c r="E155" s="315"/>
      <c r="H155" s="1" t="b">
        <f t="shared" si="20"/>
        <v>1</v>
      </c>
      <c r="I155" s="1" t="s">
        <v>1588</v>
      </c>
      <c r="K155" s="1" t="b">
        <v>1</v>
      </c>
    </row>
    <row r="156" spans="1:11">
      <c r="A156" s="1" t="s">
        <v>1589</v>
      </c>
      <c r="B156" s="313" t="str">
        <f>报表附注!E203</f>
        <v>4-5年（含5年）</v>
      </c>
      <c r="C156" s="325">
        <f t="shared" si="21"/>
        <v>0</v>
      </c>
      <c r="D156" s="1" t="b">
        <f t="shared" si="23"/>
        <v>1</v>
      </c>
      <c r="E156" s="315"/>
      <c r="H156" s="1" t="b">
        <f t="shared" si="20"/>
        <v>1</v>
      </c>
      <c r="I156" s="1" t="s">
        <v>1589</v>
      </c>
      <c r="K156" s="1" t="b">
        <v>1</v>
      </c>
    </row>
    <row r="157" spans="1:11">
      <c r="A157" s="1" t="s">
        <v>1590</v>
      </c>
      <c r="B157" s="313" t="str">
        <f>报表附注!E204</f>
        <v>5年以上</v>
      </c>
      <c r="C157" s="325">
        <f t="shared" si="21"/>
        <v>0</v>
      </c>
      <c r="D157" s="1" t="b">
        <f t="shared" si="23"/>
        <v>1</v>
      </c>
      <c r="E157" s="315"/>
      <c r="H157" s="1" t="b">
        <f t="shared" si="20"/>
        <v>1</v>
      </c>
      <c r="I157" s="1" t="s">
        <v>1590</v>
      </c>
      <c r="K157" s="1" t="b">
        <v>1</v>
      </c>
    </row>
    <row r="158" spans="1:11">
      <c r="A158" s="1" t="s">
        <v>1580</v>
      </c>
      <c r="B158" s="324" t="str">
        <f>报表附注!E205</f>
        <v>合计</v>
      </c>
      <c r="C158" s="325">
        <f t="shared" si="21"/>
        <v>0</v>
      </c>
      <c r="D158" s="1" t="b">
        <f t="shared" si="23"/>
        <v>1</v>
      </c>
      <c r="E158" s="315"/>
      <c r="H158" s="1" t="b">
        <f t="shared" si="20"/>
        <v>1</v>
      </c>
      <c r="I158" s="1" t="s">
        <v>1580</v>
      </c>
      <c r="K158" s="1" t="b">
        <v>1</v>
      </c>
    </row>
    <row r="159" spans="1:11">
      <c r="A159" s="1" t="s">
        <v>1593</v>
      </c>
      <c r="B159" s="335" t="s">
        <v>1593</v>
      </c>
      <c r="D159" s="1" t="b">
        <f t="shared" si="23"/>
        <v>1</v>
      </c>
      <c r="E159" s="311"/>
      <c r="H159" s="1" t="b">
        <f t="shared" si="20"/>
        <v>0</v>
      </c>
      <c r="I159" s="1" t="s">
        <v>1594</v>
      </c>
      <c r="K159" s="1" t="b">
        <v>1</v>
      </c>
    </row>
    <row r="160" spans="1:11">
      <c r="A160" s="1" t="s">
        <v>1585</v>
      </c>
      <c r="B160" s="313" t="str">
        <f>报表附注!E199</f>
        <v>1年以内（含1年）</v>
      </c>
      <c r="C160" s="325">
        <f t="shared" ref="C160:C167" si="24">J152</f>
        <v>0</v>
      </c>
      <c r="D160" s="1" t="b">
        <f t="shared" si="23"/>
        <v>1</v>
      </c>
      <c r="E160" s="315"/>
      <c r="H160" s="1" t="b">
        <f t="shared" si="20"/>
        <v>0</v>
      </c>
      <c r="K160" s="1" t="b">
        <v>1</v>
      </c>
    </row>
    <row r="161" spans="1:11">
      <c r="A161" s="1" t="s">
        <v>1586</v>
      </c>
      <c r="B161" s="313" t="str">
        <f>报表附注!E200</f>
        <v>1-2年（含2年）</v>
      </c>
      <c r="C161" s="325">
        <f t="shared" si="24"/>
        <v>0</v>
      </c>
      <c r="D161" s="1" t="b">
        <f t="shared" si="23"/>
        <v>1</v>
      </c>
      <c r="E161" s="315"/>
      <c r="H161" s="1" t="b">
        <f t="shared" si="20"/>
        <v>0</v>
      </c>
      <c r="I161" s="1" t="s">
        <v>1579</v>
      </c>
      <c r="K161" s="1" t="b">
        <v>1</v>
      </c>
    </row>
    <row r="162" spans="1:11">
      <c r="A162" s="1" t="s">
        <v>1587</v>
      </c>
      <c r="B162" s="313" t="str">
        <f>报表附注!E201</f>
        <v>2-3年（含3年）</v>
      </c>
      <c r="C162" s="325">
        <f t="shared" si="24"/>
        <v>0</v>
      </c>
      <c r="D162" s="1" t="b">
        <f t="shared" si="23"/>
        <v>1</v>
      </c>
      <c r="E162" s="315"/>
      <c r="H162" s="1" t="b">
        <f t="shared" si="20"/>
        <v>0</v>
      </c>
      <c r="I162" s="1" t="s">
        <v>1595</v>
      </c>
      <c r="K162" s="1" t="b">
        <v>1</v>
      </c>
    </row>
    <row r="163" spans="1:11">
      <c r="A163" s="1" t="s">
        <v>1588</v>
      </c>
      <c r="B163" s="313" t="str">
        <f>报表附注!E202</f>
        <v>3-4年（含4年）</v>
      </c>
      <c r="C163" s="325">
        <f t="shared" si="24"/>
        <v>0</v>
      </c>
      <c r="D163" s="1" t="b">
        <f t="shared" si="23"/>
        <v>1</v>
      </c>
      <c r="E163" s="315"/>
      <c r="H163" s="1" t="b">
        <f t="shared" si="20"/>
        <v>0</v>
      </c>
      <c r="I163" s="1" t="s">
        <v>1596</v>
      </c>
      <c r="K163" s="1" t="b">
        <v>1</v>
      </c>
    </row>
    <row r="164" spans="1:11">
      <c r="A164" s="1" t="s">
        <v>1589</v>
      </c>
      <c r="B164" s="313" t="str">
        <f>报表附注!E203</f>
        <v>4-5年（含5年）</v>
      </c>
      <c r="C164" s="325">
        <f t="shared" si="24"/>
        <v>0</v>
      </c>
      <c r="D164" s="1" t="b">
        <f t="shared" si="23"/>
        <v>1</v>
      </c>
      <c r="E164" s="315"/>
      <c r="H164" s="1" t="b">
        <f t="shared" si="20"/>
        <v>0</v>
      </c>
      <c r="I164" s="1" t="s">
        <v>1597</v>
      </c>
      <c r="K164" s="1" t="b">
        <v>1</v>
      </c>
    </row>
    <row r="165" spans="1:11">
      <c r="A165" s="1" t="s">
        <v>1590</v>
      </c>
      <c r="B165" s="313" t="str">
        <f>报表附注!E204</f>
        <v>5年以上</v>
      </c>
      <c r="C165" s="325">
        <f t="shared" si="24"/>
        <v>0</v>
      </c>
      <c r="D165" s="1" t="b">
        <f t="shared" si="23"/>
        <v>1</v>
      </c>
      <c r="E165" s="315"/>
      <c r="H165" s="1" t="b">
        <f t="shared" si="20"/>
        <v>0</v>
      </c>
      <c r="I165" s="1" t="s">
        <v>1580</v>
      </c>
      <c r="K165" s="1" t="b">
        <v>1</v>
      </c>
    </row>
    <row r="166" spans="1:11">
      <c r="A166" s="1" t="s">
        <v>1580</v>
      </c>
      <c r="B166" s="324" t="str">
        <f>报表附注!E205</f>
        <v>合计</v>
      </c>
      <c r="C166" s="325">
        <f t="shared" si="24"/>
        <v>0</v>
      </c>
      <c r="D166" s="1" t="b">
        <f t="shared" si="23"/>
        <v>1</v>
      </c>
      <c r="E166" s="315"/>
      <c r="H166" s="1" t="b">
        <f t="shared" si="20"/>
        <v>0</v>
      </c>
      <c r="I166" s="1" t="s">
        <v>1591</v>
      </c>
      <c r="K166" s="1" t="b">
        <v>1</v>
      </c>
    </row>
    <row r="167" spans="1:11">
      <c r="A167" s="1" t="s">
        <v>1594</v>
      </c>
      <c r="B167" s="324" t="s">
        <v>1594</v>
      </c>
      <c r="C167" s="325">
        <f t="shared" si="24"/>
        <v>0</v>
      </c>
      <c r="D167" s="1" t="b">
        <f t="shared" si="23"/>
        <v>1</v>
      </c>
      <c r="E167" s="315"/>
      <c r="H167" s="1" t="b">
        <f t="shared" si="20"/>
        <v>0</v>
      </c>
      <c r="I167" s="1" t="s">
        <v>1595</v>
      </c>
      <c r="K167" s="1" t="b">
        <v>1</v>
      </c>
    </row>
    <row r="168" spans="4:11">
      <c r="D168" s="1" t="b">
        <f t="shared" si="23"/>
        <v>1</v>
      </c>
      <c r="H168" s="1" t="b">
        <f t="shared" si="20"/>
        <v>0</v>
      </c>
      <c r="I168" s="1" t="s">
        <v>1596</v>
      </c>
      <c r="K168" s="1" t="b">
        <v>1</v>
      </c>
    </row>
    <row r="169" spans="1:11">
      <c r="A169" s="1" t="s">
        <v>1579</v>
      </c>
      <c r="B169" s="332" t="s">
        <v>1579</v>
      </c>
      <c r="D169" s="1" t="b">
        <f t="shared" si="23"/>
        <v>1</v>
      </c>
      <c r="H169" s="1" t="b">
        <f t="shared" si="20"/>
        <v>0</v>
      </c>
      <c r="I169" s="1" t="s">
        <v>1597</v>
      </c>
      <c r="K169" s="1" t="b">
        <v>1</v>
      </c>
    </row>
    <row r="170" ht="22.5" spans="1:11">
      <c r="A170" s="1" t="s">
        <v>1595</v>
      </c>
      <c r="B170" s="313" t="str">
        <f>报表附注!E211</f>
        <v>单项金额重大并单项计提坏账准备的的应收账款</v>
      </c>
      <c r="C170" s="325">
        <f t="shared" ref="C170:C183" si="25">J162</f>
        <v>0</v>
      </c>
      <c r="D170" s="1" t="b">
        <f t="shared" si="23"/>
        <v>1</v>
      </c>
      <c r="E170" s="325">
        <f>C180</f>
        <v>0</v>
      </c>
      <c r="H170" s="1" t="b">
        <f t="shared" si="20"/>
        <v>0</v>
      </c>
      <c r="I170" s="1" t="s">
        <v>1580</v>
      </c>
      <c r="K170" s="1" t="b">
        <v>1</v>
      </c>
    </row>
    <row r="171" ht="19.5" customHeight="1" spans="1:11">
      <c r="A171" s="1" t="s">
        <v>1596</v>
      </c>
      <c r="B171" s="313" t="str">
        <f>报表附注!E212</f>
        <v>按组合（账龄分析法）计提坏账准备的应收账款</v>
      </c>
      <c r="C171" s="325">
        <f t="shared" si="25"/>
        <v>0</v>
      </c>
      <c r="D171" s="1" t="b">
        <f t="shared" si="23"/>
        <v>1</v>
      </c>
      <c r="E171" s="325">
        <f t="shared" ref="E171:E178" si="26">C181</f>
        <v>0</v>
      </c>
      <c r="H171" s="1" t="b">
        <f t="shared" si="20"/>
        <v>0</v>
      </c>
      <c r="I171" s="1" t="s">
        <v>315</v>
      </c>
      <c r="K171" s="1" t="b">
        <v>1</v>
      </c>
    </row>
    <row r="172" ht="22.5" spans="1:11">
      <c r="A172" s="1" t="s">
        <v>1597</v>
      </c>
      <c r="B172" s="313" t="str">
        <f>报表附注!E213</f>
        <v>单项金额虽不重大但单项计提坏账准备的应收账款</v>
      </c>
      <c r="C172" s="325">
        <f t="shared" si="25"/>
        <v>0</v>
      </c>
      <c r="D172" s="1" t="b">
        <f t="shared" si="23"/>
        <v>1</v>
      </c>
      <c r="E172" s="325">
        <f t="shared" si="26"/>
        <v>0</v>
      </c>
      <c r="H172" s="1" t="b">
        <f t="shared" si="20"/>
        <v>0</v>
      </c>
      <c r="I172" s="1" t="s">
        <v>1595</v>
      </c>
      <c r="K172" s="1" t="b">
        <v>1</v>
      </c>
    </row>
    <row r="173" spans="1:11">
      <c r="A173" s="1" t="s">
        <v>1580</v>
      </c>
      <c r="B173" s="324" t="str">
        <f>报表附注!E214</f>
        <v>合计</v>
      </c>
      <c r="C173" s="325">
        <f t="shared" si="25"/>
        <v>0</v>
      </c>
      <c r="D173" s="1" t="b">
        <f t="shared" si="23"/>
        <v>1</v>
      </c>
      <c r="E173" s="325">
        <f t="shared" si="26"/>
        <v>0</v>
      </c>
      <c r="H173" s="1" t="b">
        <f t="shared" si="20"/>
        <v>0</v>
      </c>
      <c r="I173" s="1" t="s">
        <v>1596</v>
      </c>
      <c r="K173" s="1" t="b">
        <v>1</v>
      </c>
    </row>
    <row r="174" spans="1:11">
      <c r="A174" s="1" t="s">
        <v>1591</v>
      </c>
      <c r="B174" s="335" t="s">
        <v>1591</v>
      </c>
      <c r="C174" s="330">
        <f t="shared" si="25"/>
        <v>0</v>
      </c>
      <c r="D174" s="1" t="b">
        <f t="shared" si="23"/>
        <v>1</v>
      </c>
      <c r="E174" s="325">
        <f t="shared" si="26"/>
        <v>0</v>
      </c>
      <c r="H174" s="1" t="b">
        <f t="shared" si="20"/>
        <v>0</v>
      </c>
      <c r="I174" s="1" t="s">
        <v>1597</v>
      </c>
      <c r="K174" s="1" t="b">
        <v>1</v>
      </c>
    </row>
    <row r="175" ht="22.5" spans="1:11">
      <c r="A175" s="1" t="s">
        <v>1595</v>
      </c>
      <c r="B175" s="313" t="str">
        <f>报表附注!E211</f>
        <v>单项金额重大并单项计提坏账准备的的应收账款</v>
      </c>
      <c r="C175" s="325">
        <f t="shared" si="25"/>
        <v>0</v>
      </c>
      <c r="D175" s="1" t="b">
        <f t="shared" si="23"/>
        <v>1</v>
      </c>
      <c r="E175" s="325">
        <f t="shared" si="26"/>
        <v>0</v>
      </c>
      <c r="H175" s="1" t="b">
        <f t="shared" si="20"/>
        <v>0</v>
      </c>
      <c r="I175" s="1" t="s">
        <v>1580</v>
      </c>
      <c r="K175" s="1" t="b">
        <v>1</v>
      </c>
    </row>
    <row r="176" ht="21.75" customHeight="1" spans="1:11">
      <c r="A176" s="1" t="s">
        <v>1596</v>
      </c>
      <c r="B176" s="313" t="str">
        <f>报表附注!E212</f>
        <v>按组合（账龄分析法）计提坏账准备的应收账款</v>
      </c>
      <c r="C176" s="325">
        <f t="shared" si="25"/>
        <v>0</v>
      </c>
      <c r="D176" s="1" t="b">
        <f t="shared" si="23"/>
        <v>1</v>
      </c>
      <c r="E176" s="325">
        <f t="shared" si="26"/>
        <v>0</v>
      </c>
      <c r="H176" s="1" t="b">
        <f t="shared" si="20"/>
        <v>0</v>
      </c>
      <c r="I176" s="1" t="s">
        <v>1593</v>
      </c>
      <c r="K176" s="1" t="b">
        <v>1</v>
      </c>
    </row>
    <row r="177" ht="22.5" spans="1:11">
      <c r="A177" s="1" t="s">
        <v>1597</v>
      </c>
      <c r="B177" s="313" t="str">
        <f>报表附注!E213</f>
        <v>单项金额虽不重大但单项计提坏账准备的应收账款</v>
      </c>
      <c r="C177" s="325">
        <f t="shared" si="25"/>
        <v>0</v>
      </c>
      <c r="D177" s="1" t="b">
        <f t="shared" si="23"/>
        <v>1</v>
      </c>
      <c r="E177" s="325">
        <f t="shared" si="26"/>
        <v>0</v>
      </c>
      <c r="H177" s="1" t="b">
        <f t="shared" si="20"/>
        <v>0</v>
      </c>
      <c r="I177" s="1" t="s">
        <v>1595</v>
      </c>
      <c r="K177" s="1" t="b">
        <v>1</v>
      </c>
    </row>
    <row r="178" spans="1:11">
      <c r="A178" s="1" t="s">
        <v>1580</v>
      </c>
      <c r="B178" s="324" t="str">
        <f>报表附注!E214</f>
        <v>合计</v>
      </c>
      <c r="C178" s="325">
        <f t="shared" si="25"/>
        <v>0</v>
      </c>
      <c r="D178" s="1" t="b">
        <f t="shared" si="23"/>
        <v>1</v>
      </c>
      <c r="E178" s="325">
        <f t="shared" si="26"/>
        <v>0</v>
      </c>
      <c r="H178" s="1" t="b">
        <f t="shared" si="20"/>
        <v>0</v>
      </c>
      <c r="I178" s="1" t="s">
        <v>1596</v>
      </c>
      <c r="K178" s="1" t="b">
        <v>1</v>
      </c>
    </row>
    <row r="179" spans="1:11">
      <c r="A179" s="1" t="s">
        <v>315</v>
      </c>
      <c r="B179" s="332" t="s">
        <v>315</v>
      </c>
      <c r="C179" s="330">
        <f t="shared" si="25"/>
        <v>0</v>
      </c>
      <c r="D179" s="1" t="b">
        <f t="shared" si="23"/>
        <v>1</v>
      </c>
      <c r="H179" s="1" t="b">
        <f t="shared" si="20"/>
        <v>0</v>
      </c>
      <c r="I179" s="1" t="s">
        <v>1597</v>
      </c>
      <c r="K179" s="1" t="b">
        <v>1</v>
      </c>
    </row>
    <row r="180" ht="22.5" spans="1:11">
      <c r="A180" s="1" t="s">
        <v>1595</v>
      </c>
      <c r="B180" s="313" t="str">
        <f>报表附注!E211</f>
        <v>单项金额重大并单项计提坏账准备的的应收账款</v>
      </c>
      <c r="C180" s="325">
        <f t="shared" si="25"/>
        <v>0</v>
      </c>
      <c r="D180" s="1" t="b">
        <f t="shared" si="23"/>
        <v>1</v>
      </c>
      <c r="E180" s="315"/>
      <c r="H180" s="1" t="b">
        <f t="shared" si="20"/>
        <v>0</v>
      </c>
      <c r="I180" s="1" t="s">
        <v>1580</v>
      </c>
      <c r="K180" s="1" t="b">
        <v>1</v>
      </c>
    </row>
    <row r="181" ht="24.75" customHeight="1" spans="1:11">
      <c r="A181" s="1" t="s">
        <v>1596</v>
      </c>
      <c r="B181" s="313" t="str">
        <f>报表附注!E212</f>
        <v>按组合（账龄分析法）计提坏账准备的应收账款</v>
      </c>
      <c r="C181" s="325">
        <f t="shared" si="25"/>
        <v>0</v>
      </c>
      <c r="D181" s="1" t="b">
        <f t="shared" si="23"/>
        <v>1</v>
      </c>
      <c r="E181" s="315"/>
      <c r="H181" s="1" t="b">
        <f t="shared" si="20"/>
        <v>0</v>
      </c>
      <c r="K181" s="1" t="b">
        <v>1</v>
      </c>
    </row>
    <row r="182" ht="22.5" spans="1:11">
      <c r="A182" s="1" t="s">
        <v>1597</v>
      </c>
      <c r="B182" s="313" t="str">
        <f>报表附注!E213</f>
        <v>单项金额虽不重大但单项计提坏账准备的应收账款</v>
      </c>
      <c r="C182" s="325">
        <f t="shared" si="25"/>
        <v>0</v>
      </c>
      <c r="D182" s="1" t="b">
        <f t="shared" si="23"/>
        <v>1</v>
      </c>
      <c r="E182" s="315"/>
      <c r="H182" s="1" t="b">
        <f t="shared" si="20"/>
        <v>0</v>
      </c>
      <c r="I182" s="1" t="s">
        <v>1598</v>
      </c>
      <c r="K182" s="1" t="b">
        <v>1</v>
      </c>
    </row>
    <row r="183" spans="1:11">
      <c r="A183" s="1" t="s">
        <v>1580</v>
      </c>
      <c r="B183" s="324" t="str">
        <f>报表附注!E214</f>
        <v>合计</v>
      </c>
      <c r="C183" s="325">
        <f t="shared" si="25"/>
        <v>0</v>
      </c>
      <c r="D183" s="1" t="b">
        <f t="shared" si="23"/>
        <v>1</v>
      </c>
      <c r="E183" s="315"/>
      <c r="H183" s="1" t="b">
        <f t="shared" si="20"/>
        <v>0</v>
      </c>
      <c r="I183" s="1" t="s">
        <v>1579</v>
      </c>
      <c r="K183" s="1" t="b">
        <v>1</v>
      </c>
    </row>
    <row r="184" spans="1:11">
      <c r="A184" s="1" t="s">
        <v>1593</v>
      </c>
      <c r="B184" s="335" t="s">
        <v>1593</v>
      </c>
      <c r="D184" s="1" t="b">
        <f t="shared" si="23"/>
        <v>1</v>
      </c>
      <c r="E184" s="311"/>
      <c r="H184" s="1" t="b">
        <f t="shared" si="20"/>
        <v>0</v>
      </c>
      <c r="I184" s="1" t="s">
        <v>1585</v>
      </c>
      <c r="K184" s="1" t="b">
        <v>1</v>
      </c>
    </row>
    <row r="185" ht="22.5" spans="1:11">
      <c r="A185" s="1" t="s">
        <v>1595</v>
      </c>
      <c r="B185" s="313" t="str">
        <f>报表附注!E211</f>
        <v>单项金额重大并单项计提坏账准备的的应收账款</v>
      </c>
      <c r="C185" s="325">
        <f>J177</f>
        <v>0</v>
      </c>
      <c r="D185" s="1" t="b">
        <f t="shared" si="23"/>
        <v>1</v>
      </c>
      <c r="E185" s="315"/>
      <c r="H185" s="1" t="b">
        <f t="shared" si="20"/>
        <v>0</v>
      </c>
      <c r="I185" s="1" t="s">
        <v>1586</v>
      </c>
      <c r="K185" s="1" t="b">
        <v>1</v>
      </c>
    </row>
    <row r="186" ht="21" customHeight="1" spans="1:11">
      <c r="A186" s="1" t="s">
        <v>1596</v>
      </c>
      <c r="B186" s="313" t="str">
        <f>报表附注!E212</f>
        <v>按组合（账龄分析法）计提坏账准备的应收账款</v>
      </c>
      <c r="C186" s="325">
        <f>J178</f>
        <v>0</v>
      </c>
      <c r="D186" s="1" t="b">
        <f t="shared" si="23"/>
        <v>1</v>
      </c>
      <c r="E186" s="315"/>
      <c r="H186" s="1" t="b">
        <f t="shared" si="20"/>
        <v>0</v>
      </c>
      <c r="I186" s="1" t="s">
        <v>1587</v>
      </c>
      <c r="K186" s="1" t="b">
        <v>1</v>
      </c>
    </row>
    <row r="187" ht="22.5" spans="1:11">
      <c r="A187" s="1" t="s">
        <v>1597</v>
      </c>
      <c r="B187" s="313" t="str">
        <f>报表附注!E213</f>
        <v>单项金额虽不重大但单项计提坏账准备的应收账款</v>
      </c>
      <c r="C187" s="325">
        <f>J179</f>
        <v>0</v>
      </c>
      <c r="D187" s="1" t="b">
        <f t="shared" si="23"/>
        <v>1</v>
      </c>
      <c r="E187" s="315"/>
      <c r="H187" s="1" t="b">
        <f t="shared" si="20"/>
        <v>0</v>
      </c>
      <c r="I187" s="1" t="s">
        <v>1588</v>
      </c>
      <c r="K187" s="1" t="b">
        <v>1</v>
      </c>
    </row>
    <row r="188" spans="1:11">
      <c r="A188" s="1" t="s">
        <v>1580</v>
      </c>
      <c r="B188" s="324" t="str">
        <f>报表附注!E214</f>
        <v>合计</v>
      </c>
      <c r="C188" s="325">
        <f>J180</f>
        <v>0</v>
      </c>
      <c r="D188" s="1" t="b">
        <f t="shared" si="23"/>
        <v>1</v>
      </c>
      <c r="E188" s="315"/>
      <c r="H188" s="1" t="b">
        <f t="shared" si="20"/>
        <v>0</v>
      </c>
      <c r="I188" s="1" t="s">
        <v>1589</v>
      </c>
      <c r="K188" s="1" t="b">
        <v>1</v>
      </c>
    </row>
    <row r="189" spans="2:11">
      <c r="B189" s="336"/>
      <c r="D189" s="1" t="b">
        <f t="shared" si="23"/>
        <v>1</v>
      </c>
      <c r="H189" s="1" t="b">
        <f t="shared" si="20"/>
        <v>0</v>
      </c>
      <c r="I189" s="1" t="s">
        <v>1590</v>
      </c>
      <c r="K189" s="1" t="b">
        <v>1</v>
      </c>
    </row>
    <row r="190" spans="1:11">
      <c r="A190" s="1" t="s">
        <v>1598</v>
      </c>
      <c r="B190" s="337" t="s">
        <v>1598</v>
      </c>
      <c r="D190" s="1" t="b">
        <f t="shared" si="23"/>
        <v>1</v>
      </c>
      <c r="H190" s="1" t="b">
        <f t="shared" si="20"/>
        <v>0</v>
      </c>
      <c r="I190" s="1" t="s">
        <v>1580</v>
      </c>
      <c r="K190" s="1" t="b">
        <v>1</v>
      </c>
    </row>
    <row r="191" spans="1:11">
      <c r="A191" s="1" t="s">
        <v>1579</v>
      </c>
      <c r="B191" s="338" t="s">
        <v>1579</v>
      </c>
      <c r="D191" s="1" t="b">
        <f t="shared" si="23"/>
        <v>1</v>
      </c>
      <c r="H191" s="1" t="b">
        <f t="shared" si="20"/>
        <v>0</v>
      </c>
      <c r="I191" s="1" t="s">
        <v>1591</v>
      </c>
      <c r="K191" s="1" t="b">
        <v>1</v>
      </c>
    </row>
    <row r="192" spans="1:11">
      <c r="A192" s="1" t="s">
        <v>1585</v>
      </c>
      <c r="B192" s="339" t="str">
        <f>报表附注!E322</f>
        <v>1年以内（含1年）</v>
      </c>
      <c r="C192" s="325">
        <f t="shared" ref="C192:C222" si="27">J184</f>
        <v>0</v>
      </c>
      <c r="D192" s="1" t="b">
        <f t="shared" si="23"/>
        <v>1</v>
      </c>
      <c r="E192" s="325">
        <f>C208</f>
        <v>0</v>
      </c>
      <c r="H192" s="1" t="b">
        <f t="shared" si="20"/>
        <v>1</v>
      </c>
      <c r="I192" s="1" t="s">
        <v>1585</v>
      </c>
      <c r="K192" s="1" t="b">
        <v>1</v>
      </c>
    </row>
    <row r="193" spans="1:11">
      <c r="A193" s="1" t="s">
        <v>1586</v>
      </c>
      <c r="B193" s="339" t="str">
        <f>报表附注!E323</f>
        <v>1-2年（含2年）</v>
      </c>
      <c r="C193" s="325">
        <f t="shared" si="27"/>
        <v>0</v>
      </c>
      <c r="D193" s="1" t="b">
        <f t="shared" si="23"/>
        <v>1</v>
      </c>
      <c r="E193" s="325">
        <f t="shared" ref="E193:E206" si="28">C209</f>
        <v>0</v>
      </c>
      <c r="H193" s="1" t="b">
        <f t="shared" si="20"/>
        <v>1</v>
      </c>
      <c r="I193" s="1" t="s">
        <v>1586</v>
      </c>
      <c r="K193" s="1" t="b">
        <v>1</v>
      </c>
    </row>
    <row r="194" spans="1:11">
      <c r="A194" s="1" t="s">
        <v>1587</v>
      </c>
      <c r="B194" s="339" t="str">
        <f>报表附注!E324</f>
        <v>2-3年（含3年）</v>
      </c>
      <c r="C194" s="325">
        <f t="shared" si="27"/>
        <v>0</v>
      </c>
      <c r="D194" s="1" t="b">
        <f t="shared" si="23"/>
        <v>1</v>
      </c>
      <c r="E194" s="325">
        <f t="shared" si="28"/>
        <v>0</v>
      </c>
      <c r="H194" s="1" t="b">
        <f t="shared" si="20"/>
        <v>1</v>
      </c>
      <c r="I194" s="1" t="s">
        <v>1587</v>
      </c>
      <c r="K194" s="1" t="b">
        <v>1</v>
      </c>
    </row>
    <row r="195" spans="1:11">
      <c r="A195" s="1" t="s">
        <v>1588</v>
      </c>
      <c r="B195" s="339" t="str">
        <f>报表附注!E325</f>
        <v>3-4年（含4年）</v>
      </c>
      <c r="C195" s="325">
        <f t="shared" si="27"/>
        <v>0</v>
      </c>
      <c r="D195" s="1" t="b">
        <f t="shared" si="23"/>
        <v>1</v>
      </c>
      <c r="E195" s="325">
        <f t="shared" si="28"/>
        <v>0</v>
      </c>
      <c r="H195" s="1" t="b">
        <f t="shared" si="20"/>
        <v>1</v>
      </c>
      <c r="I195" s="1" t="s">
        <v>1588</v>
      </c>
      <c r="K195" s="1" t="b">
        <v>1</v>
      </c>
    </row>
    <row r="196" spans="1:11">
      <c r="A196" s="1" t="s">
        <v>1589</v>
      </c>
      <c r="B196" s="339" t="str">
        <f>报表附注!E326</f>
        <v>4-5年（含5年）</v>
      </c>
      <c r="C196" s="325">
        <f t="shared" si="27"/>
        <v>0</v>
      </c>
      <c r="D196" s="1" t="b">
        <f t="shared" si="23"/>
        <v>1</v>
      </c>
      <c r="E196" s="325">
        <f t="shared" si="28"/>
        <v>0</v>
      </c>
      <c r="H196" s="1" t="b">
        <f t="shared" ref="H196:H259" si="29">I196=B196</f>
        <v>1</v>
      </c>
      <c r="I196" s="1" t="s">
        <v>1589</v>
      </c>
      <c r="K196" s="1" t="b">
        <v>1</v>
      </c>
    </row>
    <row r="197" spans="1:11">
      <c r="A197" s="1" t="s">
        <v>1590</v>
      </c>
      <c r="B197" s="339" t="str">
        <f>报表附注!E327</f>
        <v>5年以上</v>
      </c>
      <c r="C197" s="325">
        <f t="shared" si="27"/>
        <v>0</v>
      </c>
      <c r="D197" s="1" t="b">
        <f t="shared" si="23"/>
        <v>1</v>
      </c>
      <c r="E197" s="325">
        <f t="shared" si="28"/>
        <v>0</v>
      </c>
      <c r="H197" s="1" t="b">
        <f t="shared" si="29"/>
        <v>1</v>
      </c>
      <c r="I197" s="1" t="s">
        <v>1590</v>
      </c>
      <c r="K197" s="1" t="b">
        <v>1</v>
      </c>
    </row>
    <row r="198" spans="1:11">
      <c r="A198" s="1" t="s">
        <v>1580</v>
      </c>
      <c r="B198" s="340" t="str">
        <f>报表附注!E328</f>
        <v>合计</v>
      </c>
      <c r="C198" s="325">
        <f t="shared" si="27"/>
        <v>0</v>
      </c>
      <c r="D198" s="1" t="b">
        <f t="shared" si="23"/>
        <v>1</v>
      </c>
      <c r="E198" s="325">
        <f t="shared" si="28"/>
        <v>0</v>
      </c>
      <c r="H198" s="1" t="b">
        <f t="shared" si="29"/>
        <v>1</v>
      </c>
      <c r="I198" s="1" t="s">
        <v>1580</v>
      </c>
      <c r="K198" s="1" t="b">
        <v>1</v>
      </c>
    </row>
    <row r="199" spans="1:11">
      <c r="A199" s="1" t="s">
        <v>1591</v>
      </c>
      <c r="B199" s="341" t="s">
        <v>1591</v>
      </c>
      <c r="C199" s="330">
        <f t="shared" si="27"/>
        <v>0</v>
      </c>
      <c r="D199" s="1" t="b">
        <f t="shared" si="23"/>
        <v>1</v>
      </c>
      <c r="E199" s="325">
        <f t="shared" si="28"/>
        <v>0</v>
      </c>
      <c r="H199" s="1" t="b">
        <f t="shared" si="29"/>
        <v>0</v>
      </c>
      <c r="I199" s="1" t="s">
        <v>315</v>
      </c>
      <c r="K199" s="1" t="b">
        <v>1</v>
      </c>
    </row>
    <row r="200" spans="1:11">
      <c r="A200" s="1" t="s">
        <v>1585</v>
      </c>
      <c r="B200" s="339" t="str">
        <f>报表附注!E322</f>
        <v>1年以内（含1年）</v>
      </c>
      <c r="C200" s="325">
        <f t="shared" si="27"/>
        <v>0</v>
      </c>
      <c r="D200" s="1" t="b">
        <f t="shared" si="23"/>
        <v>1</v>
      </c>
      <c r="E200" s="325">
        <f t="shared" si="28"/>
        <v>0</v>
      </c>
      <c r="H200" s="1" t="b">
        <f t="shared" si="29"/>
        <v>1</v>
      </c>
      <c r="I200" s="1" t="s">
        <v>1585</v>
      </c>
      <c r="K200" s="1" t="b">
        <v>1</v>
      </c>
    </row>
    <row r="201" spans="1:11">
      <c r="A201" s="1" t="s">
        <v>1586</v>
      </c>
      <c r="B201" s="339" t="str">
        <f>报表附注!E323</f>
        <v>1-2年（含2年）</v>
      </c>
      <c r="C201" s="325">
        <f t="shared" si="27"/>
        <v>0</v>
      </c>
      <c r="D201" s="1" t="b">
        <f t="shared" si="23"/>
        <v>1</v>
      </c>
      <c r="E201" s="325">
        <f t="shared" si="28"/>
        <v>0</v>
      </c>
      <c r="H201" s="1" t="b">
        <f t="shared" si="29"/>
        <v>1</v>
      </c>
      <c r="I201" s="1" t="s">
        <v>1586</v>
      </c>
      <c r="K201" s="1" t="b">
        <v>1</v>
      </c>
    </row>
    <row r="202" spans="1:11">
      <c r="A202" s="1" t="s">
        <v>1587</v>
      </c>
      <c r="B202" s="339" t="str">
        <f>报表附注!E324</f>
        <v>2-3年（含3年）</v>
      </c>
      <c r="C202" s="325">
        <f t="shared" si="27"/>
        <v>0</v>
      </c>
      <c r="D202" s="1" t="b">
        <f t="shared" si="23"/>
        <v>1</v>
      </c>
      <c r="E202" s="325">
        <f t="shared" si="28"/>
        <v>0</v>
      </c>
      <c r="H202" s="1" t="b">
        <f t="shared" si="29"/>
        <v>1</v>
      </c>
      <c r="I202" s="1" t="s">
        <v>1587</v>
      </c>
      <c r="K202" s="1" t="b">
        <v>1</v>
      </c>
    </row>
    <row r="203" spans="1:11">
      <c r="A203" s="1" t="s">
        <v>1588</v>
      </c>
      <c r="B203" s="339" t="str">
        <f>报表附注!E325</f>
        <v>3-4年（含4年）</v>
      </c>
      <c r="C203" s="325">
        <f t="shared" si="27"/>
        <v>0</v>
      </c>
      <c r="D203" s="1" t="b">
        <f t="shared" si="23"/>
        <v>1</v>
      </c>
      <c r="E203" s="325">
        <f t="shared" si="28"/>
        <v>0</v>
      </c>
      <c r="H203" s="1" t="b">
        <f t="shared" si="29"/>
        <v>1</v>
      </c>
      <c r="I203" s="1" t="s">
        <v>1588</v>
      </c>
      <c r="K203" s="1" t="b">
        <v>1</v>
      </c>
    </row>
    <row r="204" spans="1:11">
      <c r="A204" s="1" t="s">
        <v>1589</v>
      </c>
      <c r="B204" s="339" t="str">
        <f>报表附注!E326</f>
        <v>4-5年（含5年）</v>
      </c>
      <c r="C204" s="325">
        <f t="shared" si="27"/>
        <v>0</v>
      </c>
      <c r="D204" s="1" t="b">
        <f t="shared" ref="D204:D267" si="30">EXACT(A204,B204)</f>
        <v>1</v>
      </c>
      <c r="E204" s="325">
        <f t="shared" si="28"/>
        <v>0</v>
      </c>
      <c r="H204" s="1" t="b">
        <f t="shared" si="29"/>
        <v>1</v>
      </c>
      <c r="I204" s="1" t="s">
        <v>1589</v>
      </c>
      <c r="K204" s="1" t="b">
        <v>1</v>
      </c>
    </row>
    <row r="205" spans="1:11">
      <c r="A205" s="1" t="s">
        <v>1590</v>
      </c>
      <c r="B205" s="339" t="str">
        <f>报表附注!E327</f>
        <v>5年以上</v>
      </c>
      <c r="C205" s="325">
        <f t="shared" si="27"/>
        <v>0</v>
      </c>
      <c r="D205" s="1" t="b">
        <f t="shared" si="30"/>
        <v>1</v>
      </c>
      <c r="E205" s="325">
        <f t="shared" si="28"/>
        <v>0</v>
      </c>
      <c r="H205" s="1" t="b">
        <f t="shared" si="29"/>
        <v>1</v>
      </c>
      <c r="I205" s="1" t="s">
        <v>1590</v>
      </c>
      <c r="K205" s="1" t="b">
        <v>1</v>
      </c>
    </row>
    <row r="206" spans="1:11">
      <c r="A206" s="1" t="s">
        <v>1580</v>
      </c>
      <c r="B206" s="340" t="str">
        <f>报表附注!E328</f>
        <v>合计</v>
      </c>
      <c r="C206" s="325">
        <f t="shared" si="27"/>
        <v>0</v>
      </c>
      <c r="D206" s="1" t="b">
        <f t="shared" si="30"/>
        <v>1</v>
      </c>
      <c r="E206" s="325">
        <f t="shared" si="28"/>
        <v>0</v>
      </c>
      <c r="H206" s="1" t="b">
        <f t="shared" si="29"/>
        <v>1</v>
      </c>
      <c r="I206" s="1" t="s">
        <v>1580</v>
      </c>
      <c r="K206" s="1" t="b">
        <v>1</v>
      </c>
    </row>
    <row r="207" spans="1:11">
      <c r="A207" s="1" t="s">
        <v>315</v>
      </c>
      <c r="B207" s="338" t="s">
        <v>315</v>
      </c>
      <c r="C207" s="330">
        <f t="shared" si="27"/>
        <v>0</v>
      </c>
      <c r="D207" s="1" t="b">
        <f t="shared" si="30"/>
        <v>1</v>
      </c>
      <c r="H207" s="1" t="b">
        <f t="shared" si="29"/>
        <v>0</v>
      </c>
      <c r="I207" s="1" t="s">
        <v>1593</v>
      </c>
      <c r="K207" s="1" t="b">
        <v>1</v>
      </c>
    </row>
    <row r="208" spans="1:11">
      <c r="A208" s="1" t="s">
        <v>1585</v>
      </c>
      <c r="B208" s="339" t="str">
        <f>报表附注!E322</f>
        <v>1年以内（含1年）</v>
      </c>
      <c r="C208" s="325">
        <f t="shared" si="27"/>
        <v>0</v>
      </c>
      <c r="D208" s="1" t="b">
        <f t="shared" si="30"/>
        <v>1</v>
      </c>
      <c r="E208" s="315"/>
      <c r="H208" s="1" t="b">
        <f t="shared" si="29"/>
        <v>1</v>
      </c>
      <c r="I208" s="1" t="s">
        <v>1585</v>
      </c>
      <c r="K208" s="1" t="b">
        <v>1</v>
      </c>
    </row>
    <row r="209" spans="1:11">
      <c r="A209" s="1" t="s">
        <v>1586</v>
      </c>
      <c r="B209" s="339" t="str">
        <f>报表附注!E323</f>
        <v>1-2年（含2年）</v>
      </c>
      <c r="C209" s="325">
        <f t="shared" si="27"/>
        <v>0</v>
      </c>
      <c r="D209" s="1" t="b">
        <f t="shared" si="30"/>
        <v>1</v>
      </c>
      <c r="E209" s="315"/>
      <c r="H209" s="1" t="b">
        <f t="shared" si="29"/>
        <v>1</v>
      </c>
      <c r="I209" s="1" t="s">
        <v>1586</v>
      </c>
      <c r="K209" s="1" t="b">
        <v>1</v>
      </c>
    </row>
    <row r="210" spans="1:11">
      <c r="A210" s="1" t="s">
        <v>1587</v>
      </c>
      <c r="B210" s="339" t="str">
        <f>报表附注!E324</f>
        <v>2-3年（含3年）</v>
      </c>
      <c r="C210" s="325">
        <f t="shared" si="27"/>
        <v>0</v>
      </c>
      <c r="D210" s="1" t="b">
        <f t="shared" si="30"/>
        <v>1</v>
      </c>
      <c r="E210" s="315"/>
      <c r="H210" s="1" t="b">
        <f t="shared" si="29"/>
        <v>1</v>
      </c>
      <c r="I210" s="1" t="s">
        <v>1587</v>
      </c>
      <c r="K210" s="1" t="b">
        <v>1</v>
      </c>
    </row>
    <row r="211" spans="1:11">
      <c r="A211" s="1" t="s">
        <v>1588</v>
      </c>
      <c r="B211" s="339" t="str">
        <f>报表附注!E325</f>
        <v>3-4年（含4年）</v>
      </c>
      <c r="C211" s="325">
        <f t="shared" si="27"/>
        <v>0</v>
      </c>
      <c r="D211" s="1" t="b">
        <f t="shared" si="30"/>
        <v>1</v>
      </c>
      <c r="E211" s="315"/>
      <c r="H211" s="1" t="b">
        <f t="shared" si="29"/>
        <v>1</v>
      </c>
      <c r="I211" s="1" t="s">
        <v>1588</v>
      </c>
      <c r="K211" s="1" t="b">
        <v>1</v>
      </c>
    </row>
    <row r="212" spans="1:11">
      <c r="A212" s="1" t="s">
        <v>1589</v>
      </c>
      <c r="B212" s="339" t="str">
        <f>报表附注!E326</f>
        <v>4-5年（含5年）</v>
      </c>
      <c r="C212" s="325">
        <f t="shared" si="27"/>
        <v>0</v>
      </c>
      <c r="D212" s="1" t="b">
        <f t="shared" si="30"/>
        <v>1</v>
      </c>
      <c r="E212" s="315"/>
      <c r="H212" s="1" t="b">
        <f t="shared" si="29"/>
        <v>1</v>
      </c>
      <c r="I212" s="1" t="s">
        <v>1589</v>
      </c>
      <c r="K212" s="1" t="b">
        <v>1</v>
      </c>
    </row>
    <row r="213" spans="1:11">
      <c r="A213" s="1" t="s">
        <v>1590</v>
      </c>
      <c r="B213" s="339" t="str">
        <f>报表附注!E327</f>
        <v>5年以上</v>
      </c>
      <c r="C213" s="325">
        <f t="shared" si="27"/>
        <v>0</v>
      </c>
      <c r="D213" s="1" t="b">
        <f t="shared" si="30"/>
        <v>1</v>
      </c>
      <c r="E213" s="315"/>
      <c r="H213" s="1" t="b">
        <f t="shared" si="29"/>
        <v>1</v>
      </c>
      <c r="I213" s="1" t="s">
        <v>1590</v>
      </c>
      <c r="K213" s="1" t="b">
        <v>1</v>
      </c>
    </row>
    <row r="214" spans="1:11">
      <c r="A214" s="1" t="s">
        <v>1580</v>
      </c>
      <c r="B214" s="340" t="str">
        <f>报表附注!E328</f>
        <v>合计</v>
      </c>
      <c r="C214" s="325">
        <f t="shared" si="27"/>
        <v>0</v>
      </c>
      <c r="D214" s="1" t="b">
        <f t="shared" si="30"/>
        <v>1</v>
      </c>
      <c r="E214" s="315"/>
      <c r="H214" s="1" t="b">
        <f t="shared" si="29"/>
        <v>1</v>
      </c>
      <c r="I214" s="1" t="s">
        <v>1580</v>
      </c>
      <c r="K214" s="1" t="b">
        <v>1</v>
      </c>
    </row>
    <row r="215" spans="1:11">
      <c r="A215" s="1" t="s">
        <v>1593</v>
      </c>
      <c r="B215" s="341" t="s">
        <v>1593</v>
      </c>
      <c r="C215" s="330">
        <f t="shared" si="27"/>
        <v>0</v>
      </c>
      <c r="D215" s="1" t="b">
        <f t="shared" si="30"/>
        <v>1</v>
      </c>
      <c r="E215" s="311"/>
      <c r="H215" s="1" t="b">
        <f t="shared" si="29"/>
        <v>0</v>
      </c>
      <c r="K215" s="1" t="b">
        <v>1</v>
      </c>
    </row>
    <row r="216" spans="1:11">
      <c r="A216" s="1" t="s">
        <v>1585</v>
      </c>
      <c r="B216" s="339" t="str">
        <f>报表附注!E322</f>
        <v>1年以内（含1年）</v>
      </c>
      <c r="C216" s="325">
        <f t="shared" si="27"/>
        <v>0</v>
      </c>
      <c r="D216" s="1" t="b">
        <f t="shared" si="30"/>
        <v>1</v>
      </c>
      <c r="E216" s="315"/>
      <c r="H216" s="1" t="b">
        <f t="shared" si="29"/>
        <v>0</v>
      </c>
      <c r="I216" s="1" t="s">
        <v>1599</v>
      </c>
      <c r="K216" s="1" t="b">
        <v>1</v>
      </c>
    </row>
    <row r="217" spans="1:11">
      <c r="A217" s="1" t="s">
        <v>1586</v>
      </c>
      <c r="B217" s="339" t="str">
        <f>报表附注!E323</f>
        <v>1-2年（含2年）</v>
      </c>
      <c r="C217" s="325">
        <f t="shared" si="27"/>
        <v>0</v>
      </c>
      <c r="D217" s="1" t="b">
        <f t="shared" si="30"/>
        <v>1</v>
      </c>
      <c r="E217" s="315"/>
      <c r="H217" s="1" t="b">
        <f t="shared" si="29"/>
        <v>0</v>
      </c>
      <c r="I217" s="1" t="s">
        <v>1579</v>
      </c>
      <c r="K217" s="1" t="b">
        <v>1</v>
      </c>
    </row>
    <row r="218" spans="1:11">
      <c r="A218" s="1" t="s">
        <v>1587</v>
      </c>
      <c r="B218" s="339" t="str">
        <f>报表附注!E324</f>
        <v>2-3年（含3年）</v>
      </c>
      <c r="C218" s="325">
        <f t="shared" si="27"/>
        <v>0</v>
      </c>
      <c r="D218" s="1" t="b">
        <f t="shared" si="30"/>
        <v>1</v>
      </c>
      <c r="E218" s="315"/>
      <c r="H218" s="1" t="b">
        <f t="shared" si="29"/>
        <v>0</v>
      </c>
      <c r="I218" s="1" t="s">
        <v>1600</v>
      </c>
      <c r="K218" s="1" t="b">
        <v>1</v>
      </c>
    </row>
    <row r="219" spans="1:11">
      <c r="A219" s="1" t="s">
        <v>1588</v>
      </c>
      <c r="B219" s="339" t="str">
        <f>报表附注!E325</f>
        <v>3-4年（含4年）</v>
      </c>
      <c r="C219" s="325">
        <f t="shared" si="27"/>
        <v>0</v>
      </c>
      <c r="D219" s="1" t="b">
        <f t="shared" si="30"/>
        <v>1</v>
      </c>
      <c r="E219" s="315"/>
      <c r="H219" s="1" t="b">
        <f t="shared" si="29"/>
        <v>0</v>
      </c>
      <c r="I219" s="1" t="s">
        <v>1601</v>
      </c>
      <c r="K219" s="1" t="b">
        <v>1</v>
      </c>
    </row>
    <row r="220" spans="1:11">
      <c r="A220" s="1" t="s">
        <v>1589</v>
      </c>
      <c r="B220" s="339" t="str">
        <f>报表附注!E326</f>
        <v>4-5年（含5年）</v>
      </c>
      <c r="C220" s="325">
        <f t="shared" si="27"/>
        <v>0</v>
      </c>
      <c r="D220" s="1" t="b">
        <f t="shared" si="30"/>
        <v>1</v>
      </c>
      <c r="E220" s="315"/>
      <c r="H220" s="1" t="b">
        <f t="shared" si="29"/>
        <v>0</v>
      </c>
      <c r="I220" s="1" t="s">
        <v>1602</v>
      </c>
      <c r="K220" s="1" t="b">
        <v>1</v>
      </c>
    </row>
    <row r="221" spans="1:11">
      <c r="A221" s="1" t="s">
        <v>1590</v>
      </c>
      <c r="B221" s="339" t="str">
        <f>报表附注!E327</f>
        <v>5年以上</v>
      </c>
      <c r="C221" s="325">
        <f t="shared" si="27"/>
        <v>0</v>
      </c>
      <c r="D221" s="1" t="b">
        <f t="shared" si="30"/>
        <v>1</v>
      </c>
      <c r="E221" s="315"/>
      <c r="H221" s="1" t="b">
        <f t="shared" si="29"/>
        <v>0</v>
      </c>
      <c r="I221" s="1" t="s">
        <v>1603</v>
      </c>
      <c r="K221" s="1" t="b">
        <v>1</v>
      </c>
    </row>
    <row r="222" spans="1:11">
      <c r="A222" s="1" t="s">
        <v>1580</v>
      </c>
      <c r="B222" s="340" t="str">
        <f>报表附注!E328</f>
        <v>合计</v>
      </c>
      <c r="C222" s="325">
        <f t="shared" si="27"/>
        <v>0</v>
      </c>
      <c r="D222" s="1" t="b">
        <f t="shared" si="30"/>
        <v>1</v>
      </c>
      <c r="E222" s="315"/>
      <c r="H222" s="1" t="b">
        <f t="shared" si="29"/>
        <v>1</v>
      </c>
      <c r="I222" s="1" t="s">
        <v>1580</v>
      </c>
      <c r="K222" s="1" t="b">
        <v>1</v>
      </c>
    </row>
    <row r="223" spans="2:11">
      <c r="B223" s="336"/>
      <c r="D223" s="1" t="b">
        <f t="shared" si="30"/>
        <v>1</v>
      </c>
      <c r="H223" s="1" t="b">
        <f t="shared" si="29"/>
        <v>0</v>
      </c>
      <c r="I223" s="1" t="s">
        <v>315</v>
      </c>
      <c r="K223" s="1" t="b">
        <v>1</v>
      </c>
    </row>
    <row r="224" spans="1:11">
      <c r="A224" s="1" t="s">
        <v>1599</v>
      </c>
      <c r="B224" s="331" t="s">
        <v>1599</v>
      </c>
      <c r="D224" s="1" t="b">
        <f t="shared" si="30"/>
        <v>1</v>
      </c>
      <c r="H224" s="1" t="b">
        <f t="shared" si="29"/>
        <v>0</v>
      </c>
      <c r="I224" s="1" t="s">
        <v>1600</v>
      </c>
      <c r="K224" s="1" t="b">
        <v>1</v>
      </c>
    </row>
    <row r="225" spans="1:11">
      <c r="A225" s="1" t="s">
        <v>1579</v>
      </c>
      <c r="B225" s="332" t="s">
        <v>1579</v>
      </c>
      <c r="D225" s="1" t="b">
        <f t="shared" si="30"/>
        <v>1</v>
      </c>
      <c r="H225" s="1" t="b">
        <f t="shared" si="29"/>
        <v>0</v>
      </c>
      <c r="I225" s="1" t="s">
        <v>1601</v>
      </c>
      <c r="K225" s="1" t="b">
        <v>1</v>
      </c>
    </row>
    <row r="226" spans="1:11">
      <c r="A226" s="1" t="s">
        <v>1600</v>
      </c>
      <c r="B226" s="313" t="str">
        <f>报表附注!E502</f>
        <v>1年以内(含1年)</v>
      </c>
      <c r="C226" s="325">
        <f t="shared" ref="C226:C254" si="31">J218</f>
        <v>0</v>
      </c>
      <c r="D226" s="1" t="b">
        <f t="shared" si="30"/>
        <v>1</v>
      </c>
      <c r="E226" s="325">
        <f>C232</f>
        <v>0</v>
      </c>
      <c r="H226" s="1" t="b">
        <f t="shared" si="29"/>
        <v>0</v>
      </c>
      <c r="I226" s="1" t="s">
        <v>1602</v>
      </c>
      <c r="K226" s="1" t="b">
        <v>1</v>
      </c>
    </row>
    <row r="227" spans="1:11">
      <c r="A227" s="1" t="s">
        <v>1601</v>
      </c>
      <c r="B227" s="313" t="str">
        <f>报表附注!E503</f>
        <v>1-2年(含2年)</v>
      </c>
      <c r="C227" s="325">
        <f t="shared" si="31"/>
        <v>0</v>
      </c>
      <c r="D227" s="1" t="b">
        <f t="shared" si="30"/>
        <v>1</v>
      </c>
      <c r="E227" s="325">
        <f>C233</f>
        <v>0</v>
      </c>
      <c r="H227" s="1" t="b">
        <f t="shared" si="29"/>
        <v>0</v>
      </c>
      <c r="I227" s="1" t="s">
        <v>1603</v>
      </c>
      <c r="K227" s="1" t="b">
        <v>1</v>
      </c>
    </row>
    <row r="228" spans="1:11">
      <c r="A228" s="1" t="s">
        <v>1602</v>
      </c>
      <c r="B228" s="313" t="str">
        <f>报表附注!E504</f>
        <v>2-3年(含3年)</v>
      </c>
      <c r="C228" s="325">
        <f t="shared" si="31"/>
        <v>0</v>
      </c>
      <c r="D228" s="1" t="b">
        <f t="shared" si="30"/>
        <v>1</v>
      </c>
      <c r="E228" s="325">
        <f>C234</f>
        <v>0</v>
      </c>
      <c r="H228" s="1" t="b">
        <f t="shared" si="29"/>
        <v>0</v>
      </c>
      <c r="I228" s="1" t="s">
        <v>1580</v>
      </c>
      <c r="K228" s="1" t="b">
        <v>1</v>
      </c>
    </row>
    <row r="229" spans="1:11">
      <c r="A229" s="1" t="s">
        <v>1603</v>
      </c>
      <c r="B229" s="313" t="str">
        <f>报表附注!E505</f>
        <v>3年以上 </v>
      </c>
      <c r="C229" s="325">
        <f t="shared" si="31"/>
        <v>0</v>
      </c>
      <c r="D229" s="1" t="b">
        <f t="shared" si="30"/>
        <v>1</v>
      </c>
      <c r="E229" s="325">
        <f>C235</f>
        <v>0</v>
      </c>
      <c r="H229" s="1" t="b">
        <f t="shared" si="29"/>
        <v>0</v>
      </c>
      <c r="K229" s="1" t="b">
        <v>1</v>
      </c>
    </row>
    <row r="230" spans="1:11">
      <c r="A230" s="1" t="s">
        <v>1580</v>
      </c>
      <c r="B230" s="324" t="str">
        <f>报表附注!E506</f>
        <v>合计</v>
      </c>
      <c r="C230" s="325">
        <f t="shared" si="31"/>
        <v>0</v>
      </c>
      <c r="D230" s="1" t="b">
        <f t="shared" si="30"/>
        <v>1</v>
      </c>
      <c r="E230" s="325">
        <f>C236</f>
        <v>0</v>
      </c>
      <c r="H230" s="1" t="b">
        <f t="shared" si="29"/>
        <v>0</v>
      </c>
      <c r="I230" s="1" t="s">
        <v>1604</v>
      </c>
      <c r="K230" s="1" t="b">
        <v>1</v>
      </c>
    </row>
    <row r="231" spans="1:11">
      <c r="A231" s="1" t="s">
        <v>315</v>
      </c>
      <c r="B231" s="332" t="s">
        <v>315</v>
      </c>
      <c r="C231" s="330">
        <f t="shared" si="31"/>
        <v>0</v>
      </c>
      <c r="D231" s="1" t="b">
        <f t="shared" si="30"/>
        <v>1</v>
      </c>
      <c r="H231" s="1" t="b">
        <f t="shared" si="29"/>
        <v>0</v>
      </c>
      <c r="I231" s="1" t="s">
        <v>1579</v>
      </c>
      <c r="K231" s="1" t="b">
        <v>1</v>
      </c>
    </row>
    <row r="232" spans="1:11">
      <c r="A232" s="1" t="s">
        <v>1600</v>
      </c>
      <c r="B232" s="313" t="str">
        <f>报表附注!E502</f>
        <v>1年以内(含1年)</v>
      </c>
      <c r="C232" s="325">
        <f t="shared" si="31"/>
        <v>0</v>
      </c>
      <c r="D232" s="1" t="b">
        <f t="shared" si="30"/>
        <v>1</v>
      </c>
      <c r="E232" s="315"/>
      <c r="H232" s="1" t="b">
        <f t="shared" si="29"/>
        <v>0</v>
      </c>
      <c r="I232" s="1" t="s">
        <v>1585</v>
      </c>
      <c r="K232" s="1" t="b">
        <v>1</v>
      </c>
    </row>
    <row r="233" spans="1:11">
      <c r="A233" s="1" t="s">
        <v>1601</v>
      </c>
      <c r="B233" s="313" t="str">
        <f>报表附注!E503</f>
        <v>1-2年(含2年)</v>
      </c>
      <c r="C233" s="325">
        <f t="shared" si="31"/>
        <v>0</v>
      </c>
      <c r="D233" s="1" t="b">
        <f t="shared" si="30"/>
        <v>1</v>
      </c>
      <c r="E233" s="315"/>
      <c r="H233" s="1" t="b">
        <f t="shared" si="29"/>
        <v>0</v>
      </c>
      <c r="I233" s="1" t="s">
        <v>1586</v>
      </c>
      <c r="K233" s="1" t="b">
        <v>1</v>
      </c>
    </row>
    <row r="234" spans="1:11">
      <c r="A234" s="1" t="s">
        <v>1602</v>
      </c>
      <c r="B234" s="313" t="str">
        <f>报表附注!E504</f>
        <v>2-3年(含3年)</v>
      </c>
      <c r="C234" s="325">
        <f t="shared" si="31"/>
        <v>0</v>
      </c>
      <c r="D234" s="1" t="b">
        <f t="shared" si="30"/>
        <v>1</v>
      </c>
      <c r="E234" s="315"/>
      <c r="H234" s="1" t="b">
        <f t="shared" si="29"/>
        <v>0</v>
      </c>
      <c r="I234" s="1" t="s">
        <v>1587</v>
      </c>
      <c r="K234" s="1" t="b">
        <v>1</v>
      </c>
    </row>
    <row r="235" spans="1:11">
      <c r="A235" s="1" t="s">
        <v>1603</v>
      </c>
      <c r="B235" s="313" t="str">
        <f>报表附注!E505</f>
        <v>3年以上 </v>
      </c>
      <c r="C235" s="325">
        <f t="shared" si="31"/>
        <v>0</v>
      </c>
      <c r="D235" s="1" t="b">
        <f t="shared" si="30"/>
        <v>1</v>
      </c>
      <c r="E235" s="315"/>
      <c r="H235" s="1" t="b">
        <f t="shared" si="29"/>
        <v>0</v>
      </c>
      <c r="I235" s="1" t="s">
        <v>1588</v>
      </c>
      <c r="K235" s="1" t="b">
        <v>1</v>
      </c>
    </row>
    <row r="236" spans="1:11">
      <c r="A236" s="1" t="s">
        <v>1580</v>
      </c>
      <c r="B236" s="324" t="str">
        <f>报表附注!E506</f>
        <v>合计</v>
      </c>
      <c r="C236" s="325">
        <f t="shared" si="31"/>
        <v>0</v>
      </c>
      <c r="D236" s="1" t="b">
        <f t="shared" si="30"/>
        <v>1</v>
      </c>
      <c r="E236" s="315"/>
      <c r="H236" s="1" t="b">
        <f t="shared" si="29"/>
        <v>0</v>
      </c>
      <c r="I236" s="1" t="s">
        <v>1589</v>
      </c>
      <c r="K236" s="1" t="b">
        <v>1</v>
      </c>
    </row>
    <row r="237" spans="3:11">
      <c r="C237" s="330">
        <f t="shared" si="31"/>
        <v>0</v>
      </c>
      <c r="D237" s="1" t="b">
        <f t="shared" si="30"/>
        <v>1</v>
      </c>
      <c r="H237" s="1" t="b">
        <f t="shared" si="29"/>
        <v>0</v>
      </c>
      <c r="I237" s="1" t="s">
        <v>1590</v>
      </c>
      <c r="K237" s="1" t="b">
        <v>1</v>
      </c>
    </row>
    <row r="238" spans="1:11">
      <c r="A238" s="1" t="s">
        <v>1604</v>
      </c>
      <c r="B238" s="331" t="s">
        <v>1604</v>
      </c>
      <c r="C238" s="330">
        <f t="shared" si="31"/>
        <v>0</v>
      </c>
      <c r="D238" s="1" t="b">
        <f t="shared" si="30"/>
        <v>1</v>
      </c>
      <c r="H238" s="1" t="b">
        <f t="shared" si="29"/>
        <v>0</v>
      </c>
      <c r="I238" s="1" t="s">
        <v>1580</v>
      </c>
      <c r="K238" s="1" t="b">
        <v>1</v>
      </c>
    </row>
    <row r="239" spans="1:11">
      <c r="A239" s="1" t="s">
        <v>1579</v>
      </c>
      <c r="B239" s="332" t="s">
        <v>1579</v>
      </c>
      <c r="C239" s="330">
        <f t="shared" si="31"/>
        <v>0</v>
      </c>
      <c r="D239" s="1" t="b">
        <f t="shared" si="30"/>
        <v>1</v>
      </c>
      <c r="H239" s="1" t="b">
        <f t="shared" si="29"/>
        <v>0</v>
      </c>
      <c r="I239" s="1" t="s">
        <v>1591</v>
      </c>
      <c r="K239" s="1" t="b">
        <v>1</v>
      </c>
    </row>
    <row r="240" spans="1:11">
      <c r="A240" s="1" t="s">
        <v>1585</v>
      </c>
      <c r="B240" s="313" t="str">
        <f>报表附注!E565</f>
        <v>1年以内（含1年）</v>
      </c>
      <c r="C240" s="325">
        <f t="shared" si="31"/>
        <v>0</v>
      </c>
      <c r="D240" s="1" t="b">
        <f t="shared" si="30"/>
        <v>1</v>
      </c>
      <c r="E240" s="325">
        <f>C256</f>
        <v>0</v>
      </c>
      <c r="H240" s="1" t="b">
        <f t="shared" si="29"/>
        <v>1</v>
      </c>
      <c r="I240" s="1" t="s">
        <v>1585</v>
      </c>
      <c r="K240" s="1" t="b">
        <v>1</v>
      </c>
    </row>
    <row r="241" spans="1:11">
      <c r="A241" s="1" t="s">
        <v>1586</v>
      </c>
      <c r="B241" s="313" t="str">
        <f>报表附注!E566</f>
        <v>1-2年（含2年）</v>
      </c>
      <c r="C241" s="325">
        <f t="shared" si="31"/>
        <v>0</v>
      </c>
      <c r="D241" s="1" t="b">
        <f t="shared" si="30"/>
        <v>1</v>
      </c>
      <c r="E241" s="325">
        <f t="shared" ref="E241:E254" si="32">C257</f>
        <v>0</v>
      </c>
      <c r="H241" s="1" t="b">
        <f t="shared" si="29"/>
        <v>1</v>
      </c>
      <c r="I241" s="1" t="s">
        <v>1586</v>
      </c>
      <c r="K241" s="1" t="b">
        <v>1</v>
      </c>
    </row>
    <row r="242" spans="1:11">
      <c r="A242" s="1" t="s">
        <v>1587</v>
      </c>
      <c r="B242" s="313" t="str">
        <f>报表附注!E567</f>
        <v>2-3年（含3年）</v>
      </c>
      <c r="C242" s="325">
        <f t="shared" si="31"/>
        <v>0</v>
      </c>
      <c r="D242" s="1" t="b">
        <f t="shared" si="30"/>
        <v>1</v>
      </c>
      <c r="E242" s="325">
        <f t="shared" si="32"/>
        <v>0</v>
      </c>
      <c r="H242" s="1" t="b">
        <f t="shared" si="29"/>
        <v>1</v>
      </c>
      <c r="I242" s="1" t="s">
        <v>1587</v>
      </c>
      <c r="K242" s="1" t="b">
        <v>1</v>
      </c>
    </row>
    <row r="243" spans="1:11">
      <c r="A243" s="1" t="s">
        <v>1588</v>
      </c>
      <c r="B243" s="313" t="str">
        <f>报表附注!E568</f>
        <v>3-4年（含4年）</v>
      </c>
      <c r="C243" s="325">
        <f t="shared" si="31"/>
        <v>0</v>
      </c>
      <c r="D243" s="1" t="b">
        <f t="shared" si="30"/>
        <v>1</v>
      </c>
      <c r="E243" s="325">
        <f t="shared" si="32"/>
        <v>0</v>
      </c>
      <c r="H243" s="1" t="b">
        <f t="shared" si="29"/>
        <v>1</v>
      </c>
      <c r="I243" s="1" t="s">
        <v>1588</v>
      </c>
      <c r="K243" s="1" t="b">
        <v>1</v>
      </c>
    </row>
    <row r="244" spans="1:11">
      <c r="A244" s="1" t="s">
        <v>1589</v>
      </c>
      <c r="B244" s="313" t="str">
        <f>报表附注!E569</f>
        <v>4-5年（含5年）</v>
      </c>
      <c r="C244" s="325">
        <f t="shared" si="31"/>
        <v>0</v>
      </c>
      <c r="D244" s="1" t="b">
        <f t="shared" si="30"/>
        <v>1</v>
      </c>
      <c r="E244" s="325">
        <f t="shared" si="32"/>
        <v>0</v>
      </c>
      <c r="H244" s="1" t="b">
        <f t="shared" si="29"/>
        <v>1</v>
      </c>
      <c r="I244" s="1" t="s">
        <v>1589</v>
      </c>
      <c r="K244" s="1" t="b">
        <v>1</v>
      </c>
    </row>
    <row r="245" spans="1:11">
      <c r="A245" s="1" t="s">
        <v>1590</v>
      </c>
      <c r="B245" s="313" t="str">
        <f>报表附注!E570</f>
        <v>5年以上</v>
      </c>
      <c r="C245" s="325">
        <f t="shared" si="31"/>
        <v>0</v>
      </c>
      <c r="D245" s="1" t="b">
        <f t="shared" si="30"/>
        <v>1</v>
      </c>
      <c r="E245" s="325">
        <f t="shared" si="32"/>
        <v>0</v>
      </c>
      <c r="H245" s="1" t="b">
        <f t="shared" si="29"/>
        <v>1</v>
      </c>
      <c r="I245" s="1" t="s">
        <v>1590</v>
      </c>
      <c r="K245" s="1" t="b">
        <v>1</v>
      </c>
    </row>
    <row r="246" spans="1:11">
      <c r="A246" s="1" t="s">
        <v>1580</v>
      </c>
      <c r="B246" s="324" t="str">
        <f>报表附注!E571</f>
        <v>合计</v>
      </c>
      <c r="C246" s="325">
        <f t="shared" si="31"/>
        <v>0</v>
      </c>
      <c r="D246" s="1" t="b">
        <f t="shared" si="30"/>
        <v>1</v>
      </c>
      <c r="E246" s="325">
        <f t="shared" si="32"/>
        <v>0</v>
      </c>
      <c r="H246" s="1" t="b">
        <f t="shared" si="29"/>
        <v>1</v>
      </c>
      <c r="I246" s="1" t="s">
        <v>1580</v>
      </c>
      <c r="K246" s="1" t="b">
        <v>1</v>
      </c>
    </row>
    <row r="247" spans="1:11">
      <c r="A247" s="1" t="s">
        <v>1591</v>
      </c>
      <c r="B247" s="332" t="s">
        <v>1591</v>
      </c>
      <c r="C247" s="330">
        <f t="shared" si="31"/>
        <v>0</v>
      </c>
      <c r="D247" s="1" t="b">
        <f t="shared" si="30"/>
        <v>1</v>
      </c>
      <c r="E247" s="325">
        <f t="shared" si="32"/>
        <v>0</v>
      </c>
      <c r="H247" s="1" t="b">
        <f t="shared" si="29"/>
        <v>0</v>
      </c>
      <c r="I247" s="1" t="s">
        <v>315</v>
      </c>
      <c r="K247" s="1" t="b">
        <v>1</v>
      </c>
    </row>
    <row r="248" spans="1:11">
      <c r="A248" s="1" t="s">
        <v>1585</v>
      </c>
      <c r="B248" s="313" t="str">
        <f>报表附注!E565</f>
        <v>1年以内（含1年）</v>
      </c>
      <c r="C248" s="325">
        <f t="shared" si="31"/>
        <v>0</v>
      </c>
      <c r="D248" s="1" t="b">
        <f t="shared" si="30"/>
        <v>1</v>
      </c>
      <c r="E248" s="325">
        <f t="shared" si="32"/>
        <v>0</v>
      </c>
      <c r="H248" s="1" t="b">
        <f t="shared" si="29"/>
        <v>1</v>
      </c>
      <c r="I248" s="1" t="s">
        <v>1585</v>
      </c>
      <c r="K248" s="1" t="b">
        <v>1</v>
      </c>
    </row>
    <row r="249" spans="1:11">
      <c r="A249" s="1" t="s">
        <v>1586</v>
      </c>
      <c r="B249" s="313" t="str">
        <f>报表附注!E566</f>
        <v>1-2年（含2年）</v>
      </c>
      <c r="C249" s="325">
        <f t="shared" si="31"/>
        <v>0</v>
      </c>
      <c r="D249" s="1" t="b">
        <f t="shared" si="30"/>
        <v>1</v>
      </c>
      <c r="E249" s="325">
        <f t="shared" si="32"/>
        <v>0</v>
      </c>
      <c r="H249" s="1" t="b">
        <f t="shared" si="29"/>
        <v>1</v>
      </c>
      <c r="I249" s="1" t="s">
        <v>1586</v>
      </c>
      <c r="K249" s="1" t="b">
        <v>1</v>
      </c>
    </row>
    <row r="250" spans="1:11">
      <c r="A250" s="1" t="s">
        <v>1587</v>
      </c>
      <c r="B250" s="313" t="str">
        <f>报表附注!E567</f>
        <v>2-3年（含3年）</v>
      </c>
      <c r="C250" s="325">
        <f t="shared" si="31"/>
        <v>0</v>
      </c>
      <c r="D250" s="1" t="b">
        <f t="shared" si="30"/>
        <v>1</v>
      </c>
      <c r="E250" s="325">
        <f t="shared" si="32"/>
        <v>0</v>
      </c>
      <c r="H250" s="1" t="b">
        <f t="shared" si="29"/>
        <v>1</v>
      </c>
      <c r="I250" s="1" t="s">
        <v>1587</v>
      </c>
      <c r="K250" s="1" t="b">
        <v>1</v>
      </c>
    </row>
    <row r="251" spans="1:11">
      <c r="A251" s="1" t="s">
        <v>1588</v>
      </c>
      <c r="B251" s="313" t="str">
        <f>报表附注!E568</f>
        <v>3-4年（含4年）</v>
      </c>
      <c r="C251" s="325">
        <f t="shared" si="31"/>
        <v>0</v>
      </c>
      <c r="D251" s="1" t="b">
        <f t="shared" si="30"/>
        <v>1</v>
      </c>
      <c r="E251" s="325">
        <f t="shared" si="32"/>
        <v>0</v>
      </c>
      <c r="H251" s="1" t="b">
        <f t="shared" si="29"/>
        <v>1</v>
      </c>
      <c r="I251" s="1" t="s">
        <v>1588</v>
      </c>
      <c r="K251" s="1" t="b">
        <v>1</v>
      </c>
    </row>
    <row r="252" spans="1:11">
      <c r="A252" s="1" t="s">
        <v>1589</v>
      </c>
      <c r="B252" s="313" t="str">
        <f>报表附注!E569</f>
        <v>4-5年（含5年）</v>
      </c>
      <c r="C252" s="325">
        <f t="shared" si="31"/>
        <v>0</v>
      </c>
      <c r="D252" s="1" t="b">
        <f t="shared" si="30"/>
        <v>1</v>
      </c>
      <c r="E252" s="325">
        <f t="shared" si="32"/>
        <v>0</v>
      </c>
      <c r="H252" s="1" t="b">
        <f t="shared" si="29"/>
        <v>1</v>
      </c>
      <c r="I252" s="1" t="s">
        <v>1589</v>
      </c>
      <c r="K252" s="1" t="b">
        <v>1</v>
      </c>
    </row>
    <row r="253" spans="1:11">
      <c r="A253" s="1" t="s">
        <v>1590</v>
      </c>
      <c r="B253" s="313" t="str">
        <f>报表附注!E570</f>
        <v>5年以上</v>
      </c>
      <c r="C253" s="325">
        <f t="shared" si="31"/>
        <v>0</v>
      </c>
      <c r="D253" s="1" t="b">
        <f t="shared" si="30"/>
        <v>1</v>
      </c>
      <c r="E253" s="325">
        <f t="shared" si="32"/>
        <v>0</v>
      </c>
      <c r="H253" s="1" t="b">
        <f t="shared" si="29"/>
        <v>1</v>
      </c>
      <c r="I253" s="1" t="s">
        <v>1590</v>
      </c>
      <c r="K253" s="1" t="b">
        <v>1</v>
      </c>
    </row>
    <row r="254" spans="1:11">
      <c r="A254" s="1" t="s">
        <v>1580</v>
      </c>
      <c r="B254" s="324" t="str">
        <f>报表附注!E571</f>
        <v>合计</v>
      </c>
      <c r="C254" s="325">
        <f t="shared" si="31"/>
        <v>0</v>
      </c>
      <c r="D254" s="1" t="b">
        <f t="shared" si="30"/>
        <v>1</v>
      </c>
      <c r="E254" s="325">
        <f t="shared" si="32"/>
        <v>0</v>
      </c>
      <c r="H254" s="1" t="b">
        <f t="shared" si="29"/>
        <v>1</v>
      </c>
      <c r="I254" s="1" t="s">
        <v>1580</v>
      </c>
      <c r="K254" s="1" t="b">
        <v>1</v>
      </c>
    </row>
    <row r="255" spans="1:11">
      <c r="A255" s="1" t="s">
        <v>315</v>
      </c>
      <c r="B255" s="332" t="s">
        <v>315</v>
      </c>
      <c r="D255" s="1" t="b">
        <f t="shared" si="30"/>
        <v>1</v>
      </c>
      <c r="H255" s="1" t="b">
        <f t="shared" si="29"/>
        <v>0</v>
      </c>
      <c r="I255" s="1" t="s">
        <v>1593</v>
      </c>
      <c r="K255" s="1" t="b">
        <v>1</v>
      </c>
    </row>
    <row r="256" spans="1:11">
      <c r="A256" s="1" t="s">
        <v>1585</v>
      </c>
      <c r="B256" s="313" t="str">
        <f>报表附注!E565</f>
        <v>1年以内（含1年）</v>
      </c>
      <c r="C256" s="325">
        <f t="shared" ref="C256:C270" si="33">J248</f>
        <v>0</v>
      </c>
      <c r="D256" s="1" t="b">
        <f t="shared" si="30"/>
        <v>1</v>
      </c>
      <c r="E256" s="315"/>
      <c r="H256" s="1" t="b">
        <f t="shared" si="29"/>
        <v>1</v>
      </c>
      <c r="I256" s="1" t="s">
        <v>1585</v>
      </c>
      <c r="K256" s="1" t="b">
        <v>1</v>
      </c>
    </row>
    <row r="257" spans="1:11">
      <c r="A257" s="1" t="s">
        <v>1586</v>
      </c>
      <c r="B257" s="313" t="str">
        <f>报表附注!E566</f>
        <v>1-2年（含2年）</v>
      </c>
      <c r="C257" s="325">
        <f t="shared" si="33"/>
        <v>0</v>
      </c>
      <c r="D257" s="1" t="b">
        <f t="shared" si="30"/>
        <v>1</v>
      </c>
      <c r="E257" s="315"/>
      <c r="H257" s="1" t="b">
        <f t="shared" si="29"/>
        <v>1</v>
      </c>
      <c r="I257" s="1" t="s">
        <v>1586</v>
      </c>
      <c r="K257" s="1" t="b">
        <v>1</v>
      </c>
    </row>
    <row r="258" spans="1:11">
      <c r="A258" s="1" t="s">
        <v>1587</v>
      </c>
      <c r="B258" s="313" t="str">
        <f>报表附注!E567</f>
        <v>2-3年（含3年）</v>
      </c>
      <c r="C258" s="325">
        <f t="shared" si="33"/>
        <v>0</v>
      </c>
      <c r="D258" s="1" t="b">
        <f t="shared" si="30"/>
        <v>1</v>
      </c>
      <c r="E258" s="315"/>
      <c r="H258" s="1" t="b">
        <f t="shared" si="29"/>
        <v>1</v>
      </c>
      <c r="I258" s="1" t="s">
        <v>1587</v>
      </c>
      <c r="K258" s="1" t="b">
        <v>1</v>
      </c>
    </row>
    <row r="259" spans="1:11">
      <c r="A259" s="1" t="s">
        <v>1588</v>
      </c>
      <c r="B259" s="313" t="str">
        <f>报表附注!E568</f>
        <v>3-4年（含4年）</v>
      </c>
      <c r="C259" s="325">
        <f t="shared" si="33"/>
        <v>0</v>
      </c>
      <c r="D259" s="1" t="b">
        <f t="shared" si="30"/>
        <v>1</v>
      </c>
      <c r="E259" s="315"/>
      <c r="H259" s="1" t="b">
        <f t="shared" si="29"/>
        <v>1</v>
      </c>
      <c r="I259" s="1" t="s">
        <v>1588</v>
      </c>
      <c r="K259" s="1" t="b">
        <v>1</v>
      </c>
    </row>
    <row r="260" spans="1:11">
      <c r="A260" s="1" t="s">
        <v>1589</v>
      </c>
      <c r="B260" s="313" t="str">
        <f>报表附注!E569</f>
        <v>4-5年（含5年）</v>
      </c>
      <c r="C260" s="325">
        <f t="shared" si="33"/>
        <v>0</v>
      </c>
      <c r="D260" s="1" t="b">
        <f t="shared" si="30"/>
        <v>1</v>
      </c>
      <c r="E260" s="315"/>
      <c r="H260" s="1" t="b">
        <f t="shared" ref="H260:H323" si="34">I260=B260</f>
        <v>1</v>
      </c>
      <c r="I260" s="1" t="s">
        <v>1589</v>
      </c>
      <c r="K260" s="1" t="b">
        <v>1</v>
      </c>
    </row>
    <row r="261" spans="1:11">
      <c r="A261" s="1" t="s">
        <v>1590</v>
      </c>
      <c r="B261" s="313" t="str">
        <f>报表附注!E570</f>
        <v>5年以上</v>
      </c>
      <c r="C261" s="325">
        <f t="shared" si="33"/>
        <v>0</v>
      </c>
      <c r="D261" s="1" t="b">
        <f t="shared" si="30"/>
        <v>1</v>
      </c>
      <c r="E261" s="315"/>
      <c r="H261" s="1" t="b">
        <f t="shared" si="34"/>
        <v>1</v>
      </c>
      <c r="I261" s="1" t="s">
        <v>1590</v>
      </c>
      <c r="K261" s="1" t="b">
        <v>1</v>
      </c>
    </row>
    <row r="262" spans="1:11">
      <c r="A262" s="1" t="s">
        <v>1580</v>
      </c>
      <c r="B262" s="324" t="str">
        <f>报表附注!E571</f>
        <v>合计</v>
      </c>
      <c r="C262" s="325">
        <f t="shared" si="33"/>
        <v>0</v>
      </c>
      <c r="D262" s="1" t="b">
        <f t="shared" si="30"/>
        <v>1</v>
      </c>
      <c r="E262" s="315"/>
      <c r="H262" s="1" t="b">
        <f t="shared" si="34"/>
        <v>1</v>
      </c>
      <c r="I262" s="1" t="s">
        <v>1580</v>
      </c>
      <c r="K262" s="1" t="b">
        <v>1</v>
      </c>
    </row>
    <row r="263" spans="1:11">
      <c r="A263" s="1" t="s">
        <v>1593</v>
      </c>
      <c r="B263" s="332" t="s">
        <v>1593</v>
      </c>
      <c r="C263" s="330">
        <f t="shared" si="33"/>
        <v>0</v>
      </c>
      <c r="D263" s="1" t="b">
        <f t="shared" si="30"/>
        <v>1</v>
      </c>
      <c r="E263" s="311"/>
      <c r="H263" s="1" t="b">
        <f t="shared" si="34"/>
        <v>0</v>
      </c>
      <c r="K263" s="1" t="b">
        <v>1</v>
      </c>
    </row>
    <row r="264" spans="1:11">
      <c r="A264" s="1" t="s">
        <v>1585</v>
      </c>
      <c r="B264" s="313" t="str">
        <f>报表附注!E565</f>
        <v>1年以内（含1年）</v>
      </c>
      <c r="C264" s="325">
        <f t="shared" si="33"/>
        <v>0</v>
      </c>
      <c r="D264" s="1" t="b">
        <f t="shared" si="30"/>
        <v>1</v>
      </c>
      <c r="E264" s="315"/>
      <c r="H264" s="1" t="b">
        <f t="shared" si="34"/>
        <v>0</v>
      </c>
      <c r="I264" s="1" t="s">
        <v>1579</v>
      </c>
      <c r="K264" s="1" t="b">
        <v>1</v>
      </c>
    </row>
    <row r="265" spans="1:11">
      <c r="A265" s="1" t="s">
        <v>1586</v>
      </c>
      <c r="B265" s="313" t="str">
        <f>报表附注!E566</f>
        <v>1-2年（含2年）</v>
      </c>
      <c r="C265" s="325">
        <f t="shared" si="33"/>
        <v>0</v>
      </c>
      <c r="D265" s="1" t="b">
        <f t="shared" si="30"/>
        <v>1</v>
      </c>
      <c r="E265" s="315"/>
      <c r="H265" s="1" t="b">
        <f t="shared" si="34"/>
        <v>0</v>
      </c>
      <c r="I265" s="1" t="s">
        <v>2555</v>
      </c>
      <c r="K265" s="1" t="b">
        <v>0</v>
      </c>
    </row>
    <row r="266" spans="1:11">
      <c r="A266" s="1" t="s">
        <v>1587</v>
      </c>
      <c r="B266" s="313" t="str">
        <f>报表附注!E567</f>
        <v>2-3年（含3年）</v>
      </c>
      <c r="C266" s="325">
        <f t="shared" si="33"/>
        <v>0</v>
      </c>
      <c r="D266" s="1" t="b">
        <f t="shared" si="30"/>
        <v>1</v>
      </c>
      <c r="E266" s="315"/>
      <c r="H266" s="1" t="b">
        <f t="shared" si="34"/>
        <v>0</v>
      </c>
      <c r="I266" s="1" t="s">
        <v>2556</v>
      </c>
      <c r="K266" s="1" t="b">
        <v>0</v>
      </c>
    </row>
    <row r="267" spans="1:11">
      <c r="A267" s="1" t="s">
        <v>1588</v>
      </c>
      <c r="B267" s="313" t="str">
        <f>报表附注!E568</f>
        <v>3-4年（含4年）</v>
      </c>
      <c r="C267" s="325">
        <f t="shared" si="33"/>
        <v>0</v>
      </c>
      <c r="D267" s="1" t="b">
        <f t="shared" si="30"/>
        <v>1</v>
      </c>
      <c r="E267" s="315"/>
      <c r="H267" s="1" t="b">
        <f t="shared" si="34"/>
        <v>0</v>
      </c>
      <c r="I267" s="1" t="s">
        <v>2557</v>
      </c>
      <c r="K267" s="1" t="b">
        <v>0</v>
      </c>
    </row>
    <row r="268" spans="1:11">
      <c r="A268" s="1" t="s">
        <v>1589</v>
      </c>
      <c r="B268" s="313" t="str">
        <f>报表附注!E569</f>
        <v>4-5年（含5年）</v>
      </c>
      <c r="C268" s="325">
        <f t="shared" si="33"/>
        <v>0</v>
      </c>
      <c r="D268" s="1" t="b">
        <f t="shared" ref="D268:D331" si="35">EXACT(A268,B268)</f>
        <v>1</v>
      </c>
      <c r="E268" s="315"/>
      <c r="H268" s="1" t="b">
        <f t="shared" si="34"/>
        <v>0</v>
      </c>
      <c r="I268" s="1" t="s">
        <v>1580</v>
      </c>
      <c r="K268" s="1" t="b">
        <v>1</v>
      </c>
    </row>
    <row r="269" spans="1:11">
      <c r="A269" s="1" t="s">
        <v>1590</v>
      </c>
      <c r="B269" s="313" t="str">
        <f>报表附注!E570</f>
        <v>5年以上</v>
      </c>
      <c r="C269" s="325">
        <f t="shared" si="33"/>
        <v>0</v>
      </c>
      <c r="D269" s="1" t="b">
        <f t="shared" si="35"/>
        <v>1</v>
      </c>
      <c r="E269" s="315"/>
      <c r="H269" s="1" t="b">
        <f t="shared" si="34"/>
        <v>0</v>
      </c>
      <c r="I269" s="1" t="s">
        <v>1591</v>
      </c>
      <c r="K269" s="1" t="b">
        <v>1</v>
      </c>
    </row>
    <row r="270" spans="1:11">
      <c r="A270" s="1" t="s">
        <v>1580</v>
      </c>
      <c r="B270" s="324" t="str">
        <f>报表附注!E571</f>
        <v>合计</v>
      </c>
      <c r="C270" s="325">
        <f t="shared" si="33"/>
        <v>0</v>
      </c>
      <c r="D270" s="1" t="b">
        <f t="shared" si="35"/>
        <v>1</v>
      </c>
      <c r="E270" s="315"/>
      <c r="H270" s="1" t="b">
        <f t="shared" si="34"/>
        <v>0</v>
      </c>
      <c r="I270" s="1" t="s">
        <v>2555</v>
      </c>
      <c r="K270" s="1" t="b">
        <v>0</v>
      </c>
    </row>
    <row r="271" spans="4:11">
      <c r="D271" s="1" t="b">
        <f t="shared" si="35"/>
        <v>1</v>
      </c>
      <c r="H271" s="1" t="b">
        <f t="shared" si="34"/>
        <v>0</v>
      </c>
      <c r="I271" s="1" t="s">
        <v>2556</v>
      </c>
      <c r="K271" s="1" t="b">
        <v>0</v>
      </c>
    </row>
    <row r="272" spans="1:11">
      <c r="A272" s="1" t="s">
        <v>1579</v>
      </c>
      <c r="B272" s="332" t="s">
        <v>1579</v>
      </c>
      <c r="D272" s="1" t="b">
        <f t="shared" si="35"/>
        <v>1</v>
      </c>
      <c r="H272" s="1" t="b">
        <f t="shared" si="34"/>
        <v>0</v>
      </c>
      <c r="I272" s="1" t="s">
        <v>2557</v>
      </c>
      <c r="K272" s="1" t="b">
        <v>0</v>
      </c>
    </row>
    <row r="273" ht="22.5" spans="1:11">
      <c r="A273" s="1" t="s">
        <v>1595</v>
      </c>
      <c r="B273" s="313" t="str">
        <f>报表附注!E578</f>
        <v>单项金额重大并单项计提坏账准备的的其他应收款</v>
      </c>
      <c r="C273" s="325">
        <f t="shared" ref="C273:C291" si="36">J265</f>
        <v>0</v>
      </c>
      <c r="D273" s="1" t="b">
        <f t="shared" si="35"/>
        <v>0</v>
      </c>
      <c r="E273" s="325">
        <f>C283</f>
        <v>0</v>
      </c>
      <c r="H273" s="1" t="b">
        <f t="shared" si="34"/>
        <v>0</v>
      </c>
      <c r="I273" s="1" t="s">
        <v>1580</v>
      </c>
      <c r="K273" s="1" t="b">
        <v>1</v>
      </c>
    </row>
    <row r="274" ht="22.5" spans="1:11">
      <c r="A274" s="1" t="s">
        <v>1596</v>
      </c>
      <c r="B274" s="313" t="str">
        <f>报表附注!E579</f>
        <v>按组合（账龄分析法）计提坏账准备的其他应收款</v>
      </c>
      <c r="C274" s="325">
        <f t="shared" si="36"/>
        <v>0</v>
      </c>
      <c r="D274" s="1" t="b">
        <f t="shared" si="35"/>
        <v>0</v>
      </c>
      <c r="E274" s="325">
        <f t="shared" ref="E274:E281" si="37">C284</f>
        <v>0</v>
      </c>
      <c r="H274" s="1" t="b">
        <f t="shared" si="34"/>
        <v>0</v>
      </c>
      <c r="I274" s="1" t="s">
        <v>315</v>
      </c>
      <c r="K274" s="1" t="b">
        <v>1</v>
      </c>
    </row>
    <row r="275" ht="22.5" spans="1:11">
      <c r="A275" s="1" t="s">
        <v>1597</v>
      </c>
      <c r="B275" s="313" t="str">
        <f>报表附注!E580</f>
        <v>单项金额虽不重大但单项计提坏账准备的其他应收款</v>
      </c>
      <c r="C275" s="325">
        <f t="shared" si="36"/>
        <v>0</v>
      </c>
      <c r="D275" s="1" t="b">
        <f t="shared" si="35"/>
        <v>0</v>
      </c>
      <c r="E275" s="325">
        <f t="shared" si="37"/>
        <v>0</v>
      </c>
      <c r="H275" s="1" t="b">
        <f t="shared" si="34"/>
        <v>0</v>
      </c>
      <c r="I275" s="1" t="s">
        <v>2555</v>
      </c>
      <c r="K275" s="1" t="b">
        <v>0</v>
      </c>
    </row>
    <row r="276" spans="1:11">
      <c r="A276" s="1" t="s">
        <v>1580</v>
      </c>
      <c r="B276" s="324" t="str">
        <f>报表附注!E581</f>
        <v>合计</v>
      </c>
      <c r="C276" s="325">
        <f t="shared" si="36"/>
        <v>0</v>
      </c>
      <c r="D276" s="1" t="b">
        <f t="shared" si="35"/>
        <v>1</v>
      </c>
      <c r="E276" s="325">
        <f t="shared" si="37"/>
        <v>0</v>
      </c>
      <c r="H276" s="1" t="b">
        <f t="shared" si="34"/>
        <v>0</v>
      </c>
      <c r="I276" s="1" t="s">
        <v>2556</v>
      </c>
      <c r="K276" s="1" t="b">
        <v>0</v>
      </c>
    </row>
    <row r="277" spans="1:11">
      <c r="A277" s="1" t="s">
        <v>1591</v>
      </c>
      <c r="B277" s="332" t="s">
        <v>1591</v>
      </c>
      <c r="C277" s="330">
        <f t="shared" si="36"/>
        <v>0</v>
      </c>
      <c r="D277" s="1" t="b">
        <f t="shared" si="35"/>
        <v>1</v>
      </c>
      <c r="E277" s="325">
        <f t="shared" si="37"/>
        <v>0</v>
      </c>
      <c r="H277" s="1" t="b">
        <f t="shared" si="34"/>
        <v>0</v>
      </c>
      <c r="I277" s="1" t="s">
        <v>2557</v>
      </c>
      <c r="K277" s="1" t="b">
        <v>0</v>
      </c>
    </row>
    <row r="278" ht="22.5" spans="1:11">
      <c r="A278" s="1" t="s">
        <v>1595</v>
      </c>
      <c r="B278" s="313" t="str">
        <f>报表附注!E578</f>
        <v>单项金额重大并单项计提坏账准备的的其他应收款</v>
      </c>
      <c r="C278" s="325">
        <f t="shared" si="36"/>
        <v>0</v>
      </c>
      <c r="D278" s="1" t="b">
        <f t="shared" si="35"/>
        <v>0</v>
      </c>
      <c r="E278" s="325">
        <f t="shared" si="37"/>
        <v>0</v>
      </c>
      <c r="H278" s="1" t="b">
        <f t="shared" si="34"/>
        <v>0</v>
      </c>
      <c r="I278" s="1" t="s">
        <v>1580</v>
      </c>
      <c r="K278" s="1" t="b">
        <v>1</v>
      </c>
    </row>
    <row r="279" ht="22.5" spans="1:11">
      <c r="A279" s="1" t="s">
        <v>1596</v>
      </c>
      <c r="B279" s="313" t="str">
        <f>报表附注!E579</f>
        <v>按组合（账龄分析法）计提坏账准备的其他应收款</v>
      </c>
      <c r="C279" s="325">
        <f t="shared" si="36"/>
        <v>0</v>
      </c>
      <c r="D279" s="1" t="b">
        <f t="shared" si="35"/>
        <v>0</v>
      </c>
      <c r="E279" s="325">
        <f t="shared" si="37"/>
        <v>0</v>
      </c>
      <c r="H279" s="1" t="b">
        <f t="shared" si="34"/>
        <v>0</v>
      </c>
      <c r="I279" s="1" t="s">
        <v>1593</v>
      </c>
      <c r="K279" s="1" t="b">
        <v>1</v>
      </c>
    </row>
    <row r="280" ht="22.5" spans="1:11">
      <c r="A280" s="1" t="s">
        <v>1597</v>
      </c>
      <c r="B280" s="313" t="str">
        <f>报表附注!E580</f>
        <v>单项金额虽不重大但单项计提坏账准备的其他应收款</v>
      </c>
      <c r="C280" s="325">
        <f t="shared" si="36"/>
        <v>0</v>
      </c>
      <c r="D280" s="1" t="b">
        <f t="shared" si="35"/>
        <v>0</v>
      </c>
      <c r="E280" s="325">
        <f t="shared" si="37"/>
        <v>0</v>
      </c>
      <c r="H280" s="1" t="b">
        <f t="shared" si="34"/>
        <v>0</v>
      </c>
      <c r="I280" s="1" t="s">
        <v>461</v>
      </c>
      <c r="K280" s="1" t="b">
        <v>1</v>
      </c>
    </row>
    <row r="281" spans="1:11">
      <c r="A281" s="1" t="s">
        <v>1580</v>
      </c>
      <c r="B281" s="324" t="str">
        <f>报表附注!E581</f>
        <v>合计</v>
      </c>
      <c r="C281" s="325">
        <f t="shared" si="36"/>
        <v>0</v>
      </c>
      <c r="D281" s="1" t="b">
        <f t="shared" si="35"/>
        <v>1</v>
      </c>
      <c r="E281" s="325">
        <f t="shared" si="37"/>
        <v>0</v>
      </c>
      <c r="H281" s="1" t="b">
        <f t="shared" si="34"/>
        <v>0</v>
      </c>
      <c r="I281" s="1" t="s">
        <v>463</v>
      </c>
      <c r="K281" s="1" t="b">
        <v>1</v>
      </c>
    </row>
    <row r="282" spans="1:11">
      <c r="A282" s="1" t="s">
        <v>315</v>
      </c>
      <c r="B282" s="332" t="s">
        <v>315</v>
      </c>
      <c r="C282" s="330">
        <f t="shared" si="36"/>
        <v>0</v>
      </c>
      <c r="D282" s="1" t="b">
        <f t="shared" si="35"/>
        <v>1</v>
      </c>
      <c r="H282" s="1" t="b">
        <f t="shared" si="34"/>
        <v>0</v>
      </c>
      <c r="I282" s="1" t="s">
        <v>465</v>
      </c>
      <c r="K282" s="1" t="b">
        <v>1</v>
      </c>
    </row>
    <row r="283" ht="22.5" spans="1:11">
      <c r="A283" s="1" t="s">
        <v>1595</v>
      </c>
      <c r="B283" s="313" t="str">
        <f>报表附注!E578</f>
        <v>单项金额重大并单项计提坏账准备的的其他应收款</v>
      </c>
      <c r="C283" s="325">
        <f t="shared" si="36"/>
        <v>0</v>
      </c>
      <c r="D283" s="1" t="b">
        <f t="shared" si="35"/>
        <v>0</v>
      </c>
      <c r="E283" s="315"/>
      <c r="H283" s="1" t="b">
        <f t="shared" si="34"/>
        <v>0</v>
      </c>
      <c r="I283" s="1" t="s">
        <v>1580</v>
      </c>
      <c r="K283" s="1" t="b">
        <v>1</v>
      </c>
    </row>
    <row r="284" ht="22.5" spans="1:11">
      <c r="A284" s="1" t="s">
        <v>1596</v>
      </c>
      <c r="B284" s="313" t="str">
        <f>报表附注!E579</f>
        <v>按组合（账龄分析法）计提坏账准备的其他应收款</v>
      </c>
      <c r="C284" s="325">
        <f t="shared" si="36"/>
        <v>0</v>
      </c>
      <c r="D284" s="1" t="b">
        <f t="shared" si="35"/>
        <v>0</v>
      </c>
      <c r="E284" s="315"/>
      <c r="H284" s="1" t="b">
        <f t="shared" si="34"/>
        <v>0</v>
      </c>
      <c r="K284" s="1" t="b">
        <v>1</v>
      </c>
    </row>
    <row r="285" ht="22.5" spans="1:11">
      <c r="A285" s="1" t="s">
        <v>1597</v>
      </c>
      <c r="B285" s="313" t="str">
        <f>报表附注!E580</f>
        <v>单项金额虽不重大但单项计提坏账准备的其他应收款</v>
      </c>
      <c r="C285" s="325">
        <f t="shared" si="36"/>
        <v>0</v>
      </c>
      <c r="D285" s="1" t="b">
        <f t="shared" si="35"/>
        <v>0</v>
      </c>
      <c r="E285" s="315"/>
      <c r="H285" s="1" t="b">
        <f t="shared" si="34"/>
        <v>0</v>
      </c>
      <c r="I285" s="1" t="s">
        <v>1598</v>
      </c>
      <c r="K285" s="1" t="b">
        <v>1</v>
      </c>
    </row>
    <row r="286" spans="1:11">
      <c r="A286" s="1" t="s">
        <v>1580</v>
      </c>
      <c r="B286" s="324" t="str">
        <f>报表附注!E581</f>
        <v>合计</v>
      </c>
      <c r="C286" s="325">
        <f t="shared" si="36"/>
        <v>0</v>
      </c>
      <c r="D286" s="1" t="b">
        <f t="shared" si="35"/>
        <v>1</v>
      </c>
      <c r="E286" s="315"/>
      <c r="H286" s="1" t="b">
        <f t="shared" si="34"/>
        <v>0</v>
      </c>
      <c r="I286" s="1" t="s">
        <v>1579</v>
      </c>
      <c r="K286" s="1" t="b">
        <v>1</v>
      </c>
    </row>
    <row r="287" spans="1:11">
      <c r="A287" s="1" t="s">
        <v>1593</v>
      </c>
      <c r="B287" s="332" t="s">
        <v>1593</v>
      </c>
      <c r="C287" s="330">
        <f t="shared" si="36"/>
        <v>0</v>
      </c>
      <c r="D287" s="1" t="b">
        <f t="shared" si="35"/>
        <v>1</v>
      </c>
      <c r="E287" s="311"/>
      <c r="H287" s="1" t="b">
        <f t="shared" si="34"/>
        <v>0</v>
      </c>
      <c r="I287" s="1" t="s">
        <v>1585</v>
      </c>
      <c r="K287" s="1" t="b">
        <v>1</v>
      </c>
    </row>
    <row r="288" spans="1:11">
      <c r="A288" s="1" t="s">
        <v>461</v>
      </c>
      <c r="B288" s="342" t="s">
        <v>461</v>
      </c>
      <c r="C288" s="325">
        <f t="shared" si="36"/>
        <v>0</v>
      </c>
      <c r="D288" s="1" t="b">
        <f t="shared" si="35"/>
        <v>1</v>
      </c>
      <c r="E288" s="315"/>
      <c r="H288" s="1" t="b">
        <f t="shared" si="34"/>
        <v>0</v>
      </c>
      <c r="I288" s="1" t="s">
        <v>1586</v>
      </c>
      <c r="K288" s="1" t="b">
        <v>1</v>
      </c>
    </row>
    <row r="289" ht="22.5" spans="1:11">
      <c r="A289" s="1" t="s">
        <v>463</v>
      </c>
      <c r="B289" s="342" t="s">
        <v>463</v>
      </c>
      <c r="C289" s="325">
        <f t="shared" si="36"/>
        <v>0</v>
      </c>
      <c r="D289" s="1" t="b">
        <f t="shared" si="35"/>
        <v>1</v>
      </c>
      <c r="E289" s="315"/>
      <c r="H289" s="1" t="b">
        <f t="shared" si="34"/>
        <v>0</v>
      </c>
      <c r="I289" s="1" t="s">
        <v>1587</v>
      </c>
      <c r="K289" s="1" t="b">
        <v>1</v>
      </c>
    </row>
    <row r="290" spans="1:11">
      <c r="A290" s="1" t="s">
        <v>465</v>
      </c>
      <c r="B290" s="342" t="s">
        <v>465</v>
      </c>
      <c r="C290" s="325">
        <f t="shared" si="36"/>
        <v>0</v>
      </c>
      <c r="D290" s="1" t="b">
        <f t="shared" si="35"/>
        <v>1</v>
      </c>
      <c r="E290" s="315"/>
      <c r="H290" s="1" t="b">
        <f t="shared" si="34"/>
        <v>0</v>
      </c>
      <c r="I290" s="1" t="s">
        <v>1588</v>
      </c>
      <c r="K290" s="1" t="b">
        <v>1</v>
      </c>
    </row>
    <row r="291" spans="1:11">
      <c r="A291" s="1" t="s">
        <v>1580</v>
      </c>
      <c r="B291" s="343" t="s">
        <v>1580</v>
      </c>
      <c r="C291" s="325">
        <f t="shared" si="36"/>
        <v>0</v>
      </c>
      <c r="D291" s="1" t="b">
        <f t="shared" si="35"/>
        <v>1</v>
      </c>
      <c r="E291" s="315"/>
      <c r="H291" s="1" t="b">
        <f t="shared" si="34"/>
        <v>0</v>
      </c>
      <c r="I291" s="1" t="s">
        <v>1589</v>
      </c>
      <c r="K291" s="1" t="b">
        <v>1</v>
      </c>
    </row>
    <row r="292" spans="4:11">
      <c r="D292" s="1" t="b">
        <f t="shared" si="35"/>
        <v>1</v>
      </c>
      <c r="H292" s="1" t="b">
        <f t="shared" si="34"/>
        <v>0</v>
      </c>
      <c r="I292" s="1" t="s">
        <v>1590</v>
      </c>
      <c r="K292" s="1" t="b">
        <v>1</v>
      </c>
    </row>
    <row r="293" spans="1:11">
      <c r="A293" s="1" t="s">
        <v>1598</v>
      </c>
      <c r="B293" s="337" t="s">
        <v>1598</v>
      </c>
      <c r="D293" s="1" t="b">
        <f t="shared" si="35"/>
        <v>1</v>
      </c>
      <c r="H293" s="1" t="b">
        <f t="shared" si="34"/>
        <v>0</v>
      </c>
      <c r="I293" s="1" t="s">
        <v>1580</v>
      </c>
      <c r="K293" s="1" t="b">
        <v>1</v>
      </c>
    </row>
    <row r="294" spans="1:11">
      <c r="A294" s="1" t="s">
        <v>1579</v>
      </c>
      <c r="B294" s="338" t="s">
        <v>1579</v>
      </c>
      <c r="D294" s="1" t="b">
        <f t="shared" si="35"/>
        <v>1</v>
      </c>
      <c r="H294" s="1" t="b">
        <f t="shared" si="34"/>
        <v>0</v>
      </c>
      <c r="I294" s="1" t="s">
        <v>1591</v>
      </c>
      <c r="K294" s="1" t="b">
        <v>1</v>
      </c>
    </row>
    <row r="295" spans="1:11">
      <c r="A295" s="1" t="s">
        <v>1585</v>
      </c>
      <c r="B295" s="339" t="str">
        <f>报表附注!E689</f>
        <v>1年以内（含1年）</v>
      </c>
      <c r="C295" s="325">
        <f t="shared" ref="C295:C325" si="38">J287</f>
        <v>0</v>
      </c>
      <c r="D295" s="1" t="b">
        <f t="shared" si="35"/>
        <v>1</v>
      </c>
      <c r="E295" s="325">
        <f>C311</f>
        <v>0</v>
      </c>
      <c r="H295" s="1" t="b">
        <f t="shared" si="34"/>
        <v>1</v>
      </c>
      <c r="I295" s="1" t="s">
        <v>1585</v>
      </c>
      <c r="K295" s="1" t="b">
        <v>1</v>
      </c>
    </row>
    <row r="296" spans="1:11">
      <c r="A296" s="1" t="s">
        <v>1586</v>
      </c>
      <c r="B296" s="339" t="str">
        <f>报表附注!E690</f>
        <v>1-2年（含2年）</v>
      </c>
      <c r="C296" s="325">
        <f t="shared" si="38"/>
        <v>0</v>
      </c>
      <c r="D296" s="1" t="b">
        <f t="shared" si="35"/>
        <v>1</v>
      </c>
      <c r="E296" s="325">
        <f t="shared" ref="E296:E309" si="39">C312</f>
        <v>0</v>
      </c>
      <c r="H296" s="1" t="b">
        <f t="shared" si="34"/>
        <v>1</v>
      </c>
      <c r="I296" s="1" t="s">
        <v>1586</v>
      </c>
      <c r="K296" s="1" t="b">
        <v>1</v>
      </c>
    </row>
    <row r="297" spans="1:11">
      <c r="A297" s="1" t="s">
        <v>1587</v>
      </c>
      <c r="B297" s="339" t="str">
        <f>报表附注!E691</f>
        <v>2-3年（含3年）</v>
      </c>
      <c r="C297" s="325">
        <f t="shared" si="38"/>
        <v>0</v>
      </c>
      <c r="D297" s="1" t="b">
        <f t="shared" si="35"/>
        <v>1</v>
      </c>
      <c r="E297" s="325">
        <f t="shared" si="39"/>
        <v>0</v>
      </c>
      <c r="H297" s="1" t="b">
        <f t="shared" si="34"/>
        <v>1</v>
      </c>
      <c r="I297" s="1" t="s">
        <v>1587</v>
      </c>
      <c r="K297" s="1" t="b">
        <v>1</v>
      </c>
    </row>
    <row r="298" spans="1:11">
      <c r="A298" s="1" t="s">
        <v>1588</v>
      </c>
      <c r="B298" s="339" t="str">
        <f>报表附注!E692</f>
        <v>3-4年（含4年）</v>
      </c>
      <c r="C298" s="325">
        <f t="shared" si="38"/>
        <v>0</v>
      </c>
      <c r="D298" s="1" t="b">
        <f t="shared" si="35"/>
        <v>1</v>
      </c>
      <c r="E298" s="325">
        <f t="shared" si="39"/>
        <v>0</v>
      </c>
      <c r="H298" s="1" t="b">
        <f t="shared" si="34"/>
        <v>1</v>
      </c>
      <c r="I298" s="1" t="s">
        <v>1588</v>
      </c>
      <c r="K298" s="1" t="b">
        <v>1</v>
      </c>
    </row>
    <row r="299" spans="1:11">
      <c r="A299" s="1" t="s">
        <v>1589</v>
      </c>
      <c r="B299" s="339" t="str">
        <f>报表附注!E693</f>
        <v>4-5年（含5年）</v>
      </c>
      <c r="C299" s="325">
        <f t="shared" si="38"/>
        <v>0</v>
      </c>
      <c r="D299" s="1" t="b">
        <f t="shared" si="35"/>
        <v>1</v>
      </c>
      <c r="E299" s="325">
        <f t="shared" si="39"/>
        <v>0</v>
      </c>
      <c r="H299" s="1" t="b">
        <f t="shared" si="34"/>
        <v>1</v>
      </c>
      <c r="I299" s="1" t="s">
        <v>1589</v>
      </c>
      <c r="K299" s="1" t="b">
        <v>1</v>
      </c>
    </row>
    <row r="300" spans="1:11">
      <c r="A300" s="1" t="s">
        <v>1590</v>
      </c>
      <c r="B300" s="339" t="str">
        <f>报表附注!E694</f>
        <v>5年以上</v>
      </c>
      <c r="C300" s="325">
        <f t="shared" si="38"/>
        <v>0</v>
      </c>
      <c r="D300" s="1" t="b">
        <f t="shared" si="35"/>
        <v>1</v>
      </c>
      <c r="E300" s="325">
        <f t="shared" si="39"/>
        <v>0</v>
      </c>
      <c r="H300" s="1" t="b">
        <f t="shared" si="34"/>
        <v>1</v>
      </c>
      <c r="I300" s="1" t="s">
        <v>1590</v>
      </c>
      <c r="K300" s="1" t="b">
        <v>1</v>
      </c>
    </row>
    <row r="301" spans="1:11">
      <c r="A301" s="1" t="s">
        <v>1580</v>
      </c>
      <c r="B301" s="340" t="str">
        <f>报表附注!E695</f>
        <v>合计</v>
      </c>
      <c r="C301" s="325">
        <f t="shared" si="38"/>
        <v>0</v>
      </c>
      <c r="D301" s="1" t="b">
        <f t="shared" si="35"/>
        <v>1</v>
      </c>
      <c r="E301" s="325">
        <f t="shared" si="39"/>
        <v>0</v>
      </c>
      <c r="H301" s="1" t="b">
        <f t="shared" si="34"/>
        <v>1</v>
      </c>
      <c r="I301" s="1" t="s">
        <v>1580</v>
      </c>
      <c r="K301" s="1" t="b">
        <v>1</v>
      </c>
    </row>
    <row r="302" spans="1:11">
      <c r="A302" s="1" t="s">
        <v>1591</v>
      </c>
      <c r="B302" s="341" t="s">
        <v>1591</v>
      </c>
      <c r="C302" s="330">
        <f t="shared" si="38"/>
        <v>0</v>
      </c>
      <c r="D302" s="1" t="b">
        <f t="shared" si="35"/>
        <v>1</v>
      </c>
      <c r="E302" s="325">
        <f t="shared" si="39"/>
        <v>0</v>
      </c>
      <c r="H302" s="1" t="b">
        <f t="shared" si="34"/>
        <v>0</v>
      </c>
      <c r="I302" s="1" t="s">
        <v>315</v>
      </c>
      <c r="K302" s="1" t="b">
        <v>1</v>
      </c>
    </row>
    <row r="303" spans="1:11">
      <c r="A303" s="1" t="s">
        <v>1585</v>
      </c>
      <c r="B303" s="339" t="str">
        <f>报表附注!E689</f>
        <v>1年以内（含1年）</v>
      </c>
      <c r="C303" s="325">
        <f t="shared" si="38"/>
        <v>0</v>
      </c>
      <c r="D303" s="1" t="b">
        <f t="shared" si="35"/>
        <v>1</v>
      </c>
      <c r="E303" s="325">
        <f t="shared" si="39"/>
        <v>0</v>
      </c>
      <c r="H303" s="1" t="b">
        <f t="shared" si="34"/>
        <v>1</v>
      </c>
      <c r="I303" s="1" t="s">
        <v>1585</v>
      </c>
      <c r="K303" s="1" t="b">
        <v>1</v>
      </c>
    </row>
    <row r="304" spans="1:11">
      <c r="A304" s="1" t="s">
        <v>1586</v>
      </c>
      <c r="B304" s="339" t="str">
        <f>报表附注!E690</f>
        <v>1-2年（含2年）</v>
      </c>
      <c r="C304" s="325">
        <f t="shared" si="38"/>
        <v>0</v>
      </c>
      <c r="D304" s="1" t="b">
        <f t="shared" si="35"/>
        <v>1</v>
      </c>
      <c r="E304" s="325">
        <f t="shared" si="39"/>
        <v>0</v>
      </c>
      <c r="H304" s="1" t="b">
        <f t="shared" si="34"/>
        <v>1</v>
      </c>
      <c r="I304" s="1" t="s">
        <v>1586</v>
      </c>
      <c r="K304" s="1" t="b">
        <v>1</v>
      </c>
    </row>
    <row r="305" spans="1:11">
      <c r="A305" s="1" t="s">
        <v>1587</v>
      </c>
      <c r="B305" s="339" t="str">
        <f>报表附注!E691</f>
        <v>2-3年（含3年）</v>
      </c>
      <c r="C305" s="325">
        <f t="shared" si="38"/>
        <v>0</v>
      </c>
      <c r="D305" s="1" t="b">
        <f t="shared" si="35"/>
        <v>1</v>
      </c>
      <c r="E305" s="325">
        <f t="shared" si="39"/>
        <v>0</v>
      </c>
      <c r="H305" s="1" t="b">
        <f t="shared" si="34"/>
        <v>1</v>
      </c>
      <c r="I305" s="1" t="s">
        <v>1587</v>
      </c>
      <c r="K305" s="1" t="b">
        <v>1</v>
      </c>
    </row>
    <row r="306" spans="1:11">
      <c r="A306" s="1" t="s">
        <v>1588</v>
      </c>
      <c r="B306" s="339" t="str">
        <f>报表附注!E692</f>
        <v>3-4年（含4年）</v>
      </c>
      <c r="C306" s="325">
        <f t="shared" si="38"/>
        <v>0</v>
      </c>
      <c r="D306" s="1" t="b">
        <f t="shared" si="35"/>
        <v>1</v>
      </c>
      <c r="E306" s="325">
        <f t="shared" si="39"/>
        <v>0</v>
      </c>
      <c r="H306" s="1" t="b">
        <f t="shared" si="34"/>
        <v>1</v>
      </c>
      <c r="I306" s="1" t="s">
        <v>1588</v>
      </c>
      <c r="K306" s="1" t="b">
        <v>1</v>
      </c>
    </row>
    <row r="307" spans="1:11">
      <c r="A307" s="1" t="s">
        <v>1589</v>
      </c>
      <c r="B307" s="339" t="str">
        <f>报表附注!E693</f>
        <v>4-5年（含5年）</v>
      </c>
      <c r="C307" s="325">
        <f t="shared" si="38"/>
        <v>0</v>
      </c>
      <c r="D307" s="1" t="b">
        <f t="shared" si="35"/>
        <v>1</v>
      </c>
      <c r="E307" s="325">
        <f t="shared" si="39"/>
        <v>0</v>
      </c>
      <c r="H307" s="1" t="b">
        <f t="shared" si="34"/>
        <v>1</v>
      </c>
      <c r="I307" s="1" t="s">
        <v>1589</v>
      </c>
      <c r="K307" s="1" t="b">
        <v>1</v>
      </c>
    </row>
    <row r="308" spans="1:11">
      <c r="A308" s="1" t="s">
        <v>1590</v>
      </c>
      <c r="B308" s="339" t="str">
        <f>报表附注!E694</f>
        <v>5年以上</v>
      </c>
      <c r="C308" s="325">
        <f t="shared" si="38"/>
        <v>0</v>
      </c>
      <c r="D308" s="1" t="b">
        <f t="shared" si="35"/>
        <v>1</v>
      </c>
      <c r="E308" s="325">
        <f t="shared" si="39"/>
        <v>0</v>
      </c>
      <c r="H308" s="1" t="b">
        <f t="shared" si="34"/>
        <v>1</v>
      </c>
      <c r="I308" s="1" t="s">
        <v>1590</v>
      </c>
      <c r="K308" s="1" t="b">
        <v>1</v>
      </c>
    </row>
    <row r="309" spans="1:11">
      <c r="A309" s="1" t="s">
        <v>1580</v>
      </c>
      <c r="B309" s="340" t="str">
        <f>报表附注!E695</f>
        <v>合计</v>
      </c>
      <c r="C309" s="325">
        <f t="shared" si="38"/>
        <v>0</v>
      </c>
      <c r="D309" s="1" t="b">
        <f t="shared" si="35"/>
        <v>1</v>
      </c>
      <c r="E309" s="325">
        <f t="shared" si="39"/>
        <v>0</v>
      </c>
      <c r="H309" s="1" t="b">
        <f t="shared" si="34"/>
        <v>1</v>
      </c>
      <c r="I309" s="1" t="s">
        <v>1580</v>
      </c>
      <c r="K309" s="1" t="b">
        <v>1</v>
      </c>
    </row>
    <row r="310" spans="1:11">
      <c r="A310" s="1" t="s">
        <v>315</v>
      </c>
      <c r="B310" s="338" t="s">
        <v>315</v>
      </c>
      <c r="C310" s="330">
        <f t="shared" si="38"/>
        <v>0</v>
      </c>
      <c r="D310" s="1" t="b">
        <f t="shared" si="35"/>
        <v>1</v>
      </c>
      <c r="H310" s="1" t="b">
        <f t="shared" si="34"/>
        <v>0</v>
      </c>
      <c r="I310" s="1" t="s">
        <v>1593</v>
      </c>
      <c r="K310" s="1" t="b">
        <v>1</v>
      </c>
    </row>
    <row r="311" spans="1:11">
      <c r="A311" s="1" t="s">
        <v>1585</v>
      </c>
      <c r="B311" s="339" t="str">
        <f>报表附注!E689</f>
        <v>1年以内（含1年）</v>
      </c>
      <c r="C311" s="325">
        <f t="shared" si="38"/>
        <v>0</v>
      </c>
      <c r="D311" s="1" t="b">
        <f t="shared" si="35"/>
        <v>1</v>
      </c>
      <c r="E311" s="344"/>
      <c r="H311" s="1" t="b">
        <f t="shared" si="34"/>
        <v>1</v>
      </c>
      <c r="I311" s="1" t="s">
        <v>1585</v>
      </c>
      <c r="K311" s="1" t="b">
        <v>1</v>
      </c>
    </row>
    <row r="312" spans="1:11">
      <c r="A312" s="1" t="s">
        <v>1586</v>
      </c>
      <c r="B312" s="339" t="str">
        <f>报表附注!E690</f>
        <v>1-2年（含2年）</v>
      </c>
      <c r="C312" s="325">
        <f t="shared" si="38"/>
        <v>0</v>
      </c>
      <c r="D312" s="1" t="b">
        <f t="shared" si="35"/>
        <v>1</v>
      </c>
      <c r="E312" s="344"/>
      <c r="H312" s="1" t="b">
        <f t="shared" si="34"/>
        <v>1</v>
      </c>
      <c r="I312" s="1" t="s">
        <v>1586</v>
      </c>
      <c r="K312" s="1" t="b">
        <v>1</v>
      </c>
    </row>
    <row r="313" spans="1:11">
      <c r="A313" s="1" t="s">
        <v>1587</v>
      </c>
      <c r="B313" s="339" t="str">
        <f>报表附注!E691</f>
        <v>2-3年（含3年）</v>
      </c>
      <c r="C313" s="325">
        <f t="shared" si="38"/>
        <v>0</v>
      </c>
      <c r="D313" s="1" t="b">
        <f t="shared" si="35"/>
        <v>1</v>
      </c>
      <c r="E313" s="344"/>
      <c r="H313" s="1" t="b">
        <f t="shared" si="34"/>
        <v>1</v>
      </c>
      <c r="I313" s="1" t="s">
        <v>1587</v>
      </c>
      <c r="K313" s="1" t="b">
        <v>1</v>
      </c>
    </row>
    <row r="314" spans="1:11">
      <c r="A314" s="1" t="s">
        <v>1588</v>
      </c>
      <c r="B314" s="339" t="str">
        <f>报表附注!E692</f>
        <v>3-4年（含4年）</v>
      </c>
      <c r="C314" s="325">
        <f t="shared" si="38"/>
        <v>0</v>
      </c>
      <c r="D314" s="1" t="b">
        <f t="shared" si="35"/>
        <v>1</v>
      </c>
      <c r="E314" s="344"/>
      <c r="H314" s="1" t="b">
        <f t="shared" si="34"/>
        <v>1</v>
      </c>
      <c r="I314" s="1" t="s">
        <v>1588</v>
      </c>
      <c r="K314" s="1" t="b">
        <v>1</v>
      </c>
    </row>
    <row r="315" spans="1:11">
      <c r="A315" s="1" t="s">
        <v>1589</v>
      </c>
      <c r="B315" s="339" t="str">
        <f>报表附注!E693</f>
        <v>4-5年（含5年）</v>
      </c>
      <c r="C315" s="325">
        <f t="shared" si="38"/>
        <v>0</v>
      </c>
      <c r="D315" s="1" t="b">
        <f t="shared" si="35"/>
        <v>1</v>
      </c>
      <c r="E315" s="344"/>
      <c r="H315" s="1" t="b">
        <f t="shared" si="34"/>
        <v>1</v>
      </c>
      <c r="I315" s="1" t="s">
        <v>1589</v>
      </c>
      <c r="K315" s="1" t="b">
        <v>1</v>
      </c>
    </row>
    <row r="316" spans="1:11">
      <c r="A316" s="1" t="s">
        <v>1590</v>
      </c>
      <c r="B316" s="339" t="str">
        <f>报表附注!E694</f>
        <v>5年以上</v>
      </c>
      <c r="C316" s="325">
        <f t="shared" si="38"/>
        <v>0</v>
      </c>
      <c r="D316" s="1" t="b">
        <f t="shared" si="35"/>
        <v>1</v>
      </c>
      <c r="E316" s="344"/>
      <c r="H316" s="1" t="b">
        <f t="shared" si="34"/>
        <v>1</v>
      </c>
      <c r="I316" s="1" t="s">
        <v>1590</v>
      </c>
      <c r="K316" s="1" t="b">
        <v>1</v>
      </c>
    </row>
    <row r="317" spans="1:11">
      <c r="A317" s="1" t="s">
        <v>1580</v>
      </c>
      <c r="B317" s="340" t="str">
        <f>报表附注!E695</f>
        <v>合计</v>
      </c>
      <c r="C317" s="325">
        <f t="shared" si="38"/>
        <v>0</v>
      </c>
      <c r="D317" s="1" t="b">
        <f t="shared" si="35"/>
        <v>1</v>
      </c>
      <c r="E317" s="344"/>
      <c r="H317" s="1" t="b">
        <f t="shared" si="34"/>
        <v>1</v>
      </c>
      <c r="I317" s="1" t="s">
        <v>1580</v>
      </c>
      <c r="K317" s="1" t="b">
        <v>1</v>
      </c>
    </row>
    <row r="318" spans="1:11">
      <c r="A318" s="1" t="s">
        <v>1593</v>
      </c>
      <c r="B318" s="341" t="s">
        <v>1593</v>
      </c>
      <c r="C318" s="330">
        <f t="shared" si="38"/>
        <v>0</v>
      </c>
      <c r="D318" s="1" t="b">
        <f t="shared" si="35"/>
        <v>1</v>
      </c>
      <c r="E318" s="344"/>
      <c r="H318" s="1" t="b">
        <f t="shared" si="34"/>
        <v>0</v>
      </c>
      <c r="K318" s="1" t="b">
        <v>1</v>
      </c>
    </row>
    <row r="319" spans="1:11">
      <c r="A319" s="1" t="s">
        <v>1585</v>
      </c>
      <c r="B319" s="339" t="str">
        <f>报表附注!E689</f>
        <v>1年以内（含1年）</v>
      </c>
      <c r="C319" s="325">
        <f t="shared" si="38"/>
        <v>0</v>
      </c>
      <c r="D319" s="1" t="b">
        <f t="shared" si="35"/>
        <v>1</v>
      </c>
      <c r="E319" s="344"/>
      <c r="H319" s="1" t="b">
        <f t="shared" si="34"/>
        <v>0</v>
      </c>
      <c r="I319" s="1" t="s">
        <v>1605</v>
      </c>
      <c r="K319" s="1" t="b">
        <v>1</v>
      </c>
    </row>
    <row r="320" spans="1:11">
      <c r="A320" s="1" t="s">
        <v>1586</v>
      </c>
      <c r="B320" s="339" t="str">
        <f>报表附注!E690</f>
        <v>1-2年（含2年）</v>
      </c>
      <c r="C320" s="325">
        <f t="shared" si="38"/>
        <v>0</v>
      </c>
      <c r="D320" s="1" t="b">
        <f t="shared" si="35"/>
        <v>1</v>
      </c>
      <c r="E320" s="344"/>
      <c r="H320" s="1" t="b">
        <f t="shared" si="34"/>
        <v>0</v>
      </c>
      <c r="I320" s="1" t="s">
        <v>1579</v>
      </c>
      <c r="K320" s="1" t="b">
        <v>1</v>
      </c>
    </row>
    <row r="321" spans="1:11">
      <c r="A321" s="1" t="s">
        <v>1587</v>
      </c>
      <c r="B321" s="339" t="str">
        <f>报表附注!E691</f>
        <v>2-3年（含3年）</v>
      </c>
      <c r="C321" s="325">
        <f t="shared" si="38"/>
        <v>0</v>
      </c>
      <c r="D321" s="1" t="b">
        <f t="shared" si="35"/>
        <v>1</v>
      </c>
      <c r="E321" s="344"/>
      <c r="H321" s="1" t="b">
        <f t="shared" si="34"/>
        <v>0</v>
      </c>
      <c r="I321" s="1" t="s">
        <v>588</v>
      </c>
      <c r="K321" s="1" t="b">
        <v>1</v>
      </c>
    </row>
    <row r="322" spans="1:11">
      <c r="A322" s="1" t="s">
        <v>1588</v>
      </c>
      <c r="B322" s="339" t="str">
        <f>报表附注!E692</f>
        <v>3-4年（含4年）</v>
      </c>
      <c r="C322" s="325">
        <f t="shared" si="38"/>
        <v>0</v>
      </c>
      <c r="D322" s="1" t="b">
        <f t="shared" si="35"/>
        <v>1</v>
      </c>
      <c r="E322" s="344"/>
      <c r="H322" s="1" t="b">
        <f t="shared" si="34"/>
        <v>0</v>
      </c>
      <c r="I322" s="1" t="s">
        <v>590</v>
      </c>
      <c r="K322" s="1" t="b">
        <v>0</v>
      </c>
    </row>
    <row r="323" spans="1:11">
      <c r="A323" s="1" t="s">
        <v>1589</v>
      </c>
      <c r="B323" s="339" t="str">
        <f>报表附注!E693</f>
        <v>4-5年（含5年）</v>
      </c>
      <c r="C323" s="325">
        <f t="shared" si="38"/>
        <v>0</v>
      </c>
      <c r="D323" s="1" t="b">
        <f t="shared" si="35"/>
        <v>1</v>
      </c>
      <c r="E323" s="344"/>
      <c r="H323" s="1" t="b">
        <f t="shared" si="34"/>
        <v>0</v>
      </c>
      <c r="I323" s="1" t="s">
        <v>2604</v>
      </c>
      <c r="K323" s="1" t="b">
        <v>0</v>
      </c>
    </row>
    <row r="324" spans="1:11">
      <c r="A324" s="1" t="s">
        <v>1590</v>
      </c>
      <c r="B324" s="339" t="str">
        <f>报表附注!E694</f>
        <v>5年以上</v>
      </c>
      <c r="C324" s="325">
        <f t="shared" si="38"/>
        <v>0</v>
      </c>
      <c r="D324" s="1" t="b">
        <f t="shared" si="35"/>
        <v>1</v>
      </c>
      <c r="E324" s="344"/>
      <c r="H324" s="1" t="b">
        <f t="shared" ref="H324:H387" si="40">I324=B324</f>
        <v>0</v>
      </c>
      <c r="I324" s="1" t="s">
        <v>1607</v>
      </c>
      <c r="K324" s="1" t="b">
        <v>0</v>
      </c>
    </row>
    <row r="325" spans="1:11">
      <c r="A325" s="1" t="s">
        <v>1580</v>
      </c>
      <c r="B325" s="340" t="str">
        <f>报表附注!E695</f>
        <v>合计</v>
      </c>
      <c r="C325" s="325">
        <f t="shared" si="38"/>
        <v>0</v>
      </c>
      <c r="D325" s="1" t="b">
        <f t="shared" si="35"/>
        <v>1</v>
      </c>
      <c r="E325" s="344"/>
      <c r="H325" s="1" t="b">
        <f t="shared" si="40"/>
        <v>0</v>
      </c>
      <c r="I325" s="1" t="s">
        <v>2605</v>
      </c>
      <c r="K325" s="1" t="b">
        <v>0</v>
      </c>
    </row>
    <row r="326" spans="4:11">
      <c r="D326" s="1" t="b">
        <f t="shared" si="35"/>
        <v>1</v>
      </c>
      <c r="E326" s="344"/>
      <c r="H326" s="1" t="b">
        <f t="shared" si="40"/>
        <v>0</v>
      </c>
      <c r="I326" s="1" t="s">
        <v>596</v>
      </c>
      <c r="K326" s="1" t="b">
        <v>1</v>
      </c>
    </row>
    <row r="327" spans="1:11">
      <c r="A327" s="1" t="s">
        <v>1605</v>
      </c>
      <c r="B327" s="331" t="s">
        <v>1605</v>
      </c>
      <c r="D327" s="1" t="b">
        <f t="shared" si="35"/>
        <v>1</v>
      </c>
      <c r="H327" s="1" t="b">
        <f t="shared" si="40"/>
        <v>0</v>
      </c>
      <c r="I327" s="1">
        <v>0</v>
      </c>
      <c r="K327" s="1" t="b">
        <v>0</v>
      </c>
    </row>
    <row r="328" spans="1:11">
      <c r="A328" s="1" t="s">
        <v>1579</v>
      </c>
      <c r="B328" s="332" t="s">
        <v>1579</v>
      </c>
      <c r="D328" s="1" t="b">
        <f t="shared" si="35"/>
        <v>1</v>
      </c>
      <c r="H328" s="1" t="b">
        <f t="shared" si="40"/>
        <v>0</v>
      </c>
      <c r="I328" s="1" t="s">
        <v>4576</v>
      </c>
      <c r="K328" s="1" t="b">
        <v>1</v>
      </c>
    </row>
    <row r="329" spans="1:11">
      <c r="A329" s="1" t="s">
        <v>588</v>
      </c>
      <c r="B329" s="336" t="str">
        <f>报表附注!E849</f>
        <v>原材料</v>
      </c>
      <c r="C329" s="325">
        <f t="shared" ref="C329:C361" si="41">J321</f>
        <v>0</v>
      </c>
      <c r="D329" s="1" t="b">
        <f t="shared" si="35"/>
        <v>1</v>
      </c>
      <c r="E329" s="325">
        <f>C363</f>
        <v>0</v>
      </c>
      <c r="H329" s="1" t="b">
        <f t="shared" si="40"/>
        <v>0</v>
      </c>
      <c r="I329" s="1" t="s">
        <v>1610</v>
      </c>
      <c r="K329" s="1" t="b">
        <v>1</v>
      </c>
    </row>
    <row r="330" spans="1:11">
      <c r="A330" s="1" t="s">
        <v>1606</v>
      </c>
      <c r="B330" s="336" t="str">
        <f>报表附注!E850</f>
        <v>在产品</v>
      </c>
      <c r="C330" s="325">
        <f t="shared" si="41"/>
        <v>0</v>
      </c>
      <c r="D330" s="1" t="b">
        <f t="shared" si="35"/>
        <v>0</v>
      </c>
      <c r="E330" s="325">
        <f t="shared" ref="E330:E361" si="42">C364</f>
        <v>0</v>
      </c>
      <c r="H330" s="1" t="b">
        <f t="shared" si="40"/>
        <v>0</v>
      </c>
      <c r="I330" s="1" t="s">
        <v>1611</v>
      </c>
      <c r="K330" s="1" t="b">
        <v>1</v>
      </c>
    </row>
    <row r="331" spans="1:11">
      <c r="A331" s="1" t="s">
        <v>592</v>
      </c>
      <c r="B331" s="336" t="str">
        <f>报表附注!E851</f>
        <v>产成品</v>
      </c>
      <c r="C331" s="325">
        <f t="shared" si="41"/>
        <v>0</v>
      </c>
      <c r="D331" s="1" t="b">
        <f t="shared" si="35"/>
        <v>0</v>
      </c>
      <c r="E331" s="325">
        <f t="shared" si="42"/>
        <v>0</v>
      </c>
      <c r="H331" s="1" t="b">
        <f t="shared" si="40"/>
        <v>0</v>
      </c>
      <c r="I331" s="1" t="s">
        <v>1612</v>
      </c>
      <c r="K331" s="1" t="b">
        <v>1</v>
      </c>
    </row>
    <row r="332" spans="1:11">
      <c r="A332" s="1" t="s">
        <v>586</v>
      </c>
      <c r="B332" s="336" t="str">
        <f>报表附注!E852</f>
        <v>低值易耗品</v>
      </c>
      <c r="C332" s="325">
        <f t="shared" si="41"/>
        <v>0</v>
      </c>
      <c r="D332" s="1" t="b">
        <f t="shared" ref="D332:D395" si="43">EXACT(A332,B332)</f>
        <v>0</v>
      </c>
      <c r="E332" s="325">
        <f t="shared" si="42"/>
        <v>0</v>
      </c>
      <c r="H332" s="1" t="b">
        <f t="shared" si="40"/>
        <v>0</v>
      </c>
      <c r="I332" s="1" t="s">
        <v>1613</v>
      </c>
      <c r="K332" s="1" t="b">
        <v>1</v>
      </c>
    </row>
    <row r="333" spans="1:11">
      <c r="A333" s="1" t="s">
        <v>1607</v>
      </c>
      <c r="B333" s="336" t="str">
        <f>报表附注!E853</f>
        <v>包装物</v>
      </c>
      <c r="C333" s="325">
        <f t="shared" si="41"/>
        <v>0</v>
      </c>
      <c r="D333" s="1" t="b">
        <f t="shared" si="43"/>
        <v>0</v>
      </c>
      <c r="E333" s="325">
        <f t="shared" si="42"/>
        <v>0</v>
      </c>
      <c r="H333" s="1" t="b">
        <f t="shared" si="40"/>
        <v>0</v>
      </c>
      <c r="I333" s="1" t="s">
        <v>1614</v>
      </c>
      <c r="K333" s="1" t="b">
        <v>1</v>
      </c>
    </row>
    <row r="334" spans="1:11">
      <c r="A334" s="1" t="s">
        <v>596</v>
      </c>
      <c r="B334" s="336" t="str">
        <f>报表附注!E854</f>
        <v>委托加工物资</v>
      </c>
      <c r="C334" s="325">
        <f t="shared" si="41"/>
        <v>0</v>
      </c>
      <c r="D334" s="1" t="b">
        <f t="shared" si="43"/>
        <v>1</v>
      </c>
      <c r="E334" s="325">
        <f t="shared" si="42"/>
        <v>0</v>
      </c>
      <c r="H334" s="1" t="b">
        <f t="shared" si="40"/>
        <v>0</v>
      </c>
      <c r="I334" s="1" t="s">
        <v>1615</v>
      </c>
      <c r="K334" s="1" t="b">
        <v>1</v>
      </c>
    </row>
    <row r="335" spans="1:11">
      <c r="A335" s="1" t="s">
        <v>1608</v>
      </c>
      <c r="B335" s="336" t="str">
        <f>报表附注!E855</f>
        <v>发出商品</v>
      </c>
      <c r="C335" s="325">
        <f t="shared" si="41"/>
        <v>0</v>
      </c>
      <c r="D335" s="1" t="b">
        <f t="shared" si="43"/>
        <v>0</v>
      </c>
      <c r="E335" s="325">
        <f t="shared" si="42"/>
        <v>0</v>
      </c>
      <c r="H335" s="1" t="b">
        <f t="shared" si="40"/>
        <v>0</v>
      </c>
      <c r="I335" s="1" t="s">
        <v>1616</v>
      </c>
      <c r="K335" s="1" t="b">
        <v>1</v>
      </c>
    </row>
    <row r="336" spans="1:11">
      <c r="A336" s="1" t="s">
        <v>1609</v>
      </c>
      <c r="B336" s="336" t="str">
        <f>报表附注!E856</f>
        <v>增加项目1-</v>
      </c>
      <c r="C336" s="325">
        <f t="shared" si="41"/>
        <v>0</v>
      </c>
      <c r="D336" s="1" t="b">
        <f t="shared" si="43"/>
        <v>1</v>
      </c>
      <c r="E336" s="325">
        <f t="shared" si="42"/>
        <v>0</v>
      </c>
      <c r="H336" s="1" t="b">
        <f t="shared" si="40"/>
        <v>0</v>
      </c>
      <c r="I336" s="1" t="s">
        <v>1580</v>
      </c>
      <c r="K336" s="1" t="b">
        <v>1</v>
      </c>
    </row>
    <row r="337" spans="1:11">
      <c r="A337" s="1" t="s">
        <v>1610</v>
      </c>
      <c r="B337" s="336" t="str">
        <f>报表附注!E857</f>
        <v>增加项目2-</v>
      </c>
      <c r="C337" s="325">
        <f t="shared" si="41"/>
        <v>0</v>
      </c>
      <c r="D337" s="1" t="b">
        <f t="shared" si="43"/>
        <v>1</v>
      </c>
      <c r="E337" s="325">
        <f t="shared" si="42"/>
        <v>0</v>
      </c>
      <c r="H337" s="1" t="b">
        <f t="shared" si="40"/>
        <v>0</v>
      </c>
      <c r="I337" s="311" t="s">
        <v>1617</v>
      </c>
      <c r="J337" s="334"/>
      <c r="K337" s="311" t="b">
        <v>1</v>
      </c>
    </row>
    <row r="338" spans="1:11">
      <c r="A338" s="1" t="s">
        <v>1611</v>
      </c>
      <c r="B338" s="336" t="str">
        <f>报表附注!E858</f>
        <v>增加项目3-</v>
      </c>
      <c r="C338" s="325">
        <f t="shared" si="41"/>
        <v>0</v>
      </c>
      <c r="D338" s="1" t="b">
        <f t="shared" si="43"/>
        <v>1</v>
      </c>
      <c r="E338" s="325">
        <f t="shared" si="42"/>
        <v>0</v>
      </c>
      <c r="H338" s="1" t="b">
        <f t="shared" si="40"/>
        <v>0</v>
      </c>
      <c r="I338" s="311" t="s">
        <v>588</v>
      </c>
      <c r="J338" s="334"/>
      <c r="K338" s="311" t="b">
        <v>1</v>
      </c>
    </row>
    <row r="339" spans="1:12">
      <c r="A339" s="1" t="s">
        <v>1612</v>
      </c>
      <c r="B339" s="336" t="str">
        <f>报表附注!E859</f>
        <v>增加项目4-</v>
      </c>
      <c r="C339" s="325">
        <f t="shared" si="41"/>
        <v>0</v>
      </c>
      <c r="D339" s="1" t="b">
        <f t="shared" si="43"/>
        <v>1</v>
      </c>
      <c r="E339" s="325">
        <f t="shared" si="42"/>
        <v>0</v>
      </c>
      <c r="H339" s="1" t="b">
        <f t="shared" si="40"/>
        <v>0</v>
      </c>
      <c r="I339" s="311" t="s">
        <v>590</v>
      </c>
      <c r="J339" s="334"/>
      <c r="K339" s="311" t="b">
        <v>0</v>
      </c>
      <c r="L339" s="311"/>
    </row>
    <row r="340" spans="1:12">
      <c r="A340" s="1" t="s">
        <v>1613</v>
      </c>
      <c r="B340" s="336" t="str">
        <f>报表附注!E860</f>
        <v>增加项目5-</v>
      </c>
      <c r="C340" s="325">
        <f t="shared" si="41"/>
        <v>0</v>
      </c>
      <c r="D340" s="1" t="b">
        <f t="shared" si="43"/>
        <v>1</v>
      </c>
      <c r="E340" s="325">
        <f t="shared" si="42"/>
        <v>0</v>
      </c>
      <c r="H340" s="1" t="b">
        <f t="shared" si="40"/>
        <v>0</v>
      </c>
      <c r="I340" s="311" t="s">
        <v>2604</v>
      </c>
      <c r="J340" s="334"/>
      <c r="K340" s="311" t="b">
        <v>0</v>
      </c>
      <c r="L340" s="311"/>
    </row>
    <row r="341" spans="1:12">
      <c r="A341" s="1" t="s">
        <v>1614</v>
      </c>
      <c r="B341" s="336" t="str">
        <f>报表附注!E861</f>
        <v>增加项目6-</v>
      </c>
      <c r="C341" s="325">
        <f t="shared" si="41"/>
        <v>0</v>
      </c>
      <c r="D341" s="1" t="b">
        <f t="shared" si="43"/>
        <v>1</v>
      </c>
      <c r="E341" s="325">
        <f t="shared" si="42"/>
        <v>0</v>
      </c>
      <c r="H341" s="1" t="b">
        <f t="shared" si="40"/>
        <v>0</v>
      </c>
      <c r="I341" s="311" t="s">
        <v>1607</v>
      </c>
      <c r="J341" s="334"/>
      <c r="K341" s="311" t="b">
        <v>0</v>
      </c>
      <c r="L341" s="311"/>
    </row>
    <row r="342" spans="1:12">
      <c r="A342" s="1" t="s">
        <v>1615</v>
      </c>
      <c r="B342" s="336" t="str">
        <f>报表附注!E862</f>
        <v>增加项目7-</v>
      </c>
      <c r="C342" s="325">
        <f t="shared" si="41"/>
        <v>0</v>
      </c>
      <c r="D342" s="1" t="b">
        <f t="shared" si="43"/>
        <v>1</v>
      </c>
      <c r="E342" s="325">
        <f t="shared" si="42"/>
        <v>0</v>
      </c>
      <c r="H342" s="1" t="b">
        <f t="shared" si="40"/>
        <v>0</v>
      </c>
      <c r="I342" s="311" t="s">
        <v>2605</v>
      </c>
      <c r="J342" s="334"/>
      <c r="K342" s="311" t="b">
        <v>0</v>
      </c>
      <c r="L342" s="311"/>
    </row>
    <row r="343" spans="1:12">
      <c r="A343" s="1" t="s">
        <v>1616</v>
      </c>
      <c r="B343" s="336" t="str">
        <f>报表附注!E863</f>
        <v>增加项目8-</v>
      </c>
      <c r="C343" s="325">
        <f t="shared" si="41"/>
        <v>0</v>
      </c>
      <c r="D343" s="1" t="b">
        <f t="shared" si="43"/>
        <v>1</v>
      </c>
      <c r="E343" s="325">
        <f t="shared" si="42"/>
        <v>0</v>
      </c>
      <c r="H343" s="1" t="b">
        <f t="shared" si="40"/>
        <v>0</v>
      </c>
      <c r="I343" s="311" t="s">
        <v>596</v>
      </c>
      <c r="J343" s="334"/>
      <c r="K343" s="311" t="b">
        <v>1</v>
      </c>
      <c r="L343" s="311"/>
    </row>
    <row r="344" spans="1:12">
      <c r="A344" s="1" t="s">
        <v>1580</v>
      </c>
      <c r="B344" s="324" t="str">
        <f>报表附注!E864</f>
        <v>合计</v>
      </c>
      <c r="C344" s="325">
        <f t="shared" si="41"/>
        <v>0</v>
      </c>
      <c r="D344" s="1" t="b">
        <f t="shared" si="43"/>
        <v>1</v>
      </c>
      <c r="E344" s="325">
        <f t="shared" si="42"/>
        <v>0</v>
      </c>
      <c r="H344" s="1" t="b">
        <f t="shared" si="40"/>
        <v>0</v>
      </c>
      <c r="I344" s="311">
        <v>0</v>
      </c>
      <c r="J344" s="334"/>
      <c r="K344" s="311" t="b">
        <v>0</v>
      </c>
      <c r="L344" s="311"/>
    </row>
    <row r="345" s="311" customFormat="1" spans="1:11">
      <c r="A345" s="311" t="s">
        <v>1617</v>
      </c>
      <c r="B345" s="345" t="s">
        <v>1617</v>
      </c>
      <c r="C345" s="315">
        <f t="shared" si="41"/>
        <v>0</v>
      </c>
      <c r="D345" s="1" t="b">
        <f t="shared" si="43"/>
        <v>1</v>
      </c>
      <c r="E345" s="325">
        <f t="shared" si="42"/>
        <v>0</v>
      </c>
      <c r="F345" s="1"/>
      <c r="H345" s="1" t="b">
        <f t="shared" si="40"/>
        <v>0</v>
      </c>
      <c r="I345" s="311" t="s">
        <v>4576</v>
      </c>
      <c r="J345" s="334"/>
      <c r="K345" s="311" t="b">
        <v>1</v>
      </c>
    </row>
    <row r="346" s="311" customFormat="1" spans="1:11">
      <c r="A346" s="311" t="s">
        <v>588</v>
      </c>
      <c r="B346" s="346" t="str">
        <f>报表附注!E849</f>
        <v>原材料</v>
      </c>
      <c r="C346" s="325">
        <f t="shared" si="41"/>
        <v>0</v>
      </c>
      <c r="D346" s="1" t="b">
        <f t="shared" si="43"/>
        <v>1</v>
      </c>
      <c r="E346" s="325">
        <f t="shared" si="42"/>
        <v>0</v>
      </c>
      <c r="F346" s="1"/>
      <c r="H346" s="1" t="b">
        <f t="shared" si="40"/>
        <v>0</v>
      </c>
      <c r="I346" s="311" t="s">
        <v>1610</v>
      </c>
      <c r="J346" s="334"/>
      <c r="K346" s="311" t="b">
        <v>1</v>
      </c>
    </row>
    <row r="347" s="311" customFormat="1" spans="1:11">
      <c r="A347" s="311" t="s">
        <v>1606</v>
      </c>
      <c r="B347" s="346" t="str">
        <f>报表附注!E850</f>
        <v>在产品</v>
      </c>
      <c r="C347" s="325">
        <f t="shared" si="41"/>
        <v>0</v>
      </c>
      <c r="D347" s="1" t="b">
        <f t="shared" si="43"/>
        <v>0</v>
      </c>
      <c r="E347" s="325">
        <f t="shared" si="42"/>
        <v>0</v>
      </c>
      <c r="F347" s="1"/>
      <c r="H347" s="1" t="b">
        <f t="shared" si="40"/>
        <v>0</v>
      </c>
      <c r="I347" s="311" t="s">
        <v>1611</v>
      </c>
      <c r="J347" s="334"/>
      <c r="K347" s="311" t="b">
        <v>1</v>
      </c>
    </row>
    <row r="348" s="311" customFormat="1" spans="1:11">
      <c r="A348" s="311" t="s">
        <v>592</v>
      </c>
      <c r="B348" s="346" t="str">
        <f>报表附注!E851</f>
        <v>产成品</v>
      </c>
      <c r="C348" s="325">
        <f t="shared" si="41"/>
        <v>0</v>
      </c>
      <c r="D348" s="1" t="b">
        <f t="shared" si="43"/>
        <v>0</v>
      </c>
      <c r="E348" s="325">
        <f t="shared" si="42"/>
        <v>0</v>
      </c>
      <c r="F348" s="1"/>
      <c r="H348" s="1" t="b">
        <f t="shared" si="40"/>
        <v>0</v>
      </c>
      <c r="I348" s="311" t="s">
        <v>1612</v>
      </c>
      <c r="J348" s="334"/>
      <c r="K348" s="311" t="b">
        <v>1</v>
      </c>
    </row>
    <row r="349" s="311" customFormat="1" spans="1:11">
      <c r="A349" s="311" t="s">
        <v>586</v>
      </c>
      <c r="B349" s="346" t="str">
        <f>报表附注!E852</f>
        <v>低值易耗品</v>
      </c>
      <c r="C349" s="325">
        <f t="shared" si="41"/>
        <v>0</v>
      </c>
      <c r="D349" s="1" t="b">
        <f t="shared" si="43"/>
        <v>0</v>
      </c>
      <c r="E349" s="325">
        <f t="shared" si="42"/>
        <v>0</v>
      </c>
      <c r="F349" s="1"/>
      <c r="H349" s="1" t="b">
        <f t="shared" si="40"/>
        <v>0</v>
      </c>
      <c r="I349" s="311" t="s">
        <v>1613</v>
      </c>
      <c r="J349" s="334"/>
      <c r="K349" s="311" t="b">
        <v>1</v>
      </c>
    </row>
    <row r="350" s="311" customFormat="1" spans="1:11">
      <c r="A350" s="311" t="s">
        <v>1607</v>
      </c>
      <c r="B350" s="346" t="str">
        <f>报表附注!E853</f>
        <v>包装物</v>
      </c>
      <c r="C350" s="325">
        <f t="shared" si="41"/>
        <v>0</v>
      </c>
      <c r="D350" s="1" t="b">
        <f t="shared" si="43"/>
        <v>0</v>
      </c>
      <c r="E350" s="325">
        <f t="shared" si="42"/>
        <v>0</v>
      </c>
      <c r="F350" s="1"/>
      <c r="H350" s="1" t="b">
        <f t="shared" si="40"/>
        <v>0</v>
      </c>
      <c r="I350" s="311" t="s">
        <v>1614</v>
      </c>
      <c r="J350" s="334"/>
      <c r="K350" s="311" t="b">
        <v>1</v>
      </c>
    </row>
    <row r="351" s="311" customFormat="1" spans="1:11">
      <c r="A351" s="311" t="s">
        <v>596</v>
      </c>
      <c r="B351" s="346" t="str">
        <f>报表附注!E854</f>
        <v>委托加工物资</v>
      </c>
      <c r="C351" s="325">
        <f t="shared" si="41"/>
        <v>0</v>
      </c>
      <c r="D351" s="1" t="b">
        <f t="shared" si="43"/>
        <v>1</v>
      </c>
      <c r="E351" s="325">
        <f t="shared" si="42"/>
        <v>0</v>
      </c>
      <c r="F351" s="1"/>
      <c r="H351" s="1" t="b">
        <f t="shared" si="40"/>
        <v>0</v>
      </c>
      <c r="I351" s="311" t="s">
        <v>1615</v>
      </c>
      <c r="J351" s="334"/>
      <c r="K351" s="311" t="b">
        <v>1</v>
      </c>
    </row>
    <row r="352" s="311" customFormat="1" spans="1:11">
      <c r="A352" s="311" t="s">
        <v>1608</v>
      </c>
      <c r="B352" s="346" t="str">
        <f>报表附注!E855</f>
        <v>发出商品</v>
      </c>
      <c r="C352" s="325">
        <f t="shared" si="41"/>
        <v>0</v>
      </c>
      <c r="D352" s="1" t="b">
        <f t="shared" si="43"/>
        <v>0</v>
      </c>
      <c r="E352" s="325">
        <f t="shared" si="42"/>
        <v>0</v>
      </c>
      <c r="F352" s="1"/>
      <c r="H352" s="1" t="b">
        <f t="shared" si="40"/>
        <v>0</v>
      </c>
      <c r="I352" s="311" t="s">
        <v>1616</v>
      </c>
      <c r="J352" s="334"/>
      <c r="K352" s="311" t="b">
        <v>1</v>
      </c>
    </row>
    <row r="353" s="311" customFormat="1" spans="1:11">
      <c r="A353" s="311" t="s">
        <v>1609</v>
      </c>
      <c r="B353" s="346" t="str">
        <f>报表附注!E856</f>
        <v>增加项目1-</v>
      </c>
      <c r="C353" s="325">
        <f t="shared" si="41"/>
        <v>0</v>
      </c>
      <c r="D353" s="1" t="b">
        <f t="shared" si="43"/>
        <v>1</v>
      </c>
      <c r="E353" s="325">
        <f t="shared" si="42"/>
        <v>0</v>
      </c>
      <c r="F353" s="1"/>
      <c r="H353" s="1" t="b">
        <f t="shared" si="40"/>
        <v>0</v>
      </c>
      <c r="I353" s="311" t="s">
        <v>1580</v>
      </c>
      <c r="J353" s="334"/>
      <c r="K353" s="311" t="b">
        <v>1</v>
      </c>
    </row>
    <row r="354" s="311" customFormat="1" spans="1:11">
      <c r="A354" s="311" t="s">
        <v>1610</v>
      </c>
      <c r="B354" s="346" t="str">
        <f>报表附注!E857</f>
        <v>增加项目2-</v>
      </c>
      <c r="C354" s="325">
        <f t="shared" si="41"/>
        <v>0</v>
      </c>
      <c r="D354" s="1" t="b">
        <f t="shared" si="43"/>
        <v>1</v>
      </c>
      <c r="E354" s="325">
        <f t="shared" si="42"/>
        <v>0</v>
      </c>
      <c r="F354" s="1"/>
      <c r="H354" s="1" t="b">
        <f t="shared" si="40"/>
        <v>0</v>
      </c>
      <c r="I354" s="311" t="s">
        <v>1618</v>
      </c>
      <c r="J354" s="334"/>
      <c r="K354" s="311" t="b">
        <v>1</v>
      </c>
    </row>
    <row r="355" s="311" customFormat="1" spans="1:11">
      <c r="A355" s="311" t="s">
        <v>1611</v>
      </c>
      <c r="B355" s="346" t="str">
        <f>报表附注!E858</f>
        <v>增加项目3-</v>
      </c>
      <c r="C355" s="325">
        <f t="shared" si="41"/>
        <v>0</v>
      </c>
      <c r="D355" s="1" t="b">
        <f t="shared" si="43"/>
        <v>1</v>
      </c>
      <c r="E355" s="325">
        <f t="shared" si="42"/>
        <v>0</v>
      </c>
      <c r="F355" s="1"/>
      <c r="H355" s="1" t="b">
        <f t="shared" si="40"/>
        <v>0</v>
      </c>
      <c r="I355" s="311" t="s">
        <v>588</v>
      </c>
      <c r="J355" s="334"/>
      <c r="K355" s="311" t="b">
        <v>1</v>
      </c>
    </row>
    <row r="356" s="311" customFormat="1" spans="1:11">
      <c r="A356" s="311" t="s">
        <v>1612</v>
      </c>
      <c r="B356" s="346" t="str">
        <f>报表附注!E859</f>
        <v>增加项目4-</v>
      </c>
      <c r="C356" s="325">
        <f t="shared" si="41"/>
        <v>0</v>
      </c>
      <c r="D356" s="1" t="b">
        <f t="shared" si="43"/>
        <v>1</v>
      </c>
      <c r="E356" s="325">
        <f t="shared" si="42"/>
        <v>0</v>
      </c>
      <c r="F356" s="1"/>
      <c r="H356" s="1" t="b">
        <f t="shared" si="40"/>
        <v>0</v>
      </c>
      <c r="I356" s="311" t="s">
        <v>590</v>
      </c>
      <c r="J356" s="334"/>
      <c r="K356" s="311" t="b">
        <v>0</v>
      </c>
    </row>
    <row r="357" s="311" customFormat="1" spans="1:11">
      <c r="A357" s="311" t="s">
        <v>1613</v>
      </c>
      <c r="B357" s="346" t="str">
        <f>报表附注!E860</f>
        <v>增加项目5-</v>
      </c>
      <c r="C357" s="325">
        <f t="shared" si="41"/>
        <v>0</v>
      </c>
      <c r="D357" s="1" t="b">
        <f t="shared" si="43"/>
        <v>1</v>
      </c>
      <c r="E357" s="325">
        <f t="shared" si="42"/>
        <v>0</v>
      </c>
      <c r="F357" s="1"/>
      <c r="H357" s="1" t="b">
        <f t="shared" si="40"/>
        <v>0</v>
      </c>
      <c r="I357" s="311" t="s">
        <v>2604</v>
      </c>
      <c r="J357" s="334"/>
      <c r="K357" s="311" t="b">
        <v>0</v>
      </c>
    </row>
    <row r="358" s="311" customFormat="1" spans="1:11">
      <c r="A358" s="311" t="s">
        <v>1614</v>
      </c>
      <c r="B358" s="346" t="str">
        <f>报表附注!E861</f>
        <v>增加项目6-</v>
      </c>
      <c r="C358" s="325">
        <f t="shared" si="41"/>
        <v>0</v>
      </c>
      <c r="D358" s="1" t="b">
        <f t="shared" si="43"/>
        <v>1</v>
      </c>
      <c r="E358" s="325">
        <f t="shared" si="42"/>
        <v>0</v>
      </c>
      <c r="F358" s="1"/>
      <c r="H358" s="1" t="b">
        <f t="shared" si="40"/>
        <v>0</v>
      </c>
      <c r="I358" s="311" t="s">
        <v>1607</v>
      </c>
      <c r="J358" s="334"/>
      <c r="K358" s="311" t="b">
        <v>0</v>
      </c>
    </row>
    <row r="359" s="311" customFormat="1" spans="1:11">
      <c r="A359" s="311" t="s">
        <v>1615</v>
      </c>
      <c r="B359" s="346" t="str">
        <f>报表附注!E862</f>
        <v>增加项目7-</v>
      </c>
      <c r="C359" s="325">
        <f t="shared" si="41"/>
        <v>0</v>
      </c>
      <c r="D359" s="1" t="b">
        <f t="shared" si="43"/>
        <v>1</v>
      </c>
      <c r="E359" s="325">
        <f t="shared" si="42"/>
        <v>0</v>
      </c>
      <c r="F359" s="1"/>
      <c r="H359" s="1" t="b">
        <f t="shared" si="40"/>
        <v>0</v>
      </c>
      <c r="I359" s="311" t="s">
        <v>2605</v>
      </c>
      <c r="J359" s="334"/>
      <c r="K359" s="311" t="b">
        <v>0</v>
      </c>
    </row>
    <row r="360" s="311" customFormat="1" spans="1:11">
      <c r="A360" s="311" t="s">
        <v>1616</v>
      </c>
      <c r="B360" s="346" t="str">
        <f>报表附注!E863</f>
        <v>增加项目8-</v>
      </c>
      <c r="C360" s="325">
        <f t="shared" si="41"/>
        <v>0</v>
      </c>
      <c r="D360" s="1" t="b">
        <f t="shared" si="43"/>
        <v>1</v>
      </c>
      <c r="E360" s="325">
        <f t="shared" si="42"/>
        <v>0</v>
      </c>
      <c r="F360" s="1"/>
      <c r="H360" s="1" t="b">
        <f t="shared" si="40"/>
        <v>0</v>
      </c>
      <c r="I360" s="311" t="s">
        <v>596</v>
      </c>
      <c r="J360" s="334"/>
      <c r="K360" s="311" t="b">
        <v>1</v>
      </c>
    </row>
    <row r="361" s="311" customFormat="1" spans="1:11">
      <c r="A361" s="311" t="s">
        <v>1580</v>
      </c>
      <c r="B361" s="324" t="str">
        <f>报表附注!E864</f>
        <v>合计</v>
      </c>
      <c r="C361" s="325">
        <f t="shared" si="41"/>
        <v>0</v>
      </c>
      <c r="D361" s="1" t="b">
        <f t="shared" si="43"/>
        <v>1</v>
      </c>
      <c r="E361" s="325">
        <f t="shared" si="42"/>
        <v>0</v>
      </c>
      <c r="F361" s="1"/>
      <c r="H361" s="1" t="b">
        <f t="shared" si="40"/>
        <v>0</v>
      </c>
      <c r="I361" s="311">
        <v>0</v>
      </c>
      <c r="J361" s="334"/>
      <c r="K361" s="311" t="b">
        <v>0</v>
      </c>
    </row>
    <row r="362" s="311" customFormat="1" spans="1:11">
      <c r="A362" s="311" t="s">
        <v>1618</v>
      </c>
      <c r="B362" s="345" t="s">
        <v>1618</v>
      </c>
      <c r="C362" s="315"/>
      <c r="D362" s="1" t="b">
        <f t="shared" si="43"/>
        <v>1</v>
      </c>
      <c r="E362" s="315"/>
      <c r="F362" s="1"/>
      <c r="H362" s="1" t="b">
        <f t="shared" si="40"/>
        <v>0</v>
      </c>
      <c r="I362" s="311" t="s">
        <v>4576</v>
      </c>
      <c r="J362" s="334"/>
      <c r="K362" s="311" t="b">
        <v>1</v>
      </c>
    </row>
    <row r="363" s="311" customFormat="1" spans="1:11">
      <c r="A363" s="311" t="s">
        <v>588</v>
      </c>
      <c r="B363" s="346" t="str">
        <f>报表附注!E849</f>
        <v>原材料</v>
      </c>
      <c r="C363" s="325">
        <f t="shared" ref="C363:C378" si="44">J355</f>
        <v>0</v>
      </c>
      <c r="D363" s="1" t="b">
        <f t="shared" si="43"/>
        <v>1</v>
      </c>
      <c r="E363" s="315"/>
      <c r="F363" s="1"/>
      <c r="H363" s="1" t="b">
        <f t="shared" si="40"/>
        <v>0</v>
      </c>
      <c r="I363" s="311" t="s">
        <v>1610</v>
      </c>
      <c r="J363" s="334"/>
      <c r="K363" s="311" t="b">
        <v>1</v>
      </c>
    </row>
    <row r="364" s="311" customFormat="1" spans="1:11">
      <c r="A364" s="311" t="s">
        <v>1606</v>
      </c>
      <c r="B364" s="346" t="str">
        <f>报表附注!E850</f>
        <v>在产品</v>
      </c>
      <c r="C364" s="325">
        <f t="shared" si="44"/>
        <v>0</v>
      </c>
      <c r="D364" s="1" t="b">
        <f t="shared" si="43"/>
        <v>0</v>
      </c>
      <c r="E364" s="315"/>
      <c r="F364" s="1"/>
      <c r="H364" s="1" t="b">
        <f t="shared" si="40"/>
        <v>0</v>
      </c>
      <c r="I364" s="311" t="s">
        <v>1611</v>
      </c>
      <c r="J364" s="334"/>
      <c r="K364" s="311" t="b">
        <v>1</v>
      </c>
    </row>
    <row r="365" s="311" customFormat="1" spans="1:11">
      <c r="A365" s="311" t="s">
        <v>592</v>
      </c>
      <c r="B365" s="346" t="str">
        <f>报表附注!E851</f>
        <v>产成品</v>
      </c>
      <c r="C365" s="325">
        <f t="shared" si="44"/>
        <v>0</v>
      </c>
      <c r="D365" s="1" t="b">
        <f t="shared" si="43"/>
        <v>0</v>
      </c>
      <c r="E365" s="315"/>
      <c r="F365" s="1"/>
      <c r="H365" s="1" t="b">
        <f t="shared" si="40"/>
        <v>0</v>
      </c>
      <c r="I365" s="311" t="s">
        <v>1612</v>
      </c>
      <c r="J365" s="334"/>
      <c r="K365" s="311" t="b">
        <v>1</v>
      </c>
    </row>
    <row r="366" s="311" customFormat="1" spans="1:11">
      <c r="A366" s="311" t="s">
        <v>586</v>
      </c>
      <c r="B366" s="346" t="str">
        <f>报表附注!E852</f>
        <v>低值易耗品</v>
      </c>
      <c r="C366" s="325">
        <f t="shared" si="44"/>
        <v>0</v>
      </c>
      <c r="D366" s="1" t="b">
        <f t="shared" si="43"/>
        <v>0</v>
      </c>
      <c r="E366" s="315"/>
      <c r="F366" s="1"/>
      <c r="H366" s="1" t="b">
        <f t="shared" si="40"/>
        <v>0</v>
      </c>
      <c r="I366" s="311" t="s">
        <v>1613</v>
      </c>
      <c r="J366" s="334"/>
      <c r="K366" s="311" t="b">
        <v>1</v>
      </c>
    </row>
    <row r="367" s="311" customFormat="1" spans="1:11">
      <c r="A367" s="311" t="s">
        <v>1607</v>
      </c>
      <c r="B367" s="346" t="str">
        <f>报表附注!E853</f>
        <v>包装物</v>
      </c>
      <c r="C367" s="325">
        <f t="shared" si="44"/>
        <v>0</v>
      </c>
      <c r="D367" s="1" t="b">
        <f t="shared" si="43"/>
        <v>0</v>
      </c>
      <c r="E367" s="315"/>
      <c r="F367" s="1"/>
      <c r="H367" s="1" t="b">
        <f t="shared" si="40"/>
        <v>0</v>
      </c>
      <c r="I367" s="311" t="s">
        <v>1614</v>
      </c>
      <c r="J367" s="334"/>
      <c r="K367" s="311" t="b">
        <v>1</v>
      </c>
    </row>
    <row r="368" s="311" customFormat="1" spans="1:11">
      <c r="A368" s="311" t="s">
        <v>596</v>
      </c>
      <c r="B368" s="346" t="str">
        <f>报表附注!E854</f>
        <v>委托加工物资</v>
      </c>
      <c r="C368" s="325">
        <f t="shared" si="44"/>
        <v>0</v>
      </c>
      <c r="D368" s="1" t="b">
        <f t="shared" si="43"/>
        <v>1</v>
      </c>
      <c r="E368" s="315"/>
      <c r="F368" s="1"/>
      <c r="H368" s="1" t="b">
        <f t="shared" si="40"/>
        <v>0</v>
      </c>
      <c r="I368" s="311" t="s">
        <v>1615</v>
      </c>
      <c r="J368" s="334"/>
      <c r="K368" s="311" t="b">
        <v>1</v>
      </c>
    </row>
    <row r="369" s="311" customFormat="1" spans="1:11">
      <c r="A369" s="311" t="s">
        <v>1608</v>
      </c>
      <c r="B369" s="346" t="str">
        <f>报表附注!E855</f>
        <v>发出商品</v>
      </c>
      <c r="C369" s="325">
        <f t="shared" si="44"/>
        <v>0</v>
      </c>
      <c r="D369" s="1" t="b">
        <f t="shared" si="43"/>
        <v>0</v>
      </c>
      <c r="E369" s="315"/>
      <c r="F369" s="1"/>
      <c r="H369" s="1" t="b">
        <f t="shared" si="40"/>
        <v>0</v>
      </c>
      <c r="I369" s="311" t="s">
        <v>1616</v>
      </c>
      <c r="J369" s="334"/>
      <c r="K369" s="311" t="b">
        <v>1</v>
      </c>
    </row>
    <row r="370" s="311" customFormat="1" spans="1:11">
      <c r="A370" s="311" t="s">
        <v>1609</v>
      </c>
      <c r="B370" s="346" t="str">
        <f>报表附注!E856</f>
        <v>增加项目1-</v>
      </c>
      <c r="C370" s="325">
        <f t="shared" si="44"/>
        <v>0</v>
      </c>
      <c r="D370" s="1" t="b">
        <f t="shared" si="43"/>
        <v>1</v>
      </c>
      <c r="E370" s="315"/>
      <c r="F370" s="1"/>
      <c r="H370" s="1" t="b">
        <f t="shared" si="40"/>
        <v>0</v>
      </c>
      <c r="I370" s="311" t="s">
        <v>1580</v>
      </c>
      <c r="J370" s="334"/>
      <c r="K370" s="311" t="b">
        <v>1</v>
      </c>
    </row>
    <row r="371" s="311" customFormat="1" spans="1:11">
      <c r="A371" s="311" t="s">
        <v>1610</v>
      </c>
      <c r="B371" s="346" t="str">
        <f>报表附注!E857</f>
        <v>增加项目2-</v>
      </c>
      <c r="C371" s="325">
        <f t="shared" si="44"/>
        <v>0</v>
      </c>
      <c r="D371" s="1" t="b">
        <f t="shared" si="43"/>
        <v>1</v>
      </c>
      <c r="E371" s="315"/>
      <c r="F371" s="1"/>
      <c r="H371" s="1" t="b">
        <f t="shared" si="40"/>
        <v>0</v>
      </c>
      <c r="I371" s="1" t="s">
        <v>1619</v>
      </c>
      <c r="J371" s="314"/>
      <c r="K371" s="1" t="b">
        <v>1</v>
      </c>
    </row>
    <row r="372" s="311" customFormat="1" spans="1:11">
      <c r="A372" s="311" t="s">
        <v>1611</v>
      </c>
      <c r="B372" s="346" t="str">
        <f>报表附注!E858</f>
        <v>增加项目3-</v>
      </c>
      <c r="C372" s="325">
        <f t="shared" si="44"/>
        <v>0</v>
      </c>
      <c r="D372" s="1" t="b">
        <f t="shared" si="43"/>
        <v>1</v>
      </c>
      <c r="E372" s="315"/>
      <c r="F372" s="1"/>
      <c r="H372" s="1" t="b">
        <f t="shared" si="40"/>
        <v>0</v>
      </c>
      <c r="I372" s="1" t="s">
        <v>588</v>
      </c>
      <c r="J372" s="314"/>
      <c r="K372" s="1" t="b">
        <v>1</v>
      </c>
    </row>
    <row r="373" s="311" customFormat="1" spans="1:12">
      <c r="A373" s="311" t="s">
        <v>1612</v>
      </c>
      <c r="B373" s="346" t="str">
        <f>报表附注!E859</f>
        <v>增加项目4-</v>
      </c>
      <c r="C373" s="325">
        <f t="shared" si="44"/>
        <v>0</v>
      </c>
      <c r="D373" s="1" t="b">
        <f t="shared" si="43"/>
        <v>1</v>
      </c>
      <c r="E373" s="315"/>
      <c r="F373" s="1"/>
      <c r="H373" s="1" t="b">
        <f t="shared" si="40"/>
        <v>0</v>
      </c>
      <c r="I373" s="1" t="s">
        <v>590</v>
      </c>
      <c r="J373" s="314"/>
      <c r="K373" s="1" t="b">
        <v>0</v>
      </c>
      <c r="L373" s="1"/>
    </row>
    <row r="374" s="311" customFormat="1" spans="1:12">
      <c r="A374" s="311" t="s">
        <v>1613</v>
      </c>
      <c r="B374" s="346" t="str">
        <f>报表附注!E860</f>
        <v>增加项目5-</v>
      </c>
      <c r="C374" s="325">
        <f t="shared" si="44"/>
        <v>0</v>
      </c>
      <c r="D374" s="1" t="b">
        <f t="shared" si="43"/>
        <v>1</v>
      </c>
      <c r="E374" s="315"/>
      <c r="F374" s="1"/>
      <c r="H374" s="1" t="b">
        <f t="shared" si="40"/>
        <v>0</v>
      </c>
      <c r="I374" s="1" t="s">
        <v>2604</v>
      </c>
      <c r="J374" s="314"/>
      <c r="K374" s="1" t="b">
        <v>0</v>
      </c>
      <c r="L374" s="1"/>
    </row>
    <row r="375" s="311" customFormat="1" spans="1:12">
      <c r="A375" s="311" t="s">
        <v>1614</v>
      </c>
      <c r="B375" s="346" t="str">
        <f>报表附注!E861</f>
        <v>增加项目6-</v>
      </c>
      <c r="C375" s="325">
        <f t="shared" si="44"/>
        <v>0</v>
      </c>
      <c r="D375" s="1" t="b">
        <f t="shared" si="43"/>
        <v>1</v>
      </c>
      <c r="E375" s="315"/>
      <c r="F375" s="1"/>
      <c r="H375" s="1" t="b">
        <f t="shared" si="40"/>
        <v>0</v>
      </c>
      <c r="I375" s="1" t="s">
        <v>1607</v>
      </c>
      <c r="J375" s="314"/>
      <c r="K375" s="1" t="b">
        <v>0</v>
      </c>
      <c r="L375" s="1"/>
    </row>
    <row r="376" s="311" customFormat="1" spans="1:12">
      <c r="A376" s="311" t="s">
        <v>1615</v>
      </c>
      <c r="B376" s="346" t="str">
        <f>报表附注!E862</f>
        <v>增加项目7-</v>
      </c>
      <c r="C376" s="325">
        <f t="shared" si="44"/>
        <v>0</v>
      </c>
      <c r="D376" s="1" t="b">
        <f t="shared" si="43"/>
        <v>1</v>
      </c>
      <c r="E376" s="315"/>
      <c r="F376" s="1"/>
      <c r="H376" s="1" t="b">
        <f t="shared" si="40"/>
        <v>0</v>
      </c>
      <c r="I376" s="1" t="s">
        <v>2605</v>
      </c>
      <c r="J376" s="314"/>
      <c r="K376" s="1" t="b">
        <v>0</v>
      </c>
      <c r="L376" s="1"/>
    </row>
    <row r="377" s="311" customFormat="1" spans="1:12">
      <c r="A377" s="311" t="s">
        <v>1616</v>
      </c>
      <c r="B377" s="346" t="str">
        <f>报表附注!E863</f>
        <v>增加项目8-</v>
      </c>
      <c r="C377" s="325">
        <f t="shared" si="44"/>
        <v>0</v>
      </c>
      <c r="D377" s="1" t="b">
        <f t="shared" si="43"/>
        <v>1</v>
      </c>
      <c r="E377" s="315"/>
      <c r="F377" s="1"/>
      <c r="H377" s="1" t="b">
        <f t="shared" si="40"/>
        <v>0</v>
      </c>
      <c r="I377" s="1" t="s">
        <v>596</v>
      </c>
      <c r="J377" s="314"/>
      <c r="K377" s="1" t="b">
        <v>1</v>
      </c>
      <c r="L377" s="1"/>
    </row>
    <row r="378" s="311" customFormat="1" spans="1:12">
      <c r="A378" s="311" t="s">
        <v>1580</v>
      </c>
      <c r="B378" s="324" t="str">
        <f>报表附注!E864</f>
        <v>合计</v>
      </c>
      <c r="C378" s="325">
        <f t="shared" si="44"/>
        <v>0</v>
      </c>
      <c r="D378" s="1" t="b">
        <f t="shared" si="43"/>
        <v>1</v>
      </c>
      <c r="E378" s="315"/>
      <c r="F378" s="1"/>
      <c r="H378" s="1" t="b">
        <f t="shared" si="40"/>
        <v>0</v>
      </c>
      <c r="I378" s="1">
        <v>0</v>
      </c>
      <c r="J378" s="314"/>
      <c r="K378" s="1" t="b">
        <v>0</v>
      </c>
      <c r="L378" s="1"/>
    </row>
    <row r="379" spans="1:11">
      <c r="A379" s="1" t="s">
        <v>1619</v>
      </c>
      <c r="B379" s="332" t="s">
        <v>1619</v>
      </c>
      <c r="D379" s="1" t="b">
        <f t="shared" si="43"/>
        <v>1</v>
      </c>
      <c r="E379" s="311"/>
      <c r="H379" s="1" t="b">
        <f t="shared" si="40"/>
        <v>0</v>
      </c>
      <c r="I379" s="1" t="s">
        <v>4576</v>
      </c>
      <c r="K379" s="1" t="b">
        <v>1</v>
      </c>
    </row>
    <row r="380" spans="1:11">
      <c r="A380" s="1" t="s">
        <v>588</v>
      </c>
      <c r="B380" s="336" t="str">
        <f>报表附注!E849</f>
        <v>原材料</v>
      </c>
      <c r="C380" s="325">
        <f t="shared" ref="C380:C395" si="45">J372</f>
        <v>0</v>
      </c>
      <c r="D380" s="1" t="b">
        <f t="shared" si="43"/>
        <v>1</v>
      </c>
      <c r="E380" s="315"/>
      <c r="H380" s="1" t="b">
        <f t="shared" si="40"/>
        <v>0</v>
      </c>
      <c r="I380" s="1" t="s">
        <v>1610</v>
      </c>
      <c r="K380" s="1" t="b">
        <v>1</v>
      </c>
    </row>
    <row r="381" spans="1:11">
      <c r="A381" s="1" t="s">
        <v>1606</v>
      </c>
      <c r="B381" s="336" t="str">
        <f>报表附注!E850</f>
        <v>在产品</v>
      </c>
      <c r="C381" s="325">
        <f t="shared" si="45"/>
        <v>0</v>
      </c>
      <c r="D381" s="1" t="b">
        <f t="shared" si="43"/>
        <v>0</v>
      </c>
      <c r="E381" s="315"/>
      <c r="H381" s="1" t="b">
        <f t="shared" si="40"/>
        <v>0</v>
      </c>
      <c r="I381" s="1" t="s">
        <v>1611</v>
      </c>
      <c r="K381" s="1" t="b">
        <v>1</v>
      </c>
    </row>
    <row r="382" spans="1:11">
      <c r="A382" s="1" t="s">
        <v>592</v>
      </c>
      <c r="B382" s="336" t="str">
        <f>报表附注!E851</f>
        <v>产成品</v>
      </c>
      <c r="C382" s="325">
        <f t="shared" si="45"/>
        <v>0</v>
      </c>
      <c r="D382" s="1" t="b">
        <f t="shared" si="43"/>
        <v>0</v>
      </c>
      <c r="E382" s="315"/>
      <c r="H382" s="1" t="b">
        <f t="shared" si="40"/>
        <v>0</v>
      </c>
      <c r="I382" s="1" t="s">
        <v>1612</v>
      </c>
      <c r="K382" s="1" t="b">
        <v>1</v>
      </c>
    </row>
    <row r="383" spans="1:11">
      <c r="A383" s="1" t="s">
        <v>586</v>
      </c>
      <c r="B383" s="336" t="str">
        <f>报表附注!E852</f>
        <v>低值易耗品</v>
      </c>
      <c r="C383" s="325">
        <f t="shared" si="45"/>
        <v>0</v>
      </c>
      <c r="D383" s="1" t="b">
        <f t="shared" si="43"/>
        <v>0</v>
      </c>
      <c r="E383" s="315"/>
      <c r="H383" s="1" t="b">
        <f t="shared" si="40"/>
        <v>0</v>
      </c>
      <c r="I383" s="1" t="s">
        <v>1613</v>
      </c>
      <c r="K383" s="1" t="b">
        <v>1</v>
      </c>
    </row>
    <row r="384" spans="1:11">
      <c r="A384" s="1" t="s">
        <v>1607</v>
      </c>
      <c r="B384" s="336" t="str">
        <f>报表附注!E853</f>
        <v>包装物</v>
      </c>
      <c r="C384" s="325">
        <f t="shared" si="45"/>
        <v>0</v>
      </c>
      <c r="D384" s="1" t="b">
        <f t="shared" si="43"/>
        <v>0</v>
      </c>
      <c r="E384" s="315"/>
      <c r="H384" s="1" t="b">
        <f t="shared" si="40"/>
        <v>0</v>
      </c>
      <c r="I384" s="1" t="s">
        <v>1614</v>
      </c>
      <c r="K384" s="1" t="b">
        <v>1</v>
      </c>
    </row>
    <row r="385" spans="1:11">
      <c r="A385" s="1" t="s">
        <v>596</v>
      </c>
      <c r="B385" s="336" t="str">
        <f>报表附注!E854</f>
        <v>委托加工物资</v>
      </c>
      <c r="C385" s="325">
        <f t="shared" si="45"/>
        <v>0</v>
      </c>
      <c r="D385" s="1" t="b">
        <f t="shared" si="43"/>
        <v>1</v>
      </c>
      <c r="E385" s="315"/>
      <c r="H385" s="1" t="b">
        <f t="shared" si="40"/>
        <v>0</v>
      </c>
      <c r="I385" s="1" t="s">
        <v>1615</v>
      </c>
      <c r="K385" s="1" t="b">
        <v>1</v>
      </c>
    </row>
    <row r="386" spans="1:11">
      <c r="A386" s="1" t="s">
        <v>1608</v>
      </c>
      <c r="B386" s="336" t="str">
        <f>报表附注!E855</f>
        <v>发出商品</v>
      </c>
      <c r="C386" s="325">
        <f t="shared" si="45"/>
        <v>0</v>
      </c>
      <c r="D386" s="1" t="b">
        <f t="shared" si="43"/>
        <v>0</v>
      </c>
      <c r="E386" s="315"/>
      <c r="H386" s="1" t="b">
        <f t="shared" si="40"/>
        <v>0</v>
      </c>
      <c r="I386" s="1" t="s">
        <v>1616</v>
      </c>
      <c r="K386" s="1" t="b">
        <v>1</v>
      </c>
    </row>
    <row r="387" spans="1:11">
      <c r="A387" s="1" t="s">
        <v>1609</v>
      </c>
      <c r="B387" s="336" t="str">
        <f>报表附注!E856</f>
        <v>增加项目1-</v>
      </c>
      <c r="C387" s="325">
        <f t="shared" si="45"/>
        <v>0</v>
      </c>
      <c r="D387" s="1" t="b">
        <f t="shared" si="43"/>
        <v>1</v>
      </c>
      <c r="E387" s="315"/>
      <c r="H387" s="1" t="b">
        <f t="shared" si="40"/>
        <v>0</v>
      </c>
      <c r="I387" s="1" t="s">
        <v>1580</v>
      </c>
      <c r="K387" s="1" t="b">
        <v>1</v>
      </c>
    </row>
    <row r="388" spans="1:11">
      <c r="A388" s="1" t="s">
        <v>1610</v>
      </c>
      <c r="B388" s="336" t="str">
        <f>报表附注!E857</f>
        <v>增加项目2-</v>
      </c>
      <c r="C388" s="325">
        <f t="shared" si="45"/>
        <v>0</v>
      </c>
      <c r="D388" s="1" t="b">
        <f t="shared" si="43"/>
        <v>1</v>
      </c>
      <c r="E388" s="315"/>
      <c r="H388" s="1" t="b">
        <f t="shared" ref="H388:H451" si="46">I388=B388</f>
        <v>0</v>
      </c>
      <c r="I388" s="1" t="s">
        <v>1620</v>
      </c>
      <c r="K388" s="1" t="b">
        <v>1</v>
      </c>
    </row>
    <row r="389" spans="1:11">
      <c r="A389" s="1" t="s">
        <v>1611</v>
      </c>
      <c r="B389" s="336" t="str">
        <f>报表附注!E858</f>
        <v>增加项目3-</v>
      </c>
      <c r="C389" s="325">
        <f t="shared" si="45"/>
        <v>0</v>
      </c>
      <c r="D389" s="1" t="b">
        <f t="shared" si="43"/>
        <v>1</v>
      </c>
      <c r="E389" s="315"/>
      <c r="H389" s="1" t="b">
        <f t="shared" si="46"/>
        <v>0</v>
      </c>
      <c r="I389" s="1" t="s">
        <v>588</v>
      </c>
      <c r="K389" s="1" t="b">
        <v>1</v>
      </c>
    </row>
    <row r="390" spans="1:11">
      <c r="A390" s="1" t="s">
        <v>1612</v>
      </c>
      <c r="B390" s="336" t="str">
        <f>报表附注!E859</f>
        <v>增加项目4-</v>
      </c>
      <c r="C390" s="325">
        <f t="shared" si="45"/>
        <v>0</v>
      </c>
      <c r="D390" s="1" t="b">
        <f t="shared" si="43"/>
        <v>1</v>
      </c>
      <c r="E390" s="315"/>
      <c r="H390" s="1" t="b">
        <f t="shared" si="46"/>
        <v>0</v>
      </c>
      <c r="I390" s="1" t="s">
        <v>590</v>
      </c>
      <c r="K390" s="1" t="b">
        <v>0</v>
      </c>
    </row>
    <row r="391" spans="1:11">
      <c r="A391" s="1" t="s">
        <v>1613</v>
      </c>
      <c r="B391" s="336" t="str">
        <f>报表附注!E860</f>
        <v>增加项目5-</v>
      </c>
      <c r="C391" s="325">
        <f t="shared" si="45"/>
        <v>0</v>
      </c>
      <c r="D391" s="1" t="b">
        <f t="shared" si="43"/>
        <v>1</v>
      </c>
      <c r="E391" s="315"/>
      <c r="H391" s="1" t="b">
        <f t="shared" si="46"/>
        <v>0</v>
      </c>
      <c r="I391" s="1" t="s">
        <v>2604</v>
      </c>
      <c r="K391" s="1" t="b">
        <v>0</v>
      </c>
    </row>
    <row r="392" spans="1:11">
      <c r="A392" s="1" t="s">
        <v>1614</v>
      </c>
      <c r="B392" s="336" t="str">
        <f>报表附注!E861</f>
        <v>增加项目6-</v>
      </c>
      <c r="C392" s="325">
        <f t="shared" si="45"/>
        <v>0</v>
      </c>
      <c r="D392" s="1" t="b">
        <f t="shared" si="43"/>
        <v>1</v>
      </c>
      <c r="E392" s="315"/>
      <c r="H392" s="1" t="b">
        <f t="shared" si="46"/>
        <v>0</v>
      </c>
      <c r="I392" s="1" t="s">
        <v>1607</v>
      </c>
      <c r="K392" s="1" t="b">
        <v>0</v>
      </c>
    </row>
    <row r="393" spans="1:11">
      <c r="A393" s="1" t="s">
        <v>1615</v>
      </c>
      <c r="B393" s="336" t="str">
        <f>报表附注!E862</f>
        <v>增加项目7-</v>
      </c>
      <c r="C393" s="325">
        <f t="shared" si="45"/>
        <v>0</v>
      </c>
      <c r="D393" s="1" t="b">
        <f t="shared" si="43"/>
        <v>1</v>
      </c>
      <c r="E393" s="315"/>
      <c r="H393" s="1" t="b">
        <f t="shared" si="46"/>
        <v>0</v>
      </c>
      <c r="I393" s="1" t="s">
        <v>2605</v>
      </c>
      <c r="K393" s="1" t="b">
        <v>0</v>
      </c>
    </row>
    <row r="394" spans="1:11">
      <c r="A394" s="1" t="s">
        <v>1616</v>
      </c>
      <c r="B394" s="336" t="str">
        <f>报表附注!E863</f>
        <v>增加项目8-</v>
      </c>
      <c r="C394" s="325">
        <f t="shared" si="45"/>
        <v>0</v>
      </c>
      <c r="D394" s="1" t="b">
        <f t="shared" si="43"/>
        <v>1</v>
      </c>
      <c r="E394" s="315"/>
      <c r="H394" s="1" t="b">
        <f t="shared" si="46"/>
        <v>0</v>
      </c>
      <c r="I394" s="1" t="s">
        <v>596</v>
      </c>
      <c r="K394" s="1" t="b">
        <v>1</v>
      </c>
    </row>
    <row r="395" spans="1:11">
      <c r="A395" s="1" t="s">
        <v>1580</v>
      </c>
      <c r="B395" s="324" t="str">
        <f>报表附注!E864</f>
        <v>合计</v>
      </c>
      <c r="C395" s="325">
        <f t="shared" si="45"/>
        <v>0</v>
      </c>
      <c r="D395" s="1" t="b">
        <f t="shared" si="43"/>
        <v>1</v>
      </c>
      <c r="E395" s="315"/>
      <c r="H395" s="1" t="b">
        <f t="shared" si="46"/>
        <v>0</v>
      </c>
      <c r="I395" s="1">
        <v>0</v>
      </c>
      <c r="K395" s="1" t="b">
        <v>0</v>
      </c>
    </row>
    <row r="396" spans="1:11">
      <c r="A396" s="1" t="s">
        <v>1620</v>
      </c>
      <c r="B396" s="335" t="s">
        <v>1620</v>
      </c>
      <c r="D396" s="1" t="b">
        <f t="shared" ref="D396:D459" si="47">EXACT(A396,B396)</f>
        <v>1</v>
      </c>
      <c r="H396" s="1" t="b">
        <f t="shared" si="46"/>
        <v>0</v>
      </c>
      <c r="I396" s="1" t="s">
        <v>4576</v>
      </c>
      <c r="K396" s="1" t="b">
        <v>1</v>
      </c>
    </row>
    <row r="397" spans="1:11">
      <c r="A397" s="1" t="s">
        <v>588</v>
      </c>
      <c r="B397" s="347" t="str">
        <f>报表附注!E869</f>
        <v>原材料</v>
      </c>
      <c r="C397" s="325">
        <f t="shared" ref="C397:C412" si="48">J389</f>
        <v>0</v>
      </c>
      <c r="D397" s="1" t="b">
        <f t="shared" si="47"/>
        <v>1</v>
      </c>
      <c r="E397" s="325">
        <f>C397+C414-C431</f>
        <v>0</v>
      </c>
      <c r="H397" s="1" t="b">
        <f t="shared" si="46"/>
        <v>0</v>
      </c>
      <c r="I397" s="1" t="s">
        <v>1610</v>
      </c>
      <c r="K397" s="1" t="b">
        <v>1</v>
      </c>
    </row>
    <row r="398" spans="1:11">
      <c r="A398" s="1" t="s">
        <v>1606</v>
      </c>
      <c r="B398" s="347" t="str">
        <f>报表附注!E870</f>
        <v>在产品</v>
      </c>
      <c r="C398" s="325">
        <f t="shared" si="48"/>
        <v>0</v>
      </c>
      <c r="D398" s="1" t="b">
        <f t="shared" si="47"/>
        <v>0</v>
      </c>
      <c r="E398" s="325">
        <f t="shared" ref="E398:E411" si="49">C398+C415-C432</f>
        <v>0</v>
      </c>
      <c r="H398" s="1" t="b">
        <f t="shared" si="46"/>
        <v>0</v>
      </c>
      <c r="I398" s="1" t="s">
        <v>1611</v>
      </c>
      <c r="K398" s="1" t="b">
        <v>1</v>
      </c>
    </row>
    <row r="399" spans="1:11">
      <c r="A399" s="1" t="s">
        <v>592</v>
      </c>
      <c r="B399" s="347" t="str">
        <f>报表附注!E871</f>
        <v>产成品</v>
      </c>
      <c r="C399" s="325">
        <f t="shared" si="48"/>
        <v>0</v>
      </c>
      <c r="D399" s="1" t="b">
        <f t="shared" si="47"/>
        <v>0</v>
      </c>
      <c r="E399" s="325">
        <f t="shared" si="49"/>
        <v>0</v>
      </c>
      <c r="H399" s="1" t="b">
        <f t="shared" si="46"/>
        <v>0</v>
      </c>
      <c r="I399" s="1" t="s">
        <v>1612</v>
      </c>
      <c r="K399" s="1" t="b">
        <v>1</v>
      </c>
    </row>
    <row r="400" spans="1:11">
      <c r="A400" s="1" t="s">
        <v>586</v>
      </c>
      <c r="B400" s="347" t="str">
        <f>报表附注!E872</f>
        <v>低值易耗品</v>
      </c>
      <c r="C400" s="325">
        <f t="shared" si="48"/>
        <v>0</v>
      </c>
      <c r="D400" s="1" t="b">
        <f t="shared" si="47"/>
        <v>0</v>
      </c>
      <c r="E400" s="325">
        <f t="shared" si="49"/>
        <v>0</v>
      </c>
      <c r="H400" s="1" t="b">
        <f t="shared" si="46"/>
        <v>0</v>
      </c>
      <c r="I400" s="1" t="s">
        <v>1613</v>
      </c>
      <c r="K400" s="1" t="b">
        <v>1</v>
      </c>
    </row>
    <row r="401" spans="1:11">
      <c r="A401" s="1" t="s">
        <v>1607</v>
      </c>
      <c r="B401" s="347" t="str">
        <f>报表附注!E873</f>
        <v>包装物</v>
      </c>
      <c r="C401" s="325">
        <f t="shared" si="48"/>
        <v>0</v>
      </c>
      <c r="D401" s="1" t="b">
        <f t="shared" si="47"/>
        <v>0</v>
      </c>
      <c r="E401" s="325">
        <f t="shared" si="49"/>
        <v>0</v>
      </c>
      <c r="H401" s="1" t="b">
        <f t="shared" si="46"/>
        <v>0</v>
      </c>
      <c r="I401" s="1" t="s">
        <v>1614</v>
      </c>
      <c r="K401" s="1" t="b">
        <v>1</v>
      </c>
    </row>
    <row r="402" spans="1:11">
      <c r="A402" s="1" t="s">
        <v>596</v>
      </c>
      <c r="B402" s="347" t="str">
        <f>报表附注!E874</f>
        <v>委托加工物资</v>
      </c>
      <c r="C402" s="325">
        <f t="shared" si="48"/>
        <v>0</v>
      </c>
      <c r="D402" s="1" t="b">
        <f t="shared" si="47"/>
        <v>1</v>
      </c>
      <c r="E402" s="325">
        <f t="shared" si="49"/>
        <v>0</v>
      </c>
      <c r="H402" s="1" t="b">
        <f t="shared" si="46"/>
        <v>0</v>
      </c>
      <c r="I402" s="1" t="s">
        <v>1615</v>
      </c>
      <c r="K402" s="1" t="b">
        <v>1</v>
      </c>
    </row>
    <row r="403" spans="1:11">
      <c r="A403" s="1" t="s">
        <v>1608</v>
      </c>
      <c r="B403" s="347" t="str">
        <f>报表附注!E875</f>
        <v>发出商品</v>
      </c>
      <c r="C403" s="325">
        <f t="shared" si="48"/>
        <v>0</v>
      </c>
      <c r="D403" s="1" t="b">
        <f t="shared" si="47"/>
        <v>0</v>
      </c>
      <c r="E403" s="325">
        <f t="shared" si="49"/>
        <v>0</v>
      </c>
      <c r="H403" s="1" t="b">
        <f t="shared" si="46"/>
        <v>0</v>
      </c>
      <c r="I403" s="1" t="s">
        <v>1616</v>
      </c>
      <c r="K403" s="1" t="b">
        <v>1</v>
      </c>
    </row>
    <row r="404" spans="1:11">
      <c r="A404" s="1" t="s">
        <v>1609</v>
      </c>
      <c r="B404" s="347" t="str">
        <f>报表附注!E876</f>
        <v>增加项目1-</v>
      </c>
      <c r="C404" s="325">
        <f t="shared" si="48"/>
        <v>0</v>
      </c>
      <c r="D404" s="1" t="b">
        <f t="shared" si="47"/>
        <v>1</v>
      </c>
      <c r="E404" s="325">
        <f t="shared" si="49"/>
        <v>0</v>
      </c>
      <c r="H404" s="1" t="b">
        <f t="shared" si="46"/>
        <v>0</v>
      </c>
      <c r="I404" s="1" t="s">
        <v>1580</v>
      </c>
      <c r="K404" s="1" t="b">
        <v>1</v>
      </c>
    </row>
    <row r="405" spans="1:11">
      <c r="A405" s="1" t="s">
        <v>1610</v>
      </c>
      <c r="B405" s="347" t="str">
        <f>报表附注!E877</f>
        <v>增加项目2-</v>
      </c>
      <c r="C405" s="325">
        <f t="shared" si="48"/>
        <v>0</v>
      </c>
      <c r="D405" s="1" t="b">
        <f t="shared" si="47"/>
        <v>1</v>
      </c>
      <c r="E405" s="325">
        <f t="shared" si="49"/>
        <v>0</v>
      </c>
      <c r="H405" s="1" t="b">
        <f t="shared" si="46"/>
        <v>0</v>
      </c>
      <c r="I405" s="1" t="s">
        <v>1621</v>
      </c>
      <c r="K405" s="1" t="b">
        <v>1</v>
      </c>
    </row>
    <row r="406" spans="1:11">
      <c r="A406" s="1" t="s">
        <v>1611</v>
      </c>
      <c r="B406" s="347" t="str">
        <f>报表附注!E878</f>
        <v>增加项目3-</v>
      </c>
      <c r="C406" s="325">
        <f t="shared" si="48"/>
        <v>0</v>
      </c>
      <c r="D406" s="1" t="b">
        <f t="shared" si="47"/>
        <v>1</v>
      </c>
      <c r="E406" s="325">
        <f t="shared" si="49"/>
        <v>0</v>
      </c>
      <c r="H406" s="1" t="b">
        <f t="shared" si="46"/>
        <v>0</v>
      </c>
      <c r="I406" s="1" t="s">
        <v>588</v>
      </c>
      <c r="K406" s="1" t="b">
        <v>1</v>
      </c>
    </row>
    <row r="407" spans="1:11">
      <c r="A407" s="1" t="s">
        <v>1612</v>
      </c>
      <c r="B407" s="347" t="str">
        <f>报表附注!E879</f>
        <v>增加项目4-</v>
      </c>
      <c r="C407" s="325">
        <f t="shared" si="48"/>
        <v>0</v>
      </c>
      <c r="D407" s="1" t="b">
        <f t="shared" si="47"/>
        <v>1</v>
      </c>
      <c r="E407" s="325">
        <f t="shared" si="49"/>
        <v>0</v>
      </c>
      <c r="H407" s="1" t="b">
        <f t="shared" si="46"/>
        <v>0</v>
      </c>
      <c r="I407" s="1" t="s">
        <v>590</v>
      </c>
      <c r="K407" s="1" t="b">
        <v>0</v>
      </c>
    </row>
    <row r="408" spans="1:11">
      <c r="A408" s="1" t="s">
        <v>1613</v>
      </c>
      <c r="B408" s="347" t="str">
        <f>报表附注!E880</f>
        <v>增加项目5-</v>
      </c>
      <c r="C408" s="325">
        <f t="shared" si="48"/>
        <v>0</v>
      </c>
      <c r="D408" s="1" t="b">
        <f t="shared" si="47"/>
        <v>1</v>
      </c>
      <c r="E408" s="325">
        <f t="shared" si="49"/>
        <v>0</v>
      </c>
      <c r="H408" s="1" t="b">
        <f t="shared" si="46"/>
        <v>0</v>
      </c>
      <c r="I408" s="1" t="s">
        <v>2604</v>
      </c>
      <c r="K408" s="1" t="b">
        <v>0</v>
      </c>
    </row>
    <row r="409" spans="1:11">
      <c r="A409" s="1" t="s">
        <v>1614</v>
      </c>
      <c r="B409" s="347" t="str">
        <f>报表附注!E881</f>
        <v>增加项目6-</v>
      </c>
      <c r="C409" s="325">
        <f t="shared" si="48"/>
        <v>0</v>
      </c>
      <c r="D409" s="1" t="b">
        <f t="shared" si="47"/>
        <v>1</v>
      </c>
      <c r="E409" s="325">
        <f t="shared" si="49"/>
        <v>0</v>
      </c>
      <c r="H409" s="1" t="b">
        <f t="shared" si="46"/>
        <v>0</v>
      </c>
      <c r="I409" s="1" t="s">
        <v>1607</v>
      </c>
      <c r="K409" s="1" t="b">
        <v>0</v>
      </c>
    </row>
    <row r="410" spans="1:11">
      <c r="A410" s="1" t="s">
        <v>1615</v>
      </c>
      <c r="B410" s="347" t="str">
        <f>报表附注!E882</f>
        <v>增加项目7-</v>
      </c>
      <c r="C410" s="325">
        <f t="shared" si="48"/>
        <v>0</v>
      </c>
      <c r="D410" s="1" t="b">
        <f t="shared" si="47"/>
        <v>1</v>
      </c>
      <c r="E410" s="325">
        <f t="shared" si="49"/>
        <v>0</v>
      </c>
      <c r="H410" s="1" t="b">
        <f t="shared" si="46"/>
        <v>0</v>
      </c>
      <c r="I410" s="1" t="s">
        <v>2605</v>
      </c>
      <c r="K410" s="1" t="b">
        <v>0</v>
      </c>
    </row>
    <row r="411" spans="1:11">
      <c r="A411" s="1" t="s">
        <v>1616</v>
      </c>
      <c r="B411" s="347" t="str">
        <f>报表附注!E883</f>
        <v>增加项目8-</v>
      </c>
      <c r="C411" s="325">
        <f t="shared" si="48"/>
        <v>0</v>
      </c>
      <c r="D411" s="1" t="b">
        <f t="shared" si="47"/>
        <v>1</v>
      </c>
      <c r="E411" s="325">
        <f t="shared" si="49"/>
        <v>0</v>
      </c>
      <c r="H411" s="1" t="b">
        <f t="shared" si="46"/>
        <v>0</v>
      </c>
      <c r="I411" s="1" t="s">
        <v>596</v>
      </c>
      <c r="K411" s="1" t="b">
        <v>1</v>
      </c>
    </row>
    <row r="412" spans="1:11">
      <c r="A412" s="1" t="s">
        <v>1580</v>
      </c>
      <c r="B412" s="323" t="str">
        <f>报表附注!E884</f>
        <v>合计</v>
      </c>
      <c r="C412" s="325">
        <f t="shared" si="48"/>
        <v>0</v>
      </c>
      <c r="D412" s="1" t="b">
        <f t="shared" si="47"/>
        <v>1</v>
      </c>
      <c r="E412" s="325">
        <f>SUM(E397:E411)</f>
        <v>0</v>
      </c>
      <c r="H412" s="1" t="b">
        <f t="shared" si="46"/>
        <v>0</v>
      </c>
      <c r="I412" s="1">
        <v>0</v>
      </c>
      <c r="K412" s="1" t="b">
        <v>0</v>
      </c>
    </row>
    <row r="413" spans="1:11">
      <c r="A413" s="1" t="s">
        <v>1621</v>
      </c>
      <c r="B413" s="335" t="s">
        <v>1621</v>
      </c>
      <c r="D413" s="1" t="b">
        <f t="shared" si="47"/>
        <v>1</v>
      </c>
      <c r="H413" s="1" t="b">
        <f t="shared" si="46"/>
        <v>0</v>
      </c>
      <c r="I413" s="1" t="s">
        <v>4576</v>
      </c>
      <c r="K413" s="1" t="b">
        <v>1</v>
      </c>
    </row>
    <row r="414" spans="1:11">
      <c r="A414" s="1" t="s">
        <v>588</v>
      </c>
      <c r="B414" s="347" t="str">
        <f>报表附注!E869</f>
        <v>原材料</v>
      </c>
      <c r="C414" s="325">
        <f t="shared" ref="C414:C429" si="50">J406</f>
        <v>0</v>
      </c>
      <c r="D414" s="1" t="b">
        <f t="shared" si="47"/>
        <v>1</v>
      </c>
      <c r="E414" s="315"/>
      <c r="H414" s="1" t="b">
        <f t="shared" si="46"/>
        <v>0</v>
      </c>
      <c r="I414" s="1" t="s">
        <v>1610</v>
      </c>
      <c r="K414" s="1" t="b">
        <v>1</v>
      </c>
    </row>
    <row r="415" spans="1:11">
      <c r="A415" s="1" t="s">
        <v>1606</v>
      </c>
      <c r="B415" s="347" t="str">
        <f>报表附注!E870</f>
        <v>在产品</v>
      </c>
      <c r="C415" s="325">
        <f t="shared" si="50"/>
        <v>0</v>
      </c>
      <c r="D415" s="1" t="b">
        <f t="shared" si="47"/>
        <v>0</v>
      </c>
      <c r="E415" s="315"/>
      <c r="H415" s="1" t="b">
        <f t="shared" si="46"/>
        <v>0</v>
      </c>
      <c r="I415" s="1" t="s">
        <v>1611</v>
      </c>
      <c r="K415" s="1" t="b">
        <v>1</v>
      </c>
    </row>
    <row r="416" spans="1:11">
      <c r="A416" s="1" t="s">
        <v>592</v>
      </c>
      <c r="B416" s="347" t="str">
        <f>报表附注!E871</f>
        <v>产成品</v>
      </c>
      <c r="C416" s="325">
        <f t="shared" si="50"/>
        <v>0</v>
      </c>
      <c r="D416" s="1" t="b">
        <f t="shared" si="47"/>
        <v>0</v>
      </c>
      <c r="E416" s="315"/>
      <c r="H416" s="1" t="b">
        <f t="shared" si="46"/>
        <v>0</v>
      </c>
      <c r="I416" s="1" t="s">
        <v>1612</v>
      </c>
      <c r="K416" s="1" t="b">
        <v>1</v>
      </c>
    </row>
    <row r="417" spans="1:11">
      <c r="A417" s="1" t="s">
        <v>586</v>
      </c>
      <c r="B417" s="347" t="str">
        <f>报表附注!E872</f>
        <v>低值易耗品</v>
      </c>
      <c r="C417" s="325">
        <f t="shared" si="50"/>
        <v>0</v>
      </c>
      <c r="D417" s="1" t="b">
        <f t="shared" si="47"/>
        <v>0</v>
      </c>
      <c r="E417" s="315"/>
      <c r="H417" s="1" t="b">
        <f t="shared" si="46"/>
        <v>0</v>
      </c>
      <c r="I417" s="1" t="s">
        <v>1613</v>
      </c>
      <c r="K417" s="1" t="b">
        <v>1</v>
      </c>
    </row>
    <row r="418" spans="1:11">
      <c r="A418" s="1" t="s">
        <v>1607</v>
      </c>
      <c r="B418" s="347" t="str">
        <f>报表附注!E873</f>
        <v>包装物</v>
      </c>
      <c r="C418" s="325">
        <f t="shared" si="50"/>
        <v>0</v>
      </c>
      <c r="D418" s="1" t="b">
        <f t="shared" si="47"/>
        <v>0</v>
      </c>
      <c r="E418" s="315"/>
      <c r="H418" s="1" t="b">
        <f t="shared" si="46"/>
        <v>0</v>
      </c>
      <c r="I418" s="1" t="s">
        <v>1614</v>
      </c>
      <c r="K418" s="1" t="b">
        <v>1</v>
      </c>
    </row>
    <row r="419" spans="1:11">
      <c r="A419" s="1" t="s">
        <v>596</v>
      </c>
      <c r="B419" s="347" t="str">
        <f>报表附注!E874</f>
        <v>委托加工物资</v>
      </c>
      <c r="C419" s="325">
        <f t="shared" si="50"/>
        <v>0</v>
      </c>
      <c r="D419" s="1" t="b">
        <f t="shared" si="47"/>
        <v>1</v>
      </c>
      <c r="E419" s="315"/>
      <c r="H419" s="1" t="b">
        <f t="shared" si="46"/>
        <v>0</v>
      </c>
      <c r="I419" s="1" t="s">
        <v>1615</v>
      </c>
      <c r="K419" s="1" t="b">
        <v>1</v>
      </c>
    </row>
    <row r="420" spans="1:11">
      <c r="A420" s="1" t="s">
        <v>1608</v>
      </c>
      <c r="B420" s="347" t="str">
        <f>报表附注!E875</f>
        <v>发出商品</v>
      </c>
      <c r="C420" s="325">
        <f t="shared" si="50"/>
        <v>0</v>
      </c>
      <c r="D420" s="1" t="b">
        <f t="shared" si="47"/>
        <v>0</v>
      </c>
      <c r="E420" s="315"/>
      <c r="H420" s="1" t="b">
        <f t="shared" si="46"/>
        <v>0</v>
      </c>
      <c r="I420" s="1" t="s">
        <v>1616</v>
      </c>
      <c r="K420" s="1" t="b">
        <v>1</v>
      </c>
    </row>
    <row r="421" spans="1:11">
      <c r="A421" s="1" t="s">
        <v>1609</v>
      </c>
      <c r="B421" s="347" t="str">
        <f>报表附注!E876</f>
        <v>增加项目1-</v>
      </c>
      <c r="C421" s="325">
        <f t="shared" si="50"/>
        <v>0</v>
      </c>
      <c r="D421" s="1" t="b">
        <f t="shared" si="47"/>
        <v>1</v>
      </c>
      <c r="E421" s="315"/>
      <c r="H421" s="1" t="b">
        <f t="shared" si="46"/>
        <v>0</v>
      </c>
      <c r="I421" s="1" t="s">
        <v>1580</v>
      </c>
      <c r="K421" s="1" t="b">
        <v>1</v>
      </c>
    </row>
    <row r="422" spans="1:11">
      <c r="A422" s="1" t="s">
        <v>1610</v>
      </c>
      <c r="B422" s="347" t="str">
        <f>报表附注!E877</f>
        <v>增加项目2-</v>
      </c>
      <c r="C422" s="325">
        <f t="shared" si="50"/>
        <v>0</v>
      </c>
      <c r="D422" s="1" t="b">
        <f t="shared" si="47"/>
        <v>1</v>
      </c>
      <c r="E422" s="315"/>
      <c r="H422" s="1" t="b">
        <f t="shared" si="46"/>
        <v>0</v>
      </c>
      <c r="I422" s="1" t="s">
        <v>1622</v>
      </c>
      <c r="K422" s="1" t="b">
        <v>1</v>
      </c>
    </row>
    <row r="423" spans="1:11">
      <c r="A423" s="1" t="s">
        <v>1611</v>
      </c>
      <c r="B423" s="347" t="str">
        <f>报表附注!E878</f>
        <v>增加项目3-</v>
      </c>
      <c r="C423" s="325">
        <f t="shared" si="50"/>
        <v>0</v>
      </c>
      <c r="D423" s="1" t="b">
        <f t="shared" si="47"/>
        <v>1</v>
      </c>
      <c r="E423" s="315"/>
      <c r="H423" s="1" t="b">
        <f t="shared" si="46"/>
        <v>0</v>
      </c>
      <c r="I423" s="1" t="s">
        <v>588</v>
      </c>
      <c r="K423" s="1" t="b">
        <v>1</v>
      </c>
    </row>
    <row r="424" spans="1:11">
      <c r="A424" s="1" t="s">
        <v>1612</v>
      </c>
      <c r="B424" s="347" t="str">
        <f>报表附注!E879</f>
        <v>增加项目4-</v>
      </c>
      <c r="C424" s="325">
        <f t="shared" si="50"/>
        <v>0</v>
      </c>
      <c r="D424" s="1" t="b">
        <f t="shared" si="47"/>
        <v>1</v>
      </c>
      <c r="E424" s="315"/>
      <c r="H424" s="1" t="b">
        <f t="shared" si="46"/>
        <v>0</v>
      </c>
      <c r="I424" s="1" t="s">
        <v>590</v>
      </c>
      <c r="K424" s="1" t="b">
        <v>0</v>
      </c>
    </row>
    <row r="425" spans="1:11">
      <c r="A425" s="1" t="s">
        <v>1613</v>
      </c>
      <c r="B425" s="347" t="str">
        <f>报表附注!E880</f>
        <v>增加项目5-</v>
      </c>
      <c r="C425" s="325">
        <f t="shared" si="50"/>
        <v>0</v>
      </c>
      <c r="D425" s="1" t="b">
        <f t="shared" si="47"/>
        <v>1</v>
      </c>
      <c r="E425" s="315"/>
      <c r="H425" s="1" t="b">
        <f t="shared" si="46"/>
        <v>0</v>
      </c>
      <c r="I425" s="1" t="s">
        <v>2604</v>
      </c>
      <c r="K425" s="1" t="b">
        <v>0</v>
      </c>
    </row>
    <row r="426" spans="1:11">
      <c r="A426" s="1" t="s">
        <v>1614</v>
      </c>
      <c r="B426" s="347" t="str">
        <f>报表附注!E881</f>
        <v>增加项目6-</v>
      </c>
      <c r="C426" s="325">
        <f t="shared" si="50"/>
        <v>0</v>
      </c>
      <c r="D426" s="1" t="b">
        <f t="shared" si="47"/>
        <v>1</v>
      </c>
      <c r="E426" s="315"/>
      <c r="H426" s="1" t="b">
        <f t="shared" si="46"/>
        <v>0</v>
      </c>
      <c r="I426" s="1" t="s">
        <v>1607</v>
      </c>
      <c r="K426" s="1" t="b">
        <v>0</v>
      </c>
    </row>
    <row r="427" spans="1:11">
      <c r="A427" s="1" t="s">
        <v>1615</v>
      </c>
      <c r="B427" s="347" t="str">
        <f>报表附注!E882</f>
        <v>增加项目7-</v>
      </c>
      <c r="C427" s="325">
        <f t="shared" si="50"/>
        <v>0</v>
      </c>
      <c r="D427" s="1" t="b">
        <f t="shared" si="47"/>
        <v>1</v>
      </c>
      <c r="E427" s="315"/>
      <c r="H427" s="1" t="b">
        <f t="shared" si="46"/>
        <v>0</v>
      </c>
      <c r="I427" s="1" t="s">
        <v>2605</v>
      </c>
      <c r="K427" s="1" t="b">
        <v>0</v>
      </c>
    </row>
    <row r="428" spans="1:11">
      <c r="A428" s="1" t="s">
        <v>1616</v>
      </c>
      <c r="B428" s="347" t="str">
        <f>报表附注!E883</f>
        <v>增加项目8-</v>
      </c>
      <c r="C428" s="325">
        <f t="shared" si="50"/>
        <v>0</v>
      </c>
      <c r="D428" s="1" t="b">
        <f t="shared" si="47"/>
        <v>1</v>
      </c>
      <c r="E428" s="315"/>
      <c r="H428" s="1" t="b">
        <f t="shared" si="46"/>
        <v>0</v>
      </c>
      <c r="I428" s="1" t="s">
        <v>596</v>
      </c>
      <c r="K428" s="1" t="b">
        <v>1</v>
      </c>
    </row>
    <row r="429" spans="1:11">
      <c r="A429" s="1" t="s">
        <v>1580</v>
      </c>
      <c r="B429" s="323" t="str">
        <f>报表附注!E884</f>
        <v>合计</v>
      </c>
      <c r="C429" s="325">
        <f t="shared" si="50"/>
        <v>0</v>
      </c>
      <c r="D429" s="1" t="b">
        <f t="shared" si="47"/>
        <v>1</v>
      </c>
      <c r="E429" s="315"/>
      <c r="H429" s="1" t="b">
        <f t="shared" si="46"/>
        <v>0</v>
      </c>
      <c r="I429" s="1">
        <v>0</v>
      </c>
      <c r="K429" s="1" t="b">
        <v>0</v>
      </c>
    </row>
    <row r="430" spans="1:11">
      <c r="A430" s="1" t="s">
        <v>1622</v>
      </c>
      <c r="B430" s="335" t="s">
        <v>1622</v>
      </c>
      <c r="D430" s="1" t="b">
        <f t="shared" si="47"/>
        <v>1</v>
      </c>
      <c r="E430" s="311"/>
      <c r="H430" s="1" t="b">
        <f t="shared" si="46"/>
        <v>0</v>
      </c>
      <c r="I430" s="1" t="s">
        <v>4576</v>
      </c>
      <c r="K430" s="1" t="b">
        <v>1</v>
      </c>
    </row>
    <row r="431" spans="1:11">
      <c r="A431" s="1" t="s">
        <v>588</v>
      </c>
      <c r="B431" s="347" t="str">
        <f>报表附注!E869</f>
        <v>原材料</v>
      </c>
      <c r="C431" s="325">
        <f t="shared" ref="C431:C446" si="51">J423</f>
        <v>0</v>
      </c>
      <c r="D431" s="1" t="b">
        <f t="shared" si="47"/>
        <v>1</v>
      </c>
      <c r="E431" s="315"/>
      <c r="H431" s="1" t="b">
        <f t="shared" si="46"/>
        <v>0</v>
      </c>
      <c r="I431" s="1" t="s">
        <v>1610</v>
      </c>
      <c r="K431" s="1" t="b">
        <v>1</v>
      </c>
    </row>
    <row r="432" spans="1:11">
      <c r="A432" s="1" t="s">
        <v>1606</v>
      </c>
      <c r="B432" s="347" t="str">
        <f>报表附注!E870</f>
        <v>在产品</v>
      </c>
      <c r="C432" s="325">
        <f t="shared" si="51"/>
        <v>0</v>
      </c>
      <c r="D432" s="1" t="b">
        <f t="shared" si="47"/>
        <v>0</v>
      </c>
      <c r="E432" s="315"/>
      <c r="H432" s="1" t="b">
        <f t="shared" si="46"/>
        <v>0</v>
      </c>
      <c r="I432" s="1" t="s">
        <v>1611</v>
      </c>
      <c r="K432" s="1" t="b">
        <v>1</v>
      </c>
    </row>
    <row r="433" spans="1:11">
      <c r="A433" s="1" t="s">
        <v>592</v>
      </c>
      <c r="B433" s="347" t="str">
        <f>报表附注!E871</f>
        <v>产成品</v>
      </c>
      <c r="C433" s="325">
        <f t="shared" si="51"/>
        <v>0</v>
      </c>
      <c r="D433" s="1" t="b">
        <f t="shared" si="47"/>
        <v>0</v>
      </c>
      <c r="E433" s="315"/>
      <c r="H433" s="1" t="b">
        <f t="shared" si="46"/>
        <v>0</v>
      </c>
      <c r="I433" s="1" t="s">
        <v>1612</v>
      </c>
      <c r="K433" s="1" t="b">
        <v>1</v>
      </c>
    </row>
    <row r="434" spans="1:11">
      <c r="A434" s="1" t="s">
        <v>586</v>
      </c>
      <c r="B434" s="347" t="str">
        <f>报表附注!E872</f>
        <v>低值易耗品</v>
      </c>
      <c r="C434" s="325">
        <f t="shared" si="51"/>
        <v>0</v>
      </c>
      <c r="D434" s="1" t="b">
        <f t="shared" si="47"/>
        <v>0</v>
      </c>
      <c r="E434" s="315"/>
      <c r="H434" s="1" t="b">
        <f t="shared" si="46"/>
        <v>0</v>
      </c>
      <c r="I434" s="1" t="s">
        <v>1613</v>
      </c>
      <c r="K434" s="1" t="b">
        <v>1</v>
      </c>
    </row>
    <row r="435" spans="1:11">
      <c r="A435" s="1" t="s">
        <v>1607</v>
      </c>
      <c r="B435" s="347" t="str">
        <f>报表附注!E873</f>
        <v>包装物</v>
      </c>
      <c r="C435" s="325">
        <f t="shared" si="51"/>
        <v>0</v>
      </c>
      <c r="D435" s="1" t="b">
        <f t="shared" si="47"/>
        <v>0</v>
      </c>
      <c r="E435" s="315"/>
      <c r="H435" s="1" t="b">
        <f t="shared" si="46"/>
        <v>0</v>
      </c>
      <c r="I435" s="1" t="s">
        <v>1614</v>
      </c>
      <c r="K435" s="1" t="b">
        <v>1</v>
      </c>
    </row>
    <row r="436" spans="1:11">
      <c r="A436" s="1" t="s">
        <v>596</v>
      </c>
      <c r="B436" s="347" t="str">
        <f>报表附注!E874</f>
        <v>委托加工物资</v>
      </c>
      <c r="C436" s="325">
        <f t="shared" si="51"/>
        <v>0</v>
      </c>
      <c r="D436" s="1" t="b">
        <f t="shared" si="47"/>
        <v>1</v>
      </c>
      <c r="E436" s="315"/>
      <c r="H436" s="1" t="b">
        <f t="shared" si="46"/>
        <v>0</v>
      </c>
      <c r="I436" s="1" t="s">
        <v>1615</v>
      </c>
      <c r="K436" s="1" t="b">
        <v>1</v>
      </c>
    </row>
    <row r="437" spans="1:11">
      <c r="A437" s="1" t="s">
        <v>1608</v>
      </c>
      <c r="B437" s="347" t="str">
        <f>报表附注!E875</f>
        <v>发出商品</v>
      </c>
      <c r="C437" s="325">
        <f t="shared" si="51"/>
        <v>0</v>
      </c>
      <c r="D437" s="1" t="b">
        <f t="shared" si="47"/>
        <v>0</v>
      </c>
      <c r="E437" s="315"/>
      <c r="H437" s="1" t="b">
        <f t="shared" si="46"/>
        <v>0</v>
      </c>
      <c r="I437" s="1" t="s">
        <v>1616</v>
      </c>
      <c r="K437" s="1" t="b">
        <v>1</v>
      </c>
    </row>
    <row r="438" spans="1:11">
      <c r="A438" s="1" t="s">
        <v>1609</v>
      </c>
      <c r="B438" s="347" t="str">
        <f>报表附注!E876</f>
        <v>增加项目1-</v>
      </c>
      <c r="C438" s="325">
        <f t="shared" si="51"/>
        <v>0</v>
      </c>
      <c r="D438" s="1" t="b">
        <f t="shared" si="47"/>
        <v>1</v>
      </c>
      <c r="E438" s="315"/>
      <c r="H438" s="1" t="b">
        <f t="shared" si="46"/>
        <v>0</v>
      </c>
      <c r="I438" s="1" t="s">
        <v>1580</v>
      </c>
      <c r="K438" s="1" t="b">
        <v>1</v>
      </c>
    </row>
    <row r="439" spans="1:11">
      <c r="A439" s="1" t="s">
        <v>1610</v>
      </c>
      <c r="B439" s="347" t="str">
        <f>报表附注!E877</f>
        <v>增加项目2-</v>
      </c>
      <c r="C439" s="325">
        <f t="shared" si="51"/>
        <v>0</v>
      </c>
      <c r="D439" s="1" t="b">
        <f t="shared" si="47"/>
        <v>1</v>
      </c>
      <c r="E439" s="315"/>
      <c r="H439" s="1" t="b">
        <f t="shared" si="46"/>
        <v>0</v>
      </c>
      <c r="I439" s="1" t="s">
        <v>1579</v>
      </c>
      <c r="K439" s="1" t="b">
        <v>1</v>
      </c>
    </row>
    <row r="440" spans="1:11">
      <c r="A440" s="1" t="s">
        <v>1611</v>
      </c>
      <c r="B440" s="347" t="str">
        <f>报表附注!E878</f>
        <v>增加项目3-</v>
      </c>
      <c r="C440" s="325">
        <f t="shared" si="51"/>
        <v>0</v>
      </c>
      <c r="D440" s="1" t="b">
        <f t="shared" si="47"/>
        <v>1</v>
      </c>
      <c r="E440" s="315"/>
      <c r="H440" s="1" t="b">
        <f t="shared" si="46"/>
        <v>0</v>
      </c>
      <c r="I440" s="1" t="s">
        <v>60</v>
      </c>
      <c r="K440" s="1" t="b">
        <v>1</v>
      </c>
    </row>
    <row r="441" spans="1:11">
      <c r="A441" s="1" t="s">
        <v>1612</v>
      </c>
      <c r="B441" s="347" t="str">
        <f>报表附注!E879</f>
        <v>增加项目4-</v>
      </c>
      <c r="C441" s="325">
        <f t="shared" si="51"/>
        <v>0</v>
      </c>
      <c r="D441" s="1" t="b">
        <f t="shared" si="47"/>
        <v>1</v>
      </c>
      <c r="E441" s="315"/>
      <c r="H441" s="1" t="b">
        <f t="shared" si="46"/>
        <v>0</v>
      </c>
      <c r="I441" s="1" t="s">
        <v>837</v>
      </c>
      <c r="K441" s="1" t="b">
        <v>1</v>
      </c>
    </row>
    <row r="442" spans="1:11">
      <c r="A442" s="1" t="s">
        <v>1613</v>
      </c>
      <c r="B442" s="347" t="str">
        <f>报表附注!E880</f>
        <v>增加项目5-</v>
      </c>
      <c r="C442" s="325">
        <f t="shared" si="51"/>
        <v>0</v>
      </c>
      <c r="D442" s="1" t="b">
        <f t="shared" si="47"/>
        <v>1</v>
      </c>
      <c r="E442" s="315"/>
      <c r="H442" s="1" t="b">
        <f t="shared" si="46"/>
        <v>0</v>
      </c>
      <c r="I442" s="1">
        <v>1</v>
      </c>
      <c r="K442" s="1" t="b">
        <v>1</v>
      </c>
    </row>
    <row r="443" spans="1:11">
      <c r="A443" s="1" t="s">
        <v>1614</v>
      </c>
      <c r="B443" s="347" t="str">
        <f>报表附注!E881</f>
        <v>增加项目6-</v>
      </c>
      <c r="C443" s="325">
        <f t="shared" si="51"/>
        <v>0</v>
      </c>
      <c r="D443" s="1" t="b">
        <f t="shared" si="47"/>
        <v>1</v>
      </c>
      <c r="E443" s="315"/>
      <c r="H443" s="1" t="b">
        <f t="shared" si="46"/>
        <v>0</v>
      </c>
      <c r="I443" s="1">
        <v>2</v>
      </c>
      <c r="K443" s="1" t="b">
        <v>1</v>
      </c>
    </row>
    <row r="444" spans="1:11">
      <c r="A444" s="1" t="s">
        <v>1615</v>
      </c>
      <c r="B444" s="347" t="str">
        <f>报表附注!E882</f>
        <v>增加项目7-</v>
      </c>
      <c r="C444" s="325">
        <f t="shared" si="51"/>
        <v>0</v>
      </c>
      <c r="D444" s="1" t="b">
        <f t="shared" si="47"/>
        <v>1</v>
      </c>
      <c r="E444" s="315"/>
      <c r="H444" s="1" t="b">
        <f t="shared" si="46"/>
        <v>0</v>
      </c>
      <c r="I444" s="1" t="s">
        <v>840</v>
      </c>
      <c r="K444" s="1" t="b">
        <v>1</v>
      </c>
    </row>
    <row r="445" spans="1:11">
      <c r="A445" s="1" t="s">
        <v>1616</v>
      </c>
      <c r="B445" s="347" t="str">
        <f>报表附注!E883</f>
        <v>增加项目8-</v>
      </c>
      <c r="C445" s="325">
        <f t="shared" si="51"/>
        <v>0</v>
      </c>
      <c r="D445" s="1" t="b">
        <f t="shared" si="47"/>
        <v>1</v>
      </c>
      <c r="E445" s="315"/>
      <c r="H445" s="1" t="b">
        <f t="shared" si="46"/>
        <v>0</v>
      </c>
      <c r="I445" s="1">
        <v>1</v>
      </c>
      <c r="K445" s="1" t="b">
        <v>1</v>
      </c>
    </row>
    <row r="446" spans="1:11">
      <c r="A446" s="1" t="s">
        <v>1580</v>
      </c>
      <c r="B446" s="323" t="str">
        <f>报表附注!E884</f>
        <v>合计</v>
      </c>
      <c r="C446" s="325">
        <f t="shared" si="51"/>
        <v>0</v>
      </c>
      <c r="D446" s="1" t="b">
        <f t="shared" si="47"/>
        <v>1</v>
      </c>
      <c r="E446" s="315"/>
      <c r="H446" s="1" t="b">
        <f t="shared" si="46"/>
        <v>0</v>
      </c>
      <c r="I446" s="1">
        <v>2</v>
      </c>
      <c r="K446" s="1" t="b">
        <v>1</v>
      </c>
    </row>
    <row r="447" spans="1:11">
      <c r="A447" s="1" t="s">
        <v>1579</v>
      </c>
      <c r="B447" s="332" t="s">
        <v>1579</v>
      </c>
      <c r="D447" s="1" t="b">
        <f t="shared" si="47"/>
        <v>1</v>
      </c>
      <c r="H447" s="1" t="b">
        <f t="shared" si="46"/>
        <v>0</v>
      </c>
      <c r="I447" s="1" t="s">
        <v>843</v>
      </c>
      <c r="K447" s="1" t="b">
        <v>1</v>
      </c>
    </row>
    <row r="448" spans="1:11">
      <c r="A448" s="1" t="s">
        <v>60</v>
      </c>
      <c r="B448" s="313" t="str">
        <f>报表附注!E887</f>
        <v>项目</v>
      </c>
      <c r="D448" s="1" t="b">
        <f t="shared" si="47"/>
        <v>1</v>
      </c>
      <c r="H448" s="1" t="b">
        <f t="shared" si="46"/>
        <v>0</v>
      </c>
      <c r="I448" s="1">
        <v>1</v>
      </c>
      <c r="K448" s="1" t="b">
        <v>1</v>
      </c>
    </row>
    <row r="449" spans="1:11">
      <c r="A449" s="1" t="s">
        <v>837</v>
      </c>
      <c r="B449" s="313" t="str">
        <f>报表附注!E888</f>
        <v>一、种植业</v>
      </c>
      <c r="C449" s="325"/>
      <c r="D449" s="1" t="b">
        <f t="shared" si="47"/>
        <v>1</v>
      </c>
      <c r="E449" s="325">
        <f>C464</f>
        <v>0</v>
      </c>
      <c r="H449" s="1" t="b">
        <f t="shared" si="46"/>
        <v>0</v>
      </c>
      <c r="I449" s="1">
        <v>2</v>
      </c>
      <c r="K449" s="1" t="b">
        <v>1</v>
      </c>
    </row>
    <row r="450" spans="1:11">
      <c r="A450" s="1">
        <v>1</v>
      </c>
      <c r="B450" s="313">
        <f>报表附注!E889</f>
        <v>1</v>
      </c>
      <c r="C450" s="325"/>
      <c r="D450" s="1" t="b">
        <f t="shared" si="47"/>
        <v>1</v>
      </c>
      <c r="E450" s="325">
        <f t="shared" ref="E450:E461" si="52">C465</f>
        <v>0</v>
      </c>
      <c r="H450" s="1" t="b">
        <f t="shared" si="46"/>
        <v>0</v>
      </c>
      <c r="I450" s="1" t="s">
        <v>846</v>
      </c>
      <c r="K450" s="1" t="b">
        <v>1</v>
      </c>
    </row>
    <row r="451" spans="1:11">
      <c r="A451" s="1">
        <v>2</v>
      </c>
      <c r="B451" s="313">
        <f>报表附注!E890</f>
        <v>2</v>
      </c>
      <c r="C451" s="325"/>
      <c r="D451" s="1" t="b">
        <f t="shared" si="47"/>
        <v>1</v>
      </c>
      <c r="E451" s="325">
        <f t="shared" si="52"/>
        <v>0</v>
      </c>
      <c r="H451" s="1" t="b">
        <f t="shared" si="46"/>
        <v>0</v>
      </c>
      <c r="I451" s="1">
        <v>1</v>
      </c>
      <c r="K451" s="1" t="b">
        <v>1</v>
      </c>
    </row>
    <row r="452" spans="1:11">
      <c r="A452" s="1" t="s">
        <v>840</v>
      </c>
      <c r="B452" s="313" t="str">
        <f>报表附注!E891</f>
        <v>二、畜牧养殖业</v>
      </c>
      <c r="C452" s="325"/>
      <c r="D452" s="1" t="b">
        <f t="shared" si="47"/>
        <v>1</v>
      </c>
      <c r="E452" s="325">
        <f t="shared" si="52"/>
        <v>0</v>
      </c>
      <c r="H452" s="1" t="b">
        <f t="shared" ref="H452:H515" si="53">I452=B452</f>
        <v>0</v>
      </c>
      <c r="I452" s="1">
        <v>2</v>
      </c>
      <c r="K452" s="1" t="b">
        <v>1</v>
      </c>
    </row>
    <row r="453" spans="1:11">
      <c r="A453" s="1">
        <v>1</v>
      </c>
      <c r="B453" s="313">
        <f>报表附注!E892</f>
        <v>1</v>
      </c>
      <c r="C453" s="325"/>
      <c r="D453" s="1" t="b">
        <f t="shared" si="47"/>
        <v>1</v>
      </c>
      <c r="E453" s="325">
        <f t="shared" si="52"/>
        <v>0</v>
      </c>
      <c r="H453" s="1" t="b">
        <f t="shared" si="53"/>
        <v>0</v>
      </c>
      <c r="I453" s="1" t="s">
        <v>1580</v>
      </c>
      <c r="K453" s="1" t="b">
        <v>1</v>
      </c>
    </row>
    <row r="454" spans="1:11">
      <c r="A454" s="1">
        <v>2</v>
      </c>
      <c r="B454" s="313">
        <f>报表附注!E893</f>
        <v>2</v>
      </c>
      <c r="C454" s="325"/>
      <c r="D454" s="1" t="b">
        <f t="shared" si="47"/>
        <v>1</v>
      </c>
      <c r="E454" s="325">
        <f t="shared" si="52"/>
        <v>0</v>
      </c>
      <c r="H454" s="1" t="b">
        <f t="shared" si="53"/>
        <v>0</v>
      </c>
      <c r="I454" s="1" t="s">
        <v>315</v>
      </c>
      <c r="K454" s="1" t="b">
        <v>1</v>
      </c>
    </row>
    <row r="455" spans="1:11">
      <c r="A455" s="1" t="s">
        <v>843</v>
      </c>
      <c r="B455" s="313" t="str">
        <f>报表附注!E894</f>
        <v>三、林业</v>
      </c>
      <c r="C455" s="325"/>
      <c r="D455" s="1" t="b">
        <f t="shared" si="47"/>
        <v>1</v>
      </c>
      <c r="E455" s="325">
        <f t="shared" si="52"/>
        <v>0</v>
      </c>
      <c r="H455" s="1" t="b">
        <f t="shared" si="53"/>
        <v>0</v>
      </c>
      <c r="I455" s="1" t="s">
        <v>60</v>
      </c>
      <c r="K455" s="1" t="b">
        <v>1</v>
      </c>
    </row>
    <row r="456" spans="1:11">
      <c r="A456" s="1">
        <v>1</v>
      </c>
      <c r="B456" s="313">
        <f>报表附注!E895</f>
        <v>1</v>
      </c>
      <c r="C456" s="325"/>
      <c r="D456" s="1" t="b">
        <f t="shared" si="47"/>
        <v>1</v>
      </c>
      <c r="E456" s="325">
        <f t="shared" si="52"/>
        <v>0</v>
      </c>
      <c r="H456" s="1" t="b">
        <f t="shared" si="53"/>
        <v>0</v>
      </c>
      <c r="I456" s="1" t="s">
        <v>837</v>
      </c>
      <c r="K456" s="1" t="b">
        <v>1</v>
      </c>
    </row>
    <row r="457" spans="1:11">
      <c r="A457" s="1">
        <v>2</v>
      </c>
      <c r="B457" s="313">
        <f>报表附注!E896</f>
        <v>2</v>
      </c>
      <c r="C457" s="325"/>
      <c r="D457" s="1" t="b">
        <f t="shared" si="47"/>
        <v>1</v>
      </c>
      <c r="E457" s="325">
        <f t="shared" si="52"/>
        <v>0</v>
      </c>
      <c r="H457" s="1" t="b">
        <f t="shared" si="53"/>
        <v>0</v>
      </c>
      <c r="I457" s="1">
        <v>1</v>
      </c>
      <c r="K457" s="1" t="b">
        <v>1</v>
      </c>
    </row>
    <row r="458" spans="1:11">
      <c r="A458" s="1" t="s">
        <v>846</v>
      </c>
      <c r="B458" s="313" t="str">
        <f>报表附注!E897</f>
        <v>四、水产业</v>
      </c>
      <c r="C458" s="325"/>
      <c r="D458" s="1" t="b">
        <f t="shared" si="47"/>
        <v>1</v>
      </c>
      <c r="E458" s="325">
        <f t="shared" si="52"/>
        <v>0</v>
      </c>
      <c r="H458" s="1" t="b">
        <f t="shared" si="53"/>
        <v>0</v>
      </c>
      <c r="I458" s="1">
        <v>2</v>
      </c>
      <c r="K458" s="1" t="b">
        <v>1</v>
      </c>
    </row>
    <row r="459" spans="1:11">
      <c r="A459" s="1">
        <v>1</v>
      </c>
      <c r="B459" s="313">
        <f>报表附注!E898</f>
        <v>1</v>
      </c>
      <c r="C459" s="325"/>
      <c r="D459" s="1" t="b">
        <f t="shared" si="47"/>
        <v>1</v>
      </c>
      <c r="E459" s="325">
        <f t="shared" si="52"/>
        <v>0</v>
      </c>
      <c r="H459" s="1" t="b">
        <f t="shared" si="53"/>
        <v>0</v>
      </c>
      <c r="I459" s="1" t="s">
        <v>840</v>
      </c>
      <c r="K459" s="1" t="b">
        <v>1</v>
      </c>
    </row>
    <row r="460" spans="1:11">
      <c r="A460" s="1">
        <v>2</v>
      </c>
      <c r="B460" s="313">
        <f>报表附注!E899</f>
        <v>2</v>
      </c>
      <c r="C460" s="325"/>
      <c r="D460" s="1" t="b">
        <f t="shared" ref="D460:D523" si="54">EXACT(A460,B460)</f>
        <v>1</v>
      </c>
      <c r="E460" s="325">
        <f t="shared" si="52"/>
        <v>0</v>
      </c>
      <c r="H460" s="1" t="b">
        <f t="shared" si="53"/>
        <v>0</v>
      </c>
      <c r="I460" s="1">
        <v>1</v>
      </c>
      <c r="K460" s="1" t="b">
        <v>1</v>
      </c>
    </row>
    <row r="461" spans="1:11">
      <c r="A461" s="1" t="s">
        <v>1580</v>
      </c>
      <c r="B461" s="324" t="str">
        <f>报表附注!E900</f>
        <v>合计</v>
      </c>
      <c r="C461" s="325"/>
      <c r="D461" s="1" t="b">
        <f t="shared" si="54"/>
        <v>1</v>
      </c>
      <c r="E461" s="325">
        <f t="shared" si="52"/>
        <v>0</v>
      </c>
      <c r="H461" s="1" t="b">
        <f t="shared" si="53"/>
        <v>0</v>
      </c>
      <c r="I461" s="1">
        <v>2</v>
      </c>
      <c r="K461" s="1" t="b">
        <v>1</v>
      </c>
    </row>
    <row r="462" spans="1:11">
      <c r="A462" s="1" t="s">
        <v>315</v>
      </c>
      <c r="B462" s="332" t="s">
        <v>315</v>
      </c>
      <c r="D462" s="1" t="b">
        <f t="shared" si="54"/>
        <v>1</v>
      </c>
      <c r="H462" s="1" t="b">
        <f t="shared" si="53"/>
        <v>0</v>
      </c>
      <c r="I462" s="1" t="s">
        <v>843</v>
      </c>
      <c r="K462" s="1" t="b">
        <v>1</v>
      </c>
    </row>
    <row r="463" spans="1:11">
      <c r="A463" s="1" t="s">
        <v>60</v>
      </c>
      <c r="B463" s="313" t="str">
        <f>报表附注!E887</f>
        <v>项目</v>
      </c>
      <c r="D463" s="1" t="b">
        <f t="shared" si="54"/>
        <v>1</v>
      </c>
      <c r="H463" s="1" t="b">
        <f t="shared" si="53"/>
        <v>0</v>
      </c>
      <c r="I463" s="1">
        <v>1</v>
      </c>
      <c r="K463" s="1" t="b">
        <v>1</v>
      </c>
    </row>
    <row r="464" spans="1:11">
      <c r="A464" s="1" t="s">
        <v>837</v>
      </c>
      <c r="B464" s="313" t="str">
        <f>报表附注!E888</f>
        <v>一、种植业</v>
      </c>
      <c r="C464" s="325"/>
      <c r="D464" s="1" t="b">
        <f t="shared" si="54"/>
        <v>1</v>
      </c>
      <c r="E464" s="315"/>
      <c r="H464" s="1" t="b">
        <f t="shared" si="53"/>
        <v>0</v>
      </c>
      <c r="I464" s="1">
        <v>2</v>
      </c>
      <c r="K464" s="1" t="b">
        <v>1</v>
      </c>
    </row>
    <row r="465" spans="1:11">
      <c r="A465" s="1">
        <v>1</v>
      </c>
      <c r="B465" s="313">
        <f>报表附注!E889</f>
        <v>1</v>
      </c>
      <c r="C465" s="325"/>
      <c r="D465" s="1" t="b">
        <f t="shared" si="54"/>
        <v>1</v>
      </c>
      <c r="E465" s="315"/>
      <c r="H465" s="1" t="b">
        <f t="shared" si="53"/>
        <v>0</v>
      </c>
      <c r="I465" s="1" t="s">
        <v>846</v>
      </c>
      <c r="K465" s="1" t="b">
        <v>1</v>
      </c>
    </row>
    <row r="466" spans="1:11">
      <c r="A466" s="1">
        <v>2</v>
      </c>
      <c r="B466" s="313">
        <f>报表附注!E890</f>
        <v>2</v>
      </c>
      <c r="C466" s="325"/>
      <c r="D466" s="1" t="b">
        <f t="shared" si="54"/>
        <v>1</v>
      </c>
      <c r="E466" s="315"/>
      <c r="H466" s="1" t="b">
        <f t="shared" si="53"/>
        <v>0</v>
      </c>
      <c r="I466" s="1">
        <v>1</v>
      </c>
      <c r="K466" s="1" t="b">
        <v>1</v>
      </c>
    </row>
    <row r="467" spans="1:11">
      <c r="A467" s="1" t="s">
        <v>840</v>
      </c>
      <c r="B467" s="313" t="str">
        <f>报表附注!E891</f>
        <v>二、畜牧养殖业</v>
      </c>
      <c r="C467" s="325"/>
      <c r="D467" s="1" t="b">
        <f t="shared" si="54"/>
        <v>1</v>
      </c>
      <c r="E467" s="315"/>
      <c r="H467" s="1" t="b">
        <f t="shared" si="53"/>
        <v>0</v>
      </c>
      <c r="I467" s="1">
        <v>2</v>
      </c>
      <c r="K467" s="1" t="b">
        <v>1</v>
      </c>
    </row>
    <row r="468" spans="1:11">
      <c r="A468" s="1">
        <v>1</v>
      </c>
      <c r="B468" s="313">
        <f>报表附注!E892</f>
        <v>1</v>
      </c>
      <c r="C468" s="325"/>
      <c r="D468" s="1" t="b">
        <f t="shared" si="54"/>
        <v>1</v>
      </c>
      <c r="E468" s="315"/>
      <c r="H468" s="1" t="b">
        <f t="shared" si="53"/>
        <v>0</v>
      </c>
      <c r="I468" s="1" t="s">
        <v>1580</v>
      </c>
      <c r="K468" s="1" t="b">
        <v>1</v>
      </c>
    </row>
    <row r="469" spans="1:11">
      <c r="A469" s="1">
        <v>2</v>
      </c>
      <c r="B469" s="313">
        <f>报表附注!E893</f>
        <v>2</v>
      </c>
      <c r="C469" s="325"/>
      <c r="D469" s="1" t="b">
        <f t="shared" si="54"/>
        <v>1</v>
      </c>
      <c r="E469" s="315"/>
      <c r="H469" s="1" t="b">
        <f t="shared" si="53"/>
        <v>0</v>
      </c>
      <c r="K469" s="1" t="b">
        <v>1</v>
      </c>
    </row>
    <row r="470" spans="1:11">
      <c r="A470" s="1" t="s">
        <v>843</v>
      </c>
      <c r="B470" s="313" t="str">
        <f>报表附注!E894</f>
        <v>三、林业</v>
      </c>
      <c r="C470" s="325"/>
      <c r="D470" s="1" t="b">
        <f t="shared" si="54"/>
        <v>1</v>
      </c>
      <c r="E470" s="315"/>
      <c r="H470" s="1" t="b">
        <f t="shared" si="53"/>
        <v>0</v>
      </c>
      <c r="I470" s="1" t="s">
        <v>1623</v>
      </c>
      <c r="K470" s="1" t="b">
        <v>1</v>
      </c>
    </row>
    <row r="471" spans="1:11">
      <c r="A471" s="1">
        <v>1</v>
      </c>
      <c r="B471" s="313">
        <f>报表附注!E895</f>
        <v>1</v>
      </c>
      <c r="C471" s="325"/>
      <c r="D471" s="1" t="b">
        <f t="shared" si="54"/>
        <v>1</v>
      </c>
      <c r="E471" s="315"/>
      <c r="H471" s="1" t="b">
        <f t="shared" si="53"/>
        <v>0</v>
      </c>
      <c r="I471" s="1" t="s">
        <v>588</v>
      </c>
      <c r="K471" s="1" t="b">
        <v>1</v>
      </c>
    </row>
    <row r="472" spans="1:11">
      <c r="A472" s="1">
        <v>2</v>
      </c>
      <c r="B472" s="313">
        <f>报表附注!E896</f>
        <v>2</v>
      </c>
      <c r="C472" s="325"/>
      <c r="D472" s="1" t="b">
        <f t="shared" si="54"/>
        <v>1</v>
      </c>
      <c r="E472" s="315"/>
      <c r="H472" s="1" t="b">
        <f t="shared" si="53"/>
        <v>0</v>
      </c>
      <c r="I472" s="1" t="s">
        <v>590</v>
      </c>
      <c r="K472" s="1" t="b">
        <v>0</v>
      </c>
    </row>
    <row r="473" spans="1:11">
      <c r="A473" s="1" t="s">
        <v>846</v>
      </c>
      <c r="B473" s="313" t="str">
        <f>报表附注!E897</f>
        <v>四、水产业</v>
      </c>
      <c r="C473" s="325"/>
      <c r="D473" s="1" t="b">
        <f t="shared" si="54"/>
        <v>1</v>
      </c>
      <c r="E473" s="315"/>
      <c r="H473" s="1" t="b">
        <f t="shared" si="53"/>
        <v>0</v>
      </c>
      <c r="I473" s="1" t="s">
        <v>2604</v>
      </c>
      <c r="K473" s="1" t="b">
        <v>0</v>
      </c>
    </row>
    <row r="474" spans="1:11">
      <c r="A474" s="1">
        <v>1</v>
      </c>
      <c r="B474" s="313">
        <f>报表附注!E898</f>
        <v>1</v>
      </c>
      <c r="C474" s="325"/>
      <c r="D474" s="1" t="b">
        <f t="shared" si="54"/>
        <v>1</v>
      </c>
      <c r="E474" s="315"/>
      <c r="H474" s="1" t="b">
        <f t="shared" si="53"/>
        <v>0</v>
      </c>
      <c r="I474" s="1" t="s">
        <v>1607</v>
      </c>
      <c r="K474" s="1" t="b">
        <v>0</v>
      </c>
    </row>
    <row r="475" spans="1:11">
      <c r="A475" s="1">
        <v>2</v>
      </c>
      <c r="B475" s="313">
        <f>报表附注!E899</f>
        <v>2</v>
      </c>
      <c r="C475" s="325"/>
      <c r="D475" s="1" t="b">
        <f t="shared" si="54"/>
        <v>1</v>
      </c>
      <c r="E475" s="315"/>
      <c r="H475" s="1" t="b">
        <f t="shared" si="53"/>
        <v>0</v>
      </c>
      <c r="I475" s="1" t="s">
        <v>2605</v>
      </c>
      <c r="K475" s="1" t="b">
        <v>0</v>
      </c>
    </row>
    <row r="476" spans="1:11">
      <c r="A476" s="1" t="s">
        <v>1580</v>
      </c>
      <c r="B476" s="324" t="str">
        <f>报表附注!E900</f>
        <v>合计</v>
      </c>
      <c r="C476" s="325"/>
      <c r="D476" s="1" t="b">
        <f t="shared" si="54"/>
        <v>1</v>
      </c>
      <c r="E476" s="315"/>
      <c r="H476" s="1" t="b">
        <f t="shared" si="53"/>
        <v>0</v>
      </c>
      <c r="I476" s="1" t="s">
        <v>596</v>
      </c>
      <c r="K476" s="1" t="b">
        <v>1</v>
      </c>
    </row>
    <row r="477" spans="4:11">
      <c r="D477" s="1" t="b">
        <f t="shared" si="54"/>
        <v>1</v>
      </c>
      <c r="H477" s="1" t="b">
        <f t="shared" si="53"/>
        <v>1</v>
      </c>
      <c r="I477" s="1">
        <v>0</v>
      </c>
      <c r="K477" s="1" t="b">
        <v>0</v>
      </c>
    </row>
    <row r="478" ht="13.5" spans="1:11">
      <c r="A478" s="1" t="s">
        <v>1623</v>
      </c>
      <c r="B478" s="348" t="s">
        <v>1624</v>
      </c>
      <c r="D478" s="1" t="b">
        <f t="shared" si="54"/>
        <v>1</v>
      </c>
      <c r="H478" s="1" t="b">
        <f t="shared" si="53"/>
        <v>0</v>
      </c>
      <c r="I478" s="1" t="s">
        <v>4576</v>
      </c>
      <c r="K478" s="1" t="b">
        <v>1</v>
      </c>
    </row>
    <row r="479" spans="1:11">
      <c r="A479" s="1" t="s">
        <v>588</v>
      </c>
      <c r="B479" s="313" t="str">
        <f>报表附注!E905</f>
        <v>原材料</v>
      </c>
      <c r="C479" s="325">
        <f t="shared" ref="C479:C511" si="55">J471</f>
        <v>0</v>
      </c>
      <c r="D479" s="1" t="b">
        <f t="shared" si="54"/>
        <v>1</v>
      </c>
      <c r="E479" s="325">
        <f>C479+C496-C513-C530</f>
        <v>0</v>
      </c>
      <c r="H479" s="1" t="b">
        <f t="shared" si="53"/>
        <v>0</v>
      </c>
      <c r="I479" s="1" t="s">
        <v>1610</v>
      </c>
      <c r="K479" s="1" t="b">
        <v>1</v>
      </c>
    </row>
    <row r="480" spans="1:11">
      <c r="A480" s="1" t="s">
        <v>1606</v>
      </c>
      <c r="B480" s="313" t="str">
        <f>报表附注!E906</f>
        <v>在产品</v>
      </c>
      <c r="C480" s="325">
        <f t="shared" si="55"/>
        <v>0</v>
      </c>
      <c r="D480" s="1" t="b">
        <f t="shared" si="54"/>
        <v>0</v>
      </c>
      <c r="E480" s="325">
        <f t="shared" ref="E480:E494" si="56">C480+C497-C514-C531</f>
        <v>0</v>
      </c>
      <c r="H480" s="1" t="b">
        <f t="shared" si="53"/>
        <v>0</v>
      </c>
      <c r="I480" s="1" t="s">
        <v>1611</v>
      </c>
      <c r="K480" s="1" t="b">
        <v>1</v>
      </c>
    </row>
    <row r="481" spans="1:11">
      <c r="A481" s="1" t="s">
        <v>592</v>
      </c>
      <c r="B481" s="336" t="str">
        <f>报表附注!E907</f>
        <v>产成品</v>
      </c>
      <c r="C481" s="325">
        <f t="shared" si="55"/>
        <v>0</v>
      </c>
      <c r="D481" s="1" t="b">
        <f t="shared" si="54"/>
        <v>0</v>
      </c>
      <c r="E481" s="325">
        <f t="shared" si="56"/>
        <v>0</v>
      </c>
      <c r="H481" s="1" t="b">
        <f t="shared" si="53"/>
        <v>0</v>
      </c>
      <c r="I481" s="1" t="s">
        <v>1612</v>
      </c>
      <c r="K481" s="1" t="b">
        <v>1</v>
      </c>
    </row>
    <row r="482" spans="1:11">
      <c r="A482" s="1" t="s">
        <v>586</v>
      </c>
      <c r="B482" s="336" t="str">
        <f>报表附注!E908</f>
        <v>低值易耗品</v>
      </c>
      <c r="C482" s="325">
        <f t="shared" si="55"/>
        <v>0</v>
      </c>
      <c r="D482" s="1" t="b">
        <f t="shared" si="54"/>
        <v>0</v>
      </c>
      <c r="E482" s="325">
        <f t="shared" si="56"/>
        <v>0</v>
      </c>
      <c r="H482" s="1" t="b">
        <f t="shared" si="53"/>
        <v>0</v>
      </c>
      <c r="I482" s="1" t="s">
        <v>1613</v>
      </c>
      <c r="K482" s="1" t="b">
        <v>1</v>
      </c>
    </row>
    <row r="483" spans="1:11">
      <c r="A483" s="1" t="s">
        <v>1607</v>
      </c>
      <c r="B483" s="336" t="str">
        <f>报表附注!E909</f>
        <v>包装物</v>
      </c>
      <c r="C483" s="325">
        <f t="shared" si="55"/>
        <v>0</v>
      </c>
      <c r="D483" s="1" t="b">
        <f t="shared" si="54"/>
        <v>0</v>
      </c>
      <c r="E483" s="325">
        <f t="shared" si="56"/>
        <v>0</v>
      </c>
      <c r="H483" s="1" t="b">
        <f t="shared" si="53"/>
        <v>0</v>
      </c>
      <c r="I483" s="1" t="s">
        <v>1614</v>
      </c>
      <c r="K483" s="1" t="b">
        <v>1</v>
      </c>
    </row>
    <row r="484" spans="1:11">
      <c r="A484" s="1" t="s">
        <v>596</v>
      </c>
      <c r="B484" s="336" t="str">
        <f>报表附注!E910</f>
        <v>委托加工物资</v>
      </c>
      <c r="C484" s="325">
        <f t="shared" si="55"/>
        <v>0</v>
      </c>
      <c r="D484" s="1" t="b">
        <f t="shared" si="54"/>
        <v>1</v>
      </c>
      <c r="E484" s="325">
        <f t="shared" si="56"/>
        <v>0</v>
      </c>
      <c r="H484" s="1" t="b">
        <f t="shared" si="53"/>
        <v>0</v>
      </c>
      <c r="I484" s="1" t="s">
        <v>1615</v>
      </c>
      <c r="K484" s="1" t="b">
        <v>1</v>
      </c>
    </row>
    <row r="485" spans="1:11">
      <c r="A485" s="1" t="s">
        <v>1608</v>
      </c>
      <c r="B485" s="336" t="str">
        <f>报表附注!E911</f>
        <v>发出商品</v>
      </c>
      <c r="C485" s="325">
        <f t="shared" si="55"/>
        <v>0</v>
      </c>
      <c r="D485" s="1" t="b">
        <f t="shared" si="54"/>
        <v>0</v>
      </c>
      <c r="E485" s="325">
        <f t="shared" si="56"/>
        <v>0</v>
      </c>
      <c r="H485" s="1" t="b">
        <f t="shared" si="53"/>
        <v>0</v>
      </c>
      <c r="I485" s="1" t="s">
        <v>1616</v>
      </c>
      <c r="K485" s="1" t="b">
        <v>1</v>
      </c>
    </row>
    <row r="486" spans="1:11">
      <c r="A486" s="1" t="s">
        <v>1609</v>
      </c>
      <c r="B486" s="336" t="str">
        <f>报表附注!E912</f>
        <v>增加项目1-</v>
      </c>
      <c r="C486" s="325">
        <f t="shared" si="55"/>
        <v>0</v>
      </c>
      <c r="D486" s="1" t="b">
        <f t="shared" si="54"/>
        <v>1</v>
      </c>
      <c r="E486" s="325">
        <f t="shared" si="56"/>
        <v>0</v>
      </c>
      <c r="H486" s="1" t="b">
        <f t="shared" si="53"/>
        <v>0</v>
      </c>
      <c r="I486" s="1" t="s">
        <v>1580</v>
      </c>
      <c r="K486" s="1" t="b">
        <v>1</v>
      </c>
    </row>
    <row r="487" spans="1:11">
      <c r="A487" s="1" t="s">
        <v>1610</v>
      </c>
      <c r="B487" s="336" t="str">
        <f>报表附注!E913</f>
        <v>增加项目2-</v>
      </c>
      <c r="C487" s="325">
        <f t="shared" si="55"/>
        <v>0</v>
      </c>
      <c r="D487" s="1" t="b">
        <f t="shared" si="54"/>
        <v>1</v>
      </c>
      <c r="E487" s="325">
        <f t="shared" si="56"/>
        <v>0</v>
      </c>
      <c r="H487" s="1" t="b">
        <f t="shared" si="53"/>
        <v>0</v>
      </c>
      <c r="I487" s="1" t="s">
        <v>1625</v>
      </c>
      <c r="K487" s="1" t="b">
        <v>1</v>
      </c>
    </row>
    <row r="488" spans="1:11">
      <c r="A488" s="1" t="s">
        <v>1611</v>
      </c>
      <c r="B488" s="336" t="str">
        <f>报表附注!E914</f>
        <v>增加项目3-</v>
      </c>
      <c r="C488" s="325">
        <f t="shared" si="55"/>
        <v>0</v>
      </c>
      <c r="D488" s="1" t="b">
        <f t="shared" si="54"/>
        <v>1</v>
      </c>
      <c r="E488" s="325">
        <f t="shared" si="56"/>
        <v>0</v>
      </c>
      <c r="H488" s="1" t="b">
        <f t="shared" si="53"/>
        <v>0</v>
      </c>
      <c r="I488" s="1" t="s">
        <v>588</v>
      </c>
      <c r="K488" s="1" t="b">
        <v>1</v>
      </c>
    </row>
    <row r="489" spans="1:11">
      <c r="A489" s="1" t="s">
        <v>1612</v>
      </c>
      <c r="B489" s="336" t="str">
        <f>报表附注!E915</f>
        <v>增加项目4-</v>
      </c>
      <c r="C489" s="325">
        <f t="shared" si="55"/>
        <v>0</v>
      </c>
      <c r="D489" s="1" t="b">
        <f t="shared" si="54"/>
        <v>1</v>
      </c>
      <c r="E489" s="325">
        <f t="shared" si="56"/>
        <v>0</v>
      </c>
      <c r="H489" s="1" t="b">
        <f t="shared" si="53"/>
        <v>0</v>
      </c>
      <c r="I489" s="1" t="s">
        <v>590</v>
      </c>
      <c r="K489" s="1" t="b">
        <v>0</v>
      </c>
    </row>
    <row r="490" spans="1:11">
      <c r="A490" s="1" t="s">
        <v>1613</v>
      </c>
      <c r="B490" s="336" t="str">
        <f>报表附注!E916</f>
        <v>增加项目5-</v>
      </c>
      <c r="C490" s="325">
        <f t="shared" si="55"/>
        <v>0</v>
      </c>
      <c r="D490" s="1" t="b">
        <f t="shared" si="54"/>
        <v>1</v>
      </c>
      <c r="E490" s="325">
        <f t="shared" si="56"/>
        <v>0</v>
      </c>
      <c r="H490" s="1" t="b">
        <f t="shared" si="53"/>
        <v>0</v>
      </c>
      <c r="I490" s="1" t="s">
        <v>2604</v>
      </c>
      <c r="K490" s="1" t="b">
        <v>0</v>
      </c>
    </row>
    <row r="491" spans="1:11">
      <c r="A491" s="1" t="s">
        <v>1614</v>
      </c>
      <c r="B491" s="336" t="str">
        <f>报表附注!E917</f>
        <v>增加项目6-</v>
      </c>
      <c r="C491" s="325">
        <f t="shared" si="55"/>
        <v>0</v>
      </c>
      <c r="D491" s="1" t="b">
        <f t="shared" si="54"/>
        <v>1</v>
      </c>
      <c r="E491" s="325">
        <f t="shared" si="56"/>
        <v>0</v>
      </c>
      <c r="H491" s="1" t="b">
        <f t="shared" si="53"/>
        <v>0</v>
      </c>
      <c r="I491" s="1" t="s">
        <v>1607</v>
      </c>
      <c r="K491" s="1" t="b">
        <v>0</v>
      </c>
    </row>
    <row r="492" spans="1:11">
      <c r="A492" s="1" t="s">
        <v>1615</v>
      </c>
      <c r="B492" s="336" t="str">
        <f>报表附注!E918</f>
        <v>增加项目7-</v>
      </c>
      <c r="C492" s="325">
        <f t="shared" si="55"/>
        <v>0</v>
      </c>
      <c r="D492" s="1" t="b">
        <f t="shared" si="54"/>
        <v>1</v>
      </c>
      <c r="E492" s="325">
        <f t="shared" si="56"/>
        <v>0</v>
      </c>
      <c r="H492" s="1" t="b">
        <f t="shared" si="53"/>
        <v>0</v>
      </c>
      <c r="I492" s="1" t="s">
        <v>2605</v>
      </c>
      <c r="K492" s="1" t="b">
        <v>0</v>
      </c>
    </row>
    <row r="493" spans="1:11">
      <c r="A493" s="1" t="s">
        <v>1616</v>
      </c>
      <c r="B493" s="336" t="str">
        <f>报表附注!E919</f>
        <v>增加项目8-</v>
      </c>
      <c r="C493" s="325">
        <f t="shared" si="55"/>
        <v>0</v>
      </c>
      <c r="D493" s="1" t="b">
        <f t="shared" si="54"/>
        <v>1</v>
      </c>
      <c r="E493" s="325">
        <f t="shared" si="56"/>
        <v>0</v>
      </c>
      <c r="H493" s="1" t="b">
        <f t="shared" si="53"/>
        <v>0</v>
      </c>
      <c r="I493" s="1" t="s">
        <v>596</v>
      </c>
      <c r="K493" s="1" t="b">
        <v>1</v>
      </c>
    </row>
    <row r="494" spans="1:11">
      <c r="A494" s="1" t="s">
        <v>1580</v>
      </c>
      <c r="B494" s="324" t="str">
        <f>报表附注!E920</f>
        <v>合计</v>
      </c>
      <c r="C494" s="325">
        <f t="shared" si="55"/>
        <v>0</v>
      </c>
      <c r="D494" s="1" t="b">
        <f t="shared" si="54"/>
        <v>1</v>
      </c>
      <c r="E494" s="325">
        <f t="shared" si="56"/>
        <v>0</v>
      </c>
      <c r="H494" s="1" t="b">
        <f t="shared" si="53"/>
        <v>0</v>
      </c>
      <c r="I494" s="1">
        <v>0</v>
      </c>
      <c r="K494" s="1" t="b">
        <v>0</v>
      </c>
    </row>
    <row r="495" ht="13.5" spans="1:11">
      <c r="A495" s="1" t="s">
        <v>1625</v>
      </c>
      <c r="B495" s="348" t="s">
        <v>1626</v>
      </c>
      <c r="C495" s="330">
        <f t="shared" si="55"/>
        <v>0</v>
      </c>
      <c r="D495" s="1" t="b">
        <f t="shared" si="54"/>
        <v>1</v>
      </c>
      <c r="H495" s="1" t="b">
        <f t="shared" si="53"/>
        <v>0</v>
      </c>
      <c r="I495" s="1" t="s">
        <v>4576</v>
      </c>
      <c r="K495" s="1" t="b">
        <v>1</v>
      </c>
    </row>
    <row r="496" spans="1:11">
      <c r="A496" s="1" t="s">
        <v>588</v>
      </c>
      <c r="B496" s="313" t="str">
        <f>报表附注!E905</f>
        <v>原材料</v>
      </c>
      <c r="C496" s="325">
        <f t="shared" si="55"/>
        <v>0</v>
      </c>
      <c r="D496" s="1" t="b">
        <f t="shared" si="54"/>
        <v>1</v>
      </c>
      <c r="E496" s="315"/>
      <c r="H496" s="1" t="b">
        <f t="shared" si="53"/>
        <v>0</v>
      </c>
      <c r="I496" s="1" t="s">
        <v>1610</v>
      </c>
      <c r="K496" s="1" t="b">
        <v>1</v>
      </c>
    </row>
    <row r="497" spans="1:11">
      <c r="A497" s="1" t="s">
        <v>1606</v>
      </c>
      <c r="B497" s="313" t="str">
        <f>报表附注!E906</f>
        <v>在产品</v>
      </c>
      <c r="C497" s="325">
        <f t="shared" si="55"/>
        <v>0</v>
      </c>
      <c r="D497" s="1" t="b">
        <f t="shared" si="54"/>
        <v>0</v>
      </c>
      <c r="E497" s="315"/>
      <c r="H497" s="1" t="b">
        <f t="shared" si="53"/>
        <v>0</v>
      </c>
      <c r="I497" s="1" t="s">
        <v>1611</v>
      </c>
      <c r="K497" s="1" t="b">
        <v>1</v>
      </c>
    </row>
    <row r="498" spans="1:11">
      <c r="A498" s="1" t="s">
        <v>592</v>
      </c>
      <c r="B498" s="336" t="str">
        <f>报表附注!E907</f>
        <v>产成品</v>
      </c>
      <c r="C498" s="325">
        <f t="shared" si="55"/>
        <v>0</v>
      </c>
      <c r="D498" s="1" t="b">
        <f t="shared" si="54"/>
        <v>0</v>
      </c>
      <c r="E498" s="315"/>
      <c r="H498" s="1" t="b">
        <f t="shared" si="53"/>
        <v>0</v>
      </c>
      <c r="I498" s="1" t="s">
        <v>1612</v>
      </c>
      <c r="K498" s="1" t="b">
        <v>1</v>
      </c>
    </row>
    <row r="499" spans="1:11">
      <c r="A499" s="1" t="s">
        <v>586</v>
      </c>
      <c r="B499" s="336" t="str">
        <f>报表附注!E908</f>
        <v>低值易耗品</v>
      </c>
      <c r="C499" s="325">
        <f t="shared" si="55"/>
        <v>0</v>
      </c>
      <c r="D499" s="1" t="b">
        <f t="shared" si="54"/>
        <v>0</v>
      </c>
      <c r="E499" s="315"/>
      <c r="H499" s="1" t="b">
        <f t="shared" si="53"/>
        <v>0</v>
      </c>
      <c r="I499" s="1" t="s">
        <v>1613</v>
      </c>
      <c r="K499" s="1" t="b">
        <v>1</v>
      </c>
    </row>
    <row r="500" spans="1:11">
      <c r="A500" s="1" t="s">
        <v>1607</v>
      </c>
      <c r="B500" s="336" t="str">
        <f>报表附注!E909</f>
        <v>包装物</v>
      </c>
      <c r="C500" s="325">
        <f t="shared" si="55"/>
        <v>0</v>
      </c>
      <c r="D500" s="1" t="b">
        <f t="shared" si="54"/>
        <v>0</v>
      </c>
      <c r="E500" s="315"/>
      <c r="H500" s="1" t="b">
        <f t="shared" si="53"/>
        <v>0</v>
      </c>
      <c r="I500" s="1" t="s">
        <v>1614</v>
      </c>
      <c r="K500" s="1" t="b">
        <v>1</v>
      </c>
    </row>
    <row r="501" spans="1:11">
      <c r="A501" s="1" t="s">
        <v>596</v>
      </c>
      <c r="B501" s="336" t="str">
        <f>报表附注!E910</f>
        <v>委托加工物资</v>
      </c>
      <c r="C501" s="325">
        <f t="shared" si="55"/>
        <v>0</v>
      </c>
      <c r="D501" s="1" t="b">
        <f t="shared" si="54"/>
        <v>1</v>
      </c>
      <c r="E501" s="315"/>
      <c r="H501" s="1" t="b">
        <f t="shared" si="53"/>
        <v>0</v>
      </c>
      <c r="I501" s="1" t="s">
        <v>1615</v>
      </c>
      <c r="K501" s="1" t="b">
        <v>1</v>
      </c>
    </row>
    <row r="502" spans="1:11">
      <c r="A502" s="1" t="s">
        <v>1608</v>
      </c>
      <c r="B502" s="336" t="str">
        <f>报表附注!E911</f>
        <v>发出商品</v>
      </c>
      <c r="C502" s="325">
        <f t="shared" si="55"/>
        <v>0</v>
      </c>
      <c r="D502" s="1" t="b">
        <f t="shared" si="54"/>
        <v>0</v>
      </c>
      <c r="E502" s="315"/>
      <c r="H502" s="1" t="b">
        <f t="shared" si="53"/>
        <v>0</v>
      </c>
      <c r="I502" s="1" t="s">
        <v>1616</v>
      </c>
      <c r="K502" s="1" t="b">
        <v>1</v>
      </c>
    </row>
    <row r="503" spans="1:11">
      <c r="A503" s="1" t="s">
        <v>1609</v>
      </c>
      <c r="B503" s="336" t="str">
        <f>报表附注!E912</f>
        <v>增加项目1-</v>
      </c>
      <c r="C503" s="325">
        <f t="shared" si="55"/>
        <v>0</v>
      </c>
      <c r="D503" s="1" t="b">
        <f t="shared" si="54"/>
        <v>1</v>
      </c>
      <c r="E503" s="315"/>
      <c r="H503" s="1" t="b">
        <f t="shared" si="53"/>
        <v>0</v>
      </c>
      <c r="I503" s="1" t="s">
        <v>1580</v>
      </c>
      <c r="K503" s="1" t="b">
        <v>1</v>
      </c>
    </row>
    <row r="504" spans="1:11">
      <c r="A504" s="1" t="s">
        <v>1610</v>
      </c>
      <c r="B504" s="336" t="str">
        <f>报表附注!E913</f>
        <v>增加项目2-</v>
      </c>
      <c r="C504" s="325">
        <f t="shared" si="55"/>
        <v>0</v>
      </c>
      <c r="D504" s="1" t="b">
        <f t="shared" si="54"/>
        <v>1</v>
      </c>
      <c r="E504" s="315"/>
      <c r="H504" s="1" t="b">
        <f t="shared" si="53"/>
        <v>0</v>
      </c>
      <c r="I504" s="1" t="s">
        <v>1627</v>
      </c>
      <c r="K504" s="1" t="b">
        <v>1</v>
      </c>
    </row>
    <row r="505" spans="1:11">
      <c r="A505" s="1" t="s">
        <v>1611</v>
      </c>
      <c r="B505" s="336" t="str">
        <f>报表附注!E914</f>
        <v>增加项目3-</v>
      </c>
      <c r="C505" s="325">
        <f t="shared" si="55"/>
        <v>0</v>
      </c>
      <c r="D505" s="1" t="b">
        <f t="shared" si="54"/>
        <v>1</v>
      </c>
      <c r="E505" s="315"/>
      <c r="H505" s="1" t="b">
        <f t="shared" si="53"/>
        <v>0</v>
      </c>
      <c r="I505" s="1" t="s">
        <v>588</v>
      </c>
      <c r="K505" s="1" t="b">
        <v>1</v>
      </c>
    </row>
    <row r="506" spans="1:11">
      <c r="A506" s="1" t="s">
        <v>1612</v>
      </c>
      <c r="B506" s="336" t="str">
        <f>报表附注!E915</f>
        <v>增加项目4-</v>
      </c>
      <c r="C506" s="325">
        <f t="shared" si="55"/>
        <v>0</v>
      </c>
      <c r="D506" s="1" t="b">
        <f t="shared" si="54"/>
        <v>1</v>
      </c>
      <c r="E506" s="315"/>
      <c r="H506" s="1" t="b">
        <f t="shared" si="53"/>
        <v>0</v>
      </c>
      <c r="I506" s="1" t="s">
        <v>590</v>
      </c>
      <c r="K506" s="1" t="b">
        <v>0</v>
      </c>
    </row>
    <row r="507" spans="1:11">
      <c r="A507" s="1" t="s">
        <v>1613</v>
      </c>
      <c r="B507" s="336" t="str">
        <f>报表附注!E916</f>
        <v>增加项目5-</v>
      </c>
      <c r="C507" s="325">
        <f t="shared" si="55"/>
        <v>0</v>
      </c>
      <c r="D507" s="1" t="b">
        <f t="shared" si="54"/>
        <v>1</v>
      </c>
      <c r="E507" s="315"/>
      <c r="H507" s="1" t="b">
        <f t="shared" si="53"/>
        <v>0</v>
      </c>
      <c r="I507" s="1" t="s">
        <v>2604</v>
      </c>
      <c r="K507" s="1" t="b">
        <v>0</v>
      </c>
    </row>
    <row r="508" spans="1:11">
      <c r="A508" s="1" t="s">
        <v>1614</v>
      </c>
      <c r="B508" s="336" t="str">
        <f>报表附注!E917</f>
        <v>增加项目6-</v>
      </c>
      <c r="C508" s="325">
        <f t="shared" si="55"/>
        <v>0</v>
      </c>
      <c r="D508" s="1" t="b">
        <f t="shared" si="54"/>
        <v>1</v>
      </c>
      <c r="E508" s="315"/>
      <c r="H508" s="1" t="b">
        <f t="shared" si="53"/>
        <v>0</v>
      </c>
      <c r="I508" s="1" t="s">
        <v>1607</v>
      </c>
      <c r="K508" s="1" t="b">
        <v>0</v>
      </c>
    </row>
    <row r="509" spans="1:11">
      <c r="A509" s="1" t="s">
        <v>1615</v>
      </c>
      <c r="B509" s="336" t="str">
        <f>报表附注!E918</f>
        <v>增加项目7-</v>
      </c>
      <c r="C509" s="325">
        <f t="shared" si="55"/>
        <v>0</v>
      </c>
      <c r="D509" s="1" t="b">
        <f t="shared" si="54"/>
        <v>1</v>
      </c>
      <c r="E509" s="315"/>
      <c r="H509" s="1" t="b">
        <f t="shared" si="53"/>
        <v>0</v>
      </c>
      <c r="I509" s="1" t="s">
        <v>2605</v>
      </c>
      <c r="K509" s="1" t="b">
        <v>0</v>
      </c>
    </row>
    <row r="510" spans="1:11">
      <c r="A510" s="1" t="s">
        <v>1616</v>
      </c>
      <c r="B510" s="336" t="str">
        <f>报表附注!E919</f>
        <v>增加项目8-</v>
      </c>
      <c r="C510" s="325">
        <f t="shared" si="55"/>
        <v>0</v>
      </c>
      <c r="D510" s="1" t="b">
        <f t="shared" si="54"/>
        <v>1</v>
      </c>
      <c r="E510" s="315"/>
      <c r="H510" s="1" t="b">
        <f t="shared" si="53"/>
        <v>0</v>
      </c>
      <c r="I510" s="1" t="s">
        <v>596</v>
      </c>
      <c r="K510" s="1" t="b">
        <v>1</v>
      </c>
    </row>
    <row r="511" spans="1:11">
      <c r="A511" s="1" t="s">
        <v>1580</v>
      </c>
      <c r="B511" s="324" t="str">
        <f>报表附注!E920</f>
        <v>合计</v>
      </c>
      <c r="C511" s="325">
        <f t="shared" si="55"/>
        <v>0</v>
      </c>
      <c r="D511" s="1" t="b">
        <f t="shared" si="54"/>
        <v>1</v>
      </c>
      <c r="E511" s="315"/>
      <c r="H511" s="1" t="b">
        <f t="shared" si="53"/>
        <v>0</v>
      </c>
      <c r="I511" s="1">
        <v>0</v>
      </c>
      <c r="K511" s="1" t="b">
        <v>0</v>
      </c>
    </row>
    <row r="512" ht="13.5" spans="1:11">
      <c r="A512" s="1" t="s">
        <v>1627</v>
      </c>
      <c r="B512" s="348" t="s">
        <v>1628</v>
      </c>
      <c r="D512" s="1" t="b">
        <f t="shared" si="54"/>
        <v>1</v>
      </c>
      <c r="E512" s="311"/>
      <c r="H512" s="1" t="b">
        <f t="shared" si="53"/>
        <v>0</v>
      </c>
      <c r="I512" s="1" t="s">
        <v>4576</v>
      </c>
      <c r="K512" s="1" t="b">
        <v>1</v>
      </c>
    </row>
    <row r="513" spans="1:11">
      <c r="A513" s="1" t="s">
        <v>588</v>
      </c>
      <c r="B513" s="313" t="str">
        <f>报表附注!E905</f>
        <v>原材料</v>
      </c>
      <c r="C513" s="325">
        <f t="shared" ref="C513:C535" si="57">J505</f>
        <v>0</v>
      </c>
      <c r="D513" s="1" t="b">
        <f t="shared" si="54"/>
        <v>1</v>
      </c>
      <c r="E513" s="315"/>
      <c r="H513" s="1" t="b">
        <f t="shared" si="53"/>
        <v>0</v>
      </c>
      <c r="I513" s="1" t="s">
        <v>1610</v>
      </c>
      <c r="K513" s="1" t="b">
        <v>1</v>
      </c>
    </row>
    <row r="514" spans="1:11">
      <c r="A514" s="1" t="s">
        <v>1606</v>
      </c>
      <c r="B514" s="313" t="str">
        <f>报表附注!E906</f>
        <v>在产品</v>
      </c>
      <c r="C514" s="325">
        <f t="shared" si="57"/>
        <v>0</v>
      </c>
      <c r="D514" s="1" t="b">
        <f t="shared" si="54"/>
        <v>0</v>
      </c>
      <c r="E514" s="315"/>
      <c r="H514" s="1" t="b">
        <f t="shared" si="53"/>
        <v>0</v>
      </c>
      <c r="I514" s="1" t="s">
        <v>1611</v>
      </c>
      <c r="K514" s="1" t="b">
        <v>1</v>
      </c>
    </row>
    <row r="515" spans="1:11">
      <c r="A515" s="1" t="s">
        <v>592</v>
      </c>
      <c r="B515" s="336" t="str">
        <f>报表附注!E907</f>
        <v>产成品</v>
      </c>
      <c r="C515" s="325">
        <f t="shared" si="57"/>
        <v>0</v>
      </c>
      <c r="D515" s="1" t="b">
        <f t="shared" si="54"/>
        <v>0</v>
      </c>
      <c r="E515" s="315"/>
      <c r="H515" s="1" t="b">
        <f t="shared" si="53"/>
        <v>0</v>
      </c>
      <c r="I515" s="1" t="s">
        <v>1612</v>
      </c>
      <c r="K515" s="1" t="b">
        <v>1</v>
      </c>
    </row>
    <row r="516" spans="1:11">
      <c r="A516" s="1" t="s">
        <v>586</v>
      </c>
      <c r="B516" s="336" t="str">
        <f>报表附注!E908</f>
        <v>低值易耗品</v>
      </c>
      <c r="C516" s="325">
        <f t="shared" si="57"/>
        <v>0</v>
      </c>
      <c r="D516" s="1" t="b">
        <f t="shared" si="54"/>
        <v>0</v>
      </c>
      <c r="E516" s="315"/>
      <c r="H516" s="1" t="b">
        <f t="shared" ref="H516:H579" si="58">I516=B516</f>
        <v>0</v>
      </c>
      <c r="I516" s="1" t="s">
        <v>1613</v>
      </c>
      <c r="K516" s="1" t="b">
        <v>1</v>
      </c>
    </row>
    <row r="517" spans="1:11">
      <c r="A517" s="1" t="s">
        <v>1607</v>
      </c>
      <c r="B517" s="336" t="str">
        <f>报表附注!E909</f>
        <v>包装物</v>
      </c>
      <c r="C517" s="325">
        <f t="shared" si="57"/>
        <v>0</v>
      </c>
      <c r="D517" s="1" t="b">
        <f t="shared" si="54"/>
        <v>0</v>
      </c>
      <c r="E517" s="315"/>
      <c r="H517" s="1" t="b">
        <f t="shared" si="58"/>
        <v>0</v>
      </c>
      <c r="I517" s="1" t="s">
        <v>1614</v>
      </c>
      <c r="K517" s="1" t="b">
        <v>1</v>
      </c>
    </row>
    <row r="518" spans="1:11">
      <c r="A518" s="1" t="s">
        <v>596</v>
      </c>
      <c r="B518" s="336" t="str">
        <f>报表附注!E910</f>
        <v>委托加工物资</v>
      </c>
      <c r="C518" s="325">
        <f t="shared" si="57"/>
        <v>0</v>
      </c>
      <c r="D518" s="1" t="b">
        <f t="shared" si="54"/>
        <v>1</v>
      </c>
      <c r="E518" s="315"/>
      <c r="H518" s="1" t="b">
        <f t="shared" si="58"/>
        <v>0</v>
      </c>
      <c r="I518" s="1" t="s">
        <v>1615</v>
      </c>
      <c r="K518" s="1" t="b">
        <v>1</v>
      </c>
    </row>
    <row r="519" spans="1:11">
      <c r="A519" s="1" t="s">
        <v>1608</v>
      </c>
      <c r="B519" s="336" t="str">
        <f>报表附注!E911</f>
        <v>发出商品</v>
      </c>
      <c r="C519" s="325">
        <f t="shared" si="57"/>
        <v>0</v>
      </c>
      <c r="D519" s="1" t="b">
        <f t="shared" si="54"/>
        <v>0</v>
      </c>
      <c r="E519" s="315"/>
      <c r="H519" s="1" t="b">
        <f t="shared" si="58"/>
        <v>0</v>
      </c>
      <c r="I519" s="1" t="s">
        <v>1616</v>
      </c>
      <c r="K519" s="1" t="b">
        <v>1</v>
      </c>
    </row>
    <row r="520" spans="1:11">
      <c r="A520" s="1" t="s">
        <v>1609</v>
      </c>
      <c r="B520" s="336" t="str">
        <f>报表附注!E912</f>
        <v>增加项目1-</v>
      </c>
      <c r="C520" s="325">
        <f t="shared" si="57"/>
        <v>0</v>
      </c>
      <c r="D520" s="1" t="b">
        <f t="shared" si="54"/>
        <v>1</v>
      </c>
      <c r="E520" s="315"/>
      <c r="H520" s="1" t="b">
        <f t="shared" si="58"/>
        <v>0</v>
      </c>
      <c r="I520" s="1" t="s">
        <v>1580</v>
      </c>
      <c r="K520" s="1" t="b">
        <v>1</v>
      </c>
    </row>
    <row r="521" spans="1:11">
      <c r="A521" s="1" t="s">
        <v>1610</v>
      </c>
      <c r="B521" s="336" t="str">
        <f>报表附注!E913</f>
        <v>增加项目2-</v>
      </c>
      <c r="C521" s="325">
        <f t="shared" si="57"/>
        <v>0</v>
      </c>
      <c r="D521" s="1" t="b">
        <f t="shared" si="54"/>
        <v>1</v>
      </c>
      <c r="E521" s="315"/>
      <c r="H521" s="1" t="b">
        <f t="shared" si="58"/>
        <v>0</v>
      </c>
      <c r="I521" s="1" t="s">
        <v>1629</v>
      </c>
      <c r="K521" s="1" t="b">
        <v>1</v>
      </c>
    </row>
    <row r="522" spans="1:11">
      <c r="A522" s="1" t="s">
        <v>1611</v>
      </c>
      <c r="B522" s="336" t="str">
        <f>报表附注!E914</f>
        <v>增加项目3-</v>
      </c>
      <c r="C522" s="325">
        <f t="shared" si="57"/>
        <v>0</v>
      </c>
      <c r="D522" s="1" t="b">
        <f t="shared" si="54"/>
        <v>1</v>
      </c>
      <c r="E522" s="315"/>
      <c r="H522" s="1" t="b">
        <f t="shared" si="58"/>
        <v>0</v>
      </c>
      <c r="I522" s="1" t="s">
        <v>588</v>
      </c>
      <c r="K522" s="1" t="b">
        <v>1</v>
      </c>
    </row>
    <row r="523" spans="1:11">
      <c r="A523" s="1" t="s">
        <v>1612</v>
      </c>
      <c r="B523" s="336" t="str">
        <f>报表附注!E915</f>
        <v>增加项目4-</v>
      </c>
      <c r="C523" s="325">
        <f t="shared" si="57"/>
        <v>0</v>
      </c>
      <c r="D523" s="1" t="b">
        <f t="shared" si="54"/>
        <v>1</v>
      </c>
      <c r="E523" s="315"/>
      <c r="H523" s="1" t="b">
        <f t="shared" si="58"/>
        <v>0</v>
      </c>
      <c r="I523" s="1" t="s">
        <v>590</v>
      </c>
      <c r="K523" s="1" t="b">
        <v>0</v>
      </c>
    </row>
    <row r="524" spans="1:11">
      <c r="A524" s="1" t="s">
        <v>1613</v>
      </c>
      <c r="B524" s="336" t="str">
        <f>报表附注!E916</f>
        <v>增加项目5-</v>
      </c>
      <c r="C524" s="325">
        <f t="shared" si="57"/>
        <v>0</v>
      </c>
      <c r="D524" s="1" t="b">
        <f t="shared" ref="D524:D587" si="59">EXACT(A524,B524)</f>
        <v>1</v>
      </c>
      <c r="E524" s="315"/>
      <c r="H524" s="1" t="b">
        <f t="shared" si="58"/>
        <v>0</v>
      </c>
      <c r="I524" s="1" t="s">
        <v>2604</v>
      </c>
      <c r="K524" s="1" t="b">
        <v>0</v>
      </c>
    </row>
    <row r="525" spans="1:11">
      <c r="A525" s="1" t="s">
        <v>1614</v>
      </c>
      <c r="B525" s="336" t="str">
        <f>报表附注!E917</f>
        <v>增加项目6-</v>
      </c>
      <c r="C525" s="325">
        <f t="shared" si="57"/>
        <v>0</v>
      </c>
      <c r="D525" s="1" t="b">
        <f t="shared" si="59"/>
        <v>1</v>
      </c>
      <c r="E525" s="315"/>
      <c r="H525" s="1" t="b">
        <f t="shared" si="58"/>
        <v>0</v>
      </c>
      <c r="I525" s="1" t="s">
        <v>1607</v>
      </c>
      <c r="K525" s="1" t="b">
        <v>0</v>
      </c>
    </row>
    <row r="526" spans="1:11">
      <c r="A526" s="1" t="s">
        <v>1615</v>
      </c>
      <c r="B526" s="336" t="str">
        <f>报表附注!E918</f>
        <v>增加项目7-</v>
      </c>
      <c r="C526" s="325">
        <f t="shared" si="57"/>
        <v>0</v>
      </c>
      <c r="D526" s="1" t="b">
        <f t="shared" si="59"/>
        <v>1</v>
      </c>
      <c r="E526" s="315"/>
      <c r="H526" s="1" t="b">
        <f t="shared" si="58"/>
        <v>0</v>
      </c>
      <c r="I526" s="1" t="s">
        <v>2605</v>
      </c>
      <c r="K526" s="1" t="b">
        <v>0</v>
      </c>
    </row>
    <row r="527" spans="1:11">
      <c r="A527" s="1" t="s">
        <v>1616</v>
      </c>
      <c r="B527" s="336" t="str">
        <f>报表附注!E919</f>
        <v>增加项目8-</v>
      </c>
      <c r="C527" s="325">
        <f t="shared" si="57"/>
        <v>0</v>
      </c>
      <c r="D527" s="1" t="b">
        <f t="shared" si="59"/>
        <v>1</v>
      </c>
      <c r="E527" s="315"/>
      <c r="H527" s="1" t="b">
        <f t="shared" si="58"/>
        <v>0</v>
      </c>
      <c r="I527" s="1" t="s">
        <v>596</v>
      </c>
      <c r="K527" s="1" t="b">
        <v>1</v>
      </c>
    </row>
    <row r="528" spans="1:11">
      <c r="A528" s="1" t="s">
        <v>1580</v>
      </c>
      <c r="B528" s="324" t="str">
        <f>报表附注!E920</f>
        <v>合计</v>
      </c>
      <c r="C528" s="325">
        <f t="shared" si="57"/>
        <v>0</v>
      </c>
      <c r="D528" s="1" t="b">
        <f t="shared" si="59"/>
        <v>1</v>
      </c>
      <c r="E528" s="315"/>
      <c r="H528" s="1" t="b">
        <f t="shared" si="58"/>
        <v>0</v>
      </c>
      <c r="I528" s="1">
        <v>0</v>
      </c>
      <c r="K528" s="1" t="b">
        <v>0</v>
      </c>
    </row>
    <row r="529" ht="13.5" spans="1:11">
      <c r="A529" s="1" t="s">
        <v>1629</v>
      </c>
      <c r="B529" s="348" t="s">
        <v>1630</v>
      </c>
      <c r="C529" s="330">
        <f t="shared" si="57"/>
        <v>0</v>
      </c>
      <c r="D529" s="1" t="b">
        <f t="shared" si="59"/>
        <v>1</v>
      </c>
      <c r="E529" s="311"/>
      <c r="H529" s="1" t="b">
        <f t="shared" si="58"/>
        <v>0</v>
      </c>
      <c r="I529" s="1" t="s">
        <v>4576</v>
      </c>
      <c r="K529" s="1" t="b">
        <v>1</v>
      </c>
    </row>
    <row r="530" spans="1:11">
      <c r="A530" s="1" t="s">
        <v>588</v>
      </c>
      <c r="B530" s="313" t="str">
        <f>报表附注!E905</f>
        <v>原材料</v>
      </c>
      <c r="C530" s="325">
        <f t="shared" si="57"/>
        <v>0</v>
      </c>
      <c r="D530" s="1" t="b">
        <f t="shared" si="59"/>
        <v>1</v>
      </c>
      <c r="E530" s="315"/>
      <c r="H530" s="1" t="b">
        <f t="shared" si="58"/>
        <v>0</v>
      </c>
      <c r="I530" s="1" t="s">
        <v>1610</v>
      </c>
      <c r="K530" s="1" t="b">
        <v>1</v>
      </c>
    </row>
    <row r="531" spans="1:11">
      <c r="A531" s="1" t="s">
        <v>1606</v>
      </c>
      <c r="B531" s="313" t="str">
        <f>报表附注!E906</f>
        <v>在产品</v>
      </c>
      <c r="C531" s="325">
        <f t="shared" si="57"/>
        <v>0</v>
      </c>
      <c r="D531" s="1" t="b">
        <f t="shared" si="59"/>
        <v>0</v>
      </c>
      <c r="E531" s="315"/>
      <c r="H531" s="1" t="b">
        <f t="shared" si="58"/>
        <v>0</v>
      </c>
      <c r="I531" s="1" t="s">
        <v>1611</v>
      </c>
      <c r="K531" s="1" t="b">
        <v>1</v>
      </c>
    </row>
    <row r="532" spans="1:11">
      <c r="A532" s="1" t="s">
        <v>592</v>
      </c>
      <c r="B532" s="336" t="str">
        <f>报表附注!E907</f>
        <v>产成品</v>
      </c>
      <c r="C532" s="325">
        <f t="shared" si="57"/>
        <v>0</v>
      </c>
      <c r="D532" s="1" t="b">
        <f t="shared" si="59"/>
        <v>0</v>
      </c>
      <c r="E532" s="315"/>
      <c r="H532" s="1" t="b">
        <f t="shared" si="58"/>
        <v>0</v>
      </c>
      <c r="I532" s="1" t="s">
        <v>1612</v>
      </c>
      <c r="K532" s="1" t="b">
        <v>1</v>
      </c>
    </row>
    <row r="533" spans="1:11">
      <c r="A533" s="1" t="s">
        <v>586</v>
      </c>
      <c r="B533" s="336" t="str">
        <f>报表附注!E908</f>
        <v>低值易耗品</v>
      </c>
      <c r="C533" s="325">
        <f t="shared" si="57"/>
        <v>0</v>
      </c>
      <c r="D533" s="1" t="b">
        <f t="shared" si="59"/>
        <v>0</v>
      </c>
      <c r="E533" s="315"/>
      <c r="H533" s="1" t="b">
        <f t="shared" si="58"/>
        <v>0</v>
      </c>
      <c r="I533" s="1" t="s">
        <v>1613</v>
      </c>
      <c r="K533" s="1" t="b">
        <v>1</v>
      </c>
    </row>
    <row r="534" spans="1:11">
      <c r="A534" s="1" t="s">
        <v>1607</v>
      </c>
      <c r="B534" s="336" t="str">
        <f>报表附注!E909</f>
        <v>包装物</v>
      </c>
      <c r="C534" s="325">
        <f t="shared" si="57"/>
        <v>0</v>
      </c>
      <c r="D534" s="1" t="b">
        <f t="shared" si="59"/>
        <v>0</v>
      </c>
      <c r="E534" s="315"/>
      <c r="H534" s="1" t="b">
        <f t="shared" si="58"/>
        <v>0</v>
      </c>
      <c r="I534" s="1" t="s">
        <v>1614</v>
      </c>
      <c r="K534" s="1" t="b">
        <v>1</v>
      </c>
    </row>
    <row r="535" spans="1:11">
      <c r="A535" s="1" t="s">
        <v>596</v>
      </c>
      <c r="B535" s="336" t="str">
        <f>报表附注!E910</f>
        <v>委托加工物资</v>
      </c>
      <c r="C535" s="325">
        <f t="shared" si="57"/>
        <v>0</v>
      </c>
      <c r="D535" s="1" t="b">
        <f t="shared" si="59"/>
        <v>1</v>
      </c>
      <c r="E535" s="315"/>
      <c r="H535" s="1" t="b">
        <f t="shared" si="58"/>
        <v>0</v>
      </c>
      <c r="I535" s="1" t="s">
        <v>1615</v>
      </c>
      <c r="K535" s="1" t="b">
        <v>1</v>
      </c>
    </row>
    <row r="536" spans="1:11">
      <c r="A536" s="1" t="s">
        <v>1608</v>
      </c>
      <c r="B536" s="336" t="str">
        <f>报表附注!E911</f>
        <v>发出商品</v>
      </c>
      <c r="C536" s="325">
        <f t="shared" ref="C536:C545" si="60">J528</f>
        <v>0</v>
      </c>
      <c r="D536" s="1" t="b">
        <f t="shared" si="59"/>
        <v>0</v>
      </c>
      <c r="E536" s="315"/>
      <c r="H536" s="1" t="b">
        <f t="shared" si="58"/>
        <v>0</v>
      </c>
      <c r="I536" s="1" t="s">
        <v>1616</v>
      </c>
      <c r="K536" s="1" t="b">
        <v>1</v>
      </c>
    </row>
    <row r="537" spans="1:11">
      <c r="A537" s="1" t="s">
        <v>1609</v>
      </c>
      <c r="B537" s="336" t="str">
        <f>报表附注!E912</f>
        <v>增加项目1-</v>
      </c>
      <c r="C537" s="325">
        <f t="shared" si="60"/>
        <v>0</v>
      </c>
      <c r="D537" s="1" t="b">
        <f t="shared" si="59"/>
        <v>1</v>
      </c>
      <c r="E537" s="315"/>
      <c r="H537" s="1" t="b">
        <f t="shared" si="58"/>
        <v>0</v>
      </c>
      <c r="I537" s="1" t="s">
        <v>1580</v>
      </c>
      <c r="K537" s="1" t="b">
        <v>1</v>
      </c>
    </row>
    <row r="538" spans="1:11">
      <c r="A538" s="1" t="s">
        <v>1610</v>
      </c>
      <c r="B538" s="336" t="str">
        <f>报表附注!E913</f>
        <v>增加项目2-</v>
      </c>
      <c r="C538" s="325">
        <f t="shared" si="60"/>
        <v>0</v>
      </c>
      <c r="D538" s="1" t="b">
        <f t="shared" si="59"/>
        <v>1</v>
      </c>
      <c r="E538" s="315"/>
      <c r="H538" s="1" t="b">
        <f t="shared" si="58"/>
        <v>0</v>
      </c>
      <c r="K538" s="1" t="b">
        <v>1</v>
      </c>
    </row>
    <row r="539" spans="1:11">
      <c r="A539" s="1" t="s">
        <v>1611</v>
      </c>
      <c r="B539" s="336" t="str">
        <f>报表附注!E914</f>
        <v>增加项目3-</v>
      </c>
      <c r="C539" s="325">
        <f t="shared" si="60"/>
        <v>0</v>
      </c>
      <c r="D539" s="1" t="b">
        <f t="shared" si="59"/>
        <v>1</v>
      </c>
      <c r="E539" s="315"/>
      <c r="H539" s="1" t="b">
        <f t="shared" si="58"/>
        <v>0</v>
      </c>
      <c r="I539" s="1" t="s">
        <v>1631</v>
      </c>
      <c r="K539" s="1" t="b">
        <v>1</v>
      </c>
    </row>
    <row r="540" spans="1:11">
      <c r="A540" s="1" t="s">
        <v>1612</v>
      </c>
      <c r="B540" s="336" t="str">
        <f>报表附注!E915</f>
        <v>增加项目4-</v>
      </c>
      <c r="C540" s="325">
        <f t="shared" si="60"/>
        <v>0</v>
      </c>
      <c r="D540" s="1" t="b">
        <f t="shared" si="59"/>
        <v>1</v>
      </c>
      <c r="E540" s="315"/>
      <c r="H540" s="1" t="b">
        <f t="shared" si="58"/>
        <v>0</v>
      </c>
      <c r="K540" s="1" t="b">
        <v>1</v>
      </c>
    </row>
    <row r="541" spans="1:11">
      <c r="A541" s="1" t="s">
        <v>1613</v>
      </c>
      <c r="B541" s="336" t="str">
        <f>报表附注!E916</f>
        <v>增加项目5-</v>
      </c>
      <c r="C541" s="325">
        <f t="shared" si="60"/>
        <v>0</v>
      </c>
      <c r="D541" s="1" t="b">
        <f t="shared" si="59"/>
        <v>1</v>
      </c>
      <c r="E541" s="315"/>
      <c r="H541" s="1" t="b">
        <f t="shared" si="58"/>
        <v>0</v>
      </c>
      <c r="I541" s="1" t="s">
        <v>1632</v>
      </c>
      <c r="K541" s="1" t="b">
        <v>1</v>
      </c>
    </row>
    <row r="542" spans="1:11">
      <c r="A542" s="1" t="s">
        <v>1614</v>
      </c>
      <c r="B542" s="336" t="str">
        <f>报表附注!E917</f>
        <v>增加项目6-</v>
      </c>
      <c r="C542" s="325">
        <f t="shared" si="60"/>
        <v>0</v>
      </c>
      <c r="D542" s="1" t="b">
        <f t="shared" si="59"/>
        <v>1</v>
      </c>
      <c r="E542" s="315"/>
      <c r="H542" s="1" t="b">
        <f t="shared" si="58"/>
        <v>0</v>
      </c>
      <c r="I542" s="1" t="s">
        <v>1579</v>
      </c>
      <c r="K542" s="1" t="b">
        <v>1</v>
      </c>
    </row>
    <row r="543" spans="1:11">
      <c r="A543" s="1" t="s">
        <v>1615</v>
      </c>
      <c r="B543" s="336" t="str">
        <f>报表附注!E918</f>
        <v>增加项目7-</v>
      </c>
      <c r="C543" s="325">
        <f t="shared" si="60"/>
        <v>0</v>
      </c>
      <c r="D543" s="1" t="b">
        <f t="shared" si="59"/>
        <v>1</v>
      </c>
      <c r="E543" s="315"/>
      <c r="H543" s="1" t="b">
        <f t="shared" si="58"/>
        <v>0</v>
      </c>
      <c r="I543" s="1" t="s">
        <v>1633</v>
      </c>
      <c r="K543" s="1" t="b">
        <v>1</v>
      </c>
    </row>
    <row r="544" spans="1:11">
      <c r="A544" s="1" t="s">
        <v>1616</v>
      </c>
      <c r="B544" s="336" t="str">
        <f>报表附注!E919</f>
        <v>增加项目8-</v>
      </c>
      <c r="C544" s="325">
        <f t="shared" si="60"/>
        <v>0</v>
      </c>
      <c r="D544" s="1" t="b">
        <f t="shared" si="59"/>
        <v>1</v>
      </c>
      <c r="E544" s="315"/>
      <c r="H544" s="1" t="b">
        <f t="shared" si="58"/>
        <v>0</v>
      </c>
      <c r="I544" s="1" t="s">
        <v>635</v>
      </c>
      <c r="K544" s="1" t="b">
        <v>1</v>
      </c>
    </row>
    <row r="545" spans="1:11">
      <c r="A545" s="1" t="s">
        <v>1580</v>
      </c>
      <c r="B545" s="324" t="str">
        <f>报表附注!E920</f>
        <v>合计</v>
      </c>
      <c r="C545" s="325">
        <f t="shared" si="60"/>
        <v>0</v>
      </c>
      <c r="D545" s="1" t="b">
        <f t="shared" si="59"/>
        <v>1</v>
      </c>
      <c r="E545" s="315"/>
      <c r="H545" s="1" t="b">
        <f t="shared" si="58"/>
        <v>0</v>
      </c>
      <c r="I545" s="1" t="s">
        <v>279</v>
      </c>
      <c r="K545" s="1" t="b">
        <v>1</v>
      </c>
    </row>
    <row r="546" spans="4:11">
      <c r="D546" s="1" t="b">
        <f t="shared" si="59"/>
        <v>1</v>
      </c>
      <c r="H546" s="1" t="b">
        <f t="shared" si="58"/>
        <v>0</v>
      </c>
      <c r="I546" s="1" t="s">
        <v>1580</v>
      </c>
      <c r="K546" s="1" t="b">
        <v>1</v>
      </c>
    </row>
    <row r="547" spans="1:11">
      <c r="A547" s="1" t="s">
        <v>1631</v>
      </c>
      <c r="B547" s="333" t="s">
        <v>1631</v>
      </c>
      <c r="D547" s="1" t="b">
        <f t="shared" si="59"/>
        <v>1</v>
      </c>
      <c r="H547" s="1" t="b">
        <f t="shared" si="58"/>
        <v>0</v>
      </c>
      <c r="I547" s="1" t="s">
        <v>315</v>
      </c>
      <c r="K547" s="1" t="b">
        <v>1</v>
      </c>
    </row>
    <row r="548" spans="4:11">
      <c r="D548" s="1" t="b">
        <f t="shared" si="59"/>
        <v>1</v>
      </c>
      <c r="H548" s="1" t="b">
        <f t="shared" si="58"/>
        <v>0</v>
      </c>
      <c r="I548" s="1" t="s">
        <v>1633</v>
      </c>
      <c r="K548" s="1" t="b">
        <v>1</v>
      </c>
    </row>
    <row r="549" spans="1:11">
      <c r="A549" s="1" t="s">
        <v>1632</v>
      </c>
      <c r="B549" s="331" t="s">
        <v>1632</v>
      </c>
      <c r="D549" s="1" t="b">
        <f t="shared" si="59"/>
        <v>1</v>
      </c>
      <c r="H549" s="1" t="b">
        <f t="shared" si="58"/>
        <v>0</v>
      </c>
      <c r="I549" s="1" t="s">
        <v>635</v>
      </c>
      <c r="K549" s="1" t="b">
        <v>1</v>
      </c>
    </row>
    <row r="550" spans="1:11">
      <c r="A550" s="1" t="s">
        <v>1579</v>
      </c>
      <c r="B550" s="332" t="s">
        <v>1579</v>
      </c>
      <c r="D550" s="1" t="b">
        <f t="shared" si="59"/>
        <v>1</v>
      </c>
      <c r="H550" s="1" t="b">
        <f t="shared" si="58"/>
        <v>0</v>
      </c>
      <c r="I550" s="1" t="s">
        <v>279</v>
      </c>
      <c r="K550" s="1" t="b">
        <v>1</v>
      </c>
    </row>
    <row r="551" spans="1:11">
      <c r="A551" s="1" t="s">
        <v>1633</v>
      </c>
      <c r="B551" s="313" t="str">
        <f>报表附注!E963</f>
        <v>可供出售债权投资</v>
      </c>
      <c r="C551" s="325">
        <f t="shared" ref="C551:C559" si="61">J543</f>
        <v>0</v>
      </c>
      <c r="D551" s="1" t="b">
        <f t="shared" si="59"/>
        <v>1</v>
      </c>
      <c r="E551" s="325">
        <f>C556</f>
        <v>0</v>
      </c>
      <c r="H551" s="1" t="b">
        <f t="shared" si="58"/>
        <v>0</v>
      </c>
      <c r="I551" s="1" t="s">
        <v>1580</v>
      </c>
      <c r="K551" s="1" t="b">
        <v>1</v>
      </c>
    </row>
    <row r="552" spans="1:11">
      <c r="A552" s="1" t="s">
        <v>635</v>
      </c>
      <c r="B552" s="313" t="str">
        <f>报表附注!E964</f>
        <v>可供出售权益工具</v>
      </c>
      <c r="C552" s="325">
        <f t="shared" si="61"/>
        <v>0</v>
      </c>
      <c r="D552" s="1" t="b">
        <f t="shared" si="59"/>
        <v>1</v>
      </c>
      <c r="E552" s="325">
        <f>C557</f>
        <v>0</v>
      </c>
      <c r="H552" s="1" t="b">
        <f t="shared" si="58"/>
        <v>0</v>
      </c>
      <c r="K552" s="1" t="b">
        <v>1</v>
      </c>
    </row>
    <row r="553" spans="1:11">
      <c r="A553" s="1" t="s">
        <v>279</v>
      </c>
      <c r="B553" s="313" t="str">
        <f>报表附注!E965</f>
        <v>其他</v>
      </c>
      <c r="C553" s="325">
        <f t="shared" si="61"/>
        <v>0</v>
      </c>
      <c r="D553" s="1" t="b">
        <f t="shared" si="59"/>
        <v>1</v>
      </c>
      <c r="E553" s="325">
        <f>C558</f>
        <v>0</v>
      </c>
      <c r="H553" s="1" t="b">
        <f t="shared" si="58"/>
        <v>0</v>
      </c>
      <c r="I553" s="1" t="s">
        <v>1634</v>
      </c>
      <c r="K553" s="1" t="b">
        <v>1</v>
      </c>
    </row>
    <row r="554" spans="1:11">
      <c r="A554" s="1" t="s">
        <v>1580</v>
      </c>
      <c r="B554" s="324" t="str">
        <f>报表附注!E966</f>
        <v>合计</v>
      </c>
      <c r="C554" s="325">
        <f t="shared" si="61"/>
        <v>0</v>
      </c>
      <c r="D554" s="1" t="b">
        <f t="shared" si="59"/>
        <v>1</v>
      </c>
      <c r="E554" s="325">
        <f>C559</f>
        <v>0</v>
      </c>
      <c r="H554" s="1" t="b">
        <f t="shared" si="58"/>
        <v>0</v>
      </c>
      <c r="K554" s="1" t="b">
        <v>1</v>
      </c>
    </row>
    <row r="555" spans="1:11">
      <c r="A555" s="1" t="s">
        <v>315</v>
      </c>
      <c r="B555" s="332" t="s">
        <v>315</v>
      </c>
      <c r="C555" s="330">
        <f t="shared" si="61"/>
        <v>0</v>
      </c>
      <c r="D555" s="1" t="b">
        <f t="shared" si="59"/>
        <v>1</v>
      </c>
      <c r="H555" s="1" t="b">
        <f t="shared" si="58"/>
        <v>0</v>
      </c>
      <c r="I555" s="1" t="s">
        <v>1635</v>
      </c>
      <c r="K555" s="1" t="b">
        <v>1</v>
      </c>
    </row>
    <row r="556" spans="1:11">
      <c r="A556" s="1" t="s">
        <v>1633</v>
      </c>
      <c r="B556" s="313" t="str">
        <f>报表附注!E963</f>
        <v>可供出售债权投资</v>
      </c>
      <c r="C556" s="325">
        <f t="shared" si="61"/>
        <v>0</v>
      </c>
      <c r="D556" s="1" t="b">
        <f t="shared" si="59"/>
        <v>1</v>
      </c>
      <c r="E556" s="315"/>
      <c r="H556" s="1" t="b">
        <f t="shared" si="58"/>
        <v>0</v>
      </c>
      <c r="I556" s="1" t="s">
        <v>1579</v>
      </c>
      <c r="K556" s="1" t="b">
        <v>1</v>
      </c>
    </row>
    <row r="557" spans="1:11">
      <c r="A557" s="1" t="s">
        <v>635</v>
      </c>
      <c r="B557" s="313" t="str">
        <f>报表附注!E964</f>
        <v>可供出售权益工具</v>
      </c>
      <c r="C557" s="325">
        <f t="shared" si="61"/>
        <v>0</v>
      </c>
      <c r="D557" s="1" t="b">
        <f t="shared" si="59"/>
        <v>1</v>
      </c>
      <c r="E557" s="315"/>
      <c r="H557" s="1" t="b">
        <f t="shared" si="58"/>
        <v>0</v>
      </c>
      <c r="I557" s="1" t="s">
        <v>658</v>
      </c>
      <c r="K557" s="1" t="b">
        <v>1</v>
      </c>
    </row>
    <row r="558" spans="1:11">
      <c r="A558" s="1" t="s">
        <v>279</v>
      </c>
      <c r="B558" s="313" t="str">
        <f>报表附注!E965</f>
        <v>其他</v>
      </c>
      <c r="C558" s="325">
        <f t="shared" si="61"/>
        <v>0</v>
      </c>
      <c r="D558" s="1" t="b">
        <f t="shared" si="59"/>
        <v>1</v>
      </c>
      <c r="E558" s="315"/>
      <c r="H558" s="1" t="b">
        <f t="shared" si="58"/>
        <v>0</v>
      </c>
      <c r="I558" s="1" t="s">
        <v>660</v>
      </c>
      <c r="K558" s="1" t="b">
        <v>1</v>
      </c>
    </row>
    <row r="559" spans="1:11">
      <c r="A559" s="1" t="s">
        <v>1580</v>
      </c>
      <c r="B559" s="324" t="str">
        <f>报表附注!E966</f>
        <v>合计</v>
      </c>
      <c r="C559" s="325">
        <f t="shared" si="61"/>
        <v>0</v>
      </c>
      <c r="D559" s="1" t="b">
        <f t="shared" si="59"/>
        <v>1</v>
      </c>
      <c r="E559" s="315"/>
      <c r="H559" s="1" t="b">
        <f t="shared" si="58"/>
        <v>0</v>
      </c>
      <c r="I559" s="1" t="s">
        <v>662</v>
      </c>
      <c r="K559" s="1" t="b">
        <v>1</v>
      </c>
    </row>
    <row r="560" spans="4:11">
      <c r="D560" s="1" t="b">
        <f t="shared" si="59"/>
        <v>1</v>
      </c>
      <c r="H560" s="1" t="b">
        <f t="shared" si="58"/>
        <v>0</v>
      </c>
      <c r="I560" s="1" t="s">
        <v>279</v>
      </c>
      <c r="K560" s="1" t="b">
        <v>1</v>
      </c>
    </row>
    <row r="561" spans="1:11">
      <c r="A561" s="1" t="s">
        <v>1634</v>
      </c>
      <c r="B561" s="333" t="s">
        <v>1634</v>
      </c>
      <c r="D561" s="1" t="b">
        <f t="shared" si="59"/>
        <v>1</v>
      </c>
      <c r="H561" s="1" t="b">
        <f t="shared" si="58"/>
        <v>0</v>
      </c>
      <c r="I561" s="1" t="s">
        <v>1580</v>
      </c>
      <c r="K561" s="1" t="b">
        <v>1</v>
      </c>
    </row>
    <row r="562" spans="4:11">
      <c r="D562" s="1" t="b">
        <f t="shared" si="59"/>
        <v>1</v>
      </c>
      <c r="H562" s="1" t="b">
        <f t="shared" si="58"/>
        <v>0</v>
      </c>
      <c r="I562" s="1" t="s">
        <v>315</v>
      </c>
      <c r="K562" s="1" t="b">
        <v>1</v>
      </c>
    </row>
    <row r="563" spans="1:11">
      <c r="A563" s="1" t="s">
        <v>1635</v>
      </c>
      <c r="B563" s="331" t="s">
        <v>1635</v>
      </c>
      <c r="D563" s="1" t="b">
        <f t="shared" si="59"/>
        <v>1</v>
      </c>
      <c r="H563" s="1" t="b">
        <f t="shared" si="58"/>
        <v>0</v>
      </c>
      <c r="I563" s="1" t="s">
        <v>658</v>
      </c>
      <c r="K563" s="1" t="b">
        <v>1</v>
      </c>
    </row>
    <row r="564" spans="1:11">
      <c r="A564" s="1" t="s">
        <v>1579</v>
      </c>
      <c r="B564" s="332" t="s">
        <v>1579</v>
      </c>
      <c r="D564" s="1" t="b">
        <f t="shared" si="59"/>
        <v>1</v>
      </c>
      <c r="H564" s="1" t="b">
        <f t="shared" si="58"/>
        <v>0</v>
      </c>
      <c r="I564" s="1" t="s">
        <v>660</v>
      </c>
      <c r="K564" s="1" t="b">
        <v>1</v>
      </c>
    </row>
    <row r="565" spans="1:11">
      <c r="A565" s="1" t="s">
        <v>658</v>
      </c>
      <c r="B565" s="313" t="str">
        <f>报表附注!E1016</f>
        <v>融资租赁</v>
      </c>
      <c r="C565" s="325">
        <f t="shared" ref="C565:C575" si="62">J557</f>
        <v>0</v>
      </c>
      <c r="D565" s="1" t="b">
        <f t="shared" si="59"/>
        <v>1</v>
      </c>
      <c r="E565" s="325">
        <f>C571</f>
        <v>0</v>
      </c>
      <c r="H565" s="1" t="b">
        <f t="shared" si="58"/>
        <v>0</v>
      </c>
      <c r="I565" s="1" t="s">
        <v>662</v>
      </c>
      <c r="K565" s="1" t="b">
        <v>1</v>
      </c>
    </row>
    <row r="566" spans="1:11">
      <c r="A566" s="1" t="s">
        <v>660</v>
      </c>
      <c r="B566" s="313" t="str">
        <f>报表附注!E1017</f>
        <v>分期收款销售商品</v>
      </c>
      <c r="C566" s="325">
        <f t="shared" si="62"/>
        <v>0</v>
      </c>
      <c r="D566" s="1" t="b">
        <f t="shared" si="59"/>
        <v>1</v>
      </c>
      <c r="E566" s="325">
        <f>C572</f>
        <v>0</v>
      </c>
      <c r="H566" s="1" t="b">
        <f t="shared" si="58"/>
        <v>0</v>
      </c>
      <c r="I566" s="1" t="s">
        <v>279</v>
      </c>
      <c r="K566" s="1" t="b">
        <v>1</v>
      </c>
    </row>
    <row r="567" spans="1:11">
      <c r="A567" s="1" t="s">
        <v>662</v>
      </c>
      <c r="B567" s="313" t="str">
        <f>报表附注!E1018</f>
        <v>分期收款提供劳务</v>
      </c>
      <c r="C567" s="325">
        <f t="shared" si="62"/>
        <v>0</v>
      </c>
      <c r="D567" s="1" t="b">
        <f t="shared" si="59"/>
        <v>1</v>
      </c>
      <c r="E567" s="325">
        <f>C573</f>
        <v>0</v>
      </c>
      <c r="H567" s="1" t="b">
        <f t="shared" si="58"/>
        <v>0</v>
      </c>
      <c r="I567" s="1" t="s">
        <v>1580</v>
      </c>
      <c r="K567" s="1" t="b">
        <v>1</v>
      </c>
    </row>
    <row r="568" spans="1:11">
      <c r="A568" s="1" t="s">
        <v>279</v>
      </c>
      <c r="B568" s="313" t="str">
        <f>报表附注!E1019</f>
        <v>其他</v>
      </c>
      <c r="C568" s="325">
        <f t="shared" si="62"/>
        <v>0</v>
      </c>
      <c r="D568" s="1" t="b">
        <f t="shared" si="59"/>
        <v>1</v>
      </c>
      <c r="E568" s="325">
        <f>C574</f>
        <v>0</v>
      </c>
      <c r="H568" s="1" t="b">
        <f t="shared" si="58"/>
        <v>0</v>
      </c>
      <c r="K568" s="1" t="b">
        <v>1</v>
      </c>
    </row>
    <row r="569" spans="1:11">
      <c r="A569" s="1" t="s">
        <v>1580</v>
      </c>
      <c r="B569" s="324" t="str">
        <f>报表附注!E1020</f>
        <v>合计</v>
      </c>
      <c r="C569" s="325">
        <f t="shared" si="62"/>
        <v>0</v>
      </c>
      <c r="D569" s="1" t="b">
        <f t="shared" si="59"/>
        <v>1</v>
      </c>
      <c r="E569" s="325">
        <f>C575</f>
        <v>0</v>
      </c>
      <c r="H569" s="1" t="b">
        <f t="shared" si="58"/>
        <v>0</v>
      </c>
      <c r="I569" s="1" t="s">
        <v>1636</v>
      </c>
      <c r="K569" s="1" t="b">
        <v>1</v>
      </c>
    </row>
    <row r="570" spans="1:11">
      <c r="A570" s="1" t="s">
        <v>315</v>
      </c>
      <c r="B570" s="332" t="s">
        <v>315</v>
      </c>
      <c r="C570" s="330">
        <f t="shared" si="62"/>
        <v>0</v>
      </c>
      <c r="D570" s="1" t="b">
        <f t="shared" si="59"/>
        <v>1</v>
      </c>
      <c r="H570" s="1" t="b">
        <f t="shared" si="58"/>
        <v>0</v>
      </c>
      <c r="K570" s="1" t="b">
        <v>1</v>
      </c>
    </row>
    <row r="571" spans="1:11">
      <c r="A571" s="1" t="s">
        <v>658</v>
      </c>
      <c r="B571" s="313" t="str">
        <f>报表附注!E1016</f>
        <v>融资租赁</v>
      </c>
      <c r="C571" s="325">
        <f t="shared" si="62"/>
        <v>0</v>
      </c>
      <c r="D571" s="1" t="b">
        <f t="shared" si="59"/>
        <v>1</v>
      </c>
      <c r="E571" s="315"/>
      <c r="H571" s="1" t="b">
        <f t="shared" si="58"/>
        <v>0</v>
      </c>
      <c r="I571" s="1" t="s">
        <v>1637</v>
      </c>
      <c r="K571" s="1" t="b">
        <v>1</v>
      </c>
    </row>
    <row r="572" spans="1:11">
      <c r="A572" s="1" t="s">
        <v>660</v>
      </c>
      <c r="B572" s="313" t="str">
        <f>报表附注!E1017</f>
        <v>分期收款销售商品</v>
      </c>
      <c r="C572" s="325">
        <f t="shared" si="62"/>
        <v>0</v>
      </c>
      <c r="D572" s="1" t="b">
        <f t="shared" si="59"/>
        <v>1</v>
      </c>
      <c r="E572" s="315"/>
      <c r="H572" s="1" t="b">
        <f t="shared" si="58"/>
        <v>0</v>
      </c>
      <c r="K572" s="1" t="b">
        <v>1</v>
      </c>
    </row>
    <row r="573" spans="1:11">
      <c r="A573" s="1" t="s">
        <v>662</v>
      </c>
      <c r="B573" s="313" t="str">
        <f>报表附注!E1018</f>
        <v>分期收款提供劳务</v>
      </c>
      <c r="C573" s="325">
        <f t="shared" si="62"/>
        <v>0</v>
      </c>
      <c r="D573" s="1" t="b">
        <f t="shared" si="59"/>
        <v>1</v>
      </c>
      <c r="E573" s="315"/>
      <c r="H573" s="1" t="b">
        <f t="shared" si="58"/>
        <v>0</v>
      </c>
      <c r="I573" s="1" t="s">
        <v>1638</v>
      </c>
      <c r="K573" s="1" t="b">
        <v>1</v>
      </c>
    </row>
    <row r="574" spans="1:11">
      <c r="A574" s="1" t="s">
        <v>279</v>
      </c>
      <c r="B574" s="313" t="str">
        <f>报表附注!E1019</f>
        <v>其他</v>
      </c>
      <c r="C574" s="325">
        <f t="shared" si="62"/>
        <v>0</v>
      </c>
      <c r="D574" s="1" t="b">
        <f t="shared" si="59"/>
        <v>1</v>
      </c>
      <c r="E574" s="315"/>
      <c r="H574" s="1" t="b">
        <f t="shared" si="58"/>
        <v>0</v>
      </c>
      <c r="I574" s="1" t="s">
        <v>1639</v>
      </c>
      <c r="K574" s="1" t="b">
        <v>1</v>
      </c>
    </row>
    <row r="575" spans="1:11">
      <c r="A575" s="1" t="s">
        <v>1580</v>
      </c>
      <c r="B575" s="324" t="str">
        <f>报表附注!E1020</f>
        <v>合计</v>
      </c>
      <c r="C575" s="325">
        <f t="shared" si="62"/>
        <v>0</v>
      </c>
      <c r="D575" s="1" t="b">
        <f t="shared" si="59"/>
        <v>1</v>
      </c>
      <c r="E575" s="315"/>
      <c r="H575" s="1" t="b">
        <f t="shared" si="58"/>
        <v>0</v>
      </c>
      <c r="I575" s="1" t="s">
        <v>1579</v>
      </c>
      <c r="K575" s="1" t="b">
        <v>1</v>
      </c>
    </row>
    <row r="576" spans="4:11">
      <c r="D576" s="1" t="b">
        <f t="shared" si="59"/>
        <v>1</v>
      </c>
      <c r="E576" s="311"/>
      <c r="H576" s="1" t="b">
        <f t="shared" si="58"/>
        <v>0</v>
      </c>
      <c r="I576" s="1" t="s">
        <v>714</v>
      </c>
      <c r="K576" s="1" t="b">
        <v>1</v>
      </c>
    </row>
    <row r="577" spans="1:11">
      <c r="A577" s="1" t="s">
        <v>1636</v>
      </c>
      <c r="B577" s="333" t="s">
        <v>1636</v>
      </c>
      <c r="D577" s="1" t="b">
        <f t="shared" si="59"/>
        <v>1</v>
      </c>
      <c r="H577" s="1" t="b">
        <f t="shared" si="58"/>
        <v>0</v>
      </c>
      <c r="I577" s="1" t="s">
        <v>1640</v>
      </c>
      <c r="K577" s="1" t="b">
        <v>1</v>
      </c>
    </row>
    <row r="578" spans="4:11">
      <c r="D578" s="1" t="b">
        <f t="shared" si="59"/>
        <v>1</v>
      </c>
      <c r="H578" s="1" t="b">
        <f t="shared" si="58"/>
        <v>0</v>
      </c>
      <c r="I578" s="1" t="s">
        <v>1641</v>
      </c>
      <c r="K578" s="1" t="b">
        <v>1</v>
      </c>
    </row>
    <row r="579" spans="1:11">
      <c r="A579" s="1" t="s">
        <v>1637</v>
      </c>
      <c r="B579" s="333" t="s">
        <v>1637</v>
      </c>
      <c r="D579" s="1" t="b">
        <f t="shared" si="59"/>
        <v>1</v>
      </c>
      <c r="H579" s="1" t="b">
        <f t="shared" si="58"/>
        <v>0</v>
      </c>
      <c r="I579" s="1" t="s">
        <v>1642</v>
      </c>
      <c r="K579" s="1" t="b">
        <v>1</v>
      </c>
    </row>
    <row r="580" spans="4:11">
      <c r="D580" s="1" t="b">
        <f t="shared" si="59"/>
        <v>1</v>
      </c>
      <c r="H580" s="1" t="b">
        <f t="shared" ref="H580:H643" si="63">I580=B580</f>
        <v>0</v>
      </c>
      <c r="I580" s="1" t="s">
        <v>1640</v>
      </c>
      <c r="K580" s="1" t="b">
        <v>1</v>
      </c>
    </row>
    <row r="581" spans="1:11">
      <c r="A581" s="1" t="s">
        <v>1638</v>
      </c>
      <c r="B581" s="331" t="s">
        <v>1638</v>
      </c>
      <c r="D581" s="1" t="b">
        <f t="shared" si="59"/>
        <v>1</v>
      </c>
      <c r="H581" s="1" t="b">
        <f t="shared" si="63"/>
        <v>0</v>
      </c>
      <c r="I581" s="1" t="s">
        <v>1641</v>
      </c>
      <c r="K581" s="1" t="b">
        <v>1</v>
      </c>
    </row>
    <row r="582" spans="1:11">
      <c r="A582" s="1" t="s">
        <v>1639</v>
      </c>
      <c r="B582" s="331" t="s">
        <v>1639</v>
      </c>
      <c r="D582" s="1" t="b">
        <f t="shared" si="59"/>
        <v>1</v>
      </c>
      <c r="H582" s="1" t="b">
        <f t="shared" si="63"/>
        <v>0</v>
      </c>
      <c r="I582" s="1" t="s">
        <v>1643</v>
      </c>
      <c r="K582" s="1" t="b">
        <v>1</v>
      </c>
    </row>
    <row r="583" spans="1:11">
      <c r="A583" s="1" t="s">
        <v>1579</v>
      </c>
      <c r="B583" s="335" t="s">
        <v>1579</v>
      </c>
      <c r="D583" s="1" t="b">
        <f t="shared" si="59"/>
        <v>1</v>
      </c>
      <c r="H583" s="1" t="b">
        <f t="shared" si="63"/>
        <v>0</v>
      </c>
      <c r="I583" s="1" t="s">
        <v>1640</v>
      </c>
      <c r="K583" s="1" t="b">
        <v>1</v>
      </c>
    </row>
    <row r="584" spans="1:11">
      <c r="A584" s="1" t="s">
        <v>714</v>
      </c>
      <c r="B584" s="313" t="str">
        <f>报表附注!E1104</f>
        <v>一、原价合计</v>
      </c>
      <c r="C584" s="325">
        <f t="shared" ref="C584:C615" si="64">J576</f>
        <v>0</v>
      </c>
      <c r="D584" s="1" t="b">
        <f t="shared" si="59"/>
        <v>1</v>
      </c>
      <c r="E584" s="325">
        <f>C584+C594-C604</f>
        <v>0</v>
      </c>
      <c r="H584" s="1" t="b">
        <f t="shared" si="63"/>
        <v>0</v>
      </c>
      <c r="I584" s="1" t="s">
        <v>1641</v>
      </c>
      <c r="K584" s="1" t="b">
        <v>1</v>
      </c>
    </row>
    <row r="585" spans="1:11">
      <c r="A585" s="1" t="s">
        <v>1640</v>
      </c>
      <c r="B585" s="313" t="str">
        <f>报表附注!E1105</f>
        <v>1．房屋、建筑物</v>
      </c>
      <c r="C585" s="325">
        <f t="shared" si="64"/>
        <v>0</v>
      </c>
      <c r="D585" s="1" t="b">
        <f t="shared" si="59"/>
        <v>1</v>
      </c>
      <c r="E585" s="325">
        <f t="shared" ref="E585:E592" si="65">C585+C595-C605</f>
        <v>0</v>
      </c>
      <c r="H585" s="1" t="b">
        <f t="shared" si="63"/>
        <v>0</v>
      </c>
      <c r="I585" s="1" t="s">
        <v>671</v>
      </c>
      <c r="K585" s="1" t="b">
        <v>1</v>
      </c>
    </row>
    <row r="586" spans="1:11">
      <c r="A586" s="1" t="s">
        <v>1641</v>
      </c>
      <c r="B586" s="313" t="str">
        <f>报表附注!E1106</f>
        <v>2．土地使用权</v>
      </c>
      <c r="C586" s="325">
        <f t="shared" si="64"/>
        <v>0</v>
      </c>
      <c r="D586" s="1" t="b">
        <f t="shared" si="59"/>
        <v>1</v>
      </c>
      <c r="E586" s="325">
        <f t="shared" si="65"/>
        <v>0</v>
      </c>
      <c r="H586" s="1" t="b">
        <f t="shared" si="63"/>
        <v>0</v>
      </c>
      <c r="I586" s="1" t="s">
        <v>714</v>
      </c>
      <c r="K586" s="1" t="b">
        <v>1</v>
      </c>
    </row>
    <row r="587" spans="1:11">
      <c r="A587" s="1" t="s">
        <v>1642</v>
      </c>
      <c r="B587" s="313" t="str">
        <f>报表附注!E1107</f>
        <v>二、累计折旧或累计摊销合计</v>
      </c>
      <c r="C587" s="325">
        <f t="shared" si="64"/>
        <v>0</v>
      </c>
      <c r="D587" s="1" t="b">
        <f t="shared" si="59"/>
        <v>1</v>
      </c>
      <c r="E587" s="325">
        <f t="shared" si="65"/>
        <v>0</v>
      </c>
      <c r="H587" s="1" t="b">
        <f t="shared" si="63"/>
        <v>0</v>
      </c>
      <c r="I587" s="1" t="s">
        <v>1640</v>
      </c>
      <c r="K587" s="1" t="b">
        <v>1</v>
      </c>
    </row>
    <row r="588" spans="1:11">
      <c r="A588" s="1" t="s">
        <v>1640</v>
      </c>
      <c r="B588" s="313" t="str">
        <f>报表附注!E1108</f>
        <v>1．房屋、建筑物</v>
      </c>
      <c r="C588" s="325">
        <f t="shared" si="64"/>
        <v>0</v>
      </c>
      <c r="D588" s="1" t="b">
        <f t="shared" ref="D588:D651" si="66">EXACT(A588,B588)</f>
        <v>1</v>
      </c>
      <c r="E588" s="325">
        <f t="shared" si="65"/>
        <v>0</v>
      </c>
      <c r="H588" s="1" t="b">
        <f t="shared" si="63"/>
        <v>0</v>
      </c>
      <c r="I588" s="1" t="s">
        <v>1641</v>
      </c>
      <c r="K588" s="1" t="b">
        <v>1</v>
      </c>
    </row>
    <row r="589" spans="1:11">
      <c r="A589" s="1" t="s">
        <v>1641</v>
      </c>
      <c r="B589" s="313" t="str">
        <f>报表附注!E1109</f>
        <v>2．土地使用权</v>
      </c>
      <c r="C589" s="325">
        <f t="shared" si="64"/>
        <v>0</v>
      </c>
      <c r="D589" s="1" t="b">
        <f t="shared" si="66"/>
        <v>1</v>
      </c>
      <c r="E589" s="325">
        <f t="shared" si="65"/>
        <v>0</v>
      </c>
      <c r="H589" s="1" t="b">
        <f t="shared" si="63"/>
        <v>0</v>
      </c>
      <c r="I589" s="1" t="s">
        <v>1642</v>
      </c>
      <c r="K589" s="1" t="b">
        <v>1</v>
      </c>
    </row>
    <row r="590" spans="1:11">
      <c r="A590" s="1" t="s">
        <v>1643</v>
      </c>
      <c r="B590" s="313" t="str">
        <f>报表附注!E1110</f>
        <v>三、投资性房地产减值准备合计</v>
      </c>
      <c r="C590" s="325">
        <f t="shared" si="64"/>
        <v>0</v>
      </c>
      <c r="D590" s="1" t="b">
        <f t="shared" si="66"/>
        <v>1</v>
      </c>
      <c r="E590" s="325">
        <f t="shared" si="65"/>
        <v>0</v>
      </c>
      <c r="H590" s="1" t="b">
        <f t="shared" si="63"/>
        <v>0</v>
      </c>
      <c r="I590" s="1" t="s">
        <v>1640</v>
      </c>
      <c r="K590" s="1" t="b">
        <v>1</v>
      </c>
    </row>
    <row r="591" spans="1:11">
      <c r="A591" s="1" t="s">
        <v>1640</v>
      </c>
      <c r="B591" s="313" t="str">
        <f>报表附注!E1111</f>
        <v>1．房屋、建筑物</v>
      </c>
      <c r="C591" s="325">
        <f t="shared" si="64"/>
        <v>0</v>
      </c>
      <c r="D591" s="1" t="b">
        <f t="shared" si="66"/>
        <v>1</v>
      </c>
      <c r="E591" s="325">
        <f t="shared" si="65"/>
        <v>0</v>
      </c>
      <c r="H591" s="1" t="b">
        <f t="shared" si="63"/>
        <v>0</v>
      </c>
      <c r="I591" s="1" t="s">
        <v>1641</v>
      </c>
      <c r="K591" s="1" t="b">
        <v>1</v>
      </c>
    </row>
    <row r="592" spans="1:11">
      <c r="A592" s="1" t="s">
        <v>1641</v>
      </c>
      <c r="B592" s="313" t="str">
        <f>报表附注!E1112</f>
        <v>2．土地使用权</v>
      </c>
      <c r="C592" s="325">
        <f t="shared" si="64"/>
        <v>0</v>
      </c>
      <c r="D592" s="1" t="b">
        <f t="shared" si="66"/>
        <v>1</v>
      </c>
      <c r="E592" s="325">
        <f t="shared" si="65"/>
        <v>0</v>
      </c>
      <c r="H592" s="1" t="b">
        <f t="shared" si="63"/>
        <v>0</v>
      </c>
      <c r="I592" s="1" t="s">
        <v>1643</v>
      </c>
      <c r="K592" s="1" t="b">
        <v>1</v>
      </c>
    </row>
    <row r="593" spans="1:11">
      <c r="A593" s="1" t="s">
        <v>671</v>
      </c>
      <c r="B593" s="335" t="s">
        <v>671</v>
      </c>
      <c r="C593" s="330">
        <f t="shared" si="64"/>
        <v>0</v>
      </c>
      <c r="D593" s="1" t="b">
        <f t="shared" si="66"/>
        <v>1</v>
      </c>
      <c r="H593" s="1" t="b">
        <f t="shared" si="63"/>
        <v>0</v>
      </c>
      <c r="I593" s="1" t="s">
        <v>1640</v>
      </c>
      <c r="K593" s="1" t="b">
        <v>1</v>
      </c>
    </row>
    <row r="594" spans="1:11">
      <c r="A594" s="1" t="s">
        <v>714</v>
      </c>
      <c r="B594" s="313" t="str">
        <f>报表附注!E1104</f>
        <v>一、原价合计</v>
      </c>
      <c r="C594" s="325">
        <f t="shared" si="64"/>
        <v>0</v>
      </c>
      <c r="D594" s="1" t="b">
        <f t="shared" si="66"/>
        <v>1</v>
      </c>
      <c r="E594" s="315"/>
      <c r="H594" s="1" t="b">
        <f t="shared" si="63"/>
        <v>0</v>
      </c>
      <c r="I594" s="1" t="s">
        <v>1641</v>
      </c>
      <c r="K594" s="1" t="b">
        <v>1</v>
      </c>
    </row>
    <row r="595" spans="1:11">
      <c r="A595" s="1" t="s">
        <v>1640</v>
      </c>
      <c r="B595" s="313" t="str">
        <f>报表附注!E1105</f>
        <v>1．房屋、建筑物</v>
      </c>
      <c r="C595" s="325">
        <f t="shared" si="64"/>
        <v>0</v>
      </c>
      <c r="D595" s="1" t="b">
        <f t="shared" si="66"/>
        <v>1</v>
      </c>
      <c r="E595" s="315"/>
      <c r="H595" s="1" t="b">
        <f t="shared" si="63"/>
        <v>0</v>
      </c>
      <c r="I595" s="1" t="s">
        <v>672</v>
      </c>
      <c r="K595" s="1" t="b">
        <v>1</v>
      </c>
    </row>
    <row r="596" spans="1:11">
      <c r="A596" s="1" t="s">
        <v>1641</v>
      </c>
      <c r="B596" s="313" t="str">
        <f>报表附注!E1106</f>
        <v>2．土地使用权</v>
      </c>
      <c r="C596" s="325">
        <f t="shared" si="64"/>
        <v>0</v>
      </c>
      <c r="D596" s="1" t="b">
        <f t="shared" si="66"/>
        <v>1</v>
      </c>
      <c r="E596" s="315"/>
      <c r="H596" s="1" t="b">
        <f t="shared" si="63"/>
        <v>0</v>
      </c>
      <c r="I596" s="1" t="s">
        <v>714</v>
      </c>
      <c r="K596" s="1" t="b">
        <v>1</v>
      </c>
    </row>
    <row r="597" spans="1:11">
      <c r="A597" s="1" t="s">
        <v>1642</v>
      </c>
      <c r="B597" s="313" t="str">
        <f>报表附注!E1107</f>
        <v>二、累计折旧或累计摊销合计</v>
      </c>
      <c r="C597" s="325">
        <f t="shared" si="64"/>
        <v>0</v>
      </c>
      <c r="D597" s="1" t="b">
        <f t="shared" si="66"/>
        <v>1</v>
      </c>
      <c r="E597" s="315"/>
      <c r="H597" s="1" t="b">
        <f t="shared" si="63"/>
        <v>0</v>
      </c>
      <c r="I597" s="1" t="s">
        <v>1640</v>
      </c>
      <c r="K597" s="1" t="b">
        <v>1</v>
      </c>
    </row>
    <row r="598" spans="1:11">
      <c r="A598" s="1" t="s">
        <v>1640</v>
      </c>
      <c r="B598" s="313" t="str">
        <f>报表附注!E1108</f>
        <v>1．房屋、建筑物</v>
      </c>
      <c r="C598" s="325">
        <f t="shared" si="64"/>
        <v>0</v>
      </c>
      <c r="D598" s="1" t="b">
        <f t="shared" si="66"/>
        <v>1</v>
      </c>
      <c r="E598" s="315"/>
      <c r="H598" s="1" t="b">
        <f t="shared" si="63"/>
        <v>0</v>
      </c>
      <c r="I598" s="1" t="s">
        <v>1641</v>
      </c>
      <c r="K598" s="1" t="b">
        <v>1</v>
      </c>
    </row>
    <row r="599" spans="1:11">
      <c r="A599" s="1" t="s">
        <v>1641</v>
      </c>
      <c r="B599" s="313" t="str">
        <f>报表附注!E1109</f>
        <v>2．土地使用权</v>
      </c>
      <c r="C599" s="325">
        <f t="shared" si="64"/>
        <v>0</v>
      </c>
      <c r="D599" s="1" t="b">
        <f t="shared" si="66"/>
        <v>1</v>
      </c>
      <c r="E599" s="315"/>
      <c r="H599" s="1" t="b">
        <f t="shared" si="63"/>
        <v>0</v>
      </c>
      <c r="I599" s="1" t="s">
        <v>1642</v>
      </c>
      <c r="K599" s="1" t="b">
        <v>1</v>
      </c>
    </row>
    <row r="600" spans="1:11">
      <c r="A600" s="1" t="s">
        <v>1643</v>
      </c>
      <c r="B600" s="313" t="str">
        <f>报表附注!E1110</f>
        <v>三、投资性房地产减值准备合计</v>
      </c>
      <c r="C600" s="325">
        <f t="shared" si="64"/>
        <v>0</v>
      </c>
      <c r="D600" s="1" t="b">
        <f t="shared" si="66"/>
        <v>1</v>
      </c>
      <c r="E600" s="315"/>
      <c r="H600" s="1" t="b">
        <f t="shared" si="63"/>
        <v>0</v>
      </c>
      <c r="I600" s="1" t="s">
        <v>1640</v>
      </c>
      <c r="K600" s="1" t="b">
        <v>1</v>
      </c>
    </row>
    <row r="601" spans="1:11">
      <c r="A601" s="1" t="s">
        <v>1640</v>
      </c>
      <c r="B601" s="313" t="str">
        <f>报表附注!E1111</f>
        <v>1．房屋、建筑物</v>
      </c>
      <c r="C601" s="325">
        <f t="shared" si="64"/>
        <v>0</v>
      </c>
      <c r="D601" s="1" t="b">
        <f t="shared" si="66"/>
        <v>1</v>
      </c>
      <c r="E601" s="315"/>
      <c r="H601" s="1" t="b">
        <f t="shared" si="63"/>
        <v>0</v>
      </c>
      <c r="I601" s="1" t="s">
        <v>1641</v>
      </c>
      <c r="K601" s="1" t="b">
        <v>1</v>
      </c>
    </row>
    <row r="602" spans="1:11">
      <c r="A602" s="1" t="s">
        <v>1641</v>
      </c>
      <c r="B602" s="313" t="str">
        <f>报表附注!E1112</f>
        <v>2．土地使用权</v>
      </c>
      <c r="C602" s="325">
        <f t="shared" si="64"/>
        <v>0</v>
      </c>
      <c r="D602" s="1" t="b">
        <f t="shared" si="66"/>
        <v>1</v>
      </c>
      <c r="E602" s="315"/>
      <c r="H602" s="1" t="b">
        <f t="shared" si="63"/>
        <v>0</v>
      </c>
      <c r="I602" s="1" t="s">
        <v>1643</v>
      </c>
      <c r="K602" s="1" t="b">
        <v>1</v>
      </c>
    </row>
    <row r="603" spans="1:11">
      <c r="A603" s="1" t="s">
        <v>672</v>
      </c>
      <c r="B603" s="335" t="s">
        <v>672</v>
      </c>
      <c r="C603" s="330">
        <f t="shared" si="64"/>
        <v>0</v>
      </c>
      <c r="D603" s="1" t="b">
        <f t="shared" si="66"/>
        <v>1</v>
      </c>
      <c r="E603" s="311"/>
      <c r="H603" s="1" t="b">
        <f t="shared" si="63"/>
        <v>0</v>
      </c>
      <c r="I603" s="1" t="s">
        <v>1640</v>
      </c>
      <c r="K603" s="1" t="b">
        <v>1</v>
      </c>
    </row>
    <row r="604" spans="1:11">
      <c r="A604" s="1" t="s">
        <v>714</v>
      </c>
      <c r="B604" s="313" t="str">
        <f>报表附注!E1104</f>
        <v>一、原价合计</v>
      </c>
      <c r="C604" s="325">
        <f t="shared" si="64"/>
        <v>0</v>
      </c>
      <c r="D604" s="1" t="b">
        <f t="shared" si="66"/>
        <v>1</v>
      </c>
      <c r="E604" s="315"/>
      <c r="H604" s="1" t="b">
        <f t="shared" si="63"/>
        <v>0</v>
      </c>
      <c r="I604" s="1" t="s">
        <v>1641</v>
      </c>
      <c r="K604" s="1" t="b">
        <v>1</v>
      </c>
    </row>
    <row r="605" spans="1:11">
      <c r="A605" s="1" t="s">
        <v>1640</v>
      </c>
      <c r="B605" s="313" t="str">
        <f>报表附注!E1105</f>
        <v>1．房屋、建筑物</v>
      </c>
      <c r="C605" s="325">
        <f t="shared" si="64"/>
        <v>0</v>
      </c>
      <c r="D605" s="1" t="b">
        <f t="shared" si="66"/>
        <v>1</v>
      </c>
      <c r="E605" s="315"/>
      <c r="H605" s="1" t="b">
        <f t="shared" si="63"/>
        <v>0</v>
      </c>
      <c r="K605" s="1" t="b">
        <v>1</v>
      </c>
    </row>
    <row r="606" spans="1:11">
      <c r="A606" s="1" t="s">
        <v>1641</v>
      </c>
      <c r="B606" s="313" t="str">
        <f>报表附注!E1106</f>
        <v>2．土地使用权</v>
      </c>
      <c r="C606" s="325">
        <f t="shared" si="64"/>
        <v>0</v>
      </c>
      <c r="D606" s="1" t="b">
        <f t="shared" si="66"/>
        <v>1</v>
      </c>
      <c r="E606" s="315"/>
      <c r="H606" s="1" t="b">
        <f t="shared" si="63"/>
        <v>0</v>
      </c>
      <c r="I606" s="1" t="s">
        <v>1644</v>
      </c>
      <c r="K606" s="1" t="b">
        <v>1</v>
      </c>
    </row>
    <row r="607" spans="1:11">
      <c r="A607" s="1" t="s">
        <v>1642</v>
      </c>
      <c r="B607" s="313" t="str">
        <f>报表附注!E1107</f>
        <v>二、累计折旧或累计摊销合计</v>
      </c>
      <c r="C607" s="325">
        <f t="shared" si="64"/>
        <v>0</v>
      </c>
      <c r="D607" s="1" t="b">
        <f t="shared" si="66"/>
        <v>1</v>
      </c>
      <c r="E607" s="315"/>
      <c r="H607" s="1" t="b">
        <f t="shared" si="63"/>
        <v>0</v>
      </c>
      <c r="I607" s="1" t="s">
        <v>1645</v>
      </c>
      <c r="K607" s="1" t="b">
        <v>1</v>
      </c>
    </row>
    <row r="608" spans="1:11">
      <c r="A608" s="1" t="s">
        <v>1640</v>
      </c>
      <c r="B608" s="313" t="str">
        <f>报表附注!E1108</f>
        <v>1．房屋、建筑物</v>
      </c>
      <c r="C608" s="325">
        <f t="shared" si="64"/>
        <v>0</v>
      </c>
      <c r="D608" s="1" t="b">
        <f t="shared" si="66"/>
        <v>1</v>
      </c>
      <c r="E608" s="315"/>
      <c r="H608" s="1" t="b">
        <f t="shared" si="63"/>
        <v>0</v>
      </c>
      <c r="I608" s="1" t="s">
        <v>1646</v>
      </c>
      <c r="K608" s="1" t="b">
        <v>1</v>
      </c>
    </row>
    <row r="609" spans="1:11">
      <c r="A609" s="1" t="s">
        <v>1641</v>
      </c>
      <c r="B609" s="313" t="str">
        <f>报表附注!E1109</f>
        <v>2．土地使用权</v>
      </c>
      <c r="C609" s="325">
        <f t="shared" si="64"/>
        <v>0</v>
      </c>
      <c r="D609" s="1" t="b">
        <f t="shared" si="66"/>
        <v>1</v>
      </c>
      <c r="E609" s="315"/>
      <c r="H609" s="1" t="b">
        <f t="shared" si="63"/>
        <v>0</v>
      </c>
      <c r="I609" s="1" t="s">
        <v>1647</v>
      </c>
      <c r="K609" s="1" t="b">
        <v>1</v>
      </c>
    </row>
    <row r="610" spans="1:11">
      <c r="A610" s="1" t="s">
        <v>1643</v>
      </c>
      <c r="B610" s="313" t="str">
        <f>报表附注!E1110</f>
        <v>三、投资性房地产减值准备合计</v>
      </c>
      <c r="C610" s="325">
        <f t="shared" si="64"/>
        <v>0</v>
      </c>
      <c r="D610" s="1" t="b">
        <f t="shared" si="66"/>
        <v>1</v>
      </c>
      <c r="E610" s="315"/>
      <c r="H610" s="1" t="b">
        <f t="shared" si="63"/>
        <v>0</v>
      </c>
      <c r="I610" s="1" t="s">
        <v>1648</v>
      </c>
      <c r="K610" s="1" t="b">
        <v>1</v>
      </c>
    </row>
    <row r="611" spans="1:11">
      <c r="A611" s="1" t="s">
        <v>1640</v>
      </c>
      <c r="B611" s="313" t="str">
        <f>报表附注!E1111</f>
        <v>1．房屋、建筑物</v>
      </c>
      <c r="C611" s="325">
        <f t="shared" si="64"/>
        <v>0</v>
      </c>
      <c r="D611" s="1" t="b">
        <f t="shared" si="66"/>
        <v>1</v>
      </c>
      <c r="E611" s="315"/>
      <c r="H611" s="1" t="b">
        <f t="shared" si="63"/>
        <v>0</v>
      </c>
      <c r="I611" s="1" t="s">
        <v>1649</v>
      </c>
      <c r="K611" s="1" t="b">
        <v>1</v>
      </c>
    </row>
    <row r="612" spans="1:11">
      <c r="A612" s="1" t="s">
        <v>1641</v>
      </c>
      <c r="B612" s="313" t="str">
        <f>报表附注!E1112</f>
        <v>2．土地使用权</v>
      </c>
      <c r="C612" s="325">
        <f t="shared" si="64"/>
        <v>0</v>
      </c>
      <c r="D612" s="1" t="b">
        <f t="shared" si="66"/>
        <v>1</v>
      </c>
      <c r="E612" s="315"/>
      <c r="H612" s="1" t="b">
        <f t="shared" si="63"/>
        <v>0</v>
      </c>
      <c r="I612" s="1" t="s">
        <v>1650</v>
      </c>
      <c r="K612" s="1" t="b">
        <v>1</v>
      </c>
    </row>
    <row r="613" spans="3:11">
      <c r="C613" s="330">
        <f t="shared" si="64"/>
        <v>0</v>
      </c>
      <c r="D613" s="1" t="b">
        <f t="shared" si="66"/>
        <v>1</v>
      </c>
      <c r="H613" s="1" t="b">
        <f t="shared" si="63"/>
        <v>0</v>
      </c>
      <c r="I613" s="1" t="s">
        <v>1647</v>
      </c>
      <c r="K613" s="1" t="b">
        <v>1</v>
      </c>
    </row>
    <row r="614" spans="1:11">
      <c r="A614" s="1" t="s">
        <v>1644</v>
      </c>
      <c r="B614" s="349" t="s">
        <v>1644</v>
      </c>
      <c r="C614" s="330">
        <f t="shared" si="64"/>
        <v>0</v>
      </c>
      <c r="D614" s="1" t="b">
        <f t="shared" si="66"/>
        <v>1</v>
      </c>
      <c r="H614" s="1" t="b">
        <f t="shared" si="63"/>
        <v>0</v>
      </c>
      <c r="I614" s="1" t="s">
        <v>1648</v>
      </c>
      <c r="K614" s="1" t="b">
        <v>1</v>
      </c>
    </row>
    <row r="615" spans="1:11">
      <c r="A615" s="1" t="s">
        <v>1645</v>
      </c>
      <c r="B615" s="335" t="s">
        <v>1645</v>
      </c>
      <c r="C615" s="330">
        <f t="shared" si="64"/>
        <v>0</v>
      </c>
      <c r="D615" s="1" t="b">
        <f t="shared" si="66"/>
        <v>1</v>
      </c>
      <c r="H615" s="1" t="b">
        <f t="shared" si="63"/>
        <v>0</v>
      </c>
      <c r="I615" s="1" t="s">
        <v>1649</v>
      </c>
      <c r="K615" s="1" t="b">
        <v>1</v>
      </c>
    </row>
    <row r="616" spans="1:11">
      <c r="A616" s="1" t="s">
        <v>1646</v>
      </c>
      <c r="B616" s="313" t="str">
        <f>报表附注!E1122</f>
        <v>1.成本合计</v>
      </c>
      <c r="C616" s="325">
        <f t="shared" ref="C616:C647" si="67">J608</f>
        <v>0</v>
      </c>
      <c r="D616" s="1" t="b">
        <f t="shared" si="66"/>
        <v>1</v>
      </c>
      <c r="E616" s="325">
        <f>SUM(E617:E619)</f>
        <v>0</v>
      </c>
      <c r="H616" s="1" t="b">
        <f t="shared" si="63"/>
        <v>0</v>
      </c>
      <c r="I616" s="1" t="s">
        <v>1651</v>
      </c>
      <c r="K616" s="1" t="b">
        <v>1</v>
      </c>
    </row>
    <row r="617" spans="1:11">
      <c r="A617" s="1" t="s">
        <v>1647</v>
      </c>
      <c r="B617" s="313" t="str">
        <f>报表附注!E1123</f>
        <v>（1）房屋、建筑物</v>
      </c>
      <c r="C617" s="325">
        <f t="shared" si="67"/>
        <v>0</v>
      </c>
      <c r="D617" s="1" t="b">
        <f t="shared" si="66"/>
        <v>1</v>
      </c>
      <c r="E617" s="325">
        <f t="shared" ref="E617:E627" si="68">C617+C630+C643+C656-C669-C682</f>
        <v>0</v>
      </c>
      <c r="H617" s="1" t="b">
        <f t="shared" si="63"/>
        <v>1</v>
      </c>
      <c r="I617" s="1" t="s">
        <v>1647</v>
      </c>
      <c r="K617" s="1" t="b">
        <v>1</v>
      </c>
    </row>
    <row r="618" spans="1:11">
      <c r="A618" s="1" t="s">
        <v>1648</v>
      </c>
      <c r="B618" s="313" t="str">
        <f>报表附注!E1124</f>
        <v>（2）土地使用权</v>
      </c>
      <c r="C618" s="325">
        <f t="shared" si="67"/>
        <v>0</v>
      </c>
      <c r="D618" s="1" t="b">
        <f t="shared" si="66"/>
        <v>1</v>
      </c>
      <c r="E618" s="325">
        <f t="shared" si="68"/>
        <v>0</v>
      </c>
      <c r="H618" s="1" t="b">
        <f t="shared" si="63"/>
        <v>1</v>
      </c>
      <c r="I618" s="1" t="s">
        <v>1648</v>
      </c>
      <c r="K618" s="1" t="b">
        <v>1</v>
      </c>
    </row>
    <row r="619" spans="1:11">
      <c r="A619" s="1" t="s">
        <v>1649</v>
      </c>
      <c r="B619" s="313" t="str">
        <f>报表附注!E1125</f>
        <v>（3）其他</v>
      </c>
      <c r="C619" s="325">
        <f t="shared" si="67"/>
        <v>0</v>
      </c>
      <c r="D619" s="1" t="b">
        <f t="shared" si="66"/>
        <v>1</v>
      </c>
      <c r="E619" s="325">
        <f t="shared" si="68"/>
        <v>0</v>
      </c>
      <c r="H619" s="1" t="b">
        <f t="shared" si="63"/>
        <v>1</v>
      </c>
      <c r="I619" s="1" t="s">
        <v>1649</v>
      </c>
      <c r="K619" s="1" t="b">
        <v>1</v>
      </c>
    </row>
    <row r="620" spans="1:11">
      <c r="A620" s="1" t="s">
        <v>1650</v>
      </c>
      <c r="B620" s="313" t="str">
        <f>报表附注!E1126</f>
        <v>2.公允价值变动合计</v>
      </c>
      <c r="C620" s="325">
        <f t="shared" si="67"/>
        <v>0</v>
      </c>
      <c r="D620" s="1" t="b">
        <f t="shared" si="66"/>
        <v>1</v>
      </c>
      <c r="E620" s="325">
        <f>SUM(E621:E623)</f>
        <v>0</v>
      </c>
      <c r="H620" s="1" t="b">
        <f t="shared" si="63"/>
        <v>0</v>
      </c>
      <c r="I620" s="1" t="s">
        <v>1652</v>
      </c>
      <c r="K620" s="1" t="b">
        <v>1</v>
      </c>
    </row>
    <row r="621" spans="1:11">
      <c r="A621" s="1" t="s">
        <v>1647</v>
      </c>
      <c r="B621" s="313" t="str">
        <f>报表附注!E1127</f>
        <v>（1）房屋、建筑物</v>
      </c>
      <c r="C621" s="325">
        <f t="shared" si="67"/>
        <v>0</v>
      </c>
      <c r="D621" s="1" t="b">
        <f t="shared" si="66"/>
        <v>1</v>
      </c>
      <c r="E621" s="325">
        <f t="shared" si="68"/>
        <v>0</v>
      </c>
      <c r="H621" s="1" t="b">
        <f t="shared" si="63"/>
        <v>0</v>
      </c>
      <c r="I621" s="1" t="s">
        <v>1646</v>
      </c>
      <c r="K621" s="1" t="b">
        <v>1</v>
      </c>
    </row>
    <row r="622" spans="1:11">
      <c r="A622" s="1" t="s">
        <v>1648</v>
      </c>
      <c r="B622" s="313" t="str">
        <f>报表附注!E1128</f>
        <v>（2）土地使用权</v>
      </c>
      <c r="C622" s="325">
        <f t="shared" si="67"/>
        <v>0</v>
      </c>
      <c r="D622" s="1" t="b">
        <f t="shared" si="66"/>
        <v>1</v>
      </c>
      <c r="E622" s="325">
        <f t="shared" si="68"/>
        <v>0</v>
      </c>
      <c r="H622" s="1" t="b">
        <f t="shared" si="63"/>
        <v>0</v>
      </c>
      <c r="I622" s="1" t="s">
        <v>1647</v>
      </c>
      <c r="K622" s="1" t="b">
        <v>1</v>
      </c>
    </row>
    <row r="623" spans="1:11">
      <c r="A623" s="1" t="s">
        <v>1649</v>
      </c>
      <c r="B623" s="313" t="str">
        <f>报表附注!E1129</f>
        <v>（3）其他</v>
      </c>
      <c r="C623" s="325">
        <f t="shared" si="67"/>
        <v>0</v>
      </c>
      <c r="D623" s="1" t="b">
        <f t="shared" si="66"/>
        <v>1</v>
      </c>
      <c r="E623" s="325">
        <f t="shared" si="68"/>
        <v>0</v>
      </c>
      <c r="H623" s="1" t="b">
        <f t="shared" si="63"/>
        <v>0</v>
      </c>
      <c r="I623" s="1" t="s">
        <v>1648</v>
      </c>
      <c r="K623" s="1" t="b">
        <v>1</v>
      </c>
    </row>
    <row r="624" spans="1:11">
      <c r="A624" s="1" t="s">
        <v>1651</v>
      </c>
      <c r="B624" s="313" t="str">
        <f>报表附注!E1130</f>
        <v>3.投资性房地产账面价值合计</v>
      </c>
      <c r="C624" s="325">
        <f t="shared" si="67"/>
        <v>0</v>
      </c>
      <c r="D624" s="1" t="b">
        <f t="shared" si="66"/>
        <v>1</v>
      </c>
      <c r="E624" s="325">
        <f>SUM(E625:E627)</f>
        <v>0</v>
      </c>
      <c r="H624" s="1" t="b">
        <f t="shared" si="63"/>
        <v>0</v>
      </c>
      <c r="I624" s="1" t="s">
        <v>1649</v>
      </c>
      <c r="K624" s="1" t="b">
        <v>1</v>
      </c>
    </row>
    <row r="625" spans="1:11">
      <c r="A625" s="1" t="s">
        <v>1647</v>
      </c>
      <c r="B625" s="313" t="str">
        <f>报表附注!E1131</f>
        <v>（1）房屋、建筑物</v>
      </c>
      <c r="C625" s="325">
        <f t="shared" si="67"/>
        <v>0</v>
      </c>
      <c r="D625" s="1" t="b">
        <f t="shared" si="66"/>
        <v>1</v>
      </c>
      <c r="E625" s="325">
        <f t="shared" si="68"/>
        <v>0</v>
      </c>
      <c r="H625" s="1" t="b">
        <f t="shared" si="63"/>
        <v>0</v>
      </c>
      <c r="I625" s="1" t="s">
        <v>1650</v>
      </c>
      <c r="K625" s="1" t="b">
        <v>1</v>
      </c>
    </row>
    <row r="626" spans="1:11">
      <c r="A626" s="1" t="s">
        <v>1648</v>
      </c>
      <c r="B626" s="313" t="str">
        <f>报表附注!E1132</f>
        <v>（2）土地使用权</v>
      </c>
      <c r="C626" s="325">
        <f t="shared" si="67"/>
        <v>0</v>
      </c>
      <c r="D626" s="1" t="b">
        <f t="shared" si="66"/>
        <v>1</v>
      </c>
      <c r="E626" s="325">
        <f t="shared" si="68"/>
        <v>0</v>
      </c>
      <c r="H626" s="1" t="b">
        <f t="shared" si="63"/>
        <v>0</v>
      </c>
      <c r="I626" s="1" t="s">
        <v>1647</v>
      </c>
      <c r="K626" s="1" t="b">
        <v>1</v>
      </c>
    </row>
    <row r="627" spans="1:11">
      <c r="A627" s="1" t="s">
        <v>1649</v>
      </c>
      <c r="B627" s="313" t="str">
        <f>报表附注!E1133</f>
        <v>（3）其他</v>
      </c>
      <c r="C627" s="325">
        <f t="shared" si="67"/>
        <v>0</v>
      </c>
      <c r="D627" s="1" t="b">
        <f t="shared" si="66"/>
        <v>1</v>
      </c>
      <c r="E627" s="325">
        <f t="shared" si="68"/>
        <v>0</v>
      </c>
      <c r="H627" s="1" t="b">
        <f t="shared" si="63"/>
        <v>0</v>
      </c>
      <c r="I627" s="1" t="s">
        <v>1648</v>
      </c>
      <c r="K627" s="1" t="b">
        <v>1</v>
      </c>
    </row>
    <row r="628" spans="1:11">
      <c r="A628" s="1" t="s">
        <v>1652</v>
      </c>
      <c r="B628" s="335" t="s">
        <v>1652</v>
      </c>
      <c r="C628" s="330">
        <f t="shared" si="67"/>
        <v>0</v>
      </c>
      <c r="D628" s="1" t="b">
        <f t="shared" si="66"/>
        <v>1</v>
      </c>
      <c r="H628" s="1" t="b">
        <f t="shared" si="63"/>
        <v>0</v>
      </c>
      <c r="I628" s="1" t="s">
        <v>1649</v>
      </c>
      <c r="K628" s="1" t="b">
        <v>1</v>
      </c>
    </row>
    <row r="629" spans="1:11">
      <c r="A629" s="1" t="s">
        <v>1646</v>
      </c>
      <c r="B629" s="313" t="str">
        <f>报表附注!E1122</f>
        <v>1.成本合计</v>
      </c>
      <c r="C629" s="325">
        <f t="shared" si="67"/>
        <v>0</v>
      </c>
      <c r="D629" s="1" t="b">
        <f t="shared" si="66"/>
        <v>1</v>
      </c>
      <c r="E629" s="315"/>
      <c r="H629" s="1" t="b">
        <f t="shared" si="63"/>
        <v>0</v>
      </c>
      <c r="I629" s="1" t="s">
        <v>1651</v>
      </c>
      <c r="K629" s="1" t="b">
        <v>1</v>
      </c>
    </row>
    <row r="630" spans="1:11">
      <c r="A630" s="1" t="s">
        <v>1647</v>
      </c>
      <c r="B630" s="313" t="str">
        <f>报表附注!E1123</f>
        <v>（1）房屋、建筑物</v>
      </c>
      <c r="C630" s="325">
        <f t="shared" si="67"/>
        <v>0</v>
      </c>
      <c r="D630" s="1" t="b">
        <f t="shared" si="66"/>
        <v>1</v>
      </c>
      <c r="E630" s="315"/>
      <c r="H630" s="1" t="b">
        <f t="shared" si="63"/>
        <v>1</v>
      </c>
      <c r="I630" s="1" t="s">
        <v>1647</v>
      </c>
      <c r="K630" s="1" t="b">
        <v>1</v>
      </c>
    </row>
    <row r="631" spans="1:11">
      <c r="A631" s="1" t="s">
        <v>1648</v>
      </c>
      <c r="B631" s="313" t="str">
        <f>报表附注!E1124</f>
        <v>（2）土地使用权</v>
      </c>
      <c r="C631" s="325">
        <f t="shared" si="67"/>
        <v>0</v>
      </c>
      <c r="D631" s="1" t="b">
        <f t="shared" si="66"/>
        <v>1</v>
      </c>
      <c r="E631" s="315"/>
      <c r="H631" s="1" t="b">
        <f t="shared" si="63"/>
        <v>1</v>
      </c>
      <c r="I631" s="1" t="s">
        <v>1648</v>
      </c>
      <c r="K631" s="1" t="b">
        <v>1</v>
      </c>
    </row>
    <row r="632" spans="1:11">
      <c r="A632" s="1" t="s">
        <v>1649</v>
      </c>
      <c r="B632" s="313" t="str">
        <f>报表附注!E1125</f>
        <v>（3）其他</v>
      </c>
      <c r="C632" s="325">
        <f t="shared" si="67"/>
        <v>0</v>
      </c>
      <c r="D632" s="1" t="b">
        <f t="shared" si="66"/>
        <v>1</v>
      </c>
      <c r="E632" s="315"/>
      <c r="H632" s="1" t="b">
        <f t="shared" si="63"/>
        <v>1</v>
      </c>
      <c r="I632" s="1" t="s">
        <v>1649</v>
      </c>
      <c r="K632" s="1" t="b">
        <v>1</v>
      </c>
    </row>
    <row r="633" spans="1:11">
      <c r="A633" s="1" t="s">
        <v>1650</v>
      </c>
      <c r="B633" s="313" t="str">
        <f>报表附注!E1126</f>
        <v>2.公允价值变动合计</v>
      </c>
      <c r="C633" s="325">
        <f t="shared" si="67"/>
        <v>0</v>
      </c>
      <c r="D633" s="1" t="b">
        <f t="shared" si="66"/>
        <v>1</v>
      </c>
      <c r="E633" s="315"/>
      <c r="H633" s="1" t="b">
        <f t="shared" si="63"/>
        <v>0</v>
      </c>
      <c r="I633" s="1" t="s">
        <v>1653</v>
      </c>
      <c r="K633" s="1" t="b">
        <v>1</v>
      </c>
    </row>
    <row r="634" spans="1:11">
      <c r="A634" s="1" t="s">
        <v>1647</v>
      </c>
      <c r="B634" s="313" t="str">
        <f>报表附注!E1127</f>
        <v>（1）房屋、建筑物</v>
      </c>
      <c r="C634" s="325">
        <f t="shared" si="67"/>
        <v>0</v>
      </c>
      <c r="D634" s="1" t="b">
        <f t="shared" si="66"/>
        <v>1</v>
      </c>
      <c r="E634" s="315"/>
      <c r="H634" s="1" t="b">
        <f t="shared" si="63"/>
        <v>0</v>
      </c>
      <c r="I634" s="1" t="s">
        <v>1646</v>
      </c>
      <c r="K634" s="1" t="b">
        <v>1</v>
      </c>
    </row>
    <row r="635" spans="1:11">
      <c r="A635" s="1" t="s">
        <v>1648</v>
      </c>
      <c r="B635" s="313" t="str">
        <f>报表附注!E1128</f>
        <v>（2）土地使用权</v>
      </c>
      <c r="C635" s="325">
        <f t="shared" si="67"/>
        <v>0</v>
      </c>
      <c r="D635" s="1" t="b">
        <f t="shared" si="66"/>
        <v>1</v>
      </c>
      <c r="E635" s="315"/>
      <c r="H635" s="1" t="b">
        <f t="shared" si="63"/>
        <v>0</v>
      </c>
      <c r="I635" s="1" t="s">
        <v>1647</v>
      </c>
      <c r="K635" s="1" t="b">
        <v>1</v>
      </c>
    </row>
    <row r="636" spans="1:11">
      <c r="A636" s="1" t="s">
        <v>1649</v>
      </c>
      <c r="B636" s="313" t="str">
        <f>报表附注!E1129</f>
        <v>（3）其他</v>
      </c>
      <c r="C636" s="325">
        <f t="shared" si="67"/>
        <v>0</v>
      </c>
      <c r="D636" s="1" t="b">
        <f t="shared" si="66"/>
        <v>1</v>
      </c>
      <c r="E636" s="315"/>
      <c r="H636" s="1" t="b">
        <f t="shared" si="63"/>
        <v>0</v>
      </c>
      <c r="I636" s="1" t="s">
        <v>1648</v>
      </c>
      <c r="K636" s="1" t="b">
        <v>1</v>
      </c>
    </row>
    <row r="637" spans="1:11">
      <c r="A637" s="1" t="s">
        <v>1651</v>
      </c>
      <c r="B637" s="313" t="str">
        <f>报表附注!E1130</f>
        <v>3.投资性房地产账面价值合计</v>
      </c>
      <c r="C637" s="325">
        <f t="shared" si="67"/>
        <v>0</v>
      </c>
      <c r="D637" s="1" t="b">
        <f t="shared" si="66"/>
        <v>1</v>
      </c>
      <c r="E637" s="315"/>
      <c r="H637" s="1" t="b">
        <f t="shared" si="63"/>
        <v>0</v>
      </c>
      <c r="I637" s="1" t="s">
        <v>1649</v>
      </c>
      <c r="K637" s="1" t="b">
        <v>1</v>
      </c>
    </row>
    <row r="638" spans="1:11">
      <c r="A638" s="1" t="s">
        <v>1647</v>
      </c>
      <c r="B638" s="313" t="str">
        <f>报表附注!E1131</f>
        <v>（1）房屋、建筑物</v>
      </c>
      <c r="C638" s="325">
        <f t="shared" si="67"/>
        <v>0</v>
      </c>
      <c r="D638" s="1" t="b">
        <f t="shared" si="66"/>
        <v>1</v>
      </c>
      <c r="E638" s="315"/>
      <c r="H638" s="1" t="b">
        <f t="shared" si="63"/>
        <v>0</v>
      </c>
      <c r="I638" s="1" t="s">
        <v>1650</v>
      </c>
      <c r="K638" s="1" t="b">
        <v>1</v>
      </c>
    </row>
    <row r="639" spans="1:11">
      <c r="A639" s="1" t="s">
        <v>1648</v>
      </c>
      <c r="B639" s="313" t="str">
        <f>报表附注!E1132</f>
        <v>（2）土地使用权</v>
      </c>
      <c r="C639" s="325">
        <f t="shared" si="67"/>
        <v>0</v>
      </c>
      <c r="D639" s="1" t="b">
        <f t="shared" si="66"/>
        <v>1</v>
      </c>
      <c r="E639" s="315"/>
      <c r="H639" s="1" t="b">
        <f t="shared" si="63"/>
        <v>0</v>
      </c>
      <c r="I639" s="1" t="s">
        <v>1647</v>
      </c>
      <c r="K639" s="1" t="b">
        <v>1</v>
      </c>
    </row>
    <row r="640" spans="1:11">
      <c r="A640" s="1" t="s">
        <v>1649</v>
      </c>
      <c r="B640" s="313" t="str">
        <f>报表附注!E1133</f>
        <v>（3）其他</v>
      </c>
      <c r="C640" s="325">
        <f t="shared" si="67"/>
        <v>0</v>
      </c>
      <c r="D640" s="1" t="b">
        <f t="shared" si="66"/>
        <v>1</v>
      </c>
      <c r="E640" s="315"/>
      <c r="H640" s="1" t="b">
        <f t="shared" si="63"/>
        <v>0</v>
      </c>
      <c r="I640" s="1" t="s">
        <v>1648</v>
      </c>
      <c r="K640" s="1" t="b">
        <v>1</v>
      </c>
    </row>
    <row r="641" spans="1:11">
      <c r="A641" s="1" t="s">
        <v>1653</v>
      </c>
      <c r="B641" s="335" t="s">
        <v>1653</v>
      </c>
      <c r="C641" s="330">
        <f t="shared" si="67"/>
        <v>0</v>
      </c>
      <c r="D641" s="1" t="b">
        <f t="shared" si="66"/>
        <v>1</v>
      </c>
      <c r="E641" s="311"/>
      <c r="H641" s="1" t="b">
        <f t="shared" si="63"/>
        <v>0</v>
      </c>
      <c r="I641" s="1" t="s">
        <v>1649</v>
      </c>
      <c r="K641" s="1" t="b">
        <v>1</v>
      </c>
    </row>
    <row r="642" spans="1:11">
      <c r="A642" s="1" t="s">
        <v>1646</v>
      </c>
      <c r="B642" s="313" t="str">
        <f>报表附注!E1122</f>
        <v>1.成本合计</v>
      </c>
      <c r="C642" s="325">
        <f t="shared" si="67"/>
        <v>0</v>
      </c>
      <c r="D642" s="1" t="b">
        <f t="shared" si="66"/>
        <v>1</v>
      </c>
      <c r="E642" s="315"/>
      <c r="H642" s="1" t="b">
        <f t="shared" si="63"/>
        <v>0</v>
      </c>
      <c r="I642" s="1" t="s">
        <v>1651</v>
      </c>
      <c r="K642" s="1" t="b">
        <v>1</v>
      </c>
    </row>
    <row r="643" spans="1:11">
      <c r="A643" s="1" t="s">
        <v>1647</v>
      </c>
      <c r="B643" s="313" t="str">
        <f>报表附注!E1123</f>
        <v>（1）房屋、建筑物</v>
      </c>
      <c r="C643" s="325">
        <f t="shared" si="67"/>
        <v>0</v>
      </c>
      <c r="D643" s="1" t="b">
        <f t="shared" si="66"/>
        <v>1</v>
      </c>
      <c r="E643" s="315"/>
      <c r="H643" s="1" t="b">
        <f t="shared" si="63"/>
        <v>1</v>
      </c>
      <c r="I643" s="1" t="s">
        <v>1647</v>
      </c>
      <c r="K643" s="1" t="b">
        <v>1</v>
      </c>
    </row>
    <row r="644" spans="1:11">
      <c r="A644" s="1" t="s">
        <v>1648</v>
      </c>
      <c r="B644" s="313" t="str">
        <f>报表附注!E1124</f>
        <v>（2）土地使用权</v>
      </c>
      <c r="C644" s="325">
        <f t="shared" si="67"/>
        <v>0</v>
      </c>
      <c r="D644" s="1" t="b">
        <f t="shared" si="66"/>
        <v>1</v>
      </c>
      <c r="E644" s="315"/>
      <c r="H644" s="1" t="b">
        <f t="shared" ref="H644:H707" si="69">I644=B644</f>
        <v>1</v>
      </c>
      <c r="I644" s="1" t="s">
        <v>1648</v>
      </c>
      <c r="K644" s="1" t="b">
        <v>1</v>
      </c>
    </row>
    <row r="645" spans="1:11">
      <c r="A645" s="1" t="s">
        <v>1649</v>
      </c>
      <c r="B645" s="313" t="str">
        <f>报表附注!E1125</f>
        <v>（3）其他</v>
      </c>
      <c r="C645" s="325">
        <f t="shared" si="67"/>
        <v>0</v>
      </c>
      <c r="D645" s="1" t="b">
        <f t="shared" si="66"/>
        <v>1</v>
      </c>
      <c r="E645" s="315"/>
      <c r="H645" s="1" t="b">
        <f t="shared" si="69"/>
        <v>1</v>
      </c>
      <c r="I645" s="1" t="s">
        <v>1649</v>
      </c>
      <c r="K645" s="1" t="b">
        <v>1</v>
      </c>
    </row>
    <row r="646" spans="1:11">
      <c r="A646" s="1" t="s">
        <v>1650</v>
      </c>
      <c r="B646" s="313" t="str">
        <f>报表附注!E1126</f>
        <v>2.公允价值变动合计</v>
      </c>
      <c r="C646" s="325">
        <f t="shared" si="67"/>
        <v>0</v>
      </c>
      <c r="D646" s="1" t="b">
        <f t="shared" si="66"/>
        <v>1</v>
      </c>
      <c r="E646" s="315"/>
      <c r="H646" s="1" t="b">
        <f t="shared" si="69"/>
        <v>0</v>
      </c>
      <c r="I646" s="1" t="s">
        <v>1654</v>
      </c>
      <c r="K646" s="1" t="b">
        <v>1</v>
      </c>
    </row>
    <row r="647" spans="1:11">
      <c r="A647" s="1" t="s">
        <v>1647</v>
      </c>
      <c r="B647" s="313" t="str">
        <f>报表附注!E1127</f>
        <v>（1）房屋、建筑物</v>
      </c>
      <c r="C647" s="325">
        <f t="shared" si="67"/>
        <v>0</v>
      </c>
      <c r="D647" s="1" t="b">
        <f t="shared" si="66"/>
        <v>1</v>
      </c>
      <c r="E647" s="315"/>
      <c r="H647" s="1" t="b">
        <f t="shared" si="69"/>
        <v>0</v>
      </c>
      <c r="I647" s="1" t="s">
        <v>1646</v>
      </c>
      <c r="K647" s="1" t="b">
        <v>1</v>
      </c>
    </row>
    <row r="648" spans="1:11">
      <c r="A648" s="1" t="s">
        <v>1648</v>
      </c>
      <c r="B648" s="313" t="str">
        <f>报表附注!E1128</f>
        <v>（2）土地使用权</v>
      </c>
      <c r="C648" s="325">
        <f t="shared" ref="C648:C679" si="70">J640</f>
        <v>0</v>
      </c>
      <c r="D648" s="1" t="b">
        <f t="shared" si="66"/>
        <v>1</v>
      </c>
      <c r="E648" s="315"/>
      <c r="H648" s="1" t="b">
        <f t="shared" si="69"/>
        <v>0</v>
      </c>
      <c r="I648" s="1" t="s">
        <v>1647</v>
      </c>
      <c r="K648" s="1" t="b">
        <v>1</v>
      </c>
    </row>
    <row r="649" spans="1:11">
      <c r="A649" s="1" t="s">
        <v>1649</v>
      </c>
      <c r="B649" s="313" t="str">
        <f>报表附注!E1129</f>
        <v>（3）其他</v>
      </c>
      <c r="C649" s="325">
        <f t="shared" si="70"/>
        <v>0</v>
      </c>
      <c r="D649" s="1" t="b">
        <f t="shared" si="66"/>
        <v>1</v>
      </c>
      <c r="E649" s="315"/>
      <c r="H649" s="1" t="b">
        <f t="shared" si="69"/>
        <v>0</v>
      </c>
      <c r="I649" s="1" t="s">
        <v>1648</v>
      </c>
      <c r="K649" s="1" t="b">
        <v>1</v>
      </c>
    </row>
    <row r="650" spans="1:11">
      <c r="A650" s="1" t="s">
        <v>1651</v>
      </c>
      <c r="B650" s="313" t="str">
        <f>报表附注!E1130</f>
        <v>3.投资性房地产账面价值合计</v>
      </c>
      <c r="C650" s="325">
        <f t="shared" si="70"/>
        <v>0</v>
      </c>
      <c r="D650" s="1" t="b">
        <f t="shared" si="66"/>
        <v>1</v>
      </c>
      <c r="E650" s="315"/>
      <c r="H650" s="1" t="b">
        <f t="shared" si="69"/>
        <v>0</v>
      </c>
      <c r="I650" s="1" t="s">
        <v>1649</v>
      </c>
      <c r="K650" s="1" t="b">
        <v>1</v>
      </c>
    </row>
    <row r="651" spans="1:11">
      <c r="A651" s="1" t="s">
        <v>1647</v>
      </c>
      <c r="B651" s="313" t="str">
        <f>报表附注!E1131</f>
        <v>（1）房屋、建筑物</v>
      </c>
      <c r="C651" s="325">
        <f t="shared" si="70"/>
        <v>0</v>
      </c>
      <c r="D651" s="1" t="b">
        <f t="shared" si="66"/>
        <v>1</v>
      </c>
      <c r="E651" s="315"/>
      <c r="H651" s="1" t="b">
        <f t="shared" si="69"/>
        <v>0</v>
      </c>
      <c r="I651" s="1" t="s">
        <v>1650</v>
      </c>
      <c r="K651" s="1" t="b">
        <v>1</v>
      </c>
    </row>
    <row r="652" spans="1:11">
      <c r="A652" s="1" t="s">
        <v>1648</v>
      </c>
      <c r="B652" s="313" t="str">
        <f>报表附注!E1132</f>
        <v>（2）土地使用权</v>
      </c>
      <c r="C652" s="325">
        <f t="shared" si="70"/>
        <v>0</v>
      </c>
      <c r="D652" s="1" t="b">
        <f t="shared" ref="D652:D715" si="71">EXACT(A652,B652)</f>
        <v>1</v>
      </c>
      <c r="E652" s="315"/>
      <c r="H652" s="1" t="b">
        <f t="shared" si="69"/>
        <v>0</v>
      </c>
      <c r="I652" s="1" t="s">
        <v>1647</v>
      </c>
      <c r="K652" s="1" t="b">
        <v>1</v>
      </c>
    </row>
    <row r="653" spans="1:11">
      <c r="A653" s="1" t="s">
        <v>1649</v>
      </c>
      <c r="B653" s="313" t="str">
        <f>报表附注!E1133</f>
        <v>（3）其他</v>
      </c>
      <c r="C653" s="325">
        <f t="shared" si="70"/>
        <v>0</v>
      </c>
      <c r="D653" s="1" t="b">
        <f t="shared" si="71"/>
        <v>1</v>
      </c>
      <c r="E653" s="315"/>
      <c r="H653" s="1" t="b">
        <f t="shared" si="69"/>
        <v>0</v>
      </c>
      <c r="I653" s="1" t="s">
        <v>1648</v>
      </c>
      <c r="K653" s="1" t="b">
        <v>1</v>
      </c>
    </row>
    <row r="654" spans="1:11">
      <c r="A654" s="1" t="s">
        <v>1654</v>
      </c>
      <c r="B654" s="335" t="s">
        <v>1654</v>
      </c>
      <c r="C654" s="330">
        <f t="shared" si="70"/>
        <v>0</v>
      </c>
      <c r="D654" s="1" t="b">
        <f t="shared" si="71"/>
        <v>1</v>
      </c>
      <c r="E654" s="311"/>
      <c r="H654" s="1" t="b">
        <f t="shared" si="69"/>
        <v>0</v>
      </c>
      <c r="I654" s="1" t="s">
        <v>1649</v>
      </c>
      <c r="K654" s="1" t="b">
        <v>1</v>
      </c>
    </row>
    <row r="655" spans="1:11">
      <c r="A655" s="1" t="s">
        <v>1646</v>
      </c>
      <c r="B655" s="313" t="str">
        <f>报表附注!E1122</f>
        <v>1.成本合计</v>
      </c>
      <c r="C655" s="325">
        <f t="shared" si="70"/>
        <v>0</v>
      </c>
      <c r="D655" s="1" t="b">
        <f t="shared" si="71"/>
        <v>1</v>
      </c>
      <c r="E655" s="315"/>
      <c r="H655" s="1" t="b">
        <f t="shared" si="69"/>
        <v>0</v>
      </c>
      <c r="I655" s="1" t="s">
        <v>1651</v>
      </c>
      <c r="K655" s="1" t="b">
        <v>1</v>
      </c>
    </row>
    <row r="656" spans="1:11">
      <c r="A656" s="1" t="s">
        <v>1647</v>
      </c>
      <c r="B656" s="313" t="str">
        <f>报表附注!E1123</f>
        <v>（1）房屋、建筑物</v>
      </c>
      <c r="C656" s="325">
        <f t="shared" si="70"/>
        <v>0</v>
      </c>
      <c r="D656" s="1" t="b">
        <f t="shared" si="71"/>
        <v>1</v>
      </c>
      <c r="E656" s="315"/>
      <c r="H656" s="1" t="b">
        <f t="shared" si="69"/>
        <v>1</v>
      </c>
      <c r="I656" s="1" t="s">
        <v>1647</v>
      </c>
      <c r="K656" s="1" t="b">
        <v>1</v>
      </c>
    </row>
    <row r="657" spans="1:11">
      <c r="A657" s="1" t="s">
        <v>1648</v>
      </c>
      <c r="B657" s="313" t="str">
        <f>报表附注!E1124</f>
        <v>（2）土地使用权</v>
      </c>
      <c r="C657" s="325">
        <f t="shared" si="70"/>
        <v>0</v>
      </c>
      <c r="D657" s="1" t="b">
        <f t="shared" si="71"/>
        <v>1</v>
      </c>
      <c r="E657" s="315"/>
      <c r="H657" s="1" t="b">
        <f t="shared" si="69"/>
        <v>1</v>
      </c>
      <c r="I657" s="1" t="s">
        <v>1648</v>
      </c>
      <c r="K657" s="1" t="b">
        <v>1</v>
      </c>
    </row>
    <row r="658" spans="1:11">
      <c r="A658" s="1" t="s">
        <v>1649</v>
      </c>
      <c r="B658" s="313" t="str">
        <f>报表附注!E1125</f>
        <v>（3）其他</v>
      </c>
      <c r="C658" s="325">
        <f t="shared" si="70"/>
        <v>0</v>
      </c>
      <c r="D658" s="1" t="b">
        <f t="shared" si="71"/>
        <v>1</v>
      </c>
      <c r="E658" s="315"/>
      <c r="H658" s="1" t="b">
        <f t="shared" si="69"/>
        <v>1</v>
      </c>
      <c r="I658" s="1" t="s">
        <v>1649</v>
      </c>
      <c r="K658" s="1" t="b">
        <v>1</v>
      </c>
    </row>
    <row r="659" spans="1:11">
      <c r="A659" s="1" t="s">
        <v>1650</v>
      </c>
      <c r="B659" s="313" t="str">
        <f>报表附注!E1126</f>
        <v>2.公允价值变动合计</v>
      </c>
      <c r="C659" s="325">
        <f t="shared" si="70"/>
        <v>0</v>
      </c>
      <c r="D659" s="1" t="b">
        <f t="shared" si="71"/>
        <v>1</v>
      </c>
      <c r="E659" s="315"/>
      <c r="H659" s="1" t="b">
        <f t="shared" si="69"/>
        <v>0</v>
      </c>
      <c r="I659" s="1" t="s">
        <v>1655</v>
      </c>
      <c r="K659" s="1" t="b">
        <v>1</v>
      </c>
    </row>
    <row r="660" spans="1:11">
      <c r="A660" s="1" t="s">
        <v>1647</v>
      </c>
      <c r="B660" s="313" t="str">
        <f>报表附注!E1127</f>
        <v>（1）房屋、建筑物</v>
      </c>
      <c r="C660" s="325">
        <f t="shared" si="70"/>
        <v>0</v>
      </c>
      <c r="D660" s="1" t="b">
        <f t="shared" si="71"/>
        <v>1</v>
      </c>
      <c r="E660" s="315"/>
      <c r="H660" s="1" t="b">
        <f t="shared" si="69"/>
        <v>0</v>
      </c>
      <c r="I660" s="1" t="s">
        <v>1646</v>
      </c>
      <c r="K660" s="1" t="b">
        <v>1</v>
      </c>
    </row>
    <row r="661" spans="1:11">
      <c r="A661" s="1" t="s">
        <v>1648</v>
      </c>
      <c r="B661" s="313" t="str">
        <f>报表附注!E1128</f>
        <v>（2）土地使用权</v>
      </c>
      <c r="C661" s="325">
        <f t="shared" si="70"/>
        <v>0</v>
      </c>
      <c r="D661" s="1" t="b">
        <f t="shared" si="71"/>
        <v>1</v>
      </c>
      <c r="E661" s="315"/>
      <c r="H661" s="1" t="b">
        <f t="shared" si="69"/>
        <v>0</v>
      </c>
      <c r="I661" s="1" t="s">
        <v>1647</v>
      </c>
      <c r="K661" s="1" t="b">
        <v>1</v>
      </c>
    </row>
    <row r="662" spans="1:11">
      <c r="A662" s="1" t="s">
        <v>1649</v>
      </c>
      <c r="B662" s="313" t="str">
        <f>报表附注!E1129</f>
        <v>（3）其他</v>
      </c>
      <c r="C662" s="325">
        <f t="shared" si="70"/>
        <v>0</v>
      </c>
      <c r="D662" s="1" t="b">
        <f t="shared" si="71"/>
        <v>1</v>
      </c>
      <c r="E662" s="315"/>
      <c r="H662" s="1" t="b">
        <f t="shared" si="69"/>
        <v>0</v>
      </c>
      <c r="I662" s="1" t="s">
        <v>1648</v>
      </c>
      <c r="K662" s="1" t="b">
        <v>1</v>
      </c>
    </row>
    <row r="663" spans="1:11">
      <c r="A663" s="1" t="s">
        <v>1651</v>
      </c>
      <c r="B663" s="313" t="str">
        <f>报表附注!E1130</f>
        <v>3.投资性房地产账面价值合计</v>
      </c>
      <c r="C663" s="325">
        <f t="shared" si="70"/>
        <v>0</v>
      </c>
      <c r="D663" s="1" t="b">
        <f t="shared" si="71"/>
        <v>1</v>
      </c>
      <c r="E663" s="315"/>
      <c r="H663" s="1" t="b">
        <f t="shared" si="69"/>
        <v>0</v>
      </c>
      <c r="I663" s="1" t="s">
        <v>1649</v>
      </c>
      <c r="K663" s="1" t="b">
        <v>1</v>
      </c>
    </row>
    <row r="664" spans="1:11">
      <c r="A664" s="1" t="s">
        <v>1647</v>
      </c>
      <c r="B664" s="313" t="str">
        <f>报表附注!E1131</f>
        <v>（1）房屋、建筑物</v>
      </c>
      <c r="C664" s="325">
        <f t="shared" si="70"/>
        <v>0</v>
      </c>
      <c r="D664" s="1" t="b">
        <f t="shared" si="71"/>
        <v>1</v>
      </c>
      <c r="E664" s="315"/>
      <c r="H664" s="1" t="b">
        <f t="shared" si="69"/>
        <v>0</v>
      </c>
      <c r="I664" s="1" t="s">
        <v>1650</v>
      </c>
      <c r="K664" s="1" t="b">
        <v>1</v>
      </c>
    </row>
    <row r="665" spans="1:11">
      <c r="A665" s="1" t="s">
        <v>1648</v>
      </c>
      <c r="B665" s="313" t="str">
        <f>报表附注!E1132</f>
        <v>（2）土地使用权</v>
      </c>
      <c r="C665" s="325">
        <f t="shared" si="70"/>
        <v>0</v>
      </c>
      <c r="D665" s="1" t="b">
        <f t="shared" si="71"/>
        <v>1</v>
      </c>
      <c r="E665" s="315"/>
      <c r="H665" s="1" t="b">
        <f t="shared" si="69"/>
        <v>0</v>
      </c>
      <c r="I665" s="1" t="s">
        <v>1647</v>
      </c>
      <c r="K665" s="1" t="b">
        <v>1</v>
      </c>
    </row>
    <row r="666" spans="1:11">
      <c r="A666" s="1" t="s">
        <v>1649</v>
      </c>
      <c r="B666" s="313" t="str">
        <f>报表附注!E1133</f>
        <v>（3）其他</v>
      </c>
      <c r="C666" s="325">
        <f t="shared" si="70"/>
        <v>0</v>
      </c>
      <c r="D666" s="1" t="b">
        <f t="shared" si="71"/>
        <v>1</v>
      </c>
      <c r="E666" s="315"/>
      <c r="H666" s="1" t="b">
        <f t="shared" si="69"/>
        <v>0</v>
      </c>
      <c r="I666" s="1" t="s">
        <v>1648</v>
      </c>
      <c r="K666" s="1" t="b">
        <v>1</v>
      </c>
    </row>
    <row r="667" spans="1:11">
      <c r="A667" s="1" t="s">
        <v>1655</v>
      </c>
      <c r="B667" s="335" t="s">
        <v>1655</v>
      </c>
      <c r="C667" s="330">
        <f t="shared" si="70"/>
        <v>0</v>
      </c>
      <c r="D667" s="1" t="b">
        <f t="shared" si="71"/>
        <v>1</v>
      </c>
      <c r="E667" s="311"/>
      <c r="H667" s="1" t="b">
        <f t="shared" si="69"/>
        <v>0</v>
      </c>
      <c r="I667" s="1" t="s">
        <v>1649</v>
      </c>
      <c r="K667" s="1" t="b">
        <v>1</v>
      </c>
    </row>
    <row r="668" spans="1:11">
      <c r="A668" s="1" t="s">
        <v>1646</v>
      </c>
      <c r="B668" s="313" t="str">
        <f>报表附注!E1122</f>
        <v>1.成本合计</v>
      </c>
      <c r="C668" s="325">
        <f t="shared" si="70"/>
        <v>0</v>
      </c>
      <c r="D668" s="1" t="b">
        <f t="shared" si="71"/>
        <v>1</v>
      </c>
      <c r="E668" s="315"/>
      <c r="H668" s="1" t="b">
        <f t="shared" si="69"/>
        <v>0</v>
      </c>
      <c r="I668" s="1" t="s">
        <v>1651</v>
      </c>
      <c r="K668" s="1" t="b">
        <v>1</v>
      </c>
    </row>
    <row r="669" spans="1:11">
      <c r="A669" s="1" t="s">
        <v>1647</v>
      </c>
      <c r="B669" s="313" t="str">
        <f>报表附注!E1123</f>
        <v>（1）房屋、建筑物</v>
      </c>
      <c r="C669" s="325">
        <f t="shared" si="70"/>
        <v>0</v>
      </c>
      <c r="D669" s="1" t="b">
        <f t="shared" si="71"/>
        <v>1</v>
      </c>
      <c r="E669" s="315"/>
      <c r="H669" s="1" t="b">
        <f t="shared" si="69"/>
        <v>1</v>
      </c>
      <c r="I669" s="1" t="s">
        <v>1647</v>
      </c>
      <c r="K669" s="1" t="b">
        <v>1</v>
      </c>
    </row>
    <row r="670" spans="1:11">
      <c r="A670" s="1" t="s">
        <v>1648</v>
      </c>
      <c r="B670" s="313" t="str">
        <f>报表附注!E1124</f>
        <v>（2）土地使用权</v>
      </c>
      <c r="C670" s="325">
        <f t="shared" si="70"/>
        <v>0</v>
      </c>
      <c r="D670" s="1" t="b">
        <f t="shared" si="71"/>
        <v>1</v>
      </c>
      <c r="E670" s="315"/>
      <c r="H670" s="1" t="b">
        <f t="shared" si="69"/>
        <v>1</v>
      </c>
      <c r="I670" s="1" t="s">
        <v>1648</v>
      </c>
      <c r="K670" s="1" t="b">
        <v>1</v>
      </c>
    </row>
    <row r="671" spans="1:11">
      <c r="A671" s="1" t="s">
        <v>1649</v>
      </c>
      <c r="B671" s="313" t="str">
        <f>报表附注!E1125</f>
        <v>（3）其他</v>
      </c>
      <c r="C671" s="325">
        <f t="shared" si="70"/>
        <v>0</v>
      </c>
      <c r="D671" s="1" t="b">
        <f t="shared" si="71"/>
        <v>1</v>
      </c>
      <c r="E671" s="315"/>
      <c r="H671" s="1" t="b">
        <f t="shared" si="69"/>
        <v>1</v>
      </c>
      <c r="I671" s="1" t="s">
        <v>1649</v>
      </c>
      <c r="K671" s="1" t="b">
        <v>1</v>
      </c>
    </row>
    <row r="672" spans="1:11">
      <c r="A672" s="1" t="s">
        <v>1650</v>
      </c>
      <c r="B672" s="313" t="str">
        <f>报表附注!E1126</f>
        <v>2.公允价值变动合计</v>
      </c>
      <c r="C672" s="325">
        <f t="shared" si="70"/>
        <v>0</v>
      </c>
      <c r="D672" s="1" t="b">
        <f t="shared" si="71"/>
        <v>1</v>
      </c>
      <c r="E672" s="315"/>
      <c r="H672" s="1" t="b">
        <f t="shared" si="69"/>
        <v>0</v>
      </c>
      <c r="I672" s="1" t="s">
        <v>1656</v>
      </c>
      <c r="K672" s="1" t="b">
        <v>1</v>
      </c>
    </row>
    <row r="673" spans="1:11">
      <c r="A673" s="1" t="s">
        <v>1647</v>
      </c>
      <c r="B673" s="313" t="str">
        <f>报表附注!E1127</f>
        <v>（1）房屋、建筑物</v>
      </c>
      <c r="C673" s="325">
        <f t="shared" si="70"/>
        <v>0</v>
      </c>
      <c r="D673" s="1" t="b">
        <f t="shared" si="71"/>
        <v>1</v>
      </c>
      <c r="E673" s="315"/>
      <c r="H673" s="1" t="b">
        <f t="shared" si="69"/>
        <v>0</v>
      </c>
      <c r="I673" s="1" t="s">
        <v>1646</v>
      </c>
      <c r="K673" s="1" t="b">
        <v>1</v>
      </c>
    </row>
    <row r="674" spans="1:11">
      <c r="A674" s="1" t="s">
        <v>1648</v>
      </c>
      <c r="B674" s="313" t="str">
        <f>报表附注!E1128</f>
        <v>（2）土地使用权</v>
      </c>
      <c r="C674" s="325">
        <f t="shared" si="70"/>
        <v>0</v>
      </c>
      <c r="D674" s="1" t="b">
        <f t="shared" si="71"/>
        <v>1</v>
      </c>
      <c r="E674" s="315"/>
      <c r="H674" s="1" t="b">
        <f t="shared" si="69"/>
        <v>0</v>
      </c>
      <c r="I674" s="1" t="s">
        <v>1647</v>
      </c>
      <c r="K674" s="1" t="b">
        <v>1</v>
      </c>
    </row>
    <row r="675" spans="1:11">
      <c r="A675" s="1" t="s">
        <v>1649</v>
      </c>
      <c r="B675" s="313" t="str">
        <f>报表附注!E1129</f>
        <v>（3）其他</v>
      </c>
      <c r="C675" s="325">
        <f t="shared" si="70"/>
        <v>0</v>
      </c>
      <c r="D675" s="1" t="b">
        <f t="shared" si="71"/>
        <v>1</v>
      </c>
      <c r="E675" s="315"/>
      <c r="H675" s="1" t="b">
        <f t="shared" si="69"/>
        <v>0</v>
      </c>
      <c r="I675" s="1" t="s">
        <v>1648</v>
      </c>
      <c r="K675" s="1" t="b">
        <v>1</v>
      </c>
    </row>
    <row r="676" spans="1:11">
      <c r="A676" s="1" t="s">
        <v>1651</v>
      </c>
      <c r="B676" s="313" t="str">
        <f>报表附注!E1130</f>
        <v>3.投资性房地产账面价值合计</v>
      </c>
      <c r="C676" s="325">
        <f t="shared" si="70"/>
        <v>0</v>
      </c>
      <c r="D676" s="1" t="b">
        <f t="shared" si="71"/>
        <v>1</v>
      </c>
      <c r="E676" s="315"/>
      <c r="H676" s="1" t="b">
        <f t="shared" si="69"/>
        <v>0</v>
      </c>
      <c r="I676" s="1" t="s">
        <v>1649</v>
      </c>
      <c r="K676" s="1" t="b">
        <v>1</v>
      </c>
    </row>
    <row r="677" spans="1:11">
      <c r="A677" s="1" t="s">
        <v>1647</v>
      </c>
      <c r="B677" s="313" t="str">
        <f>报表附注!E1131</f>
        <v>（1）房屋、建筑物</v>
      </c>
      <c r="C677" s="325">
        <f t="shared" si="70"/>
        <v>0</v>
      </c>
      <c r="D677" s="1" t="b">
        <f t="shared" si="71"/>
        <v>1</v>
      </c>
      <c r="E677" s="315"/>
      <c r="H677" s="1" t="b">
        <f t="shared" si="69"/>
        <v>0</v>
      </c>
      <c r="I677" s="1" t="s">
        <v>1650</v>
      </c>
      <c r="K677" s="1" t="b">
        <v>1</v>
      </c>
    </row>
    <row r="678" spans="1:11">
      <c r="A678" s="1" t="s">
        <v>1648</v>
      </c>
      <c r="B678" s="313" t="str">
        <f>报表附注!E1132</f>
        <v>（2）土地使用权</v>
      </c>
      <c r="C678" s="325">
        <f t="shared" si="70"/>
        <v>0</v>
      </c>
      <c r="D678" s="1" t="b">
        <f t="shared" si="71"/>
        <v>1</v>
      </c>
      <c r="E678" s="315"/>
      <c r="H678" s="1" t="b">
        <f t="shared" si="69"/>
        <v>0</v>
      </c>
      <c r="I678" s="1" t="s">
        <v>1647</v>
      </c>
      <c r="K678" s="1" t="b">
        <v>1</v>
      </c>
    </row>
    <row r="679" spans="1:11">
      <c r="A679" s="1" t="s">
        <v>1649</v>
      </c>
      <c r="B679" s="313" t="str">
        <f>报表附注!E1133</f>
        <v>（3）其他</v>
      </c>
      <c r="C679" s="325">
        <f t="shared" si="70"/>
        <v>0</v>
      </c>
      <c r="D679" s="1" t="b">
        <f t="shared" si="71"/>
        <v>1</v>
      </c>
      <c r="E679" s="315"/>
      <c r="H679" s="1" t="b">
        <f t="shared" si="69"/>
        <v>0</v>
      </c>
      <c r="I679" s="1" t="s">
        <v>1648</v>
      </c>
      <c r="K679" s="1" t="b">
        <v>1</v>
      </c>
    </row>
    <row r="680" spans="1:11">
      <c r="A680" s="1" t="s">
        <v>1656</v>
      </c>
      <c r="B680" s="335" t="s">
        <v>1656</v>
      </c>
      <c r="C680" s="330">
        <f t="shared" ref="C680:C692" si="72">J672</f>
        <v>0</v>
      </c>
      <c r="D680" s="1" t="b">
        <f t="shared" si="71"/>
        <v>1</v>
      </c>
      <c r="E680" s="311"/>
      <c r="H680" s="1" t="b">
        <f t="shared" si="69"/>
        <v>0</v>
      </c>
      <c r="I680" s="1" t="s">
        <v>1649</v>
      </c>
      <c r="K680" s="1" t="b">
        <v>1</v>
      </c>
    </row>
    <row r="681" spans="1:11">
      <c r="A681" s="1" t="s">
        <v>1646</v>
      </c>
      <c r="B681" s="313" t="str">
        <f>报表附注!E1122</f>
        <v>1.成本合计</v>
      </c>
      <c r="C681" s="325">
        <f t="shared" si="72"/>
        <v>0</v>
      </c>
      <c r="D681" s="1" t="b">
        <f t="shared" si="71"/>
        <v>1</v>
      </c>
      <c r="E681" s="315"/>
      <c r="H681" s="1" t="b">
        <f t="shared" si="69"/>
        <v>0</v>
      </c>
      <c r="I681" s="1" t="s">
        <v>1651</v>
      </c>
      <c r="K681" s="1" t="b">
        <v>1</v>
      </c>
    </row>
    <row r="682" spans="1:11">
      <c r="A682" s="1" t="s">
        <v>1647</v>
      </c>
      <c r="B682" s="313" t="str">
        <f>报表附注!E1123</f>
        <v>（1）房屋、建筑物</v>
      </c>
      <c r="C682" s="325">
        <f t="shared" si="72"/>
        <v>0</v>
      </c>
      <c r="D682" s="1" t="b">
        <f t="shared" si="71"/>
        <v>1</v>
      </c>
      <c r="E682" s="315"/>
      <c r="H682" s="1" t="b">
        <f t="shared" si="69"/>
        <v>1</v>
      </c>
      <c r="I682" s="1" t="s">
        <v>1647</v>
      </c>
      <c r="K682" s="1" t="b">
        <v>1</v>
      </c>
    </row>
    <row r="683" spans="1:11">
      <c r="A683" s="1" t="s">
        <v>1648</v>
      </c>
      <c r="B683" s="313" t="str">
        <f>报表附注!E1124</f>
        <v>（2）土地使用权</v>
      </c>
      <c r="C683" s="325">
        <f t="shared" si="72"/>
        <v>0</v>
      </c>
      <c r="D683" s="1" t="b">
        <f t="shared" si="71"/>
        <v>1</v>
      </c>
      <c r="E683" s="315"/>
      <c r="H683" s="1" t="b">
        <f t="shared" si="69"/>
        <v>1</v>
      </c>
      <c r="I683" s="1" t="s">
        <v>1648</v>
      </c>
      <c r="K683" s="1" t="b">
        <v>1</v>
      </c>
    </row>
    <row r="684" spans="1:11">
      <c r="A684" s="1" t="s">
        <v>1649</v>
      </c>
      <c r="B684" s="313" t="str">
        <f>报表附注!E1125</f>
        <v>（3）其他</v>
      </c>
      <c r="C684" s="325">
        <f t="shared" si="72"/>
        <v>0</v>
      </c>
      <c r="D684" s="1" t="b">
        <f t="shared" si="71"/>
        <v>1</v>
      </c>
      <c r="E684" s="315"/>
      <c r="H684" s="1" t="b">
        <f t="shared" si="69"/>
        <v>1</v>
      </c>
      <c r="I684" s="1" t="s">
        <v>1649</v>
      </c>
      <c r="K684" s="1" t="b">
        <v>1</v>
      </c>
    </row>
    <row r="685" spans="1:11">
      <c r="A685" s="1" t="s">
        <v>1650</v>
      </c>
      <c r="B685" s="313" t="str">
        <f>报表附注!E1126</f>
        <v>2.公允价值变动合计</v>
      </c>
      <c r="C685" s="325">
        <f t="shared" si="72"/>
        <v>0</v>
      </c>
      <c r="D685" s="1" t="b">
        <f t="shared" si="71"/>
        <v>1</v>
      </c>
      <c r="E685" s="315"/>
      <c r="H685" s="1" t="b">
        <f t="shared" si="69"/>
        <v>0</v>
      </c>
      <c r="K685" s="1" t="b">
        <v>1</v>
      </c>
    </row>
    <row r="686" spans="1:11">
      <c r="A686" s="1" t="s">
        <v>1647</v>
      </c>
      <c r="B686" s="313" t="str">
        <f>报表附注!E1127</f>
        <v>（1）房屋、建筑物</v>
      </c>
      <c r="C686" s="325">
        <f t="shared" si="72"/>
        <v>0</v>
      </c>
      <c r="D686" s="1" t="b">
        <f t="shared" si="71"/>
        <v>1</v>
      </c>
      <c r="E686" s="315"/>
      <c r="H686" s="1" t="b">
        <f t="shared" si="69"/>
        <v>0</v>
      </c>
      <c r="I686" s="1" t="s">
        <v>1657</v>
      </c>
      <c r="K686" s="1" t="b">
        <v>1</v>
      </c>
    </row>
    <row r="687" spans="1:11">
      <c r="A687" s="1" t="s">
        <v>1648</v>
      </c>
      <c r="B687" s="313" t="str">
        <f>报表附注!E1128</f>
        <v>（2）土地使用权</v>
      </c>
      <c r="C687" s="325">
        <f t="shared" si="72"/>
        <v>0</v>
      </c>
      <c r="D687" s="1" t="b">
        <f t="shared" si="71"/>
        <v>1</v>
      </c>
      <c r="E687" s="315"/>
      <c r="H687" s="1" t="b">
        <f t="shared" si="69"/>
        <v>0</v>
      </c>
      <c r="I687" s="1" t="s">
        <v>670</v>
      </c>
      <c r="K687" s="1" t="b">
        <v>1</v>
      </c>
    </row>
    <row r="688" spans="1:11">
      <c r="A688" s="1" t="s">
        <v>1649</v>
      </c>
      <c r="B688" s="313" t="str">
        <f>报表附注!E1129</f>
        <v>（3）其他</v>
      </c>
      <c r="C688" s="325">
        <f t="shared" si="72"/>
        <v>0</v>
      </c>
      <c r="D688" s="1" t="b">
        <f t="shared" si="71"/>
        <v>1</v>
      </c>
      <c r="E688" s="315"/>
      <c r="H688" s="1" t="b">
        <f t="shared" si="69"/>
        <v>0</v>
      </c>
      <c r="I688" s="1" t="s">
        <v>714</v>
      </c>
      <c r="K688" s="1" t="b">
        <v>1</v>
      </c>
    </row>
    <row r="689" spans="1:11">
      <c r="A689" s="1" t="s">
        <v>1651</v>
      </c>
      <c r="B689" s="313" t="str">
        <f>报表附注!E1130</f>
        <v>3.投资性房地产账面价值合计</v>
      </c>
      <c r="C689" s="325">
        <f t="shared" si="72"/>
        <v>0</v>
      </c>
      <c r="D689" s="1" t="b">
        <f t="shared" si="71"/>
        <v>1</v>
      </c>
      <c r="E689" s="315"/>
      <c r="H689" s="1" t="b">
        <f t="shared" si="69"/>
        <v>0</v>
      </c>
      <c r="I689" s="1" t="s">
        <v>4577</v>
      </c>
      <c r="K689" s="1" t="b">
        <v>0</v>
      </c>
    </row>
    <row r="690" spans="1:11">
      <c r="A690" s="1" t="s">
        <v>1647</v>
      </c>
      <c r="B690" s="313" t="str">
        <f>报表附注!E1131</f>
        <v>（1）房屋、建筑物</v>
      </c>
      <c r="C690" s="325">
        <f t="shared" si="72"/>
        <v>0</v>
      </c>
      <c r="D690" s="1" t="b">
        <f t="shared" si="71"/>
        <v>1</v>
      </c>
      <c r="E690" s="315"/>
      <c r="H690" s="1" t="b">
        <f t="shared" si="69"/>
        <v>0</v>
      </c>
      <c r="I690" s="1" t="s">
        <v>2745</v>
      </c>
      <c r="K690" s="1" t="b">
        <v>0</v>
      </c>
    </row>
    <row r="691" spans="1:11">
      <c r="A691" s="1" t="s">
        <v>1648</v>
      </c>
      <c r="B691" s="313" t="str">
        <f>报表附注!E1132</f>
        <v>（2）土地使用权</v>
      </c>
      <c r="C691" s="325">
        <f t="shared" si="72"/>
        <v>0</v>
      </c>
      <c r="D691" s="1" t="b">
        <f t="shared" si="71"/>
        <v>1</v>
      </c>
      <c r="E691" s="315"/>
      <c r="H691" s="1" t="b">
        <f t="shared" si="69"/>
        <v>0</v>
      </c>
      <c r="I691" s="1" t="s">
        <v>2746</v>
      </c>
      <c r="K691" s="1" t="b">
        <v>0</v>
      </c>
    </row>
    <row r="692" spans="1:11">
      <c r="A692" s="1" t="s">
        <v>1649</v>
      </c>
      <c r="B692" s="313" t="str">
        <f>报表附注!E1133</f>
        <v>（3）其他</v>
      </c>
      <c r="C692" s="325">
        <f t="shared" si="72"/>
        <v>0</v>
      </c>
      <c r="D692" s="1" t="b">
        <f t="shared" si="71"/>
        <v>1</v>
      </c>
      <c r="E692" s="315"/>
      <c r="H692" s="1" t="b">
        <f t="shared" si="69"/>
        <v>0</v>
      </c>
      <c r="I692" s="1" t="s">
        <v>2747</v>
      </c>
      <c r="K692" s="1" t="b">
        <v>0</v>
      </c>
    </row>
    <row r="693" spans="4:11">
      <c r="D693" s="1" t="b">
        <f t="shared" si="71"/>
        <v>1</v>
      </c>
      <c r="H693" s="1" t="b">
        <f t="shared" si="69"/>
        <v>1</v>
      </c>
      <c r="I693" s="1">
        <v>0</v>
      </c>
      <c r="K693" s="1" t="b">
        <v>0</v>
      </c>
    </row>
    <row r="694" spans="1:11">
      <c r="A694" s="1" t="s">
        <v>1657</v>
      </c>
      <c r="B694" s="331" t="s">
        <v>1657</v>
      </c>
      <c r="D694" s="1" t="b">
        <f t="shared" si="71"/>
        <v>1</v>
      </c>
      <c r="H694" s="1" t="b">
        <f t="shared" si="69"/>
        <v>0</v>
      </c>
      <c r="I694" s="1" t="s">
        <v>759</v>
      </c>
      <c r="K694" s="1" t="b">
        <v>1</v>
      </c>
    </row>
    <row r="695" spans="1:11">
      <c r="A695" s="1" t="s">
        <v>670</v>
      </c>
      <c r="B695" s="335" t="s">
        <v>670</v>
      </c>
      <c r="D695" s="1" t="b">
        <f t="shared" si="71"/>
        <v>1</v>
      </c>
      <c r="H695" s="1" t="b">
        <f t="shared" si="69"/>
        <v>0</v>
      </c>
      <c r="I695" s="1" t="s">
        <v>4577</v>
      </c>
      <c r="K695" s="1" t="b">
        <v>0</v>
      </c>
    </row>
    <row r="696" spans="1:11">
      <c r="A696" s="1" t="s">
        <v>714</v>
      </c>
      <c r="B696" s="313" t="str">
        <f>报表附注!E1144</f>
        <v>一、原价合计</v>
      </c>
      <c r="C696" s="325">
        <f t="shared" ref="C696:C727" si="73">J688</f>
        <v>0</v>
      </c>
      <c r="D696" s="1" t="b">
        <f t="shared" si="71"/>
        <v>1</v>
      </c>
      <c r="E696" s="325">
        <f>C760</f>
        <v>0</v>
      </c>
      <c r="H696" s="1" t="b">
        <f t="shared" si="69"/>
        <v>0</v>
      </c>
      <c r="I696" s="1" t="s">
        <v>2745</v>
      </c>
      <c r="K696" s="1" t="b">
        <v>0</v>
      </c>
    </row>
    <row r="697" spans="1:11">
      <c r="A697" s="1" t="s">
        <v>1658</v>
      </c>
      <c r="B697" s="313" t="str">
        <f>报表附注!E1145</f>
        <v>    其中：房屋及建筑物</v>
      </c>
      <c r="C697" s="325">
        <f t="shared" si="73"/>
        <v>0</v>
      </c>
      <c r="D697" s="1" t="b">
        <f t="shared" si="71"/>
        <v>0</v>
      </c>
      <c r="E697" s="325">
        <f t="shared" ref="E697:E707" si="74">C761</f>
        <v>0</v>
      </c>
      <c r="H697" s="1" t="b">
        <f t="shared" si="69"/>
        <v>0</v>
      </c>
      <c r="I697" s="1" t="s">
        <v>2746</v>
      </c>
      <c r="K697" s="1" t="b">
        <v>0</v>
      </c>
    </row>
    <row r="698" spans="1:11">
      <c r="A698" s="1" t="s">
        <v>1659</v>
      </c>
      <c r="B698" s="313" t="str">
        <f>报表附注!E1146</f>
        <v>        机器设备</v>
      </c>
      <c r="C698" s="325">
        <f t="shared" si="73"/>
        <v>0</v>
      </c>
      <c r="D698" s="1" t="b">
        <f t="shared" si="71"/>
        <v>0</v>
      </c>
      <c r="E698" s="325">
        <f t="shared" si="74"/>
        <v>0</v>
      </c>
      <c r="H698" s="1" t="b">
        <f t="shared" si="69"/>
        <v>0</v>
      </c>
      <c r="I698" s="1" t="s">
        <v>2747</v>
      </c>
      <c r="K698" s="1" t="b">
        <v>0</v>
      </c>
    </row>
    <row r="699" spans="1:11">
      <c r="A699" s="1" t="s">
        <v>1660</v>
      </c>
      <c r="B699" s="313" t="str">
        <f>报表附注!E1147</f>
        <v>        运输工具</v>
      </c>
      <c r="C699" s="325">
        <f t="shared" si="73"/>
        <v>0</v>
      </c>
      <c r="D699" s="1" t="b">
        <f t="shared" si="71"/>
        <v>0</v>
      </c>
      <c r="E699" s="325">
        <f t="shared" si="74"/>
        <v>0</v>
      </c>
      <c r="H699" s="1" t="b">
        <f t="shared" si="69"/>
        <v>0</v>
      </c>
      <c r="I699" s="1">
        <v>0</v>
      </c>
      <c r="K699" s="1" t="b">
        <v>0</v>
      </c>
    </row>
    <row r="700" spans="1:11">
      <c r="A700" s="1" t="s">
        <v>1661</v>
      </c>
      <c r="B700" s="313" t="str">
        <f>报表附注!E1148</f>
        <v>        电子设备及其他</v>
      </c>
      <c r="C700" s="325">
        <f t="shared" si="73"/>
        <v>0</v>
      </c>
      <c r="D700" s="1" t="b">
        <f t="shared" si="71"/>
        <v>0</v>
      </c>
      <c r="E700" s="325">
        <f t="shared" si="74"/>
        <v>0</v>
      </c>
      <c r="H700" s="1" t="b">
        <f t="shared" si="69"/>
        <v>0</v>
      </c>
      <c r="I700" s="1" t="s">
        <v>1662</v>
      </c>
      <c r="K700" s="1" t="b">
        <v>1</v>
      </c>
    </row>
    <row r="701" spans="1:11">
      <c r="A701" s="1">
        <v>0</v>
      </c>
      <c r="B701" s="313">
        <f>报表附注!E1149</f>
        <v>0</v>
      </c>
      <c r="C701" s="325">
        <f t="shared" si="73"/>
        <v>0</v>
      </c>
      <c r="D701" s="1" t="b">
        <f t="shared" si="71"/>
        <v>1</v>
      </c>
      <c r="E701" s="325">
        <f t="shared" si="74"/>
        <v>0</v>
      </c>
      <c r="H701" s="1" t="b">
        <f t="shared" si="69"/>
        <v>0</v>
      </c>
      <c r="I701" s="1" t="s">
        <v>4577</v>
      </c>
      <c r="K701" s="1" t="b">
        <v>0</v>
      </c>
    </row>
    <row r="702" spans="1:11">
      <c r="A702" s="1" t="s">
        <v>759</v>
      </c>
      <c r="B702" s="313" t="str">
        <f>报表附注!E1151</f>
        <v>二、累计折旧合计</v>
      </c>
      <c r="C702" s="325">
        <f t="shared" si="73"/>
        <v>0</v>
      </c>
      <c r="D702" s="1" t="b">
        <f t="shared" si="71"/>
        <v>1</v>
      </c>
      <c r="E702" s="325">
        <f t="shared" si="74"/>
        <v>0</v>
      </c>
      <c r="H702" s="1" t="b">
        <f t="shared" si="69"/>
        <v>0</v>
      </c>
      <c r="I702" s="1" t="s">
        <v>2745</v>
      </c>
      <c r="K702" s="1" t="b">
        <v>0</v>
      </c>
    </row>
    <row r="703" spans="1:11">
      <c r="A703" s="1" t="s">
        <v>1658</v>
      </c>
      <c r="B703" s="313" t="str">
        <f>报表附注!E1152</f>
        <v>    其中：房屋及建筑物</v>
      </c>
      <c r="C703" s="325">
        <f t="shared" si="73"/>
        <v>0</v>
      </c>
      <c r="D703" s="1" t="b">
        <f t="shared" si="71"/>
        <v>0</v>
      </c>
      <c r="E703" s="325">
        <f t="shared" si="74"/>
        <v>0</v>
      </c>
      <c r="H703" s="1" t="b">
        <f t="shared" si="69"/>
        <v>0</v>
      </c>
      <c r="I703" s="1" t="s">
        <v>2746</v>
      </c>
      <c r="K703" s="1" t="b">
        <v>0</v>
      </c>
    </row>
    <row r="704" spans="1:11">
      <c r="A704" s="1" t="s">
        <v>1659</v>
      </c>
      <c r="B704" s="313" t="str">
        <f>报表附注!E1153</f>
        <v>        机器设备</v>
      </c>
      <c r="C704" s="325">
        <f t="shared" si="73"/>
        <v>0</v>
      </c>
      <c r="D704" s="1" t="b">
        <f t="shared" si="71"/>
        <v>0</v>
      </c>
      <c r="E704" s="325">
        <f t="shared" si="74"/>
        <v>0</v>
      </c>
      <c r="H704" s="1" t="b">
        <f t="shared" si="69"/>
        <v>0</v>
      </c>
      <c r="I704" s="1" t="s">
        <v>2747</v>
      </c>
      <c r="K704" s="1" t="b">
        <v>0</v>
      </c>
    </row>
    <row r="705" spans="1:11">
      <c r="A705" s="1" t="s">
        <v>1660</v>
      </c>
      <c r="B705" s="313" t="str">
        <f>报表附注!E1154</f>
        <v>        运输工具</v>
      </c>
      <c r="C705" s="325">
        <f t="shared" si="73"/>
        <v>0</v>
      </c>
      <c r="D705" s="1" t="b">
        <f t="shared" si="71"/>
        <v>0</v>
      </c>
      <c r="E705" s="325">
        <f t="shared" si="74"/>
        <v>0</v>
      </c>
      <c r="H705" s="1" t="b">
        <f t="shared" si="69"/>
        <v>0</v>
      </c>
      <c r="I705" s="1">
        <v>0</v>
      </c>
      <c r="K705" s="1" t="b">
        <v>0</v>
      </c>
    </row>
    <row r="706" spans="1:11">
      <c r="A706" s="1" t="s">
        <v>1661</v>
      </c>
      <c r="B706" s="313" t="str">
        <f>报表附注!E1155</f>
        <v>        电子设备及其他</v>
      </c>
      <c r="C706" s="325">
        <f t="shared" si="73"/>
        <v>0</v>
      </c>
      <c r="D706" s="1" t="b">
        <f t="shared" si="71"/>
        <v>0</v>
      </c>
      <c r="E706" s="325">
        <f t="shared" si="74"/>
        <v>0</v>
      </c>
      <c r="H706" s="1" t="b">
        <f t="shared" si="69"/>
        <v>0</v>
      </c>
      <c r="I706" s="1" t="s">
        <v>671</v>
      </c>
      <c r="K706" s="1" t="b">
        <v>1</v>
      </c>
    </row>
    <row r="707" spans="1:11">
      <c r="A707" s="1">
        <v>0</v>
      </c>
      <c r="B707" s="336">
        <f>报表附注!E1156</f>
        <v>0</v>
      </c>
      <c r="C707" s="325">
        <f t="shared" si="73"/>
        <v>0</v>
      </c>
      <c r="D707" s="1" t="b">
        <f t="shared" si="71"/>
        <v>1</v>
      </c>
      <c r="E707" s="325">
        <f t="shared" si="74"/>
        <v>0</v>
      </c>
      <c r="H707" s="1" t="b">
        <f t="shared" si="69"/>
        <v>0</v>
      </c>
      <c r="I707" s="1" t="s">
        <v>714</v>
      </c>
      <c r="K707" s="1" t="b">
        <v>1</v>
      </c>
    </row>
    <row r="708" spans="1:11">
      <c r="A708" s="1" t="s">
        <v>1662</v>
      </c>
      <c r="B708" s="313" t="str">
        <f>报表附注!E1157</f>
        <v>三、固定资产减值准备合计</v>
      </c>
      <c r="C708" s="325">
        <f t="shared" si="73"/>
        <v>0</v>
      </c>
      <c r="D708" s="1" t="b">
        <f t="shared" si="71"/>
        <v>1</v>
      </c>
      <c r="E708" s="325">
        <f t="shared" ref="E708:E713" si="75">C773</f>
        <v>0</v>
      </c>
      <c r="H708" s="1" t="b">
        <f t="shared" ref="H708:H771" si="76">I708=B708</f>
        <v>0</v>
      </c>
      <c r="I708" s="1" t="s">
        <v>4577</v>
      </c>
      <c r="K708" s="1" t="b">
        <v>0</v>
      </c>
    </row>
    <row r="709" spans="1:11">
      <c r="A709" s="1" t="s">
        <v>1658</v>
      </c>
      <c r="B709" s="313" t="str">
        <f>报表附注!E1158</f>
        <v>    其中：房屋及建筑物</v>
      </c>
      <c r="C709" s="325">
        <f t="shared" si="73"/>
        <v>0</v>
      </c>
      <c r="D709" s="1" t="b">
        <f t="shared" si="71"/>
        <v>0</v>
      </c>
      <c r="E709" s="325">
        <f t="shared" si="75"/>
        <v>0</v>
      </c>
      <c r="H709" s="1" t="b">
        <f t="shared" si="76"/>
        <v>0</v>
      </c>
      <c r="I709" s="1" t="s">
        <v>2745</v>
      </c>
      <c r="K709" s="1" t="b">
        <v>0</v>
      </c>
    </row>
    <row r="710" spans="1:11">
      <c r="A710" s="1" t="s">
        <v>1659</v>
      </c>
      <c r="B710" s="313" t="str">
        <f>报表附注!E1159</f>
        <v>        机器设备</v>
      </c>
      <c r="C710" s="325">
        <f t="shared" si="73"/>
        <v>0</v>
      </c>
      <c r="D710" s="1" t="b">
        <f t="shared" si="71"/>
        <v>0</v>
      </c>
      <c r="E710" s="325">
        <f t="shared" si="75"/>
        <v>0</v>
      </c>
      <c r="H710" s="1" t="b">
        <f t="shared" si="76"/>
        <v>0</v>
      </c>
      <c r="I710" s="1" t="s">
        <v>2746</v>
      </c>
      <c r="K710" s="1" t="b">
        <v>0</v>
      </c>
    </row>
    <row r="711" spans="1:11">
      <c r="A711" s="1" t="s">
        <v>1660</v>
      </c>
      <c r="B711" s="313" t="str">
        <f>报表附注!E1160</f>
        <v>        运输工具</v>
      </c>
      <c r="C711" s="325">
        <f t="shared" si="73"/>
        <v>0</v>
      </c>
      <c r="D711" s="1" t="b">
        <f t="shared" si="71"/>
        <v>0</v>
      </c>
      <c r="E711" s="325">
        <f t="shared" si="75"/>
        <v>0</v>
      </c>
      <c r="H711" s="1" t="b">
        <f t="shared" si="76"/>
        <v>0</v>
      </c>
      <c r="I711" s="1" t="s">
        <v>2747</v>
      </c>
      <c r="K711" s="1" t="b">
        <v>0</v>
      </c>
    </row>
    <row r="712" spans="1:11">
      <c r="A712" s="1" t="s">
        <v>1661</v>
      </c>
      <c r="B712" s="313" t="str">
        <f>报表附注!E1161</f>
        <v>        电子设备及其他</v>
      </c>
      <c r="C712" s="325">
        <f t="shared" si="73"/>
        <v>0</v>
      </c>
      <c r="D712" s="1" t="b">
        <f t="shared" si="71"/>
        <v>0</v>
      </c>
      <c r="E712" s="325">
        <f t="shared" si="75"/>
        <v>0</v>
      </c>
      <c r="H712" s="1" t="b">
        <f t="shared" si="76"/>
        <v>0</v>
      </c>
      <c r="I712" s="1">
        <v>0</v>
      </c>
      <c r="K712" s="1" t="b">
        <v>0</v>
      </c>
    </row>
    <row r="713" spans="1:11">
      <c r="A713" s="1">
        <v>0</v>
      </c>
      <c r="B713" s="336">
        <f>报表附注!E1162</f>
        <v>0</v>
      </c>
      <c r="C713" s="325">
        <f t="shared" si="73"/>
        <v>0</v>
      </c>
      <c r="D713" s="1" t="b">
        <f t="shared" si="71"/>
        <v>1</v>
      </c>
      <c r="E713" s="325">
        <f t="shared" si="75"/>
        <v>0</v>
      </c>
      <c r="H713" s="1" t="b">
        <f t="shared" si="76"/>
        <v>0</v>
      </c>
      <c r="I713" s="1" t="s">
        <v>759</v>
      </c>
      <c r="K713" s="1" t="b">
        <v>1</v>
      </c>
    </row>
    <row r="714" spans="1:11">
      <c r="A714" s="1" t="s">
        <v>671</v>
      </c>
      <c r="B714" s="335" t="s">
        <v>671</v>
      </c>
      <c r="C714" s="330">
        <f t="shared" si="73"/>
        <v>0</v>
      </c>
      <c r="D714" s="1" t="b">
        <f t="shared" si="71"/>
        <v>1</v>
      </c>
      <c r="H714" s="1" t="b">
        <f t="shared" si="76"/>
        <v>0</v>
      </c>
      <c r="I714" s="1" t="s">
        <v>4577</v>
      </c>
      <c r="K714" s="1" t="b">
        <v>0</v>
      </c>
    </row>
    <row r="715" spans="1:11">
      <c r="A715" s="1" t="s">
        <v>714</v>
      </c>
      <c r="B715" s="313" t="str">
        <f>报表附注!E1144</f>
        <v>一、原价合计</v>
      </c>
      <c r="C715" s="325">
        <f t="shared" si="73"/>
        <v>0</v>
      </c>
      <c r="D715" s="1" t="b">
        <f t="shared" si="71"/>
        <v>1</v>
      </c>
      <c r="E715" s="315"/>
      <c r="H715" s="1" t="b">
        <f t="shared" si="76"/>
        <v>0</v>
      </c>
      <c r="I715" s="1" t="s">
        <v>2745</v>
      </c>
      <c r="K715" s="1" t="b">
        <v>0</v>
      </c>
    </row>
    <row r="716" spans="1:11">
      <c r="A716" s="1" t="s">
        <v>1658</v>
      </c>
      <c r="B716" s="313" t="str">
        <f>报表附注!E1145</f>
        <v>    其中：房屋及建筑物</v>
      </c>
      <c r="C716" s="325">
        <f t="shared" si="73"/>
        <v>0</v>
      </c>
      <c r="D716" s="1" t="b">
        <f t="shared" ref="D716:D779" si="77">EXACT(A716,B716)</f>
        <v>0</v>
      </c>
      <c r="E716" s="315"/>
      <c r="H716" s="1" t="b">
        <f t="shared" si="76"/>
        <v>0</v>
      </c>
      <c r="I716" s="1" t="s">
        <v>2746</v>
      </c>
      <c r="K716" s="1" t="b">
        <v>0</v>
      </c>
    </row>
    <row r="717" spans="1:11">
      <c r="A717" s="1" t="s">
        <v>1659</v>
      </c>
      <c r="B717" s="313" t="str">
        <f>报表附注!E1146</f>
        <v>        机器设备</v>
      </c>
      <c r="C717" s="325">
        <f t="shared" si="73"/>
        <v>0</v>
      </c>
      <c r="D717" s="1" t="b">
        <f t="shared" si="77"/>
        <v>0</v>
      </c>
      <c r="E717" s="315"/>
      <c r="H717" s="1" t="b">
        <f t="shared" si="76"/>
        <v>0</v>
      </c>
      <c r="I717" s="1" t="s">
        <v>2747</v>
      </c>
      <c r="K717" s="1" t="b">
        <v>0</v>
      </c>
    </row>
    <row r="718" spans="1:11">
      <c r="A718" s="1" t="s">
        <v>1660</v>
      </c>
      <c r="B718" s="313" t="str">
        <f>报表附注!E1147</f>
        <v>        运输工具</v>
      </c>
      <c r="C718" s="325">
        <f t="shared" si="73"/>
        <v>0</v>
      </c>
      <c r="D718" s="1" t="b">
        <f t="shared" si="77"/>
        <v>0</v>
      </c>
      <c r="E718" s="315"/>
      <c r="H718" s="1" t="b">
        <f t="shared" si="76"/>
        <v>0</v>
      </c>
      <c r="I718" s="1">
        <v>0</v>
      </c>
      <c r="K718" s="1" t="b">
        <v>0</v>
      </c>
    </row>
    <row r="719" spans="1:11">
      <c r="A719" s="1" t="s">
        <v>1661</v>
      </c>
      <c r="B719" s="313" t="str">
        <f>报表附注!E1148</f>
        <v>        电子设备及其他</v>
      </c>
      <c r="C719" s="325">
        <f t="shared" si="73"/>
        <v>0</v>
      </c>
      <c r="D719" s="1" t="b">
        <f t="shared" si="77"/>
        <v>0</v>
      </c>
      <c r="E719" s="315"/>
      <c r="H719" s="1" t="b">
        <f t="shared" si="76"/>
        <v>0</v>
      </c>
      <c r="I719" s="1" t="s">
        <v>1662</v>
      </c>
      <c r="K719" s="1" t="b">
        <v>1</v>
      </c>
    </row>
    <row r="720" spans="1:11">
      <c r="A720" s="1">
        <v>0</v>
      </c>
      <c r="B720" s="313">
        <f>报表附注!E1149</f>
        <v>0</v>
      </c>
      <c r="C720" s="325">
        <f t="shared" si="73"/>
        <v>0</v>
      </c>
      <c r="D720" s="1" t="b">
        <f t="shared" si="77"/>
        <v>1</v>
      </c>
      <c r="E720" s="315"/>
      <c r="H720" s="1" t="b">
        <f t="shared" si="76"/>
        <v>0</v>
      </c>
      <c r="I720" s="1" t="s">
        <v>4577</v>
      </c>
      <c r="K720" s="1" t="b">
        <v>0</v>
      </c>
    </row>
    <row r="721" spans="1:11">
      <c r="A721" s="1" t="s">
        <v>759</v>
      </c>
      <c r="B721" s="313" t="str">
        <f>报表附注!E1151</f>
        <v>二、累计折旧合计</v>
      </c>
      <c r="C721" s="325">
        <f t="shared" si="73"/>
        <v>0</v>
      </c>
      <c r="D721" s="1" t="b">
        <f t="shared" si="77"/>
        <v>1</v>
      </c>
      <c r="E721" s="315"/>
      <c r="H721" s="1" t="b">
        <f t="shared" si="76"/>
        <v>0</v>
      </c>
      <c r="I721" s="1" t="s">
        <v>2745</v>
      </c>
      <c r="K721" s="1" t="b">
        <v>0</v>
      </c>
    </row>
    <row r="722" spans="1:11">
      <c r="A722" s="1" t="s">
        <v>1658</v>
      </c>
      <c r="B722" s="313" t="str">
        <f>报表附注!E1152</f>
        <v>    其中：房屋及建筑物</v>
      </c>
      <c r="C722" s="325">
        <f t="shared" si="73"/>
        <v>0</v>
      </c>
      <c r="D722" s="1" t="b">
        <f t="shared" si="77"/>
        <v>0</v>
      </c>
      <c r="E722" s="315"/>
      <c r="H722" s="1" t="b">
        <f t="shared" si="76"/>
        <v>0</v>
      </c>
      <c r="I722" s="1" t="s">
        <v>2746</v>
      </c>
      <c r="K722" s="1" t="b">
        <v>0</v>
      </c>
    </row>
    <row r="723" spans="1:11">
      <c r="A723" s="1" t="s">
        <v>1659</v>
      </c>
      <c r="B723" s="313" t="str">
        <f>报表附注!E1153</f>
        <v>        机器设备</v>
      </c>
      <c r="C723" s="325">
        <f t="shared" si="73"/>
        <v>0</v>
      </c>
      <c r="D723" s="1" t="b">
        <f t="shared" si="77"/>
        <v>0</v>
      </c>
      <c r="E723" s="315"/>
      <c r="H723" s="1" t="b">
        <f t="shared" si="76"/>
        <v>0</v>
      </c>
      <c r="I723" s="1" t="s">
        <v>2747</v>
      </c>
      <c r="K723" s="1" t="b">
        <v>0</v>
      </c>
    </row>
    <row r="724" spans="1:11">
      <c r="A724" s="1" t="s">
        <v>1660</v>
      </c>
      <c r="B724" s="313" t="str">
        <f>报表附注!E1154</f>
        <v>        运输工具</v>
      </c>
      <c r="C724" s="325">
        <f t="shared" si="73"/>
        <v>0</v>
      </c>
      <c r="D724" s="1" t="b">
        <f t="shared" si="77"/>
        <v>0</v>
      </c>
      <c r="E724" s="315"/>
      <c r="H724" s="1" t="b">
        <f t="shared" si="76"/>
        <v>0</v>
      </c>
      <c r="I724" s="1">
        <v>0</v>
      </c>
      <c r="K724" s="1" t="b">
        <v>0</v>
      </c>
    </row>
    <row r="725" spans="1:11">
      <c r="A725" s="1" t="s">
        <v>1661</v>
      </c>
      <c r="B725" s="313" t="str">
        <f>报表附注!E1155</f>
        <v>        电子设备及其他</v>
      </c>
      <c r="C725" s="325">
        <f t="shared" si="73"/>
        <v>0</v>
      </c>
      <c r="D725" s="1" t="b">
        <f t="shared" si="77"/>
        <v>0</v>
      </c>
      <c r="E725" s="315"/>
      <c r="H725" s="1" t="b">
        <f t="shared" si="76"/>
        <v>0</v>
      </c>
      <c r="I725" s="1" t="s">
        <v>1663</v>
      </c>
      <c r="K725" s="1" t="b">
        <v>1</v>
      </c>
    </row>
    <row r="726" spans="1:11">
      <c r="A726" s="1">
        <v>0</v>
      </c>
      <c r="B726" s="336">
        <f>报表附注!E1156</f>
        <v>0</v>
      </c>
      <c r="C726" s="325">
        <f t="shared" si="73"/>
        <v>0</v>
      </c>
      <c r="D726" s="1" t="b">
        <f t="shared" si="77"/>
        <v>1</v>
      </c>
      <c r="E726" s="315"/>
      <c r="H726" s="1" t="b">
        <f t="shared" si="76"/>
        <v>0</v>
      </c>
      <c r="I726" s="1" t="s">
        <v>759</v>
      </c>
      <c r="K726" s="1" t="b">
        <v>1</v>
      </c>
    </row>
    <row r="727" spans="1:11">
      <c r="A727" s="1" t="s">
        <v>1662</v>
      </c>
      <c r="B727" s="313" t="str">
        <f>报表附注!E1157</f>
        <v>三、固定资产减值准备合计</v>
      </c>
      <c r="C727" s="325">
        <f t="shared" si="73"/>
        <v>0</v>
      </c>
      <c r="D727" s="1" t="b">
        <f t="shared" si="77"/>
        <v>1</v>
      </c>
      <c r="E727" s="315"/>
      <c r="H727" s="1" t="b">
        <f t="shared" si="76"/>
        <v>0</v>
      </c>
      <c r="I727" s="1" t="s">
        <v>4577</v>
      </c>
      <c r="K727" s="1" t="b">
        <v>0</v>
      </c>
    </row>
    <row r="728" spans="1:11">
      <c r="A728" s="1" t="s">
        <v>1658</v>
      </c>
      <c r="B728" s="313" t="str">
        <f>报表附注!E1158</f>
        <v>    其中：房屋及建筑物</v>
      </c>
      <c r="C728" s="325">
        <f t="shared" ref="C728:C759" si="78">J720</f>
        <v>0</v>
      </c>
      <c r="D728" s="1" t="b">
        <f t="shared" si="77"/>
        <v>0</v>
      </c>
      <c r="E728" s="315"/>
      <c r="H728" s="1" t="b">
        <f t="shared" si="76"/>
        <v>0</v>
      </c>
      <c r="I728" s="1" t="s">
        <v>2745</v>
      </c>
      <c r="K728" s="1" t="b">
        <v>0</v>
      </c>
    </row>
    <row r="729" spans="1:11">
      <c r="A729" s="1" t="s">
        <v>1659</v>
      </c>
      <c r="B729" s="313" t="str">
        <f>报表附注!E1159</f>
        <v>        机器设备</v>
      </c>
      <c r="C729" s="325">
        <f t="shared" si="78"/>
        <v>0</v>
      </c>
      <c r="D729" s="1" t="b">
        <f t="shared" si="77"/>
        <v>0</v>
      </c>
      <c r="E729" s="315"/>
      <c r="H729" s="1" t="b">
        <f t="shared" si="76"/>
        <v>0</v>
      </c>
      <c r="I729" s="1" t="s">
        <v>2746</v>
      </c>
      <c r="K729" s="1" t="b">
        <v>0</v>
      </c>
    </row>
    <row r="730" spans="1:11">
      <c r="A730" s="1" t="s">
        <v>1660</v>
      </c>
      <c r="B730" s="313" t="str">
        <f>报表附注!E1160</f>
        <v>        运输工具</v>
      </c>
      <c r="C730" s="325">
        <f t="shared" si="78"/>
        <v>0</v>
      </c>
      <c r="D730" s="1" t="b">
        <f t="shared" si="77"/>
        <v>0</v>
      </c>
      <c r="E730" s="315"/>
      <c r="H730" s="1" t="b">
        <f t="shared" si="76"/>
        <v>0</v>
      </c>
      <c r="I730" s="1" t="s">
        <v>2747</v>
      </c>
      <c r="K730" s="1" t="b">
        <v>0</v>
      </c>
    </row>
    <row r="731" spans="1:11">
      <c r="A731" s="1" t="s">
        <v>1661</v>
      </c>
      <c r="B731" s="313" t="str">
        <f>报表附注!E1161</f>
        <v>        电子设备及其他</v>
      </c>
      <c r="C731" s="325">
        <f t="shared" si="78"/>
        <v>0</v>
      </c>
      <c r="D731" s="1" t="b">
        <f t="shared" si="77"/>
        <v>0</v>
      </c>
      <c r="E731" s="315"/>
      <c r="H731" s="1" t="b">
        <f t="shared" si="76"/>
        <v>0</v>
      </c>
      <c r="I731" s="1">
        <v>0</v>
      </c>
      <c r="K731" s="1" t="b">
        <v>0</v>
      </c>
    </row>
    <row r="732" spans="1:11">
      <c r="A732" s="1">
        <v>0</v>
      </c>
      <c r="B732" s="336">
        <f>报表附注!E1162</f>
        <v>0</v>
      </c>
      <c r="C732" s="325">
        <f t="shared" si="78"/>
        <v>0</v>
      </c>
      <c r="D732" s="1" t="b">
        <f t="shared" si="77"/>
        <v>1</v>
      </c>
      <c r="E732" s="315"/>
      <c r="H732" s="1" t="b">
        <f t="shared" si="76"/>
        <v>0</v>
      </c>
      <c r="I732" s="1" t="s">
        <v>672</v>
      </c>
      <c r="K732" s="1" t="b">
        <v>1</v>
      </c>
    </row>
    <row r="733" spans="1:11">
      <c r="A733" s="1" t="s">
        <v>1663</v>
      </c>
      <c r="B733" s="350" t="s">
        <v>1663</v>
      </c>
      <c r="C733" s="325">
        <f t="shared" si="78"/>
        <v>0</v>
      </c>
      <c r="D733" s="1" t="b">
        <f t="shared" si="77"/>
        <v>1</v>
      </c>
      <c r="E733" s="315"/>
      <c r="H733" s="1" t="b">
        <f t="shared" si="76"/>
        <v>0</v>
      </c>
      <c r="I733" s="1" t="s">
        <v>714</v>
      </c>
      <c r="K733" s="1" t="b">
        <v>1</v>
      </c>
    </row>
    <row r="734" spans="1:11">
      <c r="A734" s="1" t="s">
        <v>759</v>
      </c>
      <c r="B734" s="351" t="str">
        <f t="shared" ref="B734:B739" si="79">B721</f>
        <v>二、累计折旧合计</v>
      </c>
      <c r="C734" s="325">
        <f t="shared" si="78"/>
        <v>0</v>
      </c>
      <c r="D734" s="1" t="b">
        <f t="shared" si="77"/>
        <v>1</v>
      </c>
      <c r="E734" s="315"/>
      <c r="H734" s="1" t="b">
        <f t="shared" si="76"/>
        <v>0</v>
      </c>
      <c r="I734" s="1" t="s">
        <v>4577</v>
      </c>
      <c r="K734" s="1" t="b">
        <v>0</v>
      </c>
    </row>
    <row r="735" spans="1:11">
      <c r="A735" s="1" t="s">
        <v>1658</v>
      </c>
      <c r="B735" s="351" t="str">
        <f t="shared" si="79"/>
        <v>    其中：房屋及建筑物</v>
      </c>
      <c r="C735" s="325">
        <f t="shared" si="78"/>
        <v>0</v>
      </c>
      <c r="D735" s="1" t="b">
        <f t="shared" si="77"/>
        <v>0</v>
      </c>
      <c r="E735" s="315"/>
      <c r="H735" s="1" t="b">
        <f t="shared" si="76"/>
        <v>0</v>
      </c>
      <c r="I735" s="1" t="s">
        <v>2745</v>
      </c>
      <c r="K735" s="1" t="b">
        <v>0</v>
      </c>
    </row>
    <row r="736" spans="1:11">
      <c r="A736" s="1" t="s">
        <v>1659</v>
      </c>
      <c r="B736" s="351" t="str">
        <f t="shared" si="79"/>
        <v>        机器设备</v>
      </c>
      <c r="C736" s="325">
        <f t="shared" si="78"/>
        <v>0</v>
      </c>
      <c r="D736" s="1" t="b">
        <f t="shared" si="77"/>
        <v>0</v>
      </c>
      <c r="E736" s="315"/>
      <c r="H736" s="1" t="b">
        <f t="shared" si="76"/>
        <v>0</v>
      </c>
      <c r="I736" s="1" t="s">
        <v>2746</v>
      </c>
      <c r="K736" s="1" t="b">
        <v>0</v>
      </c>
    </row>
    <row r="737" spans="1:11">
      <c r="A737" s="1" t="s">
        <v>1660</v>
      </c>
      <c r="B737" s="351" t="str">
        <f t="shared" si="79"/>
        <v>        运输工具</v>
      </c>
      <c r="C737" s="325">
        <f t="shared" si="78"/>
        <v>0</v>
      </c>
      <c r="D737" s="1" t="b">
        <f t="shared" si="77"/>
        <v>0</v>
      </c>
      <c r="E737" s="315"/>
      <c r="H737" s="1" t="b">
        <f t="shared" si="76"/>
        <v>0</v>
      </c>
      <c r="I737" s="1" t="s">
        <v>2747</v>
      </c>
      <c r="K737" s="1" t="b">
        <v>0</v>
      </c>
    </row>
    <row r="738" spans="1:11">
      <c r="A738" s="1" t="s">
        <v>1661</v>
      </c>
      <c r="B738" s="351" t="str">
        <f t="shared" si="79"/>
        <v>        电子设备及其他</v>
      </c>
      <c r="C738" s="325">
        <f t="shared" si="78"/>
        <v>0</v>
      </c>
      <c r="D738" s="1" t="b">
        <f t="shared" si="77"/>
        <v>0</v>
      </c>
      <c r="E738" s="315"/>
      <c r="H738" s="1" t="b">
        <f t="shared" si="76"/>
        <v>0</v>
      </c>
      <c r="I738" s="1">
        <v>0</v>
      </c>
      <c r="K738" s="1" t="b">
        <v>0</v>
      </c>
    </row>
    <row r="739" spans="1:11">
      <c r="A739" s="1">
        <v>0</v>
      </c>
      <c r="B739" s="351">
        <f t="shared" si="79"/>
        <v>0</v>
      </c>
      <c r="C739" s="325">
        <f t="shared" si="78"/>
        <v>0</v>
      </c>
      <c r="D739" s="1" t="b">
        <f t="shared" si="77"/>
        <v>1</v>
      </c>
      <c r="E739" s="315"/>
      <c r="H739" s="1" t="b">
        <f t="shared" si="76"/>
        <v>0</v>
      </c>
      <c r="I739" s="1" t="s">
        <v>759</v>
      </c>
      <c r="K739" s="1" t="b">
        <v>1</v>
      </c>
    </row>
    <row r="740" spans="1:11">
      <c r="A740" s="1" t="s">
        <v>672</v>
      </c>
      <c r="B740" s="335" t="s">
        <v>672</v>
      </c>
      <c r="C740" s="330">
        <f t="shared" si="78"/>
        <v>0</v>
      </c>
      <c r="D740" s="1" t="b">
        <f t="shared" si="77"/>
        <v>1</v>
      </c>
      <c r="E740" s="311"/>
      <c r="H740" s="1" t="b">
        <f t="shared" si="76"/>
        <v>0</v>
      </c>
      <c r="I740" s="1" t="s">
        <v>4577</v>
      </c>
      <c r="K740" s="1" t="b">
        <v>0</v>
      </c>
    </row>
    <row r="741" spans="1:11">
      <c r="A741" s="1" t="s">
        <v>714</v>
      </c>
      <c r="B741" s="313" t="str">
        <f>报表附注!E1144</f>
        <v>一、原价合计</v>
      </c>
      <c r="C741" s="325">
        <f t="shared" si="78"/>
        <v>0</v>
      </c>
      <c r="D741" s="1" t="b">
        <f t="shared" si="77"/>
        <v>1</v>
      </c>
      <c r="E741" s="315"/>
      <c r="H741" s="1" t="b">
        <f t="shared" si="76"/>
        <v>0</v>
      </c>
      <c r="I741" s="1" t="s">
        <v>2745</v>
      </c>
      <c r="K741" s="1" t="b">
        <v>0</v>
      </c>
    </row>
    <row r="742" spans="1:11">
      <c r="A742" s="1" t="s">
        <v>1658</v>
      </c>
      <c r="B742" s="313" t="str">
        <f>报表附注!E1145</f>
        <v>    其中：房屋及建筑物</v>
      </c>
      <c r="C742" s="325">
        <f t="shared" si="78"/>
        <v>0</v>
      </c>
      <c r="D742" s="1" t="b">
        <f t="shared" si="77"/>
        <v>0</v>
      </c>
      <c r="E742" s="315"/>
      <c r="H742" s="1" t="b">
        <f t="shared" si="76"/>
        <v>0</v>
      </c>
      <c r="I742" s="1" t="s">
        <v>2746</v>
      </c>
      <c r="K742" s="1" t="b">
        <v>0</v>
      </c>
    </row>
    <row r="743" spans="1:11">
      <c r="A743" s="1" t="s">
        <v>1659</v>
      </c>
      <c r="B743" s="313" t="str">
        <f>报表附注!E1146</f>
        <v>        机器设备</v>
      </c>
      <c r="C743" s="325">
        <f t="shared" si="78"/>
        <v>0</v>
      </c>
      <c r="D743" s="1" t="b">
        <f t="shared" si="77"/>
        <v>0</v>
      </c>
      <c r="E743" s="315"/>
      <c r="H743" s="1" t="b">
        <f t="shared" si="76"/>
        <v>0</v>
      </c>
      <c r="I743" s="1" t="s">
        <v>2747</v>
      </c>
      <c r="K743" s="1" t="b">
        <v>0</v>
      </c>
    </row>
    <row r="744" spans="1:11">
      <c r="A744" s="1" t="s">
        <v>1660</v>
      </c>
      <c r="B744" s="313" t="str">
        <f>报表附注!E1147</f>
        <v>        运输工具</v>
      </c>
      <c r="C744" s="325">
        <f t="shared" si="78"/>
        <v>0</v>
      </c>
      <c r="D744" s="1" t="b">
        <f t="shared" si="77"/>
        <v>0</v>
      </c>
      <c r="E744" s="315"/>
      <c r="H744" s="1" t="b">
        <f t="shared" si="76"/>
        <v>0</v>
      </c>
      <c r="I744" s="1">
        <v>0</v>
      </c>
      <c r="K744" s="1" t="b">
        <v>0</v>
      </c>
    </row>
    <row r="745" spans="1:11">
      <c r="A745" s="1" t="s">
        <v>1661</v>
      </c>
      <c r="B745" s="313" t="str">
        <f>报表附注!E1148</f>
        <v>        电子设备及其他</v>
      </c>
      <c r="C745" s="325">
        <f t="shared" si="78"/>
        <v>0</v>
      </c>
      <c r="D745" s="1" t="b">
        <f t="shared" si="77"/>
        <v>0</v>
      </c>
      <c r="E745" s="315"/>
      <c r="H745" s="1" t="b">
        <f t="shared" si="76"/>
        <v>0</v>
      </c>
      <c r="I745" s="1" t="s">
        <v>1662</v>
      </c>
      <c r="K745" s="1" t="b">
        <v>1</v>
      </c>
    </row>
    <row r="746" spans="1:11">
      <c r="A746" s="1">
        <v>0</v>
      </c>
      <c r="B746" s="313">
        <f>报表附注!E1149</f>
        <v>0</v>
      </c>
      <c r="C746" s="325">
        <f t="shared" si="78"/>
        <v>0</v>
      </c>
      <c r="D746" s="1" t="b">
        <f t="shared" si="77"/>
        <v>1</v>
      </c>
      <c r="E746" s="315"/>
      <c r="H746" s="1" t="b">
        <f t="shared" si="76"/>
        <v>0</v>
      </c>
      <c r="I746" s="1" t="s">
        <v>4577</v>
      </c>
      <c r="K746" s="1" t="b">
        <v>0</v>
      </c>
    </row>
    <row r="747" spans="1:11">
      <c r="A747" s="1" t="s">
        <v>759</v>
      </c>
      <c r="B747" s="313" t="str">
        <f>报表附注!E1151</f>
        <v>二、累计折旧合计</v>
      </c>
      <c r="C747" s="325">
        <f t="shared" si="78"/>
        <v>0</v>
      </c>
      <c r="D747" s="1" t="b">
        <f t="shared" si="77"/>
        <v>1</v>
      </c>
      <c r="E747" s="315"/>
      <c r="H747" s="1" t="b">
        <f t="shared" si="76"/>
        <v>0</v>
      </c>
      <c r="I747" s="1" t="s">
        <v>2745</v>
      </c>
      <c r="K747" s="1" t="b">
        <v>0</v>
      </c>
    </row>
    <row r="748" spans="1:11">
      <c r="A748" s="1" t="s">
        <v>1658</v>
      </c>
      <c r="B748" s="313" t="str">
        <f>报表附注!E1152</f>
        <v>    其中：房屋及建筑物</v>
      </c>
      <c r="C748" s="325">
        <f t="shared" si="78"/>
        <v>0</v>
      </c>
      <c r="D748" s="1" t="b">
        <f t="shared" si="77"/>
        <v>0</v>
      </c>
      <c r="E748" s="315"/>
      <c r="H748" s="1" t="b">
        <f t="shared" si="76"/>
        <v>0</v>
      </c>
      <c r="I748" s="1" t="s">
        <v>2746</v>
      </c>
      <c r="K748" s="1" t="b">
        <v>0</v>
      </c>
    </row>
    <row r="749" spans="1:11">
      <c r="A749" s="1" t="s">
        <v>1659</v>
      </c>
      <c r="B749" s="313" t="str">
        <f>报表附注!E1153</f>
        <v>        机器设备</v>
      </c>
      <c r="C749" s="325">
        <f t="shared" si="78"/>
        <v>0</v>
      </c>
      <c r="D749" s="1" t="b">
        <f t="shared" si="77"/>
        <v>0</v>
      </c>
      <c r="E749" s="315"/>
      <c r="H749" s="1" t="b">
        <f t="shared" si="76"/>
        <v>0</v>
      </c>
      <c r="I749" s="1" t="s">
        <v>2747</v>
      </c>
      <c r="K749" s="1" t="b">
        <v>0</v>
      </c>
    </row>
    <row r="750" spans="1:11">
      <c r="A750" s="1" t="s">
        <v>1660</v>
      </c>
      <c r="B750" s="313" t="str">
        <f>报表附注!E1154</f>
        <v>        运输工具</v>
      </c>
      <c r="C750" s="325">
        <f t="shared" si="78"/>
        <v>0</v>
      </c>
      <c r="D750" s="1" t="b">
        <f t="shared" si="77"/>
        <v>0</v>
      </c>
      <c r="E750" s="315"/>
      <c r="H750" s="1" t="b">
        <f t="shared" si="76"/>
        <v>0</v>
      </c>
      <c r="I750" s="1">
        <v>0</v>
      </c>
      <c r="K750" s="1" t="b">
        <v>0</v>
      </c>
    </row>
    <row r="751" spans="1:11">
      <c r="A751" s="1" t="s">
        <v>1661</v>
      </c>
      <c r="B751" s="313" t="str">
        <f>报表附注!E1155</f>
        <v>        电子设备及其他</v>
      </c>
      <c r="C751" s="325">
        <f t="shared" si="78"/>
        <v>0</v>
      </c>
      <c r="D751" s="1" t="b">
        <f t="shared" si="77"/>
        <v>0</v>
      </c>
      <c r="E751" s="315"/>
      <c r="H751" s="1" t="b">
        <f t="shared" si="76"/>
        <v>0</v>
      </c>
      <c r="I751" s="1" t="s">
        <v>1664</v>
      </c>
      <c r="K751" s="1" t="b">
        <v>1</v>
      </c>
    </row>
    <row r="752" spans="1:11">
      <c r="A752" s="1">
        <v>0</v>
      </c>
      <c r="B752" s="336">
        <f>报表附注!E1156</f>
        <v>0</v>
      </c>
      <c r="C752" s="325">
        <f t="shared" si="78"/>
        <v>0</v>
      </c>
      <c r="D752" s="1" t="b">
        <f t="shared" si="77"/>
        <v>1</v>
      </c>
      <c r="E752" s="315"/>
      <c r="H752" s="1" t="b">
        <f t="shared" si="76"/>
        <v>0</v>
      </c>
      <c r="I752" s="1" t="s">
        <v>714</v>
      </c>
      <c r="K752" s="1" t="b">
        <v>1</v>
      </c>
    </row>
    <row r="753" spans="1:11">
      <c r="A753" s="1" t="s">
        <v>1662</v>
      </c>
      <c r="B753" s="313" t="str">
        <f>报表附注!E1157</f>
        <v>三、固定资产减值准备合计</v>
      </c>
      <c r="C753" s="325">
        <f t="shared" si="78"/>
        <v>0</v>
      </c>
      <c r="D753" s="1" t="b">
        <f t="shared" si="77"/>
        <v>1</v>
      </c>
      <c r="E753" s="315"/>
      <c r="H753" s="1" t="b">
        <f t="shared" si="76"/>
        <v>0</v>
      </c>
      <c r="I753" s="1" t="s">
        <v>4577</v>
      </c>
      <c r="K753" s="1" t="b">
        <v>0</v>
      </c>
    </row>
    <row r="754" spans="1:11">
      <c r="A754" s="1" t="s">
        <v>1658</v>
      </c>
      <c r="B754" s="313" t="str">
        <f>报表附注!E1158</f>
        <v>    其中：房屋及建筑物</v>
      </c>
      <c r="C754" s="325">
        <f t="shared" si="78"/>
        <v>0</v>
      </c>
      <c r="D754" s="1" t="b">
        <f t="shared" si="77"/>
        <v>0</v>
      </c>
      <c r="E754" s="315"/>
      <c r="H754" s="1" t="b">
        <f t="shared" si="76"/>
        <v>0</v>
      </c>
      <c r="I754" s="1" t="s">
        <v>2745</v>
      </c>
      <c r="K754" s="1" t="b">
        <v>0</v>
      </c>
    </row>
    <row r="755" spans="1:11">
      <c r="A755" s="1" t="s">
        <v>1659</v>
      </c>
      <c r="B755" s="313" t="str">
        <f>报表附注!E1159</f>
        <v>        机器设备</v>
      </c>
      <c r="C755" s="325">
        <f t="shared" si="78"/>
        <v>0</v>
      </c>
      <c r="D755" s="1" t="b">
        <f t="shared" si="77"/>
        <v>0</v>
      </c>
      <c r="E755" s="315"/>
      <c r="H755" s="1" t="b">
        <f t="shared" si="76"/>
        <v>0</v>
      </c>
      <c r="I755" s="1" t="s">
        <v>2746</v>
      </c>
      <c r="K755" s="1" t="b">
        <v>0</v>
      </c>
    </row>
    <row r="756" spans="1:11">
      <c r="A756" s="1" t="s">
        <v>1660</v>
      </c>
      <c r="B756" s="313" t="str">
        <f>报表附注!E1160</f>
        <v>        运输工具</v>
      </c>
      <c r="C756" s="325">
        <f t="shared" si="78"/>
        <v>0</v>
      </c>
      <c r="D756" s="1" t="b">
        <f t="shared" si="77"/>
        <v>0</v>
      </c>
      <c r="E756" s="315"/>
      <c r="H756" s="1" t="b">
        <f t="shared" si="76"/>
        <v>0</v>
      </c>
      <c r="I756" s="1" t="s">
        <v>2747</v>
      </c>
      <c r="K756" s="1" t="b">
        <v>0</v>
      </c>
    </row>
    <row r="757" spans="1:11">
      <c r="A757" s="1" t="s">
        <v>1661</v>
      </c>
      <c r="B757" s="313" t="str">
        <f>报表附注!E1161</f>
        <v>        电子设备及其他</v>
      </c>
      <c r="C757" s="325">
        <f t="shared" si="78"/>
        <v>0</v>
      </c>
      <c r="D757" s="1" t="b">
        <f t="shared" si="77"/>
        <v>0</v>
      </c>
      <c r="E757" s="315"/>
      <c r="H757" s="1" t="b">
        <f t="shared" si="76"/>
        <v>0</v>
      </c>
      <c r="I757" s="1">
        <v>0</v>
      </c>
      <c r="K757" s="1" t="b">
        <v>0</v>
      </c>
    </row>
    <row r="758" spans="1:11">
      <c r="A758" s="1">
        <v>0</v>
      </c>
      <c r="B758" s="336">
        <f>报表附注!E1162</f>
        <v>0</v>
      </c>
      <c r="C758" s="325">
        <f t="shared" si="78"/>
        <v>0</v>
      </c>
      <c r="D758" s="1" t="b">
        <f t="shared" si="77"/>
        <v>1</v>
      </c>
      <c r="E758" s="315"/>
      <c r="H758" s="1" t="b">
        <f t="shared" si="76"/>
        <v>1</v>
      </c>
      <c r="I758" s="1">
        <v>0</v>
      </c>
      <c r="K758" s="1" t="b">
        <v>1</v>
      </c>
    </row>
    <row r="759" spans="1:11">
      <c r="A759" s="1" t="s">
        <v>1664</v>
      </c>
      <c r="B759" s="335" t="s">
        <v>1664</v>
      </c>
      <c r="C759" s="325">
        <f t="shared" si="78"/>
        <v>0</v>
      </c>
      <c r="D759" s="1" t="b">
        <f t="shared" si="77"/>
        <v>1</v>
      </c>
      <c r="E759" s="315"/>
      <c r="H759" s="1" t="b">
        <f t="shared" si="76"/>
        <v>0</v>
      </c>
      <c r="I759" s="1" t="s">
        <v>759</v>
      </c>
      <c r="K759" s="1" t="b">
        <v>1</v>
      </c>
    </row>
    <row r="760" spans="1:11">
      <c r="A760" s="1" t="s">
        <v>714</v>
      </c>
      <c r="B760" s="351" t="str">
        <f>报表附注!E1144</f>
        <v>一、原价合计</v>
      </c>
      <c r="C760" s="325">
        <f t="shared" ref="C760:C793" si="80">J752</f>
        <v>0</v>
      </c>
      <c r="D760" s="1" t="b">
        <f t="shared" si="77"/>
        <v>1</v>
      </c>
      <c r="E760" s="315"/>
      <c r="H760" s="1" t="b">
        <f t="shared" si="76"/>
        <v>0</v>
      </c>
      <c r="I760" s="1" t="s">
        <v>4577</v>
      </c>
      <c r="K760" s="1" t="b">
        <v>0</v>
      </c>
    </row>
    <row r="761" spans="1:11">
      <c r="A761" s="1" t="s">
        <v>1658</v>
      </c>
      <c r="B761" s="351" t="str">
        <f>报表附注!E1145</f>
        <v>    其中：房屋及建筑物</v>
      </c>
      <c r="C761" s="325">
        <f t="shared" si="80"/>
        <v>0</v>
      </c>
      <c r="D761" s="1" t="b">
        <f t="shared" si="77"/>
        <v>0</v>
      </c>
      <c r="E761" s="315"/>
      <c r="H761" s="1" t="b">
        <f t="shared" si="76"/>
        <v>0</v>
      </c>
      <c r="I761" s="1" t="s">
        <v>2745</v>
      </c>
      <c r="K761" s="1" t="b">
        <v>0</v>
      </c>
    </row>
    <row r="762" spans="1:11">
      <c r="A762" s="1" t="s">
        <v>1659</v>
      </c>
      <c r="B762" s="351" t="str">
        <f>报表附注!E1146</f>
        <v>        机器设备</v>
      </c>
      <c r="C762" s="325">
        <f t="shared" si="80"/>
        <v>0</v>
      </c>
      <c r="D762" s="1" t="b">
        <f t="shared" si="77"/>
        <v>0</v>
      </c>
      <c r="E762" s="315"/>
      <c r="H762" s="1" t="b">
        <f t="shared" si="76"/>
        <v>0</v>
      </c>
      <c r="I762" s="1" t="s">
        <v>2746</v>
      </c>
      <c r="K762" s="1" t="b">
        <v>0</v>
      </c>
    </row>
    <row r="763" spans="1:11">
      <c r="A763" s="1" t="s">
        <v>1660</v>
      </c>
      <c r="B763" s="351" t="str">
        <f>报表附注!E1147</f>
        <v>        运输工具</v>
      </c>
      <c r="C763" s="325">
        <f t="shared" si="80"/>
        <v>0</v>
      </c>
      <c r="D763" s="1" t="b">
        <f t="shared" si="77"/>
        <v>0</v>
      </c>
      <c r="E763" s="315"/>
      <c r="H763" s="1" t="b">
        <f t="shared" si="76"/>
        <v>0</v>
      </c>
      <c r="I763" s="1" t="s">
        <v>2747</v>
      </c>
      <c r="K763" s="1" t="b">
        <v>0</v>
      </c>
    </row>
    <row r="764" spans="1:11">
      <c r="A764" s="1" t="s">
        <v>1661</v>
      </c>
      <c r="B764" s="351" t="str">
        <f>报表附注!E1148</f>
        <v>        电子设备及其他</v>
      </c>
      <c r="C764" s="325">
        <f t="shared" si="80"/>
        <v>0</v>
      </c>
      <c r="D764" s="1" t="b">
        <f t="shared" si="77"/>
        <v>0</v>
      </c>
      <c r="E764" s="315"/>
      <c r="H764" s="1" t="b">
        <f t="shared" si="76"/>
        <v>0</v>
      </c>
      <c r="I764" s="1">
        <v>0</v>
      </c>
      <c r="K764" s="1" t="b">
        <v>0</v>
      </c>
    </row>
    <row r="765" spans="1:11">
      <c r="A765" s="1">
        <v>0</v>
      </c>
      <c r="B765" s="351">
        <f>报表附注!E1149</f>
        <v>0</v>
      </c>
      <c r="C765" s="325">
        <f t="shared" si="80"/>
        <v>0</v>
      </c>
      <c r="D765" s="1" t="b">
        <f t="shared" si="77"/>
        <v>1</v>
      </c>
      <c r="E765" s="315"/>
      <c r="H765" s="1" t="b">
        <f t="shared" si="76"/>
        <v>0</v>
      </c>
      <c r="I765" s="1" t="s">
        <v>1662</v>
      </c>
      <c r="K765" s="1" t="b">
        <v>1</v>
      </c>
    </row>
    <row r="766" spans="1:11">
      <c r="A766" s="1">
        <v>0</v>
      </c>
      <c r="B766" s="352">
        <f>报表附注!E1150</f>
        <v>0</v>
      </c>
      <c r="C766" s="325">
        <f t="shared" si="80"/>
        <v>0</v>
      </c>
      <c r="D766" s="1" t="b">
        <f t="shared" si="77"/>
        <v>1</v>
      </c>
      <c r="E766" s="315"/>
      <c r="H766" s="1" t="b">
        <f t="shared" si="76"/>
        <v>0</v>
      </c>
      <c r="I766" s="1" t="s">
        <v>4577</v>
      </c>
      <c r="K766" s="1" t="b">
        <v>0</v>
      </c>
    </row>
    <row r="767" spans="1:11">
      <c r="A767" s="1" t="s">
        <v>759</v>
      </c>
      <c r="B767" s="351" t="str">
        <f>报表附注!E1151</f>
        <v>二、累计折旧合计</v>
      </c>
      <c r="C767" s="325">
        <f t="shared" si="80"/>
        <v>0</v>
      </c>
      <c r="D767" s="1" t="b">
        <f t="shared" si="77"/>
        <v>1</v>
      </c>
      <c r="E767" s="315"/>
      <c r="H767" s="1" t="b">
        <f t="shared" si="76"/>
        <v>0</v>
      </c>
      <c r="I767" s="1" t="s">
        <v>2745</v>
      </c>
      <c r="K767" s="1" t="b">
        <v>0</v>
      </c>
    </row>
    <row r="768" spans="1:11">
      <c r="A768" s="1" t="s">
        <v>1658</v>
      </c>
      <c r="B768" s="351" t="str">
        <f>报表附注!E1152</f>
        <v>    其中：房屋及建筑物</v>
      </c>
      <c r="C768" s="325">
        <f t="shared" si="80"/>
        <v>0</v>
      </c>
      <c r="D768" s="1" t="b">
        <f t="shared" si="77"/>
        <v>0</v>
      </c>
      <c r="E768" s="315"/>
      <c r="H768" s="1" t="b">
        <f t="shared" si="76"/>
        <v>0</v>
      </c>
      <c r="I768" s="1" t="s">
        <v>2746</v>
      </c>
      <c r="K768" s="1" t="b">
        <v>0</v>
      </c>
    </row>
    <row r="769" spans="1:11">
      <c r="A769" s="1" t="s">
        <v>1659</v>
      </c>
      <c r="B769" s="351" t="str">
        <f>报表附注!E1153</f>
        <v>        机器设备</v>
      </c>
      <c r="C769" s="325">
        <f t="shared" si="80"/>
        <v>0</v>
      </c>
      <c r="D769" s="1" t="b">
        <f t="shared" si="77"/>
        <v>0</v>
      </c>
      <c r="E769" s="315"/>
      <c r="H769" s="1" t="b">
        <f t="shared" si="76"/>
        <v>0</v>
      </c>
      <c r="I769" s="1" t="s">
        <v>2747</v>
      </c>
      <c r="K769" s="1" t="b">
        <v>0</v>
      </c>
    </row>
    <row r="770" spans="1:11">
      <c r="A770" s="1" t="s">
        <v>1660</v>
      </c>
      <c r="B770" s="351" t="str">
        <f>报表附注!E1154</f>
        <v>        运输工具</v>
      </c>
      <c r="C770" s="325">
        <f t="shared" si="80"/>
        <v>0</v>
      </c>
      <c r="D770" s="1" t="b">
        <f t="shared" si="77"/>
        <v>0</v>
      </c>
      <c r="E770" s="315"/>
      <c r="H770" s="1" t="b">
        <f t="shared" si="76"/>
        <v>0</v>
      </c>
      <c r="I770" s="1">
        <v>0</v>
      </c>
      <c r="K770" s="1" t="b">
        <v>0</v>
      </c>
    </row>
    <row r="771" spans="1:11">
      <c r="A771" s="1" t="s">
        <v>1661</v>
      </c>
      <c r="B771" s="351" t="str">
        <f>报表附注!E1155</f>
        <v>        电子设备及其他</v>
      </c>
      <c r="C771" s="325">
        <f t="shared" si="80"/>
        <v>0</v>
      </c>
      <c r="D771" s="1" t="b">
        <f t="shared" si="77"/>
        <v>0</v>
      </c>
      <c r="E771" s="315"/>
      <c r="H771" s="1" t="b">
        <f t="shared" si="76"/>
        <v>0</v>
      </c>
      <c r="I771" s="1" t="s">
        <v>771</v>
      </c>
      <c r="K771" s="1" t="b">
        <v>1</v>
      </c>
    </row>
    <row r="772" spans="1:11">
      <c r="A772" s="1">
        <v>0</v>
      </c>
      <c r="B772" s="352">
        <f>报表附注!E1156</f>
        <v>0</v>
      </c>
      <c r="C772" s="325">
        <f t="shared" si="80"/>
        <v>0</v>
      </c>
      <c r="D772" s="1" t="b">
        <f t="shared" si="77"/>
        <v>1</v>
      </c>
      <c r="E772" s="315"/>
      <c r="H772" s="1" t="b">
        <f t="shared" ref="H772:H835" si="81">I772=B772</f>
        <v>0</v>
      </c>
      <c r="I772" s="1" t="s">
        <v>4577</v>
      </c>
      <c r="K772" s="1" t="b">
        <v>0</v>
      </c>
    </row>
    <row r="773" spans="1:11">
      <c r="A773" s="1" t="s">
        <v>1662</v>
      </c>
      <c r="B773" s="351" t="str">
        <f>报表附注!E1157</f>
        <v>三、固定资产减值准备合计</v>
      </c>
      <c r="C773" s="325">
        <f t="shared" si="80"/>
        <v>0</v>
      </c>
      <c r="D773" s="1" t="b">
        <f t="shared" si="77"/>
        <v>1</v>
      </c>
      <c r="E773" s="315"/>
      <c r="H773" s="1" t="b">
        <f t="shared" si="81"/>
        <v>0</v>
      </c>
      <c r="I773" s="1" t="s">
        <v>2745</v>
      </c>
      <c r="K773" s="1" t="b">
        <v>0</v>
      </c>
    </row>
    <row r="774" spans="1:11">
      <c r="A774" s="1" t="s">
        <v>1658</v>
      </c>
      <c r="B774" s="351" t="str">
        <f>报表附注!E1158</f>
        <v>    其中：房屋及建筑物</v>
      </c>
      <c r="C774" s="325">
        <f t="shared" si="80"/>
        <v>0</v>
      </c>
      <c r="D774" s="1" t="b">
        <f t="shared" si="77"/>
        <v>0</v>
      </c>
      <c r="E774" s="315"/>
      <c r="H774" s="1" t="b">
        <f t="shared" si="81"/>
        <v>0</v>
      </c>
      <c r="I774" s="1" t="s">
        <v>2746</v>
      </c>
      <c r="K774" s="1" t="b">
        <v>0</v>
      </c>
    </row>
    <row r="775" spans="1:11">
      <c r="A775" s="1" t="s">
        <v>1659</v>
      </c>
      <c r="B775" s="351" t="str">
        <f>报表附注!E1159</f>
        <v>        机器设备</v>
      </c>
      <c r="C775" s="325">
        <f t="shared" si="80"/>
        <v>0</v>
      </c>
      <c r="D775" s="1" t="b">
        <f t="shared" si="77"/>
        <v>0</v>
      </c>
      <c r="E775" s="315"/>
      <c r="H775" s="1" t="b">
        <f t="shared" si="81"/>
        <v>0</v>
      </c>
      <c r="I775" s="1" t="s">
        <v>2747</v>
      </c>
      <c r="K775" s="1" t="b">
        <v>0</v>
      </c>
    </row>
    <row r="776" spans="1:11">
      <c r="A776" s="1" t="s">
        <v>1660</v>
      </c>
      <c r="B776" s="351" t="str">
        <f>报表附注!E1160</f>
        <v>        运输工具</v>
      </c>
      <c r="C776" s="325">
        <f t="shared" si="80"/>
        <v>0</v>
      </c>
      <c r="D776" s="1" t="b">
        <f t="shared" si="77"/>
        <v>0</v>
      </c>
      <c r="E776" s="315"/>
      <c r="H776" s="1" t="b">
        <f t="shared" si="81"/>
        <v>0</v>
      </c>
      <c r="I776" s="1">
        <v>0</v>
      </c>
      <c r="K776" s="1" t="b">
        <v>0</v>
      </c>
    </row>
    <row r="777" spans="1:11">
      <c r="A777" s="1" t="s">
        <v>1661</v>
      </c>
      <c r="B777" s="351" t="str">
        <f>报表附注!E1161</f>
        <v>        电子设备及其他</v>
      </c>
      <c r="C777" s="325">
        <f t="shared" si="80"/>
        <v>0</v>
      </c>
      <c r="D777" s="1" t="b">
        <f t="shared" si="77"/>
        <v>0</v>
      </c>
      <c r="E777" s="315"/>
      <c r="H777" s="1" t="b">
        <f t="shared" si="81"/>
        <v>0</v>
      </c>
      <c r="K777" s="1" t="b">
        <v>1</v>
      </c>
    </row>
    <row r="778" spans="1:11">
      <c r="A778" s="1">
        <v>0</v>
      </c>
      <c r="B778" s="352">
        <f>报表附注!E1162</f>
        <v>0</v>
      </c>
      <c r="C778" s="325">
        <f t="shared" si="80"/>
        <v>0</v>
      </c>
      <c r="D778" s="1" t="b">
        <f t="shared" si="77"/>
        <v>1</v>
      </c>
      <c r="E778" s="315"/>
      <c r="H778" s="1" t="b">
        <f t="shared" si="81"/>
        <v>0</v>
      </c>
      <c r="I778" s="1" t="s">
        <v>1665</v>
      </c>
      <c r="K778" s="1" t="b">
        <v>1</v>
      </c>
    </row>
    <row r="779" spans="1:11">
      <c r="A779" s="1" t="s">
        <v>771</v>
      </c>
      <c r="B779" s="351" t="str">
        <f>报表附注!E1163</f>
        <v>四、固定资产账面价值合计</v>
      </c>
      <c r="C779" s="325">
        <f t="shared" si="80"/>
        <v>0</v>
      </c>
      <c r="D779" s="1" t="b">
        <f t="shared" si="77"/>
        <v>1</v>
      </c>
      <c r="E779" s="315"/>
      <c r="H779" s="1" t="b">
        <f t="shared" si="81"/>
        <v>0</v>
      </c>
      <c r="I779" s="1" t="s">
        <v>1666</v>
      </c>
      <c r="K779" s="1" t="b">
        <v>1</v>
      </c>
    </row>
    <row r="780" spans="1:11">
      <c r="A780" s="1" t="s">
        <v>1658</v>
      </c>
      <c r="B780" s="351" t="str">
        <f>报表附注!E1164</f>
        <v>    其中：房屋及建筑物</v>
      </c>
      <c r="C780" s="325">
        <f t="shared" si="80"/>
        <v>0</v>
      </c>
      <c r="D780" s="1" t="b">
        <f t="shared" ref="D780:D843" si="82">EXACT(A780,B780)</f>
        <v>0</v>
      </c>
      <c r="E780" s="315"/>
      <c r="H780" s="1" t="b">
        <f t="shared" si="81"/>
        <v>1</v>
      </c>
      <c r="I780" s="1" t="s">
        <v>4577</v>
      </c>
      <c r="K780" s="1" t="b">
        <v>0</v>
      </c>
    </row>
    <row r="781" spans="1:11">
      <c r="A781" s="1" t="s">
        <v>1659</v>
      </c>
      <c r="B781" s="351" t="str">
        <f>报表附注!E1165</f>
        <v>        机器设备</v>
      </c>
      <c r="C781" s="325">
        <f t="shared" si="80"/>
        <v>0</v>
      </c>
      <c r="D781" s="1" t="b">
        <f t="shared" si="82"/>
        <v>0</v>
      </c>
      <c r="E781" s="315"/>
      <c r="H781" s="1" t="b">
        <f t="shared" si="81"/>
        <v>1</v>
      </c>
      <c r="I781" s="1" t="s">
        <v>2745</v>
      </c>
      <c r="K781" s="1" t="b">
        <v>0</v>
      </c>
    </row>
    <row r="782" spans="1:11">
      <c r="A782" s="1" t="s">
        <v>1660</v>
      </c>
      <c r="B782" s="351" t="str">
        <f>报表附注!E1166</f>
        <v>        运输工具</v>
      </c>
      <c r="C782" s="325">
        <f t="shared" si="80"/>
        <v>0</v>
      </c>
      <c r="D782" s="1" t="b">
        <f t="shared" si="82"/>
        <v>0</v>
      </c>
      <c r="E782" s="315"/>
      <c r="H782" s="1" t="b">
        <f t="shared" si="81"/>
        <v>1</v>
      </c>
      <c r="I782" s="1" t="s">
        <v>2746</v>
      </c>
      <c r="K782" s="1" t="b">
        <v>0</v>
      </c>
    </row>
    <row r="783" spans="1:11">
      <c r="A783" s="1" t="s">
        <v>1661</v>
      </c>
      <c r="B783" s="351" t="str">
        <f>报表附注!E1167</f>
        <v>        电子设备及其他</v>
      </c>
      <c r="C783" s="325">
        <f t="shared" si="80"/>
        <v>0</v>
      </c>
      <c r="D783" s="1" t="b">
        <f t="shared" si="82"/>
        <v>0</v>
      </c>
      <c r="E783" s="315"/>
      <c r="H783" s="1" t="b">
        <f t="shared" si="81"/>
        <v>1</v>
      </c>
      <c r="I783" s="1" t="s">
        <v>2747</v>
      </c>
      <c r="K783" s="1" t="b">
        <v>0</v>
      </c>
    </row>
    <row r="784" spans="1:11">
      <c r="A784" s="1">
        <v>0</v>
      </c>
      <c r="B784" s="352">
        <f>报表附注!E1168</f>
        <v>0</v>
      </c>
      <c r="C784" s="325">
        <f t="shared" si="80"/>
        <v>0</v>
      </c>
      <c r="D784" s="1" t="b">
        <f t="shared" si="82"/>
        <v>1</v>
      </c>
      <c r="E784" s="315"/>
      <c r="H784" s="1" t="b">
        <f t="shared" si="81"/>
        <v>1</v>
      </c>
      <c r="I784" s="1">
        <v>0</v>
      </c>
      <c r="K784" s="1" t="b">
        <v>0</v>
      </c>
    </row>
    <row r="785" spans="3:11">
      <c r="C785" s="330">
        <f t="shared" si="80"/>
        <v>0</v>
      </c>
      <c r="D785" s="1" t="b">
        <f t="shared" si="82"/>
        <v>1</v>
      </c>
      <c r="E785" s="311"/>
      <c r="H785" s="1" t="b">
        <f t="shared" si="81"/>
        <v>0</v>
      </c>
      <c r="I785" s="1" t="s">
        <v>1580</v>
      </c>
      <c r="K785" s="1" t="b">
        <v>1</v>
      </c>
    </row>
    <row r="786" spans="1:11">
      <c r="A786" s="1" t="s">
        <v>1665</v>
      </c>
      <c r="B786" s="353" t="s">
        <v>1665</v>
      </c>
      <c r="C786" s="330">
        <f t="shared" si="80"/>
        <v>0</v>
      </c>
      <c r="D786" s="1" t="b">
        <f t="shared" si="82"/>
        <v>1</v>
      </c>
      <c r="E786" s="311"/>
      <c r="H786" s="1" t="b">
        <f t="shared" si="81"/>
        <v>0</v>
      </c>
      <c r="I786" s="1" t="s">
        <v>859</v>
      </c>
      <c r="K786" s="1" t="b">
        <v>1</v>
      </c>
    </row>
    <row r="787" spans="1:11">
      <c r="A787" s="1" t="s">
        <v>1666</v>
      </c>
      <c r="B787" s="335" t="s">
        <v>1666</v>
      </c>
      <c r="C787" s="330">
        <f t="shared" si="80"/>
        <v>0</v>
      </c>
      <c r="D787" s="1" t="b">
        <f t="shared" si="82"/>
        <v>1</v>
      </c>
      <c r="E787" s="311"/>
      <c r="H787" s="1" t="b">
        <f t="shared" si="81"/>
        <v>0</v>
      </c>
      <c r="I787" s="1" t="s">
        <v>4577</v>
      </c>
      <c r="K787" s="1" t="b">
        <v>0</v>
      </c>
    </row>
    <row r="788" spans="1:11">
      <c r="A788" s="1" t="s">
        <v>1658</v>
      </c>
      <c r="B788" s="313" t="str">
        <f>报表附注!E1175</f>
        <v>    其中：房屋及建筑物</v>
      </c>
      <c r="C788" s="325">
        <f t="shared" si="80"/>
        <v>0</v>
      </c>
      <c r="D788" s="1" t="b">
        <f t="shared" si="82"/>
        <v>0</v>
      </c>
      <c r="E788" s="315"/>
      <c r="H788" s="1" t="b">
        <f t="shared" si="81"/>
        <v>0</v>
      </c>
      <c r="I788" s="1" t="s">
        <v>2745</v>
      </c>
      <c r="K788" s="1" t="b">
        <v>0</v>
      </c>
    </row>
    <row r="789" spans="1:11">
      <c r="A789" s="1" t="s">
        <v>1659</v>
      </c>
      <c r="B789" s="313" t="str">
        <f>报表附注!E1176</f>
        <v>        机器设备</v>
      </c>
      <c r="C789" s="325">
        <f t="shared" si="80"/>
        <v>0</v>
      </c>
      <c r="D789" s="1" t="b">
        <f t="shared" si="82"/>
        <v>0</v>
      </c>
      <c r="E789" s="315"/>
      <c r="H789" s="1" t="b">
        <f t="shared" si="81"/>
        <v>0</v>
      </c>
      <c r="I789" s="1" t="s">
        <v>2746</v>
      </c>
      <c r="K789" s="1" t="b">
        <v>0</v>
      </c>
    </row>
    <row r="790" spans="1:11">
      <c r="A790" s="1" t="s">
        <v>1660</v>
      </c>
      <c r="B790" s="313" t="str">
        <f>报表附注!E1177</f>
        <v>        运输工具</v>
      </c>
      <c r="C790" s="325">
        <f t="shared" si="80"/>
        <v>0</v>
      </c>
      <c r="D790" s="1" t="b">
        <f t="shared" si="82"/>
        <v>0</v>
      </c>
      <c r="E790" s="315"/>
      <c r="H790" s="1" t="b">
        <f t="shared" si="81"/>
        <v>0</v>
      </c>
      <c r="I790" s="1" t="s">
        <v>2747</v>
      </c>
      <c r="K790" s="1" t="b">
        <v>0</v>
      </c>
    </row>
    <row r="791" spans="1:11">
      <c r="A791" s="1" t="s">
        <v>1661</v>
      </c>
      <c r="B791" s="313" t="str">
        <f>报表附注!E1178</f>
        <v>        电子设备及其他</v>
      </c>
      <c r="C791" s="325">
        <f t="shared" si="80"/>
        <v>0</v>
      </c>
      <c r="D791" s="1" t="b">
        <f t="shared" si="82"/>
        <v>0</v>
      </c>
      <c r="E791" s="315"/>
      <c r="H791" s="1" t="b">
        <f t="shared" si="81"/>
        <v>0</v>
      </c>
      <c r="I791" s="1">
        <v>0</v>
      </c>
      <c r="K791" s="1" t="b">
        <v>0</v>
      </c>
    </row>
    <row r="792" spans="1:11">
      <c r="A792" s="1">
        <v>0</v>
      </c>
      <c r="B792" s="313">
        <f>报表附注!E1179</f>
        <v>0</v>
      </c>
      <c r="C792" s="325">
        <f t="shared" si="80"/>
        <v>0</v>
      </c>
      <c r="D792" s="1" t="b">
        <f t="shared" si="82"/>
        <v>1</v>
      </c>
      <c r="E792" s="315"/>
      <c r="H792" s="1" t="b">
        <f t="shared" si="81"/>
        <v>0</v>
      </c>
      <c r="I792" s="1" t="s">
        <v>1580</v>
      </c>
      <c r="K792" s="1" t="b">
        <v>1</v>
      </c>
    </row>
    <row r="793" spans="1:11">
      <c r="A793" s="1" t="s">
        <v>1580</v>
      </c>
      <c r="B793" s="324" t="str">
        <f>报表附注!E1180</f>
        <v>合计</v>
      </c>
      <c r="C793" s="325">
        <f t="shared" si="80"/>
        <v>0</v>
      </c>
      <c r="D793" s="1" t="b">
        <f t="shared" si="82"/>
        <v>1</v>
      </c>
      <c r="E793" s="315"/>
      <c r="H793" s="1" t="b">
        <f t="shared" si="81"/>
        <v>0</v>
      </c>
      <c r="I793" s="1" t="s">
        <v>775</v>
      </c>
      <c r="K793" s="1" t="b">
        <v>1</v>
      </c>
    </row>
    <row r="794" spans="1:11">
      <c r="A794" s="1" t="s">
        <v>859</v>
      </c>
      <c r="B794" s="335" t="s">
        <v>859</v>
      </c>
      <c r="D794" s="1" t="b">
        <f t="shared" si="82"/>
        <v>1</v>
      </c>
      <c r="E794" s="311"/>
      <c r="H794" s="1" t="b">
        <f t="shared" si="81"/>
        <v>0</v>
      </c>
      <c r="I794" s="1" t="s">
        <v>4577</v>
      </c>
      <c r="K794" s="1" t="b">
        <v>0</v>
      </c>
    </row>
    <row r="795" spans="1:11">
      <c r="A795" s="1" t="s">
        <v>1658</v>
      </c>
      <c r="B795" s="313" t="str">
        <f>报表附注!E1175</f>
        <v>    其中：房屋及建筑物</v>
      </c>
      <c r="C795" s="325">
        <f t="shared" ref="C795:C826" si="83">J787</f>
        <v>0</v>
      </c>
      <c r="D795" s="1" t="b">
        <f t="shared" si="82"/>
        <v>0</v>
      </c>
      <c r="E795" s="315"/>
      <c r="H795" s="1" t="b">
        <f t="shared" si="81"/>
        <v>0</v>
      </c>
      <c r="I795" s="1" t="s">
        <v>2745</v>
      </c>
      <c r="K795" s="1" t="b">
        <v>0</v>
      </c>
    </row>
    <row r="796" spans="1:11">
      <c r="A796" s="1" t="s">
        <v>1659</v>
      </c>
      <c r="B796" s="313" t="str">
        <f>报表附注!E1176</f>
        <v>        机器设备</v>
      </c>
      <c r="C796" s="325">
        <f t="shared" si="83"/>
        <v>0</v>
      </c>
      <c r="D796" s="1" t="b">
        <f t="shared" si="82"/>
        <v>0</v>
      </c>
      <c r="E796" s="315"/>
      <c r="H796" s="1" t="b">
        <f t="shared" si="81"/>
        <v>0</v>
      </c>
      <c r="I796" s="1" t="s">
        <v>2746</v>
      </c>
      <c r="K796" s="1" t="b">
        <v>0</v>
      </c>
    </row>
    <row r="797" spans="1:11">
      <c r="A797" s="1" t="s">
        <v>1660</v>
      </c>
      <c r="B797" s="313" t="str">
        <f>报表附注!E1177</f>
        <v>        运输工具</v>
      </c>
      <c r="C797" s="325">
        <f t="shared" si="83"/>
        <v>0</v>
      </c>
      <c r="D797" s="1" t="b">
        <f t="shared" si="82"/>
        <v>0</v>
      </c>
      <c r="E797" s="315"/>
      <c r="H797" s="1" t="b">
        <f t="shared" si="81"/>
        <v>0</v>
      </c>
      <c r="I797" s="1" t="s">
        <v>2747</v>
      </c>
      <c r="K797" s="1" t="b">
        <v>0</v>
      </c>
    </row>
    <row r="798" spans="1:11">
      <c r="A798" s="1" t="s">
        <v>1661</v>
      </c>
      <c r="B798" s="313" t="str">
        <f>报表附注!E1178</f>
        <v>        电子设备及其他</v>
      </c>
      <c r="C798" s="325">
        <f t="shared" si="83"/>
        <v>0</v>
      </c>
      <c r="D798" s="1" t="b">
        <f t="shared" si="82"/>
        <v>0</v>
      </c>
      <c r="E798" s="315"/>
      <c r="H798" s="1" t="b">
        <f t="shared" si="81"/>
        <v>0</v>
      </c>
      <c r="I798" s="1">
        <v>0</v>
      </c>
      <c r="K798" s="1" t="b">
        <v>0</v>
      </c>
    </row>
    <row r="799" spans="1:11">
      <c r="A799" s="1">
        <v>0</v>
      </c>
      <c r="B799" s="313">
        <f>报表附注!E1179</f>
        <v>0</v>
      </c>
      <c r="C799" s="325">
        <f t="shared" si="83"/>
        <v>0</v>
      </c>
      <c r="D799" s="1" t="b">
        <f t="shared" si="82"/>
        <v>1</v>
      </c>
      <c r="E799" s="315"/>
      <c r="H799" s="1" t="b">
        <f t="shared" si="81"/>
        <v>0</v>
      </c>
      <c r="I799" s="1" t="s">
        <v>1580</v>
      </c>
      <c r="K799" s="1" t="b">
        <v>1</v>
      </c>
    </row>
    <row r="800" spans="1:11">
      <c r="A800" s="1" t="s">
        <v>1580</v>
      </c>
      <c r="B800" s="324" t="str">
        <f>报表附注!E1180</f>
        <v>合计</v>
      </c>
      <c r="C800" s="325">
        <f t="shared" si="83"/>
        <v>0</v>
      </c>
      <c r="D800" s="1" t="b">
        <f t="shared" si="82"/>
        <v>1</v>
      </c>
      <c r="E800" s="315"/>
      <c r="H800" s="1" t="b">
        <f t="shared" si="81"/>
        <v>0</v>
      </c>
      <c r="I800" s="1" t="s">
        <v>1667</v>
      </c>
      <c r="K800" s="1" t="b">
        <v>1</v>
      </c>
    </row>
    <row r="801" spans="1:11">
      <c r="A801" s="1" t="s">
        <v>775</v>
      </c>
      <c r="B801" s="335" t="s">
        <v>775</v>
      </c>
      <c r="C801" s="330">
        <f t="shared" si="83"/>
        <v>0</v>
      </c>
      <c r="D801" s="1" t="b">
        <f t="shared" si="82"/>
        <v>1</v>
      </c>
      <c r="E801" s="311"/>
      <c r="H801" s="1" t="b">
        <f t="shared" si="81"/>
        <v>0</v>
      </c>
      <c r="I801" s="1" t="s">
        <v>1666</v>
      </c>
      <c r="K801" s="1" t="b">
        <v>1</v>
      </c>
    </row>
    <row r="802" spans="1:11">
      <c r="A802" s="1" t="s">
        <v>1658</v>
      </c>
      <c r="B802" s="313" t="str">
        <f>报表附注!E1175</f>
        <v>    其中：房屋及建筑物</v>
      </c>
      <c r="C802" s="325">
        <f t="shared" si="83"/>
        <v>0</v>
      </c>
      <c r="D802" s="1" t="b">
        <f t="shared" si="82"/>
        <v>0</v>
      </c>
      <c r="E802" s="315"/>
      <c r="H802" s="1" t="b">
        <f t="shared" si="81"/>
        <v>1</v>
      </c>
      <c r="I802" s="1" t="s">
        <v>4577</v>
      </c>
      <c r="K802" s="1" t="b">
        <v>0</v>
      </c>
    </row>
    <row r="803" spans="1:11">
      <c r="A803" s="1" t="s">
        <v>1659</v>
      </c>
      <c r="B803" s="313" t="str">
        <f>报表附注!E1176</f>
        <v>        机器设备</v>
      </c>
      <c r="C803" s="325">
        <f t="shared" si="83"/>
        <v>0</v>
      </c>
      <c r="D803" s="1" t="b">
        <f t="shared" si="82"/>
        <v>0</v>
      </c>
      <c r="E803" s="315"/>
      <c r="H803" s="1" t="b">
        <f t="shared" si="81"/>
        <v>1</v>
      </c>
      <c r="I803" s="1" t="s">
        <v>2745</v>
      </c>
      <c r="K803" s="1" t="b">
        <v>0</v>
      </c>
    </row>
    <row r="804" spans="1:11">
      <c r="A804" s="1" t="s">
        <v>1660</v>
      </c>
      <c r="B804" s="313" t="str">
        <f>报表附注!E1177</f>
        <v>        运输工具</v>
      </c>
      <c r="C804" s="325">
        <f t="shared" si="83"/>
        <v>0</v>
      </c>
      <c r="D804" s="1" t="b">
        <f t="shared" si="82"/>
        <v>0</v>
      </c>
      <c r="E804" s="315"/>
      <c r="H804" s="1" t="b">
        <f t="shared" si="81"/>
        <v>1</v>
      </c>
      <c r="I804" s="1" t="s">
        <v>2746</v>
      </c>
      <c r="K804" s="1" t="b">
        <v>0</v>
      </c>
    </row>
    <row r="805" spans="1:11">
      <c r="A805" s="1" t="s">
        <v>1661</v>
      </c>
      <c r="B805" s="313" t="str">
        <f>报表附注!E1178</f>
        <v>        电子设备及其他</v>
      </c>
      <c r="C805" s="325">
        <f t="shared" si="83"/>
        <v>0</v>
      </c>
      <c r="D805" s="1" t="b">
        <f t="shared" si="82"/>
        <v>0</v>
      </c>
      <c r="E805" s="315"/>
      <c r="H805" s="1" t="b">
        <f t="shared" si="81"/>
        <v>1</v>
      </c>
      <c r="I805" s="1" t="s">
        <v>2747</v>
      </c>
      <c r="K805" s="1" t="b">
        <v>0</v>
      </c>
    </row>
    <row r="806" spans="1:11">
      <c r="A806" s="1">
        <v>0</v>
      </c>
      <c r="B806" s="313">
        <f>报表附注!E1179</f>
        <v>0</v>
      </c>
      <c r="C806" s="325">
        <f t="shared" si="83"/>
        <v>0</v>
      </c>
      <c r="D806" s="1" t="b">
        <f t="shared" si="82"/>
        <v>1</v>
      </c>
      <c r="E806" s="315"/>
      <c r="H806" s="1" t="b">
        <f t="shared" si="81"/>
        <v>1</v>
      </c>
      <c r="I806" s="1">
        <v>0</v>
      </c>
      <c r="K806" s="1" t="b">
        <v>0</v>
      </c>
    </row>
    <row r="807" spans="1:11">
      <c r="A807" s="1" t="s">
        <v>1580</v>
      </c>
      <c r="B807" s="324" t="str">
        <f>报表附注!E1180</f>
        <v>合计</v>
      </c>
      <c r="C807" s="325">
        <f t="shared" si="83"/>
        <v>0</v>
      </c>
      <c r="D807" s="1" t="b">
        <f t="shared" si="82"/>
        <v>1</v>
      </c>
      <c r="E807" s="315"/>
      <c r="H807" s="1" t="b">
        <f t="shared" si="81"/>
        <v>1</v>
      </c>
      <c r="I807" s="1" t="s">
        <v>1580</v>
      </c>
      <c r="K807" s="1" t="b">
        <v>1</v>
      </c>
    </row>
    <row r="808" ht="12" spans="1:11">
      <c r="A808" s="1" t="s">
        <v>1667</v>
      </c>
      <c r="B808" s="354" t="s">
        <v>1667</v>
      </c>
      <c r="C808" s="330">
        <f t="shared" si="83"/>
        <v>0</v>
      </c>
      <c r="D808" s="1" t="b">
        <f t="shared" si="82"/>
        <v>1</v>
      </c>
      <c r="E808" s="311"/>
      <c r="H808" s="1" t="b">
        <f t="shared" si="81"/>
        <v>0</v>
      </c>
      <c r="I808" s="1" t="s">
        <v>859</v>
      </c>
      <c r="K808" s="1" t="b">
        <v>1</v>
      </c>
    </row>
    <row r="809" spans="1:11">
      <c r="A809" s="1" t="s">
        <v>1666</v>
      </c>
      <c r="B809" s="335" t="s">
        <v>1666</v>
      </c>
      <c r="C809" s="330">
        <f t="shared" si="83"/>
        <v>0</v>
      </c>
      <c r="D809" s="1" t="b">
        <f t="shared" si="82"/>
        <v>1</v>
      </c>
      <c r="E809" s="311"/>
      <c r="H809" s="1" t="b">
        <f t="shared" si="81"/>
        <v>0</v>
      </c>
      <c r="I809" s="1" t="s">
        <v>4577</v>
      </c>
      <c r="K809" s="1" t="b">
        <v>0</v>
      </c>
    </row>
    <row r="810" spans="1:11">
      <c r="A810" s="1" t="s">
        <v>1658</v>
      </c>
      <c r="B810" s="336" t="str">
        <f>报表附注!E1184</f>
        <v>    其中：房屋及建筑物</v>
      </c>
      <c r="C810" s="325">
        <f t="shared" si="83"/>
        <v>0</v>
      </c>
      <c r="D810" s="1" t="b">
        <f t="shared" si="82"/>
        <v>0</v>
      </c>
      <c r="E810" s="315"/>
      <c r="H810" s="1" t="b">
        <f t="shared" si="81"/>
        <v>0</v>
      </c>
      <c r="I810" s="1" t="s">
        <v>2745</v>
      </c>
      <c r="K810" s="1" t="b">
        <v>0</v>
      </c>
    </row>
    <row r="811" spans="1:11">
      <c r="A811" s="1" t="s">
        <v>1659</v>
      </c>
      <c r="B811" s="336" t="str">
        <f>报表附注!E1185</f>
        <v>        机器设备</v>
      </c>
      <c r="C811" s="325">
        <f t="shared" si="83"/>
        <v>0</v>
      </c>
      <c r="D811" s="1" t="b">
        <f t="shared" si="82"/>
        <v>0</v>
      </c>
      <c r="E811" s="315"/>
      <c r="H811" s="1" t="b">
        <f t="shared" si="81"/>
        <v>0</v>
      </c>
      <c r="I811" s="1" t="s">
        <v>2746</v>
      </c>
      <c r="K811" s="1" t="b">
        <v>0</v>
      </c>
    </row>
    <row r="812" spans="1:11">
      <c r="A812" s="1" t="s">
        <v>1660</v>
      </c>
      <c r="B812" s="336" t="str">
        <f>报表附注!E1186</f>
        <v>        运输工具</v>
      </c>
      <c r="C812" s="325">
        <f t="shared" si="83"/>
        <v>0</v>
      </c>
      <c r="D812" s="1" t="b">
        <f t="shared" si="82"/>
        <v>0</v>
      </c>
      <c r="E812" s="315"/>
      <c r="H812" s="1" t="b">
        <f t="shared" si="81"/>
        <v>0</v>
      </c>
      <c r="I812" s="1" t="s">
        <v>2747</v>
      </c>
      <c r="K812" s="1" t="b">
        <v>0</v>
      </c>
    </row>
    <row r="813" spans="1:11">
      <c r="A813" s="1" t="s">
        <v>1661</v>
      </c>
      <c r="B813" s="336" t="str">
        <f>报表附注!E1187</f>
        <v>        电子设备及其他</v>
      </c>
      <c r="C813" s="325">
        <f t="shared" si="83"/>
        <v>0</v>
      </c>
      <c r="D813" s="1" t="b">
        <f t="shared" si="82"/>
        <v>0</v>
      </c>
      <c r="E813" s="315"/>
      <c r="H813" s="1" t="b">
        <f t="shared" si="81"/>
        <v>0</v>
      </c>
      <c r="I813" s="1">
        <v>0</v>
      </c>
      <c r="K813" s="1" t="b">
        <v>0</v>
      </c>
    </row>
    <row r="814" spans="1:11">
      <c r="A814" s="1">
        <v>0</v>
      </c>
      <c r="B814" s="336">
        <f>报表附注!E1188</f>
        <v>0</v>
      </c>
      <c r="C814" s="325">
        <f t="shared" si="83"/>
        <v>0</v>
      </c>
      <c r="D814" s="1" t="b">
        <f t="shared" si="82"/>
        <v>1</v>
      </c>
      <c r="E814" s="315"/>
      <c r="H814" s="1" t="b">
        <f t="shared" si="81"/>
        <v>0</v>
      </c>
      <c r="I814" s="1" t="s">
        <v>1580</v>
      </c>
      <c r="K814" s="1" t="b">
        <v>1</v>
      </c>
    </row>
    <row r="815" spans="1:11">
      <c r="A815" s="1" t="s">
        <v>1580</v>
      </c>
      <c r="B815" s="340" t="str">
        <f>报表附注!E1189</f>
        <v>合计</v>
      </c>
      <c r="C815" s="325">
        <f t="shared" si="83"/>
        <v>0</v>
      </c>
      <c r="D815" s="1" t="b">
        <f t="shared" si="82"/>
        <v>1</v>
      </c>
      <c r="E815" s="315"/>
      <c r="H815" s="1" t="b">
        <f t="shared" si="81"/>
        <v>0</v>
      </c>
      <c r="I815" s="1" t="s">
        <v>775</v>
      </c>
      <c r="K815" s="1" t="b">
        <v>1</v>
      </c>
    </row>
    <row r="816" spans="1:11">
      <c r="A816" s="1" t="s">
        <v>859</v>
      </c>
      <c r="B816" s="335" t="s">
        <v>859</v>
      </c>
      <c r="C816" s="330">
        <f t="shared" si="83"/>
        <v>0</v>
      </c>
      <c r="D816" s="1" t="b">
        <f t="shared" si="82"/>
        <v>1</v>
      </c>
      <c r="E816" s="311"/>
      <c r="H816" s="1" t="b">
        <f t="shared" si="81"/>
        <v>0</v>
      </c>
      <c r="I816" s="1" t="s">
        <v>4577</v>
      </c>
      <c r="K816" s="1" t="b">
        <v>0</v>
      </c>
    </row>
    <row r="817" spans="1:11">
      <c r="A817" s="1" t="s">
        <v>1658</v>
      </c>
      <c r="B817" s="347" t="str">
        <f>报表附注!E1184</f>
        <v>    其中：房屋及建筑物</v>
      </c>
      <c r="C817" s="325">
        <f t="shared" si="83"/>
        <v>0</v>
      </c>
      <c r="D817" s="1" t="b">
        <f t="shared" si="82"/>
        <v>0</v>
      </c>
      <c r="E817" s="315"/>
      <c r="H817" s="1" t="b">
        <f t="shared" si="81"/>
        <v>0</v>
      </c>
      <c r="I817" s="1" t="s">
        <v>2745</v>
      </c>
      <c r="K817" s="1" t="b">
        <v>0</v>
      </c>
    </row>
    <row r="818" spans="1:11">
      <c r="A818" s="1" t="s">
        <v>1659</v>
      </c>
      <c r="B818" s="336" t="str">
        <f>报表附注!E1185</f>
        <v>        机器设备</v>
      </c>
      <c r="C818" s="325">
        <f t="shared" si="83"/>
        <v>0</v>
      </c>
      <c r="D818" s="1" t="b">
        <f t="shared" si="82"/>
        <v>0</v>
      </c>
      <c r="E818" s="315"/>
      <c r="H818" s="1" t="b">
        <f t="shared" si="81"/>
        <v>0</v>
      </c>
      <c r="I818" s="1" t="s">
        <v>2746</v>
      </c>
      <c r="K818" s="1" t="b">
        <v>0</v>
      </c>
    </row>
    <row r="819" spans="1:11">
      <c r="A819" s="1" t="s">
        <v>1660</v>
      </c>
      <c r="B819" s="336" t="str">
        <f>报表附注!E1186</f>
        <v>        运输工具</v>
      </c>
      <c r="C819" s="325">
        <f t="shared" si="83"/>
        <v>0</v>
      </c>
      <c r="D819" s="1" t="b">
        <f t="shared" si="82"/>
        <v>0</v>
      </c>
      <c r="E819" s="315"/>
      <c r="H819" s="1" t="b">
        <f t="shared" si="81"/>
        <v>0</v>
      </c>
      <c r="I819" s="1" t="s">
        <v>2747</v>
      </c>
      <c r="K819" s="1" t="b">
        <v>0</v>
      </c>
    </row>
    <row r="820" spans="1:11">
      <c r="A820" s="1" t="s">
        <v>1661</v>
      </c>
      <c r="B820" s="336" t="str">
        <f>报表附注!E1187</f>
        <v>        电子设备及其他</v>
      </c>
      <c r="C820" s="325">
        <f t="shared" si="83"/>
        <v>0</v>
      </c>
      <c r="D820" s="1" t="b">
        <f t="shared" si="82"/>
        <v>0</v>
      </c>
      <c r="E820" s="315"/>
      <c r="H820" s="1" t="b">
        <f t="shared" si="81"/>
        <v>0</v>
      </c>
      <c r="I820" s="1">
        <v>0</v>
      </c>
      <c r="K820" s="1" t="b">
        <v>0</v>
      </c>
    </row>
    <row r="821" spans="1:11">
      <c r="A821" s="1">
        <v>0</v>
      </c>
      <c r="B821" s="336">
        <f>报表附注!E1188</f>
        <v>0</v>
      </c>
      <c r="C821" s="325">
        <f t="shared" si="83"/>
        <v>0</v>
      </c>
      <c r="D821" s="1" t="b">
        <f t="shared" si="82"/>
        <v>1</v>
      </c>
      <c r="E821" s="315"/>
      <c r="H821" s="1" t="b">
        <f t="shared" si="81"/>
        <v>0</v>
      </c>
      <c r="I821" s="1" t="s">
        <v>1580</v>
      </c>
      <c r="K821" s="1" t="b">
        <v>1</v>
      </c>
    </row>
    <row r="822" spans="1:11">
      <c r="A822" s="1" t="s">
        <v>1580</v>
      </c>
      <c r="B822" s="340" t="str">
        <f>报表附注!E1189</f>
        <v>合计</v>
      </c>
      <c r="C822" s="325">
        <f t="shared" si="83"/>
        <v>0</v>
      </c>
      <c r="D822" s="1" t="b">
        <f t="shared" si="82"/>
        <v>1</v>
      </c>
      <c r="E822" s="315"/>
      <c r="H822" s="1" t="b">
        <f t="shared" si="81"/>
        <v>0</v>
      </c>
      <c r="I822" s="1" t="s">
        <v>1668</v>
      </c>
      <c r="K822" s="1" t="b">
        <v>1</v>
      </c>
    </row>
    <row r="823" spans="1:11">
      <c r="A823" s="1" t="s">
        <v>775</v>
      </c>
      <c r="B823" s="335" t="s">
        <v>775</v>
      </c>
      <c r="C823" s="330">
        <f t="shared" si="83"/>
        <v>0</v>
      </c>
      <c r="D823" s="1" t="b">
        <f t="shared" si="82"/>
        <v>1</v>
      </c>
      <c r="E823" s="311"/>
      <c r="H823" s="1" t="b">
        <f t="shared" si="81"/>
        <v>0</v>
      </c>
      <c r="I823" s="1" t="s">
        <v>1666</v>
      </c>
      <c r="K823" s="1" t="b">
        <v>1</v>
      </c>
    </row>
    <row r="824" spans="1:11">
      <c r="A824" s="1" t="s">
        <v>1658</v>
      </c>
      <c r="B824" s="347" t="str">
        <f>报表附注!E1184</f>
        <v>    其中：房屋及建筑物</v>
      </c>
      <c r="C824" s="325">
        <f t="shared" si="83"/>
        <v>0</v>
      </c>
      <c r="D824" s="1" t="b">
        <f t="shared" si="82"/>
        <v>0</v>
      </c>
      <c r="E824" s="315"/>
      <c r="H824" s="1" t="b">
        <f t="shared" si="81"/>
        <v>1</v>
      </c>
      <c r="I824" s="1" t="s">
        <v>4577</v>
      </c>
      <c r="K824" s="1" t="b">
        <v>0</v>
      </c>
    </row>
    <row r="825" spans="1:11">
      <c r="A825" s="1" t="s">
        <v>1659</v>
      </c>
      <c r="B825" s="336" t="str">
        <f>报表附注!E1185</f>
        <v>        机器设备</v>
      </c>
      <c r="C825" s="325">
        <f t="shared" si="83"/>
        <v>0</v>
      </c>
      <c r="D825" s="1" t="b">
        <f t="shared" si="82"/>
        <v>0</v>
      </c>
      <c r="E825" s="315"/>
      <c r="H825" s="1" t="b">
        <f t="shared" si="81"/>
        <v>1</v>
      </c>
      <c r="I825" s="1" t="s">
        <v>2745</v>
      </c>
      <c r="K825" s="1" t="b">
        <v>0</v>
      </c>
    </row>
    <row r="826" spans="1:11">
      <c r="A826" s="1" t="s">
        <v>1660</v>
      </c>
      <c r="B826" s="336" t="str">
        <f>报表附注!E1186</f>
        <v>        运输工具</v>
      </c>
      <c r="C826" s="325">
        <f t="shared" si="83"/>
        <v>0</v>
      </c>
      <c r="D826" s="1" t="b">
        <f t="shared" si="82"/>
        <v>0</v>
      </c>
      <c r="E826" s="315"/>
      <c r="H826" s="1" t="b">
        <f t="shared" si="81"/>
        <v>1</v>
      </c>
      <c r="I826" s="1" t="s">
        <v>2746</v>
      </c>
      <c r="K826" s="1" t="b">
        <v>0</v>
      </c>
    </row>
    <row r="827" spans="1:11">
      <c r="A827" s="1" t="s">
        <v>1661</v>
      </c>
      <c r="B827" s="336" t="str">
        <f>报表附注!E1187</f>
        <v>        电子设备及其他</v>
      </c>
      <c r="C827" s="325">
        <f t="shared" ref="C827:C858" si="84">J819</f>
        <v>0</v>
      </c>
      <c r="D827" s="1" t="b">
        <f t="shared" si="82"/>
        <v>0</v>
      </c>
      <c r="E827" s="315"/>
      <c r="H827" s="1" t="b">
        <f t="shared" si="81"/>
        <v>1</v>
      </c>
      <c r="I827" s="1" t="s">
        <v>2747</v>
      </c>
      <c r="K827" s="1" t="b">
        <v>0</v>
      </c>
    </row>
    <row r="828" spans="1:11">
      <c r="A828" s="1">
        <v>0</v>
      </c>
      <c r="B828" s="336">
        <f>报表附注!E1188</f>
        <v>0</v>
      </c>
      <c r="C828" s="325">
        <f t="shared" si="84"/>
        <v>0</v>
      </c>
      <c r="D828" s="1" t="b">
        <f t="shared" si="82"/>
        <v>1</v>
      </c>
      <c r="E828" s="315"/>
      <c r="H828" s="1" t="b">
        <f t="shared" si="81"/>
        <v>1</v>
      </c>
      <c r="I828" s="1">
        <v>0</v>
      </c>
      <c r="K828" s="1" t="b">
        <v>0</v>
      </c>
    </row>
    <row r="829" spans="1:11">
      <c r="A829" s="1" t="s">
        <v>1580</v>
      </c>
      <c r="B829" s="340" t="str">
        <f>报表附注!E1189</f>
        <v>合计</v>
      </c>
      <c r="C829" s="325">
        <f t="shared" si="84"/>
        <v>0</v>
      </c>
      <c r="D829" s="1" t="b">
        <f t="shared" si="82"/>
        <v>1</v>
      </c>
      <c r="E829" s="315"/>
      <c r="H829" s="1" t="b">
        <f t="shared" si="81"/>
        <v>1</v>
      </c>
      <c r="I829" s="1" t="s">
        <v>1580</v>
      </c>
      <c r="K829" s="1" t="b">
        <v>1</v>
      </c>
    </row>
    <row r="830" ht="12" spans="1:11">
      <c r="A830" s="1" t="s">
        <v>1668</v>
      </c>
      <c r="B830" s="354" t="s">
        <v>1668</v>
      </c>
      <c r="C830" s="330">
        <f t="shared" si="84"/>
        <v>0</v>
      </c>
      <c r="D830" s="1" t="b">
        <f t="shared" si="82"/>
        <v>1</v>
      </c>
      <c r="E830" s="311"/>
      <c r="H830" s="1" t="b">
        <f t="shared" si="81"/>
        <v>0</v>
      </c>
      <c r="I830" s="1" t="s">
        <v>859</v>
      </c>
      <c r="K830" s="1" t="b">
        <v>1</v>
      </c>
    </row>
    <row r="831" spans="1:11">
      <c r="A831" s="1" t="s">
        <v>1666</v>
      </c>
      <c r="B831" s="335" t="s">
        <v>1666</v>
      </c>
      <c r="C831" s="330">
        <f t="shared" si="84"/>
        <v>0</v>
      </c>
      <c r="D831" s="1" t="b">
        <f t="shared" si="82"/>
        <v>1</v>
      </c>
      <c r="E831" s="311"/>
      <c r="H831" s="1" t="b">
        <f t="shared" si="81"/>
        <v>0</v>
      </c>
      <c r="I831" s="1" t="s">
        <v>4577</v>
      </c>
      <c r="K831" s="1" t="b">
        <v>0</v>
      </c>
    </row>
    <row r="832" spans="1:11">
      <c r="A832" s="1" t="s">
        <v>1658</v>
      </c>
      <c r="B832" s="336" t="str">
        <f>报表附注!E1193</f>
        <v>    其中：房屋及建筑物</v>
      </c>
      <c r="C832" s="325">
        <f t="shared" si="84"/>
        <v>0</v>
      </c>
      <c r="D832" s="1" t="b">
        <f t="shared" si="82"/>
        <v>0</v>
      </c>
      <c r="E832" s="315"/>
      <c r="H832" s="1" t="b">
        <f t="shared" si="81"/>
        <v>0</v>
      </c>
      <c r="I832" s="1" t="s">
        <v>2745</v>
      </c>
      <c r="K832" s="1" t="b">
        <v>0</v>
      </c>
    </row>
    <row r="833" spans="1:11">
      <c r="A833" s="1" t="s">
        <v>1659</v>
      </c>
      <c r="B833" s="336" t="str">
        <f>报表附注!E1194</f>
        <v>        机器设备</v>
      </c>
      <c r="C833" s="325">
        <f t="shared" si="84"/>
        <v>0</v>
      </c>
      <c r="D833" s="1" t="b">
        <f t="shared" si="82"/>
        <v>0</v>
      </c>
      <c r="E833" s="315"/>
      <c r="H833" s="1" t="b">
        <f t="shared" si="81"/>
        <v>0</v>
      </c>
      <c r="I833" s="1" t="s">
        <v>2746</v>
      </c>
      <c r="K833" s="1" t="b">
        <v>0</v>
      </c>
    </row>
    <row r="834" spans="1:11">
      <c r="A834" s="1" t="s">
        <v>1660</v>
      </c>
      <c r="B834" s="336" t="str">
        <f>报表附注!E1195</f>
        <v>        运输工具</v>
      </c>
      <c r="C834" s="325">
        <f t="shared" si="84"/>
        <v>0</v>
      </c>
      <c r="D834" s="1" t="b">
        <f t="shared" si="82"/>
        <v>0</v>
      </c>
      <c r="E834" s="315"/>
      <c r="H834" s="1" t="b">
        <f t="shared" si="81"/>
        <v>0</v>
      </c>
      <c r="I834" s="1" t="s">
        <v>2747</v>
      </c>
      <c r="K834" s="1" t="b">
        <v>0</v>
      </c>
    </row>
    <row r="835" spans="1:11">
      <c r="A835" s="1" t="s">
        <v>1661</v>
      </c>
      <c r="B835" s="336" t="str">
        <f>报表附注!E1196</f>
        <v>        电子设备及其他</v>
      </c>
      <c r="C835" s="325">
        <f t="shared" si="84"/>
        <v>0</v>
      </c>
      <c r="D835" s="1" t="b">
        <f t="shared" si="82"/>
        <v>0</v>
      </c>
      <c r="E835" s="315"/>
      <c r="H835" s="1" t="b">
        <f t="shared" si="81"/>
        <v>0</v>
      </c>
      <c r="I835" s="1">
        <v>0</v>
      </c>
      <c r="K835" s="1" t="b">
        <v>0</v>
      </c>
    </row>
    <row r="836" spans="1:11">
      <c r="A836" s="1">
        <v>0</v>
      </c>
      <c r="B836" s="336">
        <f>报表附注!E1197</f>
        <v>0</v>
      </c>
      <c r="C836" s="325">
        <f t="shared" si="84"/>
        <v>0</v>
      </c>
      <c r="D836" s="1" t="b">
        <f t="shared" si="82"/>
        <v>1</v>
      </c>
      <c r="E836" s="315"/>
      <c r="H836" s="1" t="b">
        <f t="shared" ref="H836:H899" si="85">I836=B836</f>
        <v>0</v>
      </c>
      <c r="I836" s="1" t="s">
        <v>1580</v>
      </c>
      <c r="K836" s="1" t="b">
        <v>1</v>
      </c>
    </row>
    <row r="837" spans="1:11">
      <c r="A837" s="1" t="s">
        <v>1580</v>
      </c>
      <c r="B837" s="340" t="str">
        <f>报表附注!E1198</f>
        <v>合计</v>
      </c>
      <c r="C837" s="325">
        <f t="shared" si="84"/>
        <v>0</v>
      </c>
      <c r="D837" s="1" t="b">
        <f t="shared" si="82"/>
        <v>1</v>
      </c>
      <c r="E837" s="315"/>
      <c r="H837" s="1" t="b">
        <f t="shared" si="85"/>
        <v>0</v>
      </c>
      <c r="I837" s="1" t="s">
        <v>775</v>
      </c>
      <c r="K837" s="1" t="b">
        <v>1</v>
      </c>
    </row>
    <row r="838" spans="1:11">
      <c r="A838" s="1" t="s">
        <v>859</v>
      </c>
      <c r="B838" s="335" t="s">
        <v>859</v>
      </c>
      <c r="C838" s="330">
        <f t="shared" si="84"/>
        <v>0</v>
      </c>
      <c r="D838" s="1" t="b">
        <f t="shared" si="82"/>
        <v>1</v>
      </c>
      <c r="E838" s="311"/>
      <c r="H838" s="1" t="b">
        <f t="shared" si="85"/>
        <v>0</v>
      </c>
      <c r="I838" s="1" t="s">
        <v>4577</v>
      </c>
      <c r="K838" s="1" t="b">
        <v>0</v>
      </c>
    </row>
    <row r="839" spans="1:11">
      <c r="A839" s="1" t="s">
        <v>1658</v>
      </c>
      <c r="B839" s="336" t="str">
        <f>报表附注!E1193</f>
        <v>    其中：房屋及建筑物</v>
      </c>
      <c r="C839" s="325">
        <f t="shared" si="84"/>
        <v>0</v>
      </c>
      <c r="D839" s="1" t="b">
        <f t="shared" si="82"/>
        <v>0</v>
      </c>
      <c r="E839" s="315"/>
      <c r="H839" s="1" t="b">
        <f t="shared" si="85"/>
        <v>0</v>
      </c>
      <c r="I839" s="1" t="s">
        <v>2745</v>
      </c>
      <c r="K839" s="1" t="b">
        <v>0</v>
      </c>
    </row>
    <row r="840" spans="1:11">
      <c r="A840" s="1" t="s">
        <v>1659</v>
      </c>
      <c r="B840" s="336" t="str">
        <f>报表附注!E1194</f>
        <v>        机器设备</v>
      </c>
      <c r="C840" s="325">
        <f t="shared" si="84"/>
        <v>0</v>
      </c>
      <c r="D840" s="1" t="b">
        <f t="shared" si="82"/>
        <v>0</v>
      </c>
      <c r="E840" s="315"/>
      <c r="H840" s="1" t="b">
        <f t="shared" si="85"/>
        <v>0</v>
      </c>
      <c r="I840" s="1" t="s">
        <v>2746</v>
      </c>
      <c r="K840" s="1" t="b">
        <v>0</v>
      </c>
    </row>
    <row r="841" spans="1:11">
      <c r="A841" s="1" t="s">
        <v>1660</v>
      </c>
      <c r="B841" s="336" t="str">
        <f>报表附注!E1195</f>
        <v>        运输工具</v>
      </c>
      <c r="C841" s="325">
        <f t="shared" si="84"/>
        <v>0</v>
      </c>
      <c r="D841" s="1" t="b">
        <f t="shared" si="82"/>
        <v>0</v>
      </c>
      <c r="E841" s="315"/>
      <c r="H841" s="1" t="b">
        <f t="shared" si="85"/>
        <v>0</v>
      </c>
      <c r="I841" s="1" t="s">
        <v>2747</v>
      </c>
      <c r="K841" s="1" t="b">
        <v>0</v>
      </c>
    </row>
    <row r="842" spans="1:11">
      <c r="A842" s="1" t="s">
        <v>1661</v>
      </c>
      <c r="B842" s="336" t="str">
        <f>报表附注!E1196</f>
        <v>        电子设备及其他</v>
      </c>
      <c r="C842" s="325">
        <f t="shared" si="84"/>
        <v>0</v>
      </c>
      <c r="D842" s="1" t="b">
        <f t="shared" si="82"/>
        <v>0</v>
      </c>
      <c r="E842" s="315"/>
      <c r="H842" s="1" t="b">
        <f t="shared" si="85"/>
        <v>0</v>
      </c>
      <c r="I842" s="1">
        <v>0</v>
      </c>
      <c r="K842" s="1" t="b">
        <v>0</v>
      </c>
    </row>
    <row r="843" spans="1:11">
      <c r="A843" s="1">
        <v>0</v>
      </c>
      <c r="B843" s="336">
        <f>报表附注!E1197</f>
        <v>0</v>
      </c>
      <c r="C843" s="325">
        <f t="shared" si="84"/>
        <v>0</v>
      </c>
      <c r="D843" s="1" t="b">
        <f t="shared" si="82"/>
        <v>1</v>
      </c>
      <c r="E843" s="315"/>
      <c r="H843" s="1" t="b">
        <f t="shared" si="85"/>
        <v>0</v>
      </c>
      <c r="I843" s="1" t="s">
        <v>1580</v>
      </c>
      <c r="K843" s="1" t="b">
        <v>1</v>
      </c>
    </row>
    <row r="844" spans="1:11">
      <c r="A844" s="1" t="s">
        <v>1580</v>
      </c>
      <c r="B844" s="340" t="str">
        <f>报表附注!E1198</f>
        <v>合计</v>
      </c>
      <c r="C844" s="325">
        <f t="shared" si="84"/>
        <v>0</v>
      </c>
      <c r="D844" s="1" t="b">
        <f t="shared" ref="D844:D907" si="86">EXACT(A844,B844)</f>
        <v>1</v>
      </c>
      <c r="E844" s="315"/>
      <c r="H844" s="1" t="b">
        <f t="shared" si="85"/>
        <v>0</v>
      </c>
      <c r="I844" s="1" t="s">
        <v>1669</v>
      </c>
      <c r="K844" s="1" t="b">
        <v>1</v>
      </c>
    </row>
    <row r="845" spans="1:11">
      <c r="A845" s="1" t="s">
        <v>775</v>
      </c>
      <c r="B845" s="335" t="s">
        <v>775</v>
      </c>
      <c r="C845" s="330">
        <f t="shared" si="84"/>
        <v>0</v>
      </c>
      <c r="D845" s="1" t="b">
        <f t="shared" si="86"/>
        <v>1</v>
      </c>
      <c r="E845" s="311"/>
      <c r="H845" s="1" t="b">
        <f t="shared" si="85"/>
        <v>0</v>
      </c>
      <c r="I845" s="1" t="s">
        <v>1670</v>
      </c>
      <c r="K845" s="1" t="b">
        <v>1</v>
      </c>
    </row>
    <row r="846" spans="1:11">
      <c r="A846" s="1" t="s">
        <v>1658</v>
      </c>
      <c r="B846" s="347" t="str">
        <f>报表附注!E1193</f>
        <v>    其中：房屋及建筑物</v>
      </c>
      <c r="C846" s="325">
        <f t="shared" si="84"/>
        <v>0</v>
      </c>
      <c r="D846" s="1" t="b">
        <f t="shared" si="86"/>
        <v>0</v>
      </c>
      <c r="E846" s="315"/>
      <c r="H846" s="1" t="b">
        <f t="shared" si="85"/>
        <v>1</v>
      </c>
      <c r="I846" s="1" t="s">
        <v>4577</v>
      </c>
      <c r="K846" s="1" t="b">
        <v>0</v>
      </c>
    </row>
    <row r="847" spans="1:11">
      <c r="A847" s="1" t="s">
        <v>1659</v>
      </c>
      <c r="B847" s="347" t="str">
        <f>报表附注!E1194</f>
        <v>        机器设备</v>
      </c>
      <c r="C847" s="325">
        <f t="shared" si="84"/>
        <v>0</v>
      </c>
      <c r="D847" s="1" t="b">
        <f t="shared" si="86"/>
        <v>0</v>
      </c>
      <c r="E847" s="315"/>
      <c r="H847" s="1" t="b">
        <f t="shared" si="85"/>
        <v>1</v>
      </c>
      <c r="I847" s="1" t="s">
        <v>2745</v>
      </c>
      <c r="K847" s="1" t="b">
        <v>0</v>
      </c>
    </row>
    <row r="848" spans="1:11">
      <c r="A848" s="1" t="s">
        <v>1660</v>
      </c>
      <c r="B848" s="347" t="str">
        <f>报表附注!E1195</f>
        <v>        运输工具</v>
      </c>
      <c r="C848" s="325">
        <f t="shared" si="84"/>
        <v>0</v>
      </c>
      <c r="D848" s="1" t="b">
        <f t="shared" si="86"/>
        <v>0</v>
      </c>
      <c r="E848" s="315"/>
      <c r="H848" s="1" t="b">
        <f t="shared" si="85"/>
        <v>1</v>
      </c>
      <c r="I848" s="1" t="s">
        <v>2746</v>
      </c>
      <c r="K848" s="1" t="b">
        <v>0</v>
      </c>
    </row>
    <row r="849" spans="1:11">
      <c r="A849" s="1" t="s">
        <v>1661</v>
      </c>
      <c r="B849" s="347" t="str">
        <f>报表附注!E1196</f>
        <v>        电子设备及其他</v>
      </c>
      <c r="C849" s="325">
        <f t="shared" si="84"/>
        <v>0</v>
      </c>
      <c r="D849" s="1" t="b">
        <f t="shared" si="86"/>
        <v>0</v>
      </c>
      <c r="E849" s="315"/>
      <c r="H849" s="1" t="b">
        <f t="shared" si="85"/>
        <v>1</v>
      </c>
      <c r="I849" s="1" t="s">
        <v>2747</v>
      </c>
      <c r="K849" s="1" t="b">
        <v>0</v>
      </c>
    </row>
    <row r="850" spans="1:11">
      <c r="A850" s="1">
        <v>0</v>
      </c>
      <c r="B850" s="347">
        <f>报表附注!E1197</f>
        <v>0</v>
      </c>
      <c r="C850" s="325">
        <f t="shared" si="84"/>
        <v>0</v>
      </c>
      <c r="D850" s="1" t="b">
        <f t="shared" si="86"/>
        <v>1</v>
      </c>
      <c r="E850" s="315"/>
      <c r="H850" s="1" t="b">
        <f t="shared" si="85"/>
        <v>1</v>
      </c>
      <c r="I850" s="1">
        <v>0</v>
      </c>
      <c r="K850" s="1" t="b">
        <v>0</v>
      </c>
    </row>
    <row r="851" spans="1:11">
      <c r="A851" s="1" t="s">
        <v>1580</v>
      </c>
      <c r="B851" s="355" t="str">
        <f>报表附注!E1198</f>
        <v>合计</v>
      </c>
      <c r="C851" s="325">
        <f t="shared" si="84"/>
        <v>0</v>
      </c>
      <c r="D851" s="1" t="b">
        <f t="shared" si="86"/>
        <v>1</v>
      </c>
      <c r="E851" s="315"/>
      <c r="H851" s="1" t="b">
        <f t="shared" si="85"/>
        <v>1</v>
      </c>
      <c r="I851" s="1" t="s">
        <v>1580</v>
      </c>
      <c r="K851" s="1" t="b">
        <v>1</v>
      </c>
    </row>
    <row r="852" ht="12" spans="1:11">
      <c r="A852" s="1" t="s">
        <v>1669</v>
      </c>
      <c r="B852" s="354" t="s">
        <v>1669</v>
      </c>
      <c r="C852" s="330">
        <f t="shared" si="84"/>
        <v>0</v>
      </c>
      <c r="D852" s="1" t="b">
        <f t="shared" si="86"/>
        <v>1</v>
      </c>
      <c r="E852" s="311"/>
      <c r="H852" s="1" t="b">
        <f t="shared" si="85"/>
        <v>0</v>
      </c>
      <c r="I852" s="1" t="s">
        <v>1671</v>
      </c>
      <c r="K852" s="1" t="b">
        <v>1</v>
      </c>
    </row>
    <row r="853" spans="1:11">
      <c r="A853" s="1" t="s">
        <v>1670</v>
      </c>
      <c r="B853" s="335" t="s">
        <v>1670</v>
      </c>
      <c r="C853" s="330">
        <f t="shared" si="84"/>
        <v>0</v>
      </c>
      <c r="D853" s="1" t="b">
        <f t="shared" si="86"/>
        <v>1</v>
      </c>
      <c r="E853" s="311"/>
      <c r="H853" s="1" t="b">
        <f t="shared" si="85"/>
        <v>0</v>
      </c>
      <c r="I853" s="1" t="s">
        <v>4577</v>
      </c>
      <c r="K853" s="1" t="b">
        <v>0</v>
      </c>
    </row>
    <row r="854" spans="1:11">
      <c r="A854" s="1" t="s">
        <v>1658</v>
      </c>
      <c r="B854" s="347" t="str">
        <f>报表附注!E1202</f>
        <v>    其中：房屋及建筑物</v>
      </c>
      <c r="C854" s="325">
        <f t="shared" si="84"/>
        <v>0</v>
      </c>
      <c r="D854" s="1" t="b">
        <f t="shared" si="86"/>
        <v>0</v>
      </c>
      <c r="E854" s="315"/>
      <c r="H854" s="1" t="b">
        <f t="shared" si="85"/>
        <v>0</v>
      </c>
      <c r="I854" s="1" t="s">
        <v>2745</v>
      </c>
      <c r="K854" s="1" t="b">
        <v>0</v>
      </c>
    </row>
    <row r="855" spans="1:11">
      <c r="A855" s="1" t="s">
        <v>1659</v>
      </c>
      <c r="B855" s="347" t="str">
        <f>报表附注!E1203</f>
        <v>        机器设备</v>
      </c>
      <c r="C855" s="325">
        <f t="shared" si="84"/>
        <v>0</v>
      </c>
      <c r="D855" s="1" t="b">
        <f t="shared" si="86"/>
        <v>0</v>
      </c>
      <c r="E855" s="315"/>
      <c r="H855" s="1" t="b">
        <f t="shared" si="85"/>
        <v>0</v>
      </c>
      <c r="I855" s="1" t="s">
        <v>2746</v>
      </c>
      <c r="K855" s="1" t="b">
        <v>0</v>
      </c>
    </row>
    <row r="856" spans="1:11">
      <c r="A856" s="1" t="s">
        <v>1660</v>
      </c>
      <c r="B856" s="347" t="str">
        <f>报表附注!E1204</f>
        <v>        运输工具</v>
      </c>
      <c r="C856" s="325">
        <f t="shared" si="84"/>
        <v>0</v>
      </c>
      <c r="D856" s="1" t="b">
        <f t="shared" si="86"/>
        <v>0</v>
      </c>
      <c r="E856" s="315"/>
      <c r="H856" s="1" t="b">
        <f t="shared" si="85"/>
        <v>0</v>
      </c>
      <c r="I856" s="1" t="s">
        <v>2747</v>
      </c>
      <c r="K856" s="1" t="b">
        <v>0</v>
      </c>
    </row>
    <row r="857" spans="1:11">
      <c r="A857" s="1" t="s">
        <v>1661</v>
      </c>
      <c r="B857" s="347" t="str">
        <f>报表附注!E1205</f>
        <v>        电子设备及其他</v>
      </c>
      <c r="C857" s="325">
        <f t="shared" si="84"/>
        <v>0</v>
      </c>
      <c r="D857" s="1" t="b">
        <f t="shared" si="86"/>
        <v>0</v>
      </c>
      <c r="E857" s="315"/>
      <c r="H857" s="1" t="b">
        <f t="shared" si="85"/>
        <v>0</v>
      </c>
      <c r="I857" s="1">
        <v>0</v>
      </c>
      <c r="K857" s="1" t="b">
        <v>0</v>
      </c>
    </row>
    <row r="858" spans="1:11">
      <c r="A858" s="1">
        <v>0</v>
      </c>
      <c r="B858" s="347">
        <f>报表附注!E1206</f>
        <v>0</v>
      </c>
      <c r="C858" s="325">
        <f t="shared" si="84"/>
        <v>0</v>
      </c>
      <c r="D858" s="1" t="b">
        <f t="shared" si="86"/>
        <v>1</v>
      </c>
      <c r="E858" s="315"/>
      <c r="H858" s="1" t="b">
        <f t="shared" si="85"/>
        <v>0</v>
      </c>
      <c r="I858" s="1" t="s">
        <v>1580</v>
      </c>
      <c r="K858" s="1" t="b">
        <v>1</v>
      </c>
    </row>
    <row r="859" spans="1:11">
      <c r="A859" s="1" t="s">
        <v>1580</v>
      </c>
      <c r="B859" s="355" t="str">
        <f>报表附注!E1207</f>
        <v>合计</v>
      </c>
      <c r="C859" s="325">
        <f t="shared" ref="C859:C873" si="87">J851</f>
        <v>0</v>
      </c>
      <c r="D859" s="1" t="b">
        <f t="shared" si="86"/>
        <v>1</v>
      </c>
      <c r="E859" s="315"/>
      <c r="H859" s="1" t="b">
        <f t="shared" si="85"/>
        <v>0</v>
      </c>
      <c r="I859" s="1" t="s">
        <v>1672</v>
      </c>
      <c r="K859" s="1" t="b">
        <v>1</v>
      </c>
    </row>
    <row r="860" spans="1:11">
      <c r="A860" s="1" t="s">
        <v>1671</v>
      </c>
      <c r="B860" s="335" t="s">
        <v>1671</v>
      </c>
      <c r="C860" s="330">
        <f t="shared" si="87"/>
        <v>0</v>
      </c>
      <c r="D860" s="1" t="b">
        <f t="shared" si="86"/>
        <v>1</v>
      </c>
      <c r="E860" s="311"/>
      <c r="H860" s="1" t="b">
        <f t="shared" si="85"/>
        <v>0</v>
      </c>
      <c r="I860" s="1" t="s">
        <v>4577</v>
      </c>
      <c r="K860" s="1" t="b">
        <v>0</v>
      </c>
    </row>
    <row r="861" spans="1:11">
      <c r="A861" s="1" t="s">
        <v>1658</v>
      </c>
      <c r="B861" s="336" t="str">
        <f>报表附注!E1202</f>
        <v>    其中：房屋及建筑物</v>
      </c>
      <c r="C861" s="325">
        <f t="shared" si="87"/>
        <v>0</v>
      </c>
      <c r="D861" s="1" t="b">
        <f t="shared" si="86"/>
        <v>0</v>
      </c>
      <c r="E861" s="315"/>
      <c r="H861" s="1" t="b">
        <f t="shared" si="85"/>
        <v>0</v>
      </c>
      <c r="I861" s="1" t="s">
        <v>2745</v>
      </c>
      <c r="K861" s="1" t="b">
        <v>0</v>
      </c>
    </row>
    <row r="862" spans="1:11">
      <c r="A862" s="1" t="s">
        <v>1659</v>
      </c>
      <c r="B862" s="336" t="str">
        <f>报表附注!E1203</f>
        <v>        机器设备</v>
      </c>
      <c r="C862" s="325">
        <f t="shared" si="87"/>
        <v>0</v>
      </c>
      <c r="D862" s="1" t="b">
        <f t="shared" si="86"/>
        <v>0</v>
      </c>
      <c r="E862" s="315"/>
      <c r="H862" s="1" t="b">
        <f t="shared" si="85"/>
        <v>0</v>
      </c>
      <c r="I862" s="1" t="s">
        <v>2746</v>
      </c>
      <c r="K862" s="1" t="b">
        <v>0</v>
      </c>
    </row>
    <row r="863" spans="1:11">
      <c r="A863" s="1" t="s">
        <v>1660</v>
      </c>
      <c r="B863" s="336" t="str">
        <f>报表附注!E1204</f>
        <v>        运输工具</v>
      </c>
      <c r="C863" s="325">
        <f t="shared" si="87"/>
        <v>0</v>
      </c>
      <c r="D863" s="1" t="b">
        <f t="shared" si="86"/>
        <v>0</v>
      </c>
      <c r="E863" s="315"/>
      <c r="H863" s="1" t="b">
        <f t="shared" si="85"/>
        <v>0</v>
      </c>
      <c r="I863" s="1" t="s">
        <v>2747</v>
      </c>
      <c r="K863" s="1" t="b">
        <v>0</v>
      </c>
    </row>
    <row r="864" spans="1:11">
      <c r="A864" s="1" t="s">
        <v>1661</v>
      </c>
      <c r="B864" s="336" t="str">
        <f>报表附注!E1205</f>
        <v>        电子设备及其他</v>
      </c>
      <c r="C864" s="325">
        <f t="shared" si="87"/>
        <v>0</v>
      </c>
      <c r="D864" s="1" t="b">
        <f t="shared" si="86"/>
        <v>0</v>
      </c>
      <c r="E864" s="315"/>
      <c r="H864" s="1" t="b">
        <f t="shared" si="85"/>
        <v>0</v>
      </c>
      <c r="I864" s="1">
        <v>0</v>
      </c>
      <c r="K864" s="1" t="b">
        <v>0</v>
      </c>
    </row>
    <row r="865" spans="1:11">
      <c r="A865" s="1">
        <v>0</v>
      </c>
      <c r="B865" s="336">
        <f>报表附注!E1206</f>
        <v>0</v>
      </c>
      <c r="C865" s="325">
        <f t="shared" si="87"/>
        <v>0</v>
      </c>
      <c r="D865" s="1" t="b">
        <f t="shared" si="86"/>
        <v>1</v>
      </c>
      <c r="E865" s="315"/>
      <c r="H865" s="1" t="b">
        <f t="shared" si="85"/>
        <v>0</v>
      </c>
      <c r="I865" s="1" t="s">
        <v>1580</v>
      </c>
      <c r="K865" s="1" t="b">
        <v>1</v>
      </c>
    </row>
    <row r="866" spans="1:11">
      <c r="A866" s="1" t="s">
        <v>1580</v>
      </c>
      <c r="B866" s="340" t="str">
        <f>报表附注!E1207</f>
        <v>合计</v>
      </c>
      <c r="C866" s="325">
        <f t="shared" si="87"/>
        <v>0</v>
      </c>
      <c r="D866" s="1" t="b">
        <f t="shared" si="86"/>
        <v>1</v>
      </c>
      <c r="E866" s="315"/>
      <c r="H866" s="1" t="b">
        <f t="shared" si="85"/>
        <v>0</v>
      </c>
      <c r="K866" s="1" t="b">
        <v>1</v>
      </c>
    </row>
    <row r="867" spans="1:11">
      <c r="A867" s="1" t="s">
        <v>1672</v>
      </c>
      <c r="B867" s="335" t="s">
        <v>1672</v>
      </c>
      <c r="C867" s="330">
        <f t="shared" si="87"/>
        <v>0</v>
      </c>
      <c r="D867" s="1" t="b">
        <f t="shared" si="86"/>
        <v>1</v>
      </c>
      <c r="E867" s="311"/>
      <c r="H867" s="1" t="b">
        <f t="shared" si="85"/>
        <v>0</v>
      </c>
      <c r="I867" s="1" t="s">
        <v>1673</v>
      </c>
      <c r="K867" s="1" t="b">
        <v>1</v>
      </c>
    </row>
    <row r="868" spans="1:11">
      <c r="A868" s="1" t="s">
        <v>1658</v>
      </c>
      <c r="B868" s="336" t="str">
        <f>报表附注!E1202</f>
        <v>    其中：房屋及建筑物</v>
      </c>
      <c r="C868" s="325">
        <f t="shared" si="87"/>
        <v>0</v>
      </c>
      <c r="D868" s="1" t="b">
        <f t="shared" si="86"/>
        <v>0</v>
      </c>
      <c r="E868" s="315"/>
      <c r="H868" s="1" t="b">
        <f t="shared" si="85"/>
        <v>0</v>
      </c>
      <c r="K868" s="1" t="b">
        <v>1</v>
      </c>
    </row>
    <row r="869" spans="1:11">
      <c r="A869" s="1" t="s">
        <v>1659</v>
      </c>
      <c r="B869" s="336" t="str">
        <f>报表附注!E1203</f>
        <v>        机器设备</v>
      </c>
      <c r="C869" s="325">
        <f t="shared" si="87"/>
        <v>0</v>
      </c>
      <c r="D869" s="1" t="b">
        <f t="shared" si="86"/>
        <v>0</v>
      </c>
      <c r="E869" s="315"/>
      <c r="H869" s="1" t="b">
        <f t="shared" si="85"/>
        <v>0</v>
      </c>
      <c r="I869" s="1" t="s">
        <v>1674</v>
      </c>
      <c r="K869" s="1" t="b">
        <v>1</v>
      </c>
    </row>
    <row r="870" spans="1:11">
      <c r="A870" s="1" t="s">
        <v>1660</v>
      </c>
      <c r="B870" s="336" t="str">
        <f>报表附注!E1204</f>
        <v>        运输工具</v>
      </c>
      <c r="C870" s="325">
        <f t="shared" si="87"/>
        <v>0</v>
      </c>
      <c r="D870" s="1" t="b">
        <f t="shared" si="86"/>
        <v>0</v>
      </c>
      <c r="E870" s="315"/>
      <c r="H870" s="1" t="b">
        <f t="shared" si="85"/>
        <v>0</v>
      </c>
      <c r="K870" s="1" t="b">
        <v>1</v>
      </c>
    </row>
    <row r="871" spans="1:11">
      <c r="A871" s="1" t="s">
        <v>1661</v>
      </c>
      <c r="B871" s="336" t="str">
        <f>报表附注!E1205</f>
        <v>        电子设备及其他</v>
      </c>
      <c r="C871" s="325">
        <f t="shared" si="87"/>
        <v>0</v>
      </c>
      <c r="D871" s="1" t="b">
        <f t="shared" si="86"/>
        <v>0</v>
      </c>
      <c r="E871" s="315"/>
      <c r="H871" s="1" t="b">
        <f t="shared" si="85"/>
        <v>0</v>
      </c>
      <c r="I871" s="1" t="s">
        <v>1675</v>
      </c>
      <c r="K871" s="1" t="b">
        <v>1</v>
      </c>
    </row>
    <row r="872" spans="1:11">
      <c r="A872" s="1">
        <v>0</v>
      </c>
      <c r="B872" s="336">
        <f>报表附注!E1206</f>
        <v>0</v>
      </c>
      <c r="C872" s="325">
        <f t="shared" si="87"/>
        <v>0</v>
      </c>
      <c r="D872" s="1" t="b">
        <f t="shared" si="86"/>
        <v>1</v>
      </c>
      <c r="E872" s="315"/>
      <c r="H872" s="1" t="b">
        <f t="shared" si="85"/>
        <v>1</v>
      </c>
      <c r="K872" s="1" t="b">
        <v>1</v>
      </c>
    </row>
    <row r="873" spans="1:11">
      <c r="A873" s="1" t="s">
        <v>1580</v>
      </c>
      <c r="B873" s="340" t="str">
        <f>报表附注!E1207</f>
        <v>合计</v>
      </c>
      <c r="C873" s="325">
        <f t="shared" si="87"/>
        <v>0</v>
      </c>
      <c r="D873" s="1" t="b">
        <f t="shared" si="86"/>
        <v>1</v>
      </c>
      <c r="E873" s="315"/>
      <c r="H873" s="1" t="b">
        <f t="shared" si="85"/>
        <v>0</v>
      </c>
      <c r="I873" s="1" t="s">
        <v>1676</v>
      </c>
      <c r="K873" s="1" t="b">
        <v>1</v>
      </c>
    </row>
    <row r="874" spans="4:11">
      <c r="D874" s="1" t="b">
        <f t="shared" si="86"/>
        <v>1</v>
      </c>
      <c r="E874" s="311"/>
      <c r="H874" s="1" t="b">
        <f t="shared" si="85"/>
        <v>0</v>
      </c>
      <c r="I874" s="1" t="s">
        <v>670</v>
      </c>
      <c r="K874" s="1" t="b">
        <v>1</v>
      </c>
    </row>
    <row r="875" spans="1:11">
      <c r="A875" s="1" t="s">
        <v>1673</v>
      </c>
      <c r="B875" s="333" t="s">
        <v>1673</v>
      </c>
      <c r="D875" s="1" t="b">
        <f t="shared" si="86"/>
        <v>1</v>
      </c>
      <c r="H875" s="1" t="b">
        <f t="shared" si="85"/>
        <v>0</v>
      </c>
      <c r="I875" s="1" t="s">
        <v>1677</v>
      </c>
      <c r="K875" s="1" t="b">
        <v>1</v>
      </c>
    </row>
    <row r="876" spans="4:11">
      <c r="D876" s="1" t="b">
        <f t="shared" si="86"/>
        <v>1</v>
      </c>
      <c r="H876" s="1" t="b">
        <f t="shared" si="85"/>
        <v>0</v>
      </c>
      <c r="I876" s="1" t="s">
        <v>1678</v>
      </c>
      <c r="K876" s="1" t="b">
        <v>1</v>
      </c>
    </row>
    <row r="877" spans="1:11">
      <c r="A877" s="1" t="s">
        <v>1674</v>
      </c>
      <c r="B877" s="333" t="s">
        <v>1674</v>
      </c>
      <c r="D877" s="1" t="b">
        <f t="shared" si="86"/>
        <v>1</v>
      </c>
      <c r="H877" s="1" t="b">
        <f t="shared" si="85"/>
        <v>0</v>
      </c>
      <c r="I877" s="1" t="s">
        <v>862</v>
      </c>
      <c r="K877" s="1" t="b">
        <v>1</v>
      </c>
    </row>
    <row r="878" spans="4:11">
      <c r="D878" s="1" t="b">
        <f t="shared" si="86"/>
        <v>1</v>
      </c>
      <c r="H878" s="1" t="b">
        <f t="shared" si="85"/>
        <v>0</v>
      </c>
      <c r="I878" s="1" t="s">
        <v>864</v>
      </c>
      <c r="K878" s="1" t="b">
        <v>1</v>
      </c>
    </row>
    <row r="879" ht="12" spans="1:11">
      <c r="A879" s="1" t="s">
        <v>1675</v>
      </c>
      <c r="B879" s="356" t="s">
        <v>1675</v>
      </c>
      <c r="D879" s="1" t="b">
        <f t="shared" si="86"/>
        <v>1</v>
      </c>
      <c r="H879" s="1" t="b">
        <f t="shared" si="85"/>
        <v>0</v>
      </c>
      <c r="I879" s="1" t="s">
        <v>1679</v>
      </c>
      <c r="K879" s="1" t="b">
        <v>1</v>
      </c>
    </row>
    <row r="880" spans="4:11">
      <c r="D880" s="1" t="b">
        <f t="shared" si="86"/>
        <v>1</v>
      </c>
      <c r="H880" s="1" t="b">
        <f t="shared" si="85"/>
        <v>0</v>
      </c>
      <c r="I880" s="1" t="s">
        <v>759</v>
      </c>
      <c r="K880" s="1" t="b">
        <v>1</v>
      </c>
    </row>
    <row r="881" spans="1:11">
      <c r="A881" s="1" t="s">
        <v>1676</v>
      </c>
      <c r="B881" s="331" t="s">
        <v>1676</v>
      </c>
      <c r="D881" s="1" t="b">
        <f t="shared" si="86"/>
        <v>1</v>
      </c>
      <c r="H881" s="1" t="b">
        <f t="shared" si="85"/>
        <v>0</v>
      </c>
      <c r="I881" s="1" t="s">
        <v>1678</v>
      </c>
      <c r="K881" s="1" t="b">
        <v>1</v>
      </c>
    </row>
    <row r="882" spans="1:11">
      <c r="A882" s="1" t="s">
        <v>670</v>
      </c>
      <c r="B882" s="335" t="s">
        <v>670</v>
      </c>
      <c r="D882" s="1" t="b">
        <f t="shared" si="86"/>
        <v>1</v>
      </c>
      <c r="H882" s="1" t="b">
        <f t="shared" si="85"/>
        <v>0</v>
      </c>
      <c r="I882" s="1" t="s">
        <v>862</v>
      </c>
      <c r="K882" s="1" t="b">
        <v>1</v>
      </c>
    </row>
    <row r="883" spans="1:11">
      <c r="A883" s="1" t="s">
        <v>1677</v>
      </c>
      <c r="B883" s="313" t="str">
        <f>报表附注!E1368</f>
        <v>一、原价合计 </v>
      </c>
      <c r="C883" s="325"/>
      <c r="D883" s="1" t="b">
        <f t="shared" si="86"/>
        <v>1</v>
      </c>
      <c r="E883" s="325">
        <f>C883+C899-C915</f>
        <v>0</v>
      </c>
      <c r="H883" s="1" t="b">
        <f t="shared" si="85"/>
        <v>0</v>
      </c>
      <c r="I883" s="1" t="s">
        <v>864</v>
      </c>
      <c r="K883" s="1" t="b">
        <v>1</v>
      </c>
    </row>
    <row r="884" spans="1:11">
      <c r="A884" s="1" t="s">
        <v>1678</v>
      </c>
      <c r="B884" s="313" t="str">
        <f>报表附注!E1369</f>
        <v>其中：种植业</v>
      </c>
      <c r="C884" s="325"/>
      <c r="D884" s="1" t="b">
        <f t="shared" si="86"/>
        <v>1</v>
      </c>
      <c r="E884" s="325">
        <f t="shared" ref="E884:E897" si="88">C884+C900-C916</f>
        <v>0</v>
      </c>
      <c r="H884" s="1" t="b">
        <f t="shared" si="85"/>
        <v>0</v>
      </c>
      <c r="I884" s="1" t="s">
        <v>1679</v>
      </c>
      <c r="K884" s="1" t="b">
        <v>1</v>
      </c>
    </row>
    <row r="885" spans="1:11">
      <c r="A885" s="1" t="s">
        <v>862</v>
      </c>
      <c r="B885" s="313" t="str">
        <f>报表附注!E1370</f>
        <v>畜牧养殖业</v>
      </c>
      <c r="C885" s="325"/>
      <c r="D885" s="1" t="b">
        <f t="shared" si="86"/>
        <v>1</v>
      </c>
      <c r="E885" s="325">
        <f t="shared" si="88"/>
        <v>0</v>
      </c>
      <c r="H885" s="1" t="b">
        <f t="shared" si="85"/>
        <v>0</v>
      </c>
      <c r="I885" s="1" t="s">
        <v>1680</v>
      </c>
      <c r="K885" s="1" t="b">
        <v>1</v>
      </c>
    </row>
    <row r="886" spans="1:11">
      <c r="A886" s="1" t="s">
        <v>864</v>
      </c>
      <c r="B886" s="313" t="str">
        <f>报表附注!E1371</f>
        <v>林业</v>
      </c>
      <c r="C886" s="325"/>
      <c r="D886" s="1" t="b">
        <f t="shared" si="86"/>
        <v>1</v>
      </c>
      <c r="E886" s="325">
        <f t="shared" si="88"/>
        <v>0</v>
      </c>
      <c r="H886" s="1" t="b">
        <f t="shared" si="85"/>
        <v>0</v>
      </c>
      <c r="I886" s="1" t="s">
        <v>1678</v>
      </c>
      <c r="K886" s="1" t="b">
        <v>1</v>
      </c>
    </row>
    <row r="887" spans="1:11">
      <c r="A887" s="1" t="s">
        <v>1679</v>
      </c>
      <c r="B887" s="313" t="str">
        <f>报表附注!E1372</f>
        <v>……  水产业</v>
      </c>
      <c r="C887" s="325"/>
      <c r="D887" s="1" t="b">
        <f t="shared" si="86"/>
        <v>1</v>
      </c>
      <c r="E887" s="325">
        <f t="shared" si="88"/>
        <v>0</v>
      </c>
      <c r="H887" s="1" t="b">
        <f t="shared" si="85"/>
        <v>0</v>
      </c>
      <c r="I887" s="1" t="s">
        <v>862</v>
      </c>
      <c r="K887" s="1" t="b">
        <v>1</v>
      </c>
    </row>
    <row r="888" spans="1:11">
      <c r="A888" s="1" t="s">
        <v>759</v>
      </c>
      <c r="B888" s="313" t="str">
        <f>报表附注!E1373</f>
        <v>二、累计折旧合计</v>
      </c>
      <c r="C888" s="325"/>
      <c r="D888" s="1" t="b">
        <f t="shared" si="86"/>
        <v>1</v>
      </c>
      <c r="E888" s="325">
        <f t="shared" si="88"/>
        <v>0</v>
      </c>
      <c r="H888" s="1" t="b">
        <f t="shared" si="85"/>
        <v>0</v>
      </c>
      <c r="I888" s="1" t="s">
        <v>864</v>
      </c>
      <c r="K888" s="1" t="b">
        <v>1</v>
      </c>
    </row>
    <row r="889" spans="1:11">
      <c r="A889" s="1" t="s">
        <v>1678</v>
      </c>
      <c r="B889" s="313" t="str">
        <f>报表附注!E1374</f>
        <v>其中：种植业</v>
      </c>
      <c r="C889" s="325"/>
      <c r="D889" s="1" t="b">
        <f t="shared" si="86"/>
        <v>1</v>
      </c>
      <c r="E889" s="325">
        <f t="shared" si="88"/>
        <v>0</v>
      </c>
      <c r="H889" s="1" t="b">
        <f t="shared" si="85"/>
        <v>0</v>
      </c>
      <c r="I889" s="1" t="s">
        <v>1679</v>
      </c>
      <c r="K889" s="1" t="b">
        <v>1</v>
      </c>
    </row>
    <row r="890" spans="1:11">
      <c r="A890" s="1" t="s">
        <v>862</v>
      </c>
      <c r="B890" s="313" t="str">
        <f>报表附注!E1375</f>
        <v>畜牧养殖业</v>
      </c>
      <c r="C890" s="325"/>
      <c r="D890" s="1" t="b">
        <f t="shared" si="86"/>
        <v>1</v>
      </c>
      <c r="E890" s="325">
        <f t="shared" si="88"/>
        <v>0</v>
      </c>
      <c r="H890" s="1" t="b">
        <f t="shared" si="85"/>
        <v>0</v>
      </c>
      <c r="I890" s="1" t="s">
        <v>671</v>
      </c>
      <c r="K890" s="1" t="b">
        <v>1</v>
      </c>
    </row>
    <row r="891" spans="1:11">
      <c r="A891" s="1" t="s">
        <v>864</v>
      </c>
      <c r="B891" s="313" t="str">
        <f>报表附注!E1376</f>
        <v>林业</v>
      </c>
      <c r="C891" s="325"/>
      <c r="D891" s="1" t="b">
        <f t="shared" si="86"/>
        <v>1</v>
      </c>
      <c r="E891" s="325">
        <f t="shared" si="88"/>
        <v>0</v>
      </c>
      <c r="H891" s="1" t="b">
        <f t="shared" si="85"/>
        <v>0</v>
      </c>
      <c r="I891" s="1" t="s">
        <v>1677</v>
      </c>
      <c r="K891" s="1" t="b">
        <v>1</v>
      </c>
    </row>
    <row r="892" spans="1:11">
      <c r="A892" s="1" t="s">
        <v>1679</v>
      </c>
      <c r="B892" s="313" t="str">
        <f>报表附注!E1377</f>
        <v>……  水产业</v>
      </c>
      <c r="C892" s="325"/>
      <c r="D892" s="1" t="b">
        <f t="shared" si="86"/>
        <v>1</v>
      </c>
      <c r="E892" s="325">
        <f t="shared" si="88"/>
        <v>0</v>
      </c>
      <c r="H892" s="1" t="b">
        <f t="shared" si="85"/>
        <v>0</v>
      </c>
      <c r="I892" s="1" t="s">
        <v>1678</v>
      </c>
      <c r="K892" s="1" t="b">
        <v>1</v>
      </c>
    </row>
    <row r="893" spans="1:11">
      <c r="A893" s="1" t="s">
        <v>1680</v>
      </c>
      <c r="B893" s="313" t="str">
        <f>报表附注!E1378</f>
        <v>三、减值准备累计金额合计</v>
      </c>
      <c r="C893" s="325"/>
      <c r="D893" s="1" t="b">
        <f t="shared" si="86"/>
        <v>1</v>
      </c>
      <c r="E893" s="325">
        <f t="shared" si="88"/>
        <v>0</v>
      </c>
      <c r="H893" s="1" t="b">
        <f t="shared" si="85"/>
        <v>0</v>
      </c>
      <c r="I893" s="1" t="s">
        <v>862</v>
      </c>
      <c r="K893" s="1" t="b">
        <v>1</v>
      </c>
    </row>
    <row r="894" spans="1:11">
      <c r="A894" s="1" t="s">
        <v>1678</v>
      </c>
      <c r="B894" s="313" t="str">
        <f>报表附注!E1379</f>
        <v>其中：种植业</v>
      </c>
      <c r="C894" s="325"/>
      <c r="D894" s="1" t="b">
        <f t="shared" si="86"/>
        <v>1</v>
      </c>
      <c r="E894" s="325">
        <f t="shared" si="88"/>
        <v>0</v>
      </c>
      <c r="H894" s="1" t="b">
        <f t="shared" si="85"/>
        <v>0</v>
      </c>
      <c r="I894" s="1" t="s">
        <v>864</v>
      </c>
      <c r="K894" s="1" t="b">
        <v>1</v>
      </c>
    </row>
    <row r="895" spans="1:11">
      <c r="A895" s="1" t="s">
        <v>862</v>
      </c>
      <c r="B895" s="313" t="str">
        <f>报表附注!E1380</f>
        <v>畜牧养殖业</v>
      </c>
      <c r="C895" s="325"/>
      <c r="D895" s="1" t="b">
        <f t="shared" si="86"/>
        <v>1</v>
      </c>
      <c r="E895" s="325">
        <f t="shared" si="88"/>
        <v>0</v>
      </c>
      <c r="H895" s="1" t="b">
        <f t="shared" si="85"/>
        <v>0</v>
      </c>
      <c r="I895" s="1" t="s">
        <v>1679</v>
      </c>
      <c r="K895" s="1" t="b">
        <v>1</v>
      </c>
    </row>
    <row r="896" spans="1:11">
      <c r="A896" s="1" t="s">
        <v>864</v>
      </c>
      <c r="B896" s="313" t="str">
        <f>报表附注!E1381</f>
        <v>林业</v>
      </c>
      <c r="C896" s="325"/>
      <c r="D896" s="1" t="b">
        <f t="shared" si="86"/>
        <v>1</v>
      </c>
      <c r="E896" s="325">
        <f t="shared" si="88"/>
        <v>0</v>
      </c>
      <c r="H896" s="1" t="b">
        <f t="shared" si="85"/>
        <v>0</v>
      </c>
      <c r="I896" s="1" t="s">
        <v>759</v>
      </c>
      <c r="K896" s="1" t="b">
        <v>1</v>
      </c>
    </row>
    <row r="897" spans="1:11">
      <c r="A897" s="1" t="s">
        <v>1679</v>
      </c>
      <c r="B897" s="313" t="str">
        <f>报表附注!E1382</f>
        <v>……  水产业</v>
      </c>
      <c r="C897" s="325"/>
      <c r="D897" s="1" t="b">
        <f t="shared" si="86"/>
        <v>1</v>
      </c>
      <c r="E897" s="325">
        <f t="shared" si="88"/>
        <v>0</v>
      </c>
      <c r="H897" s="1" t="b">
        <f t="shared" si="85"/>
        <v>0</v>
      </c>
      <c r="I897" s="1" t="s">
        <v>1678</v>
      </c>
      <c r="K897" s="1" t="b">
        <v>1</v>
      </c>
    </row>
    <row r="898" spans="1:11">
      <c r="A898" s="1" t="s">
        <v>671</v>
      </c>
      <c r="B898" s="335" t="s">
        <v>671</v>
      </c>
      <c r="D898" s="1" t="b">
        <f t="shared" si="86"/>
        <v>1</v>
      </c>
      <c r="H898" s="1" t="b">
        <f t="shared" si="85"/>
        <v>0</v>
      </c>
      <c r="I898" s="1" t="s">
        <v>862</v>
      </c>
      <c r="K898" s="1" t="b">
        <v>1</v>
      </c>
    </row>
    <row r="899" spans="1:11">
      <c r="A899" s="1" t="s">
        <v>1677</v>
      </c>
      <c r="B899" s="313" t="str">
        <f>报表附注!E1368</f>
        <v>一、原价合计 </v>
      </c>
      <c r="C899" s="325"/>
      <c r="D899" s="1" t="b">
        <f t="shared" si="86"/>
        <v>1</v>
      </c>
      <c r="E899" s="315"/>
      <c r="H899" s="1" t="b">
        <f t="shared" si="85"/>
        <v>0</v>
      </c>
      <c r="I899" s="1" t="s">
        <v>864</v>
      </c>
      <c r="K899" s="1" t="b">
        <v>1</v>
      </c>
    </row>
    <row r="900" spans="1:11">
      <c r="A900" s="1" t="s">
        <v>1678</v>
      </c>
      <c r="B900" s="313" t="str">
        <f>报表附注!E1369</f>
        <v>其中：种植业</v>
      </c>
      <c r="C900" s="325"/>
      <c r="D900" s="1" t="b">
        <f t="shared" si="86"/>
        <v>1</v>
      </c>
      <c r="E900" s="315"/>
      <c r="H900" s="1" t="b">
        <f t="shared" ref="H900:H963" si="89">I900=B900</f>
        <v>0</v>
      </c>
      <c r="I900" s="1" t="s">
        <v>1679</v>
      </c>
      <c r="K900" s="1" t="b">
        <v>1</v>
      </c>
    </row>
    <row r="901" spans="1:11">
      <c r="A901" s="1" t="s">
        <v>862</v>
      </c>
      <c r="B901" s="313" t="str">
        <f>报表附注!E1370</f>
        <v>畜牧养殖业</v>
      </c>
      <c r="C901" s="325"/>
      <c r="D901" s="1" t="b">
        <f t="shared" si="86"/>
        <v>1</v>
      </c>
      <c r="E901" s="315"/>
      <c r="H901" s="1" t="b">
        <f t="shared" si="89"/>
        <v>0</v>
      </c>
      <c r="I901" s="1" t="s">
        <v>1680</v>
      </c>
      <c r="K901" s="1" t="b">
        <v>1</v>
      </c>
    </row>
    <row r="902" spans="1:11">
      <c r="A902" s="1" t="s">
        <v>864</v>
      </c>
      <c r="B902" s="313" t="str">
        <f>报表附注!E1371</f>
        <v>林业</v>
      </c>
      <c r="C902" s="325"/>
      <c r="D902" s="1" t="b">
        <f t="shared" si="86"/>
        <v>1</v>
      </c>
      <c r="E902" s="315"/>
      <c r="H902" s="1" t="b">
        <f t="shared" si="89"/>
        <v>0</v>
      </c>
      <c r="I902" s="1" t="s">
        <v>1678</v>
      </c>
      <c r="K902" s="1" t="b">
        <v>1</v>
      </c>
    </row>
    <row r="903" spans="1:11">
      <c r="A903" s="1" t="s">
        <v>1679</v>
      </c>
      <c r="B903" s="313" t="str">
        <f>报表附注!E1372</f>
        <v>……  水产业</v>
      </c>
      <c r="C903" s="325"/>
      <c r="D903" s="1" t="b">
        <f t="shared" si="86"/>
        <v>1</v>
      </c>
      <c r="E903" s="315"/>
      <c r="H903" s="1" t="b">
        <f t="shared" si="89"/>
        <v>0</v>
      </c>
      <c r="I903" s="1" t="s">
        <v>862</v>
      </c>
      <c r="K903" s="1" t="b">
        <v>1</v>
      </c>
    </row>
    <row r="904" spans="1:11">
      <c r="A904" s="1" t="s">
        <v>759</v>
      </c>
      <c r="B904" s="313" t="str">
        <f>报表附注!E1373</f>
        <v>二、累计折旧合计</v>
      </c>
      <c r="C904" s="325"/>
      <c r="D904" s="1" t="b">
        <f t="shared" si="86"/>
        <v>1</v>
      </c>
      <c r="E904" s="315"/>
      <c r="H904" s="1" t="b">
        <f t="shared" si="89"/>
        <v>0</v>
      </c>
      <c r="I904" s="1" t="s">
        <v>864</v>
      </c>
      <c r="K904" s="1" t="b">
        <v>1</v>
      </c>
    </row>
    <row r="905" spans="1:11">
      <c r="A905" s="1" t="s">
        <v>1678</v>
      </c>
      <c r="B905" s="313" t="str">
        <f>报表附注!E1374</f>
        <v>其中：种植业</v>
      </c>
      <c r="C905" s="325"/>
      <c r="D905" s="1" t="b">
        <f t="shared" si="86"/>
        <v>1</v>
      </c>
      <c r="E905" s="315"/>
      <c r="H905" s="1" t="b">
        <f t="shared" si="89"/>
        <v>0</v>
      </c>
      <c r="I905" s="1" t="s">
        <v>1679</v>
      </c>
      <c r="K905" s="1" t="b">
        <v>1</v>
      </c>
    </row>
    <row r="906" spans="1:11">
      <c r="A906" s="1" t="s">
        <v>862</v>
      </c>
      <c r="B906" s="313" t="str">
        <f>报表附注!E1375</f>
        <v>畜牧养殖业</v>
      </c>
      <c r="C906" s="325"/>
      <c r="D906" s="1" t="b">
        <f t="shared" si="86"/>
        <v>1</v>
      </c>
      <c r="E906" s="315"/>
      <c r="H906" s="1" t="b">
        <f t="shared" si="89"/>
        <v>0</v>
      </c>
      <c r="I906" s="1" t="s">
        <v>672</v>
      </c>
      <c r="K906" s="1" t="b">
        <v>1</v>
      </c>
    </row>
    <row r="907" spans="1:11">
      <c r="A907" s="1" t="s">
        <v>864</v>
      </c>
      <c r="B907" s="313" t="str">
        <f>报表附注!E1376</f>
        <v>林业</v>
      </c>
      <c r="C907" s="325"/>
      <c r="D907" s="1" t="b">
        <f t="shared" si="86"/>
        <v>1</v>
      </c>
      <c r="E907" s="315"/>
      <c r="H907" s="1" t="b">
        <f t="shared" si="89"/>
        <v>0</v>
      </c>
      <c r="I907" s="1" t="s">
        <v>1677</v>
      </c>
      <c r="K907" s="1" t="b">
        <v>1</v>
      </c>
    </row>
    <row r="908" spans="1:11">
      <c r="A908" s="1" t="s">
        <v>1679</v>
      </c>
      <c r="B908" s="313" t="str">
        <f>报表附注!E1377</f>
        <v>……  水产业</v>
      </c>
      <c r="C908" s="325"/>
      <c r="D908" s="1" t="b">
        <f t="shared" ref="D908:D971" si="90">EXACT(A908,B908)</f>
        <v>1</v>
      </c>
      <c r="E908" s="315"/>
      <c r="H908" s="1" t="b">
        <f t="shared" si="89"/>
        <v>0</v>
      </c>
      <c r="I908" s="1" t="s">
        <v>1678</v>
      </c>
      <c r="K908" s="1" t="b">
        <v>1</v>
      </c>
    </row>
    <row r="909" spans="1:11">
      <c r="A909" s="1" t="s">
        <v>1680</v>
      </c>
      <c r="B909" s="313" t="str">
        <f>报表附注!E1378</f>
        <v>三、减值准备累计金额合计</v>
      </c>
      <c r="C909" s="325"/>
      <c r="D909" s="1" t="b">
        <f t="shared" si="90"/>
        <v>1</v>
      </c>
      <c r="E909" s="315"/>
      <c r="H909" s="1" t="b">
        <f t="shared" si="89"/>
        <v>0</v>
      </c>
      <c r="I909" s="1" t="s">
        <v>862</v>
      </c>
      <c r="K909" s="1" t="b">
        <v>1</v>
      </c>
    </row>
    <row r="910" spans="1:11">
      <c r="A910" s="1" t="s">
        <v>1678</v>
      </c>
      <c r="B910" s="313" t="str">
        <f>报表附注!E1379</f>
        <v>其中：种植业</v>
      </c>
      <c r="C910" s="325"/>
      <c r="D910" s="1" t="b">
        <f t="shared" si="90"/>
        <v>1</v>
      </c>
      <c r="E910" s="315"/>
      <c r="H910" s="1" t="b">
        <f t="shared" si="89"/>
        <v>0</v>
      </c>
      <c r="I910" s="1" t="s">
        <v>864</v>
      </c>
      <c r="K910" s="1" t="b">
        <v>1</v>
      </c>
    </row>
    <row r="911" spans="1:11">
      <c r="A911" s="1" t="s">
        <v>862</v>
      </c>
      <c r="B911" s="313" t="str">
        <f>报表附注!E1380</f>
        <v>畜牧养殖业</v>
      </c>
      <c r="C911" s="325"/>
      <c r="D911" s="1" t="b">
        <f t="shared" si="90"/>
        <v>1</v>
      </c>
      <c r="E911" s="315"/>
      <c r="H911" s="1" t="b">
        <f t="shared" si="89"/>
        <v>0</v>
      </c>
      <c r="I911" s="1" t="s">
        <v>1679</v>
      </c>
      <c r="K911" s="1" t="b">
        <v>1</v>
      </c>
    </row>
    <row r="912" spans="1:11">
      <c r="A912" s="1" t="s">
        <v>864</v>
      </c>
      <c r="B912" s="313" t="str">
        <f>报表附注!E1381</f>
        <v>林业</v>
      </c>
      <c r="C912" s="325"/>
      <c r="D912" s="1" t="b">
        <f t="shared" si="90"/>
        <v>1</v>
      </c>
      <c r="E912" s="315"/>
      <c r="H912" s="1" t="b">
        <f t="shared" si="89"/>
        <v>0</v>
      </c>
      <c r="I912" s="1" t="s">
        <v>759</v>
      </c>
      <c r="K912" s="1" t="b">
        <v>1</v>
      </c>
    </row>
    <row r="913" spans="1:11">
      <c r="A913" s="1" t="s">
        <v>1679</v>
      </c>
      <c r="B913" s="313" t="str">
        <f>报表附注!E1382</f>
        <v>……  水产业</v>
      </c>
      <c r="C913" s="325"/>
      <c r="D913" s="1" t="b">
        <f t="shared" si="90"/>
        <v>1</v>
      </c>
      <c r="E913" s="315"/>
      <c r="H913" s="1" t="b">
        <f t="shared" si="89"/>
        <v>0</v>
      </c>
      <c r="I913" s="1" t="s">
        <v>1678</v>
      </c>
      <c r="K913" s="1" t="b">
        <v>1</v>
      </c>
    </row>
    <row r="914" spans="1:11">
      <c r="A914" s="1" t="s">
        <v>672</v>
      </c>
      <c r="B914" s="335" t="s">
        <v>672</v>
      </c>
      <c r="D914" s="1" t="b">
        <f t="shared" si="90"/>
        <v>1</v>
      </c>
      <c r="E914" s="311"/>
      <c r="H914" s="1" t="b">
        <f t="shared" si="89"/>
        <v>0</v>
      </c>
      <c r="I914" s="1" t="s">
        <v>862</v>
      </c>
      <c r="K914" s="1" t="b">
        <v>1</v>
      </c>
    </row>
    <row r="915" spans="1:11">
      <c r="A915" s="1" t="s">
        <v>1677</v>
      </c>
      <c r="B915" s="313" t="str">
        <f>报表附注!E1368</f>
        <v>一、原价合计 </v>
      </c>
      <c r="C915" s="325"/>
      <c r="D915" s="1" t="b">
        <f t="shared" si="90"/>
        <v>1</v>
      </c>
      <c r="E915" s="315"/>
      <c r="H915" s="1" t="b">
        <f t="shared" si="89"/>
        <v>0</v>
      </c>
      <c r="I915" s="1" t="s">
        <v>864</v>
      </c>
      <c r="K915" s="1" t="b">
        <v>1</v>
      </c>
    </row>
    <row r="916" spans="1:11">
      <c r="A916" s="1" t="s">
        <v>1678</v>
      </c>
      <c r="B916" s="313" t="str">
        <f>报表附注!E1369</f>
        <v>其中：种植业</v>
      </c>
      <c r="C916" s="325"/>
      <c r="D916" s="1" t="b">
        <f t="shared" si="90"/>
        <v>1</v>
      </c>
      <c r="E916" s="315"/>
      <c r="H916" s="1" t="b">
        <f t="shared" si="89"/>
        <v>0</v>
      </c>
      <c r="I916" s="1" t="s">
        <v>1679</v>
      </c>
      <c r="K916" s="1" t="b">
        <v>1</v>
      </c>
    </row>
    <row r="917" spans="1:11">
      <c r="A917" s="1" t="s">
        <v>862</v>
      </c>
      <c r="B917" s="313" t="str">
        <f>报表附注!E1370</f>
        <v>畜牧养殖业</v>
      </c>
      <c r="C917" s="325"/>
      <c r="D917" s="1" t="b">
        <f t="shared" si="90"/>
        <v>1</v>
      </c>
      <c r="E917" s="315"/>
      <c r="H917" s="1" t="b">
        <f t="shared" si="89"/>
        <v>0</v>
      </c>
      <c r="I917" s="1" t="s">
        <v>1680</v>
      </c>
      <c r="K917" s="1" t="b">
        <v>1</v>
      </c>
    </row>
    <row r="918" spans="1:11">
      <c r="A918" s="1" t="s">
        <v>864</v>
      </c>
      <c r="B918" s="313" t="str">
        <f>报表附注!E1371</f>
        <v>林业</v>
      </c>
      <c r="C918" s="325"/>
      <c r="D918" s="1" t="b">
        <f t="shared" si="90"/>
        <v>1</v>
      </c>
      <c r="E918" s="315"/>
      <c r="H918" s="1" t="b">
        <f t="shared" si="89"/>
        <v>0</v>
      </c>
      <c r="I918" s="1" t="s">
        <v>1678</v>
      </c>
      <c r="K918" s="1" t="b">
        <v>1</v>
      </c>
    </row>
    <row r="919" spans="1:11">
      <c r="A919" s="1" t="s">
        <v>1679</v>
      </c>
      <c r="B919" s="313" t="str">
        <f>报表附注!E1372</f>
        <v>……  水产业</v>
      </c>
      <c r="C919" s="325"/>
      <c r="D919" s="1" t="b">
        <f t="shared" si="90"/>
        <v>1</v>
      </c>
      <c r="E919" s="315"/>
      <c r="H919" s="1" t="b">
        <f t="shared" si="89"/>
        <v>0</v>
      </c>
      <c r="I919" s="1" t="s">
        <v>862</v>
      </c>
      <c r="K919" s="1" t="b">
        <v>1</v>
      </c>
    </row>
    <row r="920" spans="1:11">
      <c r="A920" s="1" t="s">
        <v>759</v>
      </c>
      <c r="B920" s="313" t="str">
        <f>报表附注!E1373</f>
        <v>二、累计折旧合计</v>
      </c>
      <c r="C920" s="325"/>
      <c r="D920" s="1" t="b">
        <f t="shared" si="90"/>
        <v>1</v>
      </c>
      <c r="E920" s="315"/>
      <c r="H920" s="1" t="b">
        <f t="shared" si="89"/>
        <v>0</v>
      </c>
      <c r="I920" s="1" t="s">
        <v>864</v>
      </c>
      <c r="K920" s="1" t="b">
        <v>1</v>
      </c>
    </row>
    <row r="921" spans="1:11">
      <c r="A921" s="1" t="s">
        <v>1678</v>
      </c>
      <c r="B921" s="313" t="str">
        <f>报表附注!E1374</f>
        <v>其中：种植业</v>
      </c>
      <c r="C921" s="325"/>
      <c r="D921" s="1" t="b">
        <f t="shared" si="90"/>
        <v>1</v>
      </c>
      <c r="E921" s="315"/>
      <c r="H921" s="1" t="b">
        <f t="shared" si="89"/>
        <v>0</v>
      </c>
      <c r="I921" s="1" t="s">
        <v>1679</v>
      </c>
      <c r="K921" s="1" t="b">
        <v>1</v>
      </c>
    </row>
    <row r="922" spans="1:11">
      <c r="A922" s="1" t="s">
        <v>862</v>
      </c>
      <c r="B922" s="313" t="str">
        <f>报表附注!E1375</f>
        <v>畜牧养殖业</v>
      </c>
      <c r="C922" s="325"/>
      <c r="D922" s="1" t="b">
        <f t="shared" si="90"/>
        <v>1</v>
      </c>
      <c r="E922" s="315"/>
      <c r="H922" s="1" t="b">
        <f t="shared" si="89"/>
        <v>0</v>
      </c>
      <c r="K922" s="1" t="b">
        <v>1</v>
      </c>
    </row>
    <row r="923" spans="1:11">
      <c r="A923" s="1" t="s">
        <v>864</v>
      </c>
      <c r="B923" s="313" t="str">
        <f>报表附注!E1376</f>
        <v>林业</v>
      </c>
      <c r="C923" s="325"/>
      <c r="D923" s="1" t="b">
        <f t="shared" si="90"/>
        <v>1</v>
      </c>
      <c r="E923" s="315"/>
      <c r="H923" s="1" t="b">
        <f t="shared" si="89"/>
        <v>0</v>
      </c>
      <c r="I923" s="1" t="s">
        <v>1681</v>
      </c>
      <c r="K923" s="1" t="b">
        <v>1</v>
      </c>
    </row>
    <row r="924" spans="1:11">
      <c r="A924" s="1" t="s">
        <v>1679</v>
      </c>
      <c r="B924" s="313" t="str">
        <f>报表附注!E1377</f>
        <v>……  水产业</v>
      </c>
      <c r="C924" s="325"/>
      <c r="D924" s="1" t="b">
        <f t="shared" si="90"/>
        <v>1</v>
      </c>
      <c r="E924" s="315"/>
      <c r="H924" s="1" t="b">
        <f t="shared" si="89"/>
        <v>0</v>
      </c>
      <c r="I924" s="1" t="s">
        <v>670</v>
      </c>
      <c r="K924" s="1" t="b">
        <v>1</v>
      </c>
    </row>
    <row r="925" spans="1:11">
      <c r="A925" s="1" t="s">
        <v>1680</v>
      </c>
      <c r="B925" s="313" t="str">
        <f>报表附注!E1378</f>
        <v>三、减值准备累计金额合计</v>
      </c>
      <c r="C925" s="325"/>
      <c r="D925" s="1" t="b">
        <f t="shared" si="90"/>
        <v>1</v>
      </c>
      <c r="E925" s="315"/>
      <c r="H925" s="1" t="b">
        <f t="shared" si="89"/>
        <v>0</v>
      </c>
      <c r="I925" s="1" t="s">
        <v>714</v>
      </c>
      <c r="K925" s="1" t="b">
        <v>1</v>
      </c>
    </row>
    <row r="926" spans="1:11">
      <c r="A926" s="1" t="s">
        <v>1678</v>
      </c>
      <c r="B926" s="313" t="str">
        <f>报表附注!E1379</f>
        <v>其中：种植业</v>
      </c>
      <c r="C926" s="325"/>
      <c r="D926" s="1" t="b">
        <f t="shared" si="90"/>
        <v>1</v>
      </c>
      <c r="E926" s="315"/>
      <c r="H926" s="1" t="b">
        <f t="shared" si="89"/>
        <v>0</v>
      </c>
      <c r="I926" s="1" t="s">
        <v>1682</v>
      </c>
      <c r="K926" s="1" t="b">
        <v>1</v>
      </c>
    </row>
    <row r="927" spans="1:11">
      <c r="A927" s="1" t="s">
        <v>862</v>
      </c>
      <c r="B927" s="313" t="str">
        <f>报表附注!E1380</f>
        <v>畜牧养殖业</v>
      </c>
      <c r="C927" s="325"/>
      <c r="D927" s="1" t="b">
        <f t="shared" si="90"/>
        <v>1</v>
      </c>
      <c r="E927" s="315"/>
      <c r="H927" s="1" t="b">
        <f t="shared" si="89"/>
        <v>0</v>
      </c>
      <c r="I927" s="1" t="s">
        <v>1683</v>
      </c>
      <c r="K927" s="1" t="b">
        <v>1</v>
      </c>
    </row>
    <row r="928" spans="1:11">
      <c r="A928" s="1" t="s">
        <v>864</v>
      </c>
      <c r="B928" s="313" t="str">
        <f>报表附注!E1381</f>
        <v>林业</v>
      </c>
      <c r="C928" s="325"/>
      <c r="D928" s="1" t="b">
        <f t="shared" si="90"/>
        <v>1</v>
      </c>
      <c r="E928" s="315"/>
      <c r="H928" s="1" t="b">
        <f t="shared" si="89"/>
        <v>0</v>
      </c>
      <c r="I928" s="1" t="s">
        <v>1684</v>
      </c>
      <c r="K928" s="1" t="b">
        <v>1</v>
      </c>
    </row>
    <row r="929" spans="1:11">
      <c r="A929" s="1" t="s">
        <v>1679</v>
      </c>
      <c r="B929" s="313" t="str">
        <f>报表附注!E1382</f>
        <v>……  水产业</v>
      </c>
      <c r="C929" s="325"/>
      <c r="D929" s="1" t="b">
        <f t="shared" si="90"/>
        <v>1</v>
      </c>
      <c r="E929" s="315"/>
      <c r="H929" s="1" t="b">
        <f t="shared" si="89"/>
        <v>0</v>
      </c>
      <c r="I929" s="1" t="s">
        <v>889</v>
      </c>
      <c r="K929" s="1" t="b">
        <v>1</v>
      </c>
    </row>
    <row r="930" spans="4:11">
      <c r="D930" s="1" t="b">
        <f t="shared" si="90"/>
        <v>1</v>
      </c>
      <c r="H930" s="1" t="b">
        <f t="shared" si="89"/>
        <v>0</v>
      </c>
      <c r="I930" s="1" t="s">
        <v>1682</v>
      </c>
      <c r="K930" s="1" t="b">
        <v>1</v>
      </c>
    </row>
    <row r="931" spans="1:11">
      <c r="A931" s="1" t="s">
        <v>1681</v>
      </c>
      <c r="B931" s="331" t="s">
        <v>1681</v>
      </c>
      <c r="D931" s="1" t="b">
        <f t="shared" si="90"/>
        <v>1</v>
      </c>
      <c r="H931" s="1" t="b">
        <f t="shared" si="89"/>
        <v>0</v>
      </c>
      <c r="I931" s="1" t="s">
        <v>1685</v>
      </c>
      <c r="K931" s="1" t="b">
        <v>1</v>
      </c>
    </row>
    <row r="932" spans="1:11">
      <c r="A932" s="1" t="s">
        <v>670</v>
      </c>
      <c r="B932" s="335" t="s">
        <v>670</v>
      </c>
      <c r="D932" s="1" t="b">
        <f t="shared" si="90"/>
        <v>1</v>
      </c>
      <c r="H932" s="1" t="b">
        <f t="shared" si="89"/>
        <v>0</v>
      </c>
      <c r="I932" s="1" t="s">
        <v>894</v>
      </c>
      <c r="K932" s="1" t="b">
        <v>1</v>
      </c>
    </row>
    <row r="933" spans="1:11">
      <c r="A933" s="1" t="s">
        <v>714</v>
      </c>
      <c r="B933" s="336" t="str">
        <f>报表附注!E1396</f>
        <v>一、原价合计</v>
      </c>
      <c r="C933" s="325"/>
      <c r="D933" s="1" t="b">
        <f t="shared" si="90"/>
        <v>1</v>
      </c>
      <c r="E933" s="325">
        <f>C933+C945-C957</f>
        <v>0</v>
      </c>
      <c r="H933" s="1" t="b">
        <f t="shared" si="89"/>
        <v>0</v>
      </c>
      <c r="I933" s="1" t="s">
        <v>1682</v>
      </c>
      <c r="K933" s="1" t="b">
        <v>1</v>
      </c>
    </row>
    <row r="934" spans="1:11">
      <c r="A934" s="1" t="s">
        <v>1682</v>
      </c>
      <c r="B934" s="336" t="str">
        <f>报表附注!E1397</f>
        <v>1．探明矿区权益</v>
      </c>
      <c r="C934" s="325"/>
      <c r="D934" s="1" t="b">
        <f t="shared" si="90"/>
        <v>1</v>
      </c>
      <c r="E934" s="325">
        <f t="shared" ref="E934:E943" si="91">C934+C946-C958</f>
        <v>0</v>
      </c>
      <c r="H934" s="1" t="b">
        <f t="shared" si="89"/>
        <v>0</v>
      </c>
      <c r="I934" s="1" t="s">
        <v>1683</v>
      </c>
      <c r="K934" s="1" t="b">
        <v>1</v>
      </c>
    </row>
    <row r="935" spans="1:11">
      <c r="A935" s="1" t="s">
        <v>1683</v>
      </c>
      <c r="B935" s="336" t="str">
        <f>报表附注!E1398</f>
        <v>2．未探明矿区权益</v>
      </c>
      <c r="C935" s="325"/>
      <c r="D935" s="1" t="b">
        <f t="shared" si="90"/>
        <v>1</v>
      </c>
      <c r="E935" s="325">
        <f t="shared" si="91"/>
        <v>0</v>
      </c>
      <c r="H935" s="1" t="b">
        <f t="shared" si="89"/>
        <v>0</v>
      </c>
      <c r="I935" s="1" t="s">
        <v>1684</v>
      </c>
      <c r="K935" s="1" t="b">
        <v>1</v>
      </c>
    </row>
    <row r="936" spans="1:11">
      <c r="A936" s="1" t="s">
        <v>1684</v>
      </c>
      <c r="B936" s="336" t="str">
        <f>报表附注!E1399</f>
        <v>3．井及相关设施</v>
      </c>
      <c r="C936" s="325"/>
      <c r="D936" s="1" t="b">
        <f t="shared" si="90"/>
        <v>1</v>
      </c>
      <c r="E936" s="325">
        <f t="shared" si="91"/>
        <v>0</v>
      </c>
      <c r="H936" s="1" t="b">
        <f t="shared" si="89"/>
        <v>0</v>
      </c>
      <c r="I936" s="1" t="s">
        <v>671</v>
      </c>
      <c r="K936" s="1" t="b">
        <v>1</v>
      </c>
    </row>
    <row r="937" spans="1:11">
      <c r="A937" s="1" t="s">
        <v>889</v>
      </c>
      <c r="B937" s="336" t="str">
        <f>报表附注!E1400</f>
        <v>二、累计折耗合计</v>
      </c>
      <c r="C937" s="325"/>
      <c r="D937" s="1" t="b">
        <f t="shared" si="90"/>
        <v>1</v>
      </c>
      <c r="E937" s="325">
        <f t="shared" si="91"/>
        <v>0</v>
      </c>
      <c r="H937" s="1" t="b">
        <f t="shared" si="89"/>
        <v>0</v>
      </c>
      <c r="I937" s="1" t="s">
        <v>714</v>
      </c>
      <c r="K937" s="1" t="b">
        <v>1</v>
      </c>
    </row>
    <row r="938" spans="1:11">
      <c r="A938" s="1" t="s">
        <v>1682</v>
      </c>
      <c r="B938" s="336" t="str">
        <f>报表附注!E1401</f>
        <v>1．探明矿区权益</v>
      </c>
      <c r="C938" s="325"/>
      <c r="D938" s="1" t="b">
        <f t="shared" si="90"/>
        <v>1</v>
      </c>
      <c r="E938" s="325">
        <f t="shared" si="91"/>
        <v>0</v>
      </c>
      <c r="H938" s="1" t="b">
        <f t="shared" si="89"/>
        <v>1</v>
      </c>
      <c r="I938" s="1" t="s">
        <v>1682</v>
      </c>
      <c r="K938" s="1" t="b">
        <v>1</v>
      </c>
    </row>
    <row r="939" spans="1:11">
      <c r="A939" s="1" t="s">
        <v>1685</v>
      </c>
      <c r="B939" s="336" t="str">
        <f>报表附注!E1402</f>
        <v>2．井及相关设施</v>
      </c>
      <c r="C939" s="325"/>
      <c r="D939" s="1" t="b">
        <f t="shared" si="90"/>
        <v>1</v>
      </c>
      <c r="E939" s="325">
        <f t="shared" si="91"/>
        <v>0</v>
      </c>
      <c r="H939" s="1" t="b">
        <f t="shared" si="89"/>
        <v>0</v>
      </c>
      <c r="I939" s="1" t="s">
        <v>1683</v>
      </c>
      <c r="K939" s="1" t="b">
        <v>1</v>
      </c>
    </row>
    <row r="940" spans="1:11">
      <c r="A940" s="1" t="s">
        <v>894</v>
      </c>
      <c r="B940" s="336" t="str">
        <f>报表附注!E1403</f>
        <v>三、油气资产减值准备累计金额合计</v>
      </c>
      <c r="C940" s="325"/>
      <c r="D940" s="1" t="b">
        <f t="shared" si="90"/>
        <v>1</v>
      </c>
      <c r="E940" s="325">
        <f t="shared" si="91"/>
        <v>0</v>
      </c>
      <c r="H940" s="1" t="b">
        <f t="shared" si="89"/>
        <v>0</v>
      </c>
      <c r="I940" s="1" t="s">
        <v>1684</v>
      </c>
      <c r="K940" s="1" t="b">
        <v>1</v>
      </c>
    </row>
    <row r="941" spans="1:11">
      <c r="A941" s="1" t="s">
        <v>1682</v>
      </c>
      <c r="B941" s="336" t="str">
        <f>报表附注!E1404</f>
        <v>1．探明矿区权益</v>
      </c>
      <c r="C941" s="325"/>
      <c r="D941" s="1" t="b">
        <f t="shared" si="90"/>
        <v>1</v>
      </c>
      <c r="E941" s="325">
        <f t="shared" si="91"/>
        <v>0</v>
      </c>
      <c r="H941" s="1" t="b">
        <f t="shared" si="89"/>
        <v>0</v>
      </c>
      <c r="I941" s="1" t="s">
        <v>889</v>
      </c>
      <c r="K941" s="1" t="b">
        <v>1</v>
      </c>
    </row>
    <row r="942" spans="1:11">
      <c r="A942" s="1" t="s">
        <v>1683</v>
      </c>
      <c r="B942" s="336" t="str">
        <f>报表附注!E1405</f>
        <v>2．未探明矿区权益</v>
      </c>
      <c r="C942" s="325"/>
      <c r="D942" s="1" t="b">
        <f t="shared" si="90"/>
        <v>1</v>
      </c>
      <c r="E942" s="325">
        <f t="shared" si="91"/>
        <v>0</v>
      </c>
      <c r="H942" s="1" t="b">
        <f t="shared" si="89"/>
        <v>0</v>
      </c>
      <c r="I942" s="1" t="s">
        <v>1682</v>
      </c>
      <c r="K942" s="1" t="b">
        <v>1</v>
      </c>
    </row>
    <row r="943" spans="1:11">
      <c r="A943" s="1" t="s">
        <v>1684</v>
      </c>
      <c r="B943" s="336" t="str">
        <f>报表附注!E1406</f>
        <v>3．井及相关设施</v>
      </c>
      <c r="C943" s="325"/>
      <c r="D943" s="1" t="b">
        <f t="shared" si="90"/>
        <v>1</v>
      </c>
      <c r="E943" s="325">
        <f t="shared" si="91"/>
        <v>0</v>
      </c>
      <c r="H943" s="1" t="b">
        <f t="shared" si="89"/>
        <v>0</v>
      </c>
      <c r="I943" s="1" t="s">
        <v>1685</v>
      </c>
      <c r="K943" s="1" t="b">
        <v>1</v>
      </c>
    </row>
    <row r="944" spans="1:11">
      <c r="A944" s="1" t="s">
        <v>671</v>
      </c>
      <c r="B944" s="335" t="s">
        <v>671</v>
      </c>
      <c r="D944" s="1" t="b">
        <f t="shared" si="90"/>
        <v>1</v>
      </c>
      <c r="H944" s="1" t="b">
        <f t="shared" si="89"/>
        <v>0</v>
      </c>
      <c r="I944" s="1" t="s">
        <v>894</v>
      </c>
      <c r="K944" s="1" t="b">
        <v>1</v>
      </c>
    </row>
    <row r="945" spans="1:11">
      <c r="A945" s="1" t="s">
        <v>714</v>
      </c>
      <c r="B945" s="336" t="str">
        <f>报表附注!E1396</f>
        <v>一、原价合计</v>
      </c>
      <c r="C945" s="325"/>
      <c r="D945" s="1" t="b">
        <f t="shared" si="90"/>
        <v>1</v>
      </c>
      <c r="E945" s="315"/>
      <c r="H945" s="1" t="b">
        <f t="shared" si="89"/>
        <v>0</v>
      </c>
      <c r="I945" s="1" t="s">
        <v>1682</v>
      </c>
      <c r="K945" s="1" t="b">
        <v>1</v>
      </c>
    </row>
    <row r="946" spans="1:11">
      <c r="A946" s="1" t="s">
        <v>1682</v>
      </c>
      <c r="B946" s="336" t="str">
        <f>报表附注!E1397</f>
        <v>1．探明矿区权益</v>
      </c>
      <c r="C946" s="325"/>
      <c r="D946" s="1" t="b">
        <f t="shared" si="90"/>
        <v>1</v>
      </c>
      <c r="E946" s="315"/>
      <c r="H946" s="1" t="b">
        <f t="shared" si="89"/>
        <v>0</v>
      </c>
      <c r="I946" s="1" t="s">
        <v>1683</v>
      </c>
      <c r="K946" s="1" t="b">
        <v>1</v>
      </c>
    </row>
    <row r="947" spans="1:11">
      <c r="A947" s="1" t="s">
        <v>1683</v>
      </c>
      <c r="B947" s="336" t="str">
        <f>报表附注!E1398</f>
        <v>2．未探明矿区权益</v>
      </c>
      <c r="C947" s="325"/>
      <c r="D947" s="1" t="b">
        <f t="shared" si="90"/>
        <v>1</v>
      </c>
      <c r="E947" s="315"/>
      <c r="H947" s="1" t="b">
        <f t="shared" si="89"/>
        <v>0</v>
      </c>
      <c r="I947" s="1" t="s">
        <v>1684</v>
      </c>
      <c r="K947" s="1" t="b">
        <v>1</v>
      </c>
    </row>
    <row r="948" spans="1:11">
      <c r="A948" s="1" t="s">
        <v>1684</v>
      </c>
      <c r="B948" s="336" t="str">
        <f>报表附注!E1399</f>
        <v>3．井及相关设施</v>
      </c>
      <c r="C948" s="325"/>
      <c r="D948" s="1" t="b">
        <f t="shared" si="90"/>
        <v>1</v>
      </c>
      <c r="E948" s="315"/>
      <c r="H948" s="1" t="b">
        <f t="shared" si="89"/>
        <v>0</v>
      </c>
      <c r="I948" s="1" t="s">
        <v>672</v>
      </c>
      <c r="K948" s="1" t="b">
        <v>1</v>
      </c>
    </row>
    <row r="949" spans="1:11">
      <c r="A949" s="1" t="s">
        <v>889</v>
      </c>
      <c r="B949" s="336" t="str">
        <f>报表附注!E1400</f>
        <v>二、累计折耗合计</v>
      </c>
      <c r="C949" s="325"/>
      <c r="D949" s="1" t="b">
        <f t="shared" si="90"/>
        <v>1</v>
      </c>
      <c r="E949" s="315"/>
      <c r="H949" s="1" t="b">
        <f t="shared" si="89"/>
        <v>0</v>
      </c>
      <c r="I949" s="1" t="s">
        <v>714</v>
      </c>
      <c r="K949" s="1" t="b">
        <v>1</v>
      </c>
    </row>
    <row r="950" spans="1:11">
      <c r="A950" s="1" t="s">
        <v>1682</v>
      </c>
      <c r="B950" s="336" t="str">
        <f>报表附注!E1401</f>
        <v>1．探明矿区权益</v>
      </c>
      <c r="C950" s="325"/>
      <c r="D950" s="1" t="b">
        <f t="shared" si="90"/>
        <v>1</v>
      </c>
      <c r="E950" s="315"/>
      <c r="H950" s="1" t="b">
        <f t="shared" si="89"/>
        <v>1</v>
      </c>
      <c r="I950" s="1" t="s">
        <v>1682</v>
      </c>
      <c r="K950" s="1" t="b">
        <v>1</v>
      </c>
    </row>
    <row r="951" spans="1:11">
      <c r="A951" s="1" t="s">
        <v>1685</v>
      </c>
      <c r="B951" s="336" t="str">
        <f>报表附注!E1402</f>
        <v>2．井及相关设施</v>
      </c>
      <c r="C951" s="325"/>
      <c r="D951" s="1" t="b">
        <f t="shared" si="90"/>
        <v>1</v>
      </c>
      <c r="E951" s="315"/>
      <c r="H951" s="1" t="b">
        <f t="shared" si="89"/>
        <v>0</v>
      </c>
      <c r="I951" s="1" t="s">
        <v>1683</v>
      </c>
      <c r="K951" s="1" t="b">
        <v>1</v>
      </c>
    </row>
    <row r="952" spans="1:11">
      <c r="A952" s="1" t="s">
        <v>894</v>
      </c>
      <c r="B952" s="336" t="str">
        <f>报表附注!E1403</f>
        <v>三、油气资产减值准备累计金额合计</v>
      </c>
      <c r="C952" s="325"/>
      <c r="D952" s="1" t="b">
        <f t="shared" si="90"/>
        <v>1</v>
      </c>
      <c r="E952" s="315"/>
      <c r="H952" s="1" t="b">
        <f t="shared" si="89"/>
        <v>0</v>
      </c>
      <c r="I952" s="1" t="s">
        <v>1684</v>
      </c>
      <c r="K952" s="1" t="b">
        <v>1</v>
      </c>
    </row>
    <row r="953" spans="1:11">
      <c r="A953" s="1" t="s">
        <v>1682</v>
      </c>
      <c r="B953" s="336" t="str">
        <f>报表附注!E1404</f>
        <v>1．探明矿区权益</v>
      </c>
      <c r="C953" s="325"/>
      <c r="D953" s="1" t="b">
        <f t="shared" si="90"/>
        <v>1</v>
      </c>
      <c r="E953" s="315"/>
      <c r="H953" s="1" t="b">
        <f t="shared" si="89"/>
        <v>0</v>
      </c>
      <c r="I953" s="1" t="s">
        <v>889</v>
      </c>
      <c r="K953" s="1" t="b">
        <v>1</v>
      </c>
    </row>
    <row r="954" spans="1:11">
      <c r="A954" s="1" t="s">
        <v>1683</v>
      </c>
      <c r="B954" s="336" t="str">
        <f>报表附注!E1405</f>
        <v>2．未探明矿区权益</v>
      </c>
      <c r="C954" s="325"/>
      <c r="D954" s="1" t="b">
        <f t="shared" si="90"/>
        <v>1</v>
      </c>
      <c r="E954" s="315"/>
      <c r="H954" s="1" t="b">
        <f t="shared" si="89"/>
        <v>0</v>
      </c>
      <c r="I954" s="1" t="s">
        <v>1682</v>
      </c>
      <c r="K954" s="1" t="b">
        <v>1</v>
      </c>
    </row>
    <row r="955" spans="1:11">
      <c r="A955" s="1" t="s">
        <v>1684</v>
      </c>
      <c r="B955" s="336" t="str">
        <f>报表附注!E1406</f>
        <v>3．井及相关设施</v>
      </c>
      <c r="C955" s="325"/>
      <c r="D955" s="1" t="b">
        <f t="shared" si="90"/>
        <v>1</v>
      </c>
      <c r="E955" s="315"/>
      <c r="H955" s="1" t="b">
        <f t="shared" si="89"/>
        <v>0</v>
      </c>
      <c r="I955" s="1" t="s">
        <v>1685</v>
      </c>
      <c r="K955" s="1" t="b">
        <v>1</v>
      </c>
    </row>
    <row r="956" spans="1:11">
      <c r="A956" s="1" t="s">
        <v>672</v>
      </c>
      <c r="B956" s="335" t="s">
        <v>672</v>
      </c>
      <c r="D956" s="1" t="b">
        <f t="shared" si="90"/>
        <v>1</v>
      </c>
      <c r="E956" s="311"/>
      <c r="H956" s="1" t="b">
        <f t="shared" si="89"/>
        <v>0</v>
      </c>
      <c r="I956" s="1" t="s">
        <v>894</v>
      </c>
      <c r="K956" s="1" t="b">
        <v>1</v>
      </c>
    </row>
    <row r="957" spans="1:11">
      <c r="A957" s="1" t="s">
        <v>714</v>
      </c>
      <c r="B957" s="336" t="str">
        <f>报表附注!E1396</f>
        <v>一、原价合计</v>
      </c>
      <c r="C957" s="325"/>
      <c r="D957" s="1" t="b">
        <f t="shared" si="90"/>
        <v>1</v>
      </c>
      <c r="E957" s="315"/>
      <c r="H957" s="1" t="b">
        <f t="shared" si="89"/>
        <v>0</v>
      </c>
      <c r="I957" s="1" t="s">
        <v>1682</v>
      </c>
      <c r="K957" s="1" t="b">
        <v>1</v>
      </c>
    </row>
    <row r="958" spans="1:11">
      <c r="A958" s="1" t="s">
        <v>1682</v>
      </c>
      <c r="B958" s="336" t="str">
        <f>报表附注!E1397</f>
        <v>1．探明矿区权益</v>
      </c>
      <c r="C958" s="325"/>
      <c r="D958" s="1" t="b">
        <f t="shared" si="90"/>
        <v>1</v>
      </c>
      <c r="E958" s="315"/>
      <c r="H958" s="1" t="b">
        <f t="shared" si="89"/>
        <v>0</v>
      </c>
      <c r="I958" s="1" t="s">
        <v>1683</v>
      </c>
      <c r="K958" s="1" t="b">
        <v>1</v>
      </c>
    </row>
    <row r="959" spans="1:11">
      <c r="A959" s="1" t="s">
        <v>1683</v>
      </c>
      <c r="B959" s="336" t="str">
        <f>报表附注!E1398</f>
        <v>2．未探明矿区权益</v>
      </c>
      <c r="C959" s="325"/>
      <c r="D959" s="1" t="b">
        <f t="shared" si="90"/>
        <v>1</v>
      </c>
      <c r="E959" s="315"/>
      <c r="H959" s="1" t="b">
        <f t="shared" si="89"/>
        <v>0</v>
      </c>
      <c r="I959" s="1" t="s">
        <v>1684</v>
      </c>
      <c r="K959" s="1" t="b">
        <v>1</v>
      </c>
    </row>
    <row r="960" spans="1:11">
      <c r="A960" s="1" t="s">
        <v>1684</v>
      </c>
      <c r="B960" s="336" t="str">
        <f>报表附注!E1399</f>
        <v>3．井及相关设施</v>
      </c>
      <c r="C960" s="325"/>
      <c r="D960" s="1" t="b">
        <f t="shared" si="90"/>
        <v>1</v>
      </c>
      <c r="E960" s="315"/>
      <c r="H960" s="1" t="b">
        <f t="shared" si="89"/>
        <v>0</v>
      </c>
      <c r="K960" s="1" t="b">
        <v>1</v>
      </c>
    </row>
    <row r="961" spans="1:11">
      <c r="A961" s="1" t="s">
        <v>889</v>
      </c>
      <c r="B961" s="336" t="str">
        <f>报表附注!E1400</f>
        <v>二、累计折耗合计</v>
      </c>
      <c r="C961" s="325"/>
      <c r="D961" s="1" t="b">
        <f t="shared" si="90"/>
        <v>1</v>
      </c>
      <c r="E961" s="315"/>
      <c r="H961" s="1" t="b">
        <f t="shared" si="89"/>
        <v>0</v>
      </c>
      <c r="K961" s="1" t="b">
        <v>1</v>
      </c>
    </row>
    <row r="962" spans="1:11">
      <c r="A962" s="1" t="s">
        <v>1682</v>
      </c>
      <c r="B962" s="336" t="str">
        <f>报表附注!E1401</f>
        <v>1．探明矿区权益</v>
      </c>
      <c r="C962" s="325"/>
      <c r="D962" s="1" t="b">
        <f t="shared" si="90"/>
        <v>1</v>
      </c>
      <c r="E962" s="315"/>
      <c r="H962" s="1" t="b">
        <f t="shared" si="89"/>
        <v>0</v>
      </c>
      <c r="I962" s="1" t="s">
        <v>1686</v>
      </c>
      <c r="K962" s="1" t="b">
        <v>1</v>
      </c>
    </row>
    <row r="963" spans="1:11">
      <c r="A963" s="1" t="s">
        <v>1685</v>
      </c>
      <c r="B963" s="336" t="str">
        <f>报表附注!E1402</f>
        <v>2．井及相关设施</v>
      </c>
      <c r="C963" s="325"/>
      <c r="D963" s="1" t="b">
        <f t="shared" si="90"/>
        <v>1</v>
      </c>
      <c r="E963" s="315"/>
      <c r="H963" s="1" t="b">
        <f t="shared" si="89"/>
        <v>0</v>
      </c>
      <c r="I963" s="1" t="s">
        <v>1579</v>
      </c>
      <c r="K963" s="1" t="b">
        <v>1</v>
      </c>
    </row>
    <row r="964" spans="1:11">
      <c r="A964" s="1" t="s">
        <v>894</v>
      </c>
      <c r="B964" s="336" t="str">
        <f>报表附注!E1403</f>
        <v>三、油气资产减值准备累计金额合计</v>
      </c>
      <c r="C964" s="325"/>
      <c r="D964" s="1" t="b">
        <f t="shared" si="90"/>
        <v>1</v>
      </c>
      <c r="E964" s="315"/>
      <c r="H964" s="1" t="b">
        <f t="shared" ref="H964:H1027" si="92">I964=B964</f>
        <v>0</v>
      </c>
      <c r="I964" s="1" t="s">
        <v>714</v>
      </c>
      <c r="K964" s="1" t="b">
        <v>1</v>
      </c>
    </row>
    <row r="965" spans="1:11">
      <c r="A965" s="1" t="s">
        <v>1682</v>
      </c>
      <c r="B965" s="336" t="str">
        <f>报表附注!E1404</f>
        <v>1．探明矿区权益</v>
      </c>
      <c r="C965" s="325"/>
      <c r="D965" s="1" t="b">
        <f t="shared" si="90"/>
        <v>1</v>
      </c>
      <c r="E965" s="315"/>
      <c r="H965" s="1" t="b">
        <f t="shared" si="92"/>
        <v>0</v>
      </c>
      <c r="I965" s="1" t="s">
        <v>4578</v>
      </c>
      <c r="K965" s="1" t="b">
        <v>0</v>
      </c>
    </row>
    <row r="966" spans="1:11">
      <c r="A966" s="1" t="s">
        <v>1683</v>
      </c>
      <c r="B966" s="336" t="str">
        <f>报表附注!E1405</f>
        <v>2．未探明矿区权益</v>
      </c>
      <c r="C966" s="325"/>
      <c r="D966" s="1" t="b">
        <f t="shared" si="90"/>
        <v>1</v>
      </c>
      <c r="E966" s="315"/>
      <c r="H966" s="1" t="b">
        <f t="shared" si="92"/>
        <v>0</v>
      </c>
      <c r="I966" s="1" t="s">
        <v>4579</v>
      </c>
      <c r="K966" s="1" t="b">
        <v>0</v>
      </c>
    </row>
    <row r="967" spans="1:11">
      <c r="A967" s="1" t="s">
        <v>1684</v>
      </c>
      <c r="B967" s="336" t="str">
        <f>报表附注!E1406</f>
        <v>3．井及相关设施</v>
      </c>
      <c r="C967" s="325"/>
      <c r="D967" s="1" t="b">
        <f t="shared" si="90"/>
        <v>1</v>
      </c>
      <c r="E967" s="315"/>
      <c r="H967" s="1" t="b">
        <f t="shared" si="92"/>
        <v>0</v>
      </c>
      <c r="I967" s="1" t="s">
        <v>4580</v>
      </c>
      <c r="K967" s="1" t="b">
        <v>0</v>
      </c>
    </row>
    <row r="968" spans="4:11">
      <c r="D968" s="1" t="b">
        <f t="shared" si="90"/>
        <v>1</v>
      </c>
      <c r="H968" s="1" t="b">
        <f t="shared" si="92"/>
        <v>0</v>
      </c>
      <c r="I968" s="1" t="s">
        <v>4581</v>
      </c>
      <c r="K968" s="1" t="b">
        <v>0</v>
      </c>
    </row>
    <row r="969" spans="4:11">
      <c r="D969" s="1" t="b">
        <f t="shared" si="90"/>
        <v>1</v>
      </c>
      <c r="H969" s="1" t="b">
        <f t="shared" si="92"/>
        <v>1</v>
      </c>
      <c r="I969" s="1">
        <v>0</v>
      </c>
      <c r="K969" s="1" t="b">
        <v>0</v>
      </c>
    </row>
    <row r="970" spans="1:11">
      <c r="A970" s="1" t="s">
        <v>1686</v>
      </c>
      <c r="B970" s="331" t="s">
        <v>1686</v>
      </c>
      <c r="D970" s="1" t="b">
        <f t="shared" si="90"/>
        <v>1</v>
      </c>
      <c r="H970" s="1" t="b">
        <f t="shared" si="92"/>
        <v>0</v>
      </c>
      <c r="I970" s="1">
        <v>0</v>
      </c>
      <c r="K970" s="1" t="b">
        <v>0</v>
      </c>
    </row>
    <row r="971" spans="1:11">
      <c r="A971" s="1" t="s">
        <v>1579</v>
      </c>
      <c r="B971" s="335" t="s">
        <v>1579</v>
      </c>
      <c r="D971" s="1" t="b">
        <f t="shared" si="90"/>
        <v>1</v>
      </c>
      <c r="H971" s="1" t="b">
        <f t="shared" si="92"/>
        <v>0</v>
      </c>
      <c r="I971" s="1">
        <v>0</v>
      </c>
      <c r="K971" s="1" t="b">
        <v>0</v>
      </c>
    </row>
    <row r="972" spans="1:11">
      <c r="A972" s="1" t="s">
        <v>714</v>
      </c>
      <c r="B972" s="352" t="str">
        <f>报表附注!E1421</f>
        <v>一、原价合计</v>
      </c>
      <c r="C972" s="325">
        <f t="shared" ref="C972:C1003" si="93">J964</f>
        <v>0</v>
      </c>
      <c r="D972" s="1" t="b">
        <f t="shared" ref="D972:D1035" si="94">EXACT(A972,B972)</f>
        <v>1</v>
      </c>
      <c r="E972" s="325">
        <f>C1110</f>
        <v>0</v>
      </c>
      <c r="H972" s="1" t="b">
        <f t="shared" si="92"/>
        <v>0</v>
      </c>
      <c r="I972" s="1">
        <v>0</v>
      </c>
      <c r="K972" s="1" t="b">
        <v>0</v>
      </c>
    </row>
    <row r="973" spans="1:11">
      <c r="A973" s="1" t="s">
        <v>1687</v>
      </c>
      <c r="B973" s="352" t="str">
        <f>报表附注!E1422</f>
        <v>1、土地使用权</v>
      </c>
      <c r="C973" s="325">
        <f t="shared" si="93"/>
        <v>0</v>
      </c>
      <c r="D973" s="1" t="b">
        <f t="shared" si="94"/>
        <v>0</v>
      </c>
      <c r="E973" s="325">
        <f t="shared" ref="E973:E1016" si="95">C1111</f>
        <v>0</v>
      </c>
      <c r="H973" s="1" t="b">
        <f t="shared" si="92"/>
        <v>0</v>
      </c>
      <c r="I973" s="1">
        <v>0</v>
      </c>
      <c r="K973" s="1" t="b">
        <v>0</v>
      </c>
    </row>
    <row r="974" spans="1:11">
      <c r="A974" s="1" t="s">
        <v>1688</v>
      </c>
      <c r="B974" s="352" t="str">
        <f>报表附注!E1423</f>
        <v>2、软件</v>
      </c>
      <c r="C974" s="325">
        <f t="shared" si="93"/>
        <v>0</v>
      </c>
      <c r="D974" s="1" t="b">
        <f t="shared" si="94"/>
        <v>0</v>
      </c>
      <c r="E974" s="325">
        <f t="shared" si="95"/>
        <v>0</v>
      </c>
      <c r="H974" s="1" t="b">
        <f t="shared" si="92"/>
        <v>0</v>
      </c>
      <c r="I974" s="1">
        <v>0</v>
      </c>
      <c r="K974" s="1" t="b">
        <v>0</v>
      </c>
    </row>
    <row r="975" spans="1:11">
      <c r="A975" s="1" t="s">
        <v>1689</v>
      </c>
      <c r="B975" s="352" t="str">
        <f>报表附注!E1424</f>
        <v>3、专利权</v>
      </c>
      <c r="C975" s="325">
        <f t="shared" si="93"/>
        <v>0</v>
      </c>
      <c r="D975" s="1" t="b">
        <f t="shared" si="94"/>
        <v>0</v>
      </c>
      <c r="E975" s="325">
        <f t="shared" si="95"/>
        <v>0</v>
      </c>
      <c r="H975" s="1" t="b">
        <f t="shared" si="92"/>
        <v>0</v>
      </c>
      <c r="I975" s="1">
        <v>0</v>
      </c>
      <c r="K975" s="1" t="b">
        <v>0</v>
      </c>
    </row>
    <row r="976" spans="1:11">
      <c r="A976" s="1" t="s">
        <v>1690</v>
      </c>
      <c r="B976" s="352" t="str">
        <f>报表附注!E1425</f>
        <v>4、其它</v>
      </c>
      <c r="C976" s="325">
        <f t="shared" si="93"/>
        <v>0</v>
      </c>
      <c r="D976" s="1" t="b">
        <f t="shared" si="94"/>
        <v>0</v>
      </c>
      <c r="E976" s="325">
        <f t="shared" si="95"/>
        <v>0</v>
      </c>
      <c r="H976" s="1" t="b">
        <f t="shared" si="92"/>
        <v>0</v>
      </c>
      <c r="I976" s="1">
        <v>0</v>
      </c>
      <c r="K976" s="1" t="b">
        <v>0</v>
      </c>
    </row>
    <row r="977" spans="1:11">
      <c r="A977" s="1" t="s">
        <v>1691</v>
      </c>
      <c r="B977" s="352">
        <f>报表附注!E1426</f>
        <v>0</v>
      </c>
      <c r="C977" s="325">
        <f t="shared" si="93"/>
        <v>0</v>
      </c>
      <c r="D977" s="1" t="b">
        <f t="shared" si="94"/>
        <v>0</v>
      </c>
      <c r="E977" s="325">
        <f t="shared" si="95"/>
        <v>0</v>
      </c>
      <c r="H977" s="1" t="b">
        <f t="shared" si="92"/>
        <v>1</v>
      </c>
      <c r="I977" s="1">
        <v>0</v>
      </c>
      <c r="K977" s="1" t="b">
        <v>0</v>
      </c>
    </row>
    <row r="978" spans="1:11">
      <c r="A978" s="1" t="s">
        <v>1692</v>
      </c>
      <c r="B978" s="352">
        <f>报表附注!E1427</f>
        <v>0</v>
      </c>
      <c r="C978" s="325">
        <f t="shared" si="93"/>
        <v>0</v>
      </c>
      <c r="D978" s="1" t="b">
        <f t="shared" si="94"/>
        <v>0</v>
      </c>
      <c r="E978" s="325">
        <f t="shared" si="95"/>
        <v>0</v>
      </c>
      <c r="H978" s="1" t="b">
        <f t="shared" si="92"/>
        <v>1</v>
      </c>
      <c r="I978" s="1">
        <v>0</v>
      </c>
      <c r="K978" s="1" t="b">
        <v>0</v>
      </c>
    </row>
    <row r="979" spans="1:11">
      <c r="A979" s="1" t="s">
        <v>1693</v>
      </c>
      <c r="B979" s="352">
        <f>报表附注!E1428</f>
        <v>0</v>
      </c>
      <c r="C979" s="325">
        <f t="shared" si="93"/>
        <v>0</v>
      </c>
      <c r="D979" s="1" t="b">
        <f t="shared" si="94"/>
        <v>0</v>
      </c>
      <c r="E979" s="325">
        <f t="shared" si="95"/>
        <v>0</v>
      </c>
      <c r="H979" s="1" t="b">
        <f t="shared" si="92"/>
        <v>0</v>
      </c>
      <c r="I979" s="1" t="s">
        <v>904</v>
      </c>
      <c r="K979" s="1" t="b">
        <v>1</v>
      </c>
    </row>
    <row r="980" spans="1:11">
      <c r="A980" s="1" t="s">
        <v>1694</v>
      </c>
      <c r="B980" s="352">
        <f>报表附注!E1429</f>
        <v>0</v>
      </c>
      <c r="C980" s="325">
        <f t="shared" si="93"/>
        <v>0</v>
      </c>
      <c r="D980" s="1" t="b">
        <f t="shared" si="94"/>
        <v>0</v>
      </c>
      <c r="E980" s="325">
        <f t="shared" si="95"/>
        <v>0</v>
      </c>
      <c r="H980" s="1" t="b">
        <f t="shared" si="92"/>
        <v>0</v>
      </c>
      <c r="I980" s="1" t="s">
        <v>4578</v>
      </c>
      <c r="K980" s="1" t="b">
        <v>0</v>
      </c>
    </row>
    <row r="981" spans="1:11">
      <c r="A981" s="1" t="s">
        <v>1695</v>
      </c>
      <c r="B981" s="352">
        <f>报表附注!E1430</f>
        <v>0</v>
      </c>
      <c r="C981" s="325">
        <f t="shared" si="93"/>
        <v>0</v>
      </c>
      <c r="D981" s="1" t="b">
        <f t="shared" si="94"/>
        <v>0</v>
      </c>
      <c r="E981" s="325">
        <f t="shared" si="95"/>
        <v>0</v>
      </c>
      <c r="H981" s="1" t="b">
        <f t="shared" si="92"/>
        <v>0</v>
      </c>
      <c r="I981" s="1" t="s">
        <v>4579</v>
      </c>
      <c r="K981" s="1" t="b">
        <v>0</v>
      </c>
    </row>
    <row r="982" spans="1:11">
      <c r="A982" s="1" t="s">
        <v>1696</v>
      </c>
      <c r="B982" s="352">
        <f>报表附注!E1431</f>
        <v>0</v>
      </c>
      <c r="C982" s="325">
        <f t="shared" si="93"/>
        <v>0</v>
      </c>
      <c r="D982" s="1" t="b">
        <f t="shared" si="94"/>
        <v>0</v>
      </c>
      <c r="E982" s="325">
        <f t="shared" si="95"/>
        <v>0</v>
      </c>
      <c r="H982" s="1" t="b">
        <f t="shared" si="92"/>
        <v>0</v>
      </c>
      <c r="I982" s="1" t="s">
        <v>4580</v>
      </c>
      <c r="K982" s="1" t="b">
        <v>0</v>
      </c>
    </row>
    <row r="983" spans="1:11">
      <c r="A983" s="1" t="s">
        <v>1697</v>
      </c>
      <c r="B983" s="352">
        <f>报表附注!E1432</f>
        <v>0</v>
      </c>
      <c r="C983" s="325">
        <f t="shared" si="93"/>
        <v>0</v>
      </c>
      <c r="D983" s="1" t="b">
        <f t="shared" si="94"/>
        <v>0</v>
      </c>
      <c r="E983" s="325">
        <f t="shared" si="95"/>
        <v>0</v>
      </c>
      <c r="H983" s="1" t="b">
        <f t="shared" si="92"/>
        <v>0</v>
      </c>
      <c r="I983" s="1" t="s">
        <v>4581</v>
      </c>
      <c r="K983" s="1" t="b">
        <v>0</v>
      </c>
    </row>
    <row r="984" spans="1:11">
      <c r="A984" s="1" t="s">
        <v>1698</v>
      </c>
      <c r="B984" s="352">
        <f>报表附注!E1433</f>
        <v>0</v>
      </c>
      <c r="C984" s="325">
        <f t="shared" si="93"/>
        <v>0</v>
      </c>
      <c r="D984" s="1" t="b">
        <f t="shared" si="94"/>
        <v>0</v>
      </c>
      <c r="E984" s="325">
        <f t="shared" si="95"/>
        <v>0</v>
      </c>
      <c r="H984" s="1" t="b">
        <f t="shared" si="92"/>
        <v>1</v>
      </c>
      <c r="I984" s="1">
        <v>0</v>
      </c>
      <c r="K984" s="1" t="b">
        <v>0</v>
      </c>
    </row>
    <row r="985" spans="1:11">
      <c r="A985" s="1" t="s">
        <v>1699</v>
      </c>
      <c r="B985" s="352">
        <f>报表附注!E1434</f>
        <v>0</v>
      </c>
      <c r="C985" s="325">
        <f t="shared" si="93"/>
        <v>0</v>
      </c>
      <c r="D985" s="1" t="b">
        <f t="shared" si="94"/>
        <v>0</v>
      </c>
      <c r="E985" s="325">
        <f t="shared" si="95"/>
        <v>0</v>
      </c>
      <c r="H985" s="1" t="b">
        <f t="shared" si="92"/>
        <v>1</v>
      </c>
      <c r="I985" s="1">
        <v>0</v>
      </c>
      <c r="K985" s="1" t="b">
        <v>0</v>
      </c>
    </row>
    <row r="986" spans="1:11">
      <c r="A986" s="1" t="s">
        <v>1700</v>
      </c>
      <c r="B986" s="352">
        <f>报表附注!E1435</f>
        <v>0</v>
      </c>
      <c r="C986" s="325">
        <f t="shared" si="93"/>
        <v>0</v>
      </c>
      <c r="D986" s="1" t="b">
        <f t="shared" si="94"/>
        <v>0</v>
      </c>
      <c r="E986" s="325">
        <f t="shared" si="95"/>
        <v>0</v>
      </c>
      <c r="H986" s="1" t="b">
        <f t="shared" si="92"/>
        <v>1</v>
      </c>
      <c r="I986" s="1">
        <v>0</v>
      </c>
      <c r="K986" s="1" t="b">
        <v>0</v>
      </c>
    </row>
    <row r="987" spans="1:11">
      <c r="A987" s="1" t="s">
        <v>904</v>
      </c>
      <c r="B987" s="352" t="str">
        <f>报表附注!E1436</f>
        <v>二、累计摊销额合计</v>
      </c>
      <c r="C987" s="325">
        <f t="shared" si="93"/>
        <v>0</v>
      </c>
      <c r="D987" s="1" t="b">
        <f t="shared" si="94"/>
        <v>1</v>
      </c>
      <c r="E987" s="325">
        <f t="shared" si="95"/>
        <v>0</v>
      </c>
      <c r="H987" s="1" t="b">
        <f t="shared" si="92"/>
        <v>0</v>
      </c>
      <c r="I987" s="1">
        <v>0</v>
      </c>
      <c r="K987" s="1" t="b">
        <v>0</v>
      </c>
    </row>
    <row r="988" spans="1:11">
      <c r="A988" s="1" t="s">
        <v>1687</v>
      </c>
      <c r="B988" s="352" t="str">
        <f>报表附注!E1437</f>
        <v>1、土地使用权</v>
      </c>
      <c r="C988" s="325">
        <f t="shared" si="93"/>
        <v>0</v>
      </c>
      <c r="D988" s="1" t="b">
        <f t="shared" si="94"/>
        <v>0</v>
      </c>
      <c r="E988" s="325">
        <f t="shared" si="95"/>
        <v>0</v>
      </c>
      <c r="H988" s="1" t="b">
        <f t="shared" si="92"/>
        <v>0</v>
      </c>
      <c r="I988" s="1">
        <v>0</v>
      </c>
      <c r="K988" s="1" t="b">
        <v>0</v>
      </c>
    </row>
    <row r="989" spans="1:11">
      <c r="A989" s="1" t="s">
        <v>1688</v>
      </c>
      <c r="B989" s="352" t="str">
        <f>报表附注!E1438</f>
        <v>2、软件</v>
      </c>
      <c r="C989" s="325">
        <f t="shared" si="93"/>
        <v>0</v>
      </c>
      <c r="D989" s="1" t="b">
        <f t="shared" si="94"/>
        <v>0</v>
      </c>
      <c r="E989" s="325">
        <f t="shared" si="95"/>
        <v>0</v>
      </c>
      <c r="H989" s="1" t="b">
        <f t="shared" si="92"/>
        <v>0</v>
      </c>
      <c r="I989" s="1">
        <v>0</v>
      </c>
      <c r="K989" s="1" t="b">
        <v>0</v>
      </c>
    </row>
    <row r="990" spans="1:11">
      <c r="A990" s="1" t="s">
        <v>1689</v>
      </c>
      <c r="B990" s="352" t="str">
        <f>报表附注!E1439</f>
        <v>3、专利权</v>
      </c>
      <c r="C990" s="325">
        <f t="shared" si="93"/>
        <v>0</v>
      </c>
      <c r="D990" s="1" t="b">
        <f t="shared" si="94"/>
        <v>0</v>
      </c>
      <c r="E990" s="325">
        <f t="shared" si="95"/>
        <v>0</v>
      </c>
      <c r="H990" s="1" t="b">
        <f t="shared" si="92"/>
        <v>0</v>
      </c>
      <c r="I990" s="1">
        <v>0</v>
      </c>
      <c r="K990" s="1" t="b">
        <v>0</v>
      </c>
    </row>
    <row r="991" spans="1:11">
      <c r="A991" s="1" t="s">
        <v>1690</v>
      </c>
      <c r="B991" s="352" t="str">
        <f>报表附注!E1440</f>
        <v>4、其它</v>
      </c>
      <c r="C991" s="325">
        <f t="shared" si="93"/>
        <v>0</v>
      </c>
      <c r="D991" s="1" t="b">
        <f t="shared" si="94"/>
        <v>0</v>
      </c>
      <c r="E991" s="325">
        <f t="shared" si="95"/>
        <v>0</v>
      </c>
      <c r="H991" s="1" t="b">
        <f t="shared" si="92"/>
        <v>0</v>
      </c>
      <c r="I991" s="1">
        <v>0</v>
      </c>
      <c r="K991" s="1" t="b">
        <v>0</v>
      </c>
    </row>
    <row r="992" spans="1:11">
      <c r="A992" s="1" t="s">
        <v>1691</v>
      </c>
      <c r="B992" s="352">
        <f>报表附注!E1441</f>
        <v>0</v>
      </c>
      <c r="C992" s="325">
        <f t="shared" si="93"/>
        <v>0</v>
      </c>
      <c r="D992" s="1" t="b">
        <f t="shared" si="94"/>
        <v>0</v>
      </c>
      <c r="E992" s="325">
        <f t="shared" si="95"/>
        <v>0</v>
      </c>
      <c r="H992" s="1" t="b">
        <f t="shared" si="92"/>
        <v>1</v>
      </c>
      <c r="I992" s="1">
        <v>0</v>
      </c>
      <c r="K992" s="1" t="b">
        <v>0</v>
      </c>
    </row>
    <row r="993" spans="1:11">
      <c r="A993" s="1" t="s">
        <v>1692</v>
      </c>
      <c r="B993" s="352">
        <f>报表附注!E1442</f>
        <v>0</v>
      </c>
      <c r="C993" s="325">
        <f t="shared" si="93"/>
        <v>0</v>
      </c>
      <c r="D993" s="1" t="b">
        <f t="shared" si="94"/>
        <v>0</v>
      </c>
      <c r="E993" s="325">
        <f t="shared" si="95"/>
        <v>0</v>
      </c>
      <c r="H993" s="1" t="b">
        <f t="shared" si="92"/>
        <v>1</v>
      </c>
      <c r="I993" s="1">
        <v>0</v>
      </c>
      <c r="K993" s="1" t="b">
        <v>0</v>
      </c>
    </row>
    <row r="994" spans="1:11">
      <c r="A994" s="1" t="s">
        <v>1693</v>
      </c>
      <c r="B994" s="352">
        <f>报表附注!E1443</f>
        <v>0</v>
      </c>
      <c r="C994" s="325">
        <f t="shared" si="93"/>
        <v>0</v>
      </c>
      <c r="D994" s="1" t="b">
        <f t="shared" si="94"/>
        <v>0</v>
      </c>
      <c r="E994" s="325">
        <f t="shared" si="95"/>
        <v>0</v>
      </c>
      <c r="H994" s="1" t="b">
        <f t="shared" si="92"/>
        <v>0</v>
      </c>
      <c r="I994" s="1" t="s">
        <v>907</v>
      </c>
      <c r="K994" s="1" t="b">
        <v>1</v>
      </c>
    </row>
    <row r="995" spans="1:11">
      <c r="A995" s="1" t="s">
        <v>1694</v>
      </c>
      <c r="B995" s="352">
        <f>报表附注!E1444</f>
        <v>0</v>
      </c>
      <c r="C995" s="325">
        <f t="shared" si="93"/>
        <v>0</v>
      </c>
      <c r="D995" s="1" t="b">
        <f t="shared" si="94"/>
        <v>0</v>
      </c>
      <c r="E995" s="325">
        <f t="shared" si="95"/>
        <v>0</v>
      </c>
      <c r="H995" s="1" t="b">
        <f t="shared" si="92"/>
        <v>0</v>
      </c>
      <c r="I995" s="1" t="s">
        <v>4578</v>
      </c>
      <c r="K995" s="1" t="b">
        <v>0</v>
      </c>
    </row>
    <row r="996" spans="1:11">
      <c r="A996" s="1" t="s">
        <v>1695</v>
      </c>
      <c r="B996" s="352">
        <f>报表附注!E1445</f>
        <v>0</v>
      </c>
      <c r="C996" s="325">
        <f t="shared" si="93"/>
        <v>0</v>
      </c>
      <c r="D996" s="1" t="b">
        <f t="shared" si="94"/>
        <v>0</v>
      </c>
      <c r="E996" s="325">
        <f t="shared" si="95"/>
        <v>0</v>
      </c>
      <c r="H996" s="1" t="b">
        <f t="shared" si="92"/>
        <v>0</v>
      </c>
      <c r="I996" s="1" t="s">
        <v>4579</v>
      </c>
      <c r="K996" s="1" t="b">
        <v>0</v>
      </c>
    </row>
    <row r="997" spans="1:11">
      <c r="A997" s="1" t="s">
        <v>1696</v>
      </c>
      <c r="B997" s="352">
        <f>报表附注!E1446</f>
        <v>0</v>
      </c>
      <c r="C997" s="325">
        <f t="shared" si="93"/>
        <v>0</v>
      </c>
      <c r="D997" s="1" t="b">
        <f t="shared" si="94"/>
        <v>0</v>
      </c>
      <c r="E997" s="325">
        <f t="shared" si="95"/>
        <v>0</v>
      </c>
      <c r="H997" s="1" t="b">
        <f t="shared" si="92"/>
        <v>0</v>
      </c>
      <c r="I997" s="1" t="s">
        <v>4580</v>
      </c>
      <c r="K997" s="1" t="b">
        <v>0</v>
      </c>
    </row>
    <row r="998" spans="1:11">
      <c r="A998" s="1" t="s">
        <v>1697</v>
      </c>
      <c r="B998" s="352">
        <f>报表附注!E1447</f>
        <v>0</v>
      </c>
      <c r="C998" s="325">
        <f t="shared" si="93"/>
        <v>0</v>
      </c>
      <c r="D998" s="1" t="b">
        <f t="shared" si="94"/>
        <v>0</v>
      </c>
      <c r="E998" s="325">
        <f t="shared" si="95"/>
        <v>0</v>
      </c>
      <c r="H998" s="1" t="b">
        <f t="shared" si="92"/>
        <v>0</v>
      </c>
      <c r="I998" s="1" t="s">
        <v>4581</v>
      </c>
      <c r="K998" s="1" t="b">
        <v>0</v>
      </c>
    </row>
    <row r="999" spans="1:11">
      <c r="A999" s="1" t="s">
        <v>1698</v>
      </c>
      <c r="B999" s="352">
        <f>报表附注!E1448</f>
        <v>0</v>
      </c>
      <c r="C999" s="325">
        <f t="shared" si="93"/>
        <v>0</v>
      </c>
      <c r="D999" s="1" t="b">
        <f t="shared" si="94"/>
        <v>0</v>
      </c>
      <c r="E999" s="325">
        <f t="shared" si="95"/>
        <v>0</v>
      </c>
      <c r="H999" s="1" t="b">
        <f t="shared" si="92"/>
        <v>1</v>
      </c>
      <c r="I999" s="1">
        <v>0</v>
      </c>
      <c r="K999" s="1" t="b">
        <v>0</v>
      </c>
    </row>
    <row r="1000" spans="1:11">
      <c r="A1000" s="1" t="s">
        <v>1699</v>
      </c>
      <c r="B1000" s="352">
        <f>报表附注!E1449</f>
        <v>0</v>
      </c>
      <c r="C1000" s="325">
        <f t="shared" si="93"/>
        <v>0</v>
      </c>
      <c r="D1000" s="1" t="b">
        <f t="shared" si="94"/>
        <v>0</v>
      </c>
      <c r="E1000" s="325">
        <f t="shared" si="95"/>
        <v>0</v>
      </c>
      <c r="H1000" s="1" t="b">
        <f t="shared" si="92"/>
        <v>1</v>
      </c>
      <c r="I1000" s="1">
        <v>0</v>
      </c>
      <c r="K1000" s="1" t="b">
        <v>0</v>
      </c>
    </row>
    <row r="1001" spans="1:11">
      <c r="A1001" s="1" t="s">
        <v>1700</v>
      </c>
      <c r="B1001" s="352">
        <f>报表附注!E1450</f>
        <v>0</v>
      </c>
      <c r="C1001" s="325">
        <f t="shared" si="93"/>
        <v>0</v>
      </c>
      <c r="D1001" s="1" t="b">
        <f t="shared" si="94"/>
        <v>0</v>
      </c>
      <c r="E1001" s="325">
        <f t="shared" si="95"/>
        <v>0</v>
      </c>
      <c r="H1001" s="1" t="b">
        <f t="shared" si="92"/>
        <v>1</v>
      </c>
      <c r="I1001" s="1">
        <v>0</v>
      </c>
      <c r="K1001" s="1" t="b">
        <v>0</v>
      </c>
    </row>
    <row r="1002" spans="1:11">
      <c r="A1002" s="1" t="s">
        <v>907</v>
      </c>
      <c r="B1002" s="352" t="str">
        <f>报表附注!E1451</f>
        <v>三、无形资产减值准备累计金额合计</v>
      </c>
      <c r="C1002" s="325">
        <f t="shared" si="93"/>
        <v>0</v>
      </c>
      <c r="D1002" s="1" t="b">
        <f t="shared" si="94"/>
        <v>1</v>
      </c>
      <c r="E1002" s="325">
        <f t="shared" si="95"/>
        <v>0</v>
      </c>
      <c r="H1002" s="1" t="b">
        <f t="shared" si="92"/>
        <v>0</v>
      </c>
      <c r="I1002" s="1">
        <v>0</v>
      </c>
      <c r="K1002" s="1" t="b">
        <v>0</v>
      </c>
    </row>
    <row r="1003" spans="1:11">
      <c r="A1003" s="1" t="s">
        <v>1687</v>
      </c>
      <c r="B1003" s="352" t="str">
        <f>报表附注!E1452</f>
        <v>1、土地使用权</v>
      </c>
      <c r="C1003" s="325">
        <f t="shared" si="93"/>
        <v>0</v>
      </c>
      <c r="D1003" s="1" t="b">
        <f t="shared" si="94"/>
        <v>0</v>
      </c>
      <c r="E1003" s="325">
        <f t="shared" si="95"/>
        <v>0</v>
      </c>
      <c r="H1003" s="1" t="b">
        <f t="shared" si="92"/>
        <v>0</v>
      </c>
      <c r="I1003" s="1">
        <v>0</v>
      </c>
      <c r="K1003" s="1" t="b">
        <v>0</v>
      </c>
    </row>
    <row r="1004" spans="1:11">
      <c r="A1004" s="1" t="s">
        <v>1688</v>
      </c>
      <c r="B1004" s="352" t="str">
        <f>报表附注!E1453</f>
        <v>2、软件</v>
      </c>
      <c r="C1004" s="325">
        <f t="shared" ref="C1004:C1035" si="96">J996</f>
        <v>0</v>
      </c>
      <c r="D1004" s="1" t="b">
        <f t="shared" si="94"/>
        <v>0</v>
      </c>
      <c r="E1004" s="325">
        <f t="shared" si="95"/>
        <v>0</v>
      </c>
      <c r="H1004" s="1" t="b">
        <f t="shared" si="92"/>
        <v>0</v>
      </c>
      <c r="I1004" s="1">
        <v>0</v>
      </c>
      <c r="K1004" s="1" t="b">
        <v>0</v>
      </c>
    </row>
    <row r="1005" spans="1:11">
      <c r="A1005" s="1" t="s">
        <v>1689</v>
      </c>
      <c r="B1005" s="352" t="str">
        <f>报表附注!E1454</f>
        <v>3、专利权</v>
      </c>
      <c r="C1005" s="325">
        <f t="shared" si="96"/>
        <v>0</v>
      </c>
      <c r="D1005" s="1" t="b">
        <f t="shared" si="94"/>
        <v>0</v>
      </c>
      <c r="E1005" s="325">
        <f t="shared" si="95"/>
        <v>0</v>
      </c>
      <c r="H1005" s="1" t="b">
        <f t="shared" si="92"/>
        <v>0</v>
      </c>
      <c r="I1005" s="1">
        <v>0</v>
      </c>
      <c r="K1005" s="1" t="b">
        <v>0</v>
      </c>
    </row>
    <row r="1006" spans="1:11">
      <c r="A1006" s="1" t="s">
        <v>1690</v>
      </c>
      <c r="B1006" s="352" t="str">
        <f>报表附注!E1455</f>
        <v>4、其它</v>
      </c>
      <c r="C1006" s="325">
        <f t="shared" si="96"/>
        <v>0</v>
      </c>
      <c r="D1006" s="1" t="b">
        <f t="shared" si="94"/>
        <v>0</v>
      </c>
      <c r="E1006" s="325">
        <f t="shared" si="95"/>
        <v>0</v>
      </c>
      <c r="H1006" s="1" t="b">
        <f t="shared" si="92"/>
        <v>0</v>
      </c>
      <c r="I1006" s="1">
        <v>0</v>
      </c>
      <c r="K1006" s="1" t="b">
        <v>0</v>
      </c>
    </row>
    <row r="1007" spans="1:11">
      <c r="A1007" s="1" t="s">
        <v>1691</v>
      </c>
      <c r="B1007" s="352">
        <f>报表附注!E1456</f>
        <v>0</v>
      </c>
      <c r="C1007" s="325">
        <f t="shared" si="96"/>
        <v>0</v>
      </c>
      <c r="D1007" s="1" t="b">
        <f t="shared" si="94"/>
        <v>0</v>
      </c>
      <c r="E1007" s="325">
        <f t="shared" si="95"/>
        <v>0</v>
      </c>
      <c r="H1007" s="1" t="b">
        <f t="shared" si="92"/>
        <v>1</v>
      </c>
      <c r="I1007" s="1">
        <v>0</v>
      </c>
      <c r="K1007" s="1" t="b">
        <v>0</v>
      </c>
    </row>
    <row r="1008" spans="1:11">
      <c r="A1008" s="1" t="s">
        <v>1692</v>
      </c>
      <c r="B1008" s="352">
        <f>报表附注!E1457</f>
        <v>0</v>
      </c>
      <c r="C1008" s="325">
        <f t="shared" si="96"/>
        <v>0</v>
      </c>
      <c r="D1008" s="1" t="b">
        <f t="shared" si="94"/>
        <v>0</v>
      </c>
      <c r="E1008" s="325">
        <f t="shared" si="95"/>
        <v>0</v>
      </c>
      <c r="H1008" s="1" t="b">
        <f t="shared" si="92"/>
        <v>1</v>
      </c>
      <c r="I1008" s="1">
        <v>0</v>
      </c>
      <c r="K1008" s="1" t="b">
        <v>0</v>
      </c>
    </row>
    <row r="1009" spans="1:11">
      <c r="A1009" s="1" t="s">
        <v>1693</v>
      </c>
      <c r="B1009" s="352">
        <f>报表附注!E1458</f>
        <v>0</v>
      </c>
      <c r="C1009" s="325">
        <f t="shared" si="96"/>
        <v>0</v>
      </c>
      <c r="D1009" s="1" t="b">
        <f t="shared" si="94"/>
        <v>0</v>
      </c>
      <c r="E1009" s="325">
        <f t="shared" si="95"/>
        <v>0</v>
      </c>
      <c r="H1009" s="1" t="b">
        <f t="shared" si="92"/>
        <v>0</v>
      </c>
      <c r="I1009" s="1" t="s">
        <v>671</v>
      </c>
      <c r="K1009" s="1" t="b">
        <v>1</v>
      </c>
    </row>
    <row r="1010" spans="1:11">
      <c r="A1010" s="1" t="s">
        <v>1694</v>
      </c>
      <c r="B1010" s="352">
        <f>报表附注!E1459</f>
        <v>0</v>
      </c>
      <c r="C1010" s="325">
        <f t="shared" si="96"/>
        <v>0</v>
      </c>
      <c r="D1010" s="1" t="b">
        <f t="shared" si="94"/>
        <v>0</v>
      </c>
      <c r="E1010" s="325">
        <f t="shared" si="95"/>
        <v>0</v>
      </c>
      <c r="H1010" s="1" t="b">
        <f t="shared" si="92"/>
        <v>0</v>
      </c>
      <c r="I1010" s="1" t="s">
        <v>714</v>
      </c>
      <c r="K1010" s="1" t="b">
        <v>1</v>
      </c>
    </row>
    <row r="1011" spans="1:11">
      <c r="A1011" s="1" t="s">
        <v>1695</v>
      </c>
      <c r="B1011" s="352">
        <f>报表附注!E1460</f>
        <v>0</v>
      </c>
      <c r="C1011" s="325">
        <f t="shared" si="96"/>
        <v>0</v>
      </c>
      <c r="D1011" s="1" t="b">
        <f t="shared" si="94"/>
        <v>0</v>
      </c>
      <c r="E1011" s="325">
        <f t="shared" si="95"/>
        <v>0</v>
      </c>
      <c r="H1011" s="1" t="b">
        <f t="shared" si="92"/>
        <v>0</v>
      </c>
      <c r="I1011" s="1" t="s">
        <v>4578</v>
      </c>
      <c r="K1011" s="1" t="b">
        <v>0</v>
      </c>
    </row>
    <row r="1012" spans="1:11">
      <c r="A1012" s="1" t="s">
        <v>1696</v>
      </c>
      <c r="B1012" s="352">
        <f>报表附注!E1461</f>
        <v>0</v>
      </c>
      <c r="C1012" s="325">
        <f t="shared" si="96"/>
        <v>0</v>
      </c>
      <c r="D1012" s="1" t="b">
        <f t="shared" si="94"/>
        <v>0</v>
      </c>
      <c r="E1012" s="325">
        <f t="shared" si="95"/>
        <v>0</v>
      </c>
      <c r="H1012" s="1" t="b">
        <f t="shared" si="92"/>
        <v>0</v>
      </c>
      <c r="I1012" s="1" t="s">
        <v>4579</v>
      </c>
      <c r="K1012" s="1" t="b">
        <v>0</v>
      </c>
    </row>
    <row r="1013" spans="1:11">
      <c r="A1013" s="1" t="s">
        <v>1697</v>
      </c>
      <c r="B1013" s="352">
        <f>报表附注!E1462</f>
        <v>0</v>
      </c>
      <c r="C1013" s="325">
        <f t="shared" si="96"/>
        <v>0</v>
      </c>
      <c r="D1013" s="1" t="b">
        <f t="shared" si="94"/>
        <v>0</v>
      </c>
      <c r="E1013" s="325">
        <f t="shared" si="95"/>
        <v>0</v>
      </c>
      <c r="H1013" s="1" t="b">
        <f t="shared" si="92"/>
        <v>0</v>
      </c>
      <c r="I1013" s="1" t="s">
        <v>4580</v>
      </c>
      <c r="K1013" s="1" t="b">
        <v>0</v>
      </c>
    </row>
    <row r="1014" spans="1:11">
      <c r="A1014" s="1" t="s">
        <v>1698</v>
      </c>
      <c r="B1014" s="352">
        <f>报表附注!E1463</f>
        <v>0</v>
      </c>
      <c r="C1014" s="325">
        <f t="shared" si="96"/>
        <v>0</v>
      </c>
      <c r="D1014" s="1" t="b">
        <f t="shared" si="94"/>
        <v>0</v>
      </c>
      <c r="E1014" s="325">
        <f t="shared" si="95"/>
        <v>0</v>
      </c>
      <c r="H1014" s="1" t="b">
        <f t="shared" si="92"/>
        <v>0</v>
      </c>
      <c r="I1014" s="1" t="s">
        <v>4581</v>
      </c>
      <c r="K1014" s="1" t="b">
        <v>0</v>
      </c>
    </row>
    <row r="1015" spans="1:11">
      <c r="A1015" s="1" t="s">
        <v>1699</v>
      </c>
      <c r="B1015" s="352">
        <f>报表附注!E1464</f>
        <v>0</v>
      </c>
      <c r="C1015" s="325">
        <f t="shared" si="96"/>
        <v>0</v>
      </c>
      <c r="D1015" s="1" t="b">
        <f t="shared" si="94"/>
        <v>0</v>
      </c>
      <c r="E1015" s="325">
        <f t="shared" si="95"/>
        <v>0</v>
      </c>
      <c r="H1015" s="1" t="b">
        <f t="shared" si="92"/>
        <v>1</v>
      </c>
      <c r="I1015" s="1">
        <v>0</v>
      </c>
      <c r="K1015" s="1" t="b">
        <v>0</v>
      </c>
    </row>
    <row r="1016" spans="1:11">
      <c r="A1016" s="1" t="s">
        <v>1700</v>
      </c>
      <c r="B1016" s="352">
        <f>报表附注!E1465</f>
        <v>0</v>
      </c>
      <c r="C1016" s="325">
        <f t="shared" si="96"/>
        <v>0</v>
      </c>
      <c r="D1016" s="1" t="b">
        <f t="shared" si="94"/>
        <v>0</v>
      </c>
      <c r="E1016" s="325">
        <f t="shared" si="95"/>
        <v>0</v>
      </c>
      <c r="H1016" s="1" t="b">
        <f t="shared" si="92"/>
        <v>1</v>
      </c>
      <c r="I1016" s="1">
        <v>0</v>
      </c>
      <c r="K1016" s="1" t="b">
        <v>0</v>
      </c>
    </row>
    <row r="1017" spans="1:11">
      <c r="A1017" s="1" t="s">
        <v>671</v>
      </c>
      <c r="B1017" s="357" t="s">
        <v>671</v>
      </c>
      <c r="C1017" s="330">
        <f t="shared" si="96"/>
        <v>0</v>
      </c>
      <c r="D1017" s="1" t="b">
        <f t="shared" si="94"/>
        <v>1</v>
      </c>
      <c r="H1017" s="1" t="b">
        <f t="shared" si="92"/>
        <v>0</v>
      </c>
      <c r="I1017" s="1">
        <v>0</v>
      </c>
      <c r="K1017" s="1" t="b">
        <v>0</v>
      </c>
    </row>
    <row r="1018" spans="1:11">
      <c r="A1018" s="1" t="s">
        <v>714</v>
      </c>
      <c r="B1018" s="352" t="str">
        <f>报表附注!E1421</f>
        <v>一、原价合计</v>
      </c>
      <c r="C1018" s="325">
        <f t="shared" si="96"/>
        <v>0</v>
      </c>
      <c r="D1018" s="1" t="b">
        <f t="shared" si="94"/>
        <v>1</v>
      </c>
      <c r="E1018" s="315"/>
      <c r="H1018" s="1" t="b">
        <f t="shared" si="92"/>
        <v>0</v>
      </c>
      <c r="I1018" s="1">
        <v>0</v>
      </c>
      <c r="K1018" s="1" t="b">
        <v>0</v>
      </c>
    </row>
    <row r="1019" spans="1:11">
      <c r="A1019" s="1" t="s">
        <v>1687</v>
      </c>
      <c r="B1019" s="352" t="str">
        <f>报表附注!E1422</f>
        <v>1、土地使用权</v>
      </c>
      <c r="C1019" s="325">
        <f t="shared" si="96"/>
        <v>0</v>
      </c>
      <c r="D1019" s="1" t="b">
        <f t="shared" si="94"/>
        <v>0</v>
      </c>
      <c r="E1019" s="315"/>
      <c r="H1019" s="1" t="b">
        <f t="shared" si="92"/>
        <v>0</v>
      </c>
      <c r="I1019" s="1">
        <v>0</v>
      </c>
      <c r="K1019" s="1" t="b">
        <v>0</v>
      </c>
    </row>
    <row r="1020" spans="1:11">
      <c r="A1020" s="1" t="s">
        <v>1688</v>
      </c>
      <c r="B1020" s="352" t="str">
        <f>报表附注!E1423</f>
        <v>2、软件</v>
      </c>
      <c r="C1020" s="325">
        <f t="shared" si="96"/>
        <v>0</v>
      </c>
      <c r="D1020" s="1" t="b">
        <f t="shared" si="94"/>
        <v>0</v>
      </c>
      <c r="E1020" s="315"/>
      <c r="H1020" s="1" t="b">
        <f t="shared" si="92"/>
        <v>0</v>
      </c>
      <c r="I1020" s="1">
        <v>0</v>
      </c>
      <c r="K1020" s="1" t="b">
        <v>0</v>
      </c>
    </row>
    <row r="1021" spans="1:11">
      <c r="A1021" s="1" t="s">
        <v>1689</v>
      </c>
      <c r="B1021" s="352" t="str">
        <f>报表附注!E1424</f>
        <v>3、专利权</v>
      </c>
      <c r="C1021" s="325">
        <f t="shared" si="96"/>
        <v>0</v>
      </c>
      <c r="D1021" s="1" t="b">
        <f t="shared" si="94"/>
        <v>0</v>
      </c>
      <c r="E1021" s="315"/>
      <c r="H1021" s="1" t="b">
        <f t="shared" si="92"/>
        <v>0</v>
      </c>
      <c r="I1021" s="1">
        <v>0</v>
      </c>
      <c r="K1021" s="1" t="b">
        <v>0</v>
      </c>
    </row>
    <row r="1022" spans="1:11">
      <c r="A1022" s="1" t="s">
        <v>1690</v>
      </c>
      <c r="B1022" s="352" t="str">
        <f>报表附注!E1425</f>
        <v>4、其它</v>
      </c>
      <c r="C1022" s="325">
        <f t="shared" si="96"/>
        <v>0</v>
      </c>
      <c r="D1022" s="1" t="b">
        <f t="shared" si="94"/>
        <v>0</v>
      </c>
      <c r="E1022" s="315"/>
      <c r="H1022" s="1" t="b">
        <f t="shared" si="92"/>
        <v>0</v>
      </c>
      <c r="I1022" s="1">
        <v>0</v>
      </c>
      <c r="K1022" s="1" t="b">
        <v>0</v>
      </c>
    </row>
    <row r="1023" spans="1:11">
      <c r="A1023" s="1" t="s">
        <v>1691</v>
      </c>
      <c r="B1023" s="352">
        <f>报表附注!E1426</f>
        <v>0</v>
      </c>
      <c r="C1023" s="325">
        <f t="shared" si="96"/>
        <v>0</v>
      </c>
      <c r="D1023" s="1" t="b">
        <f t="shared" si="94"/>
        <v>0</v>
      </c>
      <c r="E1023" s="315"/>
      <c r="H1023" s="1" t="b">
        <f t="shared" si="92"/>
        <v>1</v>
      </c>
      <c r="I1023" s="1">
        <v>0</v>
      </c>
      <c r="K1023" s="1" t="b">
        <v>0</v>
      </c>
    </row>
    <row r="1024" spans="1:11">
      <c r="A1024" s="1" t="s">
        <v>1692</v>
      </c>
      <c r="B1024" s="352">
        <f>报表附注!E1427</f>
        <v>0</v>
      </c>
      <c r="C1024" s="325">
        <f t="shared" si="96"/>
        <v>0</v>
      </c>
      <c r="D1024" s="1" t="b">
        <f t="shared" si="94"/>
        <v>0</v>
      </c>
      <c r="E1024" s="315"/>
      <c r="H1024" s="1" t="b">
        <f t="shared" si="92"/>
        <v>1</v>
      </c>
      <c r="I1024" s="1">
        <v>0</v>
      </c>
      <c r="K1024" s="1" t="b">
        <v>0</v>
      </c>
    </row>
    <row r="1025" spans="1:11">
      <c r="A1025" s="1" t="s">
        <v>1693</v>
      </c>
      <c r="B1025" s="352">
        <f>报表附注!E1428</f>
        <v>0</v>
      </c>
      <c r="C1025" s="325">
        <f t="shared" si="96"/>
        <v>0</v>
      </c>
      <c r="D1025" s="1" t="b">
        <f t="shared" si="94"/>
        <v>0</v>
      </c>
      <c r="E1025" s="315"/>
      <c r="H1025" s="1" t="b">
        <f t="shared" si="92"/>
        <v>0</v>
      </c>
      <c r="I1025" s="1" t="s">
        <v>904</v>
      </c>
      <c r="K1025" s="1" t="b">
        <v>1</v>
      </c>
    </row>
    <row r="1026" spans="1:11">
      <c r="A1026" s="1" t="s">
        <v>1694</v>
      </c>
      <c r="B1026" s="352">
        <f>报表附注!E1429</f>
        <v>0</v>
      </c>
      <c r="C1026" s="325">
        <f t="shared" si="96"/>
        <v>0</v>
      </c>
      <c r="D1026" s="1" t="b">
        <f t="shared" si="94"/>
        <v>0</v>
      </c>
      <c r="E1026" s="315"/>
      <c r="H1026" s="1" t="b">
        <f t="shared" si="92"/>
        <v>0</v>
      </c>
      <c r="I1026" s="1" t="s">
        <v>4578</v>
      </c>
      <c r="K1026" s="1" t="b">
        <v>0</v>
      </c>
    </row>
    <row r="1027" spans="1:11">
      <c r="A1027" s="1" t="s">
        <v>1695</v>
      </c>
      <c r="B1027" s="352">
        <f>报表附注!E1430</f>
        <v>0</v>
      </c>
      <c r="C1027" s="325">
        <f t="shared" si="96"/>
        <v>0</v>
      </c>
      <c r="D1027" s="1" t="b">
        <f t="shared" si="94"/>
        <v>0</v>
      </c>
      <c r="E1027" s="315"/>
      <c r="H1027" s="1" t="b">
        <f t="shared" si="92"/>
        <v>0</v>
      </c>
      <c r="I1027" s="1" t="s">
        <v>4579</v>
      </c>
      <c r="K1027" s="1" t="b">
        <v>0</v>
      </c>
    </row>
    <row r="1028" spans="1:11">
      <c r="A1028" s="1" t="s">
        <v>1696</v>
      </c>
      <c r="B1028" s="352">
        <f>报表附注!E1431</f>
        <v>0</v>
      </c>
      <c r="C1028" s="325">
        <f t="shared" si="96"/>
        <v>0</v>
      </c>
      <c r="D1028" s="1" t="b">
        <f t="shared" si="94"/>
        <v>0</v>
      </c>
      <c r="E1028" s="315"/>
      <c r="H1028" s="1" t="b">
        <f t="shared" ref="H1028:H1091" si="97">I1028=B1028</f>
        <v>0</v>
      </c>
      <c r="I1028" s="1" t="s">
        <v>4580</v>
      </c>
      <c r="K1028" s="1" t="b">
        <v>0</v>
      </c>
    </row>
    <row r="1029" spans="1:11">
      <c r="A1029" s="1" t="s">
        <v>1697</v>
      </c>
      <c r="B1029" s="352">
        <f>报表附注!E1432</f>
        <v>0</v>
      </c>
      <c r="C1029" s="325">
        <f t="shared" si="96"/>
        <v>0</v>
      </c>
      <c r="D1029" s="1" t="b">
        <f t="shared" si="94"/>
        <v>0</v>
      </c>
      <c r="E1029" s="315"/>
      <c r="H1029" s="1" t="b">
        <f t="shared" si="97"/>
        <v>0</v>
      </c>
      <c r="I1029" s="1" t="s">
        <v>4581</v>
      </c>
      <c r="K1029" s="1" t="b">
        <v>0</v>
      </c>
    </row>
    <row r="1030" spans="1:11">
      <c r="A1030" s="1" t="s">
        <v>1698</v>
      </c>
      <c r="B1030" s="352">
        <f>报表附注!E1433</f>
        <v>0</v>
      </c>
      <c r="C1030" s="325">
        <f t="shared" si="96"/>
        <v>0</v>
      </c>
      <c r="D1030" s="1" t="b">
        <f t="shared" si="94"/>
        <v>0</v>
      </c>
      <c r="E1030" s="315"/>
      <c r="H1030" s="1" t="b">
        <f t="shared" si="97"/>
        <v>1</v>
      </c>
      <c r="I1030" s="1">
        <v>0</v>
      </c>
      <c r="K1030" s="1" t="b">
        <v>0</v>
      </c>
    </row>
    <row r="1031" spans="1:11">
      <c r="A1031" s="1" t="s">
        <v>1699</v>
      </c>
      <c r="B1031" s="352">
        <f>报表附注!E1434</f>
        <v>0</v>
      </c>
      <c r="C1031" s="325">
        <f t="shared" si="96"/>
        <v>0</v>
      </c>
      <c r="D1031" s="1" t="b">
        <f t="shared" si="94"/>
        <v>0</v>
      </c>
      <c r="E1031" s="315"/>
      <c r="H1031" s="1" t="b">
        <f t="shared" si="97"/>
        <v>1</v>
      </c>
      <c r="I1031" s="1">
        <v>0</v>
      </c>
      <c r="K1031" s="1" t="b">
        <v>0</v>
      </c>
    </row>
    <row r="1032" spans="1:11">
      <c r="A1032" s="1" t="s">
        <v>1700</v>
      </c>
      <c r="B1032" s="352">
        <f>报表附注!E1435</f>
        <v>0</v>
      </c>
      <c r="C1032" s="325">
        <f t="shared" si="96"/>
        <v>0</v>
      </c>
      <c r="D1032" s="1" t="b">
        <f t="shared" si="94"/>
        <v>0</v>
      </c>
      <c r="E1032" s="315"/>
      <c r="H1032" s="1" t="b">
        <f t="shared" si="97"/>
        <v>1</v>
      </c>
      <c r="I1032" s="1">
        <v>0</v>
      </c>
      <c r="K1032" s="1" t="b">
        <v>0</v>
      </c>
    </row>
    <row r="1033" spans="1:11">
      <c r="A1033" s="1" t="s">
        <v>904</v>
      </c>
      <c r="B1033" s="352" t="str">
        <f>报表附注!E1436</f>
        <v>二、累计摊销额合计</v>
      </c>
      <c r="C1033" s="325">
        <f t="shared" si="96"/>
        <v>0</v>
      </c>
      <c r="D1033" s="1" t="b">
        <f t="shared" si="94"/>
        <v>1</v>
      </c>
      <c r="E1033" s="315"/>
      <c r="H1033" s="1" t="b">
        <f t="shared" si="97"/>
        <v>0</v>
      </c>
      <c r="I1033" s="1">
        <v>0</v>
      </c>
      <c r="K1033" s="1" t="b">
        <v>0</v>
      </c>
    </row>
    <row r="1034" spans="1:11">
      <c r="A1034" s="1" t="s">
        <v>1687</v>
      </c>
      <c r="B1034" s="352" t="str">
        <f>报表附注!E1437</f>
        <v>1、土地使用权</v>
      </c>
      <c r="C1034" s="325">
        <f t="shared" si="96"/>
        <v>0</v>
      </c>
      <c r="D1034" s="1" t="b">
        <f t="shared" si="94"/>
        <v>0</v>
      </c>
      <c r="E1034" s="315"/>
      <c r="H1034" s="1" t="b">
        <f t="shared" si="97"/>
        <v>0</v>
      </c>
      <c r="I1034" s="1">
        <v>0</v>
      </c>
      <c r="K1034" s="1" t="b">
        <v>0</v>
      </c>
    </row>
    <row r="1035" spans="1:11">
      <c r="A1035" s="1" t="s">
        <v>1688</v>
      </c>
      <c r="B1035" s="352" t="str">
        <f>报表附注!E1438</f>
        <v>2、软件</v>
      </c>
      <c r="C1035" s="325">
        <f t="shared" si="96"/>
        <v>0</v>
      </c>
      <c r="D1035" s="1" t="b">
        <f t="shared" si="94"/>
        <v>0</v>
      </c>
      <c r="E1035" s="315"/>
      <c r="H1035" s="1" t="b">
        <f t="shared" si="97"/>
        <v>0</v>
      </c>
      <c r="I1035" s="1">
        <v>0</v>
      </c>
      <c r="K1035" s="1" t="b">
        <v>0</v>
      </c>
    </row>
    <row r="1036" spans="1:11">
      <c r="A1036" s="1" t="s">
        <v>1689</v>
      </c>
      <c r="B1036" s="352" t="str">
        <f>报表附注!E1439</f>
        <v>3、专利权</v>
      </c>
      <c r="C1036" s="325">
        <f t="shared" ref="C1036:C1067" si="98">J1028</f>
        <v>0</v>
      </c>
      <c r="D1036" s="1" t="b">
        <f t="shared" ref="D1036:D1099" si="99">EXACT(A1036,B1036)</f>
        <v>0</v>
      </c>
      <c r="E1036" s="315"/>
      <c r="H1036" s="1" t="b">
        <f t="shared" si="97"/>
        <v>0</v>
      </c>
      <c r="I1036" s="1">
        <v>0</v>
      </c>
      <c r="K1036" s="1" t="b">
        <v>0</v>
      </c>
    </row>
    <row r="1037" spans="1:11">
      <c r="A1037" s="1" t="s">
        <v>1690</v>
      </c>
      <c r="B1037" s="352" t="str">
        <f>报表附注!E1440</f>
        <v>4、其它</v>
      </c>
      <c r="C1037" s="325">
        <f t="shared" si="98"/>
        <v>0</v>
      </c>
      <c r="D1037" s="1" t="b">
        <f t="shared" si="99"/>
        <v>0</v>
      </c>
      <c r="E1037" s="315"/>
      <c r="H1037" s="1" t="b">
        <f t="shared" si="97"/>
        <v>0</v>
      </c>
      <c r="I1037" s="1">
        <v>0</v>
      </c>
      <c r="K1037" s="1" t="b">
        <v>0</v>
      </c>
    </row>
    <row r="1038" spans="1:11">
      <c r="A1038" s="1" t="s">
        <v>1691</v>
      </c>
      <c r="B1038" s="352">
        <f>报表附注!E1441</f>
        <v>0</v>
      </c>
      <c r="C1038" s="325">
        <f t="shared" si="98"/>
        <v>0</v>
      </c>
      <c r="D1038" s="1" t="b">
        <f t="shared" si="99"/>
        <v>0</v>
      </c>
      <c r="E1038" s="315"/>
      <c r="H1038" s="1" t="b">
        <f t="shared" si="97"/>
        <v>1</v>
      </c>
      <c r="I1038" s="1">
        <v>0</v>
      </c>
      <c r="K1038" s="1" t="b">
        <v>0</v>
      </c>
    </row>
    <row r="1039" spans="1:11">
      <c r="A1039" s="1" t="s">
        <v>1692</v>
      </c>
      <c r="B1039" s="352">
        <f>报表附注!E1442</f>
        <v>0</v>
      </c>
      <c r="C1039" s="325">
        <f t="shared" si="98"/>
        <v>0</v>
      </c>
      <c r="D1039" s="1" t="b">
        <f t="shared" si="99"/>
        <v>0</v>
      </c>
      <c r="E1039" s="315"/>
      <c r="H1039" s="1" t="b">
        <f t="shared" si="97"/>
        <v>1</v>
      </c>
      <c r="I1039" s="1">
        <v>0</v>
      </c>
      <c r="K1039" s="1" t="b">
        <v>0</v>
      </c>
    </row>
    <row r="1040" spans="1:11">
      <c r="A1040" s="1" t="s">
        <v>1693</v>
      </c>
      <c r="B1040" s="352">
        <f>报表附注!E1443</f>
        <v>0</v>
      </c>
      <c r="C1040" s="325">
        <f t="shared" si="98"/>
        <v>0</v>
      </c>
      <c r="D1040" s="1" t="b">
        <f t="shared" si="99"/>
        <v>0</v>
      </c>
      <c r="E1040" s="315"/>
      <c r="H1040" s="1" t="b">
        <f t="shared" si="97"/>
        <v>0</v>
      </c>
      <c r="I1040" s="1" t="s">
        <v>907</v>
      </c>
      <c r="K1040" s="1" t="b">
        <v>1</v>
      </c>
    </row>
    <row r="1041" spans="1:11">
      <c r="A1041" s="1" t="s">
        <v>1694</v>
      </c>
      <c r="B1041" s="352">
        <f>报表附注!E1444</f>
        <v>0</v>
      </c>
      <c r="C1041" s="325">
        <f t="shared" si="98"/>
        <v>0</v>
      </c>
      <c r="D1041" s="1" t="b">
        <f t="shared" si="99"/>
        <v>0</v>
      </c>
      <c r="E1041" s="315"/>
      <c r="H1041" s="1" t="b">
        <f t="shared" si="97"/>
        <v>0</v>
      </c>
      <c r="I1041" s="1" t="s">
        <v>4578</v>
      </c>
      <c r="K1041" s="1" t="b">
        <v>0</v>
      </c>
    </row>
    <row r="1042" spans="1:11">
      <c r="A1042" s="1" t="s">
        <v>1695</v>
      </c>
      <c r="B1042" s="352">
        <f>报表附注!E1445</f>
        <v>0</v>
      </c>
      <c r="C1042" s="325">
        <f t="shared" si="98"/>
        <v>0</v>
      </c>
      <c r="D1042" s="1" t="b">
        <f t="shared" si="99"/>
        <v>0</v>
      </c>
      <c r="E1042" s="315"/>
      <c r="H1042" s="1" t="b">
        <f t="shared" si="97"/>
        <v>0</v>
      </c>
      <c r="I1042" s="1" t="s">
        <v>4579</v>
      </c>
      <c r="K1042" s="1" t="b">
        <v>0</v>
      </c>
    </row>
    <row r="1043" spans="1:11">
      <c r="A1043" s="1" t="s">
        <v>1696</v>
      </c>
      <c r="B1043" s="352">
        <f>报表附注!E1446</f>
        <v>0</v>
      </c>
      <c r="C1043" s="325">
        <f t="shared" si="98"/>
        <v>0</v>
      </c>
      <c r="D1043" s="1" t="b">
        <f t="shared" si="99"/>
        <v>0</v>
      </c>
      <c r="E1043" s="315"/>
      <c r="H1043" s="1" t="b">
        <f t="shared" si="97"/>
        <v>0</v>
      </c>
      <c r="I1043" s="1" t="s">
        <v>4580</v>
      </c>
      <c r="K1043" s="1" t="b">
        <v>0</v>
      </c>
    </row>
    <row r="1044" spans="1:11">
      <c r="A1044" s="1" t="s">
        <v>1697</v>
      </c>
      <c r="B1044" s="352">
        <f>报表附注!E1447</f>
        <v>0</v>
      </c>
      <c r="C1044" s="325">
        <f t="shared" si="98"/>
        <v>0</v>
      </c>
      <c r="D1044" s="1" t="b">
        <f t="shared" si="99"/>
        <v>0</v>
      </c>
      <c r="E1044" s="315"/>
      <c r="H1044" s="1" t="b">
        <f t="shared" si="97"/>
        <v>0</v>
      </c>
      <c r="I1044" s="1" t="s">
        <v>4581</v>
      </c>
      <c r="K1044" s="1" t="b">
        <v>0</v>
      </c>
    </row>
    <row r="1045" spans="1:11">
      <c r="A1045" s="1" t="s">
        <v>1698</v>
      </c>
      <c r="B1045" s="352">
        <f>报表附注!E1448</f>
        <v>0</v>
      </c>
      <c r="C1045" s="325">
        <f t="shared" si="98"/>
        <v>0</v>
      </c>
      <c r="D1045" s="1" t="b">
        <f t="shared" si="99"/>
        <v>0</v>
      </c>
      <c r="E1045" s="315"/>
      <c r="H1045" s="1" t="b">
        <f t="shared" si="97"/>
        <v>1</v>
      </c>
      <c r="I1045" s="1">
        <v>0</v>
      </c>
      <c r="K1045" s="1" t="b">
        <v>0</v>
      </c>
    </row>
    <row r="1046" spans="1:11">
      <c r="A1046" s="1" t="s">
        <v>1699</v>
      </c>
      <c r="B1046" s="352">
        <f>报表附注!E1449</f>
        <v>0</v>
      </c>
      <c r="C1046" s="325">
        <f t="shared" si="98"/>
        <v>0</v>
      </c>
      <c r="D1046" s="1" t="b">
        <f t="shared" si="99"/>
        <v>0</v>
      </c>
      <c r="E1046" s="315"/>
      <c r="H1046" s="1" t="b">
        <f t="shared" si="97"/>
        <v>1</v>
      </c>
      <c r="I1046" s="1">
        <v>0</v>
      </c>
      <c r="K1046" s="1" t="b">
        <v>0</v>
      </c>
    </row>
    <row r="1047" spans="1:11">
      <c r="A1047" s="1" t="s">
        <v>1700</v>
      </c>
      <c r="B1047" s="352">
        <f>报表附注!E1450</f>
        <v>0</v>
      </c>
      <c r="C1047" s="325">
        <f t="shared" si="98"/>
        <v>0</v>
      </c>
      <c r="D1047" s="1" t="b">
        <f t="shared" si="99"/>
        <v>0</v>
      </c>
      <c r="E1047" s="315"/>
      <c r="H1047" s="1" t="b">
        <f t="shared" si="97"/>
        <v>1</v>
      </c>
      <c r="I1047" s="1">
        <v>0</v>
      </c>
      <c r="K1047" s="1" t="b">
        <v>0</v>
      </c>
    </row>
    <row r="1048" spans="1:11">
      <c r="A1048" s="1" t="s">
        <v>907</v>
      </c>
      <c r="B1048" s="352" t="str">
        <f>报表附注!E1451</f>
        <v>三、无形资产减值准备累计金额合计</v>
      </c>
      <c r="C1048" s="325">
        <f t="shared" si="98"/>
        <v>0</v>
      </c>
      <c r="D1048" s="1" t="b">
        <f t="shared" si="99"/>
        <v>1</v>
      </c>
      <c r="E1048" s="315"/>
      <c r="H1048" s="1" t="b">
        <f t="shared" si="97"/>
        <v>0</v>
      </c>
      <c r="I1048" s="1">
        <v>0</v>
      </c>
      <c r="K1048" s="1" t="b">
        <v>0</v>
      </c>
    </row>
    <row r="1049" spans="1:11">
      <c r="A1049" s="1" t="s">
        <v>1687</v>
      </c>
      <c r="B1049" s="352" t="str">
        <f>报表附注!E1452</f>
        <v>1、土地使用权</v>
      </c>
      <c r="C1049" s="325">
        <f t="shared" si="98"/>
        <v>0</v>
      </c>
      <c r="D1049" s="1" t="b">
        <f t="shared" si="99"/>
        <v>0</v>
      </c>
      <c r="E1049" s="315"/>
      <c r="H1049" s="1" t="b">
        <f t="shared" si="97"/>
        <v>0</v>
      </c>
      <c r="I1049" s="1">
        <v>0</v>
      </c>
      <c r="K1049" s="1" t="b">
        <v>0</v>
      </c>
    </row>
    <row r="1050" spans="1:11">
      <c r="A1050" s="1" t="s">
        <v>1688</v>
      </c>
      <c r="B1050" s="352" t="str">
        <f>报表附注!E1453</f>
        <v>2、软件</v>
      </c>
      <c r="C1050" s="325">
        <f t="shared" si="98"/>
        <v>0</v>
      </c>
      <c r="D1050" s="1" t="b">
        <f t="shared" si="99"/>
        <v>0</v>
      </c>
      <c r="E1050" s="315"/>
      <c r="H1050" s="1" t="b">
        <f t="shared" si="97"/>
        <v>0</v>
      </c>
      <c r="I1050" s="1">
        <v>0</v>
      </c>
      <c r="K1050" s="1" t="b">
        <v>0</v>
      </c>
    </row>
    <row r="1051" spans="1:11">
      <c r="A1051" s="1" t="s">
        <v>1689</v>
      </c>
      <c r="B1051" s="352" t="str">
        <f>报表附注!E1454</f>
        <v>3、专利权</v>
      </c>
      <c r="C1051" s="325">
        <f t="shared" si="98"/>
        <v>0</v>
      </c>
      <c r="D1051" s="1" t="b">
        <f t="shared" si="99"/>
        <v>0</v>
      </c>
      <c r="E1051" s="315"/>
      <c r="H1051" s="1" t="b">
        <f t="shared" si="97"/>
        <v>0</v>
      </c>
      <c r="I1051" s="1">
        <v>0</v>
      </c>
      <c r="K1051" s="1" t="b">
        <v>0</v>
      </c>
    </row>
    <row r="1052" spans="1:11">
      <c r="A1052" s="1" t="s">
        <v>1690</v>
      </c>
      <c r="B1052" s="352" t="str">
        <f>报表附注!E1455</f>
        <v>4、其它</v>
      </c>
      <c r="C1052" s="325">
        <f t="shared" si="98"/>
        <v>0</v>
      </c>
      <c r="D1052" s="1" t="b">
        <f t="shared" si="99"/>
        <v>0</v>
      </c>
      <c r="E1052" s="315"/>
      <c r="H1052" s="1" t="b">
        <f t="shared" si="97"/>
        <v>0</v>
      </c>
      <c r="I1052" s="1">
        <v>0</v>
      </c>
      <c r="K1052" s="1" t="b">
        <v>0</v>
      </c>
    </row>
    <row r="1053" spans="1:11">
      <c r="A1053" s="1" t="s">
        <v>1691</v>
      </c>
      <c r="B1053" s="352">
        <f>报表附注!E1456</f>
        <v>0</v>
      </c>
      <c r="C1053" s="325">
        <f t="shared" si="98"/>
        <v>0</v>
      </c>
      <c r="D1053" s="1" t="b">
        <f t="shared" si="99"/>
        <v>0</v>
      </c>
      <c r="E1053" s="315"/>
      <c r="H1053" s="1" t="b">
        <f t="shared" si="97"/>
        <v>1</v>
      </c>
      <c r="I1053" s="1">
        <v>0</v>
      </c>
      <c r="K1053" s="1" t="b">
        <v>0</v>
      </c>
    </row>
    <row r="1054" spans="1:11">
      <c r="A1054" s="1" t="s">
        <v>1692</v>
      </c>
      <c r="B1054" s="352">
        <f>报表附注!E1457</f>
        <v>0</v>
      </c>
      <c r="C1054" s="325">
        <f t="shared" si="98"/>
        <v>0</v>
      </c>
      <c r="D1054" s="1" t="b">
        <f t="shared" si="99"/>
        <v>0</v>
      </c>
      <c r="E1054" s="315"/>
      <c r="H1054" s="1" t="b">
        <f t="shared" si="97"/>
        <v>1</v>
      </c>
      <c r="I1054" s="1">
        <v>0</v>
      </c>
      <c r="K1054" s="1" t="b">
        <v>0</v>
      </c>
    </row>
    <row r="1055" spans="1:11">
      <c r="A1055" s="1" t="s">
        <v>1693</v>
      </c>
      <c r="B1055" s="352">
        <f>报表附注!E1458</f>
        <v>0</v>
      </c>
      <c r="C1055" s="325">
        <f t="shared" si="98"/>
        <v>0</v>
      </c>
      <c r="D1055" s="1" t="b">
        <f t="shared" si="99"/>
        <v>0</v>
      </c>
      <c r="E1055" s="315"/>
      <c r="H1055" s="1" t="b">
        <f t="shared" si="97"/>
        <v>0</v>
      </c>
      <c r="I1055" s="1" t="s">
        <v>672</v>
      </c>
      <c r="K1055" s="1" t="b">
        <v>1</v>
      </c>
    </row>
    <row r="1056" spans="1:11">
      <c r="A1056" s="1" t="s">
        <v>1694</v>
      </c>
      <c r="B1056" s="352">
        <f>报表附注!E1459</f>
        <v>0</v>
      </c>
      <c r="C1056" s="325">
        <f t="shared" si="98"/>
        <v>0</v>
      </c>
      <c r="D1056" s="1" t="b">
        <f t="shared" si="99"/>
        <v>0</v>
      </c>
      <c r="E1056" s="315"/>
      <c r="H1056" s="1" t="b">
        <f t="shared" si="97"/>
        <v>0</v>
      </c>
      <c r="I1056" s="1" t="s">
        <v>714</v>
      </c>
      <c r="K1056" s="1" t="b">
        <v>1</v>
      </c>
    </row>
    <row r="1057" spans="1:11">
      <c r="A1057" s="1" t="s">
        <v>1695</v>
      </c>
      <c r="B1057" s="352">
        <f>报表附注!E1460</f>
        <v>0</v>
      </c>
      <c r="C1057" s="325">
        <f t="shared" si="98"/>
        <v>0</v>
      </c>
      <c r="D1057" s="1" t="b">
        <f t="shared" si="99"/>
        <v>0</v>
      </c>
      <c r="E1057" s="315"/>
      <c r="H1057" s="1" t="b">
        <f t="shared" si="97"/>
        <v>0</v>
      </c>
      <c r="I1057" s="1" t="s">
        <v>4578</v>
      </c>
      <c r="K1057" s="1" t="b">
        <v>0</v>
      </c>
    </row>
    <row r="1058" spans="1:11">
      <c r="A1058" s="1" t="s">
        <v>1696</v>
      </c>
      <c r="B1058" s="352">
        <f>报表附注!E1461</f>
        <v>0</v>
      </c>
      <c r="C1058" s="325">
        <f t="shared" si="98"/>
        <v>0</v>
      </c>
      <c r="D1058" s="1" t="b">
        <f t="shared" si="99"/>
        <v>0</v>
      </c>
      <c r="E1058" s="315"/>
      <c r="H1058" s="1" t="b">
        <f t="shared" si="97"/>
        <v>0</v>
      </c>
      <c r="I1058" s="1" t="s">
        <v>4579</v>
      </c>
      <c r="K1058" s="1" t="b">
        <v>0</v>
      </c>
    </row>
    <row r="1059" spans="1:11">
      <c r="A1059" s="1" t="s">
        <v>1697</v>
      </c>
      <c r="B1059" s="352">
        <f>报表附注!E1462</f>
        <v>0</v>
      </c>
      <c r="C1059" s="325">
        <f t="shared" si="98"/>
        <v>0</v>
      </c>
      <c r="D1059" s="1" t="b">
        <f t="shared" si="99"/>
        <v>0</v>
      </c>
      <c r="E1059" s="315"/>
      <c r="H1059" s="1" t="b">
        <f t="shared" si="97"/>
        <v>0</v>
      </c>
      <c r="I1059" s="1" t="s">
        <v>4580</v>
      </c>
      <c r="K1059" s="1" t="b">
        <v>0</v>
      </c>
    </row>
    <row r="1060" spans="1:11">
      <c r="A1060" s="1" t="s">
        <v>1698</v>
      </c>
      <c r="B1060" s="352">
        <f>报表附注!E1463</f>
        <v>0</v>
      </c>
      <c r="C1060" s="325">
        <f t="shared" si="98"/>
        <v>0</v>
      </c>
      <c r="D1060" s="1" t="b">
        <f t="shared" si="99"/>
        <v>0</v>
      </c>
      <c r="E1060" s="315"/>
      <c r="H1060" s="1" t="b">
        <f t="shared" si="97"/>
        <v>0</v>
      </c>
      <c r="I1060" s="1" t="s">
        <v>4581</v>
      </c>
      <c r="K1060" s="1" t="b">
        <v>0</v>
      </c>
    </row>
    <row r="1061" spans="1:11">
      <c r="A1061" s="1" t="s">
        <v>1699</v>
      </c>
      <c r="B1061" s="352">
        <f>报表附注!E1464</f>
        <v>0</v>
      </c>
      <c r="C1061" s="325">
        <f t="shared" si="98"/>
        <v>0</v>
      </c>
      <c r="D1061" s="1" t="b">
        <f t="shared" si="99"/>
        <v>0</v>
      </c>
      <c r="E1061" s="315"/>
      <c r="H1061" s="1" t="b">
        <f t="shared" si="97"/>
        <v>1</v>
      </c>
      <c r="I1061" s="1">
        <v>0</v>
      </c>
      <c r="K1061" s="1" t="b">
        <v>0</v>
      </c>
    </row>
    <row r="1062" spans="1:11">
      <c r="A1062" s="1" t="s">
        <v>1700</v>
      </c>
      <c r="B1062" s="352">
        <f>报表附注!E1465</f>
        <v>0</v>
      </c>
      <c r="C1062" s="325">
        <f t="shared" si="98"/>
        <v>0</v>
      </c>
      <c r="D1062" s="1" t="b">
        <f t="shared" si="99"/>
        <v>0</v>
      </c>
      <c r="E1062" s="315"/>
      <c r="H1062" s="1" t="b">
        <f t="shared" si="97"/>
        <v>1</v>
      </c>
      <c r="I1062" s="1">
        <v>0</v>
      </c>
      <c r="K1062" s="1" t="b">
        <v>0</v>
      </c>
    </row>
    <row r="1063" spans="1:11">
      <c r="A1063" s="1" t="s">
        <v>672</v>
      </c>
      <c r="B1063" s="357" t="s">
        <v>672</v>
      </c>
      <c r="C1063" s="330">
        <f t="shared" si="98"/>
        <v>0</v>
      </c>
      <c r="D1063" s="1" t="b">
        <f t="shared" si="99"/>
        <v>1</v>
      </c>
      <c r="E1063" s="311"/>
      <c r="H1063" s="1" t="b">
        <f t="shared" si="97"/>
        <v>0</v>
      </c>
      <c r="I1063" s="1">
        <v>0</v>
      </c>
      <c r="K1063" s="1" t="b">
        <v>0</v>
      </c>
    </row>
    <row r="1064" spans="1:11">
      <c r="A1064" s="1" t="s">
        <v>714</v>
      </c>
      <c r="B1064" s="352" t="str">
        <f>报表附注!E1421</f>
        <v>一、原价合计</v>
      </c>
      <c r="C1064" s="325">
        <f t="shared" si="98"/>
        <v>0</v>
      </c>
      <c r="D1064" s="1" t="b">
        <f t="shared" si="99"/>
        <v>1</v>
      </c>
      <c r="E1064" s="315"/>
      <c r="H1064" s="1" t="b">
        <f t="shared" si="97"/>
        <v>0</v>
      </c>
      <c r="I1064" s="1">
        <v>0</v>
      </c>
      <c r="K1064" s="1" t="b">
        <v>0</v>
      </c>
    </row>
    <row r="1065" spans="1:11">
      <c r="A1065" s="1" t="s">
        <v>1687</v>
      </c>
      <c r="B1065" s="352" t="str">
        <f>报表附注!E1422</f>
        <v>1、土地使用权</v>
      </c>
      <c r="C1065" s="325">
        <f t="shared" si="98"/>
        <v>0</v>
      </c>
      <c r="D1065" s="1" t="b">
        <f t="shared" si="99"/>
        <v>0</v>
      </c>
      <c r="E1065" s="315"/>
      <c r="H1065" s="1" t="b">
        <f t="shared" si="97"/>
        <v>0</v>
      </c>
      <c r="I1065" s="1">
        <v>0</v>
      </c>
      <c r="K1065" s="1" t="b">
        <v>0</v>
      </c>
    </row>
    <row r="1066" spans="1:11">
      <c r="A1066" s="1" t="s">
        <v>1688</v>
      </c>
      <c r="B1066" s="352" t="str">
        <f>报表附注!E1423</f>
        <v>2、软件</v>
      </c>
      <c r="C1066" s="325">
        <f t="shared" si="98"/>
        <v>0</v>
      </c>
      <c r="D1066" s="1" t="b">
        <f t="shared" si="99"/>
        <v>0</v>
      </c>
      <c r="E1066" s="315"/>
      <c r="H1066" s="1" t="b">
        <f t="shared" si="97"/>
        <v>0</v>
      </c>
      <c r="I1066" s="1">
        <v>0</v>
      </c>
      <c r="K1066" s="1" t="b">
        <v>0</v>
      </c>
    </row>
    <row r="1067" spans="1:11">
      <c r="A1067" s="1" t="s">
        <v>1689</v>
      </c>
      <c r="B1067" s="352" t="str">
        <f>报表附注!E1424</f>
        <v>3、专利权</v>
      </c>
      <c r="C1067" s="325">
        <f t="shared" si="98"/>
        <v>0</v>
      </c>
      <c r="D1067" s="1" t="b">
        <f t="shared" si="99"/>
        <v>0</v>
      </c>
      <c r="E1067" s="315"/>
      <c r="H1067" s="1" t="b">
        <f t="shared" si="97"/>
        <v>0</v>
      </c>
      <c r="I1067" s="1">
        <v>0</v>
      </c>
      <c r="K1067" s="1" t="b">
        <v>0</v>
      </c>
    </row>
    <row r="1068" spans="1:11">
      <c r="A1068" s="1" t="s">
        <v>1690</v>
      </c>
      <c r="B1068" s="352" t="str">
        <f>报表附注!E1425</f>
        <v>4、其它</v>
      </c>
      <c r="C1068" s="325">
        <f t="shared" ref="C1068:C1099" si="100">J1060</f>
        <v>0</v>
      </c>
      <c r="D1068" s="1" t="b">
        <f t="shared" si="99"/>
        <v>0</v>
      </c>
      <c r="E1068" s="315"/>
      <c r="H1068" s="1" t="b">
        <f t="shared" si="97"/>
        <v>0</v>
      </c>
      <c r="I1068" s="1">
        <v>0</v>
      </c>
      <c r="K1068" s="1" t="b">
        <v>0</v>
      </c>
    </row>
    <row r="1069" spans="1:11">
      <c r="A1069" s="1" t="s">
        <v>1691</v>
      </c>
      <c r="B1069" s="352">
        <f>报表附注!E1426</f>
        <v>0</v>
      </c>
      <c r="C1069" s="325">
        <f t="shared" si="100"/>
        <v>0</v>
      </c>
      <c r="D1069" s="1" t="b">
        <f t="shared" si="99"/>
        <v>0</v>
      </c>
      <c r="E1069" s="315"/>
      <c r="H1069" s="1" t="b">
        <f t="shared" si="97"/>
        <v>1</v>
      </c>
      <c r="I1069" s="1">
        <v>0</v>
      </c>
      <c r="K1069" s="1" t="b">
        <v>0</v>
      </c>
    </row>
    <row r="1070" spans="1:11">
      <c r="A1070" s="1" t="s">
        <v>1692</v>
      </c>
      <c r="B1070" s="352">
        <f>报表附注!E1427</f>
        <v>0</v>
      </c>
      <c r="C1070" s="325">
        <f t="shared" si="100"/>
        <v>0</v>
      </c>
      <c r="D1070" s="1" t="b">
        <f t="shared" si="99"/>
        <v>0</v>
      </c>
      <c r="E1070" s="315"/>
      <c r="H1070" s="1" t="b">
        <f t="shared" si="97"/>
        <v>1</v>
      </c>
      <c r="I1070" s="1">
        <v>0</v>
      </c>
      <c r="K1070" s="1" t="b">
        <v>0</v>
      </c>
    </row>
    <row r="1071" spans="1:11">
      <c r="A1071" s="1" t="s">
        <v>1693</v>
      </c>
      <c r="B1071" s="352">
        <f>报表附注!E1428</f>
        <v>0</v>
      </c>
      <c r="C1071" s="325">
        <f t="shared" si="100"/>
        <v>0</v>
      </c>
      <c r="D1071" s="1" t="b">
        <f t="shared" si="99"/>
        <v>0</v>
      </c>
      <c r="E1071" s="315"/>
      <c r="H1071" s="1" t="b">
        <f t="shared" si="97"/>
        <v>0</v>
      </c>
      <c r="I1071" s="1" t="s">
        <v>904</v>
      </c>
      <c r="K1071" s="1" t="b">
        <v>1</v>
      </c>
    </row>
    <row r="1072" spans="1:11">
      <c r="A1072" s="1" t="s">
        <v>1694</v>
      </c>
      <c r="B1072" s="352">
        <f>报表附注!E1429</f>
        <v>0</v>
      </c>
      <c r="C1072" s="325">
        <f t="shared" si="100"/>
        <v>0</v>
      </c>
      <c r="D1072" s="1" t="b">
        <f t="shared" si="99"/>
        <v>0</v>
      </c>
      <c r="E1072" s="315"/>
      <c r="H1072" s="1" t="b">
        <f t="shared" si="97"/>
        <v>0</v>
      </c>
      <c r="I1072" s="1" t="s">
        <v>4578</v>
      </c>
      <c r="K1072" s="1" t="b">
        <v>0</v>
      </c>
    </row>
    <row r="1073" spans="1:11">
      <c r="A1073" s="1" t="s">
        <v>1695</v>
      </c>
      <c r="B1073" s="352">
        <f>报表附注!E1430</f>
        <v>0</v>
      </c>
      <c r="C1073" s="325">
        <f t="shared" si="100"/>
        <v>0</v>
      </c>
      <c r="D1073" s="1" t="b">
        <f t="shared" si="99"/>
        <v>0</v>
      </c>
      <c r="E1073" s="315"/>
      <c r="H1073" s="1" t="b">
        <f t="shared" si="97"/>
        <v>0</v>
      </c>
      <c r="I1073" s="1" t="s">
        <v>4579</v>
      </c>
      <c r="K1073" s="1" t="b">
        <v>0</v>
      </c>
    </row>
    <row r="1074" spans="1:11">
      <c r="A1074" s="1" t="s">
        <v>1696</v>
      </c>
      <c r="B1074" s="352">
        <f>报表附注!E1431</f>
        <v>0</v>
      </c>
      <c r="C1074" s="325">
        <f t="shared" si="100"/>
        <v>0</v>
      </c>
      <c r="D1074" s="1" t="b">
        <f t="shared" si="99"/>
        <v>0</v>
      </c>
      <c r="E1074" s="315"/>
      <c r="H1074" s="1" t="b">
        <f t="shared" si="97"/>
        <v>0</v>
      </c>
      <c r="I1074" s="1" t="s">
        <v>4580</v>
      </c>
      <c r="K1074" s="1" t="b">
        <v>0</v>
      </c>
    </row>
    <row r="1075" spans="1:11">
      <c r="A1075" s="1" t="s">
        <v>1697</v>
      </c>
      <c r="B1075" s="352">
        <f>报表附注!E1432</f>
        <v>0</v>
      </c>
      <c r="C1075" s="325">
        <f t="shared" si="100"/>
        <v>0</v>
      </c>
      <c r="D1075" s="1" t="b">
        <f t="shared" si="99"/>
        <v>0</v>
      </c>
      <c r="E1075" s="315"/>
      <c r="H1075" s="1" t="b">
        <f t="shared" si="97"/>
        <v>0</v>
      </c>
      <c r="I1075" s="1" t="s">
        <v>4581</v>
      </c>
      <c r="K1075" s="1" t="b">
        <v>0</v>
      </c>
    </row>
    <row r="1076" spans="1:11">
      <c r="A1076" s="1" t="s">
        <v>1698</v>
      </c>
      <c r="B1076" s="352">
        <f>报表附注!E1433</f>
        <v>0</v>
      </c>
      <c r="C1076" s="325">
        <f t="shared" si="100"/>
        <v>0</v>
      </c>
      <c r="D1076" s="1" t="b">
        <f t="shared" si="99"/>
        <v>0</v>
      </c>
      <c r="E1076" s="315"/>
      <c r="H1076" s="1" t="b">
        <f t="shared" si="97"/>
        <v>1</v>
      </c>
      <c r="I1076" s="1">
        <v>0</v>
      </c>
      <c r="K1076" s="1" t="b">
        <v>0</v>
      </c>
    </row>
    <row r="1077" spans="1:11">
      <c r="A1077" s="1" t="s">
        <v>1699</v>
      </c>
      <c r="B1077" s="352">
        <f>报表附注!E1434</f>
        <v>0</v>
      </c>
      <c r="C1077" s="325">
        <f t="shared" si="100"/>
        <v>0</v>
      </c>
      <c r="D1077" s="1" t="b">
        <f t="shared" si="99"/>
        <v>0</v>
      </c>
      <c r="E1077" s="315"/>
      <c r="H1077" s="1" t="b">
        <f t="shared" si="97"/>
        <v>1</v>
      </c>
      <c r="I1077" s="1">
        <v>0</v>
      </c>
      <c r="K1077" s="1" t="b">
        <v>0</v>
      </c>
    </row>
    <row r="1078" spans="1:11">
      <c r="A1078" s="1" t="s">
        <v>1700</v>
      </c>
      <c r="B1078" s="352">
        <f>报表附注!E1435</f>
        <v>0</v>
      </c>
      <c r="C1078" s="325">
        <f t="shared" si="100"/>
        <v>0</v>
      </c>
      <c r="D1078" s="1" t="b">
        <f t="shared" si="99"/>
        <v>0</v>
      </c>
      <c r="E1078" s="315"/>
      <c r="H1078" s="1" t="b">
        <f t="shared" si="97"/>
        <v>1</v>
      </c>
      <c r="I1078" s="1">
        <v>0</v>
      </c>
      <c r="K1078" s="1" t="b">
        <v>0</v>
      </c>
    </row>
    <row r="1079" spans="1:11">
      <c r="A1079" s="1" t="s">
        <v>904</v>
      </c>
      <c r="B1079" s="352" t="str">
        <f>报表附注!E1436</f>
        <v>二、累计摊销额合计</v>
      </c>
      <c r="C1079" s="325">
        <f t="shared" si="100"/>
        <v>0</v>
      </c>
      <c r="D1079" s="1" t="b">
        <f t="shared" si="99"/>
        <v>1</v>
      </c>
      <c r="E1079" s="315"/>
      <c r="H1079" s="1" t="b">
        <f t="shared" si="97"/>
        <v>0</v>
      </c>
      <c r="I1079" s="1">
        <v>0</v>
      </c>
      <c r="K1079" s="1" t="b">
        <v>0</v>
      </c>
    </row>
    <row r="1080" spans="1:11">
      <c r="A1080" s="1" t="s">
        <v>1687</v>
      </c>
      <c r="B1080" s="352" t="str">
        <f>报表附注!E1437</f>
        <v>1、土地使用权</v>
      </c>
      <c r="C1080" s="325">
        <f t="shared" si="100"/>
        <v>0</v>
      </c>
      <c r="D1080" s="1" t="b">
        <f t="shared" si="99"/>
        <v>0</v>
      </c>
      <c r="E1080" s="315"/>
      <c r="H1080" s="1" t="b">
        <f t="shared" si="97"/>
        <v>0</v>
      </c>
      <c r="I1080" s="1">
        <v>0</v>
      </c>
      <c r="K1080" s="1" t="b">
        <v>0</v>
      </c>
    </row>
    <row r="1081" spans="1:11">
      <c r="A1081" s="1" t="s">
        <v>1688</v>
      </c>
      <c r="B1081" s="352" t="str">
        <f>报表附注!E1438</f>
        <v>2、软件</v>
      </c>
      <c r="C1081" s="325">
        <f t="shared" si="100"/>
        <v>0</v>
      </c>
      <c r="D1081" s="1" t="b">
        <f t="shared" si="99"/>
        <v>0</v>
      </c>
      <c r="E1081" s="315"/>
      <c r="H1081" s="1" t="b">
        <f t="shared" si="97"/>
        <v>0</v>
      </c>
      <c r="I1081" s="1">
        <v>0</v>
      </c>
      <c r="K1081" s="1" t="b">
        <v>0</v>
      </c>
    </row>
    <row r="1082" spans="1:11">
      <c r="A1082" s="1" t="s">
        <v>1689</v>
      </c>
      <c r="B1082" s="352" t="str">
        <f>报表附注!E1439</f>
        <v>3、专利权</v>
      </c>
      <c r="C1082" s="325">
        <f t="shared" si="100"/>
        <v>0</v>
      </c>
      <c r="D1082" s="1" t="b">
        <f t="shared" si="99"/>
        <v>0</v>
      </c>
      <c r="E1082" s="315"/>
      <c r="H1082" s="1" t="b">
        <f t="shared" si="97"/>
        <v>0</v>
      </c>
      <c r="I1082" s="1">
        <v>0</v>
      </c>
      <c r="K1082" s="1" t="b">
        <v>0</v>
      </c>
    </row>
    <row r="1083" spans="1:11">
      <c r="A1083" s="1" t="s">
        <v>1690</v>
      </c>
      <c r="B1083" s="352" t="str">
        <f>报表附注!E1440</f>
        <v>4、其它</v>
      </c>
      <c r="C1083" s="325">
        <f t="shared" si="100"/>
        <v>0</v>
      </c>
      <c r="D1083" s="1" t="b">
        <f t="shared" si="99"/>
        <v>0</v>
      </c>
      <c r="E1083" s="315"/>
      <c r="H1083" s="1" t="b">
        <f t="shared" si="97"/>
        <v>0</v>
      </c>
      <c r="I1083" s="1">
        <v>0</v>
      </c>
      <c r="K1083" s="1" t="b">
        <v>0</v>
      </c>
    </row>
    <row r="1084" spans="1:11">
      <c r="A1084" s="1" t="s">
        <v>1691</v>
      </c>
      <c r="B1084" s="352">
        <f>报表附注!E1441</f>
        <v>0</v>
      </c>
      <c r="C1084" s="325">
        <f t="shared" si="100"/>
        <v>0</v>
      </c>
      <c r="D1084" s="1" t="b">
        <f t="shared" si="99"/>
        <v>0</v>
      </c>
      <c r="E1084" s="315"/>
      <c r="H1084" s="1" t="b">
        <f t="shared" si="97"/>
        <v>1</v>
      </c>
      <c r="I1084" s="1">
        <v>0</v>
      </c>
      <c r="K1084" s="1" t="b">
        <v>0</v>
      </c>
    </row>
    <row r="1085" spans="1:11">
      <c r="A1085" s="1" t="s">
        <v>1692</v>
      </c>
      <c r="B1085" s="352">
        <f>报表附注!E1442</f>
        <v>0</v>
      </c>
      <c r="C1085" s="325">
        <f t="shared" si="100"/>
        <v>0</v>
      </c>
      <c r="D1085" s="1" t="b">
        <f t="shared" si="99"/>
        <v>0</v>
      </c>
      <c r="E1085" s="315"/>
      <c r="H1085" s="1" t="b">
        <f t="shared" si="97"/>
        <v>1</v>
      </c>
      <c r="I1085" s="1">
        <v>0</v>
      </c>
      <c r="K1085" s="1" t="b">
        <v>0</v>
      </c>
    </row>
    <row r="1086" spans="1:11">
      <c r="A1086" s="1" t="s">
        <v>1693</v>
      </c>
      <c r="B1086" s="352">
        <f>报表附注!E1443</f>
        <v>0</v>
      </c>
      <c r="C1086" s="325">
        <f t="shared" si="100"/>
        <v>0</v>
      </c>
      <c r="D1086" s="1" t="b">
        <f t="shared" si="99"/>
        <v>0</v>
      </c>
      <c r="E1086" s="315"/>
      <c r="H1086" s="1" t="b">
        <f t="shared" si="97"/>
        <v>0</v>
      </c>
      <c r="I1086" s="1" t="s">
        <v>907</v>
      </c>
      <c r="K1086" s="1" t="b">
        <v>1</v>
      </c>
    </row>
    <row r="1087" spans="1:11">
      <c r="A1087" s="1" t="s">
        <v>1694</v>
      </c>
      <c r="B1087" s="352">
        <f>报表附注!E1444</f>
        <v>0</v>
      </c>
      <c r="C1087" s="325">
        <f t="shared" si="100"/>
        <v>0</v>
      </c>
      <c r="D1087" s="1" t="b">
        <f t="shared" si="99"/>
        <v>0</v>
      </c>
      <c r="E1087" s="315"/>
      <c r="H1087" s="1" t="b">
        <f t="shared" si="97"/>
        <v>0</v>
      </c>
      <c r="I1087" s="1" t="s">
        <v>4578</v>
      </c>
      <c r="K1087" s="1" t="b">
        <v>0</v>
      </c>
    </row>
    <row r="1088" spans="1:11">
      <c r="A1088" s="1" t="s">
        <v>1695</v>
      </c>
      <c r="B1088" s="352">
        <f>报表附注!E1445</f>
        <v>0</v>
      </c>
      <c r="C1088" s="325">
        <f t="shared" si="100"/>
        <v>0</v>
      </c>
      <c r="D1088" s="1" t="b">
        <f t="shared" si="99"/>
        <v>0</v>
      </c>
      <c r="E1088" s="315"/>
      <c r="H1088" s="1" t="b">
        <f t="shared" si="97"/>
        <v>0</v>
      </c>
      <c r="I1088" s="1" t="s">
        <v>4579</v>
      </c>
      <c r="K1088" s="1" t="b">
        <v>0</v>
      </c>
    </row>
    <row r="1089" spans="1:11">
      <c r="A1089" s="1" t="s">
        <v>1696</v>
      </c>
      <c r="B1089" s="352">
        <f>报表附注!E1446</f>
        <v>0</v>
      </c>
      <c r="C1089" s="325">
        <f t="shared" si="100"/>
        <v>0</v>
      </c>
      <c r="D1089" s="1" t="b">
        <f t="shared" si="99"/>
        <v>0</v>
      </c>
      <c r="E1089" s="315"/>
      <c r="H1089" s="1" t="b">
        <f t="shared" si="97"/>
        <v>0</v>
      </c>
      <c r="I1089" s="1" t="s">
        <v>4580</v>
      </c>
      <c r="K1089" s="1" t="b">
        <v>0</v>
      </c>
    </row>
    <row r="1090" spans="1:11">
      <c r="A1090" s="1" t="s">
        <v>1697</v>
      </c>
      <c r="B1090" s="352">
        <f>报表附注!E1447</f>
        <v>0</v>
      </c>
      <c r="C1090" s="325">
        <f t="shared" si="100"/>
        <v>0</v>
      </c>
      <c r="D1090" s="1" t="b">
        <f t="shared" si="99"/>
        <v>0</v>
      </c>
      <c r="E1090" s="315"/>
      <c r="H1090" s="1" t="b">
        <f t="shared" si="97"/>
        <v>0</v>
      </c>
      <c r="I1090" s="1" t="s">
        <v>4581</v>
      </c>
      <c r="K1090" s="1" t="b">
        <v>0</v>
      </c>
    </row>
    <row r="1091" spans="1:11">
      <c r="A1091" s="1" t="s">
        <v>1698</v>
      </c>
      <c r="B1091" s="352">
        <f>报表附注!E1448</f>
        <v>0</v>
      </c>
      <c r="C1091" s="325">
        <f t="shared" si="100"/>
        <v>0</v>
      </c>
      <c r="D1091" s="1" t="b">
        <f t="shared" si="99"/>
        <v>0</v>
      </c>
      <c r="E1091" s="315"/>
      <c r="H1091" s="1" t="b">
        <f t="shared" si="97"/>
        <v>1</v>
      </c>
      <c r="I1091" s="1">
        <v>0</v>
      </c>
      <c r="K1091" s="1" t="b">
        <v>0</v>
      </c>
    </row>
    <row r="1092" spans="1:11">
      <c r="A1092" s="1" t="s">
        <v>1699</v>
      </c>
      <c r="B1092" s="352">
        <f>报表附注!E1449</f>
        <v>0</v>
      </c>
      <c r="C1092" s="325">
        <f t="shared" si="100"/>
        <v>0</v>
      </c>
      <c r="D1092" s="1" t="b">
        <f t="shared" si="99"/>
        <v>0</v>
      </c>
      <c r="E1092" s="315"/>
      <c r="H1092" s="1" t="b">
        <f t="shared" ref="H1092:H1155" si="101">I1092=B1092</f>
        <v>1</v>
      </c>
      <c r="I1092" s="1">
        <v>0</v>
      </c>
      <c r="K1092" s="1" t="b">
        <v>0</v>
      </c>
    </row>
    <row r="1093" spans="1:11">
      <c r="A1093" s="1" t="s">
        <v>1700</v>
      </c>
      <c r="B1093" s="352">
        <f>报表附注!E1450</f>
        <v>0</v>
      </c>
      <c r="C1093" s="325">
        <f t="shared" si="100"/>
        <v>0</v>
      </c>
      <c r="D1093" s="1" t="b">
        <f t="shared" si="99"/>
        <v>0</v>
      </c>
      <c r="E1093" s="315"/>
      <c r="H1093" s="1" t="b">
        <f t="shared" si="101"/>
        <v>1</v>
      </c>
      <c r="I1093" s="1">
        <v>0</v>
      </c>
      <c r="K1093" s="1" t="b">
        <v>0</v>
      </c>
    </row>
    <row r="1094" spans="1:11">
      <c r="A1094" s="1" t="s">
        <v>907</v>
      </c>
      <c r="B1094" s="352" t="str">
        <f>报表附注!E1451</f>
        <v>三、无形资产减值准备累计金额合计</v>
      </c>
      <c r="C1094" s="325">
        <f t="shared" si="100"/>
        <v>0</v>
      </c>
      <c r="D1094" s="1" t="b">
        <f t="shared" si="99"/>
        <v>1</v>
      </c>
      <c r="E1094" s="315"/>
      <c r="H1094" s="1" t="b">
        <f t="shared" si="101"/>
        <v>0</v>
      </c>
      <c r="I1094" s="1">
        <v>0</v>
      </c>
      <c r="K1094" s="1" t="b">
        <v>0</v>
      </c>
    </row>
    <row r="1095" spans="1:11">
      <c r="A1095" s="1" t="s">
        <v>1687</v>
      </c>
      <c r="B1095" s="352" t="str">
        <f>报表附注!E1452</f>
        <v>1、土地使用权</v>
      </c>
      <c r="C1095" s="325">
        <f t="shared" si="100"/>
        <v>0</v>
      </c>
      <c r="D1095" s="1" t="b">
        <f t="shared" si="99"/>
        <v>0</v>
      </c>
      <c r="E1095" s="315"/>
      <c r="H1095" s="1" t="b">
        <f t="shared" si="101"/>
        <v>0</v>
      </c>
      <c r="I1095" s="1">
        <v>0</v>
      </c>
      <c r="K1095" s="1" t="b">
        <v>0</v>
      </c>
    </row>
    <row r="1096" spans="1:11">
      <c r="A1096" s="1" t="s">
        <v>1688</v>
      </c>
      <c r="B1096" s="352" t="str">
        <f>报表附注!E1453</f>
        <v>2、软件</v>
      </c>
      <c r="C1096" s="325">
        <f t="shared" si="100"/>
        <v>0</v>
      </c>
      <c r="D1096" s="1" t="b">
        <f t="shared" si="99"/>
        <v>0</v>
      </c>
      <c r="E1096" s="315"/>
      <c r="H1096" s="1" t="b">
        <f t="shared" si="101"/>
        <v>0</v>
      </c>
      <c r="I1096" s="1">
        <v>0</v>
      </c>
      <c r="K1096" s="1" t="b">
        <v>0</v>
      </c>
    </row>
    <row r="1097" spans="1:11">
      <c r="A1097" s="1" t="s">
        <v>1689</v>
      </c>
      <c r="B1097" s="352" t="str">
        <f>报表附注!E1454</f>
        <v>3、专利权</v>
      </c>
      <c r="C1097" s="325">
        <f t="shared" si="100"/>
        <v>0</v>
      </c>
      <c r="D1097" s="1" t="b">
        <f t="shared" si="99"/>
        <v>0</v>
      </c>
      <c r="E1097" s="315"/>
      <c r="H1097" s="1" t="b">
        <f t="shared" si="101"/>
        <v>0</v>
      </c>
      <c r="I1097" s="1">
        <v>0</v>
      </c>
      <c r="K1097" s="1" t="b">
        <v>0</v>
      </c>
    </row>
    <row r="1098" spans="1:11">
      <c r="A1098" s="1" t="s">
        <v>1690</v>
      </c>
      <c r="B1098" s="352" t="str">
        <f>报表附注!E1455</f>
        <v>4、其它</v>
      </c>
      <c r="C1098" s="325">
        <f t="shared" si="100"/>
        <v>0</v>
      </c>
      <c r="D1098" s="1" t="b">
        <f t="shared" si="99"/>
        <v>0</v>
      </c>
      <c r="E1098" s="315"/>
      <c r="H1098" s="1" t="b">
        <f t="shared" si="101"/>
        <v>0</v>
      </c>
      <c r="I1098" s="1">
        <v>0</v>
      </c>
      <c r="K1098" s="1" t="b">
        <v>0</v>
      </c>
    </row>
    <row r="1099" spans="1:11">
      <c r="A1099" s="1" t="s">
        <v>1691</v>
      </c>
      <c r="B1099" s="352">
        <f>报表附注!E1456</f>
        <v>0</v>
      </c>
      <c r="C1099" s="325">
        <f t="shared" si="100"/>
        <v>0</v>
      </c>
      <c r="D1099" s="1" t="b">
        <f t="shared" si="99"/>
        <v>0</v>
      </c>
      <c r="E1099" s="315"/>
      <c r="H1099" s="1" t="b">
        <f t="shared" si="101"/>
        <v>1</v>
      </c>
      <c r="I1099" s="1">
        <v>0</v>
      </c>
      <c r="K1099" s="1" t="b">
        <v>0</v>
      </c>
    </row>
    <row r="1100" spans="1:11">
      <c r="A1100" s="1" t="s">
        <v>1692</v>
      </c>
      <c r="B1100" s="352">
        <f>报表附注!E1457</f>
        <v>0</v>
      </c>
      <c r="C1100" s="325">
        <f t="shared" ref="C1100:C1131" si="102">J1092</f>
        <v>0</v>
      </c>
      <c r="D1100" s="1" t="b">
        <f t="shared" ref="D1100:D1163" si="103">EXACT(A1100,B1100)</f>
        <v>0</v>
      </c>
      <c r="E1100" s="315"/>
      <c r="H1100" s="1" t="b">
        <f t="shared" si="101"/>
        <v>1</v>
      </c>
      <c r="I1100" s="1">
        <v>0</v>
      </c>
      <c r="K1100" s="1" t="b">
        <v>0</v>
      </c>
    </row>
    <row r="1101" spans="1:11">
      <c r="A1101" s="1" t="s">
        <v>1693</v>
      </c>
      <c r="B1101" s="352">
        <f>报表附注!E1458</f>
        <v>0</v>
      </c>
      <c r="C1101" s="325">
        <f t="shared" si="102"/>
        <v>0</v>
      </c>
      <c r="D1101" s="1" t="b">
        <f t="shared" si="103"/>
        <v>0</v>
      </c>
      <c r="E1101" s="315"/>
      <c r="H1101" s="1" t="b">
        <f t="shared" si="101"/>
        <v>0</v>
      </c>
      <c r="I1101" s="1" t="s">
        <v>515</v>
      </c>
      <c r="K1101" s="1" t="b">
        <v>1</v>
      </c>
    </row>
    <row r="1102" spans="1:11">
      <c r="A1102" s="1" t="s">
        <v>1694</v>
      </c>
      <c r="B1102" s="352">
        <f>报表附注!E1459</f>
        <v>0</v>
      </c>
      <c r="C1102" s="325">
        <f t="shared" si="102"/>
        <v>0</v>
      </c>
      <c r="D1102" s="1" t="b">
        <f t="shared" si="103"/>
        <v>0</v>
      </c>
      <c r="E1102" s="315"/>
      <c r="H1102" s="1" t="b">
        <f t="shared" si="101"/>
        <v>0</v>
      </c>
      <c r="I1102" s="1" t="s">
        <v>714</v>
      </c>
      <c r="K1102" s="1" t="b">
        <v>1</v>
      </c>
    </row>
    <row r="1103" spans="1:11">
      <c r="A1103" s="1" t="s">
        <v>1695</v>
      </c>
      <c r="B1103" s="352">
        <f>报表附注!E1460</f>
        <v>0</v>
      </c>
      <c r="C1103" s="325">
        <f t="shared" si="102"/>
        <v>0</v>
      </c>
      <c r="D1103" s="1" t="b">
        <f t="shared" si="103"/>
        <v>0</v>
      </c>
      <c r="E1103" s="315"/>
      <c r="H1103" s="1" t="b">
        <f t="shared" si="101"/>
        <v>0</v>
      </c>
      <c r="I1103" s="1" t="s">
        <v>4578</v>
      </c>
      <c r="K1103" s="1" t="b">
        <v>0</v>
      </c>
    </row>
    <row r="1104" spans="1:11">
      <c r="A1104" s="1" t="s">
        <v>1696</v>
      </c>
      <c r="B1104" s="352">
        <f>报表附注!E1461</f>
        <v>0</v>
      </c>
      <c r="C1104" s="325">
        <f t="shared" si="102"/>
        <v>0</v>
      </c>
      <c r="D1104" s="1" t="b">
        <f t="shared" si="103"/>
        <v>0</v>
      </c>
      <c r="E1104" s="315"/>
      <c r="H1104" s="1" t="b">
        <f t="shared" si="101"/>
        <v>0</v>
      </c>
      <c r="I1104" s="1" t="s">
        <v>4579</v>
      </c>
      <c r="K1104" s="1" t="b">
        <v>0</v>
      </c>
    </row>
    <row r="1105" spans="1:11">
      <c r="A1105" s="1" t="s">
        <v>1697</v>
      </c>
      <c r="B1105" s="352">
        <f>报表附注!E1462</f>
        <v>0</v>
      </c>
      <c r="C1105" s="325">
        <f t="shared" si="102"/>
        <v>0</v>
      </c>
      <c r="D1105" s="1" t="b">
        <f t="shared" si="103"/>
        <v>0</v>
      </c>
      <c r="E1105" s="315"/>
      <c r="H1105" s="1" t="b">
        <f t="shared" si="101"/>
        <v>0</v>
      </c>
      <c r="I1105" s="1" t="s">
        <v>4580</v>
      </c>
      <c r="K1105" s="1" t="b">
        <v>0</v>
      </c>
    </row>
    <row r="1106" spans="1:11">
      <c r="A1106" s="1" t="s">
        <v>1698</v>
      </c>
      <c r="B1106" s="352">
        <f>报表附注!E1463</f>
        <v>0</v>
      </c>
      <c r="C1106" s="325">
        <f t="shared" si="102"/>
        <v>0</v>
      </c>
      <c r="D1106" s="1" t="b">
        <f t="shared" si="103"/>
        <v>0</v>
      </c>
      <c r="E1106" s="315"/>
      <c r="H1106" s="1" t="b">
        <f t="shared" si="101"/>
        <v>0</v>
      </c>
      <c r="I1106" s="1" t="s">
        <v>4581</v>
      </c>
      <c r="K1106" s="1" t="b">
        <v>0</v>
      </c>
    </row>
    <row r="1107" spans="1:11">
      <c r="A1107" s="1" t="s">
        <v>1699</v>
      </c>
      <c r="B1107" s="352">
        <f>报表附注!E1464</f>
        <v>0</v>
      </c>
      <c r="C1107" s="325">
        <f t="shared" si="102"/>
        <v>0</v>
      </c>
      <c r="D1107" s="1" t="b">
        <f t="shared" si="103"/>
        <v>0</v>
      </c>
      <c r="E1107" s="315"/>
      <c r="H1107" s="1" t="b">
        <f t="shared" si="101"/>
        <v>1</v>
      </c>
      <c r="I1107" s="1">
        <v>0</v>
      </c>
      <c r="K1107" s="1" t="b">
        <v>0</v>
      </c>
    </row>
    <row r="1108" spans="1:11">
      <c r="A1108" s="1" t="s">
        <v>1700</v>
      </c>
      <c r="B1108" s="352">
        <f>报表附注!E1465</f>
        <v>0</v>
      </c>
      <c r="C1108" s="325">
        <f t="shared" si="102"/>
        <v>0</v>
      </c>
      <c r="D1108" s="1" t="b">
        <f t="shared" si="103"/>
        <v>0</v>
      </c>
      <c r="E1108" s="315"/>
      <c r="H1108" s="1" t="b">
        <f t="shared" si="101"/>
        <v>1</v>
      </c>
      <c r="I1108" s="1">
        <v>0</v>
      </c>
      <c r="K1108" s="1" t="b">
        <v>0</v>
      </c>
    </row>
    <row r="1109" spans="1:11">
      <c r="A1109" s="1" t="s">
        <v>515</v>
      </c>
      <c r="B1109" s="357" t="s">
        <v>515</v>
      </c>
      <c r="C1109" s="325">
        <f t="shared" si="102"/>
        <v>0</v>
      </c>
      <c r="D1109" s="1" t="b">
        <f t="shared" si="103"/>
        <v>1</v>
      </c>
      <c r="E1109" s="315"/>
      <c r="H1109" s="1" t="b">
        <f t="shared" si="101"/>
        <v>0</v>
      </c>
      <c r="I1109" s="1">
        <v>0</v>
      </c>
      <c r="K1109" s="1" t="b">
        <v>0</v>
      </c>
    </row>
    <row r="1110" spans="1:11">
      <c r="A1110" s="1" t="s">
        <v>714</v>
      </c>
      <c r="B1110" s="352" t="str">
        <f>报表附注!E1421</f>
        <v>一、原价合计</v>
      </c>
      <c r="C1110" s="325">
        <f t="shared" si="102"/>
        <v>0</v>
      </c>
      <c r="D1110" s="1" t="b">
        <f t="shared" si="103"/>
        <v>1</v>
      </c>
      <c r="E1110" s="315"/>
      <c r="H1110" s="1" t="b">
        <f t="shared" si="101"/>
        <v>0</v>
      </c>
      <c r="I1110" s="1">
        <v>0</v>
      </c>
      <c r="K1110" s="1" t="b">
        <v>0</v>
      </c>
    </row>
    <row r="1111" spans="1:11">
      <c r="A1111" s="1" t="s">
        <v>1687</v>
      </c>
      <c r="B1111" s="352" t="str">
        <f>报表附注!E1422</f>
        <v>1、土地使用权</v>
      </c>
      <c r="C1111" s="325">
        <f t="shared" si="102"/>
        <v>0</v>
      </c>
      <c r="D1111" s="1" t="b">
        <f t="shared" si="103"/>
        <v>0</v>
      </c>
      <c r="E1111" s="315"/>
      <c r="H1111" s="1" t="b">
        <f t="shared" si="101"/>
        <v>0</v>
      </c>
      <c r="I1111" s="1">
        <v>0</v>
      </c>
      <c r="K1111" s="1" t="b">
        <v>0</v>
      </c>
    </row>
    <row r="1112" spans="1:11">
      <c r="A1112" s="1" t="s">
        <v>1688</v>
      </c>
      <c r="B1112" s="352" t="str">
        <f>报表附注!E1423</f>
        <v>2、软件</v>
      </c>
      <c r="C1112" s="325">
        <f t="shared" si="102"/>
        <v>0</v>
      </c>
      <c r="D1112" s="1" t="b">
        <f t="shared" si="103"/>
        <v>0</v>
      </c>
      <c r="E1112" s="315"/>
      <c r="H1112" s="1" t="b">
        <f t="shared" si="101"/>
        <v>0</v>
      </c>
      <c r="I1112" s="1">
        <v>0</v>
      </c>
      <c r="K1112" s="1" t="b">
        <v>0</v>
      </c>
    </row>
    <row r="1113" spans="1:11">
      <c r="A1113" s="1" t="s">
        <v>1689</v>
      </c>
      <c r="B1113" s="352" t="str">
        <f>报表附注!E1424</f>
        <v>3、专利权</v>
      </c>
      <c r="C1113" s="325">
        <f t="shared" si="102"/>
        <v>0</v>
      </c>
      <c r="D1113" s="1" t="b">
        <f t="shared" si="103"/>
        <v>0</v>
      </c>
      <c r="E1113" s="315"/>
      <c r="H1113" s="1" t="b">
        <f t="shared" si="101"/>
        <v>0</v>
      </c>
      <c r="I1113" s="1">
        <v>0</v>
      </c>
      <c r="K1113" s="1" t="b">
        <v>0</v>
      </c>
    </row>
    <row r="1114" spans="1:11">
      <c r="A1114" s="1" t="s">
        <v>1690</v>
      </c>
      <c r="B1114" s="352" t="str">
        <f>报表附注!E1425</f>
        <v>4、其它</v>
      </c>
      <c r="C1114" s="325">
        <f t="shared" si="102"/>
        <v>0</v>
      </c>
      <c r="D1114" s="1" t="b">
        <f t="shared" si="103"/>
        <v>0</v>
      </c>
      <c r="E1114" s="315"/>
      <c r="H1114" s="1" t="b">
        <f t="shared" si="101"/>
        <v>0</v>
      </c>
      <c r="I1114" s="1">
        <v>0</v>
      </c>
      <c r="K1114" s="1" t="b">
        <v>0</v>
      </c>
    </row>
    <row r="1115" spans="1:11">
      <c r="A1115" s="1" t="s">
        <v>1691</v>
      </c>
      <c r="B1115" s="352">
        <f>报表附注!E1426</f>
        <v>0</v>
      </c>
      <c r="C1115" s="325">
        <f t="shared" si="102"/>
        <v>0</v>
      </c>
      <c r="D1115" s="1" t="b">
        <f t="shared" si="103"/>
        <v>0</v>
      </c>
      <c r="E1115" s="315"/>
      <c r="H1115" s="1" t="b">
        <f t="shared" si="101"/>
        <v>1</v>
      </c>
      <c r="I1115" s="1">
        <v>0</v>
      </c>
      <c r="K1115" s="1" t="b">
        <v>0</v>
      </c>
    </row>
    <row r="1116" spans="1:11">
      <c r="A1116" s="1" t="s">
        <v>1692</v>
      </c>
      <c r="B1116" s="352">
        <f>报表附注!E1427</f>
        <v>0</v>
      </c>
      <c r="C1116" s="325">
        <f t="shared" si="102"/>
        <v>0</v>
      </c>
      <c r="D1116" s="1" t="b">
        <f t="shared" si="103"/>
        <v>0</v>
      </c>
      <c r="E1116" s="315"/>
      <c r="H1116" s="1" t="b">
        <f t="shared" si="101"/>
        <v>1</v>
      </c>
      <c r="I1116" s="1">
        <v>0</v>
      </c>
      <c r="K1116" s="1" t="b">
        <v>0</v>
      </c>
    </row>
    <row r="1117" spans="1:11">
      <c r="A1117" s="1" t="s">
        <v>1693</v>
      </c>
      <c r="B1117" s="352">
        <f>报表附注!E1428</f>
        <v>0</v>
      </c>
      <c r="C1117" s="325">
        <f t="shared" si="102"/>
        <v>0</v>
      </c>
      <c r="D1117" s="1" t="b">
        <f t="shared" si="103"/>
        <v>0</v>
      </c>
      <c r="E1117" s="315"/>
      <c r="H1117" s="1" t="b">
        <f t="shared" si="101"/>
        <v>0</v>
      </c>
      <c r="I1117" s="1" t="s">
        <v>904</v>
      </c>
      <c r="K1117" s="1" t="b">
        <v>1</v>
      </c>
    </row>
    <row r="1118" spans="1:11">
      <c r="A1118" s="1" t="s">
        <v>1694</v>
      </c>
      <c r="B1118" s="352">
        <f>报表附注!E1429</f>
        <v>0</v>
      </c>
      <c r="C1118" s="325">
        <f t="shared" si="102"/>
        <v>0</v>
      </c>
      <c r="D1118" s="1" t="b">
        <f t="shared" si="103"/>
        <v>0</v>
      </c>
      <c r="E1118" s="315"/>
      <c r="H1118" s="1" t="b">
        <f t="shared" si="101"/>
        <v>0</v>
      </c>
      <c r="I1118" s="1" t="s">
        <v>4578</v>
      </c>
      <c r="K1118" s="1" t="b">
        <v>0</v>
      </c>
    </row>
    <row r="1119" spans="1:11">
      <c r="A1119" s="1" t="s">
        <v>1695</v>
      </c>
      <c r="B1119" s="352">
        <f>报表附注!E1430</f>
        <v>0</v>
      </c>
      <c r="C1119" s="325">
        <f t="shared" si="102"/>
        <v>0</v>
      </c>
      <c r="D1119" s="1" t="b">
        <f t="shared" si="103"/>
        <v>0</v>
      </c>
      <c r="E1119" s="315"/>
      <c r="H1119" s="1" t="b">
        <f t="shared" si="101"/>
        <v>0</v>
      </c>
      <c r="I1119" s="1" t="s">
        <v>4579</v>
      </c>
      <c r="K1119" s="1" t="b">
        <v>0</v>
      </c>
    </row>
    <row r="1120" spans="1:11">
      <c r="A1120" s="1" t="s">
        <v>1696</v>
      </c>
      <c r="B1120" s="352">
        <f>报表附注!E1431</f>
        <v>0</v>
      </c>
      <c r="C1120" s="325">
        <f t="shared" si="102"/>
        <v>0</v>
      </c>
      <c r="D1120" s="1" t="b">
        <f t="shared" si="103"/>
        <v>0</v>
      </c>
      <c r="E1120" s="315"/>
      <c r="H1120" s="1" t="b">
        <f t="shared" si="101"/>
        <v>0</v>
      </c>
      <c r="I1120" s="1" t="s">
        <v>4580</v>
      </c>
      <c r="K1120" s="1" t="b">
        <v>0</v>
      </c>
    </row>
    <row r="1121" spans="1:11">
      <c r="A1121" s="1" t="s">
        <v>1697</v>
      </c>
      <c r="B1121" s="352">
        <f>报表附注!E1432</f>
        <v>0</v>
      </c>
      <c r="C1121" s="325">
        <f t="shared" si="102"/>
        <v>0</v>
      </c>
      <c r="D1121" s="1" t="b">
        <f t="shared" si="103"/>
        <v>0</v>
      </c>
      <c r="E1121" s="315"/>
      <c r="H1121" s="1" t="b">
        <f t="shared" si="101"/>
        <v>0</v>
      </c>
      <c r="I1121" s="1" t="s">
        <v>4581</v>
      </c>
      <c r="K1121" s="1" t="b">
        <v>0</v>
      </c>
    </row>
    <row r="1122" spans="1:11">
      <c r="A1122" s="1" t="s">
        <v>1698</v>
      </c>
      <c r="B1122" s="352">
        <f>报表附注!E1433</f>
        <v>0</v>
      </c>
      <c r="C1122" s="325">
        <f t="shared" si="102"/>
        <v>0</v>
      </c>
      <c r="D1122" s="1" t="b">
        <f t="shared" si="103"/>
        <v>0</v>
      </c>
      <c r="E1122" s="315"/>
      <c r="H1122" s="1" t="b">
        <f t="shared" si="101"/>
        <v>1</v>
      </c>
      <c r="I1122" s="1">
        <v>0</v>
      </c>
      <c r="K1122" s="1" t="b">
        <v>0</v>
      </c>
    </row>
    <row r="1123" spans="1:11">
      <c r="A1123" s="1" t="s">
        <v>1699</v>
      </c>
      <c r="B1123" s="352">
        <f>报表附注!E1434</f>
        <v>0</v>
      </c>
      <c r="C1123" s="325">
        <f t="shared" si="102"/>
        <v>0</v>
      </c>
      <c r="D1123" s="1" t="b">
        <f t="shared" si="103"/>
        <v>0</v>
      </c>
      <c r="E1123" s="315"/>
      <c r="H1123" s="1" t="b">
        <f t="shared" si="101"/>
        <v>1</v>
      </c>
      <c r="I1123" s="1">
        <v>0</v>
      </c>
      <c r="K1123" s="1" t="b">
        <v>0</v>
      </c>
    </row>
    <row r="1124" spans="1:11">
      <c r="A1124" s="1" t="s">
        <v>1700</v>
      </c>
      <c r="B1124" s="352">
        <f>报表附注!E1435</f>
        <v>0</v>
      </c>
      <c r="C1124" s="325">
        <f t="shared" si="102"/>
        <v>0</v>
      </c>
      <c r="D1124" s="1" t="b">
        <f t="shared" si="103"/>
        <v>0</v>
      </c>
      <c r="E1124" s="315"/>
      <c r="H1124" s="1" t="b">
        <f t="shared" si="101"/>
        <v>1</v>
      </c>
      <c r="I1124" s="1">
        <v>0</v>
      </c>
      <c r="K1124" s="1" t="b">
        <v>0</v>
      </c>
    </row>
    <row r="1125" spans="1:11">
      <c r="A1125" s="1" t="s">
        <v>904</v>
      </c>
      <c r="B1125" s="352" t="str">
        <f>报表附注!E1436</f>
        <v>二、累计摊销额合计</v>
      </c>
      <c r="C1125" s="325">
        <f t="shared" si="102"/>
        <v>0</v>
      </c>
      <c r="D1125" s="1" t="b">
        <f t="shared" si="103"/>
        <v>1</v>
      </c>
      <c r="E1125" s="315"/>
      <c r="H1125" s="1" t="b">
        <f t="shared" si="101"/>
        <v>0</v>
      </c>
      <c r="I1125" s="1">
        <v>0</v>
      </c>
      <c r="K1125" s="1" t="b">
        <v>0</v>
      </c>
    </row>
    <row r="1126" spans="1:11">
      <c r="A1126" s="1" t="s">
        <v>1687</v>
      </c>
      <c r="B1126" s="352" t="str">
        <f>报表附注!E1437</f>
        <v>1、土地使用权</v>
      </c>
      <c r="C1126" s="325">
        <f t="shared" si="102"/>
        <v>0</v>
      </c>
      <c r="D1126" s="1" t="b">
        <f t="shared" si="103"/>
        <v>0</v>
      </c>
      <c r="E1126" s="315"/>
      <c r="H1126" s="1" t="b">
        <f t="shared" si="101"/>
        <v>0</v>
      </c>
      <c r="I1126" s="1">
        <v>0</v>
      </c>
      <c r="K1126" s="1" t="b">
        <v>0</v>
      </c>
    </row>
    <row r="1127" spans="1:11">
      <c r="A1127" s="1" t="s">
        <v>1688</v>
      </c>
      <c r="B1127" s="352" t="str">
        <f>报表附注!E1438</f>
        <v>2、软件</v>
      </c>
      <c r="C1127" s="325">
        <f t="shared" si="102"/>
        <v>0</v>
      </c>
      <c r="D1127" s="1" t="b">
        <f t="shared" si="103"/>
        <v>0</v>
      </c>
      <c r="E1127" s="315"/>
      <c r="H1127" s="1" t="b">
        <f t="shared" si="101"/>
        <v>0</v>
      </c>
      <c r="I1127" s="1">
        <v>0</v>
      </c>
      <c r="K1127" s="1" t="b">
        <v>0</v>
      </c>
    </row>
    <row r="1128" spans="1:11">
      <c r="A1128" s="1" t="s">
        <v>1689</v>
      </c>
      <c r="B1128" s="352" t="str">
        <f>报表附注!E1439</f>
        <v>3、专利权</v>
      </c>
      <c r="C1128" s="325">
        <f t="shared" si="102"/>
        <v>0</v>
      </c>
      <c r="D1128" s="1" t="b">
        <f t="shared" si="103"/>
        <v>0</v>
      </c>
      <c r="E1128" s="315"/>
      <c r="H1128" s="1" t="b">
        <f t="shared" si="101"/>
        <v>0</v>
      </c>
      <c r="I1128" s="1">
        <v>0</v>
      </c>
      <c r="K1128" s="1" t="b">
        <v>0</v>
      </c>
    </row>
    <row r="1129" spans="1:11">
      <c r="A1129" s="1" t="s">
        <v>1690</v>
      </c>
      <c r="B1129" s="352" t="str">
        <f>报表附注!E1440</f>
        <v>4、其它</v>
      </c>
      <c r="C1129" s="325">
        <f t="shared" si="102"/>
        <v>0</v>
      </c>
      <c r="D1129" s="1" t="b">
        <f t="shared" si="103"/>
        <v>0</v>
      </c>
      <c r="E1129" s="315"/>
      <c r="H1129" s="1" t="b">
        <f t="shared" si="101"/>
        <v>0</v>
      </c>
      <c r="I1129" s="1">
        <v>0</v>
      </c>
      <c r="K1129" s="1" t="b">
        <v>0</v>
      </c>
    </row>
    <row r="1130" spans="1:11">
      <c r="A1130" s="1" t="s">
        <v>1691</v>
      </c>
      <c r="B1130" s="352">
        <f>报表附注!E1441</f>
        <v>0</v>
      </c>
      <c r="C1130" s="325">
        <f t="shared" si="102"/>
        <v>0</v>
      </c>
      <c r="D1130" s="1" t="b">
        <f t="shared" si="103"/>
        <v>0</v>
      </c>
      <c r="E1130" s="315"/>
      <c r="H1130" s="1" t="b">
        <f t="shared" si="101"/>
        <v>1</v>
      </c>
      <c r="I1130" s="1">
        <v>0</v>
      </c>
      <c r="K1130" s="1" t="b">
        <v>0</v>
      </c>
    </row>
    <row r="1131" spans="1:11">
      <c r="A1131" s="1" t="s">
        <v>1692</v>
      </c>
      <c r="B1131" s="352">
        <f>报表附注!E1442</f>
        <v>0</v>
      </c>
      <c r="C1131" s="325">
        <f t="shared" si="102"/>
        <v>0</v>
      </c>
      <c r="D1131" s="1" t="b">
        <f t="shared" si="103"/>
        <v>0</v>
      </c>
      <c r="E1131" s="315"/>
      <c r="H1131" s="1" t="b">
        <f t="shared" si="101"/>
        <v>1</v>
      </c>
      <c r="I1131" s="1">
        <v>0</v>
      </c>
      <c r="K1131" s="1" t="b">
        <v>0</v>
      </c>
    </row>
    <row r="1132" spans="1:11">
      <c r="A1132" s="1" t="s">
        <v>1693</v>
      </c>
      <c r="B1132" s="352">
        <f>报表附注!E1443</f>
        <v>0</v>
      </c>
      <c r="C1132" s="325">
        <f t="shared" ref="C1132:C1163" si="104">J1124</f>
        <v>0</v>
      </c>
      <c r="D1132" s="1" t="b">
        <f t="shared" si="103"/>
        <v>0</v>
      </c>
      <c r="E1132" s="315"/>
      <c r="H1132" s="1" t="b">
        <f t="shared" si="101"/>
        <v>0</v>
      </c>
      <c r="I1132" s="1" t="s">
        <v>907</v>
      </c>
      <c r="K1132" s="1" t="b">
        <v>1</v>
      </c>
    </row>
    <row r="1133" spans="1:11">
      <c r="A1133" s="1" t="s">
        <v>1694</v>
      </c>
      <c r="B1133" s="352">
        <f>报表附注!E1444</f>
        <v>0</v>
      </c>
      <c r="C1133" s="325">
        <f t="shared" si="104"/>
        <v>0</v>
      </c>
      <c r="D1133" s="1" t="b">
        <f t="shared" si="103"/>
        <v>0</v>
      </c>
      <c r="E1133" s="315"/>
      <c r="H1133" s="1" t="b">
        <f t="shared" si="101"/>
        <v>0</v>
      </c>
      <c r="I1133" s="1" t="s">
        <v>4578</v>
      </c>
      <c r="K1133" s="1" t="b">
        <v>0</v>
      </c>
    </row>
    <row r="1134" spans="1:11">
      <c r="A1134" s="1" t="s">
        <v>1695</v>
      </c>
      <c r="B1134" s="352">
        <f>报表附注!E1445</f>
        <v>0</v>
      </c>
      <c r="C1134" s="325">
        <f t="shared" si="104"/>
        <v>0</v>
      </c>
      <c r="D1134" s="1" t="b">
        <f t="shared" si="103"/>
        <v>0</v>
      </c>
      <c r="E1134" s="315"/>
      <c r="H1134" s="1" t="b">
        <f t="shared" si="101"/>
        <v>0</v>
      </c>
      <c r="I1134" s="1" t="s">
        <v>4579</v>
      </c>
      <c r="K1134" s="1" t="b">
        <v>0</v>
      </c>
    </row>
    <row r="1135" spans="1:11">
      <c r="A1135" s="1" t="s">
        <v>1696</v>
      </c>
      <c r="B1135" s="352">
        <f>报表附注!E1446</f>
        <v>0</v>
      </c>
      <c r="C1135" s="325">
        <f t="shared" si="104"/>
        <v>0</v>
      </c>
      <c r="D1135" s="1" t="b">
        <f t="shared" si="103"/>
        <v>0</v>
      </c>
      <c r="E1135" s="315"/>
      <c r="H1135" s="1" t="b">
        <f t="shared" si="101"/>
        <v>0</v>
      </c>
      <c r="I1135" s="1" t="s">
        <v>4580</v>
      </c>
      <c r="K1135" s="1" t="b">
        <v>0</v>
      </c>
    </row>
    <row r="1136" spans="1:11">
      <c r="A1136" s="1" t="s">
        <v>1697</v>
      </c>
      <c r="B1136" s="352">
        <f>报表附注!E1447</f>
        <v>0</v>
      </c>
      <c r="C1136" s="325">
        <f t="shared" si="104"/>
        <v>0</v>
      </c>
      <c r="D1136" s="1" t="b">
        <f t="shared" si="103"/>
        <v>0</v>
      </c>
      <c r="E1136" s="315"/>
      <c r="H1136" s="1" t="b">
        <f t="shared" si="101"/>
        <v>0</v>
      </c>
      <c r="I1136" s="1" t="s">
        <v>4581</v>
      </c>
      <c r="K1136" s="1" t="b">
        <v>0</v>
      </c>
    </row>
    <row r="1137" spans="1:11">
      <c r="A1137" s="1" t="s">
        <v>1698</v>
      </c>
      <c r="B1137" s="352">
        <f>报表附注!E1448</f>
        <v>0</v>
      </c>
      <c r="C1137" s="325">
        <f t="shared" si="104"/>
        <v>0</v>
      </c>
      <c r="D1137" s="1" t="b">
        <f t="shared" si="103"/>
        <v>0</v>
      </c>
      <c r="E1137" s="315"/>
      <c r="H1137" s="1" t="b">
        <f t="shared" si="101"/>
        <v>1</v>
      </c>
      <c r="I1137" s="1">
        <v>0</v>
      </c>
      <c r="K1137" s="1" t="b">
        <v>0</v>
      </c>
    </row>
    <row r="1138" spans="1:11">
      <c r="A1138" s="1" t="s">
        <v>1699</v>
      </c>
      <c r="B1138" s="352">
        <f>报表附注!E1449</f>
        <v>0</v>
      </c>
      <c r="C1138" s="325">
        <f t="shared" si="104"/>
        <v>0</v>
      </c>
      <c r="D1138" s="1" t="b">
        <f t="shared" si="103"/>
        <v>0</v>
      </c>
      <c r="E1138" s="315"/>
      <c r="H1138" s="1" t="b">
        <f t="shared" si="101"/>
        <v>1</v>
      </c>
      <c r="I1138" s="1">
        <v>0</v>
      </c>
      <c r="K1138" s="1" t="b">
        <v>0</v>
      </c>
    </row>
    <row r="1139" spans="1:11">
      <c r="A1139" s="1" t="s">
        <v>1700</v>
      </c>
      <c r="B1139" s="352">
        <f>报表附注!E1450</f>
        <v>0</v>
      </c>
      <c r="C1139" s="325">
        <f t="shared" si="104"/>
        <v>0</v>
      </c>
      <c r="D1139" s="1" t="b">
        <f t="shared" si="103"/>
        <v>0</v>
      </c>
      <c r="E1139" s="315"/>
      <c r="H1139" s="1" t="b">
        <f t="shared" si="101"/>
        <v>1</v>
      </c>
      <c r="I1139" s="1">
        <v>0</v>
      </c>
      <c r="K1139" s="1" t="b">
        <v>0</v>
      </c>
    </row>
    <row r="1140" spans="1:11">
      <c r="A1140" s="1" t="s">
        <v>907</v>
      </c>
      <c r="B1140" s="352" t="str">
        <f>报表附注!E1451</f>
        <v>三、无形资产减值准备累计金额合计</v>
      </c>
      <c r="C1140" s="325">
        <f t="shared" si="104"/>
        <v>0</v>
      </c>
      <c r="D1140" s="1" t="b">
        <f t="shared" si="103"/>
        <v>1</v>
      </c>
      <c r="E1140" s="315"/>
      <c r="H1140" s="1" t="b">
        <f t="shared" si="101"/>
        <v>0</v>
      </c>
      <c r="I1140" s="1">
        <v>0</v>
      </c>
      <c r="K1140" s="1" t="b">
        <v>0</v>
      </c>
    </row>
    <row r="1141" spans="1:11">
      <c r="A1141" s="1" t="s">
        <v>1687</v>
      </c>
      <c r="B1141" s="352" t="str">
        <f>报表附注!E1452</f>
        <v>1、土地使用权</v>
      </c>
      <c r="C1141" s="325">
        <f t="shared" si="104"/>
        <v>0</v>
      </c>
      <c r="D1141" s="1" t="b">
        <f t="shared" si="103"/>
        <v>0</v>
      </c>
      <c r="E1141" s="315"/>
      <c r="H1141" s="1" t="b">
        <f t="shared" si="101"/>
        <v>0</v>
      </c>
      <c r="I1141" s="1">
        <v>0</v>
      </c>
      <c r="K1141" s="1" t="b">
        <v>0</v>
      </c>
    </row>
    <row r="1142" spans="1:11">
      <c r="A1142" s="1" t="s">
        <v>1688</v>
      </c>
      <c r="B1142" s="352" t="str">
        <f>报表附注!E1453</f>
        <v>2、软件</v>
      </c>
      <c r="C1142" s="325">
        <f t="shared" si="104"/>
        <v>0</v>
      </c>
      <c r="D1142" s="1" t="b">
        <f t="shared" si="103"/>
        <v>0</v>
      </c>
      <c r="E1142" s="315"/>
      <c r="H1142" s="1" t="b">
        <f t="shared" si="101"/>
        <v>0</v>
      </c>
      <c r="I1142" s="1">
        <v>0</v>
      </c>
      <c r="K1142" s="1" t="b">
        <v>0</v>
      </c>
    </row>
    <row r="1143" spans="1:11">
      <c r="A1143" s="1" t="s">
        <v>1689</v>
      </c>
      <c r="B1143" s="352" t="str">
        <f>报表附注!E1454</f>
        <v>3、专利权</v>
      </c>
      <c r="C1143" s="325">
        <f t="shared" si="104"/>
        <v>0</v>
      </c>
      <c r="D1143" s="1" t="b">
        <f t="shared" si="103"/>
        <v>0</v>
      </c>
      <c r="E1143" s="315"/>
      <c r="H1143" s="1" t="b">
        <f t="shared" si="101"/>
        <v>0</v>
      </c>
      <c r="I1143" s="1">
        <v>0</v>
      </c>
      <c r="K1143" s="1" t="b">
        <v>0</v>
      </c>
    </row>
    <row r="1144" spans="1:11">
      <c r="A1144" s="1" t="s">
        <v>1690</v>
      </c>
      <c r="B1144" s="352" t="str">
        <f>报表附注!E1455</f>
        <v>4、其它</v>
      </c>
      <c r="C1144" s="325">
        <f t="shared" si="104"/>
        <v>0</v>
      </c>
      <c r="D1144" s="1" t="b">
        <f t="shared" si="103"/>
        <v>0</v>
      </c>
      <c r="E1144" s="315"/>
      <c r="H1144" s="1" t="b">
        <f t="shared" si="101"/>
        <v>0</v>
      </c>
      <c r="I1144" s="1">
        <v>0</v>
      </c>
      <c r="K1144" s="1" t="b">
        <v>0</v>
      </c>
    </row>
    <row r="1145" spans="1:11">
      <c r="A1145" s="1" t="s">
        <v>1691</v>
      </c>
      <c r="B1145" s="352">
        <f>报表附注!E1456</f>
        <v>0</v>
      </c>
      <c r="C1145" s="325">
        <f t="shared" si="104"/>
        <v>0</v>
      </c>
      <c r="D1145" s="1" t="b">
        <f t="shared" si="103"/>
        <v>0</v>
      </c>
      <c r="E1145" s="315"/>
      <c r="H1145" s="1" t="b">
        <f t="shared" si="101"/>
        <v>1</v>
      </c>
      <c r="I1145" s="1">
        <v>0</v>
      </c>
      <c r="K1145" s="1" t="b">
        <v>0</v>
      </c>
    </row>
    <row r="1146" spans="1:11">
      <c r="A1146" s="1" t="s">
        <v>1692</v>
      </c>
      <c r="B1146" s="352">
        <f>报表附注!E1457</f>
        <v>0</v>
      </c>
      <c r="C1146" s="325">
        <f t="shared" si="104"/>
        <v>0</v>
      </c>
      <c r="D1146" s="1" t="b">
        <f t="shared" si="103"/>
        <v>0</v>
      </c>
      <c r="E1146" s="315"/>
      <c r="H1146" s="1" t="b">
        <f t="shared" si="101"/>
        <v>1</v>
      </c>
      <c r="I1146" s="1">
        <v>0</v>
      </c>
      <c r="K1146" s="1" t="b">
        <v>0</v>
      </c>
    </row>
    <row r="1147" spans="1:11">
      <c r="A1147" s="1" t="s">
        <v>1693</v>
      </c>
      <c r="B1147" s="352">
        <f>报表附注!E1458</f>
        <v>0</v>
      </c>
      <c r="C1147" s="325">
        <f t="shared" si="104"/>
        <v>0</v>
      </c>
      <c r="D1147" s="1" t="b">
        <f t="shared" si="103"/>
        <v>0</v>
      </c>
      <c r="E1147" s="315"/>
      <c r="H1147" s="1" t="b">
        <f t="shared" si="101"/>
        <v>0</v>
      </c>
      <c r="I1147" s="1" t="s">
        <v>910</v>
      </c>
      <c r="K1147" s="1" t="b">
        <v>1</v>
      </c>
    </row>
    <row r="1148" spans="1:11">
      <c r="A1148" s="1" t="s">
        <v>1694</v>
      </c>
      <c r="B1148" s="352">
        <f>报表附注!E1459</f>
        <v>0</v>
      </c>
      <c r="C1148" s="325">
        <f t="shared" si="104"/>
        <v>0</v>
      </c>
      <c r="D1148" s="1" t="b">
        <f t="shared" si="103"/>
        <v>0</v>
      </c>
      <c r="E1148" s="315"/>
      <c r="H1148" s="1" t="b">
        <f t="shared" si="101"/>
        <v>0</v>
      </c>
      <c r="I1148" s="1" t="s">
        <v>4578</v>
      </c>
      <c r="K1148" s="1" t="b">
        <v>0</v>
      </c>
    </row>
    <row r="1149" spans="1:11">
      <c r="A1149" s="1" t="s">
        <v>1695</v>
      </c>
      <c r="B1149" s="352">
        <f>报表附注!E1460</f>
        <v>0</v>
      </c>
      <c r="C1149" s="325">
        <f t="shared" si="104"/>
        <v>0</v>
      </c>
      <c r="D1149" s="1" t="b">
        <f t="shared" si="103"/>
        <v>0</v>
      </c>
      <c r="E1149" s="315"/>
      <c r="H1149" s="1" t="b">
        <f t="shared" si="101"/>
        <v>0</v>
      </c>
      <c r="I1149" s="1" t="s">
        <v>4579</v>
      </c>
      <c r="K1149" s="1" t="b">
        <v>0</v>
      </c>
    </row>
    <row r="1150" spans="1:11">
      <c r="A1150" s="1" t="s">
        <v>1696</v>
      </c>
      <c r="B1150" s="352">
        <f>报表附注!E1461</f>
        <v>0</v>
      </c>
      <c r="C1150" s="325">
        <f t="shared" si="104"/>
        <v>0</v>
      </c>
      <c r="D1150" s="1" t="b">
        <f t="shared" si="103"/>
        <v>0</v>
      </c>
      <c r="E1150" s="315"/>
      <c r="H1150" s="1" t="b">
        <f t="shared" si="101"/>
        <v>0</v>
      </c>
      <c r="I1150" s="1" t="s">
        <v>4580</v>
      </c>
      <c r="K1150" s="1" t="b">
        <v>0</v>
      </c>
    </row>
    <row r="1151" spans="1:11">
      <c r="A1151" s="1" t="s">
        <v>1697</v>
      </c>
      <c r="B1151" s="352">
        <f>报表附注!E1462</f>
        <v>0</v>
      </c>
      <c r="C1151" s="325">
        <f t="shared" si="104"/>
        <v>0</v>
      </c>
      <c r="D1151" s="1" t="b">
        <f t="shared" si="103"/>
        <v>0</v>
      </c>
      <c r="E1151" s="315"/>
      <c r="H1151" s="1" t="b">
        <f t="shared" si="101"/>
        <v>0</v>
      </c>
      <c r="I1151" s="1" t="s">
        <v>4581</v>
      </c>
      <c r="K1151" s="1" t="b">
        <v>0</v>
      </c>
    </row>
    <row r="1152" spans="1:11">
      <c r="A1152" s="1" t="s">
        <v>1698</v>
      </c>
      <c r="B1152" s="352">
        <f>报表附注!E1463</f>
        <v>0</v>
      </c>
      <c r="C1152" s="325">
        <f t="shared" si="104"/>
        <v>0</v>
      </c>
      <c r="D1152" s="1" t="b">
        <f t="shared" si="103"/>
        <v>0</v>
      </c>
      <c r="E1152" s="315"/>
      <c r="H1152" s="1" t="b">
        <f t="shared" si="101"/>
        <v>1</v>
      </c>
      <c r="I1152" s="1">
        <v>0</v>
      </c>
      <c r="K1152" s="1" t="b">
        <v>0</v>
      </c>
    </row>
    <row r="1153" spans="1:11">
      <c r="A1153" s="1" t="s">
        <v>1699</v>
      </c>
      <c r="B1153" s="352">
        <f>报表附注!E1464</f>
        <v>0</v>
      </c>
      <c r="C1153" s="325">
        <f t="shared" si="104"/>
        <v>0</v>
      </c>
      <c r="D1153" s="1" t="b">
        <f t="shared" si="103"/>
        <v>0</v>
      </c>
      <c r="E1153" s="315"/>
      <c r="H1153" s="1" t="b">
        <f t="shared" si="101"/>
        <v>1</v>
      </c>
      <c r="I1153" s="1">
        <v>0</v>
      </c>
      <c r="K1153" s="1" t="b">
        <v>0</v>
      </c>
    </row>
    <row r="1154" spans="1:11">
      <c r="A1154" s="1" t="s">
        <v>1700</v>
      </c>
      <c r="B1154" s="352">
        <f>报表附注!E1465</f>
        <v>0</v>
      </c>
      <c r="C1154" s="325">
        <f t="shared" si="104"/>
        <v>0</v>
      </c>
      <c r="D1154" s="1" t="b">
        <f t="shared" si="103"/>
        <v>0</v>
      </c>
      <c r="E1154" s="315"/>
      <c r="H1154" s="1" t="b">
        <f t="shared" si="101"/>
        <v>1</v>
      </c>
      <c r="I1154" s="1">
        <v>0</v>
      </c>
      <c r="K1154" s="1" t="b">
        <v>0</v>
      </c>
    </row>
    <row r="1155" spans="1:11">
      <c r="A1155" s="1" t="s">
        <v>910</v>
      </c>
      <c r="B1155" s="352" t="str">
        <f>报表附注!E1466</f>
        <v>四、无形资产账面价值合计</v>
      </c>
      <c r="C1155" s="325">
        <f t="shared" si="104"/>
        <v>0</v>
      </c>
      <c r="D1155" s="1" t="b">
        <f t="shared" si="103"/>
        <v>1</v>
      </c>
      <c r="E1155" s="315"/>
      <c r="H1155" s="1" t="b">
        <f t="shared" si="101"/>
        <v>0</v>
      </c>
      <c r="I1155" s="1">
        <v>0</v>
      </c>
      <c r="K1155" s="1" t="b">
        <v>0</v>
      </c>
    </row>
    <row r="1156" spans="1:11">
      <c r="A1156" s="1" t="s">
        <v>1687</v>
      </c>
      <c r="B1156" s="352" t="str">
        <f>报表附注!E1467</f>
        <v>1、土地使用权</v>
      </c>
      <c r="C1156" s="325">
        <f t="shared" si="104"/>
        <v>0</v>
      </c>
      <c r="D1156" s="1" t="b">
        <f t="shared" si="103"/>
        <v>0</v>
      </c>
      <c r="E1156" s="315"/>
      <c r="H1156" s="1" t="b">
        <f t="shared" ref="H1156:H1219" si="105">I1156=B1156</f>
        <v>0</v>
      </c>
      <c r="I1156" s="1">
        <v>0</v>
      </c>
      <c r="K1156" s="1" t="b">
        <v>0</v>
      </c>
    </row>
    <row r="1157" spans="1:11">
      <c r="A1157" s="1" t="s">
        <v>1688</v>
      </c>
      <c r="B1157" s="352" t="str">
        <f>报表附注!E1468</f>
        <v>2、软件</v>
      </c>
      <c r="C1157" s="325">
        <f t="shared" si="104"/>
        <v>0</v>
      </c>
      <c r="D1157" s="1" t="b">
        <f t="shared" si="103"/>
        <v>0</v>
      </c>
      <c r="E1157" s="315"/>
      <c r="H1157" s="1" t="b">
        <f t="shared" si="105"/>
        <v>0</v>
      </c>
      <c r="I1157" s="1">
        <v>0</v>
      </c>
      <c r="K1157" s="1" t="b">
        <v>0</v>
      </c>
    </row>
    <row r="1158" spans="1:11">
      <c r="A1158" s="1" t="s">
        <v>1689</v>
      </c>
      <c r="B1158" s="352" t="str">
        <f>报表附注!E1469</f>
        <v>3、专利权</v>
      </c>
      <c r="C1158" s="325">
        <f t="shared" si="104"/>
        <v>0</v>
      </c>
      <c r="D1158" s="1" t="b">
        <f t="shared" si="103"/>
        <v>0</v>
      </c>
      <c r="E1158" s="315"/>
      <c r="H1158" s="1" t="b">
        <f t="shared" si="105"/>
        <v>0</v>
      </c>
      <c r="I1158" s="1">
        <v>0</v>
      </c>
      <c r="K1158" s="1" t="b">
        <v>0</v>
      </c>
    </row>
    <row r="1159" spans="1:11">
      <c r="A1159" s="1" t="s">
        <v>1690</v>
      </c>
      <c r="B1159" s="352" t="str">
        <f>报表附注!E1470</f>
        <v>4、其它</v>
      </c>
      <c r="C1159" s="325">
        <f t="shared" si="104"/>
        <v>0</v>
      </c>
      <c r="D1159" s="1" t="b">
        <f t="shared" si="103"/>
        <v>0</v>
      </c>
      <c r="E1159" s="315"/>
      <c r="H1159" s="1" t="b">
        <f t="shared" si="105"/>
        <v>0</v>
      </c>
      <c r="I1159" s="1">
        <v>0</v>
      </c>
      <c r="K1159" s="1" t="b">
        <v>0</v>
      </c>
    </row>
    <row r="1160" spans="1:11">
      <c r="A1160" s="1" t="s">
        <v>1691</v>
      </c>
      <c r="B1160" s="352">
        <f>报表附注!E1471</f>
        <v>0</v>
      </c>
      <c r="C1160" s="325">
        <f t="shared" si="104"/>
        <v>0</v>
      </c>
      <c r="D1160" s="1" t="b">
        <f t="shared" si="103"/>
        <v>0</v>
      </c>
      <c r="E1160" s="315"/>
      <c r="H1160" s="1" t="b">
        <f t="shared" si="105"/>
        <v>1</v>
      </c>
      <c r="I1160" s="1">
        <v>0</v>
      </c>
      <c r="K1160" s="1" t="b">
        <v>0</v>
      </c>
    </row>
    <row r="1161" spans="1:11">
      <c r="A1161" s="1" t="s">
        <v>1692</v>
      </c>
      <c r="B1161" s="352">
        <f>报表附注!E1472</f>
        <v>0</v>
      </c>
      <c r="C1161" s="325">
        <f t="shared" si="104"/>
        <v>0</v>
      </c>
      <c r="D1161" s="1" t="b">
        <f t="shared" si="103"/>
        <v>0</v>
      </c>
      <c r="E1161" s="315"/>
      <c r="H1161" s="1" t="b">
        <f t="shared" si="105"/>
        <v>1</v>
      </c>
      <c r="I1161" s="1">
        <v>0</v>
      </c>
      <c r="K1161" s="1" t="b">
        <v>0</v>
      </c>
    </row>
    <row r="1162" spans="1:11">
      <c r="A1162" s="1" t="s">
        <v>1693</v>
      </c>
      <c r="B1162" s="352">
        <f>报表附注!E1473</f>
        <v>0</v>
      </c>
      <c r="C1162" s="325">
        <f t="shared" si="104"/>
        <v>0</v>
      </c>
      <c r="D1162" s="1" t="b">
        <f t="shared" si="103"/>
        <v>0</v>
      </c>
      <c r="E1162" s="315"/>
      <c r="H1162" s="1" t="b">
        <f t="shared" si="105"/>
        <v>1</v>
      </c>
      <c r="K1162" s="1" t="b">
        <v>1</v>
      </c>
    </row>
    <row r="1163" spans="1:11">
      <c r="A1163" s="1" t="s">
        <v>1694</v>
      </c>
      <c r="B1163" s="352">
        <f>报表附注!E1474</f>
        <v>0</v>
      </c>
      <c r="C1163" s="325">
        <f t="shared" si="104"/>
        <v>0</v>
      </c>
      <c r="D1163" s="1" t="b">
        <f t="shared" si="103"/>
        <v>0</v>
      </c>
      <c r="E1163" s="315"/>
      <c r="H1163" s="1" t="b">
        <f t="shared" si="105"/>
        <v>1</v>
      </c>
      <c r="K1163" s="1" t="b">
        <v>1</v>
      </c>
    </row>
    <row r="1164" spans="1:11">
      <c r="A1164" s="1" t="s">
        <v>1695</v>
      </c>
      <c r="B1164" s="352">
        <f>报表附注!E1475</f>
        <v>0</v>
      </c>
      <c r="C1164" s="325">
        <f t="shared" ref="C1164:C1169" si="106">J1156</f>
        <v>0</v>
      </c>
      <c r="D1164" s="1" t="b">
        <f t="shared" ref="D1164:D1227" si="107">EXACT(A1164,B1164)</f>
        <v>0</v>
      </c>
      <c r="E1164" s="315"/>
      <c r="H1164" s="1" t="b">
        <f t="shared" si="105"/>
        <v>0</v>
      </c>
      <c r="I1164" s="1" t="s">
        <v>1701</v>
      </c>
      <c r="K1164" s="1" t="b">
        <v>1</v>
      </c>
    </row>
    <row r="1165" spans="1:11">
      <c r="A1165" s="1" t="s">
        <v>1696</v>
      </c>
      <c r="B1165" s="352">
        <f>报表附注!E1476</f>
        <v>0</v>
      </c>
      <c r="C1165" s="325">
        <f t="shared" si="106"/>
        <v>0</v>
      </c>
      <c r="D1165" s="1" t="b">
        <f t="shared" si="107"/>
        <v>0</v>
      </c>
      <c r="E1165" s="315"/>
      <c r="H1165" s="1" t="b">
        <f t="shared" si="105"/>
        <v>0</v>
      </c>
      <c r="I1165" s="1" t="s">
        <v>670</v>
      </c>
      <c r="K1165" s="1" t="b">
        <v>1</v>
      </c>
    </row>
    <row r="1166" spans="1:11">
      <c r="A1166" s="1" t="s">
        <v>1697</v>
      </c>
      <c r="B1166" s="352">
        <f>报表附注!E1477</f>
        <v>0</v>
      </c>
      <c r="C1166" s="325">
        <f t="shared" si="106"/>
        <v>0</v>
      </c>
      <c r="D1166" s="1" t="b">
        <f t="shared" si="107"/>
        <v>0</v>
      </c>
      <c r="E1166" s="315"/>
      <c r="H1166" s="1" t="b">
        <f t="shared" si="105"/>
        <v>0</v>
      </c>
      <c r="I1166" s="1" t="s">
        <v>1702</v>
      </c>
      <c r="K1166" s="1" t="b">
        <v>1</v>
      </c>
    </row>
    <row r="1167" spans="1:11">
      <c r="A1167" s="1" t="s">
        <v>1698</v>
      </c>
      <c r="B1167" s="352">
        <f>报表附注!E1478</f>
        <v>0</v>
      </c>
      <c r="C1167" s="325">
        <f t="shared" si="106"/>
        <v>0</v>
      </c>
      <c r="D1167" s="1" t="b">
        <f t="shared" si="107"/>
        <v>0</v>
      </c>
      <c r="E1167" s="315"/>
      <c r="H1167" s="1" t="b">
        <f t="shared" si="105"/>
        <v>0</v>
      </c>
      <c r="I1167" s="1" t="s">
        <v>246</v>
      </c>
      <c r="K1167" s="1" t="b">
        <v>1</v>
      </c>
    </row>
    <row r="1168" spans="1:11">
      <c r="A1168" s="1" t="s">
        <v>1699</v>
      </c>
      <c r="B1168" s="352">
        <f>报表附注!E1479</f>
        <v>0</v>
      </c>
      <c r="C1168" s="325">
        <f t="shared" si="106"/>
        <v>0</v>
      </c>
      <c r="D1168" s="1" t="b">
        <f t="shared" si="107"/>
        <v>0</v>
      </c>
      <c r="E1168" s="315"/>
      <c r="H1168" s="1" t="b">
        <f t="shared" si="105"/>
        <v>0</v>
      </c>
      <c r="I1168" s="1" t="s">
        <v>1580</v>
      </c>
      <c r="K1168" s="1" t="b">
        <v>1</v>
      </c>
    </row>
    <row r="1169" spans="1:11">
      <c r="A1169" s="1" t="s">
        <v>1700</v>
      </c>
      <c r="B1169" s="352">
        <f>报表附注!E1480</f>
        <v>0</v>
      </c>
      <c r="C1169" s="325">
        <f t="shared" si="106"/>
        <v>0</v>
      </c>
      <c r="D1169" s="1" t="b">
        <f t="shared" si="107"/>
        <v>0</v>
      </c>
      <c r="E1169" s="315"/>
      <c r="H1169" s="1" t="b">
        <f t="shared" si="105"/>
        <v>0</v>
      </c>
      <c r="I1169" s="1" t="s">
        <v>671</v>
      </c>
      <c r="K1169" s="1" t="b">
        <v>1</v>
      </c>
    </row>
    <row r="1170" spans="2:11">
      <c r="B1170" s="336"/>
      <c r="C1170" s="325"/>
      <c r="D1170" s="1" t="b">
        <f t="shared" si="107"/>
        <v>1</v>
      </c>
      <c r="E1170" s="315"/>
      <c r="H1170" s="1" t="b">
        <f t="shared" si="105"/>
        <v>0</v>
      </c>
      <c r="I1170" s="1" t="s">
        <v>1702</v>
      </c>
      <c r="K1170" s="1" t="b">
        <v>1</v>
      </c>
    </row>
    <row r="1171" spans="4:11">
      <c r="D1171" s="1" t="b">
        <f t="shared" si="107"/>
        <v>1</v>
      </c>
      <c r="H1171" s="1" t="b">
        <f t="shared" si="105"/>
        <v>0</v>
      </c>
      <c r="I1171" s="1" t="s">
        <v>246</v>
      </c>
      <c r="K1171" s="1" t="b">
        <v>1</v>
      </c>
    </row>
    <row r="1172" ht="12" spans="1:11">
      <c r="A1172" s="1" t="s">
        <v>1701</v>
      </c>
      <c r="B1172" s="354" t="s">
        <v>1701</v>
      </c>
      <c r="D1172" s="1" t="b">
        <f t="shared" si="107"/>
        <v>1</v>
      </c>
      <c r="H1172" s="1" t="b">
        <f t="shared" si="105"/>
        <v>0</v>
      </c>
      <c r="I1172" s="1" t="s">
        <v>1580</v>
      </c>
      <c r="K1172" s="1" t="b">
        <v>1</v>
      </c>
    </row>
    <row r="1173" spans="1:11">
      <c r="A1173" s="1" t="s">
        <v>670</v>
      </c>
      <c r="B1173" s="335" t="s">
        <v>670</v>
      </c>
      <c r="D1173" s="1" t="b">
        <f t="shared" si="107"/>
        <v>1</v>
      </c>
      <c r="H1173" s="1" t="b">
        <f t="shared" si="105"/>
        <v>0</v>
      </c>
      <c r="I1173" s="1" t="s">
        <v>1703</v>
      </c>
      <c r="K1173" s="1" t="b">
        <v>1</v>
      </c>
    </row>
    <row r="1174" spans="1:11">
      <c r="A1174" s="1" t="s">
        <v>1702</v>
      </c>
      <c r="B1174" s="313" t="str">
        <f>报表附注!E1509</f>
        <v>研究支出</v>
      </c>
      <c r="C1174" s="358">
        <f t="shared" ref="C1174:C1188" si="108">J1166</f>
        <v>0</v>
      </c>
      <c r="D1174" s="1" t="b">
        <f t="shared" si="107"/>
        <v>1</v>
      </c>
      <c r="E1174" s="358">
        <f>C1174+C1178-C1182-C1186</f>
        <v>0</v>
      </c>
      <c r="H1174" s="1" t="b">
        <f t="shared" si="105"/>
        <v>1</v>
      </c>
      <c r="I1174" s="1" t="s">
        <v>1702</v>
      </c>
      <c r="K1174" s="1" t="b">
        <v>1</v>
      </c>
    </row>
    <row r="1175" spans="1:11">
      <c r="A1175" s="1" t="s">
        <v>246</v>
      </c>
      <c r="B1175" s="313" t="str">
        <f>报表附注!E1510</f>
        <v>开发支出</v>
      </c>
      <c r="C1175" s="358">
        <f t="shared" si="108"/>
        <v>0</v>
      </c>
      <c r="D1175" s="1" t="b">
        <f t="shared" si="107"/>
        <v>1</v>
      </c>
      <c r="E1175" s="358">
        <f>C1175+C1179-C1183-C1187</f>
        <v>0</v>
      </c>
      <c r="H1175" s="1" t="b">
        <f t="shared" si="105"/>
        <v>1</v>
      </c>
      <c r="I1175" s="1" t="s">
        <v>246</v>
      </c>
      <c r="K1175" s="1" t="b">
        <v>1</v>
      </c>
    </row>
    <row r="1176" spans="1:11">
      <c r="A1176" s="1" t="s">
        <v>1580</v>
      </c>
      <c r="B1176" s="324" t="str">
        <f>报表附注!E1511</f>
        <v>合计</v>
      </c>
      <c r="C1176" s="358">
        <f t="shared" si="108"/>
        <v>0</v>
      </c>
      <c r="D1176" s="1" t="b">
        <f t="shared" si="107"/>
        <v>1</v>
      </c>
      <c r="E1176" s="358">
        <f>C1176+C1180-C1184-C1188</f>
        <v>0</v>
      </c>
      <c r="H1176" s="1" t="b">
        <f t="shared" si="105"/>
        <v>1</v>
      </c>
      <c r="I1176" s="1" t="s">
        <v>1580</v>
      </c>
      <c r="K1176" s="1" t="b">
        <v>1</v>
      </c>
    </row>
    <row r="1177" spans="1:11">
      <c r="A1177" s="1" t="s">
        <v>671</v>
      </c>
      <c r="B1177" s="335" t="s">
        <v>671</v>
      </c>
      <c r="C1177" s="330">
        <f t="shared" si="108"/>
        <v>0</v>
      </c>
      <c r="D1177" s="1" t="b">
        <f t="shared" si="107"/>
        <v>1</v>
      </c>
      <c r="H1177" s="1" t="b">
        <f t="shared" si="105"/>
        <v>0</v>
      </c>
      <c r="I1177" s="1" t="s">
        <v>1704</v>
      </c>
      <c r="K1177" s="1" t="b">
        <v>1</v>
      </c>
    </row>
    <row r="1178" spans="1:11">
      <c r="A1178" s="1" t="s">
        <v>1702</v>
      </c>
      <c r="B1178" s="313" t="str">
        <f>报表附注!E1509</f>
        <v>研究支出</v>
      </c>
      <c r="C1178" s="325">
        <f t="shared" si="108"/>
        <v>0</v>
      </c>
      <c r="D1178" s="1" t="b">
        <f t="shared" si="107"/>
        <v>1</v>
      </c>
      <c r="E1178" s="315"/>
      <c r="H1178" s="1" t="b">
        <f t="shared" si="105"/>
        <v>1</v>
      </c>
      <c r="I1178" s="1" t="s">
        <v>1702</v>
      </c>
      <c r="K1178" s="1" t="b">
        <v>1</v>
      </c>
    </row>
    <row r="1179" spans="1:11">
      <c r="A1179" s="1" t="s">
        <v>246</v>
      </c>
      <c r="B1179" s="313" t="str">
        <f>报表附注!E1510</f>
        <v>开发支出</v>
      </c>
      <c r="C1179" s="325">
        <f t="shared" si="108"/>
        <v>0</v>
      </c>
      <c r="D1179" s="1" t="b">
        <f t="shared" si="107"/>
        <v>1</v>
      </c>
      <c r="E1179" s="315"/>
      <c r="H1179" s="1" t="b">
        <f t="shared" si="105"/>
        <v>1</v>
      </c>
      <c r="I1179" s="1" t="s">
        <v>246</v>
      </c>
      <c r="K1179" s="1" t="b">
        <v>1</v>
      </c>
    </row>
    <row r="1180" spans="1:11">
      <c r="A1180" s="1" t="s">
        <v>1580</v>
      </c>
      <c r="B1180" s="324" t="str">
        <f>报表附注!E1511</f>
        <v>合计</v>
      </c>
      <c r="C1180" s="325">
        <f t="shared" si="108"/>
        <v>0</v>
      </c>
      <c r="D1180" s="1" t="b">
        <f t="shared" si="107"/>
        <v>1</v>
      </c>
      <c r="E1180" s="315"/>
      <c r="H1180" s="1" t="b">
        <f t="shared" si="105"/>
        <v>1</v>
      </c>
      <c r="I1180" s="1" t="s">
        <v>1580</v>
      </c>
      <c r="K1180" s="1" t="b">
        <v>1</v>
      </c>
    </row>
    <row r="1181" spans="1:11">
      <c r="A1181" s="1" t="s">
        <v>1703</v>
      </c>
      <c r="B1181" s="335" t="s">
        <v>1703</v>
      </c>
      <c r="C1181" s="330">
        <f t="shared" si="108"/>
        <v>0</v>
      </c>
      <c r="D1181" s="1" t="b">
        <f t="shared" si="107"/>
        <v>1</v>
      </c>
      <c r="E1181" s="311"/>
      <c r="H1181" s="1" t="b">
        <f t="shared" si="105"/>
        <v>0</v>
      </c>
      <c r="K1181" s="1" t="b">
        <v>1</v>
      </c>
    </row>
    <row r="1182" spans="1:11">
      <c r="A1182" s="1" t="s">
        <v>1702</v>
      </c>
      <c r="B1182" s="313" t="str">
        <f>报表附注!E1509</f>
        <v>研究支出</v>
      </c>
      <c r="C1182" s="325">
        <f t="shared" si="108"/>
        <v>0</v>
      </c>
      <c r="D1182" s="1" t="b">
        <f t="shared" si="107"/>
        <v>1</v>
      </c>
      <c r="E1182" s="315"/>
      <c r="H1182" s="1" t="b">
        <f t="shared" si="105"/>
        <v>0</v>
      </c>
      <c r="K1182" s="1" t="b">
        <v>1</v>
      </c>
    </row>
    <row r="1183" spans="1:11">
      <c r="A1183" s="1" t="s">
        <v>246</v>
      </c>
      <c r="B1183" s="313" t="str">
        <f>报表附注!E1510</f>
        <v>开发支出</v>
      </c>
      <c r="C1183" s="325">
        <f t="shared" si="108"/>
        <v>0</v>
      </c>
      <c r="D1183" s="1" t="b">
        <f t="shared" si="107"/>
        <v>1</v>
      </c>
      <c r="E1183" s="315"/>
      <c r="H1183" s="1" t="b">
        <f t="shared" si="105"/>
        <v>0</v>
      </c>
      <c r="I1183" s="1" t="s">
        <v>1705</v>
      </c>
      <c r="K1183" s="1" t="b">
        <v>1</v>
      </c>
    </row>
    <row r="1184" spans="1:11">
      <c r="A1184" s="1" t="s">
        <v>1580</v>
      </c>
      <c r="B1184" s="324" t="str">
        <f>报表附注!E1511</f>
        <v>合计</v>
      </c>
      <c r="C1184" s="325">
        <f t="shared" si="108"/>
        <v>0</v>
      </c>
      <c r="D1184" s="1" t="b">
        <f t="shared" si="107"/>
        <v>1</v>
      </c>
      <c r="E1184" s="315"/>
      <c r="H1184" s="1" t="b">
        <f t="shared" si="105"/>
        <v>0</v>
      </c>
      <c r="K1184" s="1" t="b">
        <v>1</v>
      </c>
    </row>
    <row r="1185" spans="1:11">
      <c r="A1185" s="1" t="s">
        <v>1704</v>
      </c>
      <c r="B1185" s="335" t="s">
        <v>1704</v>
      </c>
      <c r="C1185" s="330">
        <f t="shared" si="108"/>
        <v>0</v>
      </c>
      <c r="D1185" s="1" t="b">
        <f t="shared" si="107"/>
        <v>1</v>
      </c>
      <c r="E1185" s="311"/>
      <c r="H1185" s="1" t="b">
        <f t="shared" si="105"/>
        <v>0</v>
      </c>
      <c r="I1185" s="1" t="s">
        <v>1706</v>
      </c>
      <c r="K1185" s="1" t="b">
        <v>1</v>
      </c>
    </row>
    <row r="1186" spans="1:11">
      <c r="A1186" s="1" t="s">
        <v>1702</v>
      </c>
      <c r="B1186" s="313" t="str">
        <f>报表附注!E1509</f>
        <v>研究支出</v>
      </c>
      <c r="C1186" s="325">
        <f t="shared" si="108"/>
        <v>0</v>
      </c>
      <c r="D1186" s="1" t="b">
        <f t="shared" si="107"/>
        <v>1</v>
      </c>
      <c r="E1186" s="315"/>
      <c r="H1186" s="1" t="b">
        <f t="shared" si="105"/>
        <v>0</v>
      </c>
      <c r="K1186" s="1" t="b">
        <v>1</v>
      </c>
    </row>
    <row r="1187" spans="1:11">
      <c r="A1187" s="1" t="s">
        <v>246</v>
      </c>
      <c r="B1187" s="313" t="str">
        <f>报表附注!E1510</f>
        <v>开发支出</v>
      </c>
      <c r="C1187" s="325">
        <f t="shared" si="108"/>
        <v>0</v>
      </c>
      <c r="D1187" s="1" t="b">
        <f t="shared" si="107"/>
        <v>1</v>
      </c>
      <c r="E1187" s="315"/>
      <c r="H1187" s="1" t="b">
        <f t="shared" si="105"/>
        <v>0</v>
      </c>
      <c r="I1187" s="1" t="s">
        <v>1707</v>
      </c>
      <c r="K1187" s="1" t="b">
        <v>1</v>
      </c>
    </row>
    <row r="1188" spans="1:11">
      <c r="A1188" s="1" t="s">
        <v>1580</v>
      </c>
      <c r="B1188" s="324" t="str">
        <f>报表附注!E1511</f>
        <v>合计</v>
      </c>
      <c r="C1188" s="325">
        <f t="shared" si="108"/>
        <v>0</v>
      </c>
      <c r="D1188" s="1" t="b">
        <f t="shared" si="107"/>
        <v>1</v>
      </c>
      <c r="E1188" s="315"/>
      <c r="H1188" s="1" t="b">
        <f t="shared" si="105"/>
        <v>0</v>
      </c>
      <c r="K1188" s="1" t="b">
        <v>1</v>
      </c>
    </row>
    <row r="1189" spans="4:11">
      <c r="D1189" s="1" t="b">
        <f t="shared" si="107"/>
        <v>1</v>
      </c>
      <c r="H1189" s="1" t="b">
        <f t="shared" si="105"/>
        <v>0</v>
      </c>
      <c r="I1189" s="1" t="s">
        <v>1708</v>
      </c>
      <c r="K1189" s="1" t="b">
        <v>1</v>
      </c>
    </row>
    <row r="1190" spans="4:11">
      <c r="D1190" s="1" t="b">
        <f t="shared" si="107"/>
        <v>1</v>
      </c>
      <c r="H1190" s="1" t="b">
        <f t="shared" si="105"/>
        <v>0</v>
      </c>
      <c r="I1190" s="1" t="s">
        <v>315</v>
      </c>
      <c r="K1190" s="1" t="b">
        <v>1</v>
      </c>
    </row>
    <row r="1191" spans="1:11">
      <c r="A1191" s="1" t="s">
        <v>1705</v>
      </c>
      <c r="B1191" s="333" t="s">
        <v>1705</v>
      </c>
      <c r="D1191" s="1" t="b">
        <f t="shared" si="107"/>
        <v>1</v>
      </c>
      <c r="H1191" s="1" t="b">
        <f t="shared" si="105"/>
        <v>0</v>
      </c>
      <c r="I1191" s="1" t="s">
        <v>934</v>
      </c>
      <c r="K1191" s="1" t="b">
        <v>1</v>
      </c>
    </row>
    <row r="1192" spans="4:11">
      <c r="D1192" s="1" t="b">
        <f t="shared" si="107"/>
        <v>1</v>
      </c>
      <c r="H1192" s="1" t="b">
        <f t="shared" si="105"/>
        <v>0</v>
      </c>
      <c r="I1192" s="1" t="s">
        <v>1709</v>
      </c>
      <c r="K1192" s="1" t="b">
        <v>1</v>
      </c>
    </row>
    <row r="1193" spans="1:11">
      <c r="A1193" s="1" t="s">
        <v>1706</v>
      </c>
      <c r="B1193" s="333" t="s">
        <v>1706</v>
      </c>
      <c r="D1193" s="1" t="b">
        <f t="shared" si="107"/>
        <v>1</v>
      </c>
      <c r="H1193" s="1" t="b">
        <f t="shared" si="105"/>
        <v>0</v>
      </c>
      <c r="I1193" s="1" t="s">
        <v>1710</v>
      </c>
      <c r="K1193" s="1" t="b">
        <v>1</v>
      </c>
    </row>
    <row r="1194" spans="4:11">
      <c r="D1194" s="1" t="b">
        <f t="shared" si="107"/>
        <v>1</v>
      </c>
      <c r="H1194" s="1" t="b">
        <f t="shared" si="105"/>
        <v>0</v>
      </c>
      <c r="I1194" s="1" t="s">
        <v>1711</v>
      </c>
      <c r="K1194" s="1" t="b">
        <v>1</v>
      </c>
    </row>
    <row r="1195" spans="1:11">
      <c r="A1195" s="1" t="s">
        <v>1707</v>
      </c>
      <c r="B1195" s="359" t="s">
        <v>1707</v>
      </c>
      <c r="D1195" s="1" t="b">
        <f t="shared" si="107"/>
        <v>1</v>
      </c>
      <c r="H1195" s="1" t="b">
        <f t="shared" si="105"/>
        <v>0</v>
      </c>
      <c r="I1195" s="1" t="s">
        <v>1712</v>
      </c>
      <c r="K1195" s="1" t="b">
        <v>1</v>
      </c>
    </row>
    <row r="1196" spans="4:11">
      <c r="D1196" s="1" t="b">
        <f t="shared" si="107"/>
        <v>1</v>
      </c>
      <c r="H1196" s="1" t="b">
        <f t="shared" si="105"/>
        <v>0</v>
      </c>
      <c r="I1196" s="1" t="s">
        <v>1713</v>
      </c>
      <c r="K1196" s="1" t="b">
        <v>1</v>
      </c>
    </row>
    <row r="1197" spans="1:11">
      <c r="A1197" s="1" t="s">
        <v>1708</v>
      </c>
      <c r="B1197" s="331" t="s">
        <v>1708</v>
      </c>
      <c r="D1197" s="1" t="b">
        <f t="shared" si="107"/>
        <v>1</v>
      </c>
      <c r="H1197" s="1" t="b">
        <f t="shared" si="105"/>
        <v>0</v>
      </c>
      <c r="I1197" s="1" t="s">
        <v>1714</v>
      </c>
      <c r="K1197" s="1" t="b">
        <v>1</v>
      </c>
    </row>
    <row r="1198" spans="1:11">
      <c r="A1198" s="1" t="s">
        <v>315</v>
      </c>
      <c r="B1198" s="335" t="s">
        <v>315</v>
      </c>
      <c r="D1198" s="1" t="b">
        <f t="shared" si="107"/>
        <v>1</v>
      </c>
      <c r="H1198" s="1" t="b">
        <f t="shared" si="105"/>
        <v>0</v>
      </c>
      <c r="I1198" s="1" t="s">
        <v>1715</v>
      </c>
      <c r="K1198" s="1" t="b">
        <v>1</v>
      </c>
    </row>
    <row r="1199" spans="1:11">
      <c r="A1199" s="1" t="s">
        <v>934</v>
      </c>
      <c r="B1199" s="319" t="str">
        <f>报表附注!E1602</f>
        <v>一、递延所得税资产</v>
      </c>
      <c r="C1199" s="322">
        <f t="shared" ref="C1199:C1230" si="109">J1191</f>
        <v>0</v>
      </c>
      <c r="D1199" s="1" t="b">
        <f t="shared" si="107"/>
        <v>1</v>
      </c>
      <c r="E1199" s="315"/>
      <c r="H1199" s="1" t="b">
        <f t="shared" si="105"/>
        <v>0</v>
      </c>
      <c r="I1199" s="1" t="s">
        <v>1716</v>
      </c>
      <c r="K1199" s="1" t="b">
        <v>1</v>
      </c>
    </row>
    <row r="1200" spans="1:11">
      <c r="A1200" s="1" t="s">
        <v>1709</v>
      </c>
      <c r="B1200" s="313" t="str">
        <f>报表附注!E1603</f>
        <v>1、资产减值准备：</v>
      </c>
      <c r="C1200" s="322">
        <f t="shared" si="109"/>
        <v>0</v>
      </c>
      <c r="D1200" s="1" t="b">
        <f t="shared" si="107"/>
        <v>0</v>
      </c>
      <c r="E1200" s="315"/>
      <c r="H1200" s="1" t="b">
        <f t="shared" si="105"/>
        <v>0</v>
      </c>
      <c r="I1200" s="1" t="s">
        <v>2937</v>
      </c>
      <c r="K1200" s="1" t="b">
        <v>0</v>
      </c>
    </row>
    <row r="1201" spans="1:11">
      <c r="A1201" s="1" t="s">
        <v>1710</v>
      </c>
      <c r="B1201" s="336" t="str">
        <f>报表附注!E1604</f>
        <v>      其中：坏账准备</v>
      </c>
      <c r="C1201" s="322">
        <f t="shared" si="109"/>
        <v>0</v>
      </c>
      <c r="D1201" s="1" t="b">
        <f t="shared" si="107"/>
        <v>1</v>
      </c>
      <c r="E1201" s="315"/>
      <c r="H1201" s="1" t="b">
        <f t="shared" si="105"/>
        <v>0</v>
      </c>
      <c r="I1201" s="1" t="s">
        <v>2938</v>
      </c>
      <c r="K1201" s="1" t="b">
        <v>0</v>
      </c>
    </row>
    <row r="1202" spans="1:11">
      <c r="A1202" s="1" t="s">
        <v>1711</v>
      </c>
      <c r="B1202" s="336" t="str">
        <f>报表附注!E1605</f>
        <v>           存货减值</v>
      </c>
      <c r="C1202" s="322">
        <f t="shared" si="109"/>
        <v>0</v>
      </c>
      <c r="D1202" s="1" t="b">
        <f t="shared" si="107"/>
        <v>1</v>
      </c>
      <c r="E1202" s="315"/>
      <c r="H1202" s="1" t="b">
        <f t="shared" si="105"/>
        <v>0</v>
      </c>
      <c r="I1202" s="1" t="s">
        <v>2939</v>
      </c>
      <c r="K1202" s="1" t="b">
        <v>0</v>
      </c>
    </row>
    <row r="1203" spans="1:11">
      <c r="A1203" s="1" t="s">
        <v>1712</v>
      </c>
      <c r="B1203" s="336" t="str">
        <f>报表附注!E1606</f>
        <v>           在建工程减值</v>
      </c>
      <c r="C1203" s="322">
        <f t="shared" si="109"/>
        <v>0</v>
      </c>
      <c r="D1203" s="1" t="b">
        <f t="shared" si="107"/>
        <v>1</v>
      </c>
      <c r="E1203" s="315"/>
      <c r="H1203" s="1" t="b">
        <f t="shared" si="105"/>
        <v>0</v>
      </c>
      <c r="I1203" s="1" t="s">
        <v>2940</v>
      </c>
      <c r="K1203" s="1" t="b">
        <v>0</v>
      </c>
    </row>
    <row r="1204" spans="1:11">
      <c r="A1204" s="1" t="s">
        <v>1713</v>
      </c>
      <c r="B1204" s="336" t="str">
        <f>报表附注!E1607</f>
        <v>           长期股权投资减值</v>
      </c>
      <c r="C1204" s="322">
        <f t="shared" si="109"/>
        <v>0</v>
      </c>
      <c r="D1204" s="1" t="b">
        <f t="shared" si="107"/>
        <v>1</v>
      </c>
      <c r="E1204" s="315"/>
      <c r="H1204" s="1" t="b">
        <f t="shared" si="105"/>
        <v>0</v>
      </c>
      <c r="I1204" s="1" t="s">
        <v>4582</v>
      </c>
      <c r="K1204" s="1" t="b">
        <v>0</v>
      </c>
    </row>
    <row r="1205" spans="1:11">
      <c r="A1205" s="1" t="s">
        <v>1714</v>
      </c>
      <c r="B1205" s="336" t="str">
        <f>报表附注!E1608</f>
        <v>           固定资产减值</v>
      </c>
      <c r="C1205" s="322">
        <f t="shared" si="109"/>
        <v>0</v>
      </c>
      <c r="D1205" s="1" t="b">
        <f t="shared" si="107"/>
        <v>1</v>
      </c>
      <c r="E1205" s="315"/>
      <c r="H1205" s="1" t="b">
        <f t="shared" si="105"/>
        <v>0</v>
      </c>
      <c r="I1205" s="1" t="s">
        <v>4583</v>
      </c>
      <c r="K1205" s="1" t="b">
        <v>0</v>
      </c>
    </row>
    <row r="1206" spans="1:11">
      <c r="A1206" s="1" t="s">
        <v>1715</v>
      </c>
      <c r="B1206" s="313" t="str">
        <f>报表附注!E1609</f>
        <v>            无形资产减值</v>
      </c>
      <c r="C1206" s="322">
        <f t="shared" si="109"/>
        <v>0</v>
      </c>
      <c r="D1206" s="1" t="b">
        <f t="shared" si="107"/>
        <v>1</v>
      </c>
      <c r="E1206" s="315"/>
      <c r="H1206" s="1" t="b">
        <f t="shared" si="105"/>
        <v>0</v>
      </c>
      <c r="I1206" s="1" t="s">
        <v>936</v>
      </c>
      <c r="K1206" s="1" t="b">
        <v>1</v>
      </c>
    </row>
    <row r="1207" spans="1:11">
      <c r="A1207" s="1" t="s">
        <v>1716</v>
      </c>
      <c r="B1207" s="313" t="str">
        <f>报表附注!E1610</f>
        <v>            商誉减值</v>
      </c>
      <c r="C1207" s="322">
        <f t="shared" si="109"/>
        <v>0</v>
      </c>
      <c r="D1207" s="1" t="b">
        <f t="shared" si="107"/>
        <v>1</v>
      </c>
      <c r="E1207" s="315"/>
      <c r="H1207" s="1" t="b">
        <f t="shared" si="105"/>
        <v>0</v>
      </c>
      <c r="I1207" s="1" t="s">
        <v>1723</v>
      </c>
      <c r="K1207" s="1" t="b">
        <v>1</v>
      </c>
    </row>
    <row r="1208" spans="1:11">
      <c r="A1208" s="1" t="s">
        <v>1717</v>
      </c>
      <c r="B1208" s="313" t="str">
        <f>报表附注!E1611</f>
        <v>2、开办费</v>
      </c>
      <c r="C1208" s="322">
        <f t="shared" si="109"/>
        <v>0</v>
      </c>
      <c r="D1208" s="1" t="b">
        <f t="shared" si="107"/>
        <v>0</v>
      </c>
      <c r="E1208" s="315"/>
      <c r="H1208" s="1" t="b">
        <f t="shared" si="105"/>
        <v>0</v>
      </c>
      <c r="I1208" s="1" t="s">
        <v>1724</v>
      </c>
      <c r="K1208" s="1" t="b">
        <v>1</v>
      </c>
    </row>
    <row r="1209" spans="1:11">
      <c r="A1209" s="1" t="s">
        <v>1718</v>
      </c>
      <c r="B1209" s="313" t="str">
        <f>报表附注!E1612</f>
        <v>3、可抵扣亏损</v>
      </c>
      <c r="C1209" s="322">
        <f t="shared" si="109"/>
        <v>0</v>
      </c>
      <c r="D1209" s="1" t="b">
        <f t="shared" si="107"/>
        <v>0</v>
      </c>
      <c r="E1209" s="315"/>
      <c r="H1209" s="1" t="b">
        <f t="shared" si="105"/>
        <v>0</v>
      </c>
      <c r="I1209" s="1" t="s">
        <v>2945</v>
      </c>
      <c r="K1209" s="1" t="b">
        <v>0</v>
      </c>
    </row>
    <row r="1210" ht="22.5" spans="1:11">
      <c r="A1210" s="1" t="s">
        <v>1719</v>
      </c>
      <c r="B1210" s="313" t="str">
        <f>报表附注!E1613</f>
        <v>4、非同一控制下企业合并产生递延所得税资产</v>
      </c>
      <c r="C1210" s="322">
        <f t="shared" si="109"/>
        <v>0</v>
      </c>
      <c r="D1210" s="1" t="b">
        <f t="shared" si="107"/>
        <v>0</v>
      </c>
      <c r="E1210" s="315"/>
      <c r="H1210" s="1" t="b">
        <f t="shared" si="105"/>
        <v>0</v>
      </c>
      <c r="I1210" s="1" t="s">
        <v>2946</v>
      </c>
      <c r="K1210" s="1" t="b">
        <v>0</v>
      </c>
    </row>
    <row r="1211" spans="1:11">
      <c r="A1211" s="1" t="s">
        <v>1720</v>
      </c>
      <c r="B1211" s="313" t="str">
        <f>报表附注!E1614</f>
        <v>5、计提未付的工资</v>
      </c>
      <c r="C1211" s="322">
        <f t="shared" si="109"/>
        <v>0</v>
      </c>
      <c r="D1211" s="1" t="b">
        <f t="shared" si="107"/>
        <v>0</v>
      </c>
      <c r="E1211" s="315"/>
      <c r="H1211" s="1" t="b">
        <f t="shared" si="105"/>
        <v>0</v>
      </c>
      <c r="I1211" s="1" t="s">
        <v>1725</v>
      </c>
      <c r="K1211" s="1" t="b">
        <v>1</v>
      </c>
    </row>
    <row r="1212" spans="1:11">
      <c r="A1212" s="1" t="s">
        <v>1721</v>
      </c>
      <c r="B1212" s="313" t="str">
        <f>报表附注!E1615</f>
        <v>6、递延收益</v>
      </c>
      <c r="C1212" s="322">
        <f t="shared" si="109"/>
        <v>0</v>
      </c>
      <c r="D1212" s="1" t="b">
        <f t="shared" si="107"/>
        <v>0</v>
      </c>
      <c r="E1212" s="315"/>
      <c r="H1212" s="1" t="b">
        <f t="shared" si="105"/>
        <v>0</v>
      </c>
      <c r="I1212" s="1" t="s">
        <v>1726</v>
      </c>
      <c r="K1212" s="1" t="b">
        <v>1</v>
      </c>
    </row>
    <row r="1213" spans="1:11">
      <c r="A1213" s="1" t="s">
        <v>1722</v>
      </c>
      <c r="B1213" s="313" t="str">
        <f>报表附注!E1616</f>
        <v>7、内部交易未实现损益</v>
      </c>
      <c r="C1213" s="322">
        <f t="shared" si="109"/>
        <v>0</v>
      </c>
      <c r="D1213" s="1" t="b">
        <f t="shared" si="107"/>
        <v>0</v>
      </c>
      <c r="E1213" s="315"/>
      <c r="H1213" s="1" t="b">
        <f t="shared" si="105"/>
        <v>0</v>
      </c>
      <c r="I1213" s="1" t="s">
        <v>1727</v>
      </c>
      <c r="K1213" s="1" t="b">
        <v>1</v>
      </c>
    </row>
    <row r="1214" spans="1:11">
      <c r="A1214" s="1" t="s">
        <v>936</v>
      </c>
      <c r="B1214" s="319" t="str">
        <f>报表附注!E1617</f>
        <v>二、递延所得税负债</v>
      </c>
      <c r="C1214" s="322">
        <f t="shared" si="109"/>
        <v>0</v>
      </c>
      <c r="D1214" s="1" t="b">
        <f t="shared" si="107"/>
        <v>1</v>
      </c>
      <c r="E1214" s="315"/>
      <c r="H1214" s="1" t="b">
        <f t="shared" si="105"/>
        <v>0</v>
      </c>
      <c r="I1214" s="1" t="s">
        <v>1728</v>
      </c>
      <c r="K1214" s="1" t="b">
        <v>1</v>
      </c>
    </row>
    <row r="1215" spans="1:11">
      <c r="A1215" s="1" t="s">
        <v>1723</v>
      </c>
      <c r="B1215" s="313" t="str">
        <f>报表附注!E1618</f>
        <v>1、交易性金融工具、衍生金融工具的估值</v>
      </c>
      <c r="C1215" s="322">
        <f t="shared" si="109"/>
        <v>0</v>
      </c>
      <c r="D1215" s="1" t="b">
        <f t="shared" si="107"/>
        <v>0</v>
      </c>
      <c r="E1215" s="315"/>
      <c r="H1215" s="1" t="b">
        <f t="shared" si="105"/>
        <v>0</v>
      </c>
      <c r="I1215" s="1" t="s">
        <v>1729</v>
      </c>
      <c r="K1215" s="1" t="b">
        <v>1</v>
      </c>
    </row>
    <row r="1216" ht="22.5" spans="1:11">
      <c r="A1216" s="1" t="s">
        <v>1724</v>
      </c>
      <c r="B1216" s="313" t="str">
        <f>报表附注!E1619</f>
        <v>2、计入资本公积的可供出售金融资产公允价值变动</v>
      </c>
      <c r="C1216" s="322">
        <f t="shared" si="109"/>
        <v>0</v>
      </c>
      <c r="D1216" s="1" t="b">
        <f t="shared" si="107"/>
        <v>0</v>
      </c>
      <c r="E1216" s="315"/>
      <c r="H1216" s="1" t="b">
        <f t="shared" si="105"/>
        <v>0</v>
      </c>
      <c r="I1216" s="1" t="s">
        <v>1730</v>
      </c>
      <c r="K1216" s="1" t="b">
        <v>1</v>
      </c>
    </row>
    <row r="1217" ht="22.5" spans="1:11">
      <c r="A1217" s="1" t="s">
        <v>1721</v>
      </c>
      <c r="B1217" s="313" t="str">
        <f>报表附注!E1620</f>
        <v>3、非同一控制下企业合并产生递延所得税负债</v>
      </c>
      <c r="C1217" s="322">
        <f t="shared" si="109"/>
        <v>0</v>
      </c>
      <c r="D1217" s="1" t="b">
        <f t="shared" si="107"/>
        <v>0</v>
      </c>
      <c r="E1217" s="315"/>
      <c r="H1217" s="1" t="b">
        <f t="shared" si="105"/>
        <v>0</v>
      </c>
      <c r="I1217" s="1" t="s">
        <v>1731</v>
      </c>
      <c r="K1217" s="1" t="b">
        <v>1</v>
      </c>
    </row>
    <row r="1218" spans="1:11">
      <c r="A1218" s="1" t="s">
        <v>1722</v>
      </c>
      <c r="B1218" s="313" t="str">
        <f>报表附注!E1621</f>
        <v>4、内部交易未实现损益</v>
      </c>
      <c r="C1218" s="322">
        <f t="shared" si="109"/>
        <v>0</v>
      </c>
      <c r="D1218" s="1" t="b">
        <f t="shared" si="107"/>
        <v>0</v>
      </c>
      <c r="E1218" s="315"/>
      <c r="H1218" s="1" t="b">
        <f t="shared" si="105"/>
        <v>0</v>
      </c>
      <c r="I1218" s="1" t="s">
        <v>1732</v>
      </c>
      <c r="K1218" s="1" t="b">
        <v>1</v>
      </c>
    </row>
    <row r="1219" spans="1:11">
      <c r="A1219" s="1" t="s">
        <v>1725</v>
      </c>
      <c r="B1219" s="313" t="str">
        <f>报表附注!E1622</f>
        <v>5、固定资产评估增值</v>
      </c>
      <c r="C1219" s="322">
        <f t="shared" si="109"/>
        <v>0</v>
      </c>
      <c r="D1219" s="1" t="b">
        <f t="shared" si="107"/>
        <v>0</v>
      </c>
      <c r="E1219" s="315"/>
      <c r="H1219" s="1" t="b">
        <f t="shared" si="105"/>
        <v>0</v>
      </c>
      <c r="I1219" s="1" t="s">
        <v>1733</v>
      </c>
      <c r="K1219" s="1" t="b">
        <v>1</v>
      </c>
    </row>
    <row r="1220" spans="1:11">
      <c r="A1220" s="1" t="s">
        <v>1726</v>
      </c>
      <c r="B1220" s="313" t="str">
        <f>报表附注!E1623</f>
        <v>新增项目4……</v>
      </c>
      <c r="C1220" s="322">
        <f t="shared" si="109"/>
        <v>0</v>
      </c>
      <c r="D1220" s="1" t="b">
        <f t="shared" si="107"/>
        <v>1</v>
      </c>
      <c r="E1220" s="315"/>
      <c r="H1220" s="1" t="b">
        <f t="shared" ref="H1220:H1283" si="110">I1220=B1220</f>
        <v>0</v>
      </c>
      <c r="I1220" s="1" t="s">
        <v>934</v>
      </c>
      <c r="K1220" s="1" t="b">
        <v>1</v>
      </c>
    </row>
    <row r="1221" spans="1:11">
      <c r="A1221" s="1" t="s">
        <v>1727</v>
      </c>
      <c r="B1221" s="313" t="str">
        <f>报表附注!E1624</f>
        <v>新增项目5……</v>
      </c>
      <c r="C1221" s="322">
        <f t="shared" si="109"/>
        <v>0</v>
      </c>
      <c r="D1221" s="1" t="b">
        <f t="shared" si="107"/>
        <v>1</v>
      </c>
      <c r="E1221" s="315"/>
      <c r="H1221" s="1" t="b">
        <f t="shared" si="110"/>
        <v>0</v>
      </c>
      <c r="I1221" s="1" t="s">
        <v>1709</v>
      </c>
      <c r="K1221" s="1" t="b">
        <v>1</v>
      </c>
    </row>
    <row r="1222" spans="1:11">
      <c r="A1222" s="1" t="s">
        <v>1728</v>
      </c>
      <c r="B1222" s="313" t="str">
        <f>报表附注!E1625</f>
        <v>新增项目6……</v>
      </c>
      <c r="C1222" s="322">
        <f t="shared" si="109"/>
        <v>0</v>
      </c>
      <c r="D1222" s="1" t="b">
        <f t="shared" si="107"/>
        <v>1</v>
      </c>
      <c r="E1222" s="315"/>
      <c r="H1222" s="1" t="b">
        <f t="shared" si="110"/>
        <v>0</v>
      </c>
      <c r="I1222" s="1" t="s">
        <v>1710</v>
      </c>
      <c r="K1222" s="1" t="b">
        <v>1</v>
      </c>
    </row>
    <row r="1223" spans="1:11">
      <c r="A1223" s="1" t="s">
        <v>1729</v>
      </c>
      <c r="B1223" s="313" t="str">
        <f>报表附注!E1626</f>
        <v>新增项目7……</v>
      </c>
      <c r="C1223" s="322">
        <f t="shared" si="109"/>
        <v>0</v>
      </c>
      <c r="D1223" s="1" t="b">
        <f t="shared" si="107"/>
        <v>1</v>
      </c>
      <c r="E1223" s="315"/>
      <c r="H1223" s="1" t="b">
        <f t="shared" si="110"/>
        <v>0</v>
      </c>
      <c r="I1223" s="1" t="s">
        <v>1711</v>
      </c>
      <c r="K1223" s="1" t="b">
        <v>1</v>
      </c>
    </row>
    <row r="1224" spans="1:11">
      <c r="A1224" s="1" t="s">
        <v>1730</v>
      </c>
      <c r="B1224" s="313" t="str">
        <f>报表附注!E1627</f>
        <v>新增项目8……</v>
      </c>
      <c r="C1224" s="322">
        <f t="shared" si="109"/>
        <v>0</v>
      </c>
      <c r="D1224" s="1" t="b">
        <f t="shared" si="107"/>
        <v>1</v>
      </c>
      <c r="E1224" s="315"/>
      <c r="H1224" s="1" t="b">
        <f t="shared" si="110"/>
        <v>0</v>
      </c>
      <c r="I1224" s="1" t="s">
        <v>1712</v>
      </c>
      <c r="K1224" s="1" t="b">
        <v>1</v>
      </c>
    </row>
    <row r="1225" spans="1:11">
      <c r="A1225" s="1" t="s">
        <v>1731</v>
      </c>
      <c r="B1225" s="313" t="str">
        <f>报表附注!E1628</f>
        <v>新增项目9……</v>
      </c>
      <c r="C1225" s="322">
        <f t="shared" si="109"/>
        <v>0</v>
      </c>
      <c r="D1225" s="1" t="b">
        <f t="shared" si="107"/>
        <v>1</v>
      </c>
      <c r="E1225" s="315"/>
      <c r="H1225" s="1" t="b">
        <f t="shared" si="110"/>
        <v>0</v>
      </c>
      <c r="I1225" s="1" t="s">
        <v>1713</v>
      </c>
      <c r="K1225" s="1" t="b">
        <v>1</v>
      </c>
    </row>
    <row r="1226" spans="1:11">
      <c r="A1226" s="1" t="s">
        <v>1732</v>
      </c>
      <c r="B1226" s="313" t="str">
        <f>报表附注!E1629</f>
        <v>新增项目10……</v>
      </c>
      <c r="C1226" s="322">
        <f t="shared" si="109"/>
        <v>0</v>
      </c>
      <c r="D1226" s="1" t="b">
        <f t="shared" si="107"/>
        <v>1</v>
      </c>
      <c r="E1226" s="315"/>
      <c r="H1226" s="1" t="b">
        <f t="shared" si="110"/>
        <v>0</v>
      </c>
      <c r="I1226" s="1" t="s">
        <v>1714</v>
      </c>
      <c r="K1226" s="1" t="b">
        <v>1</v>
      </c>
    </row>
    <row r="1227" spans="1:11">
      <c r="A1227" s="1" t="s">
        <v>1733</v>
      </c>
      <c r="B1227" s="335" t="s">
        <v>1733</v>
      </c>
      <c r="C1227" s="330">
        <f t="shared" si="109"/>
        <v>0</v>
      </c>
      <c r="D1227" s="1" t="b">
        <f t="shared" si="107"/>
        <v>1</v>
      </c>
      <c r="E1227" s="311"/>
      <c r="H1227" s="1" t="b">
        <f t="shared" si="110"/>
        <v>0</v>
      </c>
      <c r="I1227" s="1" t="s">
        <v>1715</v>
      </c>
      <c r="K1227" s="1" t="b">
        <v>1</v>
      </c>
    </row>
    <row r="1228" spans="1:11">
      <c r="A1228" s="1" t="s">
        <v>934</v>
      </c>
      <c r="B1228" s="313" t="str">
        <f>报表附注!E1602</f>
        <v>一、递延所得税资产</v>
      </c>
      <c r="C1228" s="322">
        <f t="shared" si="109"/>
        <v>0</v>
      </c>
      <c r="D1228" s="1" t="b">
        <f t="shared" ref="D1228:D1291" si="111">EXACT(A1228,B1228)</f>
        <v>1</v>
      </c>
      <c r="E1228" s="315"/>
      <c r="H1228" s="1" t="b">
        <f t="shared" si="110"/>
        <v>0</v>
      </c>
      <c r="I1228" s="1" t="s">
        <v>1716</v>
      </c>
      <c r="K1228" s="1" t="b">
        <v>1</v>
      </c>
    </row>
    <row r="1229" spans="1:11">
      <c r="A1229" s="1" t="s">
        <v>1709</v>
      </c>
      <c r="B1229" s="313" t="str">
        <f>报表附注!E1603</f>
        <v>1、资产减值准备：</v>
      </c>
      <c r="C1229" s="322">
        <f t="shared" si="109"/>
        <v>0</v>
      </c>
      <c r="D1229" s="1" t="b">
        <f t="shared" si="111"/>
        <v>0</v>
      </c>
      <c r="E1229" s="315"/>
      <c r="H1229" s="1" t="b">
        <f t="shared" si="110"/>
        <v>0</v>
      </c>
      <c r="I1229" s="1" t="s">
        <v>2937</v>
      </c>
      <c r="K1229" s="1" t="b">
        <v>0</v>
      </c>
    </row>
    <row r="1230" spans="1:11">
      <c r="A1230" s="1" t="s">
        <v>1710</v>
      </c>
      <c r="B1230" s="336" t="str">
        <f>报表附注!E1604</f>
        <v>      其中：坏账准备</v>
      </c>
      <c r="C1230" s="322">
        <f t="shared" si="109"/>
        <v>0</v>
      </c>
      <c r="D1230" s="1" t="b">
        <f t="shared" si="111"/>
        <v>1</v>
      </c>
      <c r="E1230" s="315"/>
      <c r="H1230" s="1" t="b">
        <f t="shared" si="110"/>
        <v>0</v>
      </c>
      <c r="I1230" s="1" t="s">
        <v>2938</v>
      </c>
      <c r="K1230" s="1" t="b">
        <v>0</v>
      </c>
    </row>
    <row r="1231" spans="1:11">
      <c r="A1231" s="1" t="s">
        <v>1711</v>
      </c>
      <c r="B1231" s="336" t="str">
        <f>报表附注!E1605</f>
        <v>           存货减值</v>
      </c>
      <c r="C1231" s="322">
        <f t="shared" ref="C1231:C1262" si="112">J1223</f>
        <v>0</v>
      </c>
      <c r="D1231" s="1" t="b">
        <f t="shared" si="111"/>
        <v>1</v>
      </c>
      <c r="E1231" s="315"/>
      <c r="H1231" s="1" t="b">
        <f t="shared" si="110"/>
        <v>0</v>
      </c>
      <c r="I1231" s="1" t="s">
        <v>2939</v>
      </c>
      <c r="K1231" s="1" t="b">
        <v>0</v>
      </c>
    </row>
    <row r="1232" spans="1:11">
      <c r="A1232" s="1" t="s">
        <v>1712</v>
      </c>
      <c r="B1232" s="336" t="str">
        <f>报表附注!E1606</f>
        <v>           在建工程减值</v>
      </c>
      <c r="C1232" s="322">
        <f t="shared" si="112"/>
        <v>0</v>
      </c>
      <c r="D1232" s="1" t="b">
        <f t="shared" si="111"/>
        <v>1</v>
      </c>
      <c r="E1232" s="315"/>
      <c r="H1232" s="1" t="b">
        <f t="shared" si="110"/>
        <v>0</v>
      </c>
      <c r="I1232" s="1" t="s">
        <v>2940</v>
      </c>
      <c r="K1232" s="1" t="b">
        <v>0</v>
      </c>
    </row>
    <row r="1233" spans="1:11">
      <c r="A1233" s="1" t="s">
        <v>1713</v>
      </c>
      <c r="B1233" s="336" t="str">
        <f>报表附注!E1607</f>
        <v>           长期股权投资减值</v>
      </c>
      <c r="C1233" s="322">
        <f t="shared" si="112"/>
        <v>0</v>
      </c>
      <c r="D1233" s="1" t="b">
        <f t="shared" si="111"/>
        <v>1</v>
      </c>
      <c r="E1233" s="315"/>
      <c r="H1233" s="1" t="b">
        <f t="shared" si="110"/>
        <v>0</v>
      </c>
      <c r="I1233" s="1" t="s">
        <v>4582</v>
      </c>
      <c r="K1233" s="1" t="b">
        <v>0</v>
      </c>
    </row>
    <row r="1234" spans="1:11">
      <c r="A1234" s="1" t="s">
        <v>1714</v>
      </c>
      <c r="B1234" s="336" t="str">
        <f>报表附注!E1608</f>
        <v>           固定资产减值</v>
      </c>
      <c r="C1234" s="322">
        <f t="shared" si="112"/>
        <v>0</v>
      </c>
      <c r="D1234" s="1" t="b">
        <f t="shared" si="111"/>
        <v>1</v>
      </c>
      <c r="E1234" s="315"/>
      <c r="H1234" s="1" t="b">
        <f t="shared" si="110"/>
        <v>0</v>
      </c>
      <c r="I1234" s="1" t="s">
        <v>4583</v>
      </c>
      <c r="K1234" s="1" t="b">
        <v>0</v>
      </c>
    </row>
    <row r="1235" spans="1:11">
      <c r="A1235" s="1" t="s">
        <v>1715</v>
      </c>
      <c r="B1235" s="313" t="str">
        <f>报表附注!E1609</f>
        <v>            无形资产减值</v>
      </c>
      <c r="C1235" s="322">
        <f t="shared" si="112"/>
        <v>0</v>
      </c>
      <c r="D1235" s="1" t="b">
        <f t="shared" si="111"/>
        <v>1</v>
      </c>
      <c r="E1235" s="315"/>
      <c r="H1235" s="1" t="b">
        <f t="shared" si="110"/>
        <v>0</v>
      </c>
      <c r="I1235" s="1" t="s">
        <v>936</v>
      </c>
      <c r="K1235" s="1" t="b">
        <v>1</v>
      </c>
    </row>
    <row r="1236" spans="1:11">
      <c r="A1236" s="1" t="s">
        <v>1716</v>
      </c>
      <c r="B1236" s="313" t="str">
        <f>报表附注!E1610</f>
        <v>            商誉减值</v>
      </c>
      <c r="C1236" s="322">
        <f t="shared" si="112"/>
        <v>0</v>
      </c>
      <c r="D1236" s="1" t="b">
        <f t="shared" si="111"/>
        <v>1</v>
      </c>
      <c r="E1236" s="315"/>
      <c r="H1236" s="1" t="b">
        <f t="shared" si="110"/>
        <v>0</v>
      </c>
      <c r="I1236" s="1" t="s">
        <v>1723</v>
      </c>
      <c r="K1236" s="1" t="b">
        <v>1</v>
      </c>
    </row>
    <row r="1237" spans="1:11">
      <c r="A1237" s="1" t="s">
        <v>1717</v>
      </c>
      <c r="B1237" s="313" t="str">
        <f>报表附注!E1611</f>
        <v>2、开办费</v>
      </c>
      <c r="C1237" s="322">
        <f t="shared" si="112"/>
        <v>0</v>
      </c>
      <c r="D1237" s="1" t="b">
        <f t="shared" si="111"/>
        <v>0</v>
      </c>
      <c r="E1237" s="315"/>
      <c r="H1237" s="1" t="b">
        <f t="shared" si="110"/>
        <v>0</v>
      </c>
      <c r="I1237" s="1" t="s">
        <v>1724</v>
      </c>
      <c r="K1237" s="1" t="b">
        <v>1</v>
      </c>
    </row>
    <row r="1238" spans="1:11">
      <c r="A1238" s="1" t="s">
        <v>1718</v>
      </c>
      <c r="B1238" s="313" t="str">
        <f>报表附注!E1612</f>
        <v>3、可抵扣亏损</v>
      </c>
      <c r="C1238" s="322">
        <f t="shared" si="112"/>
        <v>0</v>
      </c>
      <c r="D1238" s="1" t="b">
        <f t="shared" si="111"/>
        <v>0</v>
      </c>
      <c r="E1238" s="315"/>
      <c r="H1238" s="1" t="b">
        <f t="shared" si="110"/>
        <v>0</v>
      </c>
      <c r="I1238" s="1" t="s">
        <v>2945</v>
      </c>
      <c r="K1238" s="1" t="b">
        <v>0</v>
      </c>
    </row>
    <row r="1239" ht="22.5" spans="1:11">
      <c r="A1239" s="1" t="s">
        <v>1719</v>
      </c>
      <c r="B1239" s="313" t="str">
        <f>报表附注!E1613</f>
        <v>4、非同一控制下企业合并产生递延所得税资产</v>
      </c>
      <c r="C1239" s="322">
        <f t="shared" si="112"/>
        <v>0</v>
      </c>
      <c r="D1239" s="1" t="b">
        <f t="shared" si="111"/>
        <v>0</v>
      </c>
      <c r="E1239" s="315"/>
      <c r="H1239" s="1" t="b">
        <f t="shared" si="110"/>
        <v>0</v>
      </c>
      <c r="I1239" s="1" t="s">
        <v>2946</v>
      </c>
      <c r="K1239" s="1" t="b">
        <v>0</v>
      </c>
    </row>
    <row r="1240" spans="1:11">
      <c r="A1240" s="1" t="s">
        <v>1720</v>
      </c>
      <c r="B1240" s="313" t="str">
        <f>报表附注!E1614</f>
        <v>5、计提未付的工资</v>
      </c>
      <c r="C1240" s="322">
        <f t="shared" si="112"/>
        <v>0</v>
      </c>
      <c r="D1240" s="1" t="b">
        <f t="shared" si="111"/>
        <v>0</v>
      </c>
      <c r="E1240" s="315"/>
      <c r="H1240" s="1" t="b">
        <f t="shared" si="110"/>
        <v>0</v>
      </c>
      <c r="I1240" s="1" t="s">
        <v>1725</v>
      </c>
      <c r="K1240" s="1" t="b">
        <v>1</v>
      </c>
    </row>
    <row r="1241" spans="1:11">
      <c r="A1241" s="1" t="s">
        <v>1721</v>
      </c>
      <c r="B1241" s="313" t="str">
        <f>报表附注!E1615</f>
        <v>6、递延收益</v>
      </c>
      <c r="C1241" s="322">
        <f t="shared" si="112"/>
        <v>0</v>
      </c>
      <c r="D1241" s="1" t="b">
        <f t="shared" si="111"/>
        <v>0</v>
      </c>
      <c r="E1241" s="315"/>
      <c r="H1241" s="1" t="b">
        <f t="shared" si="110"/>
        <v>0</v>
      </c>
      <c r="I1241" s="1" t="s">
        <v>1726</v>
      </c>
      <c r="K1241" s="1" t="b">
        <v>1</v>
      </c>
    </row>
    <row r="1242" spans="1:11">
      <c r="A1242" s="1" t="s">
        <v>1722</v>
      </c>
      <c r="B1242" s="313" t="str">
        <f>报表附注!E1616</f>
        <v>7、内部交易未实现损益</v>
      </c>
      <c r="C1242" s="322">
        <f t="shared" si="112"/>
        <v>0</v>
      </c>
      <c r="D1242" s="1" t="b">
        <f t="shared" si="111"/>
        <v>0</v>
      </c>
      <c r="E1242" s="315"/>
      <c r="H1242" s="1" t="b">
        <f t="shared" si="110"/>
        <v>0</v>
      </c>
      <c r="I1242" s="1" t="s">
        <v>1727</v>
      </c>
      <c r="K1242" s="1" t="b">
        <v>1</v>
      </c>
    </row>
    <row r="1243" spans="1:11">
      <c r="A1243" s="1" t="s">
        <v>936</v>
      </c>
      <c r="B1243" s="313" t="str">
        <f>报表附注!E1617</f>
        <v>二、递延所得税负债</v>
      </c>
      <c r="C1243" s="322">
        <f t="shared" si="112"/>
        <v>0</v>
      </c>
      <c r="D1243" s="1" t="b">
        <f t="shared" si="111"/>
        <v>1</v>
      </c>
      <c r="E1243" s="315"/>
      <c r="H1243" s="1" t="b">
        <f t="shared" si="110"/>
        <v>0</v>
      </c>
      <c r="I1243" s="1" t="s">
        <v>1728</v>
      </c>
      <c r="K1243" s="1" t="b">
        <v>1</v>
      </c>
    </row>
    <row r="1244" spans="1:11">
      <c r="A1244" s="1" t="s">
        <v>1723</v>
      </c>
      <c r="B1244" s="313" t="str">
        <f>报表附注!E1618</f>
        <v>1、交易性金融工具、衍生金融工具的估值</v>
      </c>
      <c r="C1244" s="322">
        <f t="shared" si="112"/>
        <v>0</v>
      </c>
      <c r="D1244" s="1" t="b">
        <f t="shared" si="111"/>
        <v>0</v>
      </c>
      <c r="E1244" s="315"/>
      <c r="H1244" s="1" t="b">
        <f t="shared" si="110"/>
        <v>0</v>
      </c>
      <c r="I1244" s="1" t="s">
        <v>1729</v>
      </c>
      <c r="K1244" s="1" t="b">
        <v>1</v>
      </c>
    </row>
    <row r="1245" ht="22.5" spans="1:11">
      <c r="A1245" s="1" t="s">
        <v>1724</v>
      </c>
      <c r="B1245" s="313" t="str">
        <f>报表附注!E1619</f>
        <v>2、计入资本公积的可供出售金融资产公允价值变动</v>
      </c>
      <c r="C1245" s="322">
        <f t="shared" si="112"/>
        <v>0</v>
      </c>
      <c r="D1245" s="1" t="b">
        <f t="shared" si="111"/>
        <v>0</v>
      </c>
      <c r="E1245" s="315"/>
      <c r="H1245" s="1" t="b">
        <f t="shared" si="110"/>
        <v>0</v>
      </c>
      <c r="I1245" s="1" t="s">
        <v>1730</v>
      </c>
      <c r="K1245" s="1" t="b">
        <v>1</v>
      </c>
    </row>
    <row r="1246" ht="22.5" spans="1:11">
      <c r="A1246" s="1" t="s">
        <v>1721</v>
      </c>
      <c r="B1246" s="313" t="str">
        <f>报表附注!E1620</f>
        <v>3、非同一控制下企业合并产生递延所得税负债</v>
      </c>
      <c r="C1246" s="322">
        <f t="shared" si="112"/>
        <v>0</v>
      </c>
      <c r="D1246" s="1" t="b">
        <f t="shared" si="111"/>
        <v>0</v>
      </c>
      <c r="E1246" s="315"/>
      <c r="H1246" s="1" t="b">
        <f t="shared" si="110"/>
        <v>0</v>
      </c>
      <c r="I1246" s="1" t="s">
        <v>1731</v>
      </c>
      <c r="K1246" s="1" t="b">
        <v>1</v>
      </c>
    </row>
    <row r="1247" spans="1:11">
      <c r="A1247" s="1" t="s">
        <v>1722</v>
      </c>
      <c r="B1247" s="313" t="str">
        <f>报表附注!E1621</f>
        <v>4、内部交易未实现损益</v>
      </c>
      <c r="C1247" s="322">
        <f t="shared" si="112"/>
        <v>0</v>
      </c>
      <c r="D1247" s="1" t="b">
        <f t="shared" si="111"/>
        <v>0</v>
      </c>
      <c r="E1247" s="315"/>
      <c r="H1247" s="1" t="b">
        <f t="shared" si="110"/>
        <v>0</v>
      </c>
      <c r="I1247" s="1" t="s">
        <v>1732</v>
      </c>
      <c r="K1247" s="1" t="b">
        <v>1</v>
      </c>
    </row>
    <row r="1248" spans="1:11">
      <c r="A1248" s="1" t="s">
        <v>1725</v>
      </c>
      <c r="B1248" s="313" t="str">
        <f>报表附注!E1622</f>
        <v>5、固定资产评估增值</v>
      </c>
      <c r="C1248" s="322">
        <f t="shared" si="112"/>
        <v>0</v>
      </c>
      <c r="D1248" s="1" t="b">
        <f t="shared" si="111"/>
        <v>0</v>
      </c>
      <c r="E1248" s="315"/>
      <c r="H1248" s="1" t="b">
        <f t="shared" si="110"/>
        <v>0</v>
      </c>
      <c r="I1248" s="1" t="s">
        <v>1579</v>
      </c>
      <c r="K1248" s="1" t="b">
        <v>1</v>
      </c>
    </row>
    <row r="1249" spans="1:11">
      <c r="A1249" s="1" t="s">
        <v>1726</v>
      </c>
      <c r="B1249" s="313" t="str">
        <f>报表附注!E1623</f>
        <v>新增项目4……</v>
      </c>
      <c r="C1249" s="322">
        <f t="shared" si="112"/>
        <v>0</v>
      </c>
      <c r="D1249" s="1" t="b">
        <f t="shared" si="111"/>
        <v>1</v>
      </c>
      <c r="E1249" s="315"/>
      <c r="H1249" s="1" t="b">
        <f t="shared" si="110"/>
        <v>0</v>
      </c>
      <c r="I1249" s="1" t="s">
        <v>934</v>
      </c>
      <c r="K1249" s="1" t="b">
        <v>1</v>
      </c>
    </row>
    <row r="1250" spans="1:11">
      <c r="A1250" s="1" t="s">
        <v>1727</v>
      </c>
      <c r="B1250" s="313" t="str">
        <f>报表附注!E1624</f>
        <v>新增项目5……</v>
      </c>
      <c r="C1250" s="322">
        <f t="shared" si="112"/>
        <v>0</v>
      </c>
      <c r="D1250" s="1" t="b">
        <f t="shared" si="111"/>
        <v>1</v>
      </c>
      <c r="E1250" s="315"/>
      <c r="H1250" s="1" t="b">
        <f t="shared" si="110"/>
        <v>0</v>
      </c>
      <c r="I1250" s="1" t="s">
        <v>1709</v>
      </c>
      <c r="K1250" s="1" t="b">
        <v>1</v>
      </c>
    </row>
    <row r="1251" spans="1:11">
      <c r="A1251" s="1" t="s">
        <v>1728</v>
      </c>
      <c r="B1251" s="313" t="str">
        <f>报表附注!E1625</f>
        <v>新增项目6……</v>
      </c>
      <c r="C1251" s="322">
        <f t="shared" si="112"/>
        <v>0</v>
      </c>
      <c r="D1251" s="1" t="b">
        <f t="shared" si="111"/>
        <v>1</v>
      </c>
      <c r="E1251" s="315"/>
      <c r="H1251" s="1" t="b">
        <f t="shared" si="110"/>
        <v>0</v>
      </c>
      <c r="I1251" s="1" t="s">
        <v>1710</v>
      </c>
      <c r="K1251" s="1" t="b">
        <v>1</v>
      </c>
    </row>
    <row r="1252" spans="1:11">
      <c r="A1252" s="1" t="s">
        <v>1729</v>
      </c>
      <c r="B1252" s="313" t="str">
        <f>报表附注!E1626</f>
        <v>新增项目7……</v>
      </c>
      <c r="C1252" s="322">
        <f t="shared" si="112"/>
        <v>0</v>
      </c>
      <c r="D1252" s="1" t="b">
        <f t="shared" si="111"/>
        <v>1</v>
      </c>
      <c r="E1252" s="315"/>
      <c r="H1252" s="1" t="b">
        <f t="shared" si="110"/>
        <v>0</v>
      </c>
      <c r="I1252" s="1" t="s">
        <v>1711</v>
      </c>
      <c r="K1252" s="1" t="b">
        <v>1</v>
      </c>
    </row>
    <row r="1253" spans="1:11">
      <c r="A1253" s="1" t="s">
        <v>1730</v>
      </c>
      <c r="B1253" s="313" t="str">
        <f>报表附注!E1627</f>
        <v>新增项目8……</v>
      </c>
      <c r="C1253" s="322">
        <f t="shared" si="112"/>
        <v>0</v>
      </c>
      <c r="D1253" s="1" t="b">
        <f t="shared" si="111"/>
        <v>1</v>
      </c>
      <c r="E1253" s="315"/>
      <c r="H1253" s="1" t="b">
        <f t="shared" si="110"/>
        <v>0</v>
      </c>
      <c r="I1253" s="1" t="s">
        <v>1712</v>
      </c>
      <c r="K1253" s="1" t="b">
        <v>1</v>
      </c>
    </row>
    <row r="1254" spans="1:11">
      <c r="A1254" s="1" t="s">
        <v>1731</v>
      </c>
      <c r="B1254" s="313" t="str">
        <f>报表附注!E1628</f>
        <v>新增项目9……</v>
      </c>
      <c r="C1254" s="322">
        <f t="shared" si="112"/>
        <v>0</v>
      </c>
      <c r="D1254" s="1" t="b">
        <f t="shared" si="111"/>
        <v>1</v>
      </c>
      <c r="E1254" s="315"/>
      <c r="H1254" s="1" t="b">
        <f t="shared" si="110"/>
        <v>0</v>
      </c>
      <c r="I1254" s="1" t="s">
        <v>1713</v>
      </c>
      <c r="K1254" s="1" t="b">
        <v>1</v>
      </c>
    </row>
    <row r="1255" spans="1:11">
      <c r="A1255" s="1" t="s">
        <v>1732</v>
      </c>
      <c r="B1255" s="313" t="str">
        <f>报表附注!E1629</f>
        <v>新增项目10……</v>
      </c>
      <c r="C1255" s="322">
        <f t="shared" si="112"/>
        <v>0</v>
      </c>
      <c r="D1255" s="1" t="b">
        <f t="shared" si="111"/>
        <v>1</v>
      </c>
      <c r="E1255" s="315"/>
      <c r="H1255" s="1" t="b">
        <f t="shared" si="110"/>
        <v>0</v>
      </c>
      <c r="I1255" s="1" t="s">
        <v>1714</v>
      </c>
      <c r="K1255" s="1" t="b">
        <v>1</v>
      </c>
    </row>
    <row r="1256" spans="1:11">
      <c r="A1256" s="1" t="s">
        <v>1579</v>
      </c>
      <c r="B1256" s="335" t="s">
        <v>1579</v>
      </c>
      <c r="C1256" s="330">
        <f t="shared" si="112"/>
        <v>0</v>
      </c>
      <c r="D1256" s="1" t="b">
        <f t="shared" si="111"/>
        <v>1</v>
      </c>
      <c r="H1256" s="1" t="b">
        <f t="shared" si="110"/>
        <v>0</v>
      </c>
      <c r="I1256" s="1" t="s">
        <v>1715</v>
      </c>
      <c r="K1256" s="1" t="b">
        <v>1</v>
      </c>
    </row>
    <row r="1257" spans="1:11">
      <c r="A1257" s="1" t="s">
        <v>934</v>
      </c>
      <c r="B1257" s="313" t="str">
        <f>报表附注!E1602</f>
        <v>一、递延所得税资产</v>
      </c>
      <c r="C1257" s="325">
        <f t="shared" si="112"/>
        <v>0</v>
      </c>
      <c r="D1257" s="1" t="b">
        <f t="shared" si="111"/>
        <v>1</v>
      </c>
      <c r="E1257" s="325">
        <f>C1199</f>
        <v>0</v>
      </c>
      <c r="H1257" s="1" t="b">
        <f t="shared" si="110"/>
        <v>0</v>
      </c>
      <c r="I1257" s="1" t="s">
        <v>1716</v>
      </c>
      <c r="K1257" s="1" t="b">
        <v>1</v>
      </c>
    </row>
    <row r="1258" spans="1:11">
      <c r="A1258" s="1" t="s">
        <v>1709</v>
      </c>
      <c r="B1258" s="313" t="str">
        <f>报表附注!E1603</f>
        <v>1、资产减值准备：</v>
      </c>
      <c r="C1258" s="325">
        <f t="shared" si="112"/>
        <v>0</v>
      </c>
      <c r="D1258" s="1" t="b">
        <f t="shared" si="111"/>
        <v>0</v>
      </c>
      <c r="E1258" s="325">
        <f t="shared" ref="E1258:E1313" si="113">C1200</f>
        <v>0</v>
      </c>
      <c r="H1258" s="1" t="b">
        <f t="shared" si="110"/>
        <v>0</v>
      </c>
      <c r="I1258" s="1" t="s">
        <v>2937</v>
      </c>
      <c r="K1258" s="1" t="b">
        <v>0</v>
      </c>
    </row>
    <row r="1259" spans="1:11">
      <c r="A1259" s="1" t="s">
        <v>1710</v>
      </c>
      <c r="B1259" s="336" t="str">
        <f>报表附注!E1604</f>
        <v>      其中：坏账准备</v>
      </c>
      <c r="C1259" s="325">
        <f t="shared" si="112"/>
        <v>0</v>
      </c>
      <c r="D1259" s="1" t="b">
        <f t="shared" si="111"/>
        <v>1</v>
      </c>
      <c r="E1259" s="325">
        <f t="shared" si="113"/>
        <v>0</v>
      </c>
      <c r="H1259" s="1" t="b">
        <f t="shared" si="110"/>
        <v>0</v>
      </c>
      <c r="I1259" s="1" t="s">
        <v>2938</v>
      </c>
      <c r="K1259" s="1" t="b">
        <v>0</v>
      </c>
    </row>
    <row r="1260" spans="1:11">
      <c r="A1260" s="1" t="s">
        <v>1711</v>
      </c>
      <c r="B1260" s="336" t="str">
        <f>报表附注!E1605</f>
        <v>           存货减值</v>
      </c>
      <c r="C1260" s="325">
        <f t="shared" si="112"/>
        <v>0</v>
      </c>
      <c r="D1260" s="1" t="b">
        <f t="shared" si="111"/>
        <v>1</v>
      </c>
      <c r="E1260" s="325">
        <f t="shared" si="113"/>
        <v>0</v>
      </c>
      <c r="H1260" s="1" t="b">
        <f t="shared" si="110"/>
        <v>0</v>
      </c>
      <c r="I1260" s="1" t="s">
        <v>2939</v>
      </c>
      <c r="K1260" s="1" t="b">
        <v>0</v>
      </c>
    </row>
    <row r="1261" spans="1:11">
      <c r="A1261" s="1" t="s">
        <v>1712</v>
      </c>
      <c r="B1261" s="336" t="str">
        <f>报表附注!E1606</f>
        <v>           在建工程减值</v>
      </c>
      <c r="C1261" s="325">
        <f t="shared" si="112"/>
        <v>0</v>
      </c>
      <c r="D1261" s="1" t="b">
        <f t="shared" si="111"/>
        <v>1</v>
      </c>
      <c r="E1261" s="325">
        <f t="shared" si="113"/>
        <v>0</v>
      </c>
      <c r="H1261" s="1" t="b">
        <f t="shared" si="110"/>
        <v>0</v>
      </c>
      <c r="I1261" s="1" t="s">
        <v>2940</v>
      </c>
      <c r="K1261" s="1" t="b">
        <v>0</v>
      </c>
    </row>
    <row r="1262" spans="1:11">
      <c r="A1262" s="1" t="s">
        <v>1713</v>
      </c>
      <c r="B1262" s="336" t="str">
        <f>报表附注!E1607</f>
        <v>           长期股权投资减值</v>
      </c>
      <c r="C1262" s="325">
        <f t="shared" si="112"/>
        <v>0</v>
      </c>
      <c r="D1262" s="1" t="b">
        <f t="shared" si="111"/>
        <v>1</v>
      </c>
      <c r="E1262" s="325">
        <f t="shared" si="113"/>
        <v>0</v>
      </c>
      <c r="H1262" s="1" t="b">
        <f t="shared" si="110"/>
        <v>0</v>
      </c>
      <c r="I1262" s="1" t="s">
        <v>4582</v>
      </c>
      <c r="K1262" s="1" t="b">
        <v>0</v>
      </c>
    </row>
    <row r="1263" spans="1:11">
      <c r="A1263" s="1" t="s">
        <v>1714</v>
      </c>
      <c r="B1263" s="336" t="str">
        <f>报表附注!E1608</f>
        <v>           固定资产减值</v>
      </c>
      <c r="C1263" s="325">
        <f t="shared" ref="C1263:C1294" si="114">J1255</f>
        <v>0</v>
      </c>
      <c r="D1263" s="1" t="b">
        <f t="shared" si="111"/>
        <v>1</v>
      </c>
      <c r="E1263" s="325">
        <f t="shared" si="113"/>
        <v>0</v>
      </c>
      <c r="H1263" s="1" t="b">
        <f t="shared" si="110"/>
        <v>0</v>
      </c>
      <c r="I1263" s="1" t="s">
        <v>4583</v>
      </c>
      <c r="K1263" s="1" t="b">
        <v>0</v>
      </c>
    </row>
    <row r="1264" spans="1:11">
      <c r="A1264" s="1" t="s">
        <v>1715</v>
      </c>
      <c r="B1264" s="313" t="str">
        <f>报表附注!E1609</f>
        <v>            无形资产减值</v>
      </c>
      <c r="C1264" s="325">
        <f t="shared" si="114"/>
        <v>0</v>
      </c>
      <c r="D1264" s="1" t="b">
        <f t="shared" si="111"/>
        <v>1</v>
      </c>
      <c r="E1264" s="325">
        <f t="shared" si="113"/>
        <v>0</v>
      </c>
      <c r="H1264" s="1" t="b">
        <f t="shared" si="110"/>
        <v>0</v>
      </c>
      <c r="I1264" s="1" t="s">
        <v>936</v>
      </c>
      <c r="K1264" s="1" t="b">
        <v>1</v>
      </c>
    </row>
    <row r="1265" spans="1:11">
      <c r="A1265" s="1" t="s">
        <v>1716</v>
      </c>
      <c r="B1265" s="313" t="str">
        <f>报表附注!E1610</f>
        <v>            商誉减值</v>
      </c>
      <c r="C1265" s="325">
        <f t="shared" si="114"/>
        <v>0</v>
      </c>
      <c r="D1265" s="1" t="b">
        <f t="shared" si="111"/>
        <v>1</v>
      </c>
      <c r="E1265" s="325">
        <f t="shared" si="113"/>
        <v>0</v>
      </c>
      <c r="H1265" s="1" t="b">
        <f t="shared" si="110"/>
        <v>0</v>
      </c>
      <c r="I1265" s="1" t="s">
        <v>1723</v>
      </c>
      <c r="K1265" s="1" t="b">
        <v>1</v>
      </c>
    </row>
    <row r="1266" spans="1:11">
      <c r="A1266" s="1" t="s">
        <v>1717</v>
      </c>
      <c r="B1266" s="313" t="str">
        <f>报表附注!E1611</f>
        <v>2、开办费</v>
      </c>
      <c r="C1266" s="325">
        <f t="shared" si="114"/>
        <v>0</v>
      </c>
      <c r="D1266" s="1" t="b">
        <f t="shared" si="111"/>
        <v>0</v>
      </c>
      <c r="E1266" s="325">
        <f t="shared" si="113"/>
        <v>0</v>
      </c>
      <c r="H1266" s="1" t="b">
        <f t="shared" si="110"/>
        <v>0</v>
      </c>
      <c r="I1266" s="1" t="s">
        <v>1724</v>
      </c>
      <c r="K1266" s="1" t="b">
        <v>1</v>
      </c>
    </row>
    <row r="1267" spans="1:11">
      <c r="A1267" s="1" t="s">
        <v>1718</v>
      </c>
      <c r="B1267" s="313" t="str">
        <f>报表附注!E1612</f>
        <v>3、可抵扣亏损</v>
      </c>
      <c r="C1267" s="325">
        <f t="shared" si="114"/>
        <v>0</v>
      </c>
      <c r="D1267" s="1" t="b">
        <f t="shared" si="111"/>
        <v>0</v>
      </c>
      <c r="E1267" s="325">
        <f t="shared" si="113"/>
        <v>0</v>
      </c>
      <c r="H1267" s="1" t="b">
        <f t="shared" si="110"/>
        <v>0</v>
      </c>
      <c r="I1267" s="1" t="s">
        <v>2945</v>
      </c>
      <c r="K1267" s="1" t="b">
        <v>0</v>
      </c>
    </row>
    <row r="1268" ht="22.5" spans="1:11">
      <c r="A1268" s="1" t="s">
        <v>1719</v>
      </c>
      <c r="B1268" s="313" t="str">
        <f>报表附注!E1613</f>
        <v>4、非同一控制下企业合并产生递延所得税资产</v>
      </c>
      <c r="C1268" s="325">
        <f t="shared" si="114"/>
        <v>0</v>
      </c>
      <c r="D1268" s="1" t="b">
        <f t="shared" si="111"/>
        <v>0</v>
      </c>
      <c r="E1268" s="325">
        <f t="shared" si="113"/>
        <v>0</v>
      </c>
      <c r="H1268" s="1" t="b">
        <f t="shared" si="110"/>
        <v>0</v>
      </c>
      <c r="I1268" s="1" t="s">
        <v>2946</v>
      </c>
      <c r="K1268" s="1" t="b">
        <v>0</v>
      </c>
    </row>
    <row r="1269" spans="1:11">
      <c r="A1269" s="1" t="s">
        <v>1720</v>
      </c>
      <c r="B1269" s="313" t="str">
        <f>报表附注!E1614</f>
        <v>5、计提未付的工资</v>
      </c>
      <c r="C1269" s="325">
        <f t="shared" si="114"/>
        <v>0</v>
      </c>
      <c r="D1269" s="1" t="b">
        <f t="shared" si="111"/>
        <v>0</v>
      </c>
      <c r="E1269" s="325">
        <f t="shared" si="113"/>
        <v>0</v>
      </c>
      <c r="H1269" s="1" t="b">
        <f t="shared" si="110"/>
        <v>0</v>
      </c>
      <c r="I1269" s="1" t="s">
        <v>1725</v>
      </c>
      <c r="K1269" s="1" t="b">
        <v>1</v>
      </c>
    </row>
    <row r="1270" spans="1:11">
      <c r="A1270" s="1" t="s">
        <v>1721</v>
      </c>
      <c r="B1270" s="313" t="str">
        <f>报表附注!E1615</f>
        <v>6、递延收益</v>
      </c>
      <c r="C1270" s="325">
        <f t="shared" si="114"/>
        <v>0</v>
      </c>
      <c r="D1270" s="1" t="b">
        <f t="shared" si="111"/>
        <v>0</v>
      </c>
      <c r="E1270" s="325">
        <f t="shared" si="113"/>
        <v>0</v>
      </c>
      <c r="H1270" s="1" t="b">
        <f t="shared" si="110"/>
        <v>0</v>
      </c>
      <c r="I1270" s="1" t="s">
        <v>1726</v>
      </c>
      <c r="K1270" s="1" t="b">
        <v>1</v>
      </c>
    </row>
    <row r="1271" spans="1:11">
      <c r="A1271" s="1" t="s">
        <v>1722</v>
      </c>
      <c r="B1271" s="313" t="str">
        <f>报表附注!E1616</f>
        <v>7、内部交易未实现损益</v>
      </c>
      <c r="C1271" s="325">
        <f t="shared" si="114"/>
        <v>0</v>
      </c>
      <c r="D1271" s="1" t="b">
        <f t="shared" si="111"/>
        <v>0</v>
      </c>
      <c r="E1271" s="325">
        <f t="shared" si="113"/>
        <v>0</v>
      </c>
      <c r="H1271" s="1" t="b">
        <f t="shared" si="110"/>
        <v>0</v>
      </c>
      <c r="I1271" s="1" t="s">
        <v>1727</v>
      </c>
      <c r="K1271" s="1" t="b">
        <v>1</v>
      </c>
    </row>
    <row r="1272" spans="1:11">
      <c r="A1272" s="1" t="s">
        <v>936</v>
      </c>
      <c r="B1272" s="313" t="str">
        <f>报表附注!E1617</f>
        <v>二、递延所得税负债</v>
      </c>
      <c r="C1272" s="325">
        <f t="shared" si="114"/>
        <v>0</v>
      </c>
      <c r="D1272" s="1" t="b">
        <f t="shared" si="111"/>
        <v>1</v>
      </c>
      <c r="E1272" s="325">
        <f t="shared" si="113"/>
        <v>0</v>
      </c>
      <c r="H1272" s="1" t="b">
        <f t="shared" si="110"/>
        <v>0</v>
      </c>
      <c r="I1272" s="1" t="s">
        <v>1728</v>
      </c>
      <c r="K1272" s="1" t="b">
        <v>1</v>
      </c>
    </row>
    <row r="1273" spans="1:11">
      <c r="A1273" s="1" t="s">
        <v>1723</v>
      </c>
      <c r="B1273" s="313" t="str">
        <f>报表附注!E1618</f>
        <v>1、交易性金融工具、衍生金融工具的估值</v>
      </c>
      <c r="C1273" s="325">
        <f t="shared" si="114"/>
        <v>0</v>
      </c>
      <c r="D1273" s="1" t="b">
        <f t="shared" si="111"/>
        <v>0</v>
      </c>
      <c r="E1273" s="325">
        <f t="shared" si="113"/>
        <v>0</v>
      </c>
      <c r="H1273" s="1" t="b">
        <f t="shared" si="110"/>
        <v>0</v>
      </c>
      <c r="I1273" s="1" t="s">
        <v>1729</v>
      </c>
      <c r="K1273" s="1" t="b">
        <v>1</v>
      </c>
    </row>
    <row r="1274" ht="22.5" spans="1:11">
      <c r="A1274" s="1" t="s">
        <v>1724</v>
      </c>
      <c r="B1274" s="313" t="str">
        <f>报表附注!E1619</f>
        <v>2、计入资本公积的可供出售金融资产公允价值变动</v>
      </c>
      <c r="C1274" s="325">
        <f t="shared" si="114"/>
        <v>0</v>
      </c>
      <c r="D1274" s="1" t="b">
        <f t="shared" si="111"/>
        <v>0</v>
      </c>
      <c r="E1274" s="325">
        <f t="shared" si="113"/>
        <v>0</v>
      </c>
      <c r="H1274" s="1" t="b">
        <f t="shared" si="110"/>
        <v>0</v>
      </c>
      <c r="I1274" s="1" t="s">
        <v>1730</v>
      </c>
      <c r="K1274" s="1" t="b">
        <v>1</v>
      </c>
    </row>
    <row r="1275" ht="22.5" spans="1:11">
      <c r="A1275" s="1" t="s">
        <v>1721</v>
      </c>
      <c r="B1275" s="313" t="str">
        <f>报表附注!E1620</f>
        <v>3、非同一控制下企业合并产生递延所得税负债</v>
      </c>
      <c r="C1275" s="325">
        <f t="shared" si="114"/>
        <v>0</v>
      </c>
      <c r="D1275" s="1" t="b">
        <f t="shared" si="111"/>
        <v>0</v>
      </c>
      <c r="E1275" s="325">
        <f t="shared" si="113"/>
        <v>0</v>
      </c>
      <c r="H1275" s="1" t="b">
        <f t="shared" si="110"/>
        <v>0</v>
      </c>
      <c r="I1275" s="1" t="s">
        <v>1731</v>
      </c>
      <c r="K1275" s="1" t="b">
        <v>1</v>
      </c>
    </row>
    <row r="1276" spans="1:11">
      <c r="A1276" s="1" t="s">
        <v>1722</v>
      </c>
      <c r="B1276" s="313" t="str">
        <f>报表附注!E1621</f>
        <v>4、内部交易未实现损益</v>
      </c>
      <c r="C1276" s="325">
        <f t="shared" si="114"/>
        <v>0</v>
      </c>
      <c r="D1276" s="1" t="b">
        <f t="shared" si="111"/>
        <v>0</v>
      </c>
      <c r="E1276" s="325">
        <f t="shared" si="113"/>
        <v>0</v>
      </c>
      <c r="H1276" s="1" t="b">
        <f t="shared" si="110"/>
        <v>0</v>
      </c>
      <c r="I1276" s="1" t="s">
        <v>1732</v>
      </c>
      <c r="K1276" s="1" t="b">
        <v>1</v>
      </c>
    </row>
    <row r="1277" spans="1:11">
      <c r="A1277" s="1" t="s">
        <v>1725</v>
      </c>
      <c r="B1277" s="313" t="str">
        <f>报表附注!E1622</f>
        <v>5、固定资产评估增值</v>
      </c>
      <c r="C1277" s="325">
        <f t="shared" si="114"/>
        <v>0</v>
      </c>
      <c r="D1277" s="1" t="b">
        <f t="shared" si="111"/>
        <v>0</v>
      </c>
      <c r="E1277" s="325">
        <f t="shared" si="113"/>
        <v>0</v>
      </c>
      <c r="H1277" s="1" t="b">
        <f t="shared" si="110"/>
        <v>0</v>
      </c>
      <c r="I1277" s="1" t="s">
        <v>1734</v>
      </c>
      <c r="K1277" s="1" t="b">
        <v>1</v>
      </c>
    </row>
    <row r="1278" spans="1:11">
      <c r="A1278" s="1" t="s">
        <v>1726</v>
      </c>
      <c r="B1278" s="313" t="str">
        <f>报表附注!E1623</f>
        <v>新增项目4……</v>
      </c>
      <c r="C1278" s="325">
        <f t="shared" si="114"/>
        <v>0</v>
      </c>
      <c r="D1278" s="1" t="b">
        <f t="shared" si="111"/>
        <v>1</v>
      </c>
      <c r="E1278" s="325">
        <f t="shared" si="113"/>
        <v>0</v>
      </c>
      <c r="H1278" s="1" t="b">
        <f t="shared" si="110"/>
        <v>0</v>
      </c>
      <c r="I1278" s="1" t="s">
        <v>934</v>
      </c>
      <c r="K1278" s="1" t="b">
        <v>1</v>
      </c>
    </row>
    <row r="1279" spans="1:11">
      <c r="A1279" s="1" t="s">
        <v>1727</v>
      </c>
      <c r="B1279" s="313" t="str">
        <f>报表附注!E1624</f>
        <v>新增项目5……</v>
      </c>
      <c r="C1279" s="325">
        <f t="shared" si="114"/>
        <v>0</v>
      </c>
      <c r="D1279" s="1" t="b">
        <f t="shared" si="111"/>
        <v>1</v>
      </c>
      <c r="E1279" s="325">
        <f t="shared" si="113"/>
        <v>0</v>
      </c>
      <c r="H1279" s="1" t="b">
        <f t="shared" si="110"/>
        <v>0</v>
      </c>
      <c r="I1279" s="1" t="s">
        <v>1709</v>
      </c>
      <c r="K1279" s="1" t="b">
        <v>1</v>
      </c>
    </row>
    <row r="1280" spans="1:11">
      <c r="A1280" s="1" t="s">
        <v>1728</v>
      </c>
      <c r="B1280" s="313" t="str">
        <f>报表附注!E1625</f>
        <v>新增项目6……</v>
      </c>
      <c r="C1280" s="325">
        <f t="shared" si="114"/>
        <v>0</v>
      </c>
      <c r="D1280" s="1" t="b">
        <f t="shared" si="111"/>
        <v>1</v>
      </c>
      <c r="E1280" s="325">
        <f t="shared" si="113"/>
        <v>0</v>
      </c>
      <c r="H1280" s="1" t="b">
        <f t="shared" si="110"/>
        <v>0</v>
      </c>
      <c r="I1280" s="1" t="s">
        <v>1710</v>
      </c>
      <c r="K1280" s="1" t="b">
        <v>1</v>
      </c>
    </row>
    <row r="1281" spans="1:11">
      <c r="A1281" s="1" t="s">
        <v>1729</v>
      </c>
      <c r="B1281" s="313" t="str">
        <f>报表附注!E1626</f>
        <v>新增项目7……</v>
      </c>
      <c r="C1281" s="325">
        <f t="shared" si="114"/>
        <v>0</v>
      </c>
      <c r="D1281" s="1" t="b">
        <f t="shared" si="111"/>
        <v>1</v>
      </c>
      <c r="E1281" s="325">
        <f t="shared" si="113"/>
        <v>0</v>
      </c>
      <c r="H1281" s="1" t="b">
        <f t="shared" si="110"/>
        <v>0</v>
      </c>
      <c r="I1281" s="1" t="s">
        <v>1711</v>
      </c>
      <c r="K1281" s="1" t="b">
        <v>1</v>
      </c>
    </row>
    <row r="1282" spans="1:11">
      <c r="A1282" s="1" t="s">
        <v>1730</v>
      </c>
      <c r="B1282" s="313" t="str">
        <f>报表附注!E1627</f>
        <v>新增项目8……</v>
      </c>
      <c r="C1282" s="325">
        <f t="shared" si="114"/>
        <v>0</v>
      </c>
      <c r="D1282" s="1" t="b">
        <f t="shared" si="111"/>
        <v>1</v>
      </c>
      <c r="E1282" s="325">
        <f t="shared" si="113"/>
        <v>0</v>
      </c>
      <c r="H1282" s="1" t="b">
        <f t="shared" si="110"/>
        <v>0</v>
      </c>
      <c r="I1282" s="1" t="s">
        <v>1712</v>
      </c>
      <c r="K1282" s="1" t="b">
        <v>1</v>
      </c>
    </row>
    <row r="1283" spans="1:11">
      <c r="A1283" s="1" t="s">
        <v>1731</v>
      </c>
      <c r="B1283" s="313" t="str">
        <f>报表附注!E1628</f>
        <v>新增项目9……</v>
      </c>
      <c r="C1283" s="325">
        <f t="shared" si="114"/>
        <v>0</v>
      </c>
      <c r="D1283" s="1" t="b">
        <f t="shared" si="111"/>
        <v>1</v>
      </c>
      <c r="E1283" s="325">
        <f t="shared" si="113"/>
        <v>0</v>
      </c>
      <c r="H1283" s="1" t="b">
        <f t="shared" si="110"/>
        <v>0</v>
      </c>
      <c r="I1283" s="1" t="s">
        <v>1713</v>
      </c>
      <c r="K1283" s="1" t="b">
        <v>1</v>
      </c>
    </row>
    <row r="1284" spans="1:11">
      <c r="A1284" s="1" t="s">
        <v>1732</v>
      </c>
      <c r="B1284" s="313" t="str">
        <f>报表附注!E1629</f>
        <v>新增项目10……</v>
      </c>
      <c r="C1284" s="325">
        <f t="shared" si="114"/>
        <v>0</v>
      </c>
      <c r="D1284" s="1" t="b">
        <f t="shared" si="111"/>
        <v>1</v>
      </c>
      <c r="E1284" s="325">
        <f t="shared" si="113"/>
        <v>0</v>
      </c>
      <c r="H1284" s="1" t="b">
        <f t="shared" ref="H1284:H1347" si="115">I1284=B1284</f>
        <v>0</v>
      </c>
      <c r="I1284" s="1" t="s">
        <v>1714</v>
      </c>
      <c r="K1284" s="1" t="b">
        <v>1</v>
      </c>
    </row>
    <row r="1285" spans="1:11">
      <c r="A1285" s="1" t="s">
        <v>1734</v>
      </c>
      <c r="B1285" s="335" t="s">
        <v>1734</v>
      </c>
      <c r="C1285" s="330">
        <f t="shared" si="114"/>
        <v>0</v>
      </c>
      <c r="D1285" s="1" t="b">
        <f t="shared" si="111"/>
        <v>1</v>
      </c>
      <c r="E1285" s="325">
        <f t="shared" si="113"/>
        <v>0</v>
      </c>
      <c r="H1285" s="1" t="b">
        <f t="shared" si="115"/>
        <v>0</v>
      </c>
      <c r="I1285" s="1" t="s">
        <v>1715</v>
      </c>
      <c r="K1285" s="1" t="b">
        <v>1</v>
      </c>
    </row>
    <row r="1286" spans="1:11">
      <c r="A1286" s="1" t="s">
        <v>934</v>
      </c>
      <c r="B1286" s="313" t="str">
        <f>报表附注!E1602</f>
        <v>一、递延所得税资产</v>
      </c>
      <c r="C1286" s="325">
        <f t="shared" si="114"/>
        <v>0</v>
      </c>
      <c r="D1286" s="1" t="b">
        <f t="shared" si="111"/>
        <v>1</v>
      </c>
      <c r="E1286" s="325">
        <f t="shared" si="113"/>
        <v>0</v>
      </c>
      <c r="H1286" s="1" t="b">
        <f t="shared" si="115"/>
        <v>0</v>
      </c>
      <c r="I1286" s="1" t="s">
        <v>1716</v>
      </c>
      <c r="K1286" s="1" t="b">
        <v>1</v>
      </c>
    </row>
    <row r="1287" spans="1:11">
      <c r="A1287" s="1" t="s">
        <v>1709</v>
      </c>
      <c r="B1287" s="313" t="str">
        <f>报表附注!E1603</f>
        <v>1、资产减值准备：</v>
      </c>
      <c r="C1287" s="325">
        <f t="shared" si="114"/>
        <v>0</v>
      </c>
      <c r="D1287" s="1" t="b">
        <f t="shared" si="111"/>
        <v>0</v>
      </c>
      <c r="E1287" s="325">
        <f t="shared" si="113"/>
        <v>0</v>
      </c>
      <c r="H1287" s="1" t="b">
        <f t="shared" si="115"/>
        <v>0</v>
      </c>
      <c r="I1287" s="1" t="s">
        <v>2937</v>
      </c>
      <c r="K1287" s="1" t="b">
        <v>0</v>
      </c>
    </row>
    <row r="1288" spans="1:11">
      <c r="A1288" s="1" t="s">
        <v>1710</v>
      </c>
      <c r="B1288" s="336" t="str">
        <f>报表附注!E1604</f>
        <v>      其中：坏账准备</v>
      </c>
      <c r="C1288" s="325">
        <f t="shared" si="114"/>
        <v>0</v>
      </c>
      <c r="D1288" s="1" t="b">
        <f t="shared" si="111"/>
        <v>1</v>
      </c>
      <c r="E1288" s="325">
        <f t="shared" si="113"/>
        <v>0</v>
      </c>
      <c r="H1288" s="1" t="b">
        <f t="shared" si="115"/>
        <v>0</v>
      </c>
      <c r="I1288" s="1" t="s">
        <v>2938</v>
      </c>
      <c r="K1288" s="1" t="b">
        <v>0</v>
      </c>
    </row>
    <row r="1289" spans="1:11">
      <c r="A1289" s="1" t="s">
        <v>1711</v>
      </c>
      <c r="B1289" s="336" t="str">
        <f>报表附注!E1605</f>
        <v>           存货减值</v>
      </c>
      <c r="C1289" s="325">
        <f t="shared" si="114"/>
        <v>0</v>
      </c>
      <c r="D1289" s="1" t="b">
        <f t="shared" si="111"/>
        <v>1</v>
      </c>
      <c r="E1289" s="325">
        <f t="shared" si="113"/>
        <v>0</v>
      </c>
      <c r="H1289" s="1" t="b">
        <f t="shared" si="115"/>
        <v>0</v>
      </c>
      <c r="I1289" s="1" t="s">
        <v>2939</v>
      </c>
      <c r="K1289" s="1" t="b">
        <v>0</v>
      </c>
    </row>
    <row r="1290" spans="1:11">
      <c r="A1290" s="1" t="s">
        <v>1712</v>
      </c>
      <c r="B1290" s="336" t="str">
        <f>报表附注!E1606</f>
        <v>           在建工程减值</v>
      </c>
      <c r="C1290" s="325">
        <f t="shared" si="114"/>
        <v>0</v>
      </c>
      <c r="D1290" s="1" t="b">
        <f t="shared" si="111"/>
        <v>1</v>
      </c>
      <c r="E1290" s="325">
        <f t="shared" si="113"/>
        <v>0</v>
      </c>
      <c r="H1290" s="1" t="b">
        <f t="shared" si="115"/>
        <v>0</v>
      </c>
      <c r="I1290" s="1" t="s">
        <v>2940</v>
      </c>
      <c r="K1290" s="1" t="b">
        <v>0</v>
      </c>
    </row>
    <row r="1291" spans="1:11">
      <c r="A1291" s="1" t="s">
        <v>1713</v>
      </c>
      <c r="B1291" s="336" t="str">
        <f>报表附注!E1607</f>
        <v>           长期股权投资减值</v>
      </c>
      <c r="C1291" s="325">
        <f t="shared" si="114"/>
        <v>0</v>
      </c>
      <c r="D1291" s="1" t="b">
        <f t="shared" si="111"/>
        <v>1</v>
      </c>
      <c r="E1291" s="325">
        <f t="shared" si="113"/>
        <v>0</v>
      </c>
      <c r="H1291" s="1" t="b">
        <f t="shared" si="115"/>
        <v>0</v>
      </c>
      <c r="I1291" s="1" t="s">
        <v>4582</v>
      </c>
      <c r="K1291" s="1" t="b">
        <v>0</v>
      </c>
    </row>
    <row r="1292" spans="1:11">
      <c r="A1292" s="1" t="s">
        <v>1714</v>
      </c>
      <c r="B1292" s="336" t="str">
        <f>报表附注!E1608</f>
        <v>           固定资产减值</v>
      </c>
      <c r="C1292" s="325">
        <f t="shared" si="114"/>
        <v>0</v>
      </c>
      <c r="D1292" s="1" t="b">
        <f t="shared" ref="D1292:D1355" si="116">EXACT(A1292,B1292)</f>
        <v>1</v>
      </c>
      <c r="E1292" s="325">
        <f t="shared" si="113"/>
        <v>0</v>
      </c>
      <c r="H1292" s="1" t="b">
        <f t="shared" si="115"/>
        <v>0</v>
      </c>
      <c r="I1292" s="1" t="s">
        <v>4583</v>
      </c>
      <c r="K1292" s="1" t="b">
        <v>0</v>
      </c>
    </row>
    <row r="1293" spans="1:11">
      <c r="A1293" s="1" t="s">
        <v>1715</v>
      </c>
      <c r="B1293" s="313" t="str">
        <f>报表附注!E1609</f>
        <v>            无形资产减值</v>
      </c>
      <c r="C1293" s="325">
        <f t="shared" si="114"/>
        <v>0</v>
      </c>
      <c r="D1293" s="1" t="b">
        <f t="shared" si="116"/>
        <v>1</v>
      </c>
      <c r="E1293" s="325">
        <f t="shared" si="113"/>
        <v>0</v>
      </c>
      <c r="H1293" s="1" t="b">
        <f t="shared" si="115"/>
        <v>0</v>
      </c>
      <c r="I1293" s="1" t="s">
        <v>936</v>
      </c>
      <c r="K1293" s="1" t="b">
        <v>1</v>
      </c>
    </row>
    <row r="1294" spans="1:11">
      <c r="A1294" s="1" t="s">
        <v>1716</v>
      </c>
      <c r="B1294" s="313" t="str">
        <f>报表附注!E1610</f>
        <v>            商誉减值</v>
      </c>
      <c r="C1294" s="325">
        <f t="shared" si="114"/>
        <v>0</v>
      </c>
      <c r="D1294" s="1" t="b">
        <f t="shared" si="116"/>
        <v>1</v>
      </c>
      <c r="E1294" s="325">
        <f t="shared" si="113"/>
        <v>0</v>
      </c>
      <c r="H1294" s="1" t="b">
        <f t="shared" si="115"/>
        <v>0</v>
      </c>
      <c r="I1294" s="1" t="s">
        <v>1723</v>
      </c>
      <c r="K1294" s="1" t="b">
        <v>1</v>
      </c>
    </row>
    <row r="1295" spans="1:11">
      <c r="A1295" s="1" t="s">
        <v>1717</v>
      </c>
      <c r="B1295" s="313" t="str">
        <f>报表附注!E1611</f>
        <v>2、开办费</v>
      </c>
      <c r="C1295" s="325">
        <f t="shared" ref="C1295:C1326" si="117">J1287</f>
        <v>0</v>
      </c>
      <c r="D1295" s="1" t="b">
        <f t="shared" si="116"/>
        <v>0</v>
      </c>
      <c r="E1295" s="325">
        <f t="shared" si="113"/>
        <v>0</v>
      </c>
      <c r="H1295" s="1" t="b">
        <f t="shared" si="115"/>
        <v>0</v>
      </c>
      <c r="I1295" s="1" t="s">
        <v>1724</v>
      </c>
      <c r="K1295" s="1" t="b">
        <v>1</v>
      </c>
    </row>
    <row r="1296" spans="1:11">
      <c r="A1296" s="1" t="s">
        <v>1718</v>
      </c>
      <c r="B1296" s="313" t="str">
        <f>报表附注!E1612</f>
        <v>3、可抵扣亏损</v>
      </c>
      <c r="C1296" s="325">
        <f t="shared" si="117"/>
        <v>0</v>
      </c>
      <c r="D1296" s="1" t="b">
        <f t="shared" si="116"/>
        <v>0</v>
      </c>
      <c r="E1296" s="325">
        <f t="shared" si="113"/>
        <v>0</v>
      </c>
      <c r="H1296" s="1" t="b">
        <f t="shared" si="115"/>
        <v>0</v>
      </c>
      <c r="I1296" s="1" t="s">
        <v>2945</v>
      </c>
      <c r="K1296" s="1" t="b">
        <v>0</v>
      </c>
    </row>
    <row r="1297" ht="22.5" spans="1:11">
      <c r="A1297" s="1" t="s">
        <v>1719</v>
      </c>
      <c r="B1297" s="313" t="str">
        <f>报表附注!E1613</f>
        <v>4、非同一控制下企业合并产生递延所得税资产</v>
      </c>
      <c r="C1297" s="325">
        <f t="shared" si="117"/>
        <v>0</v>
      </c>
      <c r="D1297" s="1" t="b">
        <f t="shared" si="116"/>
        <v>0</v>
      </c>
      <c r="E1297" s="325">
        <f t="shared" si="113"/>
        <v>0</v>
      </c>
      <c r="H1297" s="1" t="b">
        <f t="shared" si="115"/>
        <v>0</v>
      </c>
      <c r="I1297" s="1" t="s">
        <v>2946</v>
      </c>
      <c r="K1297" s="1" t="b">
        <v>0</v>
      </c>
    </row>
    <row r="1298" spans="1:11">
      <c r="A1298" s="1" t="s">
        <v>1720</v>
      </c>
      <c r="B1298" s="313" t="str">
        <f>报表附注!E1614</f>
        <v>5、计提未付的工资</v>
      </c>
      <c r="C1298" s="325">
        <f t="shared" si="117"/>
        <v>0</v>
      </c>
      <c r="D1298" s="1" t="b">
        <f t="shared" si="116"/>
        <v>0</v>
      </c>
      <c r="E1298" s="325">
        <f t="shared" si="113"/>
        <v>0</v>
      </c>
      <c r="H1298" s="1" t="b">
        <f t="shared" si="115"/>
        <v>0</v>
      </c>
      <c r="I1298" s="1" t="s">
        <v>1725</v>
      </c>
      <c r="K1298" s="1" t="b">
        <v>1</v>
      </c>
    </row>
    <row r="1299" spans="1:11">
      <c r="A1299" s="1" t="s">
        <v>1721</v>
      </c>
      <c r="B1299" s="313" t="str">
        <f>报表附注!E1615</f>
        <v>6、递延收益</v>
      </c>
      <c r="C1299" s="325">
        <f t="shared" si="117"/>
        <v>0</v>
      </c>
      <c r="D1299" s="1" t="b">
        <f t="shared" si="116"/>
        <v>0</v>
      </c>
      <c r="E1299" s="325">
        <f t="shared" si="113"/>
        <v>0</v>
      </c>
      <c r="H1299" s="1" t="b">
        <f t="shared" si="115"/>
        <v>0</v>
      </c>
      <c r="I1299" s="1" t="s">
        <v>1726</v>
      </c>
      <c r="K1299" s="1" t="b">
        <v>1</v>
      </c>
    </row>
    <row r="1300" spans="1:11">
      <c r="A1300" s="1" t="s">
        <v>1722</v>
      </c>
      <c r="B1300" s="313" t="str">
        <f>报表附注!E1616</f>
        <v>7、内部交易未实现损益</v>
      </c>
      <c r="C1300" s="325">
        <f t="shared" si="117"/>
        <v>0</v>
      </c>
      <c r="D1300" s="1" t="b">
        <f t="shared" si="116"/>
        <v>0</v>
      </c>
      <c r="E1300" s="325">
        <f t="shared" si="113"/>
        <v>0</v>
      </c>
      <c r="H1300" s="1" t="b">
        <f t="shared" si="115"/>
        <v>0</v>
      </c>
      <c r="I1300" s="1" t="s">
        <v>1727</v>
      </c>
      <c r="K1300" s="1" t="b">
        <v>1</v>
      </c>
    </row>
    <row r="1301" spans="1:11">
      <c r="A1301" s="1" t="s">
        <v>936</v>
      </c>
      <c r="B1301" s="313" t="str">
        <f>报表附注!E1617</f>
        <v>二、递延所得税负债</v>
      </c>
      <c r="C1301" s="325">
        <f t="shared" si="117"/>
        <v>0</v>
      </c>
      <c r="D1301" s="1" t="b">
        <f t="shared" si="116"/>
        <v>1</v>
      </c>
      <c r="E1301" s="325">
        <f t="shared" si="113"/>
        <v>0</v>
      </c>
      <c r="H1301" s="1" t="b">
        <f t="shared" si="115"/>
        <v>0</v>
      </c>
      <c r="I1301" s="1" t="s">
        <v>1728</v>
      </c>
      <c r="K1301" s="1" t="b">
        <v>1</v>
      </c>
    </row>
    <row r="1302" spans="1:11">
      <c r="A1302" s="1" t="s">
        <v>1723</v>
      </c>
      <c r="B1302" s="313" t="str">
        <f>报表附注!E1618</f>
        <v>1、交易性金融工具、衍生金融工具的估值</v>
      </c>
      <c r="C1302" s="325">
        <f t="shared" si="117"/>
        <v>0</v>
      </c>
      <c r="D1302" s="1" t="b">
        <f t="shared" si="116"/>
        <v>0</v>
      </c>
      <c r="E1302" s="325">
        <f t="shared" si="113"/>
        <v>0</v>
      </c>
      <c r="H1302" s="1" t="b">
        <f t="shared" si="115"/>
        <v>0</v>
      </c>
      <c r="I1302" s="1" t="s">
        <v>1729</v>
      </c>
      <c r="K1302" s="1" t="b">
        <v>1</v>
      </c>
    </row>
    <row r="1303" ht="22.5" spans="1:11">
      <c r="A1303" s="1" t="s">
        <v>1724</v>
      </c>
      <c r="B1303" s="313" t="str">
        <f>报表附注!E1619</f>
        <v>2、计入资本公积的可供出售金融资产公允价值变动</v>
      </c>
      <c r="C1303" s="325">
        <f t="shared" si="117"/>
        <v>0</v>
      </c>
      <c r="D1303" s="1" t="b">
        <f t="shared" si="116"/>
        <v>0</v>
      </c>
      <c r="E1303" s="325">
        <f t="shared" si="113"/>
        <v>0</v>
      </c>
      <c r="H1303" s="1" t="b">
        <f t="shared" si="115"/>
        <v>0</v>
      </c>
      <c r="I1303" s="1" t="s">
        <v>1730</v>
      </c>
      <c r="K1303" s="1" t="b">
        <v>1</v>
      </c>
    </row>
    <row r="1304" ht="22.5" spans="1:11">
      <c r="A1304" s="1" t="s">
        <v>1721</v>
      </c>
      <c r="B1304" s="313" t="str">
        <f>报表附注!E1620</f>
        <v>3、非同一控制下企业合并产生递延所得税负债</v>
      </c>
      <c r="C1304" s="325">
        <f t="shared" si="117"/>
        <v>0</v>
      </c>
      <c r="D1304" s="1" t="b">
        <f t="shared" si="116"/>
        <v>0</v>
      </c>
      <c r="E1304" s="325">
        <f t="shared" si="113"/>
        <v>0</v>
      </c>
      <c r="H1304" s="1" t="b">
        <f t="shared" si="115"/>
        <v>0</v>
      </c>
      <c r="I1304" s="1" t="s">
        <v>1731</v>
      </c>
      <c r="K1304" s="1" t="b">
        <v>1</v>
      </c>
    </row>
    <row r="1305" spans="1:11">
      <c r="A1305" s="1" t="s">
        <v>1722</v>
      </c>
      <c r="B1305" s="313" t="str">
        <f>报表附注!E1621</f>
        <v>4、内部交易未实现损益</v>
      </c>
      <c r="C1305" s="325">
        <f t="shared" si="117"/>
        <v>0</v>
      </c>
      <c r="D1305" s="1" t="b">
        <f t="shared" si="116"/>
        <v>0</v>
      </c>
      <c r="E1305" s="325">
        <f t="shared" si="113"/>
        <v>0</v>
      </c>
      <c r="H1305" s="1" t="b">
        <f t="shared" si="115"/>
        <v>0</v>
      </c>
      <c r="I1305" s="1" t="s">
        <v>1732</v>
      </c>
      <c r="K1305" s="1" t="b">
        <v>1</v>
      </c>
    </row>
    <row r="1306" spans="1:11">
      <c r="A1306" s="1" t="s">
        <v>1725</v>
      </c>
      <c r="B1306" s="313" t="str">
        <f>报表附注!E1622</f>
        <v>5、固定资产评估增值</v>
      </c>
      <c r="C1306" s="325">
        <f t="shared" si="117"/>
        <v>0</v>
      </c>
      <c r="D1306" s="1" t="b">
        <f t="shared" si="116"/>
        <v>0</v>
      </c>
      <c r="E1306" s="325">
        <f t="shared" si="113"/>
        <v>0</v>
      </c>
      <c r="H1306" s="1" t="b">
        <f t="shared" si="115"/>
        <v>0</v>
      </c>
      <c r="K1306" s="1" t="b">
        <v>1</v>
      </c>
    </row>
    <row r="1307" spans="1:11">
      <c r="A1307" s="1" t="s">
        <v>1726</v>
      </c>
      <c r="B1307" s="313" t="str">
        <f>报表附注!E1623</f>
        <v>新增项目4……</v>
      </c>
      <c r="C1307" s="325">
        <f t="shared" si="117"/>
        <v>0</v>
      </c>
      <c r="D1307" s="1" t="b">
        <f t="shared" si="116"/>
        <v>1</v>
      </c>
      <c r="E1307" s="325">
        <f t="shared" si="113"/>
        <v>0</v>
      </c>
      <c r="H1307" s="1" t="b">
        <f t="shared" si="115"/>
        <v>0</v>
      </c>
      <c r="I1307" s="1" t="s">
        <v>1735</v>
      </c>
      <c r="K1307" s="1" t="b">
        <v>1</v>
      </c>
    </row>
    <row r="1308" spans="1:11">
      <c r="A1308" s="1" t="s">
        <v>1727</v>
      </c>
      <c r="B1308" s="313" t="str">
        <f>报表附注!E1624</f>
        <v>新增项目5……</v>
      </c>
      <c r="C1308" s="325">
        <f t="shared" si="117"/>
        <v>0</v>
      </c>
      <c r="D1308" s="1" t="b">
        <f t="shared" si="116"/>
        <v>1</v>
      </c>
      <c r="E1308" s="325">
        <f t="shared" si="113"/>
        <v>0</v>
      </c>
      <c r="H1308" s="1" t="b">
        <f t="shared" si="115"/>
        <v>0</v>
      </c>
      <c r="I1308" s="1" t="s">
        <v>515</v>
      </c>
      <c r="K1308" s="1" t="b">
        <v>1</v>
      </c>
    </row>
    <row r="1309" spans="1:11">
      <c r="A1309" s="1" t="s">
        <v>1728</v>
      </c>
      <c r="B1309" s="313" t="str">
        <f>报表附注!E1625</f>
        <v>新增项目6……</v>
      </c>
      <c r="C1309" s="325">
        <f t="shared" si="117"/>
        <v>0</v>
      </c>
      <c r="D1309" s="1" t="b">
        <f t="shared" si="116"/>
        <v>1</v>
      </c>
      <c r="E1309" s="325">
        <f t="shared" si="113"/>
        <v>0</v>
      </c>
      <c r="H1309" s="1" t="b">
        <f t="shared" si="115"/>
        <v>0</v>
      </c>
      <c r="I1309" s="1" t="s">
        <v>1736</v>
      </c>
      <c r="K1309" s="1" t="b">
        <v>1</v>
      </c>
    </row>
    <row r="1310" spans="1:11">
      <c r="A1310" s="1" t="s">
        <v>1729</v>
      </c>
      <c r="B1310" s="313" t="str">
        <f>报表附注!E1626</f>
        <v>新增项目7……</v>
      </c>
      <c r="C1310" s="325">
        <f t="shared" si="117"/>
        <v>0</v>
      </c>
      <c r="D1310" s="1" t="b">
        <f t="shared" si="116"/>
        <v>1</v>
      </c>
      <c r="E1310" s="325">
        <f t="shared" si="113"/>
        <v>0</v>
      </c>
      <c r="H1310" s="1" t="b">
        <f t="shared" si="115"/>
        <v>0</v>
      </c>
      <c r="I1310" s="1" t="s">
        <v>1720</v>
      </c>
      <c r="K1310" s="1" t="b">
        <v>1</v>
      </c>
    </row>
    <row r="1311" spans="1:11">
      <c r="A1311" s="1" t="s">
        <v>1730</v>
      </c>
      <c r="B1311" s="313" t="str">
        <f>报表附注!E1627</f>
        <v>新增项目8……</v>
      </c>
      <c r="C1311" s="325">
        <f t="shared" si="117"/>
        <v>0</v>
      </c>
      <c r="D1311" s="1" t="b">
        <f t="shared" si="116"/>
        <v>1</v>
      </c>
      <c r="E1311" s="325">
        <f t="shared" si="113"/>
        <v>0</v>
      </c>
      <c r="H1311" s="1" t="b">
        <f t="shared" si="115"/>
        <v>0</v>
      </c>
      <c r="I1311" s="1" t="s">
        <v>470</v>
      </c>
      <c r="K1311" s="1" t="b">
        <v>1</v>
      </c>
    </row>
    <row r="1312" spans="1:11">
      <c r="A1312" s="1" t="s">
        <v>1731</v>
      </c>
      <c r="B1312" s="313" t="str">
        <f>报表附注!E1628</f>
        <v>新增项目9……</v>
      </c>
      <c r="C1312" s="325">
        <f t="shared" si="117"/>
        <v>0</v>
      </c>
      <c r="D1312" s="1" t="b">
        <f t="shared" si="116"/>
        <v>1</v>
      </c>
      <c r="E1312" s="325">
        <f t="shared" si="113"/>
        <v>0</v>
      </c>
      <c r="H1312" s="1" t="b">
        <f t="shared" si="115"/>
        <v>0</v>
      </c>
      <c r="I1312" s="1" t="s">
        <v>1745</v>
      </c>
      <c r="K1312" s="1" t="b">
        <v>1</v>
      </c>
    </row>
    <row r="1313" spans="1:11">
      <c r="A1313" s="1" t="s">
        <v>1732</v>
      </c>
      <c r="B1313" s="313" t="str">
        <f>报表附注!E1629</f>
        <v>新增项目10……</v>
      </c>
      <c r="C1313" s="325">
        <f t="shared" si="117"/>
        <v>0</v>
      </c>
      <c r="D1313" s="1" t="b">
        <f t="shared" si="116"/>
        <v>1</v>
      </c>
      <c r="E1313" s="325">
        <f t="shared" si="113"/>
        <v>0</v>
      </c>
      <c r="H1313" s="1" t="b">
        <f t="shared" si="115"/>
        <v>0</v>
      </c>
      <c r="I1313" s="1" t="s">
        <v>1725</v>
      </c>
      <c r="K1313" s="1" t="b">
        <v>1</v>
      </c>
    </row>
    <row r="1314" spans="3:11">
      <c r="C1314" s="330">
        <f t="shared" si="117"/>
        <v>0</v>
      </c>
      <c r="D1314" s="1" t="b">
        <f t="shared" si="116"/>
        <v>1</v>
      </c>
      <c r="H1314" s="1" t="b">
        <f t="shared" si="115"/>
        <v>0</v>
      </c>
      <c r="I1314" s="1" t="s">
        <v>1726</v>
      </c>
      <c r="K1314" s="1" t="b">
        <v>1</v>
      </c>
    </row>
    <row r="1315" spans="1:11">
      <c r="A1315" s="1" t="s">
        <v>1735</v>
      </c>
      <c r="B1315" s="319" t="s">
        <v>1735</v>
      </c>
      <c r="C1315" s="330">
        <f t="shared" si="117"/>
        <v>0</v>
      </c>
      <c r="D1315" s="1" t="b">
        <f t="shared" si="116"/>
        <v>1</v>
      </c>
      <c r="H1315" s="1" t="b">
        <f t="shared" si="115"/>
        <v>0</v>
      </c>
      <c r="I1315" s="1" t="s">
        <v>1727</v>
      </c>
      <c r="K1315" s="1" t="b">
        <v>1</v>
      </c>
    </row>
    <row r="1316" spans="1:11">
      <c r="A1316" s="1" t="s">
        <v>515</v>
      </c>
      <c r="B1316" s="335" t="s">
        <v>515</v>
      </c>
      <c r="C1316" s="330">
        <f t="shared" si="117"/>
        <v>0</v>
      </c>
      <c r="D1316" s="1" t="b">
        <f t="shared" si="116"/>
        <v>1</v>
      </c>
      <c r="H1316" s="1" t="b">
        <f t="shared" si="115"/>
        <v>0</v>
      </c>
      <c r="I1316" s="1" t="s">
        <v>1580</v>
      </c>
      <c r="K1316" s="1" t="b">
        <v>1</v>
      </c>
    </row>
    <row r="1317" spans="1:11">
      <c r="A1317" s="1" t="s">
        <v>1736</v>
      </c>
      <c r="B1317" s="313" t="str">
        <f>报表附注!E1637</f>
        <v>可抵扣暂时性差异</v>
      </c>
      <c r="C1317" s="325">
        <f t="shared" si="117"/>
        <v>0</v>
      </c>
      <c r="D1317" s="1" t="b">
        <f t="shared" si="116"/>
        <v>1</v>
      </c>
      <c r="E1317" s="315"/>
      <c r="H1317" s="1" t="b">
        <f t="shared" si="115"/>
        <v>0</v>
      </c>
      <c r="I1317" s="1" t="s">
        <v>670</v>
      </c>
      <c r="K1317" s="1" t="b">
        <v>1</v>
      </c>
    </row>
    <row r="1318" spans="1:11">
      <c r="A1318" s="1" t="s">
        <v>1720</v>
      </c>
      <c r="B1318" s="313" t="str">
        <f>报表附注!E1638</f>
        <v>可抵扣亏损</v>
      </c>
      <c r="C1318" s="325">
        <f t="shared" si="117"/>
        <v>0</v>
      </c>
      <c r="D1318" s="1" t="b">
        <f t="shared" si="116"/>
        <v>1</v>
      </c>
      <c r="E1318" s="315"/>
      <c r="H1318" s="1" t="b">
        <f t="shared" si="115"/>
        <v>0</v>
      </c>
      <c r="I1318" s="1" t="s">
        <v>1736</v>
      </c>
      <c r="K1318" s="1" t="b">
        <v>1</v>
      </c>
    </row>
    <row r="1319" spans="1:11">
      <c r="A1319" s="1" t="s">
        <v>1721</v>
      </c>
      <c r="B1319" s="313" t="str">
        <f>报表附注!E1639</f>
        <v>新增项目1……</v>
      </c>
      <c r="C1319" s="325">
        <f t="shared" si="117"/>
        <v>0</v>
      </c>
      <c r="D1319" s="1" t="b">
        <f t="shared" si="116"/>
        <v>1</v>
      </c>
      <c r="E1319" s="315"/>
      <c r="H1319" s="1" t="b">
        <f t="shared" si="115"/>
        <v>0</v>
      </c>
      <c r="I1319" s="1" t="s">
        <v>1720</v>
      </c>
      <c r="K1319" s="1" t="b">
        <v>1</v>
      </c>
    </row>
    <row r="1320" spans="1:11">
      <c r="A1320" s="1" t="s">
        <v>1722</v>
      </c>
      <c r="B1320" s="313" t="str">
        <f>报表附注!E1640</f>
        <v>新增项目2……</v>
      </c>
      <c r="C1320" s="325">
        <f t="shared" si="117"/>
        <v>0</v>
      </c>
      <c r="D1320" s="1" t="b">
        <f t="shared" si="116"/>
        <v>1</v>
      </c>
      <c r="E1320" s="315"/>
      <c r="H1320" s="1" t="b">
        <f t="shared" si="115"/>
        <v>0</v>
      </c>
      <c r="I1320" s="1" t="s">
        <v>470</v>
      </c>
      <c r="K1320" s="1" t="b">
        <v>1</v>
      </c>
    </row>
    <row r="1321" spans="1:11">
      <c r="A1321" s="1" t="s">
        <v>1725</v>
      </c>
      <c r="B1321" s="313" t="str">
        <f>报表附注!E1641</f>
        <v>新增项目3……</v>
      </c>
      <c r="C1321" s="325">
        <f t="shared" si="117"/>
        <v>0</v>
      </c>
      <c r="D1321" s="1" t="b">
        <f t="shared" si="116"/>
        <v>1</v>
      </c>
      <c r="E1321" s="315"/>
      <c r="H1321" s="1" t="b">
        <f t="shared" si="115"/>
        <v>0</v>
      </c>
      <c r="I1321" s="1" t="s">
        <v>1745</v>
      </c>
      <c r="K1321" s="1" t="b">
        <v>1</v>
      </c>
    </row>
    <row r="1322" spans="1:11">
      <c r="A1322" s="1" t="s">
        <v>1726</v>
      </c>
      <c r="B1322" s="313" t="str">
        <f>报表附注!E1642</f>
        <v>新增项目4……</v>
      </c>
      <c r="C1322" s="325">
        <f t="shared" si="117"/>
        <v>0</v>
      </c>
      <c r="D1322" s="1" t="b">
        <f t="shared" si="116"/>
        <v>1</v>
      </c>
      <c r="E1322" s="315"/>
      <c r="H1322" s="1" t="b">
        <f t="shared" si="115"/>
        <v>0</v>
      </c>
      <c r="I1322" s="1" t="s">
        <v>1725</v>
      </c>
      <c r="K1322" s="1" t="b">
        <v>1</v>
      </c>
    </row>
    <row r="1323" spans="1:11">
      <c r="A1323" s="1" t="s">
        <v>1727</v>
      </c>
      <c r="B1323" s="313" t="str">
        <f>报表附注!E1643</f>
        <v>新增项目5……</v>
      </c>
      <c r="C1323" s="325">
        <f t="shared" si="117"/>
        <v>0</v>
      </c>
      <c r="D1323" s="1" t="b">
        <f t="shared" si="116"/>
        <v>1</v>
      </c>
      <c r="E1323" s="315"/>
      <c r="H1323" s="1" t="b">
        <f t="shared" si="115"/>
        <v>0</v>
      </c>
      <c r="I1323" s="1" t="s">
        <v>1726</v>
      </c>
      <c r="K1323" s="1" t="b">
        <v>1</v>
      </c>
    </row>
    <row r="1324" spans="1:11">
      <c r="A1324" s="1" t="s">
        <v>1580</v>
      </c>
      <c r="B1324" s="324" t="str">
        <f>报表附注!E1644</f>
        <v>合计</v>
      </c>
      <c r="C1324" s="325">
        <f t="shared" si="117"/>
        <v>0</v>
      </c>
      <c r="D1324" s="1" t="b">
        <f t="shared" si="116"/>
        <v>1</v>
      </c>
      <c r="E1324" s="315"/>
      <c r="H1324" s="1" t="b">
        <f t="shared" si="115"/>
        <v>0</v>
      </c>
      <c r="I1324" s="1" t="s">
        <v>1727</v>
      </c>
      <c r="K1324" s="1" t="b">
        <v>1</v>
      </c>
    </row>
    <row r="1325" spans="1:11">
      <c r="A1325" s="1" t="s">
        <v>670</v>
      </c>
      <c r="B1325" s="335" t="s">
        <v>670</v>
      </c>
      <c r="C1325" s="330">
        <f t="shared" si="117"/>
        <v>0</v>
      </c>
      <c r="D1325" s="1" t="b">
        <f t="shared" si="116"/>
        <v>1</v>
      </c>
      <c r="H1325" s="1" t="b">
        <f t="shared" si="115"/>
        <v>0</v>
      </c>
      <c r="I1325" s="1" t="s">
        <v>1580</v>
      </c>
      <c r="K1325" s="1" t="b">
        <v>1</v>
      </c>
    </row>
    <row r="1326" spans="1:11">
      <c r="A1326" s="1" t="s">
        <v>1736</v>
      </c>
      <c r="B1326" s="313" t="str">
        <f>报表附注!E1637</f>
        <v>可抵扣暂时性差异</v>
      </c>
      <c r="C1326" s="325">
        <f t="shared" si="117"/>
        <v>0</v>
      </c>
      <c r="D1326" s="1" t="b">
        <f t="shared" si="116"/>
        <v>1</v>
      </c>
      <c r="E1326" s="325">
        <f>C1317</f>
        <v>0</v>
      </c>
      <c r="H1326" s="1" t="b">
        <f t="shared" si="115"/>
        <v>0</v>
      </c>
      <c r="K1326" s="1" t="b">
        <v>1</v>
      </c>
    </row>
    <row r="1327" spans="1:11">
      <c r="A1327" s="1" t="s">
        <v>1720</v>
      </c>
      <c r="B1327" s="313" t="str">
        <f>报表附注!E1638</f>
        <v>可抵扣亏损</v>
      </c>
      <c r="C1327" s="325">
        <f t="shared" ref="C1327:C1343" si="118">J1319</f>
        <v>0</v>
      </c>
      <c r="D1327" s="1" t="b">
        <f t="shared" si="116"/>
        <v>1</v>
      </c>
      <c r="E1327" s="325">
        <f t="shared" ref="E1327:E1333" si="119">C1318</f>
        <v>0</v>
      </c>
      <c r="H1327" s="1" t="b">
        <f t="shared" si="115"/>
        <v>0</v>
      </c>
      <c r="I1327" s="1" t="s">
        <v>1737</v>
      </c>
      <c r="K1327" s="1" t="b">
        <v>1</v>
      </c>
    </row>
    <row r="1328" spans="1:11">
      <c r="A1328" s="1" t="s">
        <v>1721</v>
      </c>
      <c r="B1328" s="313" t="str">
        <f>报表附注!E1639</f>
        <v>新增项目1……</v>
      </c>
      <c r="C1328" s="325">
        <f t="shared" si="118"/>
        <v>0</v>
      </c>
      <c r="D1328" s="1" t="b">
        <f t="shared" si="116"/>
        <v>1</v>
      </c>
      <c r="E1328" s="325">
        <f t="shared" si="119"/>
        <v>0</v>
      </c>
      <c r="H1328" s="1" t="b">
        <f t="shared" si="115"/>
        <v>0</v>
      </c>
      <c r="I1328" s="1" t="s">
        <v>515</v>
      </c>
      <c r="K1328" s="1" t="b">
        <v>1</v>
      </c>
    </row>
    <row r="1329" spans="1:11">
      <c r="A1329" s="1" t="s">
        <v>1722</v>
      </c>
      <c r="B1329" s="313" t="str">
        <f>报表附注!E1640</f>
        <v>新增项目2……</v>
      </c>
      <c r="C1329" s="325">
        <f t="shared" si="118"/>
        <v>0</v>
      </c>
      <c r="D1329" s="1" t="b">
        <f t="shared" si="116"/>
        <v>1</v>
      </c>
      <c r="E1329" s="325">
        <f t="shared" si="119"/>
        <v>0</v>
      </c>
      <c r="H1329" s="1" t="b">
        <f t="shared" si="115"/>
        <v>0</v>
      </c>
      <c r="I1329" s="1">
        <v>2015</v>
      </c>
      <c r="K1329" s="1" t="b">
        <v>0</v>
      </c>
    </row>
    <row r="1330" spans="1:11">
      <c r="A1330" s="1" t="s">
        <v>1725</v>
      </c>
      <c r="B1330" s="313" t="str">
        <f>报表附注!E1641</f>
        <v>新增项目3……</v>
      </c>
      <c r="C1330" s="325">
        <f t="shared" si="118"/>
        <v>0</v>
      </c>
      <c r="D1330" s="1" t="b">
        <f t="shared" si="116"/>
        <v>1</v>
      </c>
      <c r="E1330" s="325">
        <f t="shared" si="119"/>
        <v>0</v>
      </c>
      <c r="H1330" s="1" t="b">
        <f t="shared" si="115"/>
        <v>0</v>
      </c>
      <c r="I1330" s="1">
        <v>2016</v>
      </c>
      <c r="K1330" s="1" t="b">
        <v>0</v>
      </c>
    </row>
    <row r="1331" spans="1:11">
      <c r="A1331" s="1" t="s">
        <v>1726</v>
      </c>
      <c r="B1331" s="313" t="str">
        <f>报表附注!E1642</f>
        <v>新增项目4……</v>
      </c>
      <c r="C1331" s="325">
        <f t="shared" si="118"/>
        <v>0</v>
      </c>
      <c r="D1331" s="1" t="b">
        <f t="shared" si="116"/>
        <v>1</v>
      </c>
      <c r="E1331" s="325">
        <f t="shared" si="119"/>
        <v>0</v>
      </c>
      <c r="H1331" s="1" t="b">
        <f t="shared" si="115"/>
        <v>0</v>
      </c>
      <c r="I1331" s="1">
        <v>2017</v>
      </c>
      <c r="K1331" s="1" t="b">
        <v>0</v>
      </c>
    </row>
    <row r="1332" spans="1:11">
      <c r="A1332" s="1" t="s">
        <v>1727</v>
      </c>
      <c r="B1332" s="313" t="str">
        <f>报表附注!E1643</f>
        <v>新增项目5……</v>
      </c>
      <c r="C1332" s="325">
        <f t="shared" si="118"/>
        <v>0</v>
      </c>
      <c r="D1332" s="1" t="b">
        <f t="shared" si="116"/>
        <v>1</v>
      </c>
      <c r="E1332" s="325">
        <f t="shared" si="119"/>
        <v>0</v>
      </c>
      <c r="H1332" s="1" t="b">
        <f t="shared" si="115"/>
        <v>0</v>
      </c>
      <c r="I1332" s="1">
        <v>2018</v>
      </c>
      <c r="K1332" s="1" t="b">
        <v>0</v>
      </c>
    </row>
    <row r="1333" spans="1:11">
      <c r="A1333" s="1" t="s">
        <v>1580</v>
      </c>
      <c r="B1333" s="324" t="str">
        <f>报表附注!E1644</f>
        <v>合计</v>
      </c>
      <c r="C1333" s="325">
        <f t="shared" si="118"/>
        <v>0</v>
      </c>
      <c r="D1333" s="1" t="b">
        <f t="shared" si="116"/>
        <v>1</v>
      </c>
      <c r="E1333" s="325">
        <f t="shared" si="119"/>
        <v>0</v>
      </c>
      <c r="H1333" s="1" t="b">
        <f t="shared" si="115"/>
        <v>0</v>
      </c>
      <c r="I1333" s="1">
        <v>2019</v>
      </c>
      <c r="K1333" s="1" t="b">
        <v>0</v>
      </c>
    </row>
    <row r="1334" spans="3:11">
      <c r="C1334" s="330">
        <f t="shared" si="118"/>
        <v>0</v>
      </c>
      <c r="D1334" s="1" t="b">
        <f t="shared" si="116"/>
        <v>1</v>
      </c>
      <c r="H1334" s="1" t="b">
        <f t="shared" si="115"/>
        <v>0</v>
      </c>
      <c r="I1334" s="1" t="s">
        <v>1580</v>
      </c>
      <c r="K1334" s="1" t="b">
        <v>1</v>
      </c>
    </row>
    <row r="1335" ht="12.75" spans="1:11">
      <c r="A1335" s="1" t="s">
        <v>1737</v>
      </c>
      <c r="B1335" s="360" t="s">
        <v>1737</v>
      </c>
      <c r="C1335" s="330">
        <f t="shared" si="118"/>
        <v>0</v>
      </c>
      <c r="D1335" s="1" t="b">
        <f t="shared" si="116"/>
        <v>1</v>
      </c>
      <c r="H1335" s="1" t="b">
        <f t="shared" si="115"/>
        <v>0</v>
      </c>
      <c r="I1335" s="1" t="s">
        <v>670</v>
      </c>
      <c r="K1335" s="1" t="b">
        <v>1</v>
      </c>
    </row>
    <row r="1336" spans="1:11">
      <c r="A1336" s="1" t="s">
        <v>515</v>
      </c>
      <c r="B1336" s="335" t="s">
        <v>515</v>
      </c>
      <c r="C1336" s="330">
        <f t="shared" si="118"/>
        <v>0</v>
      </c>
      <c r="D1336" s="1" t="b">
        <f t="shared" si="116"/>
        <v>1</v>
      </c>
      <c r="H1336" s="1" t="b">
        <f t="shared" si="115"/>
        <v>0</v>
      </c>
      <c r="I1336" s="1">
        <v>2015</v>
      </c>
      <c r="K1336" s="1" t="b">
        <v>0</v>
      </c>
    </row>
    <row r="1337" spans="1:11">
      <c r="A1337" s="1">
        <v>2011</v>
      </c>
      <c r="B1337" s="361">
        <f>报表附注!E1648</f>
        <v>2016</v>
      </c>
      <c r="C1337" s="358">
        <f>J1330</f>
        <v>0</v>
      </c>
      <c r="D1337" s="1" t="b">
        <f t="shared" si="116"/>
        <v>0</v>
      </c>
      <c r="E1337" s="334"/>
      <c r="H1337" s="1" t="b">
        <f t="shared" si="115"/>
        <v>1</v>
      </c>
      <c r="I1337" s="1">
        <v>2016</v>
      </c>
      <c r="K1337" s="1" t="b">
        <v>0</v>
      </c>
    </row>
    <row r="1338" spans="1:11">
      <c r="A1338" s="1">
        <v>2012</v>
      </c>
      <c r="B1338" s="361">
        <f>报表附注!E1649</f>
        <v>2017</v>
      </c>
      <c r="C1338" s="358">
        <f>J1331</f>
        <v>0</v>
      </c>
      <c r="D1338" s="1" t="b">
        <f t="shared" si="116"/>
        <v>0</v>
      </c>
      <c r="E1338" s="334"/>
      <c r="H1338" s="1" t="b">
        <f t="shared" si="115"/>
        <v>1</v>
      </c>
      <c r="I1338" s="1">
        <v>2017</v>
      </c>
      <c r="K1338" s="1" t="b">
        <v>0</v>
      </c>
    </row>
    <row r="1339" spans="1:11">
      <c r="A1339" s="1">
        <v>2013</v>
      </c>
      <c r="B1339" s="361">
        <f>报表附注!E1650</f>
        <v>2018</v>
      </c>
      <c r="C1339" s="358">
        <f>J1332</f>
        <v>0</v>
      </c>
      <c r="D1339" s="1" t="b">
        <f t="shared" si="116"/>
        <v>0</v>
      </c>
      <c r="E1339" s="334"/>
      <c r="H1339" s="1" t="b">
        <f t="shared" si="115"/>
        <v>1</v>
      </c>
      <c r="I1339" s="1">
        <v>2018</v>
      </c>
      <c r="K1339" s="1" t="b">
        <v>0</v>
      </c>
    </row>
    <row r="1340" spans="1:11">
      <c r="A1340" s="1">
        <v>2014</v>
      </c>
      <c r="B1340" s="361">
        <f>报表附注!E1651</f>
        <v>2019</v>
      </c>
      <c r="C1340" s="358">
        <f>J1333</f>
        <v>0</v>
      </c>
      <c r="D1340" s="1" t="b">
        <f t="shared" si="116"/>
        <v>0</v>
      </c>
      <c r="E1340" s="334"/>
      <c r="H1340" s="1" t="b">
        <f t="shared" si="115"/>
        <v>1</v>
      </c>
      <c r="I1340" s="1">
        <v>2019</v>
      </c>
      <c r="K1340" s="1" t="b">
        <v>0</v>
      </c>
    </row>
    <row r="1341" spans="1:11">
      <c r="A1341" s="1">
        <v>2015</v>
      </c>
      <c r="B1341" s="361">
        <f>报表附注!E1652</f>
        <v>2020</v>
      </c>
      <c r="C1341" s="358"/>
      <c r="D1341" s="1" t="b">
        <f t="shared" si="116"/>
        <v>0</v>
      </c>
      <c r="E1341" s="334"/>
      <c r="H1341" s="1" t="b">
        <f t="shared" si="115"/>
        <v>0</v>
      </c>
      <c r="I1341" s="1" t="s">
        <v>1580</v>
      </c>
      <c r="K1341" s="1" t="b">
        <v>1</v>
      </c>
    </row>
    <row r="1342" spans="1:11">
      <c r="A1342" s="1" t="s">
        <v>1580</v>
      </c>
      <c r="B1342" s="362" t="str">
        <f>报表附注!E1653</f>
        <v>合计</v>
      </c>
      <c r="C1342" s="358">
        <f>J1334</f>
        <v>0</v>
      </c>
      <c r="D1342" s="1" t="b">
        <f t="shared" si="116"/>
        <v>1</v>
      </c>
      <c r="E1342" s="334"/>
      <c r="H1342" s="1" t="b">
        <f t="shared" si="115"/>
        <v>0</v>
      </c>
      <c r="K1342" s="1" t="b">
        <v>1</v>
      </c>
    </row>
    <row r="1343" ht="12" spans="1:11">
      <c r="A1343" s="1" t="s">
        <v>670</v>
      </c>
      <c r="B1343" s="335" t="s">
        <v>670</v>
      </c>
      <c r="C1343" s="330">
        <f t="shared" si="118"/>
        <v>0</v>
      </c>
      <c r="D1343" s="1" t="b">
        <f t="shared" si="116"/>
        <v>1</v>
      </c>
      <c r="H1343" s="1" t="b">
        <f t="shared" si="115"/>
        <v>0</v>
      </c>
      <c r="I1343" s="312" t="s">
        <v>1738</v>
      </c>
      <c r="J1343" s="363"/>
      <c r="K1343" s="312" t="b">
        <v>1</v>
      </c>
    </row>
    <row r="1344" ht="12" spans="1:11">
      <c r="A1344" s="1">
        <v>2011</v>
      </c>
      <c r="B1344" s="361">
        <f>报表附注!E1648</f>
        <v>2016</v>
      </c>
      <c r="C1344" s="325">
        <f>J1337</f>
        <v>0</v>
      </c>
      <c r="D1344" s="1" t="b">
        <f t="shared" si="116"/>
        <v>0</v>
      </c>
      <c r="E1344" s="325">
        <f t="shared" ref="E1344:E1349" si="120">C1337</f>
        <v>0</v>
      </c>
      <c r="H1344" s="1" t="b">
        <f t="shared" si="115"/>
        <v>0</v>
      </c>
      <c r="I1344" s="312" t="s">
        <v>1739</v>
      </c>
      <c r="J1344" s="363"/>
      <c r="K1344" s="312" t="b">
        <v>1</v>
      </c>
    </row>
    <row r="1345" ht="12" spans="1:12">
      <c r="A1345" s="1">
        <v>2012</v>
      </c>
      <c r="B1345" s="361">
        <f>报表附注!E1649</f>
        <v>2017</v>
      </c>
      <c r="C1345" s="325">
        <f>J1338</f>
        <v>0</v>
      </c>
      <c r="D1345" s="1" t="b">
        <f t="shared" si="116"/>
        <v>0</v>
      </c>
      <c r="E1345" s="325">
        <f t="shared" si="120"/>
        <v>0</v>
      </c>
      <c r="H1345" s="1" t="b">
        <f t="shared" si="115"/>
        <v>0</v>
      </c>
      <c r="I1345" s="312" t="s">
        <v>1740</v>
      </c>
      <c r="J1345" s="363"/>
      <c r="K1345" s="312" t="b">
        <v>1</v>
      </c>
      <c r="L1345" s="312"/>
    </row>
    <row r="1346" ht="12" spans="1:12">
      <c r="A1346" s="1">
        <v>2013</v>
      </c>
      <c r="B1346" s="361">
        <f>报表附注!E1650</f>
        <v>2018</v>
      </c>
      <c r="C1346" s="325">
        <f>J1339</f>
        <v>0</v>
      </c>
      <c r="D1346" s="1" t="b">
        <f t="shared" si="116"/>
        <v>0</v>
      </c>
      <c r="E1346" s="325">
        <f t="shared" si="120"/>
        <v>0</v>
      </c>
      <c r="H1346" s="1" t="b">
        <f t="shared" si="115"/>
        <v>0</v>
      </c>
      <c r="I1346" s="1" t="s">
        <v>934</v>
      </c>
      <c r="K1346" s="1" t="b">
        <v>1</v>
      </c>
      <c r="L1346" s="312"/>
    </row>
    <row r="1347" ht="12" spans="1:12">
      <c r="A1347" s="1">
        <v>2014</v>
      </c>
      <c r="B1347" s="361">
        <f>报表附注!E1651</f>
        <v>2019</v>
      </c>
      <c r="C1347" s="325">
        <f>J1340</f>
        <v>0</v>
      </c>
      <c r="D1347" s="1" t="b">
        <f t="shared" si="116"/>
        <v>0</v>
      </c>
      <c r="E1347" s="325">
        <f t="shared" si="120"/>
        <v>0</v>
      </c>
      <c r="H1347" s="1" t="b">
        <f t="shared" si="115"/>
        <v>0</v>
      </c>
      <c r="I1347" s="1" t="s">
        <v>1709</v>
      </c>
      <c r="K1347" s="1" t="b">
        <v>1</v>
      </c>
      <c r="L1347" s="312"/>
    </row>
    <row r="1348" spans="1:11">
      <c r="A1348" s="1">
        <v>2015</v>
      </c>
      <c r="B1348" s="361">
        <f>报表附注!E1652</f>
        <v>2020</v>
      </c>
      <c r="C1348" s="325"/>
      <c r="D1348" s="1" t="b">
        <f t="shared" si="116"/>
        <v>0</v>
      </c>
      <c r="E1348" s="325">
        <f t="shared" si="120"/>
        <v>0</v>
      </c>
      <c r="H1348" s="1" t="b">
        <f t="shared" ref="H1348:H1411" si="121">I1348=B1348</f>
        <v>0</v>
      </c>
      <c r="I1348" s="1" t="s">
        <v>1710</v>
      </c>
      <c r="K1348" s="1" t="b">
        <v>1</v>
      </c>
    </row>
    <row r="1349" spans="1:11">
      <c r="A1349" s="1" t="s">
        <v>1580</v>
      </c>
      <c r="B1349" s="362" t="str">
        <f>报表附注!E1653</f>
        <v>合计</v>
      </c>
      <c r="C1349" s="325">
        <f>J1341</f>
        <v>0</v>
      </c>
      <c r="D1349" s="1" t="b">
        <f t="shared" si="116"/>
        <v>1</v>
      </c>
      <c r="E1349" s="325">
        <f t="shared" si="120"/>
        <v>0</v>
      </c>
      <c r="H1349" s="1" t="b">
        <f t="shared" si="121"/>
        <v>0</v>
      </c>
      <c r="I1349" s="1" t="s">
        <v>1711</v>
      </c>
      <c r="K1349" s="1" t="b">
        <v>1</v>
      </c>
    </row>
    <row r="1350" spans="4:11">
      <c r="D1350" s="1" t="b">
        <f t="shared" si="116"/>
        <v>1</v>
      </c>
      <c r="H1350" s="1" t="b">
        <f t="shared" si="121"/>
        <v>0</v>
      </c>
      <c r="I1350" s="1" t="s">
        <v>1712</v>
      </c>
      <c r="K1350" s="1" t="b">
        <v>1</v>
      </c>
    </row>
    <row r="1351" s="312" customFormat="1" ht="12" spans="1:12">
      <c r="A1351" s="312" t="s">
        <v>1738</v>
      </c>
      <c r="B1351" s="354" t="s">
        <v>1738</v>
      </c>
      <c r="D1351" s="1" t="b">
        <f t="shared" si="116"/>
        <v>1</v>
      </c>
      <c r="F1351" s="1"/>
      <c r="H1351" s="1" t="b">
        <f t="shared" si="121"/>
        <v>0</v>
      </c>
      <c r="I1351" s="1" t="s">
        <v>1713</v>
      </c>
      <c r="J1351" s="314"/>
      <c r="K1351" s="1" t="b">
        <v>1</v>
      </c>
      <c r="L1351" s="1"/>
    </row>
    <row r="1352" s="312" customFormat="1" ht="12" spans="1:12">
      <c r="A1352" s="312" t="s">
        <v>1739</v>
      </c>
      <c r="B1352" s="354" t="s">
        <v>1739</v>
      </c>
      <c r="D1352" s="1" t="b">
        <f t="shared" si="116"/>
        <v>1</v>
      </c>
      <c r="F1352" s="1"/>
      <c r="H1352" s="1" t="b">
        <f t="shared" si="121"/>
        <v>0</v>
      </c>
      <c r="I1352" s="1" t="s">
        <v>1714</v>
      </c>
      <c r="J1352" s="314"/>
      <c r="K1352" s="1" t="b">
        <v>1</v>
      </c>
      <c r="L1352" s="1"/>
    </row>
    <row r="1353" s="312" customFormat="1" ht="24" spans="1:12">
      <c r="A1353" s="312" t="s">
        <v>1740</v>
      </c>
      <c r="B1353" s="364" t="s">
        <v>1740</v>
      </c>
      <c r="D1353" s="1" t="b">
        <f t="shared" si="116"/>
        <v>1</v>
      </c>
      <c r="F1353" s="1"/>
      <c r="H1353" s="1" t="b">
        <f t="shared" si="121"/>
        <v>0</v>
      </c>
      <c r="I1353" s="1" t="s">
        <v>1715</v>
      </c>
      <c r="J1353" s="314"/>
      <c r="K1353" s="1" t="b">
        <v>1</v>
      </c>
      <c r="L1353" s="1"/>
    </row>
    <row r="1354" spans="1:11">
      <c r="A1354" s="1" t="s">
        <v>934</v>
      </c>
      <c r="B1354" s="313" t="str">
        <f>报表附注!E1683</f>
        <v>一、递延所得税资产</v>
      </c>
      <c r="C1354" s="325">
        <f t="shared" ref="C1354:C1385" si="122">J1346</f>
        <v>0</v>
      </c>
      <c r="D1354" s="1" t="b">
        <f t="shared" si="116"/>
        <v>1</v>
      </c>
      <c r="E1354" s="315"/>
      <c r="H1354" s="1" t="b">
        <f t="shared" si="121"/>
        <v>0</v>
      </c>
      <c r="I1354" s="1" t="s">
        <v>1716</v>
      </c>
      <c r="K1354" s="1" t="b">
        <v>1</v>
      </c>
    </row>
    <row r="1355" spans="1:11">
      <c r="A1355" s="1" t="s">
        <v>1709</v>
      </c>
      <c r="B1355" s="313" t="str">
        <f>报表附注!E1684</f>
        <v>1、资产减值准备：</v>
      </c>
      <c r="C1355" s="325">
        <f t="shared" si="122"/>
        <v>0</v>
      </c>
      <c r="D1355" s="1" t="b">
        <f t="shared" si="116"/>
        <v>0</v>
      </c>
      <c r="E1355" s="315"/>
      <c r="H1355" s="1" t="b">
        <f t="shared" si="121"/>
        <v>0</v>
      </c>
      <c r="I1355" s="1" t="s">
        <v>2937</v>
      </c>
      <c r="K1355" s="1" t="b">
        <v>0</v>
      </c>
    </row>
    <row r="1356" spans="1:11">
      <c r="A1356" s="1" t="s">
        <v>1710</v>
      </c>
      <c r="B1356" s="313" t="str">
        <f>报表附注!E1685</f>
        <v>      其中：坏账准备</v>
      </c>
      <c r="C1356" s="325">
        <f t="shared" si="122"/>
        <v>0</v>
      </c>
      <c r="D1356" s="1" t="b">
        <f t="shared" ref="D1356:D1419" si="123">EXACT(A1356,B1356)</f>
        <v>1</v>
      </c>
      <c r="E1356" s="315"/>
      <c r="H1356" s="1" t="b">
        <f t="shared" si="121"/>
        <v>0</v>
      </c>
      <c r="I1356" s="1" t="s">
        <v>2938</v>
      </c>
      <c r="K1356" s="1" t="b">
        <v>0</v>
      </c>
    </row>
    <row r="1357" spans="1:11">
      <c r="A1357" s="1" t="s">
        <v>1711</v>
      </c>
      <c r="B1357" s="313" t="str">
        <f>报表附注!E1686</f>
        <v>           存货减值</v>
      </c>
      <c r="C1357" s="325">
        <f t="shared" si="122"/>
        <v>0</v>
      </c>
      <c r="D1357" s="1" t="b">
        <f t="shared" si="123"/>
        <v>1</v>
      </c>
      <c r="E1357" s="315"/>
      <c r="H1357" s="1" t="b">
        <f t="shared" si="121"/>
        <v>0</v>
      </c>
      <c r="I1357" s="1" t="s">
        <v>2939</v>
      </c>
      <c r="K1357" s="1" t="b">
        <v>0</v>
      </c>
    </row>
    <row r="1358" spans="1:11">
      <c r="A1358" s="1" t="s">
        <v>1712</v>
      </c>
      <c r="B1358" s="313" t="str">
        <f>报表附注!E1687</f>
        <v>           在建工程减值</v>
      </c>
      <c r="C1358" s="325">
        <f t="shared" si="122"/>
        <v>0</v>
      </c>
      <c r="D1358" s="1" t="b">
        <f t="shared" si="123"/>
        <v>1</v>
      </c>
      <c r="E1358" s="315"/>
      <c r="H1358" s="1" t="b">
        <f t="shared" si="121"/>
        <v>0</v>
      </c>
      <c r="I1358" s="1" t="s">
        <v>2940</v>
      </c>
      <c r="K1358" s="1" t="b">
        <v>0</v>
      </c>
    </row>
    <row r="1359" spans="1:11">
      <c r="A1359" s="1" t="s">
        <v>1713</v>
      </c>
      <c r="B1359" s="313" t="str">
        <f>报表附注!E1688</f>
        <v>           长期股权投资减值</v>
      </c>
      <c r="C1359" s="325">
        <f t="shared" si="122"/>
        <v>0</v>
      </c>
      <c r="D1359" s="1" t="b">
        <f t="shared" si="123"/>
        <v>1</v>
      </c>
      <c r="E1359" s="315"/>
      <c r="H1359" s="1" t="b">
        <f t="shared" si="121"/>
        <v>0</v>
      </c>
      <c r="I1359" s="1" t="s">
        <v>4582</v>
      </c>
      <c r="K1359" s="1" t="b">
        <v>0</v>
      </c>
    </row>
    <row r="1360" spans="1:11">
      <c r="A1360" s="1" t="s">
        <v>1714</v>
      </c>
      <c r="B1360" s="313" t="str">
        <f>报表附注!E1689</f>
        <v>           固定资产减值</v>
      </c>
      <c r="C1360" s="325">
        <f t="shared" si="122"/>
        <v>0</v>
      </c>
      <c r="D1360" s="1" t="b">
        <f t="shared" si="123"/>
        <v>1</v>
      </c>
      <c r="E1360" s="315"/>
      <c r="H1360" s="1" t="b">
        <f t="shared" si="121"/>
        <v>0</v>
      </c>
      <c r="I1360" s="1" t="s">
        <v>4583</v>
      </c>
      <c r="K1360" s="1" t="b">
        <v>0</v>
      </c>
    </row>
    <row r="1361" spans="1:11">
      <c r="A1361" s="1" t="s">
        <v>1715</v>
      </c>
      <c r="B1361" s="313" t="str">
        <f>报表附注!E1690</f>
        <v>            无形资产减值</v>
      </c>
      <c r="C1361" s="325">
        <f t="shared" si="122"/>
        <v>0</v>
      </c>
      <c r="D1361" s="1" t="b">
        <f t="shared" si="123"/>
        <v>1</v>
      </c>
      <c r="E1361" s="315"/>
      <c r="H1361" s="1" t="b">
        <f t="shared" si="121"/>
        <v>0</v>
      </c>
      <c r="I1361" s="1" t="s">
        <v>936</v>
      </c>
      <c r="K1361" s="1" t="b">
        <v>1</v>
      </c>
    </row>
    <row r="1362" spans="1:11">
      <c r="A1362" s="1" t="s">
        <v>1716</v>
      </c>
      <c r="B1362" s="313" t="str">
        <f>报表附注!E1691</f>
        <v>            商誉减值</v>
      </c>
      <c r="C1362" s="325">
        <f t="shared" si="122"/>
        <v>0</v>
      </c>
      <c r="D1362" s="1" t="b">
        <f t="shared" si="123"/>
        <v>1</v>
      </c>
      <c r="E1362" s="315"/>
      <c r="H1362" s="1" t="b">
        <f t="shared" si="121"/>
        <v>0</v>
      </c>
      <c r="I1362" s="1" t="s">
        <v>1723</v>
      </c>
      <c r="K1362" s="1" t="b">
        <v>1</v>
      </c>
    </row>
    <row r="1363" spans="1:11">
      <c r="A1363" s="1" t="s">
        <v>1717</v>
      </c>
      <c r="B1363" s="313" t="str">
        <f>报表附注!E1692</f>
        <v>2、开办费</v>
      </c>
      <c r="C1363" s="325">
        <f t="shared" si="122"/>
        <v>0</v>
      </c>
      <c r="D1363" s="1" t="b">
        <f t="shared" si="123"/>
        <v>0</v>
      </c>
      <c r="E1363" s="315"/>
      <c r="H1363" s="1" t="b">
        <f t="shared" si="121"/>
        <v>0</v>
      </c>
      <c r="I1363" s="1" t="s">
        <v>1724</v>
      </c>
      <c r="K1363" s="1" t="b">
        <v>1</v>
      </c>
    </row>
    <row r="1364" spans="1:11">
      <c r="A1364" s="1" t="s">
        <v>1718</v>
      </c>
      <c r="B1364" s="313" t="str">
        <f>报表附注!E1693</f>
        <v>3、可抵扣亏损</v>
      </c>
      <c r="C1364" s="325">
        <f t="shared" si="122"/>
        <v>0</v>
      </c>
      <c r="D1364" s="1" t="b">
        <f t="shared" si="123"/>
        <v>0</v>
      </c>
      <c r="E1364" s="315"/>
      <c r="H1364" s="1" t="b">
        <f t="shared" si="121"/>
        <v>0</v>
      </c>
      <c r="I1364" s="1" t="s">
        <v>2945</v>
      </c>
      <c r="K1364" s="1" t="b">
        <v>0</v>
      </c>
    </row>
    <row r="1365" ht="22.5" spans="1:11">
      <c r="A1365" s="1" t="s">
        <v>1719</v>
      </c>
      <c r="B1365" s="313" t="str">
        <f>报表附注!E1694</f>
        <v>4、非同一控制下企业合并产生递延所得税资产</v>
      </c>
      <c r="C1365" s="325">
        <f t="shared" si="122"/>
        <v>0</v>
      </c>
      <c r="D1365" s="1" t="b">
        <f t="shared" si="123"/>
        <v>0</v>
      </c>
      <c r="E1365" s="315"/>
      <c r="H1365" s="1" t="b">
        <f t="shared" si="121"/>
        <v>0</v>
      </c>
      <c r="I1365" s="1" t="s">
        <v>2946</v>
      </c>
      <c r="K1365" s="1" t="b">
        <v>0</v>
      </c>
    </row>
    <row r="1366" spans="1:11">
      <c r="A1366" s="1" t="s">
        <v>1720</v>
      </c>
      <c r="B1366" s="313" t="str">
        <f>报表附注!E1695</f>
        <v>5、计提未付的工资</v>
      </c>
      <c r="C1366" s="325">
        <f t="shared" si="122"/>
        <v>0</v>
      </c>
      <c r="D1366" s="1" t="b">
        <f t="shared" si="123"/>
        <v>0</v>
      </c>
      <c r="E1366" s="315"/>
      <c r="H1366" s="1" t="b">
        <f t="shared" si="121"/>
        <v>0</v>
      </c>
      <c r="I1366" s="1" t="s">
        <v>1725</v>
      </c>
      <c r="K1366" s="1" t="b">
        <v>1</v>
      </c>
    </row>
    <row r="1367" spans="1:11">
      <c r="A1367" s="1" t="s">
        <v>1721</v>
      </c>
      <c r="B1367" s="313" t="str">
        <f>报表附注!E1696</f>
        <v>6、递延收益</v>
      </c>
      <c r="C1367" s="325">
        <f t="shared" si="122"/>
        <v>0</v>
      </c>
      <c r="D1367" s="1" t="b">
        <f t="shared" si="123"/>
        <v>0</v>
      </c>
      <c r="E1367" s="315"/>
      <c r="H1367" s="1" t="b">
        <f t="shared" si="121"/>
        <v>0</v>
      </c>
      <c r="I1367" s="1" t="s">
        <v>1726</v>
      </c>
      <c r="K1367" s="1" t="b">
        <v>1</v>
      </c>
    </row>
    <row r="1368" spans="1:11">
      <c r="A1368" s="1" t="s">
        <v>1722</v>
      </c>
      <c r="B1368" s="313" t="str">
        <f>报表附注!E1697</f>
        <v>7、内部交易未实现损益</v>
      </c>
      <c r="C1368" s="325">
        <f t="shared" si="122"/>
        <v>0</v>
      </c>
      <c r="D1368" s="1" t="b">
        <f t="shared" si="123"/>
        <v>0</v>
      </c>
      <c r="E1368" s="315"/>
      <c r="H1368" s="1" t="b">
        <f t="shared" si="121"/>
        <v>0</v>
      </c>
      <c r="I1368" s="1" t="s">
        <v>1727</v>
      </c>
      <c r="K1368" s="1" t="b">
        <v>1</v>
      </c>
    </row>
    <row r="1369" spans="1:11">
      <c r="A1369" s="1" t="s">
        <v>936</v>
      </c>
      <c r="B1369" s="313" t="str">
        <f>报表附注!E1698</f>
        <v>二、递延所得税负债</v>
      </c>
      <c r="C1369" s="325">
        <f t="shared" si="122"/>
        <v>0</v>
      </c>
      <c r="D1369" s="1" t="b">
        <f t="shared" si="123"/>
        <v>1</v>
      </c>
      <c r="E1369" s="315"/>
      <c r="H1369" s="1" t="b">
        <f t="shared" si="121"/>
        <v>0</v>
      </c>
      <c r="I1369" s="1" t="s">
        <v>1728</v>
      </c>
      <c r="K1369" s="1" t="b">
        <v>1</v>
      </c>
    </row>
    <row r="1370" spans="1:11">
      <c r="A1370" s="1" t="s">
        <v>1723</v>
      </c>
      <c r="B1370" s="313" t="str">
        <f>报表附注!E1699</f>
        <v>1、交易性金融工具、衍生金融工具的估值</v>
      </c>
      <c r="C1370" s="325">
        <f t="shared" si="122"/>
        <v>0</v>
      </c>
      <c r="D1370" s="1" t="b">
        <f t="shared" si="123"/>
        <v>0</v>
      </c>
      <c r="E1370" s="315"/>
      <c r="H1370" s="1" t="b">
        <f t="shared" si="121"/>
        <v>0</v>
      </c>
      <c r="I1370" s="1" t="s">
        <v>1729</v>
      </c>
      <c r="K1370" s="1" t="b">
        <v>1</v>
      </c>
    </row>
    <row r="1371" ht="22.5" spans="1:11">
      <c r="A1371" s="1" t="s">
        <v>1724</v>
      </c>
      <c r="B1371" s="313" t="str">
        <f>报表附注!E1700</f>
        <v>2、计入资本公积的可供出售金融资产公允价值变动</v>
      </c>
      <c r="C1371" s="325">
        <f t="shared" si="122"/>
        <v>0</v>
      </c>
      <c r="D1371" s="1" t="b">
        <f t="shared" si="123"/>
        <v>0</v>
      </c>
      <c r="E1371" s="315"/>
      <c r="H1371" s="1" t="b">
        <f t="shared" si="121"/>
        <v>0</v>
      </c>
      <c r="I1371" s="1" t="s">
        <v>1730</v>
      </c>
      <c r="K1371" s="1" t="b">
        <v>1</v>
      </c>
    </row>
    <row r="1372" ht="22.5" spans="1:11">
      <c r="A1372" s="1" t="s">
        <v>1721</v>
      </c>
      <c r="B1372" s="313" t="str">
        <f>报表附注!E1701</f>
        <v>3、非同一控制下企业合并产生递延所得税负债</v>
      </c>
      <c r="C1372" s="325">
        <f t="shared" si="122"/>
        <v>0</v>
      </c>
      <c r="D1372" s="1" t="b">
        <f t="shared" si="123"/>
        <v>0</v>
      </c>
      <c r="E1372" s="315"/>
      <c r="H1372" s="1" t="b">
        <f t="shared" si="121"/>
        <v>0</v>
      </c>
      <c r="I1372" s="1" t="s">
        <v>1731</v>
      </c>
      <c r="K1372" s="1" t="b">
        <v>1</v>
      </c>
    </row>
    <row r="1373" spans="1:11">
      <c r="A1373" s="1" t="s">
        <v>1722</v>
      </c>
      <c r="B1373" s="313" t="str">
        <f>报表附注!E1702</f>
        <v>4、内部交易未实现损益</v>
      </c>
      <c r="C1373" s="325">
        <f t="shared" si="122"/>
        <v>0</v>
      </c>
      <c r="D1373" s="1" t="b">
        <f t="shared" si="123"/>
        <v>0</v>
      </c>
      <c r="E1373" s="315"/>
      <c r="H1373" s="1" t="b">
        <f t="shared" si="121"/>
        <v>0</v>
      </c>
      <c r="I1373" s="1" t="s">
        <v>1732</v>
      </c>
      <c r="K1373" s="1" t="b">
        <v>1</v>
      </c>
    </row>
    <row r="1374" spans="1:11">
      <c r="A1374" s="1" t="s">
        <v>1725</v>
      </c>
      <c r="B1374" s="313" t="str">
        <f>报表附注!E1703</f>
        <v>5、固定资产评估增值</v>
      </c>
      <c r="C1374" s="325">
        <f t="shared" si="122"/>
        <v>0</v>
      </c>
      <c r="D1374" s="1" t="b">
        <f t="shared" si="123"/>
        <v>0</v>
      </c>
      <c r="E1374" s="315"/>
      <c r="H1374" s="1" t="b">
        <f t="shared" si="121"/>
        <v>0</v>
      </c>
      <c r="I1374" s="1" t="s">
        <v>1741</v>
      </c>
      <c r="K1374" s="1" t="b">
        <v>1</v>
      </c>
    </row>
    <row r="1375" spans="1:11">
      <c r="A1375" s="1" t="s">
        <v>1726</v>
      </c>
      <c r="B1375" s="313" t="str">
        <f>报表附注!E1704</f>
        <v>新增项目4……</v>
      </c>
      <c r="C1375" s="325">
        <f t="shared" si="122"/>
        <v>0</v>
      </c>
      <c r="D1375" s="1" t="b">
        <f t="shared" si="123"/>
        <v>1</v>
      </c>
      <c r="E1375" s="315"/>
      <c r="H1375" s="1" t="b">
        <f t="shared" si="121"/>
        <v>0</v>
      </c>
      <c r="I1375" s="1" t="s">
        <v>934</v>
      </c>
      <c r="K1375" s="1" t="b">
        <v>1</v>
      </c>
    </row>
    <row r="1376" spans="1:11">
      <c r="A1376" s="1" t="s">
        <v>1727</v>
      </c>
      <c r="B1376" s="313" t="str">
        <f>报表附注!E1705</f>
        <v>新增项目5……</v>
      </c>
      <c r="C1376" s="325">
        <f t="shared" si="122"/>
        <v>0</v>
      </c>
      <c r="D1376" s="1" t="b">
        <f t="shared" si="123"/>
        <v>1</v>
      </c>
      <c r="E1376" s="315"/>
      <c r="H1376" s="1" t="b">
        <f t="shared" si="121"/>
        <v>0</v>
      </c>
      <c r="I1376" s="1" t="s">
        <v>1709</v>
      </c>
      <c r="K1376" s="1" t="b">
        <v>1</v>
      </c>
    </row>
    <row r="1377" spans="1:11">
      <c r="A1377" s="1" t="s">
        <v>1728</v>
      </c>
      <c r="B1377" s="313" t="str">
        <f>报表附注!E1706</f>
        <v>新增项目6……</v>
      </c>
      <c r="C1377" s="325">
        <f t="shared" si="122"/>
        <v>0</v>
      </c>
      <c r="D1377" s="1" t="b">
        <f t="shared" si="123"/>
        <v>1</v>
      </c>
      <c r="E1377" s="315"/>
      <c r="H1377" s="1" t="b">
        <f t="shared" si="121"/>
        <v>0</v>
      </c>
      <c r="I1377" s="1" t="s">
        <v>1710</v>
      </c>
      <c r="K1377" s="1" t="b">
        <v>1</v>
      </c>
    </row>
    <row r="1378" spans="1:11">
      <c r="A1378" s="1" t="s">
        <v>1729</v>
      </c>
      <c r="B1378" s="313" t="str">
        <f>报表附注!E1707</f>
        <v>新增项目7……</v>
      </c>
      <c r="C1378" s="325">
        <f t="shared" si="122"/>
        <v>0</v>
      </c>
      <c r="D1378" s="1" t="b">
        <f t="shared" si="123"/>
        <v>1</v>
      </c>
      <c r="E1378" s="315"/>
      <c r="H1378" s="1" t="b">
        <f t="shared" si="121"/>
        <v>0</v>
      </c>
      <c r="I1378" s="1" t="s">
        <v>1711</v>
      </c>
      <c r="K1378" s="1" t="b">
        <v>1</v>
      </c>
    </row>
    <row r="1379" spans="1:11">
      <c r="A1379" s="1" t="s">
        <v>1730</v>
      </c>
      <c r="B1379" s="313" t="str">
        <f>报表附注!E1708</f>
        <v>新增项目8……</v>
      </c>
      <c r="C1379" s="325">
        <f t="shared" si="122"/>
        <v>0</v>
      </c>
      <c r="D1379" s="1" t="b">
        <f t="shared" si="123"/>
        <v>1</v>
      </c>
      <c r="E1379" s="315"/>
      <c r="H1379" s="1" t="b">
        <f t="shared" si="121"/>
        <v>0</v>
      </c>
      <c r="I1379" s="1" t="s">
        <v>1712</v>
      </c>
      <c r="K1379" s="1" t="b">
        <v>1</v>
      </c>
    </row>
    <row r="1380" spans="1:11">
      <c r="A1380" s="1" t="s">
        <v>1731</v>
      </c>
      <c r="B1380" s="313" t="str">
        <f>报表附注!E1709</f>
        <v>新增项目9……</v>
      </c>
      <c r="C1380" s="325">
        <f t="shared" si="122"/>
        <v>0</v>
      </c>
      <c r="D1380" s="1" t="b">
        <f t="shared" si="123"/>
        <v>1</v>
      </c>
      <c r="E1380" s="315"/>
      <c r="H1380" s="1" t="b">
        <f t="shared" si="121"/>
        <v>0</v>
      </c>
      <c r="I1380" s="1" t="s">
        <v>1713</v>
      </c>
      <c r="K1380" s="1" t="b">
        <v>1</v>
      </c>
    </row>
    <row r="1381" spans="1:11">
      <c r="A1381" s="1" t="s">
        <v>1732</v>
      </c>
      <c r="B1381" s="313" t="str">
        <f>报表附注!E1710</f>
        <v>新增项目10……</v>
      </c>
      <c r="C1381" s="325">
        <f t="shared" si="122"/>
        <v>0</v>
      </c>
      <c r="D1381" s="1" t="b">
        <f t="shared" si="123"/>
        <v>1</v>
      </c>
      <c r="E1381" s="315"/>
      <c r="H1381" s="1" t="b">
        <f t="shared" si="121"/>
        <v>0</v>
      </c>
      <c r="I1381" s="1" t="s">
        <v>1714</v>
      </c>
      <c r="K1381" s="1" t="b">
        <v>1</v>
      </c>
    </row>
    <row r="1382" ht="22.5" spans="1:11">
      <c r="A1382" s="1" t="s">
        <v>1741</v>
      </c>
      <c r="B1382" s="341" t="s">
        <v>1741</v>
      </c>
      <c r="C1382" s="330">
        <f t="shared" si="122"/>
        <v>0</v>
      </c>
      <c r="D1382" s="1" t="b">
        <f t="shared" si="123"/>
        <v>1</v>
      </c>
      <c r="E1382" s="311"/>
      <c r="H1382" s="1" t="b">
        <f t="shared" si="121"/>
        <v>0</v>
      </c>
      <c r="I1382" s="1" t="s">
        <v>1715</v>
      </c>
      <c r="K1382" s="1" t="b">
        <v>1</v>
      </c>
    </row>
    <row r="1383" spans="1:11">
      <c r="A1383" s="1" t="s">
        <v>934</v>
      </c>
      <c r="B1383" s="313" t="str">
        <f>报表附注!E1683</f>
        <v>一、递延所得税资产</v>
      </c>
      <c r="C1383" s="325">
        <f t="shared" si="122"/>
        <v>0</v>
      </c>
      <c r="D1383" s="1" t="b">
        <f t="shared" si="123"/>
        <v>1</v>
      </c>
      <c r="E1383" s="315"/>
      <c r="H1383" s="1" t="b">
        <f t="shared" si="121"/>
        <v>0</v>
      </c>
      <c r="I1383" s="1" t="s">
        <v>1716</v>
      </c>
      <c r="K1383" s="1" t="b">
        <v>1</v>
      </c>
    </row>
    <row r="1384" spans="1:11">
      <c r="A1384" s="1" t="s">
        <v>1709</v>
      </c>
      <c r="B1384" s="313" t="str">
        <f>报表附注!E1684</f>
        <v>1、资产减值准备：</v>
      </c>
      <c r="C1384" s="325">
        <f t="shared" si="122"/>
        <v>0</v>
      </c>
      <c r="D1384" s="1" t="b">
        <f t="shared" si="123"/>
        <v>0</v>
      </c>
      <c r="E1384" s="315"/>
      <c r="H1384" s="1" t="b">
        <f t="shared" si="121"/>
        <v>0</v>
      </c>
      <c r="I1384" s="1" t="s">
        <v>2937</v>
      </c>
      <c r="K1384" s="1" t="b">
        <v>0</v>
      </c>
    </row>
    <row r="1385" spans="1:11">
      <c r="A1385" s="1" t="s">
        <v>1710</v>
      </c>
      <c r="B1385" s="313" t="str">
        <f>报表附注!E1685</f>
        <v>      其中：坏账准备</v>
      </c>
      <c r="C1385" s="325">
        <f t="shared" si="122"/>
        <v>0</v>
      </c>
      <c r="D1385" s="1" t="b">
        <f t="shared" si="123"/>
        <v>1</v>
      </c>
      <c r="E1385" s="315"/>
      <c r="H1385" s="1" t="b">
        <f t="shared" si="121"/>
        <v>0</v>
      </c>
      <c r="I1385" s="1" t="s">
        <v>2938</v>
      </c>
      <c r="K1385" s="1" t="b">
        <v>0</v>
      </c>
    </row>
    <row r="1386" spans="1:11">
      <c r="A1386" s="1" t="s">
        <v>1711</v>
      </c>
      <c r="B1386" s="313" t="str">
        <f>报表附注!E1686</f>
        <v>           存货减值</v>
      </c>
      <c r="C1386" s="325">
        <f t="shared" ref="C1386:C1417" si="124">J1378</f>
        <v>0</v>
      </c>
      <c r="D1386" s="1" t="b">
        <f t="shared" si="123"/>
        <v>1</v>
      </c>
      <c r="E1386" s="315"/>
      <c r="H1386" s="1" t="b">
        <f t="shared" si="121"/>
        <v>0</v>
      </c>
      <c r="I1386" s="1" t="s">
        <v>2939</v>
      </c>
      <c r="K1386" s="1" t="b">
        <v>0</v>
      </c>
    </row>
    <row r="1387" spans="1:11">
      <c r="A1387" s="1" t="s">
        <v>1712</v>
      </c>
      <c r="B1387" s="313" t="str">
        <f>报表附注!E1687</f>
        <v>           在建工程减值</v>
      </c>
      <c r="C1387" s="325">
        <f t="shared" si="124"/>
        <v>0</v>
      </c>
      <c r="D1387" s="1" t="b">
        <f t="shared" si="123"/>
        <v>1</v>
      </c>
      <c r="E1387" s="315"/>
      <c r="H1387" s="1" t="b">
        <f t="shared" si="121"/>
        <v>0</v>
      </c>
      <c r="I1387" s="1" t="s">
        <v>2940</v>
      </c>
      <c r="K1387" s="1" t="b">
        <v>0</v>
      </c>
    </row>
    <row r="1388" spans="1:11">
      <c r="A1388" s="1" t="s">
        <v>1713</v>
      </c>
      <c r="B1388" s="313" t="str">
        <f>报表附注!E1688</f>
        <v>           长期股权投资减值</v>
      </c>
      <c r="C1388" s="325">
        <f t="shared" si="124"/>
        <v>0</v>
      </c>
      <c r="D1388" s="1" t="b">
        <f t="shared" si="123"/>
        <v>1</v>
      </c>
      <c r="E1388" s="315"/>
      <c r="H1388" s="1" t="b">
        <f t="shared" si="121"/>
        <v>0</v>
      </c>
      <c r="I1388" s="1" t="s">
        <v>4582</v>
      </c>
      <c r="K1388" s="1" t="b">
        <v>0</v>
      </c>
    </row>
    <row r="1389" spans="1:11">
      <c r="A1389" s="1" t="s">
        <v>1714</v>
      </c>
      <c r="B1389" s="313" t="str">
        <f>报表附注!E1689</f>
        <v>           固定资产减值</v>
      </c>
      <c r="C1389" s="325">
        <f t="shared" si="124"/>
        <v>0</v>
      </c>
      <c r="D1389" s="1" t="b">
        <f t="shared" si="123"/>
        <v>1</v>
      </c>
      <c r="E1389" s="315"/>
      <c r="H1389" s="1" t="b">
        <f t="shared" si="121"/>
        <v>0</v>
      </c>
      <c r="I1389" s="1" t="s">
        <v>4583</v>
      </c>
      <c r="K1389" s="1" t="b">
        <v>0</v>
      </c>
    </row>
    <row r="1390" spans="1:11">
      <c r="A1390" s="1" t="s">
        <v>1715</v>
      </c>
      <c r="B1390" s="313" t="str">
        <f>报表附注!E1690</f>
        <v>            无形资产减值</v>
      </c>
      <c r="C1390" s="325">
        <f t="shared" si="124"/>
        <v>0</v>
      </c>
      <c r="D1390" s="1" t="b">
        <f t="shared" si="123"/>
        <v>1</v>
      </c>
      <c r="E1390" s="315"/>
      <c r="H1390" s="1" t="b">
        <f t="shared" si="121"/>
        <v>0</v>
      </c>
      <c r="I1390" s="1" t="s">
        <v>936</v>
      </c>
      <c r="K1390" s="1" t="b">
        <v>1</v>
      </c>
    </row>
    <row r="1391" spans="1:11">
      <c r="A1391" s="1" t="s">
        <v>1716</v>
      </c>
      <c r="B1391" s="313" t="str">
        <f>报表附注!E1691</f>
        <v>            商誉减值</v>
      </c>
      <c r="C1391" s="325">
        <f t="shared" si="124"/>
        <v>0</v>
      </c>
      <c r="D1391" s="1" t="b">
        <f t="shared" si="123"/>
        <v>1</v>
      </c>
      <c r="E1391" s="315"/>
      <c r="H1391" s="1" t="b">
        <f t="shared" si="121"/>
        <v>0</v>
      </c>
      <c r="I1391" s="1" t="s">
        <v>1723</v>
      </c>
      <c r="K1391" s="1" t="b">
        <v>1</v>
      </c>
    </row>
    <row r="1392" spans="1:11">
      <c r="A1392" s="1" t="s">
        <v>1717</v>
      </c>
      <c r="B1392" s="313" t="str">
        <f>报表附注!E1692</f>
        <v>2、开办费</v>
      </c>
      <c r="C1392" s="325">
        <f t="shared" si="124"/>
        <v>0</v>
      </c>
      <c r="D1392" s="1" t="b">
        <f t="shared" si="123"/>
        <v>0</v>
      </c>
      <c r="E1392" s="315"/>
      <c r="H1392" s="1" t="b">
        <f t="shared" si="121"/>
        <v>0</v>
      </c>
      <c r="I1392" s="1" t="s">
        <v>1724</v>
      </c>
      <c r="K1392" s="1" t="b">
        <v>1</v>
      </c>
    </row>
    <row r="1393" spans="1:11">
      <c r="A1393" s="1" t="s">
        <v>1718</v>
      </c>
      <c r="B1393" s="313" t="str">
        <f>报表附注!E1693</f>
        <v>3、可抵扣亏损</v>
      </c>
      <c r="C1393" s="325">
        <f t="shared" si="124"/>
        <v>0</v>
      </c>
      <c r="D1393" s="1" t="b">
        <f t="shared" si="123"/>
        <v>0</v>
      </c>
      <c r="E1393" s="315"/>
      <c r="H1393" s="1" t="b">
        <f t="shared" si="121"/>
        <v>0</v>
      </c>
      <c r="I1393" s="1" t="s">
        <v>2945</v>
      </c>
      <c r="K1393" s="1" t="b">
        <v>0</v>
      </c>
    </row>
    <row r="1394" ht="22.5" spans="1:11">
      <c r="A1394" s="1" t="s">
        <v>1719</v>
      </c>
      <c r="B1394" s="313" t="str">
        <f>报表附注!E1694</f>
        <v>4、非同一控制下企业合并产生递延所得税资产</v>
      </c>
      <c r="C1394" s="325">
        <f t="shared" si="124"/>
        <v>0</v>
      </c>
      <c r="D1394" s="1" t="b">
        <f t="shared" si="123"/>
        <v>0</v>
      </c>
      <c r="E1394" s="315"/>
      <c r="H1394" s="1" t="b">
        <f t="shared" si="121"/>
        <v>0</v>
      </c>
      <c r="I1394" s="1" t="s">
        <v>2946</v>
      </c>
      <c r="K1394" s="1" t="b">
        <v>0</v>
      </c>
    </row>
    <row r="1395" spans="1:11">
      <c r="A1395" s="1" t="s">
        <v>1720</v>
      </c>
      <c r="B1395" s="313" t="str">
        <f>报表附注!E1695</f>
        <v>5、计提未付的工资</v>
      </c>
      <c r="C1395" s="325">
        <f t="shared" si="124"/>
        <v>0</v>
      </c>
      <c r="D1395" s="1" t="b">
        <f t="shared" si="123"/>
        <v>0</v>
      </c>
      <c r="E1395" s="315"/>
      <c r="H1395" s="1" t="b">
        <f t="shared" si="121"/>
        <v>0</v>
      </c>
      <c r="I1395" s="1" t="s">
        <v>1725</v>
      </c>
      <c r="K1395" s="1" t="b">
        <v>1</v>
      </c>
    </row>
    <row r="1396" spans="1:11">
      <c r="A1396" s="1" t="s">
        <v>1721</v>
      </c>
      <c r="B1396" s="313" t="str">
        <f>报表附注!E1696</f>
        <v>6、递延收益</v>
      </c>
      <c r="C1396" s="325">
        <f t="shared" si="124"/>
        <v>0</v>
      </c>
      <c r="D1396" s="1" t="b">
        <f t="shared" si="123"/>
        <v>0</v>
      </c>
      <c r="E1396" s="315"/>
      <c r="H1396" s="1" t="b">
        <f t="shared" si="121"/>
        <v>0</v>
      </c>
      <c r="I1396" s="1" t="s">
        <v>1726</v>
      </c>
      <c r="K1396" s="1" t="b">
        <v>1</v>
      </c>
    </row>
    <row r="1397" spans="1:11">
      <c r="A1397" s="1" t="s">
        <v>1722</v>
      </c>
      <c r="B1397" s="313" t="str">
        <f>报表附注!E1697</f>
        <v>7、内部交易未实现损益</v>
      </c>
      <c r="C1397" s="325">
        <f t="shared" si="124"/>
        <v>0</v>
      </c>
      <c r="D1397" s="1" t="b">
        <f t="shared" si="123"/>
        <v>0</v>
      </c>
      <c r="E1397" s="315"/>
      <c r="H1397" s="1" t="b">
        <f t="shared" si="121"/>
        <v>0</v>
      </c>
      <c r="I1397" s="1" t="s">
        <v>1727</v>
      </c>
      <c r="K1397" s="1" t="b">
        <v>1</v>
      </c>
    </row>
    <row r="1398" spans="1:11">
      <c r="A1398" s="1" t="s">
        <v>936</v>
      </c>
      <c r="B1398" s="313" t="str">
        <f>报表附注!E1698</f>
        <v>二、递延所得税负债</v>
      </c>
      <c r="C1398" s="325">
        <f t="shared" si="124"/>
        <v>0</v>
      </c>
      <c r="D1398" s="1" t="b">
        <f t="shared" si="123"/>
        <v>1</v>
      </c>
      <c r="E1398" s="315"/>
      <c r="H1398" s="1" t="b">
        <f t="shared" si="121"/>
        <v>0</v>
      </c>
      <c r="I1398" s="1" t="s">
        <v>1728</v>
      </c>
      <c r="K1398" s="1" t="b">
        <v>1</v>
      </c>
    </row>
    <row r="1399" spans="1:11">
      <c r="A1399" s="1" t="s">
        <v>1723</v>
      </c>
      <c r="B1399" s="313" t="str">
        <f>报表附注!E1699</f>
        <v>1、交易性金融工具、衍生金融工具的估值</v>
      </c>
      <c r="C1399" s="325">
        <f t="shared" si="124"/>
        <v>0</v>
      </c>
      <c r="D1399" s="1" t="b">
        <f t="shared" si="123"/>
        <v>0</v>
      </c>
      <c r="E1399" s="315"/>
      <c r="H1399" s="1" t="b">
        <f t="shared" si="121"/>
        <v>0</v>
      </c>
      <c r="I1399" s="1" t="s">
        <v>1729</v>
      </c>
      <c r="K1399" s="1" t="b">
        <v>1</v>
      </c>
    </row>
    <row r="1400" ht="22.5" spans="1:11">
      <c r="A1400" s="1" t="s">
        <v>1724</v>
      </c>
      <c r="B1400" s="313" t="str">
        <f>报表附注!E1700</f>
        <v>2、计入资本公积的可供出售金融资产公允价值变动</v>
      </c>
      <c r="C1400" s="325">
        <f t="shared" si="124"/>
        <v>0</v>
      </c>
      <c r="D1400" s="1" t="b">
        <f t="shared" si="123"/>
        <v>0</v>
      </c>
      <c r="E1400" s="315"/>
      <c r="H1400" s="1" t="b">
        <f t="shared" si="121"/>
        <v>0</v>
      </c>
      <c r="I1400" s="1" t="s">
        <v>1730</v>
      </c>
      <c r="K1400" s="1" t="b">
        <v>1</v>
      </c>
    </row>
    <row r="1401" ht="22.5" spans="1:11">
      <c r="A1401" s="1" t="s">
        <v>1721</v>
      </c>
      <c r="B1401" s="313" t="str">
        <f>报表附注!E1701</f>
        <v>3、非同一控制下企业合并产生递延所得税负债</v>
      </c>
      <c r="C1401" s="325">
        <f t="shared" si="124"/>
        <v>0</v>
      </c>
      <c r="D1401" s="1" t="b">
        <f t="shared" si="123"/>
        <v>0</v>
      </c>
      <c r="E1401" s="315"/>
      <c r="H1401" s="1" t="b">
        <f t="shared" si="121"/>
        <v>0</v>
      </c>
      <c r="I1401" s="1" t="s">
        <v>1731</v>
      </c>
      <c r="K1401" s="1" t="b">
        <v>1</v>
      </c>
    </row>
    <row r="1402" spans="1:11">
      <c r="A1402" s="1" t="s">
        <v>1722</v>
      </c>
      <c r="B1402" s="313" t="str">
        <f>报表附注!E1702</f>
        <v>4、内部交易未实现损益</v>
      </c>
      <c r="C1402" s="325">
        <f t="shared" si="124"/>
        <v>0</v>
      </c>
      <c r="D1402" s="1" t="b">
        <f t="shared" si="123"/>
        <v>0</v>
      </c>
      <c r="E1402" s="315"/>
      <c r="H1402" s="1" t="b">
        <f t="shared" si="121"/>
        <v>0</v>
      </c>
      <c r="I1402" s="1" t="s">
        <v>1732</v>
      </c>
      <c r="K1402" s="1" t="b">
        <v>1</v>
      </c>
    </row>
    <row r="1403" spans="1:11">
      <c r="A1403" s="1" t="s">
        <v>1725</v>
      </c>
      <c r="B1403" s="313" t="str">
        <f>报表附注!E1703</f>
        <v>5、固定资产评估增值</v>
      </c>
      <c r="C1403" s="325">
        <f t="shared" si="124"/>
        <v>0</v>
      </c>
      <c r="D1403" s="1" t="b">
        <f t="shared" si="123"/>
        <v>0</v>
      </c>
      <c r="E1403" s="315"/>
      <c r="H1403" s="1" t="b">
        <f t="shared" si="121"/>
        <v>0</v>
      </c>
      <c r="I1403" s="1" t="s">
        <v>1742</v>
      </c>
      <c r="K1403" s="1" t="b">
        <v>1</v>
      </c>
    </row>
    <row r="1404" spans="1:11">
      <c r="A1404" s="1" t="s">
        <v>1726</v>
      </c>
      <c r="B1404" s="313" t="str">
        <f>报表附注!E1704</f>
        <v>新增项目4……</v>
      </c>
      <c r="C1404" s="325">
        <f t="shared" si="124"/>
        <v>0</v>
      </c>
      <c r="D1404" s="1" t="b">
        <f t="shared" si="123"/>
        <v>1</v>
      </c>
      <c r="E1404" s="315"/>
      <c r="H1404" s="1" t="b">
        <f t="shared" si="121"/>
        <v>0</v>
      </c>
      <c r="I1404" s="1" t="s">
        <v>934</v>
      </c>
      <c r="K1404" s="1" t="b">
        <v>1</v>
      </c>
    </row>
    <row r="1405" spans="1:11">
      <c r="A1405" s="1" t="s">
        <v>1727</v>
      </c>
      <c r="B1405" s="313" t="str">
        <f>报表附注!E1705</f>
        <v>新增项目5……</v>
      </c>
      <c r="C1405" s="325">
        <f t="shared" si="124"/>
        <v>0</v>
      </c>
      <c r="D1405" s="1" t="b">
        <f t="shared" si="123"/>
        <v>1</v>
      </c>
      <c r="E1405" s="315"/>
      <c r="H1405" s="1" t="b">
        <f t="shared" si="121"/>
        <v>0</v>
      </c>
      <c r="I1405" s="1" t="s">
        <v>1709</v>
      </c>
      <c r="K1405" s="1" t="b">
        <v>1</v>
      </c>
    </row>
    <row r="1406" spans="1:11">
      <c r="A1406" s="1" t="s">
        <v>1728</v>
      </c>
      <c r="B1406" s="313" t="str">
        <f>报表附注!E1706</f>
        <v>新增项目6……</v>
      </c>
      <c r="C1406" s="325">
        <f t="shared" si="124"/>
        <v>0</v>
      </c>
      <c r="D1406" s="1" t="b">
        <f t="shared" si="123"/>
        <v>1</v>
      </c>
      <c r="E1406" s="315"/>
      <c r="H1406" s="1" t="b">
        <f t="shared" si="121"/>
        <v>0</v>
      </c>
      <c r="I1406" s="1" t="s">
        <v>1710</v>
      </c>
      <c r="K1406" s="1" t="b">
        <v>1</v>
      </c>
    </row>
    <row r="1407" spans="1:11">
      <c r="A1407" s="1" t="s">
        <v>1729</v>
      </c>
      <c r="B1407" s="313" t="str">
        <f>报表附注!E1707</f>
        <v>新增项目7……</v>
      </c>
      <c r="C1407" s="325">
        <f t="shared" si="124"/>
        <v>0</v>
      </c>
      <c r="D1407" s="1" t="b">
        <f t="shared" si="123"/>
        <v>1</v>
      </c>
      <c r="E1407" s="315"/>
      <c r="H1407" s="1" t="b">
        <f t="shared" si="121"/>
        <v>0</v>
      </c>
      <c r="I1407" s="1" t="s">
        <v>1711</v>
      </c>
      <c r="K1407" s="1" t="b">
        <v>1</v>
      </c>
    </row>
    <row r="1408" spans="1:11">
      <c r="A1408" s="1" t="s">
        <v>1730</v>
      </c>
      <c r="B1408" s="313" t="str">
        <f>报表附注!E1708</f>
        <v>新增项目8……</v>
      </c>
      <c r="C1408" s="325">
        <f t="shared" si="124"/>
        <v>0</v>
      </c>
      <c r="D1408" s="1" t="b">
        <f t="shared" si="123"/>
        <v>1</v>
      </c>
      <c r="E1408" s="315"/>
      <c r="H1408" s="1" t="b">
        <f t="shared" si="121"/>
        <v>0</v>
      </c>
      <c r="I1408" s="1" t="s">
        <v>1712</v>
      </c>
      <c r="K1408" s="1" t="b">
        <v>1</v>
      </c>
    </row>
    <row r="1409" spans="1:11">
      <c r="A1409" s="1" t="s">
        <v>1731</v>
      </c>
      <c r="B1409" s="313" t="str">
        <f>报表附注!E1709</f>
        <v>新增项目9……</v>
      </c>
      <c r="C1409" s="325">
        <f t="shared" si="124"/>
        <v>0</v>
      </c>
      <c r="D1409" s="1" t="b">
        <f t="shared" si="123"/>
        <v>1</v>
      </c>
      <c r="E1409" s="315"/>
      <c r="H1409" s="1" t="b">
        <f t="shared" si="121"/>
        <v>0</v>
      </c>
      <c r="I1409" s="1" t="s">
        <v>1713</v>
      </c>
      <c r="K1409" s="1" t="b">
        <v>1</v>
      </c>
    </row>
    <row r="1410" spans="1:11">
      <c r="A1410" s="1" t="s">
        <v>1732</v>
      </c>
      <c r="B1410" s="313" t="str">
        <f>报表附注!E1710</f>
        <v>新增项目10……</v>
      </c>
      <c r="C1410" s="325">
        <f t="shared" si="124"/>
        <v>0</v>
      </c>
      <c r="D1410" s="1" t="b">
        <f t="shared" si="123"/>
        <v>1</v>
      </c>
      <c r="E1410" s="315"/>
      <c r="H1410" s="1" t="b">
        <f t="shared" si="121"/>
        <v>0</v>
      </c>
      <c r="I1410" s="1" t="s">
        <v>1714</v>
      </c>
      <c r="K1410" s="1" t="b">
        <v>1</v>
      </c>
    </row>
    <row r="1411" spans="1:11">
      <c r="A1411" s="1" t="s">
        <v>1742</v>
      </c>
      <c r="B1411" s="341" t="s">
        <v>1742</v>
      </c>
      <c r="C1411" s="330">
        <f t="shared" si="124"/>
        <v>0</v>
      </c>
      <c r="D1411" s="1" t="b">
        <f t="shared" si="123"/>
        <v>1</v>
      </c>
      <c r="H1411" s="1" t="b">
        <f t="shared" si="121"/>
        <v>0</v>
      </c>
      <c r="I1411" s="1" t="s">
        <v>1715</v>
      </c>
      <c r="K1411" s="1" t="b">
        <v>1</v>
      </c>
    </row>
    <row r="1412" spans="1:11">
      <c r="A1412" s="1" t="s">
        <v>934</v>
      </c>
      <c r="B1412" s="313" t="str">
        <f>报表附注!E1683</f>
        <v>一、递延所得税资产</v>
      </c>
      <c r="C1412" s="325">
        <f t="shared" si="124"/>
        <v>0</v>
      </c>
      <c r="D1412" s="1" t="b">
        <f t="shared" si="123"/>
        <v>1</v>
      </c>
      <c r="E1412" s="325">
        <f>C1354</f>
        <v>0</v>
      </c>
      <c r="H1412" s="1" t="b">
        <f t="shared" ref="H1412:H1475" si="125">I1412=B1412</f>
        <v>0</v>
      </c>
      <c r="I1412" s="1" t="s">
        <v>1716</v>
      </c>
      <c r="K1412" s="1" t="b">
        <v>1</v>
      </c>
    </row>
    <row r="1413" spans="1:11">
      <c r="A1413" s="1" t="s">
        <v>1709</v>
      </c>
      <c r="B1413" s="313" t="str">
        <f>报表附注!E1684</f>
        <v>1、资产减值准备：</v>
      </c>
      <c r="C1413" s="325">
        <f t="shared" si="124"/>
        <v>0</v>
      </c>
      <c r="D1413" s="1" t="b">
        <f t="shared" si="123"/>
        <v>0</v>
      </c>
      <c r="E1413" s="325">
        <f t="shared" ref="E1413:E1468" si="126">C1355</f>
        <v>0</v>
      </c>
      <c r="H1413" s="1" t="b">
        <f t="shared" si="125"/>
        <v>0</v>
      </c>
      <c r="I1413" s="1" t="s">
        <v>2937</v>
      </c>
      <c r="K1413" s="1" t="b">
        <v>0</v>
      </c>
    </row>
    <row r="1414" spans="1:11">
      <c r="A1414" s="1" t="s">
        <v>1710</v>
      </c>
      <c r="B1414" s="313" t="str">
        <f>报表附注!E1685</f>
        <v>      其中：坏账准备</v>
      </c>
      <c r="C1414" s="325">
        <f t="shared" si="124"/>
        <v>0</v>
      </c>
      <c r="D1414" s="1" t="b">
        <f t="shared" si="123"/>
        <v>1</v>
      </c>
      <c r="E1414" s="325">
        <f t="shared" si="126"/>
        <v>0</v>
      </c>
      <c r="H1414" s="1" t="b">
        <f t="shared" si="125"/>
        <v>0</v>
      </c>
      <c r="I1414" s="1" t="s">
        <v>2938</v>
      </c>
      <c r="K1414" s="1" t="b">
        <v>0</v>
      </c>
    </row>
    <row r="1415" spans="1:11">
      <c r="A1415" s="1" t="s">
        <v>1711</v>
      </c>
      <c r="B1415" s="313" t="str">
        <f>报表附注!E1686</f>
        <v>           存货减值</v>
      </c>
      <c r="C1415" s="325">
        <f t="shared" si="124"/>
        <v>0</v>
      </c>
      <c r="D1415" s="1" t="b">
        <f t="shared" si="123"/>
        <v>1</v>
      </c>
      <c r="E1415" s="325">
        <f t="shared" si="126"/>
        <v>0</v>
      </c>
      <c r="H1415" s="1" t="b">
        <f t="shared" si="125"/>
        <v>0</v>
      </c>
      <c r="I1415" s="1" t="s">
        <v>2939</v>
      </c>
      <c r="K1415" s="1" t="b">
        <v>0</v>
      </c>
    </row>
    <row r="1416" spans="1:11">
      <c r="A1416" s="1" t="s">
        <v>1712</v>
      </c>
      <c r="B1416" s="313" t="str">
        <f>报表附注!E1687</f>
        <v>           在建工程减值</v>
      </c>
      <c r="C1416" s="325">
        <f t="shared" si="124"/>
        <v>0</v>
      </c>
      <c r="D1416" s="1" t="b">
        <f t="shared" si="123"/>
        <v>1</v>
      </c>
      <c r="E1416" s="325">
        <f t="shared" si="126"/>
        <v>0</v>
      </c>
      <c r="H1416" s="1" t="b">
        <f t="shared" si="125"/>
        <v>0</v>
      </c>
      <c r="I1416" s="1" t="s">
        <v>2940</v>
      </c>
      <c r="K1416" s="1" t="b">
        <v>0</v>
      </c>
    </row>
    <row r="1417" spans="1:11">
      <c r="A1417" s="1" t="s">
        <v>1713</v>
      </c>
      <c r="B1417" s="313" t="str">
        <f>报表附注!E1688</f>
        <v>           长期股权投资减值</v>
      </c>
      <c r="C1417" s="325">
        <f t="shared" si="124"/>
        <v>0</v>
      </c>
      <c r="D1417" s="1" t="b">
        <f t="shared" si="123"/>
        <v>1</v>
      </c>
      <c r="E1417" s="325">
        <f t="shared" si="126"/>
        <v>0</v>
      </c>
      <c r="H1417" s="1" t="b">
        <f t="shared" si="125"/>
        <v>0</v>
      </c>
      <c r="I1417" s="1" t="s">
        <v>4582</v>
      </c>
      <c r="K1417" s="1" t="b">
        <v>0</v>
      </c>
    </row>
    <row r="1418" spans="1:11">
      <c r="A1418" s="1" t="s">
        <v>1714</v>
      </c>
      <c r="B1418" s="313" t="str">
        <f>报表附注!E1689</f>
        <v>           固定资产减值</v>
      </c>
      <c r="C1418" s="325">
        <f t="shared" ref="C1418:C1449" si="127">J1410</f>
        <v>0</v>
      </c>
      <c r="D1418" s="1" t="b">
        <f t="shared" si="123"/>
        <v>1</v>
      </c>
      <c r="E1418" s="325">
        <f t="shared" si="126"/>
        <v>0</v>
      </c>
      <c r="H1418" s="1" t="b">
        <f t="shared" si="125"/>
        <v>0</v>
      </c>
      <c r="I1418" s="1" t="s">
        <v>4583</v>
      </c>
      <c r="K1418" s="1" t="b">
        <v>0</v>
      </c>
    </row>
    <row r="1419" spans="1:11">
      <c r="A1419" s="1" t="s">
        <v>1715</v>
      </c>
      <c r="B1419" s="313" t="str">
        <f>报表附注!E1690</f>
        <v>            无形资产减值</v>
      </c>
      <c r="C1419" s="325">
        <f t="shared" si="127"/>
        <v>0</v>
      </c>
      <c r="D1419" s="1" t="b">
        <f t="shared" si="123"/>
        <v>1</v>
      </c>
      <c r="E1419" s="325">
        <f t="shared" si="126"/>
        <v>0</v>
      </c>
      <c r="H1419" s="1" t="b">
        <f t="shared" si="125"/>
        <v>0</v>
      </c>
      <c r="I1419" s="1" t="s">
        <v>936</v>
      </c>
      <c r="K1419" s="1" t="b">
        <v>1</v>
      </c>
    </row>
    <row r="1420" spans="1:11">
      <c r="A1420" s="1" t="s">
        <v>1716</v>
      </c>
      <c r="B1420" s="313" t="str">
        <f>报表附注!E1691</f>
        <v>            商誉减值</v>
      </c>
      <c r="C1420" s="325">
        <f t="shared" si="127"/>
        <v>0</v>
      </c>
      <c r="D1420" s="1" t="b">
        <f t="shared" ref="D1420:D1483" si="128">EXACT(A1420,B1420)</f>
        <v>1</v>
      </c>
      <c r="E1420" s="325">
        <f t="shared" si="126"/>
        <v>0</v>
      </c>
      <c r="H1420" s="1" t="b">
        <f t="shared" si="125"/>
        <v>0</v>
      </c>
      <c r="I1420" s="1" t="s">
        <v>1723</v>
      </c>
      <c r="K1420" s="1" t="b">
        <v>1</v>
      </c>
    </row>
    <row r="1421" spans="1:11">
      <c r="A1421" s="1" t="s">
        <v>1717</v>
      </c>
      <c r="B1421" s="313" t="str">
        <f>报表附注!E1692</f>
        <v>2、开办费</v>
      </c>
      <c r="C1421" s="325">
        <f t="shared" si="127"/>
        <v>0</v>
      </c>
      <c r="D1421" s="1" t="b">
        <f t="shared" si="128"/>
        <v>0</v>
      </c>
      <c r="E1421" s="325">
        <f t="shared" si="126"/>
        <v>0</v>
      </c>
      <c r="H1421" s="1" t="b">
        <f t="shared" si="125"/>
        <v>0</v>
      </c>
      <c r="I1421" s="1" t="s">
        <v>1724</v>
      </c>
      <c r="K1421" s="1" t="b">
        <v>1</v>
      </c>
    </row>
    <row r="1422" spans="1:11">
      <c r="A1422" s="1" t="s">
        <v>1718</v>
      </c>
      <c r="B1422" s="313" t="str">
        <f>报表附注!E1693</f>
        <v>3、可抵扣亏损</v>
      </c>
      <c r="C1422" s="325">
        <f t="shared" si="127"/>
        <v>0</v>
      </c>
      <c r="D1422" s="1" t="b">
        <f t="shared" si="128"/>
        <v>0</v>
      </c>
      <c r="E1422" s="325">
        <f t="shared" si="126"/>
        <v>0</v>
      </c>
      <c r="H1422" s="1" t="b">
        <f t="shared" si="125"/>
        <v>0</v>
      </c>
      <c r="I1422" s="1" t="s">
        <v>2945</v>
      </c>
      <c r="K1422" s="1" t="b">
        <v>0</v>
      </c>
    </row>
    <row r="1423" ht="22.5" spans="1:11">
      <c r="A1423" s="1" t="s">
        <v>1719</v>
      </c>
      <c r="B1423" s="313" t="str">
        <f>报表附注!E1694</f>
        <v>4、非同一控制下企业合并产生递延所得税资产</v>
      </c>
      <c r="C1423" s="325">
        <f t="shared" si="127"/>
        <v>0</v>
      </c>
      <c r="D1423" s="1" t="b">
        <f t="shared" si="128"/>
        <v>0</v>
      </c>
      <c r="E1423" s="325">
        <f t="shared" si="126"/>
        <v>0</v>
      </c>
      <c r="H1423" s="1" t="b">
        <f t="shared" si="125"/>
        <v>0</v>
      </c>
      <c r="I1423" s="1" t="s">
        <v>2946</v>
      </c>
      <c r="K1423" s="1" t="b">
        <v>0</v>
      </c>
    </row>
    <row r="1424" spans="1:11">
      <c r="A1424" s="1" t="s">
        <v>1720</v>
      </c>
      <c r="B1424" s="313" t="str">
        <f>报表附注!E1695</f>
        <v>5、计提未付的工资</v>
      </c>
      <c r="C1424" s="325">
        <f t="shared" si="127"/>
        <v>0</v>
      </c>
      <c r="D1424" s="1" t="b">
        <f t="shared" si="128"/>
        <v>0</v>
      </c>
      <c r="E1424" s="325">
        <f t="shared" si="126"/>
        <v>0</v>
      </c>
      <c r="H1424" s="1" t="b">
        <f t="shared" si="125"/>
        <v>0</v>
      </c>
      <c r="I1424" s="1" t="s">
        <v>1725</v>
      </c>
      <c r="K1424" s="1" t="b">
        <v>1</v>
      </c>
    </row>
    <row r="1425" spans="1:11">
      <c r="A1425" s="1" t="s">
        <v>1721</v>
      </c>
      <c r="B1425" s="313" t="str">
        <f>报表附注!E1696</f>
        <v>6、递延收益</v>
      </c>
      <c r="C1425" s="325">
        <f t="shared" si="127"/>
        <v>0</v>
      </c>
      <c r="D1425" s="1" t="b">
        <f t="shared" si="128"/>
        <v>0</v>
      </c>
      <c r="E1425" s="325">
        <f t="shared" si="126"/>
        <v>0</v>
      </c>
      <c r="H1425" s="1" t="b">
        <f t="shared" si="125"/>
        <v>0</v>
      </c>
      <c r="I1425" s="1" t="s">
        <v>1726</v>
      </c>
      <c r="K1425" s="1" t="b">
        <v>1</v>
      </c>
    </row>
    <row r="1426" spans="1:11">
      <c r="A1426" s="1" t="s">
        <v>1722</v>
      </c>
      <c r="B1426" s="313" t="str">
        <f>报表附注!E1697</f>
        <v>7、内部交易未实现损益</v>
      </c>
      <c r="C1426" s="325">
        <f t="shared" si="127"/>
        <v>0</v>
      </c>
      <c r="D1426" s="1" t="b">
        <f t="shared" si="128"/>
        <v>0</v>
      </c>
      <c r="E1426" s="325">
        <f t="shared" si="126"/>
        <v>0</v>
      </c>
      <c r="H1426" s="1" t="b">
        <f t="shared" si="125"/>
        <v>0</v>
      </c>
      <c r="I1426" s="1" t="s">
        <v>1727</v>
      </c>
      <c r="K1426" s="1" t="b">
        <v>1</v>
      </c>
    </row>
    <row r="1427" spans="1:11">
      <c r="A1427" s="1" t="s">
        <v>936</v>
      </c>
      <c r="B1427" s="313" t="str">
        <f>报表附注!E1698</f>
        <v>二、递延所得税负债</v>
      </c>
      <c r="C1427" s="325">
        <f t="shared" si="127"/>
        <v>0</v>
      </c>
      <c r="D1427" s="1" t="b">
        <f t="shared" si="128"/>
        <v>1</v>
      </c>
      <c r="E1427" s="325">
        <f t="shared" si="126"/>
        <v>0</v>
      </c>
      <c r="H1427" s="1" t="b">
        <f t="shared" si="125"/>
        <v>0</v>
      </c>
      <c r="I1427" s="1" t="s">
        <v>1728</v>
      </c>
      <c r="K1427" s="1" t="b">
        <v>1</v>
      </c>
    </row>
    <row r="1428" spans="1:11">
      <c r="A1428" s="1" t="s">
        <v>1723</v>
      </c>
      <c r="B1428" s="313" t="str">
        <f>报表附注!E1699</f>
        <v>1、交易性金融工具、衍生金融工具的估值</v>
      </c>
      <c r="C1428" s="325">
        <f t="shared" si="127"/>
        <v>0</v>
      </c>
      <c r="D1428" s="1" t="b">
        <f t="shared" si="128"/>
        <v>0</v>
      </c>
      <c r="E1428" s="325">
        <f t="shared" si="126"/>
        <v>0</v>
      </c>
      <c r="H1428" s="1" t="b">
        <f t="shared" si="125"/>
        <v>0</v>
      </c>
      <c r="I1428" s="1" t="s">
        <v>1729</v>
      </c>
      <c r="K1428" s="1" t="b">
        <v>1</v>
      </c>
    </row>
    <row r="1429" ht="22.5" spans="1:11">
      <c r="A1429" s="1" t="s">
        <v>1724</v>
      </c>
      <c r="B1429" s="313" t="str">
        <f>报表附注!E1700</f>
        <v>2、计入资本公积的可供出售金融资产公允价值变动</v>
      </c>
      <c r="C1429" s="325">
        <f t="shared" si="127"/>
        <v>0</v>
      </c>
      <c r="D1429" s="1" t="b">
        <f t="shared" si="128"/>
        <v>0</v>
      </c>
      <c r="E1429" s="325">
        <f t="shared" si="126"/>
        <v>0</v>
      </c>
      <c r="H1429" s="1" t="b">
        <f t="shared" si="125"/>
        <v>0</v>
      </c>
      <c r="I1429" s="1" t="s">
        <v>1730</v>
      </c>
      <c r="K1429" s="1" t="b">
        <v>1</v>
      </c>
    </row>
    <row r="1430" ht="22.5" spans="1:11">
      <c r="A1430" s="1" t="s">
        <v>1721</v>
      </c>
      <c r="B1430" s="313" t="str">
        <f>报表附注!E1701</f>
        <v>3、非同一控制下企业合并产生递延所得税负债</v>
      </c>
      <c r="C1430" s="325">
        <f t="shared" si="127"/>
        <v>0</v>
      </c>
      <c r="D1430" s="1" t="b">
        <f t="shared" si="128"/>
        <v>0</v>
      </c>
      <c r="E1430" s="325">
        <f t="shared" si="126"/>
        <v>0</v>
      </c>
      <c r="H1430" s="1" t="b">
        <f t="shared" si="125"/>
        <v>0</v>
      </c>
      <c r="I1430" s="1" t="s">
        <v>1731</v>
      </c>
      <c r="K1430" s="1" t="b">
        <v>1</v>
      </c>
    </row>
    <row r="1431" spans="1:11">
      <c r="A1431" s="1" t="s">
        <v>1722</v>
      </c>
      <c r="B1431" s="313" t="str">
        <f>报表附注!E1702</f>
        <v>4、内部交易未实现损益</v>
      </c>
      <c r="C1431" s="325">
        <f t="shared" si="127"/>
        <v>0</v>
      </c>
      <c r="D1431" s="1" t="b">
        <f t="shared" si="128"/>
        <v>0</v>
      </c>
      <c r="E1431" s="325">
        <f t="shared" si="126"/>
        <v>0</v>
      </c>
      <c r="H1431" s="1" t="b">
        <f t="shared" si="125"/>
        <v>0</v>
      </c>
      <c r="I1431" s="1" t="s">
        <v>1732</v>
      </c>
      <c r="K1431" s="1" t="b">
        <v>1</v>
      </c>
    </row>
    <row r="1432" spans="1:11">
      <c r="A1432" s="1" t="s">
        <v>1725</v>
      </c>
      <c r="B1432" s="313" t="str">
        <f>报表附注!E1703</f>
        <v>5、固定资产评估增值</v>
      </c>
      <c r="C1432" s="325">
        <f t="shared" si="127"/>
        <v>0</v>
      </c>
      <c r="D1432" s="1" t="b">
        <f t="shared" si="128"/>
        <v>0</v>
      </c>
      <c r="E1432" s="325">
        <f t="shared" si="126"/>
        <v>0</v>
      </c>
      <c r="H1432" s="1" t="b">
        <f t="shared" si="125"/>
        <v>0</v>
      </c>
      <c r="I1432" s="1" t="s">
        <v>1743</v>
      </c>
      <c r="K1432" s="1" t="b">
        <v>1</v>
      </c>
    </row>
    <row r="1433" spans="1:11">
      <c r="A1433" s="1" t="s">
        <v>1726</v>
      </c>
      <c r="B1433" s="313" t="str">
        <f>报表附注!E1704</f>
        <v>新增项目4……</v>
      </c>
      <c r="C1433" s="325">
        <f t="shared" si="127"/>
        <v>0</v>
      </c>
      <c r="D1433" s="1" t="b">
        <f t="shared" si="128"/>
        <v>1</v>
      </c>
      <c r="E1433" s="325">
        <f t="shared" si="126"/>
        <v>0</v>
      </c>
      <c r="H1433" s="1" t="b">
        <f t="shared" si="125"/>
        <v>0</v>
      </c>
      <c r="I1433" s="1" t="s">
        <v>934</v>
      </c>
      <c r="K1433" s="1" t="b">
        <v>1</v>
      </c>
    </row>
    <row r="1434" spans="1:11">
      <c r="A1434" s="1" t="s">
        <v>1727</v>
      </c>
      <c r="B1434" s="313" t="str">
        <f>报表附注!E1705</f>
        <v>新增项目5……</v>
      </c>
      <c r="C1434" s="325">
        <f t="shared" si="127"/>
        <v>0</v>
      </c>
      <c r="D1434" s="1" t="b">
        <f t="shared" si="128"/>
        <v>1</v>
      </c>
      <c r="E1434" s="325">
        <f t="shared" si="126"/>
        <v>0</v>
      </c>
      <c r="H1434" s="1" t="b">
        <f t="shared" si="125"/>
        <v>0</v>
      </c>
      <c r="I1434" s="1" t="s">
        <v>1709</v>
      </c>
      <c r="K1434" s="1" t="b">
        <v>1</v>
      </c>
    </row>
    <row r="1435" spans="1:11">
      <c r="A1435" s="1" t="s">
        <v>1728</v>
      </c>
      <c r="B1435" s="313" t="str">
        <f>报表附注!E1706</f>
        <v>新增项目6……</v>
      </c>
      <c r="C1435" s="325">
        <f t="shared" si="127"/>
        <v>0</v>
      </c>
      <c r="D1435" s="1" t="b">
        <f t="shared" si="128"/>
        <v>1</v>
      </c>
      <c r="E1435" s="325">
        <f t="shared" si="126"/>
        <v>0</v>
      </c>
      <c r="H1435" s="1" t="b">
        <f t="shared" si="125"/>
        <v>0</v>
      </c>
      <c r="I1435" s="1" t="s">
        <v>1710</v>
      </c>
      <c r="K1435" s="1" t="b">
        <v>1</v>
      </c>
    </row>
    <row r="1436" spans="1:11">
      <c r="A1436" s="1" t="s">
        <v>1729</v>
      </c>
      <c r="B1436" s="313" t="str">
        <f>报表附注!E1707</f>
        <v>新增项目7……</v>
      </c>
      <c r="C1436" s="325">
        <f t="shared" si="127"/>
        <v>0</v>
      </c>
      <c r="D1436" s="1" t="b">
        <f t="shared" si="128"/>
        <v>1</v>
      </c>
      <c r="E1436" s="325">
        <f t="shared" si="126"/>
        <v>0</v>
      </c>
      <c r="H1436" s="1" t="b">
        <f t="shared" si="125"/>
        <v>0</v>
      </c>
      <c r="I1436" s="1" t="s">
        <v>1711</v>
      </c>
      <c r="K1436" s="1" t="b">
        <v>1</v>
      </c>
    </row>
    <row r="1437" spans="1:11">
      <c r="A1437" s="1" t="s">
        <v>1730</v>
      </c>
      <c r="B1437" s="313" t="str">
        <f>报表附注!E1708</f>
        <v>新增项目8……</v>
      </c>
      <c r="C1437" s="325">
        <f t="shared" si="127"/>
        <v>0</v>
      </c>
      <c r="D1437" s="1" t="b">
        <f t="shared" si="128"/>
        <v>1</v>
      </c>
      <c r="E1437" s="325">
        <f t="shared" si="126"/>
        <v>0</v>
      </c>
      <c r="H1437" s="1" t="b">
        <f t="shared" si="125"/>
        <v>0</v>
      </c>
      <c r="I1437" s="1" t="s">
        <v>1712</v>
      </c>
      <c r="K1437" s="1" t="b">
        <v>1</v>
      </c>
    </row>
    <row r="1438" spans="1:11">
      <c r="A1438" s="1" t="s">
        <v>1731</v>
      </c>
      <c r="B1438" s="313" t="str">
        <f>报表附注!E1709</f>
        <v>新增项目9……</v>
      </c>
      <c r="C1438" s="325">
        <f t="shared" si="127"/>
        <v>0</v>
      </c>
      <c r="D1438" s="1" t="b">
        <f t="shared" si="128"/>
        <v>1</v>
      </c>
      <c r="E1438" s="325">
        <f t="shared" si="126"/>
        <v>0</v>
      </c>
      <c r="H1438" s="1" t="b">
        <f t="shared" si="125"/>
        <v>0</v>
      </c>
      <c r="I1438" s="1" t="s">
        <v>1713</v>
      </c>
      <c r="K1438" s="1" t="b">
        <v>1</v>
      </c>
    </row>
    <row r="1439" spans="1:11">
      <c r="A1439" s="1" t="s">
        <v>1732</v>
      </c>
      <c r="B1439" s="313" t="str">
        <f>报表附注!E1710</f>
        <v>新增项目10……</v>
      </c>
      <c r="C1439" s="325">
        <f t="shared" si="127"/>
        <v>0</v>
      </c>
      <c r="D1439" s="1" t="b">
        <f t="shared" si="128"/>
        <v>1</v>
      </c>
      <c r="E1439" s="325">
        <f t="shared" si="126"/>
        <v>0</v>
      </c>
      <c r="H1439" s="1" t="b">
        <f t="shared" si="125"/>
        <v>0</v>
      </c>
      <c r="I1439" s="1" t="s">
        <v>1714</v>
      </c>
      <c r="K1439" s="1" t="b">
        <v>1</v>
      </c>
    </row>
    <row r="1440" ht="22.5" spans="1:11">
      <c r="A1440" s="1" t="s">
        <v>1743</v>
      </c>
      <c r="B1440" s="341" t="s">
        <v>1743</v>
      </c>
      <c r="C1440" s="330">
        <f t="shared" si="127"/>
        <v>0</v>
      </c>
      <c r="D1440" s="1" t="b">
        <f t="shared" si="128"/>
        <v>1</v>
      </c>
      <c r="E1440" s="325">
        <f t="shared" si="126"/>
        <v>0</v>
      </c>
      <c r="H1440" s="1" t="b">
        <f t="shared" si="125"/>
        <v>0</v>
      </c>
      <c r="I1440" s="1" t="s">
        <v>1715</v>
      </c>
      <c r="K1440" s="1" t="b">
        <v>1</v>
      </c>
    </row>
    <row r="1441" spans="1:11">
      <c r="A1441" s="1" t="s">
        <v>934</v>
      </c>
      <c r="B1441" s="313" t="str">
        <f>报表附注!E1683</f>
        <v>一、递延所得税资产</v>
      </c>
      <c r="C1441" s="325">
        <f t="shared" si="127"/>
        <v>0</v>
      </c>
      <c r="D1441" s="1" t="b">
        <f t="shared" si="128"/>
        <v>1</v>
      </c>
      <c r="E1441" s="325">
        <f t="shared" si="126"/>
        <v>0</v>
      </c>
      <c r="H1441" s="1" t="b">
        <f t="shared" si="125"/>
        <v>0</v>
      </c>
      <c r="I1441" s="1" t="s">
        <v>1716</v>
      </c>
      <c r="K1441" s="1" t="b">
        <v>1</v>
      </c>
    </row>
    <row r="1442" spans="1:11">
      <c r="A1442" s="1" t="s">
        <v>1709</v>
      </c>
      <c r="B1442" s="313" t="str">
        <f>报表附注!E1684</f>
        <v>1、资产减值准备：</v>
      </c>
      <c r="C1442" s="325">
        <f t="shared" si="127"/>
        <v>0</v>
      </c>
      <c r="D1442" s="1" t="b">
        <f t="shared" si="128"/>
        <v>0</v>
      </c>
      <c r="E1442" s="325">
        <f t="shared" si="126"/>
        <v>0</v>
      </c>
      <c r="H1442" s="1" t="b">
        <f t="shared" si="125"/>
        <v>0</v>
      </c>
      <c r="I1442" s="1" t="s">
        <v>2937</v>
      </c>
      <c r="K1442" s="1" t="b">
        <v>0</v>
      </c>
    </row>
    <row r="1443" spans="1:11">
      <c r="A1443" s="1" t="s">
        <v>1710</v>
      </c>
      <c r="B1443" s="313" t="str">
        <f>报表附注!E1685</f>
        <v>      其中：坏账准备</v>
      </c>
      <c r="C1443" s="325">
        <f t="shared" si="127"/>
        <v>0</v>
      </c>
      <c r="D1443" s="1" t="b">
        <f t="shared" si="128"/>
        <v>1</v>
      </c>
      <c r="E1443" s="325">
        <f t="shared" si="126"/>
        <v>0</v>
      </c>
      <c r="H1443" s="1" t="b">
        <f t="shared" si="125"/>
        <v>0</v>
      </c>
      <c r="I1443" s="1" t="s">
        <v>2938</v>
      </c>
      <c r="K1443" s="1" t="b">
        <v>0</v>
      </c>
    </row>
    <row r="1444" spans="1:11">
      <c r="A1444" s="1" t="s">
        <v>1711</v>
      </c>
      <c r="B1444" s="313" t="str">
        <f>报表附注!E1686</f>
        <v>           存货减值</v>
      </c>
      <c r="C1444" s="325">
        <f t="shared" si="127"/>
        <v>0</v>
      </c>
      <c r="D1444" s="1" t="b">
        <f t="shared" si="128"/>
        <v>1</v>
      </c>
      <c r="E1444" s="325">
        <f t="shared" si="126"/>
        <v>0</v>
      </c>
      <c r="H1444" s="1" t="b">
        <f t="shared" si="125"/>
        <v>0</v>
      </c>
      <c r="I1444" s="1" t="s">
        <v>2939</v>
      </c>
      <c r="K1444" s="1" t="b">
        <v>0</v>
      </c>
    </row>
    <row r="1445" spans="1:11">
      <c r="A1445" s="1" t="s">
        <v>1712</v>
      </c>
      <c r="B1445" s="313" t="str">
        <f>报表附注!E1687</f>
        <v>           在建工程减值</v>
      </c>
      <c r="C1445" s="325">
        <f t="shared" si="127"/>
        <v>0</v>
      </c>
      <c r="D1445" s="1" t="b">
        <f t="shared" si="128"/>
        <v>1</v>
      </c>
      <c r="E1445" s="325">
        <f t="shared" si="126"/>
        <v>0</v>
      </c>
      <c r="H1445" s="1" t="b">
        <f t="shared" si="125"/>
        <v>0</v>
      </c>
      <c r="I1445" s="1" t="s">
        <v>2940</v>
      </c>
      <c r="K1445" s="1" t="b">
        <v>0</v>
      </c>
    </row>
    <row r="1446" spans="1:11">
      <c r="A1446" s="1" t="s">
        <v>1713</v>
      </c>
      <c r="B1446" s="313" t="str">
        <f>报表附注!E1688</f>
        <v>           长期股权投资减值</v>
      </c>
      <c r="C1446" s="325">
        <f t="shared" si="127"/>
        <v>0</v>
      </c>
      <c r="D1446" s="1" t="b">
        <f t="shared" si="128"/>
        <v>1</v>
      </c>
      <c r="E1446" s="325">
        <f t="shared" si="126"/>
        <v>0</v>
      </c>
      <c r="H1446" s="1" t="b">
        <f t="shared" si="125"/>
        <v>0</v>
      </c>
      <c r="I1446" s="1" t="s">
        <v>4582</v>
      </c>
      <c r="K1446" s="1" t="b">
        <v>0</v>
      </c>
    </row>
    <row r="1447" spans="1:11">
      <c r="A1447" s="1" t="s">
        <v>1714</v>
      </c>
      <c r="B1447" s="313" t="str">
        <f>报表附注!E1689</f>
        <v>           固定资产减值</v>
      </c>
      <c r="C1447" s="325">
        <f t="shared" si="127"/>
        <v>0</v>
      </c>
      <c r="D1447" s="1" t="b">
        <f t="shared" si="128"/>
        <v>1</v>
      </c>
      <c r="E1447" s="325">
        <f t="shared" si="126"/>
        <v>0</v>
      </c>
      <c r="H1447" s="1" t="b">
        <f t="shared" si="125"/>
        <v>0</v>
      </c>
      <c r="I1447" s="1" t="s">
        <v>4583</v>
      </c>
      <c r="K1447" s="1" t="b">
        <v>0</v>
      </c>
    </row>
    <row r="1448" spans="1:11">
      <c r="A1448" s="1" t="s">
        <v>1715</v>
      </c>
      <c r="B1448" s="313" t="str">
        <f>报表附注!E1690</f>
        <v>            无形资产减值</v>
      </c>
      <c r="C1448" s="325">
        <f t="shared" si="127"/>
        <v>0</v>
      </c>
      <c r="D1448" s="1" t="b">
        <f t="shared" si="128"/>
        <v>1</v>
      </c>
      <c r="E1448" s="325">
        <f t="shared" si="126"/>
        <v>0</v>
      </c>
      <c r="H1448" s="1" t="b">
        <f t="shared" si="125"/>
        <v>0</v>
      </c>
      <c r="I1448" s="1" t="s">
        <v>936</v>
      </c>
      <c r="K1448" s="1" t="b">
        <v>1</v>
      </c>
    </row>
    <row r="1449" spans="1:11">
      <c r="A1449" s="1" t="s">
        <v>1716</v>
      </c>
      <c r="B1449" s="313" t="str">
        <f>报表附注!E1691</f>
        <v>            商誉减值</v>
      </c>
      <c r="C1449" s="325">
        <f t="shared" si="127"/>
        <v>0</v>
      </c>
      <c r="D1449" s="1" t="b">
        <f t="shared" si="128"/>
        <v>1</v>
      </c>
      <c r="E1449" s="325">
        <f t="shared" si="126"/>
        <v>0</v>
      </c>
      <c r="H1449" s="1" t="b">
        <f t="shared" si="125"/>
        <v>0</v>
      </c>
      <c r="I1449" s="1" t="s">
        <v>1723</v>
      </c>
      <c r="K1449" s="1" t="b">
        <v>1</v>
      </c>
    </row>
    <row r="1450" spans="1:11">
      <c r="A1450" s="1" t="s">
        <v>1717</v>
      </c>
      <c r="B1450" s="313" t="str">
        <f>报表附注!E1692</f>
        <v>2、开办费</v>
      </c>
      <c r="C1450" s="325">
        <f t="shared" ref="C1450:C1468" si="129">J1442</f>
        <v>0</v>
      </c>
      <c r="D1450" s="1" t="b">
        <f t="shared" si="128"/>
        <v>0</v>
      </c>
      <c r="E1450" s="325">
        <f t="shared" si="126"/>
        <v>0</v>
      </c>
      <c r="H1450" s="1" t="b">
        <f t="shared" si="125"/>
        <v>0</v>
      </c>
      <c r="I1450" s="1" t="s">
        <v>1724</v>
      </c>
      <c r="K1450" s="1" t="b">
        <v>1</v>
      </c>
    </row>
    <row r="1451" spans="1:11">
      <c r="A1451" s="1" t="s">
        <v>1718</v>
      </c>
      <c r="B1451" s="313" t="str">
        <f>报表附注!E1693</f>
        <v>3、可抵扣亏损</v>
      </c>
      <c r="C1451" s="325">
        <f t="shared" si="129"/>
        <v>0</v>
      </c>
      <c r="D1451" s="1" t="b">
        <f t="shared" si="128"/>
        <v>0</v>
      </c>
      <c r="E1451" s="325">
        <f t="shared" si="126"/>
        <v>0</v>
      </c>
      <c r="H1451" s="1" t="b">
        <f t="shared" si="125"/>
        <v>0</v>
      </c>
      <c r="I1451" s="1" t="s">
        <v>2945</v>
      </c>
      <c r="K1451" s="1" t="b">
        <v>0</v>
      </c>
    </row>
    <row r="1452" ht="22.5" spans="1:11">
      <c r="A1452" s="1" t="s">
        <v>1719</v>
      </c>
      <c r="B1452" s="313" t="str">
        <f>报表附注!E1694</f>
        <v>4、非同一控制下企业合并产生递延所得税资产</v>
      </c>
      <c r="C1452" s="325">
        <f t="shared" si="129"/>
        <v>0</v>
      </c>
      <c r="D1452" s="1" t="b">
        <f t="shared" si="128"/>
        <v>0</v>
      </c>
      <c r="E1452" s="325">
        <f t="shared" si="126"/>
        <v>0</v>
      </c>
      <c r="H1452" s="1" t="b">
        <f t="shared" si="125"/>
        <v>0</v>
      </c>
      <c r="I1452" s="1" t="s">
        <v>2946</v>
      </c>
      <c r="K1452" s="1" t="b">
        <v>0</v>
      </c>
    </row>
    <row r="1453" spans="1:11">
      <c r="A1453" s="1" t="s">
        <v>1720</v>
      </c>
      <c r="B1453" s="313" t="str">
        <f>报表附注!E1695</f>
        <v>5、计提未付的工资</v>
      </c>
      <c r="C1453" s="325">
        <f t="shared" si="129"/>
        <v>0</v>
      </c>
      <c r="D1453" s="1" t="b">
        <f t="shared" si="128"/>
        <v>0</v>
      </c>
      <c r="E1453" s="325">
        <f t="shared" si="126"/>
        <v>0</v>
      </c>
      <c r="H1453" s="1" t="b">
        <f t="shared" si="125"/>
        <v>0</v>
      </c>
      <c r="I1453" s="1" t="s">
        <v>1725</v>
      </c>
      <c r="K1453" s="1" t="b">
        <v>1</v>
      </c>
    </row>
    <row r="1454" spans="1:11">
      <c r="A1454" s="1" t="s">
        <v>1721</v>
      </c>
      <c r="B1454" s="313" t="str">
        <f>报表附注!E1696</f>
        <v>6、递延收益</v>
      </c>
      <c r="C1454" s="325">
        <f t="shared" si="129"/>
        <v>0</v>
      </c>
      <c r="D1454" s="1" t="b">
        <f t="shared" si="128"/>
        <v>0</v>
      </c>
      <c r="E1454" s="325">
        <f t="shared" si="126"/>
        <v>0</v>
      </c>
      <c r="H1454" s="1" t="b">
        <f t="shared" si="125"/>
        <v>0</v>
      </c>
      <c r="I1454" s="1" t="s">
        <v>1726</v>
      </c>
      <c r="K1454" s="1" t="b">
        <v>1</v>
      </c>
    </row>
    <row r="1455" spans="1:11">
      <c r="A1455" s="1" t="s">
        <v>1722</v>
      </c>
      <c r="B1455" s="313" t="str">
        <f>报表附注!E1697</f>
        <v>7、内部交易未实现损益</v>
      </c>
      <c r="C1455" s="325">
        <f t="shared" si="129"/>
        <v>0</v>
      </c>
      <c r="D1455" s="1" t="b">
        <f t="shared" si="128"/>
        <v>0</v>
      </c>
      <c r="E1455" s="325">
        <f t="shared" si="126"/>
        <v>0</v>
      </c>
      <c r="H1455" s="1" t="b">
        <f t="shared" si="125"/>
        <v>0</v>
      </c>
      <c r="I1455" s="1" t="s">
        <v>1727</v>
      </c>
      <c r="K1455" s="1" t="b">
        <v>1</v>
      </c>
    </row>
    <row r="1456" spans="1:11">
      <c r="A1456" s="1" t="s">
        <v>936</v>
      </c>
      <c r="B1456" s="313" t="str">
        <f>报表附注!E1698</f>
        <v>二、递延所得税负债</v>
      </c>
      <c r="C1456" s="325">
        <f t="shared" si="129"/>
        <v>0</v>
      </c>
      <c r="D1456" s="1" t="b">
        <f t="shared" si="128"/>
        <v>1</v>
      </c>
      <c r="E1456" s="325">
        <f t="shared" si="126"/>
        <v>0</v>
      </c>
      <c r="H1456" s="1" t="b">
        <f t="shared" si="125"/>
        <v>0</v>
      </c>
      <c r="I1456" s="1" t="s">
        <v>1728</v>
      </c>
      <c r="K1456" s="1" t="b">
        <v>1</v>
      </c>
    </row>
    <row r="1457" spans="1:11">
      <c r="A1457" s="1" t="s">
        <v>1723</v>
      </c>
      <c r="B1457" s="313" t="str">
        <f>报表附注!E1699</f>
        <v>1、交易性金融工具、衍生金融工具的估值</v>
      </c>
      <c r="C1457" s="325">
        <f t="shared" si="129"/>
        <v>0</v>
      </c>
      <c r="D1457" s="1" t="b">
        <f t="shared" si="128"/>
        <v>0</v>
      </c>
      <c r="E1457" s="325">
        <f t="shared" si="126"/>
        <v>0</v>
      </c>
      <c r="H1457" s="1" t="b">
        <f t="shared" si="125"/>
        <v>0</v>
      </c>
      <c r="I1457" s="1" t="s">
        <v>1729</v>
      </c>
      <c r="K1457" s="1" t="b">
        <v>1</v>
      </c>
    </row>
    <row r="1458" ht="22.5" spans="1:11">
      <c r="A1458" s="1" t="s">
        <v>1724</v>
      </c>
      <c r="B1458" s="313" t="str">
        <f>报表附注!E1700</f>
        <v>2、计入资本公积的可供出售金融资产公允价值变动</v>
      </c>
      <c r="C1458" s="325">
        <f t="shared" si="129"/>
        <v>0</v>
      </c>
      <c r="D1458" s="1" t="b">
        <f t="shared" si="128"/>
        <v>0</v>
      </c>
      <c r="E1458" s="325">
        <f t="shared" si="126"/>
        <v>0</v>
      </c>
      <c r="H1458" s="1" t="b">
        <f t="shared" si="125"/>
        <v>0</v>
      </c>
      <c r="I1458" s="1" t="s">
        <v>1730</v>
      </c>
      <c r="K1458" s="1" t="b">
        <v>1</v>
      </c>
    </row>
    <row r="1459" ht="22.5" spans="1:11">
      <c r="A1459" s="1" t="s">
        <v>1721</v>
      </c>
      <c r="B1459" s="313" t="str">
        <f>报表附注!E1701</f>
        <v>3、非同一控制下企业合并产生递延所得税负债</v>
      </c>
      <c r="C1459" s="325">
        <f t="shared" si="129"/>
        <v>0</v>
      </c>
      <c r="D1459" s="1" t="b">
        <f t="shared" si="128"/>
        <v>0</v>
      </c>
      <c r="E1459" s="325">
        <f t="shared" si="126"/>
        <v>0</v>
      </c>
      <c r="H1459" s="1" t="b">
        <f t="shared" si="125"/>
        <v>0</v>
      </c>
      <c r="I1459" s="1" t="s">
        <v>1731</v>
      </c>
      <c r="K1459" s="1" t="b">
        <v>1</v>
      </c>
    </row>
    <row r="1460" spans="1:11">
      <c r="A1460" s="1" t="s">
        <v>1722</v>
      </c>
      <c r="B1460" s="313" t="str">
        <f>报表附注!E1702</f>
        <v>4、内部交易未实现损益</v>
      </c>
      <c r="C1460" s="325">
        <f t="shared" si="129"/>
        <v>0</v>
      </c>
      <c r="D1460" s="1" t="b">
        <f t="shared" si="128"/>
        <v>0</v>
      </c>
      <c r="E1460" s="325">
        <f t="shared" si="126"/>
        <v>0</v>
      </c>
      <c r="H1460" s="1" t="b">
        <f t="shared" si="125"/>
        <v>0</v>
      </c>
      <c r="I1460" s="1" t="s">
        <v>1732</v>
      </c>
      <c r="K1460" s="1" t="b">
        <v>1</v>
      </c>
    </row>
    <row r="1461" spans="1:11">
      <c r="A1461" s="1" t="s">
        <v>1725</v>
      </c>
      <c r="B1461" s="313" t="str">
        <f>报表附注!E1703</f>
        <v>5、固定资产评估增值</v>
      </c>
      <c r="C1461" s="325">
        <f t="shared" si="129"/>
        <v>0</v>
      </c>
      <c r="D1461" s="1" t="b">
        <f t="shared" si="128"/>
        <v>0</v>
      </c>
      <c r="E1461" s="325">
        <f t="shared" si="126"/>
        <v>0</v>
      </c>
      <c r="H1461" s="1" t="b">
        <f t="shared" si="125"/>
        <v>0</v>
      </c>
      <c r="K1461" s="1" t="b">
        <v>1</v>
      </c>
    </row>
    <row r="1462" spans="1:11">
      <c r="A1462" s="1" t="s">
        <v>1726</v>
      </c>
      <c r="B1462" s="313" t="str">
        <f>报表附注!E1704</f>
        <v>新增项目4……</v>
      </c>
      <c r="C1462" s="325">
        <f t="shared" si="129"/>
        <v>0</v>
      </c>
      <c r="D1462" s="1" t="b">
        <f t="shared" si="128"/>
        <v>1</v>
      </c>
      <c r="E1462" s="325">
        <f t="shared" si="126"/>
        <v>0</v>
      </c>
      <c r="H1462" s="1" t="b">
        <f t="shared" si="125"/>
        <v>0</v>
      </c>
      <c r="K1462" s="1" t="b">
        <v>1</v>
      </c>
    </row>
    <row r="1463" spans="1:11">
      <c r="A1463" s="1" t="s">
        <v>1727</v>
      </c>
      <c r="B1463" s="313" t="str">
        <f>报表附注!E1705</f>
        <v>新增项目5……</v>
      </c>
      <c r="C1463" s="325">
        <f t="shared" si="129"/>
        <v>0</v>
      </c>
      <c r="D1463" s="1" t="b">
        <f t="shared" si="128"/>
        <v>1</v>
      </c>
      <c r="E1463" s="325">
        <f t="shared" si="126"/>
        <v>0</v>
      </c>
      <c r="H1463" s="1" t="b">
        <f t="shared" si="125"/>
        <v>0</v>
      </c>
      <c r="I1463" s="1" t="s">
        <v>1744</v>
      </c>
      <c r="K1463" s="1" t="b">
        <v>1</v>
      </c>
    </row>
    <row r="1464" spans="1:11">
      <c r="A1464" s="1" t="s">
        <v>1728</v>
      </c>
      <c r="B1464" s="313" t="str">
        <f>报表附注!E1706</f>
        <v>新增项目6……</v>
      </c>
      <c r="C1464" s="325">
        <f t="shared" si="129"/>
        <v>0</v>
      </c>
      <c r="D1464" s="1" t="b">
        <f t="shared" si="128"/>
        <v>1</v>
      </c>
      <c r="E1464" s="325">
        <f t="shared" si="126"/>
        <v>0</v>
      </c>
      <c r="H1464" s="1" t="b">
        <f t="shared" si="125"/>
        <v>0</v>
      </c>
      <c r="I1464" s="1" t="s">
        <v>670</v>
      </c>
      <c r="K1464" s="1" t="b">
        <v>1</v>
      </c>
    </row>
    <row r="1465" spans="1:11">
      <c r="A1465" s="1" t="s">
        <v>1729</v>
      </c>
      <c r="B1465" s="313" t="str">
        <f>报表附注!E1707</f>
        <v>新增项目7……</v>
      </c>
      <c r="C1465" s="325">
        <f t="shared" si="129"/>
        <v>0</v>
      </c>
      <c r="D1465" s="1" t="b">
        <f t="shared" si="128"/>
        <v>1</v>
      </c>
      <c r="E1465" s="325">
        <f t="shared" si="126"/>
        <v>0</v>
      </c>
      <c r="H1465" s="1" t="b">
        <f t="shared" si="125"/>
        <v>0</v>
      </c>
      <c r="I1465" s="1" t="s">
        <v>470</v>
      </c>
      <c r="K1465" s="1" t="b">
        <v>1</v>
      </c>
    </row>
    <row r="1466" spans="1:11">
      <c r="A1466" s="1" t="s">
        <v>1730</v>
      </c>
      <c r="B1466" s="313" t="str">
        <f>报表附注!E1708</f>
        <v>新增项目8……</v>
      </c>
      <c r="C1466" s="325">
        <f t="shared" si="129"/>
        <v>0</v>
      </c>
      <c r="D1466" s="1" t="b">
        <f t="shared" si="128"/>
        <v>1</v>
      </c>
      <c r="E1466" s="325">
        <f t="shared" si="126"/>
        <v>0</v>
      </c>
      <c r="H1466" s="1" t="b">
        <f t="shared" si="125"/>
        <v>0</v>
      </c>
      <c r="I1466" s="1" t="s">
        <v>1745</v>
      </c>
      <c r="K1466" s="1" t="b">
        <v>1</v>
      </c>
    </row>
    <row r="1467" spans="1:11">
      <c r="A1467" s="1" t="s">
        <v>1731</v>
      </c>
      <c r="B1467" s="313" t="str">
        <f>报表附注!E1709</f>
        <v>新增项目9……</v>
      </c>
      <c r="C1467" s="325">
        <f t="shared" si="129"/>
        <v>0</v>
      </c>
      <c r="D1467" s="1" t="b">
        <f t="shared" si="128"/>
        <v>1</v>
      </c>
      <c r="E1467" s="325">
        <f t="shared" si="126"/>
        <v>0</v>
      </c>
      <c r="H1467" s="1" t="b">
        <f t="shared" si="125"/>
        <v>0</v>
      </c>
      <c r="I1467" s="1" t="s">
        <v>1746</v>
      </c>
      <c r="K1467" s="1" t="b">
        <v>1</v>
      </c>
    </row>
    <row r="1468" spans="1:11">
      <c r="A1468" s="1" t="s">
        <v>1732</v>
      </c>
      <c r="B1468" s="313" t="str">
        <f>报表附注!E1710</f>
        <v>新增项目10……</v>
      </c>
      <c r="C1468" s="325">
        <f t="shared" si="129"/>
        <v>0</v>
      </c>
      <c r="D1468" s="1" t="b">
        <f t="shared" si="128"/>
        <v>1</v>
      </c>
      <c r="E1468" s="325">
        <f t="shared" si="126"/>
        <v>0</v>
      </c>
      <c r="H1468" s="1" t="b">
        <f t="shared" si="125"/>
        <v>0</v>
      </c>
      <c r="I1468" s="1" t="s">
        <v>1747</v>
      </c>
      <c r="K1468" s="1" t="b">
        <v>1</v>
      </c>
    </row>
    <row r="1469" spans="4:11">
      <c r="D1469" s="1" t="b">
        <f t="shared" si="128"/>
        <v>1</v>
      </c>
      <c r="H1469" s="1" t="b">
        <f t="shared" si="125"/>
        <v>0</v>
      </c>
      <c r="I1469" s="1" t="s">
        <v>1748</v>
      </c>
      <c r="K1469" s="1" t="b">
        <v>1</v>
      </c>
    </row>
    <row r="1470" spans="4:11">
      <c r="D1470" s="1" t="b">
        <f t="shared" si="128"/>
        <v>1</v>
      </c>
      <c r="H1470" s="1" t="b">
        <f t="shared" si="125"/>
        <v>0</v>
      </c>
      <c r="I1470" s="1" t="s">
        <v>1749</v>
      </c>
      <c r="K1470" s="1" t="b">
        <v>1</v>
      </c>
    </row>
    <row r="1471" spans="1:11">
      <c r="A1471" s="1" t="s">
        <v>1744</v>
      </c>
      <c r="B1471" s="365" t="s">
        <v>1744</v>
      </c>
      <c r="D1471" s="1" t="b">
        <f t="shared" si="128"/>
        <v>1</v>
      </c>
      <c r="H1471" s="1" t="b">
        <f t="shared" si="125"/>
        <v>0</v>
      </c>
      <c r="I1471" s="1" t="s">
        <v>1750</v>
      </c>
      <c r="K1471" s="1" t="b">
        <v>1</v>
      </c>
    </row>
    <row r="1472" spans="1:11">
      <c r="A1472" s="1" t="s">
        <v>670</v>
      </c>
      <c r="B1472" s="335" t="s">
        <v>670</v>
      </c>
      <c r="D1472" s="1" t="b">
        <f t="shared" si="128"/>
        <v>1</v>
      </c>
      <c r="H1472" s="1" t="b">
        <f t="shared" si="125"/>
        <v>0</v>
      </c>
      <c r="I1472" s="1" t="s">
        <v>1751</v>
      </c>
      <c r="K1472" s="1" t="b">
        <v>1</v>
      </c>
    </row>
    <row r="1473" spans="1:11">
      <c r="A1473" s="1" t="s">
        <v>470</v>
      </c>
      <c r="B1473" s="336" t="str">
        <f>报表附注!E1730</f>
        <v>坏账准备</v>
      </c>
      <c r="C1473" s="325">
        <f t="shared" ref="C1473:C1488" si="130">J1465</f>
        <v>0</v>
      </c>
      <c r="D1473" s="1" t="b">
        <f t="shared" si="128"/>
        <v>1</v>
      </c>
      <c r="E1473" s="325">
        <f>C1541</f>
        <v>0</v>
      </c>
      <c r="H1473" s="1" t="b">
        <f t="shared" si="125"/>
        <v>0</v>
      </c>
      <c r="I1473" s="1" t="s">
        <v>1752</v>
      </c>
      <c r="K1473" s="1" t="b">
        <v>1</v>
      </c>
    </row>
    <row r="1474" spans="1:11">
      <c r="A1474" s="1" t="s">
        <v>1745</v>
      </c>
      <c r="B1474" s="336" t="str">
        <f>报表附注!E1731</f>
        <v>存货跌价准备</v>
      </c>
      <c r="C1474" s="325">
        <f t="shared" si="130"/>
        <v>0</v>
      </c>
      <c r="D1474" s="1" t="b">
        <f t="shared" si="128"/>
        <v>1</v>
      </c>
      <c r="E1474" s="325">
        <f t="shared" ref="E1474:E1488" si="131">C1542</f>
        <v>0</v>
      </c>
      <c r="H1474" s="1" t="b">
        <f t="shared" si="125"/>
        <v>0</v>
      </c>
      <c r="I1474" s="1" t="s">
        <v>1753</v>
      </c>
      <c r="K1474" s="1" t="b">
        <v>1</v>
      </c>
    </row>
    <row r="1475" spans="1:11">
      <c r="A1475" s="1" t="s">
        <v>1746</v>
      </c>
      <c r="B1475" s="336" t="str">
        <f>报表附注!E1732</f>
        <v>可供出售金融资产减值准备</v>
      </c>
      <c r="C1475" s="325">
        <f t="shared" si="130"/>
        <v>0</v>
      </c>
      <c r="D1475" s="1" t="b">
        <f t="shared" si="128"/>
        <v>1</v>
      </c>
      <c r="E1475" s="325">
        <f t="shared" si="131"/>
        <v>0</v>
      </c>
      <c r="H1475" s="1" t="b">
        <f t="shared" si="125"/>
        <v>0</v>
      </c>
      <c r="I1475" s="1" t="s">
        <v>959</v>
      </c>
      <c r="K1475" s="1" t="b">
        <v>1</v>
      </c>
    </row>
    <row r="1476" spans="1:11">
      <c r="A1476" s="1" t="s">
        <v>1747</v>
      </c>
      <c r="B1476" s="336" t="str">
        <f>报表附注!E1733</f>
        <v>持有至到期投资减值准备</v>
      </c>
      <c r="C1476" s="325">
        <f t="shared" si="130"/>
        <v>0</v>
      </c>
      <c r="D1476" s="1" t="b">
        <f t="shared" si="128"/>
        <v>1</v>
      </c>
      <c r="E1476" s="325">
        <f t="shared" si="131"/>
        <v>0</v>
      </c>
      <c r="H1476" s="1" t="b">
        <f t="shared" ref="H1476:H1539" si="132">I1476=B1476</f>
        <v>0</v>
      </c>
      <c r="I1476" s="1" t="s">
        <v>1754</v>
      </c>
      <c r="K1476" s="1" t="b">
        <v>1</v>
      </c>
    </row>
    <row r="1477" spans="1:11">
      <c r="A1477" s="1" t="s">
        <v>1748</v>
      </c>
      <c r="B1477" s="336" t="str">
        <f>报表附注!E1734</f>
        <v>长期股权投资减值准备</v>
      </c>
      <c r="C1477" s="325">
        <f t="shared" si="130"/>
        <v>0</v>
      </c>
      <c r="D1477" s="1" t="b">
        <f t="shared" si="128"/>
        <v>1</v>
      </c>
      <c r="E1477" s="325">
        <f t="shared" si="131"/>
        <v>0</v>
      </c>
      <c r="H1477" s="1" t="b">
        <f t="shared" si="132"/>
        <v>0</v>
      </c>
      <c r="I1477" s="1" t="s">
        <v>1755</v>
      </c>
      <c r="K1477" s="1" t="b">
        <v>1</v>
      </c>
    </row>
    <row r="1478" spans="1:11">
      <c r="A1478" s="1" t="s">
        <v>1749</v>
      </c>
      <c r="B1478" s="336" t="str">
        <f>报表附注!E1735</f>
        <v>投资性房地产减值准备</v>
      </c>
      <c r="C1478" s="325">
        <f t="shared" si="130"/>
        <v>0</v>
      </c>
      <c r="D1478" s="1" t="b">
        <f t="shared" si="128"/>
        <v>1</v>
      </c>
      <c r="E1478" s="325">
        <f t="shared" si="131"/>
        <v>0</v>
      </c>
      <c r="H1478" s="1" t="b">
        <f t="shared" si="132"/>
        <v>0</v>
      </c>
      <c r="I1478" s="1" t="s">
        <v>1756</v>
      </c>
      <c r="K1478" s="1" t="b">
        <v>1</v>
      </c>
    </row>
    <row r="1479" spans="1:11">
      <c r="A1479" s="1" t="s">
        <v>1750</v>
      </c>
      <c r="B1479" s="336" t="str">
        <f>报表附注!E1736</f>
        <v>固定资产减值准备</v>
      </c>
      <c r="C1479" s="325">
        <f t="shared" si="130"/>
        <v>0</v>
      </c>
      <c r="D1479" s="1" t="b">
        <f t="shared" si="128"/>
        <v>1</v>
      </c>
      <c r="E1479" s="325">
        <f t="shared" si="131"/>
        <v>0</v>
      </c>
      <c r="H1479" s="1" t="b">
        <f t="shared" si="132"/>
        <v>0</v>
      </c>
      <c r="I1479" s="1" t="s">
        <v>279</v>
      </c>
      <c r="K1479" s="1" t="b">
        <v>1</v>
      </c>
    </row>
    <row r="1480" spans="1:11">
      <c r="A1480" s="1" t="s">
        <v>1751</v>
      </c>
      <c r="B1480" s="336" t="str">
        <f>报表附注!E1737</f>
        <v>工程物资减值准备</v>
      </c>
      <c r="C1480" s="325">
        <f t="shared" si="130"/>
        <v>0</v>
      </c>
      <c r="D1480" s="1" t="b">
        <f t="shared" si="128"/>
        <v>1</v>
      </c>
      <c r="E1480" s="325">
        <f t="shared" si="131"/>
        <v>0</v>
      </c>
      <c r="H1480" s="1" t="b">
        <f t="shared" si="132"/>
        <v>0</v>
      </c>
      <c r="I1480" s="1" t="s">
        <v>346</v>
      </c>
      <c r="K1480" s="1" t="b">
        <v>1</v>
      </c>
    </row>
    <row r="1481" spans="1:11">
      <c r="A1481" s="1" t="s">
        <v>1752</v>
      </c>
      <c r="B1481" s="336" t="str">
        <f>报表附注!E1738</f>
        <v>在建工程减值准备</v>
      </c>
      <c r="C1481" s="325">
        <f t="shared" si="130"/>
        <v>0</v>
      </c>
      <c r="D1481" s="1" t="b">
        <f t="shared" si="128"/>
        <v>1</v>
      </c>
      <c r="E1481" s="325">
        <f t="shared" si="131"/>
        <v>0</v>
      </c>
      <c r="H1481" s="1" t="b">
        <f t="shared" si="132"/>
        <v>0</v>
      </c>
      <c r="I1481" s="1" t="s">
        <v>1757</v>
      </c>
      <c r="K1481" s="1" t="b">
        <v>1</v>
      </c>
    </row>
    <row r="1482" spans="1:11">
      <c r="A1482" s="1" t="s">
        <v>1753</v>
      </c>
      <c r="B1482" s="336" t="str">
        <f>报表附注!E1739</f>
        <v>生产性生物资产减值准备</v>
      </c>
      <c r="C1482" s="325">
        <f t="shared" si="130"/>
        <v>0</v>
      </c>
      <c r="D1482" s="1" t="b">
        <f t="shared" si="128"/>
        <v>1</v>
      </c>
      <c r="E1482" s="325">
        <f t="shared" si="131"/>
        <v>0</v>
      </c>
      <c r="H1482" s="1" t="b">
        <f t="shared" si="132"/>
        <v>0</v>
      </c>
      <c r="I1482" s="1" t="s">
        <v>470</v>
      </c>
      <c r="K1482" s="1" t="b">
        <v>1</v>
      </c>
    </row>
    <row r="1483" spans="1:11">
      <c r="A1483" s="1" t="s">
        <v>959</v>
      </c>
      <c r="B1483" s="336" t="str">
        <f>报表附注!E1740</f>
        <v>其中：成熟生产性生物资产减值准备</v>
      </c>
      <c r="C1483" s="325">
        <f t="shared" si="130"/>
        <v>0</v>
      </c>
      <c r="D1483" s="1" t="b">
        <f t="shared" si="128"/>
        <v>1</v>
      </c>
      <c r="E1483" s="325">
        <f t="shared" si="131"/>
        <v>0</v>
      </c>
      <c r="H1483" s="1" t="b">
        <f t="shared" si="132"/>
        <v>0</v>
      </c>
      <c r="I1483" s="1" t="s">
        <v>1745</v>
      </c>
      <c r="K1483" s="1" t="b">
        <v>1</v>
      </c>
    </row>
    <row r="1484" spans="1:11">
      <c r="A1484" s="1" t="s">
        <v>1754</v>
      </c>
      <c r="B1484" s="336" t="str">
        <f>报表附注!E1741</f>
        <v>油气资产减值准备</v>
      </c>
      <c r="C1484" s="325">
        <f t="shared" si="130"/>
        <v>0</v>
      </c>
      <c r="D1484" s="1" t="b">
        <f t="shared" ref="D1484:D1547" si="133">EXACT(A1484,B1484)</f>
        <v>1</v>
      </c>
      <c r="E1484" s="325">
        <f t="shared" si="131"/>
        <v>0</v>
      </c>
      <c r="H1484" s="1" t="b">
        <f t="shared" si="132"/>
        <v>0</v>
      </c>
      <c r="I1484" s="1" t="s">
        <v>1746</v>
      </c>
      <c r="K1484" s="1" t="b">
        <v>1</v>
      </c>
    </row>
    <row r="1485" spans="1:11">
      <c r="A1485" s="1" t="s">
        <v>1755</v>
      </c>
      <c r="B1485" s="336" t="str">
        <f>报表附注!E1742</f>
        <v>无形资产减值准备</v>
      </c>
      <c r="C1485" s="325">
        <f t="shared" si="130"/>
        <v>0</v>
      </c>
      <c r="D1485" s="1" t="b">
        <f t="shared" si="133"/>
        <v>1</v>
      </c>
      <c r="E1485" s="325">
        <f t="shared" si="131"/>
        <v>0</v>
      </c>
      <c r="H1485" s="1" t="b">
        <f t="shared" si="132"/>
        <v>0</v>
      </c>
      <c r="I1485" s="1" t="s">
        <v>1747</v>
      </c>
      <c r="K1485" s="1" t="b">
        <v>1</v>
      </c>
    </row>
    <row r="1486" spans="1:11">
      <c r="A1486" s="1" t="s">
        <v>1756</v>
      </c>
      <c r="B1486" s="336" t="str">
        <f>报表附注!E1743</f>
        <v>商誉减值准备</v>
      </c>
      <c r="C1486" s="325">
        <f t="shared" si="130"/>
        <v>0</v>
      </c>
      <c r="D1486" s="1" t="b">
        <f t="shared" si="133"/>
        <v>1</v>
      </c>
      <c r="E1486" s="325">
        <f t="shared" si="131"/>
        <v>0</v>
      </c>
      <c r="H1486" s="1" t="b">
        <f t="shared" si="132"/>
        <v>0</v>
      </c>
      <c r="I1486" s="1" t="s">
        <v>1748</v>
      </c>
      <c r="K1486" s="1" t="b">
        <v>1</v>
      </c>
    </row>
    <row r="1487" spans="1:11">
      <c r="A1487" s="1" t="s">
        <v>279</v>
      </c>
      <c r="B1487" s="336" t="str">
        <f>报表附注!E1744</f>
        <v>其他</v>
      </c>
      <c r="C1487" s="325">
        <f t="shared" si="130"/>
        <v>0</v>
      </c>
      <c r="D1487" s="1" t="b">
        <f t="shared" si="133"/>
        <v>1</v>
      </c>
      <c r="E1487" s="325">
        <f t="shared" si="131"/>
        <v>0</v>
      </c>
      <c r="H1487" s="1" t="b">
        <f t="shared" si="132"/>
        <v>0</v>
      </c>
      <c r="I1487" s="1" t="s">
        <v>1749</v>
      </c>
      <c r="K1487" s="1" t="b">
        <v>1</v>
      </c>
    </row>
    <row r="1488" spans="1:11">
      <c r="A1488" s="1" t="s">
        <v>346</v>
      </c>
      <c r="B1488" s="340" t="str">
        <f>报表附注!E1745</f>
        <v>合 计</v>
      </c>
      <c r="C1488" s="325">
        <f t="shared" si="130"/>
        <v>0</v>
      </c>
      <c r="D1488" s="1" t="b">
        <f t="shared" si="133"/>
        <v>1</v>
      </c>
      <c r="E1488" s="325">
        <f t="shared" si="131"/>
        <v>0</v>
      </c>
      <c r="H1488" s="1" t="b">
        <f t="shared" si="132"/>
        <v>0</v>
      </c>
      <c r="I1488" s="1" t="s">
        <v>1750</v>
      </c>
      <c r="K1488" s="1" t="b">
        <v>1</v>
      </c>
    </row>
    <row r="1489" spans="1:11">
      <c r="A1489" s="1" t="s">
        <v>1757</v>
      </c>
      <c r="B1489" s="335" t="s">
        <v>1757</v>
      </c>
      <c r="D1489" s="1" t="b">
        <f t="shared" si="133"/>
        <v>1</v>
      </c>
      <c r="H1489" s="1" t="b">
        <f t="shared" si="132"/>
        <v>0</v>
      </c>
      <c r="I1489" s="1" t="s">
        <v>1751</v>
      </c>
      <c r="K1489" s="1" t="b">
        <v>1</v>
      </c>
    </row>
    <row r="1490" spans="1:11">
      <c r="A1490" s="1" t="s">
        <v>470</v>
      </c>
      <c r="B1490" s="336" t="str">
        <f>报表附注!E1730</f>
        <v>坏账准备</v>
      </c>
      <c r="C1490" s="325">
        <f t="shared" ref="C1490:C1505" si="134">J1482</f>
        <v>0</v>
      </c>
      <c r="D1490" s="1" t="b">
        <f t="shared" si="133"/>
        <v>1</v>
      </c>
      <c r="E1490" s="315"/>
      <c r="H1490" s="1" t="b">
        <f t="shared" si="132"/>
        <v>0</v>
      </c>
      <c r="I1490" s="1" t="s">
        <v>1752</v>
      </c>
      <c r="K1490" s="1" t="b">
        <v>1</v>
      </c>
    </row>
    <row r="1491" spans="1:11">
      <c r="A1491" s="1" t="s">
        <v>1745</v>
      </c>
      <c r="B1491" s="336" t="str">
        <f>报表附注!E1731</f>
        <v>存货跌价准备</v>
      </c>
      <c r="C1491" s="325">
        <f t="shared" si="134"/>
        <v>0</v>
      </c>
      <c r="D1491" s="1" t="b">
        <f t="shared" si="133"/>
        <v>1</v>
      </c>
      <c r="E1491" s="315"/>
      <c r="H1491" s="1" t="b">
        <f t="shared" si="132"/>
        <v>0</v>
      </c>
      <c r="I1491" s="1" t="s">
        <v>1753</v>
      </c>
      <c r="K1491" s="1" t="b">
        <v>1</v>
      </c>
    </row>
    <row r="1492" spans="1:11">
      <c r="A1492" s="1" t="s">
        <v>1746</v>
      </c>
      <c r="B1492" s="336" t="str">
        <f>报表附注!E1732</f>
        <v>可供出售金融资产减值准备</v>
      </c>
      <c r="C1492" s="325">
        <f t="shared" si="134"/>
        <v>0</v>
      </c>
      <c r="D1492" s="1" t="b">
        <f t="shared" si="133"/>
        <v>1</v>
      </c>
      <c r="E1492" s="315"/>
      <c r="H1492" s="1" t="b">
        <f t="shared" si="132"/>
        <v>0</v>
      </c>
      <c r="I1492" s="1" t="s">
        <v>959</v>
      </c>
      <c r="K1492" s="1" t="b">
        <v>1</v>
      </c>
    </row>
    <row r="1493" spans="1:11">
      <c r="A1493" s="1" t="s">
        <v>1747</v>
      </c>
      <c r="B1493" s="336" t="str">
        <f>报表附注!E1733</f>
        <v>持有至到期投资减值准备</v>
      </c>
      <c r="C1493" s="325">
        <f t="shared" si="134"/>
        <v>0</v>
      </c>
      <c r="D1493" s="1" t="b">
        <f t="shared" si="133"/>
        <v>1</v>
      </c>
      <c r="E1493" s="315"/>
      <c r="H1493" s="1" t="b">
        <f t="shared" si="132"/>
        <v>0</v>
      </c>
      <c r="I1493" s="1" t="s">
        <v>1754</v>
      </c>
      <c r="K1493" s="1" t="b">
        <v>1</v>
      </c>
    </row>
    <row r="1494" spans="1:11">
      <c r="A1494" s="1" t="s">
        <v>1748</v>
      </c>
      <c r="B1494" s="336" t="str">
        <f>报表附注!E1734</f>
        <v>长期股权投资减值准备</v>
      </c>
      <c r="C1494" s="325">
        <f t="shared" si="134"/>
        <v>0</v>
      </c>
      <c r="D1494" s="1" t="b">
        <f t="shared" si="133"/>
        <v>1</v>
      </c>
      <c r="E1494" s="315"/>
      <c r="H1494" s="1" t="b">
        <f t="shared" si="132"/>
        <v>0</v>
      </c>
      <c r="I1494" s="1" t="s">
        <v>1755</v>
      </c>
      <c r="K1494" s="1" t="b">
        <v>1</v>
      </c>
    </row>
    <row r="1495" spans="1:11">
      <c r="A1495" s="1" t="s">
        <v>1749</v>
      </c>
      <c r="B1495" s="336" t="str">
        <f>报表附注!E1735</f>
        <v>投资性房地产减值准备</v>
      </c>
      <c r="C1495" s="325">
        <f t="shared" si="134"/>
        <v>0</v>
      </c>
      <c r="D1495" s="1" t="b">
        <f t="shared" si="133"/>
        <v>1</v>
      </c>
      <c r="E1495" s="315"/>
      <c r="H1495" s="1" t="b">
        <f t="shared" si="132"/>
        <v>0</v>
      </c>
      <c r="I1495" s="1" t="s">
        <v>1756</v>
      </c>
      <c r="K1495" s="1" t="b">
        <v>1</v>
      </c>
    </row>
    <row r="1496" spans="1:11">
      <c r="A1496" s="1" t="s">
        <v>1750</v>
      </c>
      <c r="B1496" s="336" t="str">
        <f>报表附注!E1736</f>
        <v>固定资产减值准备</v>
      </c>
      <c r="C1496" s="325">
        <f t="shared" si="134"/>
        <v>0</v>
      </c>
      <c r="D1496" s="1" t="b">
        <f t="shared" si="133"/>
        <v>1</v>
      </c>
      <c r="E1496" s="315"/>
      <c r="H1496" s="1" t="b">
        <f t="shared" si="132"/>
        <v>0</v>
      </c>
      <c r="I1496" s="1" t="s">
        <v>279</v>
      </c>
      <c r="K1496" s="1" t="b">
        <v>1</v>
      </c>
    </row>
    <row r="1497" spans="1:11">
      <c r="A1497" s="1" t="s">
        <v>1751</v>
      </c>
      <c r="B1497" s="336" t="str">
        <f>报表附注!E1737</f>
        <v>工程物资减值准备</v>
      </c>
      <c r="C1497" s="325">
        <f t="shared" si="134"/>
        <v>0</v>
      </c>
      <c r="D1497" s="1" t="b">
        <f t="shared" si="133"/>
        <v>1</v>
      </c>
      <c r="E1497" s="315"/>
      <c r="H1497" s="1" t="b">
        <f t="shared" si="132"/>
        <v>0</v>
      </c>
      <c r="I1497" s="1" t="s">
        <v>346</v>
      </c>
      <c r="K1497" s="1" t="b">
        <v>1</v>
      </c>
    </row>
    <row r="1498" spans="1:11">
      <c r="A1498" s="1" t="s">
        <v>1752</v>
      </c>
      <c r="B1498" s="336" t="str">
        <f>报表附注!E1738</f>
        <v>在建工程减值准备</v>
      </c>
      <c r="C1498" s="325">
        <f t="shared" si="134"/>
        <v>0</v>
      </c>
      <c r="D1498" s="1" t="b">
        <f t="shared" si="133"/>
        <v>1</v>
      </c>
      <c r="E1498" s="315"/>
      <c r="H1498" s="1" t="b">
        <f t="shared" si="132"/>
        <v>0</v>
      </c>
      <c r="I1498" s="1" t="s">
        <v>1758</v>
      </c>
      <c r="K1498" s="1" t="b">
        <v>1</v>
      </c>
    </row>
    <row r="1499" spans="1:11">
      <c r="A1499" s="1" t="s">
        <v>1753</v>
      </c>
      <c r="B1499" s="336" t="str">
        <f>报表附注!E1739</f>
        <v>生产性生物资产减值准备</v>
      </c>
      <c r="C1499" s="325">
        <f t="shared" si="134"/>
        <v>0</v>
      </c>
      <c r="D1499" s="1" t="b">
        <f t="shared" si="133"/>
        <v>1</v>
      </c>
      <c r="E1499" s="315"/>
      <c r="H1499" s="1" t="b">
        <f t="shared" si="132"/>
        <v>0</v>
      </c>
      <c r="I1499" s="1" t="s">
        <v>470</v>
      </c>
      <c r="K1499" s="1" t="b">
        <v>1</v>
      </c>
    </row>
    <row r="1500" spans="1:11">
      <c r="A1500" s="1" t="s">
        <v>959</v>
      </c>
      <c r="B1500" s="336" t="str">
        <f>报表附注!E1740</f>
        <v>其中：成熟生产性生物资产减值准备</v>
      </c>
      <c r="C1500" s="325">
        <f t="shared" si="134"/>
        <v>0</v>
      </c>
      <c r="D1500" s="1" t="b">
        <f t="shared" si="133"/>
        <v>1</v>
      </c>
      <c r="E1500" s="315"/>
      <c r="H1500" s="1" t="b">
        <f t="shared" si="132"/>
        <v>0</v>
      </c>
      <c r="I1500" s="1" t="s">
        <v>1745</v>
      </c>
      <c r="K1500" s="1" t="b">
        <v>1</v>
      </c>
    </row>
    <row r="1501" spans="1:11">
      <c r="A1501" s="1" t="s">
        <v>1754</v>
      </c>
      <c r="B1501" s="336" t="str">
        <f>报表附注!E1741</f>
        <v>油气资产减值准备</v>
      </c>
      <c r="C1501" s="325">
        <f t="shared" si="134"/>
        <v>0</v>
      </c>
      <c r="D1501" s="1" t="b">
        <f t="shared" si="133"/>
        <v>1</v>
      </c>
      <c r="E1501" s="315"/>
      <c r="H1501" s="1" t="b">
        <f t="shared" si="132"/>
        <v>0</v>
      </c>
      <c r="I1501" s="1" t="s">
        <v>1746</v>
      </c>
      <c r="K1501" s="1" t="b">
        <v>1</v>
      </c>
    </row>
    <row r="1502" spans="1:11">
      <c r="A1502" s="1" t="s">
        <v>1755</v>
      </c>
      <c r="B1502" s="336" t="str">
        <f>报表附注!E1742</f>
        <v>无形资产减值准备</v>
      </c>
      <c r="C1502" s="325">
        <f t="shared" si="134"/>
        <v>0</v>
      </c>
      <c r="D1502" s="1" t="b">
        <f t="shared" si="133"/>
        <v>1</v>
      </c>
      <c r="E1502" s="315"/>
      <c r="H1502" s="1" t="b">
        <f t="shared" si="132"/>
        <v>0</v>
      </c>
      <c r="I1502" s="1" t="s">
        <v>1747</v>
      </c>
      <c r="K1502" s="1" t="b">
        <v>1</v>
      </c>
    </row>
    <row r="1503" spans="1:11">
      <c r="A1503" s="1" t="s">
        <v>1756</v>
      </c>
      <c r="B1503" s="336" t="str">
        <f>报表附注!E1743</f>
        <v>商誉减值准备</v>
      </c>
      <c r="C1503" s="325">
        <f t="shared" si="134"/>
        <v>0</v>
      </c>
      <c r="D1503" s="1" t="b">
        <f t="shared" si="133"/>
        <v>1</v>
      </c>
      <c r="E1503" s="315"/>
      <c r="H1503" s="1" t="b">
        <f t="shared" si="132"/>
        <v>0</v>
      </c>
      <c r="I1503" s="1" t="s">
        <v>1748</v>
      </c>
      <c r="K1503" s="1" t="b">
        <v>1</v>
      </c>
    </row>
    <row r="1504" spans="1:11">
      <c r="A1504" s="1" t="s">
        <v>279</v>
      </c>
      <c r="B1504" s="336" t="str">
        <f>报表附注!E1744</f>
        <v>其他</v>
      </c>
      <c r="C1504" s="325">
        <f t="shared" si="134"/>
        <v>0</v>
      </c>
      <c r="D1504" s="1" t="b">
        <f t="shared" si="133"/>
        <v>1</v>
      </c>
      <c r="E1504" s="315"/>
      <c r="H1504" s="1" t="b">
        <f t="shared" si="132"/>
        <v>0</v>
      </c>
      <c r="I1504" s="1" t="s">
        <v>1749</v>
      </c>
      <c r="K1504" s="1" t="b">
        <v>1</v>
      </c>
    </row>
    <row r="1505" spans="1:11">
      <c r="A1505" s="1" t="s">
        <v>346</v>
      </c>
      <c r="B1505" s="340" t="str">
        <f>报表附注!E1745</f>
        <v>合 计</v>
      </c>
      <c r="C1505" s="325">
        <f t="shared" si="134"/>
        <v>0</v>
      </c>
      <c r="D1505" s="1" t="b">
        <f t="shared" si="133"/>
        <v>1</v>
      </c>
      <c r="E1505" s="315"/>
      <c r="H1505" s="1" t="b">
        <f t="shared" si="132"/>
        <v>0</v>
      </c>
      <c r="I1505" s="1" t="s">
        <v>1750</v>
      </c>
      <c r="K1505" s="1" t="b">
        <v>1</v>
      </c>
    </row>
    <row r="1506" spans="1:11">
      <c r="A1506" s="1" t="s">
        <v>1758</v>
      </c>
      <c r="B1506" s="335" t="s">
        <v>1758</v>
      </c>
      <c r="D1506" s="1" t="b">
        <f t="shared" si="133"/>
        <v>1</v>
      </c>
      <c r="E1506" s="311"/>
      <c r="H1506" s="1" t="b">
        <f t="shared" si="132"/>
        <v>0</v>
      </c>
      <c r="I1506" s="1" t="s">
        <v>1751</v>
      </c>
      <c r="K1506" s="1" t="b">
        <v>1</v>
      </c>
    </row>
    <row r="1507" spans="1:11">
      <c r="A1507" s="1" t="s">
        <v>470</v>
      </c>
      <c r="B1507" s="336" t="str">
        <f>报表附注!E1730</f>
        <v>坏账准备</v>
      </c>
      <c r="C1507" s="325">
        <f t="shared" ref="C1507:C1522" si="135">J1499</f>
        <v>0</v>
      </c>
      <c r="D1507" s="1" t="b">
        <f t="shared" si="133"/>
        <v>1</v>
      </c>
      <c r="E1507" s="315"/>
      <c r="H1507" s="1" t="b">
        <f t="shared" si="132"/>
        <v>0</v>
      </c>
      <c r="I1507" s="1" t="s">
        <v>1752</v>
      </c>
      <c r="K1507" s="1" t="b">
        <v>1</v>
      </c>
    </row>
    <row r="1508" spans="1:11">
      <c r="A1508" s="1" t="s">
        <v>1745</v>
      </c>
      <c r="B1508" s="336" t="str">
        <f>报表附注!E1731</f>
        <v>存货跌价准备</v>
      </c>
      <c r="C1508" s="325">
        <f t="shared" si="135"/>
        <v>0</v>
      </c>
      <c r="D1508" s="1" t="b">
        <f t="shared" si="133"/>
        <v>1</v>
      </c>
      <c r="E1508" s="315"/>
      <c r="H1508" s="1" t="b">
        <f t="shared" si="132"/>
        <v>0</v>
      </c>
      <c r="I1508" s="1" t="s">
        <v>1753</v>
      </c>
      <c r="K1508" s="1" t="b">
        <v>1</v>
      </c>
    </row>
    <row r="1509" spans="1:11">
      <c r="A1509" s="1" t="s">
        <v>1746</v>
      </c>
      <c r="B1509" s="336" t="str">
        <f>报表附注!E1732</f>
        <v>可供出售金融资产减值准备</v>
      </c>
      <c r="C1509" s="325">
        <f t="shared" si="135"/>
        <v>0</v>
      </c>
      <c r="D1509" s="1" t="b">
        <f t="shared" si="133"/>
        <v>1</v>
      </c>
      <c r="E1509" s="315"/>
      <c r="H1509" s="1" t="b">
        <f t="shared" si="132"/>
        <v>0</v>
      </c>
      <c r="I1509" s="1" t="s">
        <v>959</v>
      </c>
      <c r="K1509" s="1" t="b">
        <v>1</v>
      </c>
    </row>
    <row r="1510" spans="1:11">
      <c r="A1510" s="1" t="s">
        <v>1747</v>
      </c>
      <c r="B1510" s="336" t="str">
        <f>报表附注!E1733</f>
        <v>持有至到期投资减值准备</v>
      </c>
      <c r="C1510" s="325">
        <f t="shared" si="135"/>
        <v>0</v>
      </c>
      <c r="D1510" s="1" t="b">
        <f t="shared" si="133"/>
        <v>1</v>
      </c>
      <c r="E1510" s="315"/>
      <c r="H1510" s="1" t="b">
        <f t="shared" si="132"/>
        <v>0</v>
      </c>
      <c r="I1510" s="1" t="s">
        <v>1754</v>
      </c>
      <c r="K1510" s="1" t="b">
        <v>1</v>
      </c>
    </row>
    <row r="1511" spans="1:11">
      <c r="A1511" s="1" t="s">
        <v>1748</v>
      </c>
      <c r="B1511" s="336" t="str">
        <f>报表附注!E1734</f>
        <v>长期股权投资减值准备</v>
      </c>
      <c r="C1511" s="325">
        <f t="shared" si="135"/>
        <v>0</v>
      </c>
      <c r="D1511" s="1" t="b">
        <f t="shared" si="133"/>
        <v>1</v>
      </c>
      <c r="E1511" s="315"/>
      <c r="H1511" s="1" t="b">
        <f t="shared" si="132"/>
        <v>0</v>
      </c>
      <c r="I1511" s="1" t="s">
        <v>1755</v>
      </c>
      <c r="K1511" s="1" t="b">
        <v>1</v>
      </c>
    </row>
    <row r="1512" spans="1:11">
      <c r="A1512" s="1" t="s">
        <v>1749</v>
      </c>
      <c r="B1512" s="336" t="str">
        <f>报表附注!E1735</f>
        <v>投资性房地产减值准备</v>
      </c>
      <c r="C1512" s="325">
        <f t="shared" si="135"/>
        <v>0</v>
      </c>
      <c r="D1512" s="1" t="b">
        <f t="shared" si="133"/>
        <v>1</v>
      </c>
      <c r="E1512" s="315"/>
      <c r="H1512" s="1" t="b">
        <f t="shared" si="132"/>
        <v>0</v>
      </c>
      <c r="I1512" s="1" t="s">
        <v>1756</v>
      </c>
      <c r="K1512" s="1" t="b">
        <v>1</v>
      </c>
    </row>
    <row r="1513" spans="1:11">
      <c r="A1513" s="1" t="s">
        <v>1750</v>
      </c>
      <c r="B1513" s="336" t="str">
        <f>报表附注!E1736</f>
        <v>固定资产减值准备</v>
      </c>
      <c r="C1513" s="325">
        <f t="shared" si="135"/>
        <v>0</v>
      </c>
      <c r="D1513" s="1" t="b">
        <f t="shared" si="133"/>
        <v>1</v>
      </c>
      <c r="E1513" s="315"/>
      <c r="H1513" s="1" t="b">
        <f t="shared" si="132"/>
        <v>0</v>
      </c>
      <c r="I1513" s="1" t="s">
        <v>279</v>
      </c>
      <c r="K1513" s="1" t="b">
        <v>1</v>
      </c>
    </row>
    <row r="1514" spans="1:11">
      <c r="A1514" s="1" t="s">
        <v>1751</v>
      </c>
      <c r="B1514" s="336" t="str">
        <f>报表附注!E1737</f>
        <v>工程物资减值准备</v>
      </c>
      <c r="C1514" s="325">
        <f t="shared" si="135"/>
        <v>0</v>
      </c>
      <c r="D1514" s="1" t="b">
        <f t="shared" si="133"/>
        <v>1</v>
      </c>
      <c r="E1514" s="315"/>
      <c r="H1514" s="1" t="b">
        <f t="shared" si="132"/>
        <v>0</v>
      </c>
      <c r="I1514" s="1" t="s">
        <v>346</v>
      </c>
      <c r="K1514" s="1" t="b">
        <v>1</v>
      </c>
    </row>
    <row r="1515" spans="1:11">
      <c r="A1515" s="1" t="s">
        <v>1752</v>
      </c>
      <c r="B1515" s="336" t="str">
        <f>报表附注!E1738</f>
        <v>在建工程减值准备</v>
      </c>
      <c r="C1515" s="325">
        <f t="shared" si="135"/>
        <v>0</v>
      </c>
      <c r="D1515" s="1" t="b">
        <f t="shared" si="133"/>
        <v>1</v>
      </c>
      <c r="E1515" s="315"/>
      <c r="H1515" s="1" t="b">
        <f t="shared" si="132"/>
        <v>0</v>
      </c>
      <c r="I1515" s="1" t="s">
        <v>1759</v>
      </c>
      <c r="K1515" s="1" t="b">
        <v>1</v>
      </c>
    </row>
    <row r="1516" spans="1:11">
      <c r="A1516" s="1" t="s">
        <v>1753</v>
      </c>
      <c r="B1516" s="336" t="str">
        <f>报表附注!E1739</f>
        <v>生产性生物资产减值准备</v>
      </c>
      <c r="C1516" s="325">
        <f t="shared" si="135"/>
        <v>0</v>
      </c>
      <c r="D1516" s="1" t="b">
        <f t="shared" si="133"/>
        <v>1</v>
      </c>
      <c r="E1516" s="315"/>
      <c r="H1516" s="1" t="b">
        <f t="shared" si="132"/>
        <v>0</v>
      </c>
      <c r="I1516" s="1" t="s">
        <v>470</v>
      </c>
      <c r="K1516" s="1" t="b">
        <v>1</v>
      </c>
    </row>
    <row r="1517" spans="1:11">
      <c r="A1517" s="1" t="s">
        <v>959</v>
      </c>
      <c r="B1517" s="336" t="str">
        <f>报表附注!E1740</f>
        <v>其中：成熟生产性生物资产减值准备</v>
      </c>
      <c r="C1517" s="325">
        <f t="shared" si="135"/>
        <v>0</v>
      </c>
      <c r="D1517" s="1" t="b">
        <f t="shared" si="133"/>
        <v>1</v>
      </c>
      <c r="E1517" s="315"/>
      <c r="H1517" s="1" t="b">
        <f t="shared" si="132"/>
        <v>0</v>
      </c>
      <c r="I1517" s="1" t="s">
        <v>1745</v>
      </c>
      <c r="K1517" s="1" t="b">
        <v>1</v>
      </c>
    </row>
    <row r="1518" spans="1:11">
      <c r="A1518" s="1" t="s">
        <v>1754</v>
      </c>
      <c r="B1518" s="336" t="str">
        <f>报表附注!E1741</f>
        <v>油气资产减值准备</v>
      </c>
      <c r="C1518" s="325">
        <f t="shared" si="135"/>
        <v>0</v>
      </c>
      <c r="D1518" s="1" t="b">
        <f t="shared" si="133"/>
        <v>1</v>
      </c>
      <c r="E1518" s="315"/>
      <c r="H1518" s="1" t="b">
        <f t="shared" si="132"/>
        <v>0</v>
      </c>
      <c r="I1518" s="1" t="s">
        <v>1746</v>
      </c>
      <c r="K1518" s="1" t="b">
        <v>1</v>
      </c>
    </row>
    <row r="1519" spans="1:11">
      <c r="A1519" s="1" t="s">
        <v>1755</v>
      </c>
      <c r="B1519" s="336" t="str">
        <f>报表附注!E1742</f>
        <v>无形资产减值准备</v>
      </c>
      <c r="C1519" s="325">
        <f t="shared" si="135"/>
        <v>0</v>
      </c>
      <c r="D1519" s="1" t="b">
        <f t="shared" si="133"/>
        <v>1</v>
      </c>
      <c r="E1519" s="315"/>
      <c r="H1519" s="1" t="b">
        <f t="shared" si="132"/>
        <v>0</v>
      </c>
      <c r="I1519" s="1" t="s">
        <v>1747</v>
      </c>
      <c r="K1519" s="1" t="b">
        <v>1</v>
      </c>
    </row>
    <row r="1520" spans="1:11">
      <c r="A1520" s="1" t="s">
        <v>1756</v>
      </c>
      <c r="B1520" s="336" t="str">
        <f>报表附注!E1743</f>
        <v>商誉减值准备</v>
      </c>
      <c r="C1520" s="325">
        <f t="shared" si="135"/>
        <v>0</v>
      </c>
      <c r="D1520" s="1" t="b">
        <f t="shared" si="133"/>
        <v>1</v>
      </c>
      <c r="E1520" s="315"/>
      <c r="H1520" s="1" t="b">
        <f t="shared" si="132"/>
        <v>0</v>
      </c>
      <c r="I1520" s="1" t="s">
        <v>1748</v>
      </c>
      <c r="K1520" s="1" t="b">
        <v>1</v>
      </c>
    </row>
    <row r="1521" spans="1:11">
      <c r="A1521" s="1" t="s">
        <v>279</v>
      </c>
      <c r="B1521" s="336" t="str">
        <f>报表附注!E1744</f>
        <v>其他</v>
      </c>
      <c r="C1521" s="325">
        <f t="shared" si="135"/>
        <v>0</v>
      </c>
      <c r="D1521" s="1" t="b">
        <f t="shared" si="133"/>
        <v>1</v>
      </c>
      <c r="E1521" s="315"/>
      <c r="H1521" s="1" t="b">
        <f t="shared" si="132"/>
        <v>0</v>
      </c>
      <c r="I1521" s="1" t="s">
        <v>1749</v>
      </c>
      <c r="K1521" s="1" t="b">
        <v>1</v>
      </c>
    </row>
    <row r="1522" spans="1:11">
      <c r="A1522" s="1" t="s">
        <v>346</v>
      </c>
      <c r="B1522" s="340" t="str">
        <f>报表附注!E1745</f>
        <v>合 计</v>
      </c>
      <c r="C1522" s="325">
        <f t="shared" si="135"/>
        <v>0</v>
      </c>
      <c r="D1522" s="1" t="b">
        <f t="shared" si="133"/>
        <v>1</v>
      </c>
      <c r="E1522" s="315"/>
      <c r="H1522" s="1" t="b">
        <f t="shared" si="132"/>
        <v>0</v>
      </c>
      <c r="I1522" s="1" t="s">
        <v>1750</v>
      </c>
      <c r="K1522" s="1" t="b">
        <v>1</v>
      </c>
    </row>
    <row r="1523" spans="1:11">
      <c r="A1523" s="1" t="s">
        <v>1759</v>
      </c>
      <c r="B1523" s="335" t="s">
        <v>1759</v>
      </c>
      <c r="D1523" s="1" t="b">
        <f t="shared" si="133"/>
        <v>1</v>
      </c>
      <c r="E1523" s="311"/>
      <c r="H1523" s="1" t="b">
        <f t="shared" si="132"/>
        <v>0</v>
      </c>
      <c r="I1523" s="1" t="s">
        <v>1751</v>
      </c>
      <c r="K1523" s="1" t="b">
        <v>1</v>
      </c>
    </row>
    <row r="1524" spans="1:11">
      <c r="A1524" s="1" t="s">
        <v>470</v>
      </c>
      <c r="B1524" s="336" t="str">
        <f>报表附注!E1730</f>
        <v>坏账准备</v>
      </c>
      <c r="C1524" s="325">
        <f t="shared" ref="C1524:C1539" si="136">J1516</f>
        <v>0</v>
      </c>
      <c r="D1524" s="1" t="b">
        <f t="shared" si="133"/>
        <v>1</v>
      </c>
      <c r="E1524" s="315"/>
      <c r="H1524" s="1" t="b">
        <f t="shared" si="132"/>
        <v>0</v>
      </c>
      <c r="I1524" s="1" t="s">
        <v>1752</v>
      </c>
      <c r="K1524" s="1" t="b">
        <v>1</v>
      </c>
    </row>
    <row r="1525" spans="1:11">
      <c r="A1525" s="1" t="s">
        <v>1745</v>
      </c>
      <c r="B1525" s="336" t="str">
        <f>报表附注!E1731</f>
        <v>存货跌价准备</v>
      </c>
      <c r="C1525" s="325">
        <f t="shared" si="136"/>
        <v>0</v>
      </c>
      <c r="D1525" s="1" t="b">
        <f t="shared" si="133"/>
        <v>1</v>
      </c>
      <c r="E1525" s="315"/>
      <c r="H1525" s="1" t="b">
        <f t="shared" si="132"/>
        <v>0</v>
      </c>
      <c r="I1525" s="1" t="s">
        <v>1753</v>
      </c>
      <c r="K1525" s="1" t="b">
        <v>1</v>
      </c>
    </row>
    <row r="1526" spans="1:11">
      <c r="A1526" s="1" t="s">
        <v>1746</v>
      </c>
      <c r="B1526" s="336" t="str">
        <f>报表附注!E1732</f>
        <v>可供出售金融资产减值准备</v>
      </c>
      <c r="C1526" s="325">
        <f t="shared" si="136"/>
        <v>0</v>
      </c>
      <c r="D1526" s="1" t="b">
        <f t="shared" si="133"/>
        <v>1</v>
      </c>
      <c r="E1526" s="315"/>
      <c r="H1526" s="1" t="b">
        <f t="shared" si="132"/>
        <v>0</v>
      </c>
      <c r="I1526" s="1" t="s">
        <v>959</v>
      </c>
      <c r="K1526" s="1" t="b">
        <v>1</v>
      </c>
    </row>
    <row r="1527" spans="1:11">
      <c r="A1527" s="1" t="s">
        <v>1747</v>
      </c>
      <c r="B1527" s="336" t="str">
        <f>报表附注!E1733</f>
        <v>持有至到期投资减值准备</v>
      </c>
      <c r="C1527" s="325">
        <f t="shared" si="136"/>
        <v>0</v>
      </c>
      <c r="D1527" s="1" t="b">
        <f t="shared" si="133"/>
        <v>1</v>
      </c>
      <c r="E1527" s="315"/>
      <c r="H1527" s="1" t="b">
        <f t="shared" si="132"/>
        <v>0</v>
      </c>
      <c r="I1527" s="1" t="s">
        <v>1754</v>
      </c>
      <c r="K1527" s="1" t="b">
        <v>1</v>
      </c>
    </row>
    <row r="1528" spans="1:11">
      <c r="A1528" s="1" t="s">
        <v>1748</v>
      </c>
      <c r="B1528" s="336" t="str">
        <f>报表附注!E1734</f>
        <v>长期股权投资减值准备</v>
      </c>
      <c r="C1528" s="325">
        <f t="shared" si="136"/>
        <v>0</v>
      </c>
      <c r="D1528" s="1" t="b">
        <f t="shared" si="133"/>
        <v>1</v>
      </c>
      <c r="E1528" s="315"/>
      <c r="H1528" s="1" t="b">
        <f t="shared" si="132"/>
        <v>0</v>
      </c>
      <c r="I1528" s="1" t="s">
        <v>1755</v>
      </c>
      <c r="K1528" s="1" t="b">
        <v>1</v>
      </c>
    </row>
    <row r="1529" spans="1:11">
      <c r="A1529" s="1" t="s">
        <v>1749</v>
      </c>
      <c r="B1529" s="336" t="str">
        <f>报表附注!E1735</f>
        <v>投资性房地产减值准备</v>
      </c>
      <c r="C1529" s="325">
        <f t="shared" si="136"/>
        <v>0</v>
      </c>
      <c r="D1529" s="1" t="b">
        <f t="shared" si="133"/>
        <v>1</v>
      </c>
      <c r="E1529" s="315"/>
      <c r="H1529" s="1" t="b">
        <f t="shared" si="132"/>
        <v>0</v>
      </c>
      <c r="I1529" s="1" t="s">
        <v>1756</v>
      </c>
      <c r="K1529" s="1" t="b">
        <v>1</v>
      </c>
    </row>
    <row r="1530" spans="1:11">
      <c r="A1530" s="1" t="s">
        <v>1750</v>
      </c>
      <c r="B1530" s="336" t="str">
        <f>报表附注!E1736</f>
        <v>固定资产减值准备</v>
      </c>
      <c r="C1530" s="325">
        <f t="shared" si="136"/>
        <v>0</v>
      </c>
      <c r="D1530" s="1" t="b">
        <f t="shared" si="133"/>
        <v>1</v>
      </c>
      <c r="E1530" s="315"/>
      <c r="H1530" s="1" t="b">
        <f t="shared" si="132"/>
        <v>0</v>
      </c>
      <c r="I1530" s="1" t="s">
        <v>279</v>
      </c>
      <c r="K1530" s="1" t="b">
        <v>1</v>
      </c>
    </row>
    <row r="1531" spans="1:11">
      <c r="A1531" s="1" t="s">
        <v>1751</v>
      </c>
      <c r="B1531" s="336" t="str">
        <f>报表附注!E1737</f>
        <v>工程物资减值准备</v>
      </c>
      <c r="C1531" s="325">
        <f t="shared" si="136"/>
        <v>0</v>
      </c>
      <c r="D1531" s="1" t="b">
        <f t="shared" si="133"/>
        <v>1</v>
      </c>
      <c r="E1531" s="315"/>
      <c r="H1531" s="1" t="b">
        <f t="shared" si="132"/>
        <v>0</v>
      </c>
      <c r="I1531" s="1" t="s">
        <v>346</v>
      </c>
      <c r="K1531" s="1" t="b">
        <v>1</v>
      </c>
    </row>
    <row r="1532" spans="1:11">
      <c r="A1532" s="1" t="s">
        <v>1752</v>
      </c>
      <c r="B1532" s="336" t="str">
        <f>报表附注!E1738</f>
        <v>在建工程减值准备</v>
      </c>
      <c r="C1532" s="325">
        <f t="shared" si="136"/>
        <v>0</v>
      </c>
      <c r="D1532" s="1" t="b">
        <f t="shared" si="133"/>
        <v>1</v>
      </c>
      <c r="E1532" s="315"/>
      <c r="H1532" s="1" t="b">
        <f t="shared" si="132"/>
        <v>0</v>
      </c>
      <c r="I1532" s="1" t="s">
        <v>515</v>
      </c>
      <c r="K1532" s="1" t="b">
        <v>1</v>
      </c>
    </row>
    <row r="1533" spans="1:11">
      <c r="A1533" s="1" t="s">
        <v>1753</v>
      </c>
      <c r="B1533" s="336" t="str">
        <f>报表附注!E1739</f>
        <v>生产性生物资产减值准备</v>
      </c>
      <c r="C1533" s="325">
        <f t="shared" si="136"/>
        <v>0</v>
      </c>
      <c r="D1533" s="1" t="b">
        <f t="shared" si="133"/>
        <v>1</v>
      </c>
      <c r="E1533" s="315"/>
      <c r="H1533" s="1" t="b">
        <f t="shared" si="132"/>
        <v>0</v>
      </c>
      <c r="I1533" s="1" t="s">
        <v>470</v>
      </c>
      <c r="K1533" s="1" t="b">
        <v>1</v>
      </c>
    </row>
    <row r="1534" spans="1:11">
      <c r="A1534" s="1" t="s">
        <v>959</v>
      </c>
      <c r="B1534" s="336" t="str">
        <f>报表附注!E1740</f>
        <v>其中：成熟生产性生物资产减值准备</v>
      </c>
      <c r="C1534" s="325">
        <f t="shared" si="136"/>
        <v>0</v>
      </c>
      <c r="D1534" s="1" t="b">
        <f t="shared" si="133"/>
        <v>1</v>
      </c>
      <c r="E1534" s="315"/>
      <c r="H1534" s="1" t="b">
        <f t="shared" si="132"/>
        <v>0</v>
      </c>
      <c r="I1534" s="1" t="s">
        <v>1745</v>
      </c>
      <c r="K1534" s="1" t="b">
        <v>1</v>
      </c>
    </row>
    <row r="1535" spans="1:11">
      <c r="A1535" s="1" t="s">
        <v>1754</v>
      </c>
      <c r="B1535" s="336" t="str">
        <f>报表附注!E1741</f>
        <v>油气资产减值准备</v>
      </c>
      <c r="C1535" s="325">
        <f t="shared" si="136"/>
        <v>0</v>
      </c>
      <c r="D1535" s="1" t="b">
        <f t="shared" si="133"/>
        <v>1</v>
      </c>
      <c r="E1535" s="315"/>
      <c r="H1535" s="1" t="b">
        <f t="shared" si="132"/>
        <v>0</v>
      </c>
      <c r="I1535" s="1" t="s">
        <v>1746</v>
      </c>
      <c r="K1535" s="1" t="b">
        <v>1</v>
      </c>
    </row>
    <row r="1536" spans="1:11">
      <c r="A1536" s="1" t="s">
        <v>1755</v>
      </c>
      <c r="B1536" s="336" t="str">
        <f>报表附注!E1742</f>
        <v>无形资产减值准备</v>
      </c>
      <c r="C1536" s="325">
        <f t="shared" si="136"/>
        <v>0</v>
      </c>
      <c r="D1536" s="1" t="b">
        <f t="shared" si="133"/>
        <v>1</v>
      </c>
      <c r="E1536" s="315"/>
      <c r="H1536" s="1" t="b">
        <f t="shared" si="132"/>
        <v>0</v>
      </c>
      <c r="I1536" s="1" t="s">
        <v>1747</v>
      </c>
      <c r="K1536" s="1" t="b">
        <v>1</v>
      </c>
    </row>
    <row r="1537" spans="1:11">
      <c r="A1537" s="1" t="s">
        <v>1756</v>
      </c>
      <c r="B1537" s="336" t="str">
        <f>报表附注!E1743</f>
        <v>商誉减值准备</v>
      </c>
      <c r="C1537" s="325">
        <f t="shared" si="136"/>
        <v>0</v>
      </c>
      <c r="D1537" s="1" t="b">
        <f t="shared" si="133"/>
        <v>1</v>
      </c>
      <c r="E1537" s="315"/>
      <c r="H1537" s="1" t="b">
        <f t="shared" si="132"/>
        <v>0</v>
      </c>
      <c r="I1537" s="1" t="s">
        <v>1748</v>
      </c>
      <c r="K1537" s="1" t="b">
        <v>1</v>
      </c>
    </row>
    <row r="1538" spans="1:11">
      <c r="A1538" s="1" t="s">
        <v>279</v>
      </c>
      <c r="B1538" s="336" t="str">
        <f>报表附注!E1744</f>
        <v>其他</v>
      </c>
      <c r="C1538" s="325">
        <f t="shared" si="136"/>
        <v>0</v>
      </c>
      <c r="D1538" s="1" t="b">
        <f t="shared" si="133"/>
        <v>1</v>
      </c>
      <c r="E1538" s="315"/>
      <c r="H1538" s="1" t="b">
        <f t="shared" si="132"/>
        <v>0</v>
      </c>
      <c r="I1538" s="1" t="s">
        <v>1749</v>
      </c>
      <c r="K1538" s="1" t="b">
        <v>1</v>
      </c>
    </row>
    <row r="1539" spans="1:11">
      <c r="A1539" s="1" t="s">
        <v>346</v>
      </c>
      <c r="B1539" s="340" t="str">
        <f>报表附注!E1745</f>
        <v>合 计</v>
      </c>
      <c r="C1539" s="325">
        <f t="shared" si="136"/>
        <v>0</v>
      </c>
      <c r="D1539" s="1" t="b">
        <f t="shared" si="133"/>
        <v>1</v>
      </c>
      <c r="E1539" s="315"/>
      <c r="H1539" s="1" t="b">
        <f t="shared" si="132"/>
        <v>0</v>
      </c>
      <c r="I1539" s="1" t="s">
        <v>1750</v>
      </c>
      <c r="K1539" s="1" t="b">
        <v>1</v>
      </c>
    </row>
    <row r="1540" spans="1:11">
      <c r="A1540" s="1" t="s">
        <v>515</v>
      </c>
      <c r="B1540" s="335" t="s">
        <v>515</v>
      </c>
      <c r="C1540" s="325"/>
      <c r="D1540" s="1" t="b">
        <f t="shared" si="133"/>
        <v>1</v>
      </c>
      <c r="E1540" s="315"/>
      <c r="H1540" s="1" t="b">
        <f t="shared" ref="H1540:H1603" si="137">I1540=B1540</f>
        <v>0</v>
      </c>
      <c r="I1540" s="1" t="s">
        <v>1751</v>
      </c>
      <c r="K1540" s="1" t="b">
        <v>1</v>
      </c>
    </row>
    <row r="1541" spans="1:11">
      <c r="A1541" s="1" t="s">
        <v>470</v>
      </c>
      <c r="B1541" s="339" t="str">
        <f>报表附注!E1730</f>
        <v>坏账准备</v>
      </c>
      <c r="C1541" s="322">
        <f t="shared" ref="C1541:C1556" si="138">J1533</f>
        <v>0</v>
      </c>
      <c r="D1541" s="1" t="b">
        <f t="shared" si="133"/>
        <v>1</v>
      </c>
      <c r="E1541" s="315"/>
      <c r="H1541" s="1" t="b">
        <f t="shared" si="137"/>
        <v>0</v>
      </c>
      <c r="I1541" s="1" t="s">
        <v>1752</v>
      </c>
      <c r="K1541" s="1" t="b">
        <v>1</v>
      </c>
    </row>
    <row r="1542" spans="1:11">
      <c r="A1542" s="1" t="s">
        <v>1745</v>
      </c>
      <c r="B1542" s="339" t="str">
        <f>报表附注!E1731</f>
        <v>存货跌价准备</v>
      </c>
      <c r="C1542" s="322">
        <f t="shared" si="138"/>
        <v>0</v>
      </c>
      <c r="D1542" s="1" t="b">
        <f t="shared" si="133"/>
        <v>1</v>
      </c>
      <c r="E1542" s="315"/>
      <c r="H1542" s="1" t="b">
        <f t="shared" si="137"/>
        <v>0</v>
      </c>
      <c r="I1542" s="1" t="s">
        <v>1753</v>
      </c>
      <c r="K1542" s="1" t="b">
        <v>1</v>
      </c>
    </row>
    <row r="1543" spans="1:11">
      <c r="A1543" s="1" t="s">
        <v>1746</v>
      </c>
      <c r="B1543" s="339" t="str">
        <f>报表附注!E1732</f>
        <v>可供出售金融资产减值准备</v>
      </c>
      <c r="C1543" s="322">
        <f t="shared" si="138"/>
        <v>0</v>
      </c>
      <c r="D1543" s="1" t="b">
        <f t="shared" si="133"/>
        <v>1</v>
      </c>
      <c r="E1543" s="315"/>
      <c r="H1543" s="1" t="b">
        <f t="shared" si="137"/>
        <v>0</v>
      </c>
      <c r="I1543" s="1" t="s">
        <v>959</v>
      </c>
      <c r="K1543" s="1" t="b">
        <v>1</v>
      </c>
    </row>
    <row r="1544" spans="1:11">
      <c r="A1544" s="1" t="s">
        <v>1747</v>
      </c>
      <c r="B1544" s="339" t="str">
        <f>报表附注!E1733</f>
        <v>持有至到期投资减值准备</v>
      </c>
      <c r="C1544" s="322">
        <f t="shared" si="138"/>
        <v>0</v>
      </c>
      <c r="D1544" s="1" t="b">
        <f t="shared" si="133"/>
        <v>1</v>
      </c>
      <c r="E1544" s="315"/>
      <c r="H1544" s="1" t="b">
        <f t="shared" si="137"/>
        <v>0</v>
      </c>
      <c r="I1544" s="1" t="s">
        <v>1754</v>
      </c>
      <c r="K1544" s="1" t="b">
        <v>1</v>
      </c>
    </row>
    <row r="1545" spans="1:11">
      <c r="A1545" s="1" t="s">
        <v>1748</v>
      </c>
      <c r="B1545" s="339" t="str">
        <f>报表附注!E1734</f>
        <v>长期股权投资减值准备</v>
      </c>
      <c r="C1545" s="322">
        <f t="shared" si="138"/>
        <v>0</v>
      </c>
      <c r="D1545" s="1" t="b">
        <f t="shared" si="133"/>
        <v>1</v>
      </c>
      <c r="E1545" s="315"/>
      <c r="H1545" s="1" t="b">
        <f t="shared" si="137"/>
        <v>0</v>
      </c>
      <c r="I1545" s="1" t="s">
        <v>1755</v>
      </c>
      <c r="K1545" s="1" t="b">
        <v>1</v>
      </c>
    </row>
    <row r="1546" spans="1:11">
      <c r="A1546" s="1" t="s">
        <v>1749</v>
      </c>
      <c r="B1546" s="339" t="str">
        <f>报表附注!E1735</f>
        <v>投资性房地产减值准备</v>
      </c>
      <c r="C1546" s="322">
        <f t="shared" si="138"/>
        <v>0</v>
      </c>
      <c r="D1546" s="1" t="b">
        <f t="shared" si="133"/>
        <v>1</v>
      </c>
      <c r="E1546" s="315"/>
      <c r="H1546" s="1" t="b">
        <f t="shared" si="137"/>
        <v>0</v>
      </c>
      <c r="I1546" s="1" t="s">
        <v>1756</v>
      </c>
      <c r="K1546" s="1" t="b">
        <v>1</v>
      </c>
    </row>
    <row r="1547" spans="1:11">
      <c r="A1547" s="1" t="s">
        <v>1750</v>
      </c>
      <c r="B1547" s="339" t="str">
        <f>报表附注!E1736</f>
        <v>固定资产减值准备</v>
      </c>
      <c r="C1547" s="322">
        <f t="shared" si="138"/>
        <v>0</v>
      </c>
      <c r="D1547" s="1" t="b">
        <f t="shared" si="133"/>
        <v>1</v>
      </c>
      <c r="E1547" s="315"/>
      <c r="H1547" s="1" t="b">
        <f t="shared" si="137"/>
        <v>0</v>
      </c>
      <c r="I1547" s="1" t="s">
        <v>279</v>
      </c>
      <c r="K1547" s="1" t="b">
        <v>1</v>
      </c>
    </row>
    <row r="1548" spans="1:11">
      <c r="A1548" s="1" t="s">
        <v>1751</v>
      </c>
      <c r="B1548" s="339" t="str">
        <f>报表附注!E1737</f>
        <v>工程物资减值准备</v>
      </c>
      <c r="C1548" s="322">
        <f t="shared" si="138"/>
        <v>0</v>
      </c>
      <c r="D1548" s="1" t="b">
        <f t="shared" ref="D1548:D1621" si="139">EXACT(A1548,B1548)</f>
        <v>1</v>
      </c>
      <c r="E1548" s="315"/>
      <c r="H1548" s="1" t="b">
        <f t="shared" si="137"/>
        <v>0</v>
      </c>
      <c r="I1548" s="1" t="s">
        <v>346</v>
      </c>
      <c r="K1548" s="1" t="b">
        <v>1</v>
      </c>
    </row>
    <row r="1549" spans="1:11">
      <c r="A1549" s="1" t="s">
        <v>1752</v>
      </c>
      <c r="B1549" s="339" t="str">
        <f>报表附注!E1738</f>
        <v>在建工程减值准备</v>
      </c>
      <c r="C1549" s="322">
        <f t="shared" si="138"/>
        <v>0</v>
      </c>
      <c r="D1549" s="1" t="b">
        <f t="shared" si="139"/>
        <v>1</v>
      </c>
      <c r="E1549" s="315"/>
      <c r="H1549" s="1" t="b">
        <f t="shared" si="137"/>
        <v>0</v>
      </c>
      <c r="K1549" s="1" t="b">
        <v>1</v>
      </c>
    </row>
    <row r="1550" spans="1:11">
      <c r="A1550" s="1" t="s">
        <v>1753</v>
      </c>
      <c r="B1550" s="339" t="str">
        <f>报表附注!E1739</f>
        <v>生产性生物资产减值准备</v>
      </c>
      <c r="C1550" s="322">
        <f t="shared" si="138"/>
        <v>0</v>
      </c>
      <c r="D1550" s="1" t="b">
        <f t="shared" si="139"/>
        <v>1</v>
      </c>
      <c r="E1550" s="315"/>
      <c r="H1550" s="1" t="b">
        <f t="shared" si="137"/>
        <v>0</v>
      </c>
      <c r="I1550" s="1" t="s">
        <v>1760</v>
      </c>
      <c r="K1550" s="1" t="b">
        <v>1</v>
      </c>
    </row>
    <row r="1551" spans="1:11">
      <c r="A1551" s="1" t="s">
        <v>959</v>
      </c>
      <c r="B1551" s="339" t="str">
        <f>报表附注!E1740</f>
        <v>其中：成熟生产性生物资产减值准备</v>
      </c>
      <c r="C1551" s="322">
        <f t="shared" si="138"/>
        <v>0</v>
      </c>
      <c r="D1551" s="1" t="b">
        <f t="shared" si="139"/>
        <v>1</v>
      </c>
      <c r="E1551" s="315"/>
      <c r="H1551" s="1" t="b">
        <f t="shared" si="137"/>
        <v>0</v>
      </c>
      <c r="K1551" s="1" t="b">
        <v>1</v>
      </c>
    </row>
    <row r="1552" spans="1:11">
      <c r="A1552" s="1" t="s">
        <v>1754</v>
      </c>
      <c r="B1552" s="339" t="str">
        <f>报表附注!E1741</f>
        <v>油气资产减值准备</v>
      </c>
      <c r="C1552" s="322">
        <f t="shared" si="138"/>
        <v>0</v>
      </c>
      <c r="D1552" s="1" t="b">
        <f t="shared" si="139"/>
        <v>1</v>
      </c>
      <c r="E1552" s="315"/>
      <c r="H1552" s="1" t="b">
        <f t="shared" si="137"/>
        <v>0</v>
      </c>
      <c r="I1552" s="1" t="s">
        <v>1761</v>
      </c>
      <c r="K1552" s="1" t="b">
        <v>1</v>
      </c>
    </row>
    <row r="1553" spans="1:11">
      <c r="A1553" s="1" t="s">
        <v>1755</v>
      </c>
      <c r="B1553" s="339" t="str">
        <f>报表附注!E1742</f>
        <v>无形资产减值准备</v>
      </c>
      <c r="C1553" s="322">
        <f t="shared" si="138"/>
        <v>0</v>
      </c>
      <c r="D1553" s="1" t="b">
        <f t="shared" si="139"/>
        <v>1</v>
      </c>
      <c r="E1553" s="315"/>
      <c r="H1553" s="1" t="b">
        <f t="shared" si="137"/>
        <v>0</v>
      </c>
      <c r="I1553" s="1" t="s">
        <v>315</v>
      </c>
      <c r="K1553" s="1" t="b">
        <v>1</v>
      </c>
    </row>
    <row r="1554" spans="1:11">
      <c r="A1554" s="1" t="s">
        <v>1756</v>
      </c>
      <c r="B1554" s="339" t="str">
        <f>报表附注!E1743</f>
        <v>商誉减值准备</v>
      </c>
      <c r="C1554" s="322">
        <f t="shared" si="138"/>
        <v>0</v>
      </c>
      <c r="D1554" s="1" t="b">
        <f t="shared" si="139"/>
        <v>1</v>
      </c>
      <c r="E1554" s="315"/>
      <c r="H1554" s="1" t="b">
        <f t="shared" si="137"/>
        <v>0</v>
      </c>
      <c r="I1554" s="1" t="s">
        <v>982</v>
      </c>
      <c r="K1554" s="1" t="b">
        <v>1</v>
      </c>
    </row>
    <row r="1555" spans="1:11">
      <c r="A1555" s="1" t="s">
        <v>279</v>
      </c>
      <c r="B1555" s="339" t="str">
        <f>报表附注!E1744</f>
        <v>其他</v>
      </c>
      <c r="C1555" s="322">
        <f t="shared" si="138"/>
        <v>0</v>
      </c>
      <c r="D1555" s="1" t="b">
        <f t="shared" si="139"/>
        <v>1</v>
      </c>
      <c r="E1555" s="315"/>
      <c r="H1555" s="1" t="b">
        <f t="shared" si="137"/>
        <v>0</v>
      </c>
      <c r="I1555" s="1" t="s">
        <v>984</v>
      </c>
      <c r="K1555" s="1" t="b">
        <v>1</v>
      </c>
    </row>
    <row r="1556" spans="1:11">
      <c r="A1556" s="1" t="s">
        <v>346</v>
      </c>
      <c r="B1556" s="340" t="str">
        <f>报表附注!E1745</f>
        <v>合 计</v>
      </c>
      <c r="C1556" s="325">
        <f t="shared" si="138"/>
        <v>0</v>
      </c>
      <c r="D1556" s="1" t="b">
        <f t="shared" si="139"/>
        <v>1</v>
      </c>
      <c r="E1556" s="315"/>
      <c r="H1556" s="1" t="b">
        <f t="shared" si="137"/>
        <v>0</v>
      </c>
      <c r="I1556" s="1" t="s">
        <v>986</v>
      </c>
      <c r="K1556" s="1" t="b">
        <v>1</v>
      </c>
    </row>
    <row r="1557" spans="4:11">
      <c r="D1557" s="1" t="b">
        <f t="shared" si="139"/>
        <v>1</v>
      </c>
      <c r="H1557" s="1" t="b">
        <f t="shared" si="137"/>
        <v>0</v>
      </c>
      <c r="I1557" s="1" t="s">
        <v>988</v>
      </c>
      <c r="K1557" s="1" t="b">
        <v>1</v>
      </c>
    </row>
    <row r="1558" ht="22.5" spans="1:11">
      <c r="A1558" s="1" t="s">
        <v>1760</v>
      </c>
      <c r="B1558" s="366" t="s">
        <v>1760</v>
      </c>
      <c r="D1558" s="1" t="b">
        <f t="shared" si="139"/>
        <v>1</v>
      </c>
      <c r="H1558" s="1" t="b">
        <f t="shared" si="137"/>
        <v>0</v>
      </c>
      <c r="I1558" s="1" t="s">
        <v>1762</v>
      </c>
      <c r="K1558" s="1" t="b">
        <v>1</v>
      </c>
    </row>
    <row r="1559" spans="4:11">
      <c r="D1559" s="1" t="b">
        <f t="shared" si="139"/>
        <v>1</v>
      </c>
      <c r="H1559" s="1" t="b">
        <f t="shared" si="137"/>
        <v>0</v>
      </c>
      <c r="I1559" s="1" t="s">
        <v>1579</v>
      </c>
      <c r="K1559" s="1" t="b">
        <v>1</v>
      </c>
    </row>
    <row r="1560" spans="1:11">
      <c r="A1560" s="1" t="s">
        <v>1761</v>
      </c>
      <c r="B1560" s="331" t="s">
        <v>1761</v>
      </c>
      <c r="D1560" s="1" t="b">
        <f t="shared" si="139"/>
        <v>1</v>
      </c>
      <c r="H1560" s="1" t="b">
        <f t="shared" si="137"/>
        <v>0</v>
      </c>
      <c r="I1560" s="1" t="s">
        <v>982</v>
      </c>
      <c r="K1560" s="1" t="b">
        <v>1</v>
      </c>
    </row>
    <row r="1561" spans="1:11">
      <c r="A1561" s="1" t="s">
        <v>315</v>
      </c>
      <c r="B1561" s="335" t="s">
        <v>315</v>
      </c>
      <c r="D1561" s="1" t="b">
        <f t="shared" si="139"/>
        <v>1</v>
      </c>
      <c r="E1561" s="311"/>
      <c r="H1561" s="1" t="b">
        <f t="shared" si="137"/>
        <v>0</v>
      </c>
      <c r="I1561" s="1" t="s">
        <v>984</v>
      </c>
      <c r="K1561" s="1" t="b">
        <v>1</v>
      </c>
    </row>
    <row r="1562" spans="1:11">
      <c r="A1562" s="367" t="s">
        <v>982</v>
      </c>
      <c r="B1562" s="313" t="str">
        <f>报表附注!E1772</f>
        <v>质押借款</v>
      </c>
      <c r="C1562" s="322">
        <f>J1557</f>
        <v>0</v>
      </c>
      <c r="D1562" s="1" t="b">
        <f t="shared" si="139"/>
        <v>0</v>
      </c>
      <c r="E1562" s="315"/>
      <c r="H1562" s="1" t="b">
        <f t="shared" si="137"/>
        <v>0</v>
      </c>
      <c r="I1562" s="1" t="s">
        <v>986</v>
      </c>
      <c r="K1562" s="1" t="b">
        <v>1</v>
      </c>
    </row>
    <row r="1563" spans="1:11">
      <c r="A1563" s="1" t="s">
        <v>984</v>
      </c>
      <c r="B1563" s="313" t="str">
        <f>报表附注!E1773</f>
        <v>抵押借款</v>
      </c>
      <c r="C1563" s="322">
        <f>J1555</f>
        <v>0</v>
      </c>
      <c r="D1563" s="1" t="b">
        <f t="shared" si="139"/>
        <v>1</v>
      </c>
      <c r="E1563" s="315"/>
      <c r="H1563" s="1" t="b">
        <f t="shared" si="137"/>
        <v>0</v>
      </c>
      <c r="I1563" s="1" t="s">
        <v>988</v>
      </c>
      <c r="K1563" s="1" t="b">
        <v>1</v>
      </c>
    </row>
    <row r="1564" spans="1:11">
      <c r="A1564" s="1" t="s">
        <v>986</v>
      </c>
      <c r="B1564" s="313" t="str">
        <f>报表附注!E1774</f>
        <v>保证借款</v>
      </c>
      <c r="C1564" s="322">
        <f>J1556</f>
        <v>0</v>
      </c>
      <c r="D1564" s="1" t="b">
        <f t="shared" si="139"/>
        <v>1</v>
      </c>
      <c r="E1564" s="315"/>
      <c r="H1564" s="1" t="b">
        <f t="shared" si="137"/>
        <v>0</v>
      </c>
      <c r="I1564" s="1" t="s">
        <v>1762</v>
      </c>
      <c r="K1564" s="1" t="b">
        <v>1</v>
      </c>
    </row>
    <row r="1565" spans="1:11">
      <c r="A1565" s="367" t="s">
        <v>988</v>
      </c>
      <c r="B1565" s="313" t="str">
        <f>报表附注!E1775</f>
        <v>信用借款</v>
      </c>
      <c r="C1565" s="322">
        <f>J1554</f>
        <v>0</v>
      </c>
      <c r="D1565" s="1" t="b">
        <f t="shared" si="139"/>
        <v>0</v>
      </c>
      <c r="E1565" s="315"/>
      <c r="H1565" s="1" t="b">
        <f t="shared" si="137"/>
        <v>0</v>
      </c>
      <c r="K1565" s="1" t="b">
        <v>1</v>
      </c>
    </row>
    <row r="1566" spans="1:11">
      <c r="A1566" s="367" t="s">
        <v>4584</v>
      </c>
      <c r="B1566" s="313" t="str">
        <f>报表附注!E1776</f>
        <v>抵押加保证借款</v>
      </c>
      <c r="C1566" s="322"/>
      <c r="D1566" s="1" t="b">
        <f t="shared" si="139"/>
        <v>0</v>
      </c>
      <c r="E1566" s="315"/>
      <c r="H1566" s="1" t="b">
        <f t="shared" si="137"/>
        <v>0</v>
      </c>
      <c r="I1566" s="1" t="s">
        <v>1763</v>
      </c>
      <c r="K1566" s="1" t="b">
        <v>1</v>
      </c>
    </row>
    <row r="1567" spans="1:11">
      <c r="A1567" s="367" t="s">
        <v>4585</v>
      </c>
      <c r="B1567" s="313" t="str">
        <f>报表附注!E1777</f>
        <v>抵押加质押借款</v>
      </c>
      <c r="C1567" s="322"/>
      <c r="D1567" s="1" t="b">
        <f t="shared" si="139"/>
        <v>0</v>
      </c>
      <c r="E1567" s="315"/>
      <c r="H1567" s="1" t="b">
        <f t="shared" si="137"/>
        <v>0</v>
      </c>
      <c r="I1567" s="1" t="s">
        <v>373</v>
      </c>
      <c r="K1567" s="1" t="b">
        <v>1</v>
      </c>
    </row>
    <row r="1568" spans="1:11">
      <c r="A1568" s="1" t="s">
        <v>1762</v>
      </c>
      <c r="B1568" s="324" t="str">
        <f>报表附注!E1778</f>
        <v>合   计</v>
      </c>
      <c r="C1568" s="322">
        <f>J1558</f>
        <v>0</v>
      </c>
      <c r="D1568" s="1" t="b">
        <f t="shared" si="139"/>
        <v>1</v>
      </c>
      <c r="E1568" s="315"/>
      <c r="H1568" s="1" t="b">
        <f t="shared" si="137"/>
        <v>0</v>
      </c>
      <c r="I1568" s="1" t="s">
        <v>1006</v>
      </c>
      <c r="K1568" s="1" t="b">
        <v>1</v>
      </c>
    </row>
    <row r="1569" spans="1:11">
      <c r="A1569" s="1" t="s">
        <v>1579</v>
      </c>
      <c r="B1569" s="335" t="s">
        <v>1579</v>
      </c>
      <c r="D1569" s="1" t="b">
        <f t="shared" si="139"/>
        <v>1</v>
      </c>
      <c r="E1569" s="311"/>
      <c r="H1569" s="1" t="b">
        <f t="shared" si="137"/>
        <v>0</v>
      </c>
      <c r="I1569" s="1" t="s">
        <v>1008</v>
      </c>
      <c r="K1569" s="1" t="b">
        <v>1</v>
      </c>
    </row>
    <row r="1570" spans="1:11">
      <c r="A1570" s="1" t="s">
        <v>982</v>
      </c>
      <c r="B1570" s="313" t="str">
        <f>报表附注!E1772</f>
        <v>质押借款</v>
      </c>
      <c r="C1570" s="325">
        <f>J1563</f>
        <v>0</v>
      </c>
      <c r="D1570" s="1" t="b">
        <f t="shared" si="139"/>
        <v>0</v>
      </c>
      <c r="E1570" s="325">
        <f t="shared" ref="E1570:E1576" si="140">C1562</f>
        <v>0</v>
      </c>
      <c r="H1570" s="1" t="b">
        <f t="shared" si="137"/>
        <v>0</v>
      </c>
      <c r="I1570" s="1" t="s">
        <v>1010</v>
      </c>
      <c r="K1570" s="1" t="b">
        <v>1</v>
      </c>
    </row>
    <row r="1571" spans="1:11">
      <c r="A1571" s="1" t="s">
        <v>984</v>
      </c>
      <c r="B1571" s="313" t="str">
        <f>报表附注!E1773</f>
        <v>抵押借款</v>
      </c>
      <c r="C1571" s="325">
        <f>J1561</f>
        <v>0</v>
      </c>
      <c r="D1571" s="1" t="b">
        <f t="shared" si="139"/>
        <v>1</v>
      </c>
      <c r="E1571" s="325">
        <f t="shared" si="140"/>
        <v>0</v>
      </c>
      <c r="H1571" s="1" t="b">
        <f t="shared" si="137"/>
        <v>0</v>
      </c>
      <c r="I1571" s="1" t="s">
        <v>279</v>
      </c>
      <c r="K1571" s="1" t="b">
        <v>1</v>
      </c>
    </row>
    <row r="1572" spans="1:11">
      <c r="A1572" s="1" t="s">
        <v>986</v>
      </c>
      <c r="B1572" s="313" t="str">
        <f>报表附注!E1774</f>
        <v>保证借款</v>
      </c>
      <c r="C1572" s="325">
        <f>J1562</f>
        <v>0</v>
      </c>
      <c r="D1572" s="1" t="b">
        <f t="shared" si="139"/>
        <v>1</v>
      </c>
      <c r="E1572" s="325">
        <f t="shared" si="140"/>
        <v>0</v>
      </c>
      <c r="H1572" s="1" t="b">
        <f t="shared" si="137"/>
        <v>0</v>
      </c>
      <c r="I1572" s="1" t="s">
        <v>346</v>
      </c>
      <c r="K1572" s="1" t="b">
        <v>1</v>
      </c>
    </row>
    <row r="1573" spans="1:11">
      <c r="A1573" s="1" t="s">
        <v>988</v>
      </c>
      <c r="B1573" s="313" t="str">
        <f>报表附注!E1775</f>
        <v>信用借款</v>
      </c>
      <c r="C1573" s="325">
        <f>J1560</f>
        <v>0</v>
      </c>
      <c r="D1573" s="1" t="b">
        <f t="shared" si="139"/>
        <v>0</v>
      </c>
      <c r="E1573" s="325">
        <f t="shared" si="140"/>
        <v>0</v>
      </c>
      <c r="H1573" s="1" t="b">
        <f t="shared" si="137"/>
        <v>0</v>
      </c>
      <c r="I1573" s="1" t="s">
        <v>1570</v>
      </c>
      <c r="K1573" s="1" t="b">
        <v>1</v>
      </c>
    </row>
    <row r="1574" spans="1:11">
      <c r="A1574" s="367" t="s">
        <v>4584</v>
      </c>
      <c r="B1574" s="313" t="str">
        <f>报表附注!E1776</f>
        <v>抵押加保证借款</v>
      </c>
      <c r="C1574" s="325"/>
      <c r="D1574" s="1" t="b">
        <f t="shared" si="139"/>
        <v>0</v>
      </c>
      <c r="E1574" s="325">
        <f t="shared" si="140"/>
        <v>0</v>
      </c>
      <c r="H1574" s="1" t="b">
        <f t="shared" si="137"/>
        <v>0</v>
      </c>
      <c r="I1574" s="1" t="s">
        <v>1006</v>
      </c>
      <c r="K1574" s="1" t="b">
        <v>1</v>
      </c>
    </row>
    <row r="1575" spans="1:11">
      <c r="A1575" s="367" t="s">
        <v>4585</v>
      </c>
      <c r="B1575" s="313" t="str">
        <f>报表附注!E1777</f>
        <v>抵押加质押借款</v>
      </c>
      <c r="C1575" s="325"/>
      <c r="D1575" s="1" t="b">
        <f t="shared" si="139"/>
        <v>0</v>
      </c>
      <c r="E1575" s="325">
        <f t="shared" si="140"/>
        <v>0</v>
      </c>
      <c r="H1575" s="1" t="b">
        <f t="shared" si="137"/>
        <v>0</v>
      </c>
      <c r="I1575" s="1" t="s">
        <v>1008</v>
      </c>
      <c r="K1575" s="1" t="b">
        <v>1</v>
      </c>
    </row>
    <row r="1576" spans="1:11">
      <c r="A1576" s="1" t="s">
        <v>1762</v>
      </c>
      <c r="B1576" s="324" t="str">
        <f>报表附注!E1778</f>
        <v>合   计</v>
      </c>
      <c r="C1576" s="325">
        <f>J1564</f>
        <v>0</v>
      </c>
      <c r="D1576" s="1" t="b">
        <f t="shared" si="139"/>
        <v>1</v>
      </c>
      <c r="E1576" s="325">
        <f t="shared" si="140"/>
        <v>0</v>
      </c>
      <c r="H1576" s="1" t="b">
        <f t="shared" si="137"/>
        <v>0</v>
      </c>
      <c r="I1576" s="1" t="s">
        <v>1010</v>
      </c>
      <c r="K1576" s="1" t="b">
        <v>1</v>
      </c>
    </row>
    <row r="1577" spans="4:11">
      <c r="D1577" s="1" t="b">
        <f t="shared" si="139"/>
        <v>1</v>
      </c>
      <c r="H1577" s="1" t="b">
        <f t="shared" si="137"/>
        <v>0</v>
      </c>
      <c r="I1577" s="1" t="s">
        <v>279</v>
      </c>
      <c r="K1577" s="1" t="b">
        <v>1</v>
      </c>
    </row>
    <row r="1578" spans="1:11">
      <c r="A1578" s="1" t="s">
        <v>1763</v>
      </c>
      <c r="B1578" s="331" t="s">
        <v>1763</v>
      </c>
      <c r="D1578" s="1" t="b">
        <f t="shared" si="139"/>
        <v>1</v>
      </c>
      <c r="H1578" s="1" t="b">
        <f t="shared" si="137"/>
        <v>0</v>
      </c>
      <c r="I1578" s="1" t="s">
        <v>346</v>
      </c>
      <c r="K1578" s="1" t="b">
        <v>1</v>
      </c>
    </row>
    <row r="1579" spans="1:11">
      <c r="A1579" s="1" t="s">
        <v>373</v>
      </c>
      <c r="B1579" s="335" t="s">
        <v>373</v>
      </c>
      <c r="D1579" s="1" t="b">
        <f t="shared" si="139"/>
        <v>1</v>
      </c>
      <c r="H1579" s="1" t="b">
        <f t="shared" si="137"/>
        <v>0</v>
      </c>
      <c r="K1579" s="1" t="b">
        <v>1</v>
      </c>
    </row>
    <row r="1580" spans="1:11">
      <c r="A1580" s="1" t="s">
        <v>1006</v>
      </c>
      <c r="B1580" s="313" t="str">
        <f>报表附注!E1798</f>
        <v>发行的交易性债券</v>
      </c>
      <c r="C1580" s="325">
        <f t="shared" ref="C1580:C1590" si="141">J1568</f>
        <v>0</v>
      </c>
      <c r="D1580" s="1" t="b">
        <f t="shared" si="139"/>
        <v>1</v>
      </c>
      <c r="E1580" s="315"/>
      <c r="H1580" s="1" t="b">
        <f t="shared" si="137"/>
        <v>0</v>
      </c>
      <c r="I1580" s="1" t="s">
        <v>1764</v>
      </c>
      <c r="K1580" s="1" t="b">
        <v>1</v>
      </c>
    </row>
    <row r="1581" ht="22.5" spans="1:11">
      <c r="A1581" s="1" t="s">
        <v>1008</v>
      </c>
      <c r="B1581" s="313" t="str">
        <f>报表附注!E1799</f>
        <v>指定为以公允价值计量且其变动计入当期损益的金融负债</v>
      </c>
      <c r="C1581" s="325">
        <f t="shared" si="141"/>
        <v>0</v>
      </c>
      <c r="D1581" s="1" t="b">
        <f t="shared" si="139"/>
        <v>1</v>
      </c>
      <c r="E1581" s="315"/>
      <c r="H1581" s="1" t="b">
        <f t="shared" si="137"/>
        <v>0</v>
      </c>
      <c r="I1581" s="1" t="s">
        <v>315</v>
      </c>
      <c r="K1581" s="1" t="b">
        <v>1</v>
      </c>
    </row>
    <row r="1582" spans="1:11">
      <c r="A1582" s="1" t="s">
        <v>1010</v>
      </c>
      <c r="B1582" s="313" t="str">
        <f>报表附注!E1800</f>
        <v>衍生金融负债</v>
      </c>
      <c r="C1582" s="325">
        <f t="shared" si="141"/>
        <v>0</v>
      </c>
      <c r="D1582" s="1" t="b">
        <f t="shared" si="139"/>
        <v>1</v>
      </c>
      <c r="E1582" s="315"/>
      <c r="H1582" s="1" t="b">
        <f t="shared" si="137"/>
        <v>0</v>
      </c>
      <c r="I1582" s="1" t="s">
        <v>391</v>
      </c>
      <c r="K1582" s="1" t="b">
        <v>1</v>
      </c>
    </row>
    <row r="1583" spans="1:11">
      <c r="A1583" s="1" t="s">
        <v>279</v>
      </c>
      <c r="B1583" s="313" t="str">
        <f>报表附注!E1801</f>
        <v>其他</v>
      </c>
      <c r="C1583" s="325">
        <f t="shared" si="141"/>
        <v>0</v>
      </c>
      <c r="D1583" s="1" t="b">
        <f t="shared" si="139"/>
        <v>1</v>
      </c>
      <c r="E1583" s="315"/>
      <c r="H1583" s="1" t="b">
        <f t="shared" si="137"/>
        <v>0</v>
      </c>
      <c r="I1583" s="1" t="s">
        <v>393</v>
      </c>
      <c r="K1583" s="1" t="b">
        <v>1</v>
      </c>
    </row>
    <row r="1584" spans="1:11">
      <c r="A1584" s="1" t="s">
        <v>346</v>
      </c>
      <c r="B1584" s="324" t="str">
        <f>报表附注!E1802</f>
        <v>合 计</v>
      </c>
      <c r="C1584" s="325">
        <f t="shared" si="141"/>
        <v>0</v>
      </c>
      <c r="D1584" s="1" t="b">
        <f t="shared" si="139"/>
        <v>1</v>
      </c>
      <c r="E1584" s="315"/>
      <c r="H1584" s="1" t="b">
        <f t="shared" si="137"/>
        <v>0</v>
      </c>
      <c r="I1584" s="1" t="s">
        <v>1765</v>
      </c>
      <c r="K1584" s="1" t="b">
        <v>1</v>
      </c>
    </row>
    <row r="1585" spans="1:11">
      <c r="A1585" s="1" t="s">
        <v>1570</v>
      </c>
      <c r="B1585" s="335" t="s">
        <v>1570</v>
      </c>
      <c r="C1585" s="330">
        <f t="shared" si="141"/>
        <v>0</v>
      </c>
      <c r="D1585" s="1" t="b">
        <f t="shared" si="139"/>
        <v>1</v>
      </c>
      <c r="H1585" s="1" t="b">
        <f t="shared" si="137"/>
        <v>0</v>
      </c>
      <c r="I1585" s="1" t="s">
        <v>1766</v>
      </c>
      <c r="K1585" s="1" t="b">
        <v>1</v>
      </c>
    </row>
    <row r="1586" spans="1:11">
      <c r="A1586" s="1" t="s">
        <v>1006</v>
      </c>
      <c r="B1586" s="313" t="str">
        <f>报表附注!E1798</f>
        <v>发行的交易性债券</v>
      </c>
      <c r="C1586" s="325">
        <f t="shared" si="141"/>
        <v>0</v>
      </c>
      <c r="D1586" s="1" t="b">
        <f t="shared" si="139"/>
        <v>1</v>
      </c>
      <c r="E1586" s="325">
        <f>C1580</f>
        <v>0</v>
      </c>
      <c r="H1586" s="1" t="b">
        <f t="shared" si="137"/>
        <v>0</v>
      </c>
      <c r="I1586" s="1" t="s">
        <v>279</v>
      </c>
      <c r="K1586" s="1" t="b">
        <v>1</v>
      </c>
    </row>
    <row r="1587" ht="22.5" spans="1:11">
      <c r="A1587" s="1" t="s">
        <v>1008</v>
      </c>
      <c r="B1587" s="313" t="str">
        <f>报表附注!E1799</f>
        <v>指定为以公允价值计量且其变动计入当期损益的金融负债</v>
      </c>
      <c r="C1587" s="325">
        <f t="shared" si="141"/>
        <v>0</v>
      </c>
      <c r="D1587" s="1" t="b">
        <f t="shared" si="139"/>
        <v>1</v>
      </c>
      <c r="E1587" s="325">
        <f>C1581</f>
        <v>0</v>
      </c>
      <c r="H1587" s="1" t="b">
        <f t="shared" si="137"/>
        <v>0</v>
      </c>
      <c r="I1587" s="1" t="s">
        <v>1580</v>
      </c>
      <c r="K1587" s="1" t="b">
        <v>1</v>
      </c>
    </row>
    <row r="1588" spans="1:11">
      <c r="A1588" s="1" t="s">
        <v>1010</v>
      </c>
      <c r="B1588" s="313" t="str">
        <f>报表附注!E1800</f>
        <v>衍生金融负债</v>
      </c>
      <c r="C1588" s="325">
        <f t="shared" si="141"/>
        <v>0</v>
      </c>
      <c r="D1588" s="1" t="b">
        <f t="shared" si="139"/>
        <v>1</v>
      </c>
      <c r="E1588" s="325">
        <f>C1582</f>
        <v>0</v>
      </c>
      <c r="H1588" s="1" t="b">
        <f t="shared" si="137"/>
        <v>0</v>
      </c>
      <c r="I1588" s="1" t="s">
        <v>1579</v>
      </c>
      <c r="K1588" s="1" t="b">
        <v>1</v>
      </c>
    </row>
    <row r="1589" spans="1:11">
      <c r="A1589" s="1" t="s">
        <v>279</v>
      </c>
      <c r="B1589" s="313" t="str">
        <f>报表附注!E1801</f>
        <v>其他</v>
      </c>
      <c r="C1589" s="325">
        <f t="shared" si="141"/>
        <v>0</v>
      </c>
      <c r="D1589" s="1" t="b">
        <f t="shared" si="139"/>
        <v>1</v>
      </c>
      <c r="E1589" s="325">
        <f>C1583</f>
        <v>0</v>
      </c>
      <c r="H1589" s="1" t="b">
        <f t="shared" si="137"/>
        <v>0</v>
      </c>
      <c r="I1589" s="1" t="s">
        <v>391</v>
      </c>
      <c r="K1589" s="1" t="b">
        <v>1</v>
      </c>
    </row>
    <row r="1590" spans="1:11">
      <c r="A1590" s="1" t="s">
        <v>346</v>
      </c>
      <c r="B1590" s="324" t="str">
        <f>报表附注!E1802</f>
        <v>合 计</v>
      </c>
      <c r="C1590" s="325">
        <f t="shared" si="141"/>
        <v>0</v>
      </c>
      <c r="D1590" s="1" t="b">
        <f t="shared" si="139"/>
        <v>1</v>
      </c>
      <c r="E1590" s="325">
        <f>C1584</f>
        <v>0</v>
      </c>
      <c r="H1590" s="1" t="b">
        <f t="shared" si="137"/>
        <v>0</v>
      </c>
      <c r="I1590" s="1" t="s">
        <v>393</v>
      </c>
      <c r="K1590" s="1" t="b">
        <v>1</v>
      </c>
    </row>
    <row r="1591" spans="4:11">
      <c r="D1591" s="1" t="b">
        <f t="shared" si="139"/>
        <v>1</v>
      </c>
      <c r="H1591" s="1" t="b">
        <f t="shared" si="137"/>
        <v>0</v>
      </c>
      <c r="I1591" s="1" t="s">
        <v>1765</v>
      </c>
      <c r="K1591" s="1" t="b">
        <v>1</v>
      </c>
    </row>
    <row r="1592" spans="1:11">
      <c r="A1592" s="1" t="s">
        <v>1764</v>
      </c>
      <c r="B1592" s="331" t="s">
        <v>1764</v>
      </c>
      <c r="D1592" s="1" t="b">
        <f t="shared" si="139"/>
        <v>1</v>
      </c>
      <c r="H1592" s="1" t="b">
        <f t="shared" si="137"/>
        <v>0</v>
      </c>
      <c r="I1592" s="1" t="s">
        <v>1766</v>
      </c>
      <c r="K1592" s="1" t="b">
        <v>1</v>
      </c>
    </row>
    <row r="1593" spans="1:11">
      <c r="A1593" s="1" t="s">
        <v>315</v>
      </c>
      <c r="B1593" s="335" t="s">
        <v>315</v>
      </c>
      <c r="D1593" s="1" t="b">
        <f t="shared" si="139"/>
        <v>1</v>
      </c>
      <c r="E1593" s="311"/>
      <c r="H1593" s="1" t="b">
        <f t="shared" si="137"/>
        <v>0</v>
      </c>
      <c r="I1593" s="1" t="s">
        <v>279</v>
      </c>
      <c r="K1593" s="1" t="b">
        <v>1</v>
      </c>
    </row>
    <row r="1594" spans="1:11">
      <c r="A1594" s="1" t="s">
        <v>391</v>
      </c>
      <c r="B1594" s="313" t="str">
        <f>报表附注!E1811</f>
        <v>银行承兑汇票</v>
      </c>
      <c r="C1594" s="322">
        <f t="shared" ref="C1594:C1606" si="142">J1582</f>
        <v>0</v>
      </c>
      <c r="D1594" s="1" t="b">
        <f t="shared" si="139"/>
        <v>1</v>
      </c>
      <c r="E1594" s="315"/>
      <c r="H1594" s="1" t="b">
        <f t="shared" si="137"/>
        <v>0</v>
      </c>
      <c r="I1594" s="1" t="s">
        <v>1580</v>
      </c>
      <c r="K1594" s="1" t="b">
        <v>1</v>
      </c>
    </row>
    <row r="1595" spans="1:11">
      <c r="A1595" s="1" t="s">
        <v>393</v>
      </c>
      <c r="B1595" s="313" t="str">
        <f>报表附注!E1812</f>
        <v>商业承兑汇票</v>
      </c>
      <c r="C1595" s="322">
        <f t="shared" si="142"/>
        <v>0</v>
      </c>
      <c r="D1595" s="1" t="b">
        <f t="shared" si="139"/>
        <v>1</v>
      </c>
      <c r="E1595" s="315"/>
      <c r="H1595" s="1" t="b">
        <f t="shared" si="137"/>
        <v>0</v>
      </c>
      <c r="K1595" s="1" t="b">
        <v>1</v>
      </c>
    </row>
    <row r="1596" spans="1:11">
      <c r="A1596" s="1" t="s">
        <v>1765</v>
      </c>
      <c r="B1596" s="313" t="str">
        <f>报表附注!E1813</f>
        <v>信用证</v>
      </c>
      <c r="C1596" s="322">
        <f t="shared" si="142"/>
        <v>0</v>
      </c>
      <c r="D1596" s="1" t="b">
        <f t="shared" si="139"/>
        <v>1</v>
      </c>
      <c r="E1596" s="315"/>
      <c r="H1596" s="1" t="b">
        <f t="shared" si="137"/>
        <v>0</v>
      </c>
      <c r="I1596" s="1" t="s">
        <v>1767</v>
      </c>
      <c r="K1596" s="1" t="b">
        <v>1</v>
      </c>
    </row>
    <row r="1597" spans="1:11">
      <c r="A1597" s="1" t="s">
        <v>1766</v>
      </c>
      <c r="B1597" s="313" t="str">
        <f>报表附注!E1814</f>
        <v>远期支票</v>
      </c>
      <c r="C1597" s="322">
        <f t="shared" si="142"/>
        <v>0</v>
      </c>
      <c r="D1597" s="1" t="b">
        <f t="shared" si="139"/>
        <v>1</v>
      </c>
      <c r="E1597" s="315"/>
      <c r="H1597" s="1" t="b">
        <f t="shared" si="137"/>
        <v>0</v>
      </c>
      <c r="I1597" s="1" t="s">
        <v>315</v>
      </c>
      <c r="K1597" s="1" t="b">
        <v>1</v>
      </c>
    </row>
    <row r="1598" spans="1:11">
      <c r="A1598" s="1" t="s">
        <v>279</v>
      </c>
      <c r="B1598" s="313" t="str">
        <f>报表附注!E1815</f>
        <v>其他</v>
      </c>
      <c r="C1598" s="322">
        <f t="shared" si="142"/>
        <v>0</v>
      </c>
      <c r="D1598" s="1" t="b">
        <f t="shared" si="139"/>
        <v>1</v>
      </c>
      <c r="E1598" s="315"/>
      <c r="H1598" s="1" t="b">
        <f t="shared" si="137"/>
        <v>0</v>
      </c>
      <c r="I1598" s="1" t="s">
        <v>1585</v>
      </c>
      <c r="K1598" s="1" t="b">
        <v>1</v>
      </c>
    </row>
    <row r="1599" spans="1:11">
      <c r="A1599" s="1" t="s">
        <v>1580</v>
      </c>
      <c r="B1599" s="324" t="str">
        <f>报表附注!E1816</f>
        <v>合计</v>
      </c>
      <c r="C1599" s="322">
        <f t="shared" si="142"/>
        <v>0</v>
      </c>
      <c r="D1599" s="1" t="b">
        <f t="shared" si="139"/>
        <v>1</v>
      </c>
      <c r="E1599" s="315"/>
      <c r="H1599" s="1" t="b">
        <f t="shared" si="137"/>
        <v>0</v>
      </c>
      <c r="I1599" s="1" t="s">
        <v>1586</v>
      </c>
      <c r="K1599" s="1" t="b">
        <v>1</v>
      </c>
    </row>
    <row r="1600" spans="1:11">
      <c r="A1600" s="1" t="s">
        <v>1579</v>
      </c>
      <c r="B1600" s="335" t="s">
        <v>1579</v>
      </c>
      <c r="C1600" s="330">
        <f t="shared" si="142"/>
        <v>0</v>
      </c>
      <c r="D1600" s="1" t="b">
        <f t="shared" si="139"/>
        <v>1</v>
      </c>
      <c r="H1600" s="1" t="b">
        <f t="shared" si="137"/>
        <v>0</v>
      </c>
      <c r="I1600" s="1" t="s">
        <v>1587</v>
      </c>
      <c r="K1600" s="1" t="b">
        <v>1</v>
      </c>
    </row>
    <row r="1601" spans="1:11">
      <c r="A1601" s="1" t="s">
        <v>391</v>
      </c>
      <c r="B1601" s="313" t="str">
        <f>报表附注!E1811</f>
        <v>银行承兑汇票</v>
      </c>
      <c r="C1601" s="325">
        <f t="shared" si="142"/>
        <v>0</v>
      </c>
      <c r="D1601" s="1" t="b">
        <f t="shared" si="139"/>
        <v>1</v>
      </c>
      <c r="E1601" s="325">
        <f t="shared" ref="E1601:E1606" si="143">C1594</f>
        <v>0</v>
      </c>
      <c r="H1601" s="1" t="b">
        <f t="shared" si="137"/>
        <v>0</v>
      </c>
      <c r="I1601" s="1" t="s">
        <v>1588</v>
      </c>
      <c r="K1601" s="1" t="b">
        <v>1</v>
      </c>
    </row>
    <row r="1602" spans="1:11">
      <c r="A1602" s="1" t="s">
        <v>393</v>
      </c>
      <c r="B1602" s="313" t="str">
        <f>报表附注!E1812</f>
        <v>商业承兑汇票</v>
      </c>
      <c r="C1602" s="325">
        <f t="shared" si="142"/>
        <v>0</v>
      </c>
      <c r="D1602" s="1" t="b">
        <f t="shared" si="139"/>
        <v>1</v>
      </c>
      <c r="E1602" s="325">
        <f t="shared" si="143"/>
        <v>0</v>
      </c>
      <c r="H1602" s="1" t="b">
        <f t="shared" si="137"/>
        <v>0</v>
      </c>
      <c r="I1602" s="1" t="s">
        <v>1589</v>
      </c>
      <c r="K1602" s="1" t="b">
        <v>1</v>
      </c>
    </row>
    <row r="1603" spans="1:11">
      <c r="A1603" s="1" t="s">
        <v>1765</v>
      </c>
      <c r="B1603" s="313" t="str">
        <f>报表附注!E1813</f>
        <v>信用证</v>
      </c>
      <c r="C1603" s="325">
        <f t="shared" si="142"/>
        <v>0</v>
      </c>
      <c r="D1603" s="1" t="b">
        <f t="shared" si="139"/>
        <v>1</v>
      </c>
      <c r="E1603" s="325">
        <f t="shared" si="143"/>
        <v>0</v>
      </c>
      <c r="H1603" s="1" t="b">
        <f t="shared" si="137"/>
        <v>0</v>
      </c>
      <c r="I1603" s="1" t="s">
        <v>1590</v>
      </c>
      <c r="K1603" s="1" t="b">
        <v>1</v>
      </c>
    </row>
    <row r="1604" spans="1:11">
      <c r="A1604" s="1" t="s">
        <v>1766</v>
      </c>
      <c r="B1604" s="313" t="str">
        <f>报表附注!E1814</f>
        <v>远期支票</v>
      </c>
      <c r="C1604" s="325">
        <f t="shared" si="142"/>
        <v>0</v>
      </c>
      <c r="D1604" s="1" t="b">
        <f t="shared" si="139"/>
        <v>1</v>
      </c>
      <c r="E1604" s="325">
        <f t="shared" si="143"/>
        <v>0</v>
      </c>
      <c r="H1604" s="1" t="b">
        <f t="shared" ref="H1604:H1667" si="144">I1604=B1604</f>
        <v>0</v>
      </c>
      <c r="I1604" s="1" t="s">
        <v>1580</v>
      </c>
      <c r="K1604" s="1" t="b">
        <v>1</v>
      </c>
    </row>
    <row r="1605" spans="1:11">
      <c r="A1605" s="1" t="s">
        <v>279</v>
      </c>
      <c r="B1605" s="313" t="str">
        <f>报表附注!E1815</f>
        <v>其他</v>
      </c>
      <c r="C1605" s="325">
        <f t="shared" si="142"/>
        <v>0</v>
      </c>
      <c r="D1605" s="1" t="b">
        <f t="shared" si="139"/>
        <v>1</v>
      </c>
      <c r="E1605" s="325">
        <f t="shared" si="143"/>
        <v>0</v>
      </c>
      <c r="H1605" s="1" t="b">
        <f t="shared" si="144"/>
        <v>0</v>
      </c>
      <c r="I1605" s="1" t="s">
        <v>1579</v>
      </c>
      <c r="K1605" s="1" t="b">
        <v>1</v>
      </c>
    </row>
    <row r="1606" spans="1:11">
      <c r="A1606" s="1" t="s">
        <v>1580</v>
      </c>
      <c r="B1606" s="324" t="str">
        <f>报表附注!E1816</f>
        <v>合计</v>
      </c>
      <c r="C1606" s="325">
        <f t="shared" si="142"/>
        <v>0</v>
      </c>
      <c r="D1606" s="1" t="b">
        <f t="shared" si="139"/>
        <v>1</v>
      </c>
      <c r="E1606" s="325">
        <f t="shared" si="143"/>
        <v>0</v>
      </c>
      <c r="H1606" s="1" t="b">
        <f t="shared" si="144"/>
        <v>0</v>
      </c>
      <c r="I1606" s="1" t="s">
        <v>1585</v>
      </c>
      <c r="K1606" s="1" t="b">
        <v>1</v>
      </c>
    </row>
    <row r="1607" spans="4:11">
      <c r="D1607" s="1" t="b">
        <f t="shared" si="139"/>
        <v>1</v>
      </c>
      <c r="H1607" s="1" t="b">
        <f t="shared" si="144"/>
        <v>0</v>
      </c>
      <c r="I1607" s="1" t="s">
        <v>1586</v>
      </c>
      <c r="K1607" s="1" t="b">
        <v>1</v>
      </c>
    </row>
    <row r="1608" spans="1:11">
      <c r="A1608" s="1" t="s">
        <v>1767</v>
      </c>
      <c r="B1608" s="331" t="s">
        <v>1767</v>
      </c>
      <c r="D1608" s="1" t="b">
        <f t="shared" si="139"/>
        <v>1</v>
      </c>
      <c r="H1608" s="1" t="b">
        <f t="shared" si="144"/>
        <v>0</v>
      </c>
      <c r="I1608" s="1" t="s">
        <v>1587</v>
      </c>
      <c r="K1608" s="1" t="b">
        <v>1</v>
      </c>
    </row>
    <row r="1609" spans="1:11">
      <c r="A1609" s="1" t="s">
        <v>315</v>
      </c>
      <c r="B1609" s="335" t="s">
        <v>315</v>
      </c>
      <c r="D1609" s="1" t="b">
        <f t="shared" si="139"/>
        <v>1</v>
      </c>
      <c r="H1609" s="1" t="b">
        <f t="shared" si="144"/>
        <v>0</v>
      </c>
      <c r="I1609" s="1" t="s">
        <v>1588</v>
      </c>
      <c r="K1609" s="1" t="b">
        <v>1</v>
      </c>
    </row>
    <row r="1610" spans="1:11">
      <c r="A1610" s="1" t="s">
        <v>1585</v>
      </c>
      <c r="B1610" s="313" t="str">
        <f>报表附注!E1827</f>
        <v>1年以内（含1年）</v>
      </c>
      <c r="C1610" s="322">
        <f t="shared" ref="C1610:C1624" si="145">J1598</f>
        <v>0</v>
      </c>
      <c r="D1610" s="1" t="b">
        <f t="shared" si="139"/>
        <v>1</v>
      </c>
      <c r="E1610" s="315"/>
      <c r="H1610" s="1" t="b">
        <f t="shared" si="144"/>
        <v>0</v>
      </c>
      <c r="I1610" s="1" t="s">
        <v>1589</v>
      </c>
      <c r="K1610" s="1" t="b">
        <v>1</v>
      </c>
    </row>
    <row r="1611" spans="1:11">
      <c r="A1611" s="1" t="s">
        <v>1586</v>
      </c>
      <c r="B1611" s="313" t="str">
        <f>报表附注!E1828</f>
        <v>1-2年（含2年）</v>
      </c>
      <c r="C1611" s="322">
        <f t="shared" si="145"/>
        <v>0</v>
      </c>
      <c r="D1611" s="1" t="b">
        <f t="shared" si="139"/>
        <v>1</v>
      </c>
      <c r="E1611" s="315"/>
      <c r="H1611" s="1" t="b">
        <f t="shared" si="144"/>
        <v>0</v>
      </c>
      <c r="I1611" s="1" t="s">
        <v>1590</v>
      </c>
      <c r="K1611" s="1" t="b">
        <v>1</v>
      </c>
    </row>
    <row r="1612" spans="1:11">
      <c r="A1612" s="1" t="s">
        <v>1587</v>
      </c>
      <c r="B1612" s="313" t="str">
        <f>报表附注!E1829</f>
        <v>2-3年（含3年）</v>
      </c>
      <c r="C1612" s="322">
        <f t="shared" si="145"/>
        <v>0</v>
      </c>
      <c r="D1612" s="1" t="b">
        <f t="shared" si="139"/>
        <v>1</v>
      </c>
      <c r="E1612" s="315"/>
      <c r="H1612" s="1" t="b">
        <f t="shared" si="144"/>
        <v>0</v>
      </c>
      <c r="I1612" s="1" t="s">
        <v>1580</v>
      </c>
      <c r="K1612" s="1" t="b">
        <v>1</v>
      </c>
    </row>
    <row r="1613" spans="1:11">
      <c r="A1613" s="1" t="s">
        <v>1588</v>
      </c>
      <c r="B1613" s="313" t="str">
        <f>报表附注!E1830</f>
        <v>3-4年（含4年）</v>
      </c>
      <c r="C1613" s="322">
        <f t="shared" si="145"/>
        <v>0</v>
      </c>
      <c r="D1613" s="1" t="b">
        <f t="shared" si="139"/>
        <v>1</v>
      </c>
      <c r="E1613" s="315"/>
      <c r="H1613" s="1" t="b">
        <f t="shared" si="144"/>
        <v>0</v>
      </c>
      <c r="K1613" s="1" t="b">
        <v>1</v>
      </c>
    </row>
    <row r="1614" spans="1:11">
      <c r="A1614" s="1" t="s">
        <v>1589</v>
      </c>
      <c r="B1614" s="313" t="str">
        <f>报表附注!E1831</f>
        <v>4-5年（含5年）</v>
      </c>
      <c r="C1614" s="322">
        <f t="shared" si="145"/>
        <v>0</v>
      </c>
      <c r="D1614" s="1" t="b">
        <f t="shared" si="139"/>
        <v>1</v>
      </c>
      <c r="E1614" s="315"/>
      <c r="H1614" s="1" t="b">
        <f t="shared" si="144"/>
        <v>0</v>
      </c>
      <c r="I1614" s="1" t="s">
        <v>1768</v>
      </c>
      <c r="K1614" s="1" t="b">
        <v>1</v>
      </c>
    </row>
    <row r="1615" spans="1:11">
      <c r="A1615" s="1" t="s">
        <v>1590</v>
      </c>
      <c r="B1615" s="313" t="str">
        <f>报表附注!E1832</f>
        <v>5年以上</v>
      </c>
      <c r="C1615" s="322">
        <f t="shared" si="145"/>
        <v>0</v>
      </c>
      <c r="D1615" s="1" t="b">
        <f t="shared" si="139"/>
        <v>1</v>
      </c>
      <c r="E1615" s="315"/>
      <c r="H1615" s="1" t="b">
        <f t="shared" si="144"/>
        <v>0</v>
      </c>
      <c r="I1615" s="1" t="s">
        <v>315</v>
      </c>
      <c r="K1615" s="1" t="b">
        <v>1</v>
      </c>
    </row>
    <row r="1616" spans="1:11">
      <c r="A1616" s="1" t="s">
        <v>1580</v>
      </c>
      <c r="B1616" s="324" t="str">
        <f>报表附注!E1833</f>
        <v>合计</v>
      </c>
      <c r="C1616" s="322">
        <f t="shared" si="145"/>
        <v>0</v>
      </c>
      <c r="D1616" s="1" t="b">
        <f t="shared" si="139"/>
        <v>1</v>
      </c>
      <c r="E1616" s="315"/>
      <c r="H1616" s="1" t="b">
        <f t="shared" si="144"/>
        <v>0</v>
      </c>
      <c r="I1616" s="1" t="s">
        <v>1600</v>
      </c>
      <c r="K1616" s="1" t="b">
        <v>1</v>
      </c>
    </row>
    <row r="1617" spans="1:11">
      <c r="A1617" s="1" t="s">
        <v>1579</v>
      </c>
      <c r="B1617" s="335" t="s">
        <v>1579</v>
      </c>
      <c r="C1617" s="330">
        <f t="shared" si="145"/>
        <v>0</v>
      </c>
      <c r="D1617" s="1" t="b">
        <f t="shared" si="139"/>
        <v>1</v>
      </c>
      <c r="H1617" s="1" t="b">
        <f t="shared" si="144"/>
        <v>0</v>
      </c>
      <c r="I1617" s="1" t="s">
        <v>1601</v>
      </c>
      <c r="K1617" s="1" t="b">
        <v>1</v>
      </c>
    </row>
    <row r="1618" spans="1:11">
      <c r="A1618" s="1" t="s">
        <v>1585</v>
      </c>
      <c r="B1618" s="313" t="str">
        <f>报表附注!E1827</f>
        <v>1年以内（含1年）</v>
      </c>
      <c r="C1618" s="325">
        <f t="shared" si="145"/>
        <v>0</v>
      </c>
      <c r="D1618" s="1" t="b">
        <f t="shared" si="139"/>
        <v>1</v>
      </c>
      <c r="E1618" s="325">
        <f>C1610</f>
        <v>0</v>
      </c>
      <c r="H1618" s="1" t="b">
        <f t="shared" si="144"/>
        <v>0</v>
      </c>
      <c r="I1618" s="1" t="s">
        <v>1602</v>
      </c>
      <c r="K1618" s="1" t="b">
        <v>1</v>
      </c>
    </row>
    <row r="1619" spans="1:11">
      <c r="A1619" s="1" t="s">
        <v>1586</v>
      </c>
      <c r="B1619" s="313" t="str">
        <f>报表附注!E1828</f>
        <v>1-2年（含2年）</v>
      </c>
      <c r="C1619" s="325">
        <f t="shared" si="145"/>
        <v>0</v>
      </c>
      <c r="D1619" s="1" t="b">
        <f t="shared" si="139"/>
        <v>1</v>
      </c>
      <c r="E1619" s="325">
        <f t="shared" ref="E1619:E1624" si="146">C1611</f>
        <v>0</v>
      </c>
      <c r="H1619" s="1" t="b">
        <f t="shared" si="144"/>
        <v>0</v>
      </c>
      <c r="I1619" s="1" t="s">
        <v>1603</v>
      </c>
      <c r="K1619" s="1" t="b">
        <v>1</v>
      </c>
    </row>
    <row r="1620" spans="1:11">
      <c r="A1620" s="1" t="s">
        <v>1587</v>
      </c>
      <c r="B1620" s="313" t="str">
        <f>报表附注!E1829</f>
        <v>2-3年（含3年）</v>
      </c>
      <c r="C1620" s="325">
        <f t="shared" si="145"/>
        <v>0</v>
      </c>
      <c r="D1620" s="1" t="b">
        <f t="shared" si="139"/>
        <v>1</v>
      </c>
      <c r="E1620" s="325">
        <f t="shared" si="146"/>
        <v>0</v>
      </c>
      <c r="H1620" s="1" t="b">
        <f t="shared" si="144"/>
        <v>0</v>
      </c>
      <c r="I1620" s="1" t="s">
        <v>1580</v>
      </c>
      <c r="K1620" s="1" t="b">
        <v>1</v>
      </c>
    </row>
    <row r="1621" spans="1:11">
      <c r="A1621" s="1" t="s">
        <v>1588</v>
      </c>
      <c r="B1621" s="313" t="str">
        <f>报表附注!E1830</f>
        <v>3-4年（含4年）</v>
      </c>
      <c r="C1621" s="325">
        <f t="shared" si="145"/>
        <v>0</v>
      </c>
      <c r="D1621" s="1" t="b">
        <f t="shared" si="139"/>
        <v>1</v>
      </c>
      <c r="E1621" s="325">
        <f t="shared" si="146"/>
        <v>0</v>
      </c>
      <c r="H1621" s="1" t="b">
        <f t="shared" si="144"/>
        <v>0</v>
      </c>
      <c r="I1621" s="1" t="s">
        <v>1579</v>
      </c>
      <c r="K1621" s="1" t="b">
        <v>1</v>
      </c>
    </row>
    <row r="1622" spans="1:11">
      <c r="A1622" s="1" t="s">
        <v>1589</v>
      </c>
      <c r="B1622" s="313" t="str">
        <f>报表附注!E1831</f>
        <v>4-5年（含5年）</v>
      </c>
      <c r="C1622" s="325">
        <f t="shared" si="145"/>
        <v>0</v>
      </c>
      <c r="D1622" s="1" t="b">
        <f t="shared" ref="D1622:D1705" si="147">EXACT(A1622,B1622)</f>
        <v>1</v>
      </c>
      <c r="E1622" s="325">
        <f t="shared" si="146"/>
        <v>0</v>
      </c>
      <c r="H1622" s="1" t="b">
        <f t="shared" si="144"/>
        <v>0</v>
      </c>
      <c r="I1622" s="1" t="s">
        <v>1600</v>
      </c>
      <c r="K1622" s="1" t="b">
        <v>1</v>
      </c>
    </row>
    <row r="1623" spans="1:11">
      <c r="A1623" s="1" t="s">
        <v>1590</v>
      </c>
      <c r="B1623" s="313" t="str">
        <f>报表附注!E1832</f>
        <v>5年以上</v>
      </c>
      <c r="C1623" s="325">
        <f t="shared" si="145"/>
        <v>0</v>
      </c>
      <c r="D1623" s="1" t="b">
        <f t="shared" si="147"/>
        <v>1</v>
      </c>
      <c r="E1623" s="325">
        <f t="shared" si="146"/>
        <v>0</v>
      </c>
      <c r="H1623" s="1" t="b">
        <f t="shared" si="144"/>
        <v>0</v>
      </c>
      <c r="I1623" s="1" t="s">
        <v>1601</v>
      </c>
      <c r="K1623" s="1" t="b">
        <v>1</v>
      </c>
    </row>
    <row r="1624" spans="1:11">
      <c r="A1624" s="1" t="s">
        <v>1580</v>
      </c>
      <c r="B1624" s="324" t="str">
        <f>报表附注!E1833</f>
        <v>合计</v>
      </c>
      <c r="C1624" s="325">
        <f t="shared" si="145"/>
        <v>0</v>
      </c>
      <c r="D1624" s="1" t="b">
        <f t="shared" si="147"/>
        <v>1</v>
      </c>
      <c r="E1624" s="325">
        <f t="shared" si="146"/>
        <v>0</v>
      </c>
      <c r="H1624" s="1" t="b">
        <f t="shared" si="144"/>
        <v>0</v>
      </c>
      <c r="I1624" s="1" t="s">
        <v>1602</v>
      </c>
      <c r="K1624" s="1" t="b">
        <v>1</v>
      </c>
    </row>
    <row r="1625" spans="4:11">
      <c r="D1625" s="1" t="b">
        <f t="shared" si="147"/>
        <v>1</v>
      </c>
      <c r="H1625" s="1" t="b">
        <f t="shared" si="144"/>
        <v>0</v>
      </c>
      <c r="I1625" s="1" t="s">
        <v>1603</v>
      </c>
      <c r="K1625" s="1" t="b">
        <v>1</v>
      </c>
    </row>
    <row r="1626" spans="1:11">
      <c r="A1626" s="1" t="s">
        <v>1768</v>
      </c>
      <c r="B1626" s="331" t="s">
        <v>1768</v>
      </c>
      <c r="D1626" s="1" t="b">
        <f t="shared" si="147"/>
        <v>1</v>
      </c>
      <c r="H1626" s="1" t="b">
        <f t="shared" si="144"/>
        <v>0</v>
      </c>
      <c r="I1626" s="1" t="s">
        <v>1580</v>
      </c>
      <c r="K1626" s="1" t="b">
        <v>1</v>
      </c>
    </row>
    <row r="1627" spans="1:11">
      <c r="A1627" s="1" t="s">
        <v>315</v>
      </c>
      <c r="B1627" s="335" t="s">
        <v>315</v>
      </c>
      <c r="D1627" s="1" t="b">
        <f t="shared" si="147"/>
        <v>1</v>
      </c>
      <c r="H1627" s="1" t="b">
        <f t="shared" si="144"/>
        <v>0</v>
      </c>
      <c r="K1627" s="1" t="b">
        <v>1</v>
      </c>
    </row>
    <row r="1628" spans="1:11">
      <c r="A1628" s="1" t="s">
        <v>1600</v>
      </c>
      <c r="B1628" s="313" t="str">
        <f>报表附注!E1893</f>
        <v>1年以内(含1年)</v>
      </c>
      <c r="C1628" s="322">
        <f t="shared" ref="C1628:C1638" si="148">J1616</f>
        <v>0</v>
      </c>
      <c r="D1628" s="1" t="b">
        <f t="shared" si="147"/>
        <v>1</v>
      </c>
      <c r="E1628" s="315"/>
      <c r="H1628" s="1" t="b">
        <f t="shared" si="144"/>
        <v>0</v>
      </c>
      <c r="I1628" s="1" t="s">
        <v>1769</v>
      </c>
      <c r="K1628" s="1" t="b">
        <v>1</v>
      </c>
    </row>
    <row r="1629" spans="1:11">
      <c r="A1629" s="1" t="s">
        <v>1601</v>
      </c>
      <c r="B1629" s="313" t="str">
        <f>报表附注!E1894</f>
        <v>1-2年(含2年)</v>
      </c>
      <c r="C1629" s="322">
        <f t="shared" si="148"/>
        <v>0</v>
      </c>
      <c r="D1629" s="1" t="b">
        <f t="shared" si="147"/>
        <v>1</v>
      </c>
      <c r="E1629" s="315"/>
      <c r="H1629" s="1" t="b">
        <f t="shared" si="144"/>
        <v>0</v>
      </c>
      <c r="I1629" s="1" t="s">
        <v>1579</v>
      </c>
      <c r="K1629" s="1" t="b">
        <v>1</v>
      </c>
    </row>
    <row r="1630" spans="1:11">
      <c r="A1630" s="1" t="s">
        <v>1602</v>
      </c>
      <c r="B1630" s="313" t="str">
        <f>报表附注!E1895</f>
        <v>2-3年(含3年)</v>
      </c>
      <c r="C1630" s="322">
        <f t="shared" si="148"/>
        <v>0</v>
      </c>
      <c r="D1630" s="1" t="b">
        <f t="shared" si="147"/>
        <v>1</v>
      </c>
      <c r="E1630" s="315"/>
      <c r="H1630" s="1" t="b">
        <f t="shared" si="144"/>
        <v>0</v>
      </c>
      <c r="I1630" s="1" t="s">
        <v>1052</v>
      </c>
      <c r="K1630" s="1" t="b">
        <v>1</v>
      </c>
    </row>
    <row r="1631" spans="1:11">
      <c r="A1631" s="1" t="s">
        <v>1603</v>
      </c>
      <c r="B1631" s="313" t="str">
        <f>报表附注!E1896</f>
        <v>3年以上 </v>
      </c>
      <c r="C1631" s="322">
        <f t="shared" si="148"/>
        <v>0</v>
      </c>
      <c r="D1631" s="1" t="b">
        <f t="shared" si="147"/>
        <v>1</v>
      </c>
      <c r="E1631" s="315"/>
      <c r="H1631" s="1" t="b">
        <f t="shared" si="144"/>
        <v>0</v>
      </c>
      <c r="I1631" s="1" t="s">
        <v>1054</v>
      </c>
      <c r="K1631" s="1" t="b">
        <v>1</v>
      </c>
    </row>
    <row r="1632" spans="1:11">
      <c r="A1632" s="1" t="s">
        <v>1580</v>
      </c>
      <c r="B1632" s="324" t="str">
        <f>报表附注!E1897</f>
        <v>合计</v>
      </c>
      <c r="C1632" s="322">
        <f t="shared" si="148"/>
        <v>0</v>
      </c>
      <c r="D1632" s="1" t="b">
        <f t="shared" si="147"/>
        <v>1</v>
      </c>
      <c r="E1632" s="315"/>
      <c r="H1632" s="1" t="b">
        <f t="shared" si="144"/>
        <v>0</v>
      </c>
      <c r="I1632" s="1" t="s">
        <v>1056</v>
      </c>
      <c r="K1632" s="1" t="b">
        <v>1</v>
      </c>
    </row>
    <row r="1633" spans="1:11">
      <c r="A1633" s="1" t="s">
        <v>1579</v>
      </c>
      <c r="B1633" s="335" t="s">
        <v>1579</v>
      </c>
      <c r="C1633" s="330">
        <f t="shared" si="148"/>
        <v>0</v>
      </c>
      <c r="D1633" s="1" t="b">
        <f t="shared" si="147"/>
        <v>1</v>
      </c>
      <c r="H1633" s="1" t="b">
        <f t="shared" si="144"/>
        <v>0</v>
      </c>
      <c r="I1633" s="1" t="s">
        <v>1770</v>
      </c>
      <c r="J1633" s="369"/>
      <c r="K1633" s="1" t="b">
        <v>1</v>
      </c>
    </row>
    <row r="1634" spans="1:11">
      <c r="A1634" s="1" t="s">
        <v>1600</v>
      </c>
      <c r="B1634" s="313" t="str">
        <f>报表附注!E1893</f>
        <v>1年以内(含1年)</v>
      </c>
      <c r="C1634" s="325">
        <f t="shared" si="148"/>
        <v>0</v>
      </c>
      <c r="D1634" s="1" t="b">
        <f t="shared" si="147"/>
        <v>1</v>
      </c>
      <c r="E1634" s="325">
        <f>C1628</f>
        <v>0</v>
      </c>
      <c r="H1634" s="1" t="b">
        <f t="shared" si="144"/>
        <v>0</v>
      </c>
      <c r="I1634" s="1" t="s">
        <v>1771</v>
      </c>
      <c r="J1634" s="370"/>
      <c r="K1634" s="1" t="b">
        <v>1</v>
      </c>
    </row>
    <row r="1635" spans="1:11">
      <c r="A1635" s="1" t="s">
        <v>1601</v>
      </c>
      <c r="B1635" s="313" t="str">
        <f>报表附注!E1894</f>
        <v>1-2年(含2年)</v>
      </c>
      <c r="C1635" s="325">
        <f t="shared" si="148"/>
        <v>0</v>
      </c>
      <c r="D1635" s="1" t="b">
        <f t="shared" si="147"/>
        <v>1</v>
      </c>
      <c r="E1635" s="325">
        <f>C1629</f>
        <v>0</v>
      </c>
      <c r="H1635" s="1" t="b">
        <f t="shared" si="144"/>
        <v>0</v>
      </c>
      <c r="I1635" s="1" t="s">
        <v>1772</v>
      </c>
      <c r="J1635" s="370"/>
      <c r="K1635" s="1" t="b">
        <v>1</v>
      </c>
    </row>
    <row r="1636" spans="1:11">
      <c r="A1636" s="1" t="s">
        <v>1602</v>
      </c>
      <c r="B1636" s="313" t="str">
        <f>报表附注!E1895</f>
        <v>2-3年(含3年)</v>
      </c>
      <c r="C1636" s="325">
        <f t="shared" si="148"/>
        <v>0</v>
      </c>
      <c r="D1636" s="1" t="b">
        <f t="shared" si="147"/>
        <v>1</v>
      </c>
      <c r="E1636" s="325">
        <f>C1630</f>
        <v>0</v>
      </c>
      <c r="H1636" s="1" t="b">
        <f t="shared" si="144"/>
        <v>0</v>
      </c>
      <c r="I1636" s="1" t="s">
        <v>1773</v>
      </c>
      <c r="J1636" s="370"/>
      <c r="K1636" s="1" t="b">
        <v>1</v>
      </c>
    </row>
    <row r="1637" spans="1:11">
      <c r="A1637" s="1" t="s">
        <v>1603</v>
      </c>
      <c r="B1637" s="313" t="str">
        <f>报表附注!E1896</f>
        <v>3年以上 </v>
      </c>
      <c r="C1637" s="325">
        <f t="shared" si="148"/>
        <v>0</v>
      </c>
      <c r="D1637" s="1" t="b">
        <f t="shared" si="147"/>
        <v>1</v>
      </c>
      <c r="E1637" s="325">
        <f>C1631</f>
        <v>0</v>
      </c>
      <c r="H1637" s="1" t="b">
        <f t="shared" si="144"/>
        <v>0</v>
      </c>
      <c r="I1637" s="1" t="s">
        <v>1774</v>
      </c>
      <c r="J1637" s="369"/>
      <c r="K1637" s="1" t="b">
        <v>1</v>
      </c>
    </row>
    <row r="1638" spans="1:11">
      <c r="A1638" s="1" t="s">
        <v>1580</v>
      </c>
      <c r="B1638" s="324" t="str">
        <f>报表附注!E1897</f>
        <v>合计</v>
      </c>
      <c r="C1638" s="325">
        <f t="shared" si="148"/>
        <v>0</v>
      </c>
      <c r="D1638" s="1" t="b">
        <f t="shared" si="147"/>
        <v>1</v>
      </c>
      <c r="E1638" s="325">
        <f>C1632</f>
        <v>0</v>
      </c>
      <c r="H1638" s="1" t="b">
        <f t="shared" si="144"/>
        <v>0</v>
      </c>
      <c r="I1638" s="1" t="s">
        <v>1775</v>
      </c>
      <c r="J1638" s="369"/>
      <c r="K1638" s="1" t="b">
        <v>1</v>
      </c>
    </row>
    <row r="1639" spans="4:11">
      <c r="D1639" s="1" t="b">
        <f t="shared" si="147"/>
        <v>1</v>
      </c>
      <c r="H1639" s="1" t="b">
        <f t="shared" si="144"/>
        <v>0</v>
      </c>
      <c r="I1639" s="1" t="s">
        <v>1070</v>
      </c>
      <c r="K1639" s="1" t="b">
        <v>1</v>
      </c>
    </row>
    <row r="1640" spans="1:11">
      <c r="A1640" s="1" t="s">
        <v>1769</v>
      </c>
      <c r="B1640" s="331" t="s">
        <v>1769</v>
      </c>
      <c r="D1640" s="1" t="b">
        <f t="shared" si="147"/>
        <v>1</v>
      </c>
      <c r="H1640" s="1" t="b">
        <f t="shared" si="144"/>
        <v>0</v>
      </c>
      <c r="I1640" s="1" t="s">
        <v>1776</v>
      </c>
      <c r="J1640" s="371"/>
      <c r="K1640" s="1" t="b">
        <v>1</v>
      </c>
    </row>
    <row r="1641" spans="1:11">
      <c r="A1641" s="1" t="s">
        <v>1579</v>
      </c>
      <c r="B1641" s="335" t="s">
        <v>1579</v>
      </c>
      <c r="D1641" s="1" t="b">
        <f t="shared" si="147"/>
        <v>1</v>
      </c>
      <c r="H1641" s="1" t="b">
        <f t="shared" si="144"/>
        <v>0</v>
      </c>
      <c r="I1641" s="1" t="s">
        <v>1777</v>
      </c>
      <c r="J1641" s="371"/>
      <c r="K1641" s="1" t="b">
        <v>1</v>
      </c>
    </row>
    <row r="1642" spans="1:11">
      <c r="A1642" s="1" t="s">
        <v>1052</v>
      </c>
      <c r="B1642" s="313" t="str">
        <f>报表附注!E1954</f>
        <v>一、短期薪酬</v>
      </c>
      <c r="C1642" s="368">
        <f>C1643+C1644+C1645+C1649+C1650+C1651+C1652+C1653</f>
        <v>0</v>
      </c>
      <c r="D1642" s="1" t="b">
        <f t="shared" si="147"/>
        <v>0</v>
      </c>
      <c r="E1642" s="325">
        <f>C1726</f>
        <v>0</v>
      </c>
      <c r="H1642" s="1" t="b">
        <f t="shared" si="144"/>
        <v>0</v>
      </c>
      <c r="I1642" s="1" t="s">
        <v>1778</v>
      </c>
      <c r="K1642" s="1" t="b">
        <v>1</v>
      </c>
    </row>
    <row r="1643" spans="1:11">
      <c r="A1643" s="1" t="s">
        <v>1054</v>
      </c>
      <c r="B1643" s="313" t="str">
        <f>报表附注!E1955</f>
        <v>    1、工资、奖金、津贴和补贴</v>
      </c>
      <c r="C1643" s="325">
        <f>J1630</f>
        <v>0</v>
      </c>
      <c r="D1643" s="1" t="b">
        <f t="shared" si="147"/>
        <v>0</v>
      </c>
      <c r="E1643" s="325">
        <f t="shared" ref="E1643:E1668" si="149">C1727</f>
        <v>0</v>
      </c>
      <c r="H1643" s="1" t="b">
        <f t="shared" si="144"/>
        <v>0</v>
      </c>
      <c r="I1643" s="1" t="s">
        <v>1779</v>
      </c>
      <c r="K1643" s="1" t="b">
        <v>1</v>
      </c>
    </row>
    <row r="1644" spans="1:11">
      <c r="A1644" s="1" t="s">
        <v>1056</v>
      </c>
      <c r="B1644" s="313" t="str">
        <f>报表附注!E1956</f>
        <v>    2、职工福利费</v>
      </c>
      <c r="C1644" s="325">
        <f>J1631</f>
        <v>0</v>
      </c>
      <c r="D1644" s="1" t="b">
        <f t="shared" si="147"/>
        <v>0</v>
      </c>
      <c r="E1644" s="325">
        <f t="shared" si="149"/>
        <v>0</v>
      </c>
      <c r="H1644" s="1" t="b">
        <f t="shared" si="144"/>
        <v>0</v>
      </c>
      <c r="I1644" s="1" t="s">
        <v>1780</v>
      </c>
      <c r="K1644" s="1" t="b">
        <v>1</v>
      </c>
    </row>
    <row r="1645" spans="1:11">
      <c r="A1645" s="1" t="s">
        <v>1770</v>
      </c>
      <c r="B1645" s="313" t="str">
        <f>报表附注!E1957</f>
        <v>    3、社会保险费</v>
      </c>
      <c r="C1645" s="325">
        <f>J1632</f>
        <v>0</v>
      </c>
      <c r="D1645" s="1" t="b">
        <f t="shared" si="147"/>
        <v>0</v>
      </c>
      <c r="E1645" s="325">
        <f t="shared" si="149"/>
        <v>0</v>
      </c>
      <c r="H1645" s="1" t="b">
        <f t="shared" si="144"/>
        <v>0</v>
      </c>
      <c r="I1645" s="1" t="s">
        <v>1781</v>
      </c>
      <c r="K1645" s="1" t="b">
        <v>1</v>
      </c>
    </row>
    <row r="1646" spans="1:11">
      <c r="A1646" s="1" t="s">
        <v>1771</v>
      </c>
      <c r="B1646" s="313" t="str">
        <f>报表附注!E1958</f>
        <v>     （1）医疗保险费</v>
      </c>
      <c r="C1646" s="325">
        <f>J1633</f>
        <v>0</v>
      </c>
      <c r="D1646" s="1" t="b">
        <f t="shared" si="147"/>
        <v>0</v>
      </c>
      <c r="E1646" s="325">
        <f t="shared" si="149"/>
        <v>0</v>
      </c>
      <c r="H1646" s="1" t="b">
        <f t="shared" si="144"/>
        <v>0</v>
      </c>
      <c r="I1646" s="1" t="s">
        <v>1206</v>
      </c>
      <c r="K1646" s="1" t="b">
        <v>1</v>
      </c>
    </row>
    <row r="1647" spans="1:11">
      <c r="A1647" s="1" t="s">
        <v>1772</v>
      </c>
      <c r="B1647" s="313" t="str">
        <f>报表附注!E1959</f>
        <v>     （2）工伤保险费</v>
      </c>
      <c r="C1647" s="325">
        <f>J1637</f>
        <v>0</v>
      </c>
      <c r="D1647" s="1" t="b">
        <f t="shared" si="147"/>
        <v>0</v>
      </c>
      <c r="E1647" s="325">
        <f t="shared" si="149"/>
        <v>0</v>
      </c>
      <c r="H1647" s="1" t="b">
        <f t="shared" si="144"/>
        <v>0</v>
      </c>
      <c r="I1647" s="1" t="s">
        <v>671</v>
      </c>
      <c r="K1647" s="1" t="b">
        <v>1</v>
      </c>
    </row>
    <row r="1648" spans="1:11">
      <c r="A1648" s="1" t="s">
        <v>1773</v>
      </c>
      <c r="B1648" s="313" t="str">
        <f>报表附注!E1960</f>
        <v>     （3）生育保险费</v>
      </c>
      <c r="C1648" s="325">
        <f>J1638</f>
        <v>0</v>
      </c>
      <c r="D1648" s="1" t="b">
        <f t="shared" si="147"/>
        <v>0</v>
      </c>
      <c r="E1648" s="325">
        <f t="shared" si="149"/>
        <v>0</v>
      </c>
      <c r="H1648" s="1" t="b">
        <f t="shared" si="144"/>
        <v>0</v>
      </c>
      <c r="I1648" s="1" t="s">
        <v>1052</v>
      </c>
      <c r="K1648" s="1" t="b">
        <v>1</v>
      </c>
    </row>
    <row r="1649" spans="1:11">
      <c r="A1649" s="1" t="s">
        <v>1774</v>
      </c>
      <c r="B1649" s="313" t="str">
        <f>报表附注!E1961</f>
        <v>    4、住房公积金</v>
      </c>
      <c r="C1649" s="325">
        <f>J1639</f>
        <v>0</v>
      </c>
      <c r="D1649" s="1" t="b">
        <f t="shared" si="147"/>
        <v>0</v>
      </c>
      <c r="E1649" s="325">
        <f t="shared" si="149"/>
        <v>0</v>
      </c>
      <c r="H1649" s="1" t="b">
        <f t="shared" si="144"/>
        <v>0</v>
      </c>
      <c r="I1649" s="1" t="s">
        <v>1054</v>
      </c>
      <c r="K1649" s="1" t="b">
        <v>1</v>
      </c>
    </row>
    <row r="1650" spans="1:11">
      <c r="A1650" s="1" t="s">
        <v>1775</v>
      </c>
      <c r="B1650" s="313" t="str">
        <f>报表附注!E1962</f>
        <v>    5、工会经费和职工教育经费</v>
      </c>
      <c r="C1650" s="325">
        <f>J1640+J1641</f>
        <v>0</v>
      </c>
      <c r="D1650" s="1" t="b">
        <f t="shared" si="147"/>
        <v>0</v>
      </c>
      <c r="E1650" s="325">
        <f t="shared" si="149"/>
        <v>0</v>
      </c>
      <c r="H1650" s="1" t="b">
        <f t="shared" si="144"/>
        <v>0</v>
      </c>
      <c r="I1650" s="1" t="s">
        <v>1056</v>
      </c>
      <c r="K1650" s="1" t="b">
        <v>1</v>
      </c>
    </row>
    <row r="1651" spans="1:11">
      <c r="A1651" s="1" t="s">
        <v>1070</v>
      </c>
      <c r="B1651" s="313" t="str">
        <f>报表附注!E1963</f>
        <v>    6、短期带薪缺勤</v>
      </c>
      <c r="C1651" s="325"/>
      <c r="D1651" s="1" t="b">
        <f t="shared" si="147"/>
        <v>0</v>
      </c>
      <c r="E1651" s="325">
        <f t="shared" si="149"/>
        <v>0</v>
      </c>
      <c r="H1651" s="1" t="b">
        <f t="shared" si="144"/>
        <v>0</v>
      </c>
      <c r="I1651" s="1" t="s">
        <v>1770</v>
      </c>
      <c r="K1651" s="1" t="b">
        <v>1</v>
      </c>
    </row>
    <row r="1652" spans="1:11">
      <c r="A1652" s="1" t="s">
        <v>1776</v>
      </c>
      <c r="B1652" s="313" t="str">
        <f>报表附注!E1964</f>
        <v>    7、短期利润分享计划</v>
      </c>
      <c r="C1652" s="325"/>
      <c r="D1652" s="1" t="b">
        <f t="shared" si="147"/>
        <v>0</v>
      </c>
      <c r="E1652" s="325">
        <f t="shared" si="149"/>
        <v>0</v>
      </c>
      <c r="H1652" s="1" t="b">
        <f t="shared" si="144"/>
        <v>0</v>
      </c>
      <c r="I1652" s="1" t="s">
        <v>1771</v>
      </c>
      <c r="K1652" s="1" t="b">
        <v>1</v>
      </c>
    </row>
    <row r="1653" spans="1:11">
      <c r="A1653" s="1" t="s">
        <v>1777</v>
      </c>
      <c r="B1653" s="313" t="str">
        <f>报表附注!E1965</f>
        <v>    8、其他短期薪酬</v>
      </c>
      <c r="C1653" s="325"/>
      <c r="D1653" s="1" t="b">
        <f t="shared" si="147"/>
        <v>0</v>
      </c>
      <c r="E1653" s="325">
        <f t="shared" si="149"/>
        <v>0</v>
      </c>
      <c r="H1653" s="1" t="b">
        <f t="shared" si="144"/>
        <v>0</v>
      </c>
      <c r="I1653" s="1" t="s">
        <v>1772</v>
      </c>
      <c r="K1653" s="1" t="b">
        <v>1</v>
      </c>
    </row>
    <row r="1654" spans="1:11">
      <c r="A1654" s="1" t="s">
        <v>1778</v>
      </c>
      <c r="B1654" s="313">
        <f>报表附注!E1966</f>
        <v>0</v>
      </c>
      <c r="C1654" s="325"/>
      <c r="D1654" s="1" t="b">
        <f t="shared" si="147"/>
        <v>0</v>
      </c>
      <c r="E1654" s="325">
        <f t="shared" si="149"/>
        <v>0</v>
      </c>
      <c r="H1654" s="1" t="b">
        <f t="shared" si="144"/>
        <v>0</v>
      </c>
      <c r="I1654" s="1" t="s">
        <v>1773</v>
      </c>
      <c r="K1654" s="1" t="b">
        <v>1</v>
      </c>
    </row>
    <row r="1655" spans="1:11">
      <c r="A1655" s="1" t="s">
        <v>1779</v>
      </c>
      <c r="B1655" s="313" t="str">
        <f>报表附注!E1967</f>
        <v>二、离职后福利-设定提存计划</v>
      </c>
      <c r="C1655" s="325"/>
      <c r="D1655" s="1" t="b">
        <f t="shared" si="147"/>
        <v>0</v>
      </c>
      <c r="E1655" s="325">
        <f t="shared" si="149"/>
        <v>0</v>
      </c>
      <c r="H1655" s="1" t="b">
        <f t="shared" si="144"/>
        <v>0</v>
      </c>
      <c r="I1655" s="1" t="s">
        <v>1774</v>
      </c>
      <c r="K1655" s="1" t="b">
        <v>1</v>
      </c>
    </row>
    <row r="1656" spans="1:11">
      <c r="A1656" s="1" t="s">
        <v>1780</v>
      </c>
      <c r="B1656" s="313" t="str">
        <f>报表附注!E1968</f>
        <v>  1、基本养老保险</v>
      </c>
      <c r="C1656" s="325">
        <f>J1634</f>
        <v>0</v>
      </c>
      <c r="D1656" s="1" t="b">
        <f t="shared" si="147"/>
        <v>0</v>
      </c>
      <c r="E1656" s="325">
        <f t="shared" si="149"/>
        <v>0</v>
      </c>
      <c r="H1656" s="1" t="b">
        <f t="shared" si="144"/>
        <v>0</v>
      </c>
      <c r="I1656" s="1" t="s">
        <v>1775</v>
      </c>
      <c r="K1656" s="1" t="b">
        <v>1</v>
      </c>
    </row>
    <row r="1657" spans="1:11">
      <c r="A1657" s="1" t="s">
        <v>1781</v>
      </c>
      <c r="B1657" s="313" t="str">
        <f>报表附注!E1969</f>
        <v>    2、失业保险费</v>
      </c>
      <c r="C1657" s="325">
        <f>J1636</f>
        <v>0</v>
      </c>
      <c r="D1657" s="1" t="b">
        <f t="shared" si="147"/>
        <v>0</v>
      </c>
      <c r="E1657" s="325">
        <f t="shared" si="149"/>
        <v>0</v>
      </c>
      <c r="H1657" s="1" t="b">
        <f t="shared" si="144"/>
        <v>0</v>
      </c>
      <c r="I1657" s="1" t="s">
        <v>1070</v>
      </c>
      <c r="K1657" s="1" t="b">
        <v>1</v>
      </c>
    </row>
    <row r="1658" spans="2:11">
      <c r="B1658" s="313" t="str">
        <f>报表附注!E1970</f>
        <v>    3、企业年金缴费</v>
      </c>
      <c r="C1658" s="325">
        <f>J1635</f>
        <v>0</v>
      </c>
      <c r="D1658" s="1" t="b">
        <f t="shared" ref="D1658:D1667" si="150">EXACT(A1658,B1658)</f>
        <v>0</v>
      </c>
      <c r="E1658" s="325">
        <f t="shared" si="149"/>
        <v>0</v>
      </c>
      <c r="H1658" s="1" t="b">
        <f t="shared" si="144"/>
        <v>0</v>
      </c>
      <c r="I1658" s="1" t="s">
        <v>1776</v>
      </c>
      <c r="K1658" s="1" t="b">
        <v>1</v>
      </c>
    </row>
    <row r="1659" spans="2:11">
      <c r="B1659" s="313" t="str">
        <f>报表附注!E1971</f>
        <v>    4、其他</v>
      </c>
      <c r="C1659" s="325"/>
      <c r="D1659" s="1" t="b">
        <f t="shared" si="150"/>
        <v>0</v>
      </c>
      <c r="E1659" s="325">
        <f t="shared" si="149"/>
        <v>0</v>
      </c>
      <c r="H1659" s="1" t="b">
        <f t="shared" si="144"/>
        <v>0</v>
      </c>
      <c r="I1659" s="1" t="s">
        <v>1777</v>
      </c>
      <c r="K1659" s="1" t="b">
        <v>1</v>
      </c>
    </row>
    <row r="1660" spans="2:11">
      <c r="B1660" s="313">
        <f>报表附注!E1972</f>
        <v>0</v>
      </c>
      <c r="C1660" s="325"/>
      <c r="D1660" s="1" t="b">
        <f t="shared" si="150"/>
        <v>0</v>
      </c>
      <c r="E1660" s="325">
        <f t="shared" si="149"/>
        <v>0</v>
      </c>
      <c r="H1660" s="1" t="b">
        <f t="shared" si="144"/>
        <v>0</v>
      </c>
      <c r="I1660" s="1" t="s">
        <v>1778</v>
      </c>
      <c r="K1660" s="1" t="b">
        <v>1</v>
      </c>
    </row>
    <row r="1661" spans="2:11">
      <c r="B1661" s="313" t="str">
        <f>报表附注!E1973</f>
        <v>三、辞退福利</v>
      </c>
      <c r="C1661" s="325"/>
      <c r="D1661" s="1" t="b">
        <f t="shared" si="150"/>
        <v>0</v>
      </c>
      <c r="E1661" s="325">
        <f t="shared" si="149"/>
        <v>0</v>
      </c>
      <c r="H1661" s="1" t="b">
        <f t="shared" si="144"/>
        <v>0</v>
      </c>
      <c r="I1661" s="1" t="s">
        <v>1779</v>
      </c>
      <c r="K1661" s="1" t="b">
        <v>1</v>
      </c>
    </row>
    <row r="1662" spans="2:11">
      <c r="B1662" s="313" t="str">
        <f>报表附注!E1974</f>
        <v>    1、因解除劳动关系给予的补偿</v>
      </c>
      <c r="C1662" s="325">
        <f>J1643</f>
        <v>0</v>
      </c>
      <c r="D1662" s="1" t="b">
        <f t="shared" si="150"/>
        <v>0</v>
      </c>
      <c r="E1662" s="325">
        <f t="shared" si="149"/>
        <v>0</v>
      </c>
      <c r="H1662" s="1" t="b">
        <f t="shared" si="144"/>
        <v>0</v>
      </c>
      <c r="I1662" s="1" t="s">
        <v>1780</v>
      </c>
      <c r="K1662" s="1" t="b">
        <v>1</v>
      </c>
    </row>
    <row r="1663" spans="2:11">
      <c r="B1663" s="313" t="str">
        <f>报表附注!E1975</f>
        <v>    2、其他</v>
      </c>
      <c r="C1663" s="325">
        <f>J1644</f>
        <v>0</v>
      </c>
      <c r="D1663" s="1" t="b">
        <f t="shared" si="150"/>
        <v>0</v>
      </c>
      <c r="E1663" s="325">
        <f t="shared" si="149"/>
        <v>0</v>
      </c>
      <c r="H1663" s="1" t="b">
        <f t="shared" si="144"/>
        <v>0</v>
      </c>
      <c r="I1663" s="1" t="s">
        <v>1781</v>
      </c>
      <c r="K1663" s="1" t="b">
        <v>1</v>
      </c>
    </row>
    <row r="1664" spans="2:11">
      <c r="B1664" s="313">
        <f>报表附注!E1976</f>
        <v>0</v>
      </c>
      <c r="C1664" s="325"/>
      <c r="D1664" s="1" t="b">
        <f t="shared" si="150"/>
        <v>0</v>
      </c>
      <c r="E1664" s="325">
        <f t="shared" si="149"/>
        <v>0</v>
      </c>
      <c r="H1664" s="1" t="b">
        <f t="shared" si="144"/>
        <v>0</v>
      </c>
      <c r="I1664" s="1" t="s">
        <v>1206</v>
      </c>
      <c r="K1664" s="1" t="b">
        <v>1</v>
      </c>
    </row>
    <row r="1665" spans="2:11">
      <c r="B1665" s="313" t="str">
        <f>报表附注!E1977</f>
        <v>四、一年内到期的其他福利</v>
      </c>
      <c r="C1665" s="325"/>
      <c r="D1665" s="1" t="b">
        <f t="shared" si="150"/>
        <v>0</v>
      </c>
      <c r="E1665" s="325">
        <f t="shared" si="149"/>
        <v>0</v>
      </c>
      <c r="H1665" s="1" t="b">
        <f t="shared" si="144"/>
        <v>0</v>
      </c>
      <c r="I1665" s="1" t="s">
        <v>1782</v>
      </c>
      <c r="K1665" s="1" t="b">
        <v>1</v>
      </c>
    </row>
    <row r="1666" spans="2:11">
      <c r="B1666" s="313" t="str">
        <f>报表附注!E1978</f>
        <v>    1、项目1</v>
      </c>
      <c r="C1666" s="325"/>
      <c r="D1666" s="1" t="b">
        <f t="shared" si="150"/>
        <v>0</v>
      </c>
      <c r="E1666" s="325">
        <f t="shared" si="149"/>
        <v>0</v>
      </c>
      <c r="H1666" s="1" t="b">
        <f t="shared" si="144"/>
        <v>0</v>
      </c>
      <c r="I1666" s="1" t="s">
        <v>1052</v>
      </c>
      <c r="K1666" s="1" t="b">
        <v>1</v>
      </c>
    </row>
    <row r="1667" spans="2:11">
      <c r="B1667" s="313" t="str">
        <f>报表附注!E1979</f>
        <v>    2、项目2</v>
      </c>
      <c r="C1667" s="325"/>
      <c r="D1667" s="1" t="b">
        <f t="shared" si="150"/>
        <v>0</v>
      </c>
      <c r="E1667" s="325">
        <f t="shared" si="149"/>
        <v>0</v>
      </c>
      <c r="H1667" s="1" t="b">
        <f t="shared" si="144"/>
        <v>0</v>
      </c>
      <c r="I1667" s="1" t="s">
        <v>1054</v>
      </c>
      <c r="K1667" s="1" t="b">
        <v>1</v>
      </c>
    </row>
    <row r="1668" spans="1:11">
      <c r="A1668" s="1" t="s">
        <v>1206</v>
      </c>
      <c r="B1668" s="324" t="str">
        <f>报表附注!E1980</f>
        <v>合  计</v>
      </c>
      <c r="C1668" s="325">
        <f>J1646</f>
        <v>0</v>
      </c>
      <c r="D1668" s="1" t="b">
        <f t="shared" si="147"/>
        <v>1</v>
      </c>
      <c r="E1668" s="325">
        <f t="shared" si="149"/>
        <v>0</v>
      </c>
      <c r="H1668" s="1" t="b">
        <f t="shared" ref="H1668:H1731" si="151">I1668=B1668</f>
        <v>0</v>
      </c>
      <c r="I1668" s="1" t="s">
        <v>1056</v>
      </c>
      <c r="K1668" s="1" t="b">
        <v>1</v>
      </c>
    </row>
    <row r="1669" spans="1:11">
      <c r="A1669" s="1" t="s">
        <v>671</v>
      </c>
      <c r="B1669" s="335" t="s">
        <v>671</v>
      </c>
      <c r="D1669" s="1" t="b">
        <f t="shared" si="147"/>
        <v>1</v>
      </c>
      <c r="H1669" s="1" t="b">
        <f t="shared" si="151"/>
        <v>0</v>
      </c>
      <c r="I1669" s="311" t="s">
        <v>1770</v>
      </c>
      <c r="J1669" s="334"/>
      <c r="K1669" s="1" t="b">
        <v>1</v>
      </c>
    </row>
    <row r="1670" spans="1:11">
      <c r="A1670" s="1" t="s">
        <v>1052</v>
      </c>
      <c r="B1670" s="313" t="str">
        <f>报表附注!E1954</f>
        <v>一、短期薪酬</v>
      </c>
      <c r="C1670" s="325">
        <f>C1671+C1672+C1673+C1677+C1678+C1679+C1680+C1681</f>
        <v>0</v>
      </c>
      <c r="D1670" s="1" t="b">
        <f t="shared" si="147"/>
        <v>0</v>
      </c>
      <c r="E1670" s="315"/>
      <c r="H1670" s="1" t="b">
        <f t="shared" si="151"/>
        <v>0</v>
      </c>
      <c r="I1670" s="367" t="s">
        <v>1771</v>
      </c>
      <c r="J1670" s="376"/>
      <c r="K1670" s="1" t="b">
        <v>1</v>
      </c>
    </row>
    <row r="1671" spans="1:11">
      <c r="A1671" s="1" t="s">
        <v>1054</v>
      </c>
      <c r="B1671" s="313" t="str">
        <f>报表附注!E1955</f>
        <v>    1、工资、奖金、津贴和补贴</v>
      </c>
      <c r="C1671" s="325">
        <f>J1648</f>
        <v>0</v>
      </c>
      <c r="D1671" s="1" t="b">
        <f t="shared" si="147"/>
        <v>0</v>
      </c>
      <c r="E1671" s="315"/>
      <c r="H1671" s="1" t="b">
        <f t="shared" si="151"/>
        <v>0</v>
      </c>
      <c r="I1671" s="367" t="s">
        <v>1772</v>
      </c>
      <c r="J1671" s="376"/>
      <c r="K1671" s="1" t="b">
        <v>1</v>
      </c>
    </row>
    <row r="1672" spans="1:11">
      <c r="A1672" s="1" t="s">
        <v>1056</v>
      </c>
      <c r="B1672" s="313" t="str">
        <f>报表附注!E1956</f>
        <v>    2、职工福利费</v>
      </c>
      <c r="C1672" s="325">
        <f>J1649</f>
        <v>0</v>
      </c>
      <c r="D1672" s="1" t="b">
        <f t="shared" si="147"/>
        <v>0</v>
      </c>
      <c r="E1672" s="315"/>
      <c r="H1672" s="1" t="b">
        <f t="shared" si="151"/>
        <v>0</v>
      </c>
      <c r="I1672" s="367" t="s">
        <v>1773</v>
      </c>
      <c r="J1672" s="376"/>
      <c r="K1672" s="1" t="b">
        <v>1</v>
      </c>
    </row>
    <row r="1673" spans="1:11">
      <c r="A1673" s="1" t="s">
        <v>1770</v>
      </c>
      <c r="B1673" s="313" t="str">
        <f>报表附注!E1957</f>
        <v>    3、社会保险费</v>
      </c>
      <c r="C1673" s="325">
        <f>SUM(C1674:C1676)</f>
        <v>0</v>
      </c>
      <c r="D1673" s="1" t="b">
        <f t="shared" si="147"/>
        <v>0</v>
      </c>
      <c r="E1673" s="315"/>
      <c r="H1673" s="1" t="b">
        <f t="shared" si="151"/>
        <v>0</v>
      </c>
      <c r="I1673" s="1" t="s">
        <v>1774</v>
      </c>
      <c r="K1673" s="1" t="b">
        <v>1</v>
      </c>
    </row>
    <row r="1674" spans="1:11">
      <c r="A1674" s="1" t="s">
        <v>1771</v>
      </c>
      <c r="B1674" s="313" t="str">
        <f>报表附注!E1958</f>
        <v>     （1）医疗保险费</v>
      </c>
      <c r="C1674" s="372">
        <f>J1651</f>
        <v>0</v>
      </c>
      <c r="D1674" s="1" t="b">
        <f t="shared" si="147"/>
        <v>0</v>
      </c>
      <c r="E1674" s="315"/>
      <c r="H1674" s="1" t="b">
        <f t="shared" si="151"/>
        <v>0</v>
      </c>
      <c r="I1674" s="1" t="s">
        <v>1775</v>
      </c>
      <c r="K1674" s="1" t="b">
        <v>1</v>
      </c>
    </row>
    <row r="1675" spans="1:11">
      <c r="A1675" s="1" t="s">
        <v>1772</v>
      </c>
      <c r="B1675" s="313" t="str">
        <f>报表附注!E1959</f>
        <v>     （2）工伤保险费</v>
      </c>
      <c r="C1675" s="372">
        <f>J1655</f>
        <v>0</v>
      </c>
      <c r="D1675" s="1" t="b">
        <f t="shared" si="147"/>
        <v>0</v>
      </c>
      <c r="E1675" s="315"/>
      <c r="H1675" s="1" t="b">
        <f t="shared" si="151"/>
        <v>0</v>
      </c>
      <c r="I1675" s="1" t="s">
        <v>1070</v>
      </c>
      <c r="K1675" s="1" t="b">
        <v>1</v>
      </c>
    </row>
    <row r="1676" spans="1:11">
      <c r="A1676" s="1" t="s">
        <v>1773</v>
      </c>
      <c r="B1676" s="313" t="str">
        <f>报表附注!E1960</f>
        <v>     （3）生育保险费</v>
      </c>
      <c r="C1676" s="372">
        <f>J1656</f>
        <v>0</v>
      </c>
      <c r="D1676" s="1" t="b">
        <f t="shared" si="147"/>
        <v>0</v>
      </c>
      <c r="E1676" s="315"/>
      <c r="H1676" s="1" t="b">
        <f t="shared" si="151"/>
        <v>0</v>
      </c>
      <c r="I1676" s="1" t="s">
        <v>1776</v>
      </c>
      <c r="K1676" s="1" t="b">
        <v>1</v>
      </c>
    </row>
    <row r="1677" spans="1:11">
      <c r="A1677" s="1" t="s">
        <v>1774</v>
      </c>
      <c r="B1677" s="313" t="str">
        <f>报表附注!E1961</f>
        <v>    4、住房公积金</v>
      </c>
      <c r="C1677" s="325">
        <f>J1657</f>
        <v>0</v>
      </c>
      <c r="D1677" s="1" t="b">
        <f t="shared" si="147"/>
        <v>0</v>
      </c>
      <c r="E1677" s="315"/>
      <c r="H1677" s="1" t="b">
        <f t="shared" si="151"/>
        <v>0</v>
      </c>
      <c r="I1677" s="1" t="s">
        <v>1777</v>
      </c>
      <c r="K1677" s="1" t="b">
        <v>1</v>
      </c>
    </row>
    <row r="1678" spans="1:11">
      <c r="A1678" s="1" t="s">
        <v>1775</v>
      </c>
      <c r="B1678" s="313" t="str">
        <f>报表附注!E1962</f>
        <v>    5、工会经费和职工教育经费</v>
      </c>
      <c r="C1678" s="325">
        <f>J1658+J1659</f>
        <v>0</v>
      </c>
      <c r="D1678" s="1" t="b">
        <f t="shared" si="147"/>
        <v>0</v>
      </c>
      <c r="E1678" s="315"/>
      <c r="H1678" s="1" t="b">
        <f t="shared" si="151"/>
        <v>0</v>
      </c>
      <c r="I1678" s="1" t="s">
        <v>1778</v>
      </c>
      <c r="K1678" s="1" t="b">
        <v>1</v>
      </c>
    </row>
    <row r="1679" spans="1:11">
      <c r="A1679" s="1" t="s">
        <v>1070</v>
      </c>
      <c r="B1679" s="313" t="str">
        <f>报表附注!E1963</f>
        <v>    6、短期带薪缺勤</v>
      </c>
      <c r="C1679" s="325"/>
      <c r="D1679" s="1" t="b">
        <f t="shared" si="147"/>
        <v>0</v>
      </c>
      <c r="E1679" s="315"/>
      <c r="H1679" s="1" t="b">
        <f t="shared" si="151"/>
        <v>0</v>
      </c>
      <c r="I1679" s="1" t="s">
        <v>1779</v>
      </c>
      <c r="K1679" s="1" t="b">
        <v>1</v>
      </c>
    </row>
    <row r="1680" spans="1:11">
      <c r="A1680" s="1" t="s">
        <v>1776</v>
      </c>
      <c r="B1680" s="313" t="str">
        <f>报表附注!E1964</f>
        <v>    7、短期利润分享计划</v>
      </c>
      <c r="C1680" s="325"/>
      <c r="D1680" s="1" t="b">
        <f t="shared" si="147"/>
        <v>0</v>
      </c>
      <c r="E1680" s="315"/>
      <c r="H1680" s="1" t="b">
        <f t="shared" si="151"/>
        <v>0</v>
      </c>
      <c r="I1680" s="1" t="s">
        <v>1780</v>
      </c>
      <c r="K1680" s="1" t="b">
        <v>1</v>
      </c>
    </row>
    <row r="1681" spans="1:11">
      <c r="A1681" s="1" t="s">
        <v>1777</v>
      </c>
      <c r="B1681" s="313" t="str">
        <f>报表附注!E1965</f>
        <v>    8、其他短期薪酬</v>
      </c>
      <c r="C1681" s="325"/>
      <c r="D1681" s="1" t="b">
        <f t="shared" si="147"/>
        <v>0</v>
      </c>
      <c r="E1681" s="315"/>
      <c r="H1681" s="1" t="b">
        <f t="shared" si="151"/>
        <v>0</v>
      </c>
      <c r="I1681" s="1" t="s">
        <v>1781</v>
      </c>
      <c r="K1681" s="1" t="b">
        <v>1</v>
      </c>
    </row>
    <row r="1682" spans="1:11">
      <c r="A1682" s="1" t="s">
        <v>1778</v>
      </c>
      <c r="B1682" s="313">
        <f>报表附注!E1966</f>
        <v>0</v>
      </c>
      <c r="C1682" s="325"/>
      <c r="D1682" s="1" t="b">
        <f t="shared" si="147"/>
        <v>0</v>
      </c>
      <c r="E1682" s="315"/>
      <c r="H1682" s="1" t="b">
        <f t="shared" si="151"/>
        <v>0</v>
      </c>
      <c r="I1682" s="1" t="s">
        <v>1206</v>
      </c>
      <c r="K1682" s="1" t="b">
        <v>1</v>
      </c>
    </row>
    <row r="1683" spans="1:11">
      <c r="A1683" s="1" t="s">
        <v>1779</v>
      </c>
      <c r="B1683" s="313" t="str">
        <f>报表附注!E1967</f>
        <v>二、离职后福利-设定提存计划</v>
      </c>
      <c r="C1683" s="325">
        <f>SUM(C1684:C1687)</f>
        <v>0</v>
      </c>
      <c r="D1683" s="1" t="b">
        <f t="shared" si="147"/>
        <v>0</v>
      </c>
      <c r="E1683" s="315"/>
      <c r="H1683" s="1" t="b">
        <f t="shared" si="151"/>
        <v>0</v>
      </c>
      <c r="I1683" s="1" t="s">
        <v>315</v>
      </c>
      <c r="K1683" s="1" t="b">
        <v>1</v>
      </c>
    </row>
    <row r="1684" spans="1:11">
      <c r="A1684" s="1" t="s">
        <v>1780</v>
      </c>
      <c r="B1684" s="313" t="str">
        <f>报表附注!E1968</f>
        <v>  1、基本养老保险</v>
      </c>
      <c r="C1684" s="325">
        <f>J1652</f>
        <v>0</v>
      </c>
      <c r="D1684" s="1" t="b">
        <f t="shared" si="147"/>
        <v>0</v>
      </c>
      <c r="E1684" s="315"/>
      <c r="H1684" s="1" t="b">
        <f t="shared" si="151"/>
        <v>0</v>
      </c>
      <c r="I1684" s="1" t="s">
        <v>1052</v>
      </c>
      <c r="K1684" s="1" t="b">
        <v>1</v>
      </c>
    </row>
    <row r="1685" spans="1:11">
      <c r="A1685" s="1" t="s">
        <v>1781</v>
      </c>
      <c r="B1685" s="313" t="str">
        <f>报表附注!E1969</f>
        <v>    2、失业保险费</v>
      </c>
      <c r="C1685" s="325">
        <f>J1654</f>
        <v>0</v>
      </c>
      <c r="D1685" s="1" t="b">
        <f t="shared" si="147"/>
        <v>0</v>
      </c>
      <c r="E1685" s="315"/>
      <c r="H1685" s="1" t="b">
        <f t="shared" si="151"/>
        <v>0</v>
      </c>
      <c r="I1685" s="1" t="s">
        <v>1054</v>
      </c>
      <c r="K1685" s="1" t="b">
        <v>1</v>
      </c>
    </row>
    <row r="1686" spans="1:11">
      <c r="A1686" s="367"/>
      <c r="B1686" s="313" t="str">
        <f>报表附注!E1970</f>
        <v>    3、企业年金缴费</v>
      </c>
      <c r="C1686" s="325">
        <f>J1653</f>
        <v>0</v>
      </c>
      <c r="D1686" s="1" t="b">
        <f t="shared" ref="D1686:D1695" si="152">EXACT(A1686,B1686)</f>
        <v>0</v>
      </c>
      <c r="E1686" s="315"/>
      <c r="H1686" s="1" t="b">
        <f t="shared" si="151"/>
        <v>0</v>
      </c>
      <c r="I1686" s="1" t="s">
        <v>1056</v>
      </c>
      <c r="K1686" s="1" t="b">
        <v>1</v>
      </c>
    </row>
    <row r="1687" spans="1:11">
      <c r="A1687" s="367"/>
      <c r="B1687" s="313" t="str">
        <f>报表附注!E1971</f>
        <v>    4、其他</v>
      </c>
      <c r="C1687" s="325"/>
      <c r="D1687" s="1" t="b">
        <f t="shared" si="152"/>
        <v>0</v>
      </c>
      <c r="E1687" s="315"/>
      <c r="H1687" s="1" t="b">
        <f t="shared" si="151"/>
        <v>0</v>
      </c>
      <c r="I1687" s="1" t="s">
        <v>1770</v>
      </c>
      <c r="K1687" s="1" t="b">
        <v>1</v>
      </c>
    </row>
    <row r="1688" spans="1:11">
      <c r="A1688" s="367"/>
      <c r="B1688" s="313">
        <f>报表附注!E1972</f>
        <v>0</v>
      </c>
      <c r="C1688" s="325"/>
      <c r="D1688" s="1" t="b">
        <f t="shared" si="152"/>
        <v>0</v>
      </c>
      <c r="E1688" s="315"/>
      <c r="H1688" s="1" t="b">
        <f t="shared" si="151"/>
        <v>0</v>
      </c>
      <c r="I1688" s="1" t="s">
        <v>1771</v>
      </c>
      <c r="K1688" s="1" t="b">
        <v>1</v>
      </c>
    </row>
    <row r="1689" spans="1:11">
      <c r="A1689" s="367"/>
      <c r="B1689" s="313" t="str">
        <f>报表附注!E1973</f>
        <v>三、辞退福利</v>
      </c>
      <c r="C1689" s="325">
        <f>SUM(C1690:C1691)</f>
        <v>0</v>
      </c>
      <c r="D1689" s="1" t="b">
        <f t="shared" si="152"/>
        <v>0</v>
      </c>
      <c r="E1689" s="315"/>
      <c r="H1689" s="1" t="b">
        <f t="shared" si="151"/>
        <v>0</v>
      </c>
      <c r="I1689" s="1" t="s">
        <v>1772</v>
      </c>
      <c r="K1689" s="1" t="b">
        <v>1</v>
      </c>
    </row>
    <row r="1690" spans="1:11">
      <c r="A1690" s="367"/>
      <c r="B1690" s="313" t="str">
        <f>报表附注!E1974</f>
        <v>    1、因解除劳动关系给予的补偿</v>
      </c>
      <c r="C1690" s="325">
        <f>J1661</f>
        <v>0</v>
      </c>
      <c r="D1690" s="1" t="b">
        <f t="shared" si="152"/>
        <v>0</v>
      </c>
      <c r="E1690" s="315"/>
      <c r="H1690" s="1" t="b">
        <f t="shared" si="151"/>
        <v>0</v>
      </c>
      <c r="I1690" s="1" t="s">
        <v>1773</v>
      </c>
      <c r="K1690" s="1" t="b">
        <v>1</v>
      </c>
    </row>
    <row r="1691" spans="1:11">
      <c r="A1691" s="367"/>
      <c r="B1691" s="313" t="str">
        <f>报表附注!E1975</f>
        <v>    2、其他</v>
      </c>
      <c r="C1691" s="325">
        <f>J1662</f>
        <v>0</v>
      </c>
      <c r="D1691" s="1" t="b">
        <f t="shared" si="152"/>
        <v>0</v>
      </c>
      <c r="E1691" s="315"/>
      <c r="H1691" s="1" t="b">
        <f t="shared" si="151"/>
        <v>0</v>
      </c>
      <c r="I1691" s="1" t="s">
        <v>1774</v>
      </c>
      <c r="K1691" s="1" t="b">
        <v>1</v>
      </c>
    </row>
    <row r="1692" spans="1:11">
      <c r="A1692" s="367"/>
      <c r="B1692" s="313">
        <f>报表附注!E1976</f>
        <v>0</v>
      </c>
      <c r="C1692" s="325"/>
      <c r="D1692" s="1" t="b">
        <f t="shared" si="152"/>
        <v>0</v>
      </c>
      <c r="E1692" s="315"/>
      <c r="H1692" s="1" t="b">
        <f t="shared" si="151"/>
        <v>0</v>
      </c>
      <c r="I1692" s="1" t="s">
        <v>1775</v>
      </c>
      <c r="K1692" s="1" t="b">
        <v>1</v>
      </c>
    </row>
    <row r="1693" spans="1:11">
      <c r="A1693" s="367"/>
      <c r="B1693" s="313" t="str">
        <f>报表附注!E1977</f>
        <v>四、一年内到期的其他福利</v>
      </c>
      <c r="C1693" s="325">
        <f>SUM(C1694:C1695)</f>
        <v>0</v>
      </c>
      <c r="D1693" s="1" t="b">
        <f t="shared" si="152"/>
        <v>0</v>
      </c>
      <c r="E1693" s="315"/>
      <c r="H1693" s="1" t="b">
        <f t="shared" si="151"/>
        <v>0</v>
      </c>
      <c r="I1693" s="1" t="s">
        <v>1070</v>
      </c>
      <c r="K1693" s="1" t="b">
        <v>1</v>
      </c>
    </row>
    <row r="1694" spans="1:11">
      <c r="A1694" s="367"/>
      <c r="B1694" s="313" t="str">
        <f>报表附注!E1978</f>
        <v>    1、项目1</v>
      </c>
      <c r="C1694" s="325"/>
      <c r="D1694" s="1" t="b">
        <f t="shared" si="152"/>
        <v>0</v>
      </c>
      <c r="E1694" s="315"/>
      <c r="H1694" s="1" t="b">
        <f t="shared" si="151"/>
        <v>0</v>
      </c>
      <c r="I1694" s="1" t="s">
        <v>1776</v>
      </c>
      <c r="K1694" s="1" t="b">
        <v>1</v>
      </c>
    </row>
    <row r="1695" spans="1:11">
      <c r="A1695" s="367"/>
      <c r="B1695" s="313" t="str">
        <f>报表附注!E1979</f>
        <v>    2、项目2</v>
      </c>
      <c r="C1695" s="325"/>
      <c r="D1695" s="1" t="b">
        <f t="shared" si="152"/>
        <v>0</v>
      </c>
      <c r="E1695" s="315"/>
      <c r="H1695" s="1" t="b">
        <f t="shared" si="151"/>
        <v>0</v>
      </c>
      <c r="I1695" s="1" t="s">
        <v>1777</v>
      </c>
      <c r="K1695" s="1" t="b">
        <v>1</v>
      </c>
    </row>
    <row r="1696" spans="1:11">
      <c r="A1696" s="1" t="s">
        <v>1206</v>
      </c>
      <c r="B1696" s="324" t="str">
        <f>报表附注!E1980</f>
        <v>合  计</v>
      </c>
      <c r="C1696" s="325">
        <f>C1670+C1683+C1689+C1693</f>
        <v>0</v>
      </c>
      <c r="D1696" s="1" t="b">
        <f t="shared" si="147"/>
        <v>1</v>
      </c>
      <c r="E1696" s="373">
        <f>C1696-J1664</f>
        <v>0</v>
      </c>
      <c r="H1696" s="1" t="b">
        <f t="shared" si="151"/>
        <v>0</v>
      </c>
      <c r="I1696" s="1" t="s">
        <v>1778</v>
      </c>
      <c r="K1696" s="1" t="b">
        <v>1</v>
      </c>
    </row>
    <row r="1697" spans="1:11">
      <c r="A1697" s="1" t="s">
        <v>1782</v>
      </c>
      <c r="B1697" s="335" t="s">
        <v>1782</v>
      </c>
      <c r="D1697" s="1" t="b">
        <f t="shared" si="147"/>
        <v>1</v>
      </c>
      <c r="E1697" s="311"/>
      <c r="H1697" s="1" t="b">
        <f t="shared" si="151"/>
        <v>0</v>
      </c>
      <c r="I1697" s="1" t="s">
        <v>1779</v>
      </c>
      <c r="K1697" s="1" t="b">
        <v>1</v>
      </c>
    </row>
    <row r="1698" spans="1:11">
      <c r="A1698" s="1" t="s">
        <v>1052</v>
      </c>
      <c r="B1698" s="313" t="str">
        <f>报表附注!E1954</f>
        <v>一、短期薪酬</v>
      </c>
      <c r="C1698" s="325">
        <f>C1699+C1700+C1701+C1705+C1706+C1707+C1708+C1709</f>
        <v>0</v>
      </c>
      <c r="D1698" s="1" t="b">
        <f t="shared" si="147"/>
        <v>0</v>
      </c>
      <c r="E1698" s="315"/>
      <c r="H1698" s="1" t="b">
        <f t="shared" si="151"/>
        <v>0</v>
      </c>
      <c r="I1698" s="1" t="s">
        <v>1780</v>
      </c>
      <c r="K1698" s="1" t="b">
        <v>1</v>
      </c>
    </row>
    <row r="1699" spans="1:11">
      <c r="A1699" s="1" t="s">
        <v>1054</v>
      </c>
      <c r="B1699" s="313" t="str">
        <f>报表附注!E1955</f>
        <v>    1、工资、奖金、津贴和补贴</v>
      </c>
      <c r="C1699" s="325">
        <f>J1666</f>
        <v>0</v>
      </c>
      <c r="D1699" s="1" t="b">
        <f t="shared" si="147"/>
        <v>0</v>
      </c>
      <c r="E1699" s="315"/>
      <c r="H1699" s="1" t="b">
        <f t="shared" si="151"/>
        <v>0</v>
      </c>
      <c r="I1699" s="1" t="s">
        <v>1781</v>
      </c>
      <c r="K1699" s="1" t="b">
        <v>1</v>
      </c>
    </row>
    <row r="1700" spans="1:11">
      <c r="A1700" s="1" t="s">
        <v>1056</v>
      </c>
      <c r="B1700" s="313" t="str">
        <f>报表附注!E1956</f>
        <v>    2、职工福利费</v>
      </c>
      <c r="C1700" s="325">
        <f>J1667</f>
        <v>0</v>
      </c>
      <c r="D1700" s="1" t="b">
        <f t="shared" si="147"/>
        <v>0</v>
      </c>
      <c r="E1700" s="315"/>
      <c r="H1700" s="1" t="b">
        <f t="shared" si="151"/>
        <v>0</v>
      </c>
      <c r="I1700" s="1" t="s">
        <v>1206</v>
      </c>
      <c r="K1700" s="1" t="b">
        <v>1</v>
      </c>
    </row>
    <row r="1701" spans="1:11">
      <c r="A1701" s="1" t="s">
        <v>1770</v>
      </c>
      <c r="B1701" s="313" t="str">
        <f>报表附注!E1957</f>
        <v>    3、社会保险费</v>
      </c>
      <c r="C1701" s="325">
        <f>SUM(C1702:C1704)</f>
        <v>0</v>
      </c>
      <c r="D1701" s="1" t="b">
        <f t="shared" si="147"/>
        <v>0</v>
      </c>
      <c r="E1701" s="315"/>
      <c r="H1701" s="1" t="b">
        <f t="shared" si="151"/>
        <v>0</v>
      </c>
      <c r="K1701" s="1" t="b">
        <v>1</v>
      </c>
    </row>
    <row r="1702" spans="1:11">
      <c r="A1702" s="1" t="s">
        <v>1771</v>
      </c>
      <c r="B1702" s="313" t="str">
        <f>报表附注!E1958</f>
        <v>     （1）医疗保险费</v>
      </c>
      <c r="C1702" s="372">
        <f>J1669</f>
        <v>0</v>
      </c>
      <c r="D1702" s="1" t="b">
        <f t="shared" si="147"/>
        <v>0</v>
      </c>
      <c r="E1702" s="315"/>
      <c r="H1702" s="1" t="b">
        <f t="shared" si="151"/>
        <v>0</v>
      </c>
      <c r="I1702" s="1" t="s">
        <v>1783</v>
      </c>
      <c r="K1702" s="1" t="b">
        <v>1</v>
      </c>
    </row>
    <row r="1703" spans="1:11">
      <c r="A1703" s="1" t="s">
        <v>1772</v>
      </c>
      <c r="B1703" s="313" t="str">
        <f>报表附注!E1959</f>
        <v>     （2）工伤保险费</v>
      </c>
      <c r="C1703" s="372">
        <f>J1673</f>
        <v>0</v>
      </c>
      <c r="D1703" s="1" t="b">
        <f t="shared" si="147"/>
        <v>0</v>
      </c>
      <c r="E1703" s="315"/>
      <c r="H1703" s="1" t="b">
        <f t="shared" si="151"/>
        <v>0</v>
      </c>
      <c r="I1703" s="1" t="s">
        <v>1579</v>
      </c>
      <c r="K1703" s="1" t="b">
        <v>1</v>
      </c>
    </row>
    <row r="1704" spans="1:11">
      <c r="A1704" s="1" t="s">
        <v>1773</v>
      </c>
      <c r="B1704" s="313" t="str">
        <f>报表附注!E1960</f>
        <v>     （3）生育保险费</v>
      </c>
      <c r="C1704" s="372">
        <f>J1674</f>
        <v>0</v>
      </c>
      <c r="D1704" s="1" t="b">
        <f t="shared" si="147"/>
        <v>0</v>
      </c>
      <c r="E1704" s="315"/>
      <c r="H1704" s="1" t="b">
        <f t="shared" si="151"/>
        <v>0</v>
      </c>
      <c r="I1704" s="1" t="s">
        <v>3080</v>
      </c>
      <c r="K1704" s="1" t="b">
        <v>0</v>
      </c>
    </row>
    <row r="1705" spans="1:11">
      <c r="A1705" s="1" t="s">
        <v>1774</v>
      </c>
      <c r="B1705" s="313" t="str">
        <f>报表附注!E1961</f>
        <v>    4、住房公积金</v>
      </c>
      <c r="C1705" s="325">
        <f>J1675</f>
        <v>0</v>
      </c>
      <c r="D1705" s="1" t="b">
        <f t="shared" si="147"/>
        <v>0</v>
      </c>
      <c r="E1705" s="315"/>
      <c r="H1705" s="1" t="b">
        <f t="shared" si="151"/>
        <v>0</v>
      </c>
      <c r="I1705" s="1" t="s">
        <v>3081</v>
      </c>
      <c r="K1705" s="1" t="b">
        <v>0</v>
      </c>
    </row>
    <row r="1706" spans="1:11">
      <c r="A1706" s="1" t="s">
        <v>1775</v>
      </c>
      <c r="B1706" s="313" t="str">
        <f>报表附注!E1962</f>
        <v>    5、工会经费和职工教育经费</v>
      </c>
      <c r="C1706" s="325">
        <f>J1676+J1677</f>
        <v>0</v>
      </c>
      <c r="D1706" s="1" t="b">
        <f t="shared" ref="D1706:D1789" si="153">EXACT(A1706,B1706)</f>
        <v>0</v>
      </c>
      <c r="E1706" s="315"/>
      <c r="H1706" s="1" t="b">
        <f t="shared" si="151"/>
        <v>0</v>
      </c>
      <c r="I1706" s="1" t="s">
        <v>3082</v>
      </c>
      <c r="K1706" s="1" t="b">
        <v>0</v>
      </c>
    </row>
    <row r="1707" spans="1:11">
      <c r="A1707" s="1" t="s">
        <v>1070</v>
      </c>
      <c r="B1707" s="313" t="str">
        <f>报表附注!E1963</f>
        <v>    6、短期带薪缺勤</v>
      </c>
      <c r="C1707" s="325"/>
      <c r="D1707" s="1" t="b">
        <f t="shared" si="153"/>
        <v>0</v>
      </c>
      <c r="E1707" s="315"/>
      <c r="H1707" s="1" t="b">
        <f t="shared" si="151"/>
        <v>0</v>
      </c>
      <c r="I1707" s="1" t="s">
        <v>3083</v>
      </c>
      <c r="K1707" s="1" t="b">
        <v>0</v>
      </c>
    </row>
    <row r="1708" spans="1:11">
      <c r="A1708" s="1" t="s">
        <v>1776</v>
      </c>
      <c r="B1708" s="313" t="str">
        <f>报表附注!E1964</f>
        <v>    7、短期利润分享计划</v>
      </c>
      <c r="C1708" s="325"/>
      <c r="D1708" s="1" t="b">
        <f t="shared" si="153"/>
        <v>0</v>
      </c>
      <c r="E1708" s="315"/>
      <c r="H1708" s="1" t="b">
        <f t="shared" si="151"/>
        <v>0</v>
      </c>
      <c r="I1708" s="1" t="s">
        <v>3084</v>
      </c>
      <c r="K1708" s="1" t="b">
        <v>0</v>
      </c>
    </row>
    <row r="1709" spans="1:11">
      <c r="A1709" s="1" t="s">
        <v>1777</v>
      </c>
      <c r="B1709" s="313" t="str">
        <f>报表附注!E1965</f>
        <v>    8、其他短期薪酬</v>
      </c>
      <c r="C1709" s="325"/>
      <c r="D1709" s="1" t="b">
        <f t="shared" si="153"/>
        <v>0</v>
      </c>
      <c r="E1709" s="315"/>
      <c r="H1709" s="1" t="b">
        <f t="shared" si="151"/>
        <v>0</v>
      </c>
      <c r="I1709" s="1" t="s">
        <v>3085</v>
      </c>
      <c r="K1709" s="1" t="b">
        <v>0</v>
      </c>
    </row>
    <row r="1710" spans="1:11">
      <c r="A1710" s="1" t="s">
        <v>1778</v>
      </c>
      <c r="B1710" s="313">
        <f>报表附注!E1966</f>
        <v>0</v>
      </c>
      <c r="C1710" s="325"/>
      <c r="D1710" s="1" t="b">
        <f t="shared" si="153"/>
        <v>0</v>
      </c>
      <c r="E1710" s="315"/>
      <c r="H1710" s="1" t="b">
        <f t="shared" si="151"/>
        <v>0</v>
      </c>
      <c r="I1710" s="1" t="s">
        <v>3086</v>
      </c>
      <c r="K1710" s="1" t="b">
        <v>0</v>
      </c>
    </row>
    <row r="1711" spans="1:11">
      <c r="A1711" s="1" t="s">
        <v>1779</v>
      </c>
      <c r="B1711" s="313" t="str">
        <f>报表附注!E1967</f>
        <v>二、离职后福利-设定提存计划</v>
      </c>
      <c r="C1711" s="325">
        <f>SUM(C1712:C1715)</f>
        <v>0</v>
      </c>
      <c r="D1711" s="1" t="b">
        <f t="shared" si="153"/>
        <v>0</v>
      </c>
      <c r="E1711" s="315"/>
      <c r="H1711" s="1" t="b">
        <f t="shared" si="151"/>
        <v>0</v>
      </c>
      <c r="I1711" s="1" t="s">
        <v>3087</v>
      </c>
      <c r="K1711" s="1" t="b">
        <v>0</v>
      </c>
    </row>
    <row r="1712" spans="1:11">
      <c r="A1712" s="1" t="s">
        <v>1780</v>
      </c>
      <c r="B1712" s="313" t="str">
        <f>报表附注!E1968</f>
        <v>  1、基本养老保险</v>
      </c>
      <c r="C1712" s="325">
        <f>J1670</f>
        <v>0</v>
      </c>
      <c r="D1712" s="1" t="b">
        <f t="shared" si="153"/>
        <v>0</v>
      </c>
      <c r="E1712" s="315"/>
      <c r="H1712" s="1" t="b">
        <f t="shared" si="151"/>
        <v>0</v>
      </c>
      <c r="I1712" s="1" t="s">
        <v>3088</v>
      </c>
      <c r="K1712" s="1" t="b">
        <v>0</v>
      </c>
    </row>
    <row r="1713" spans="1:11">
      <c r="A1713" s="1" t="s">
        <v>1781</v>
      </c>
      <c r="B1713" s="313" t="str">
        <f>报表附注!E1969</f>
        <v>    2、失业保险费</v>
      </c>
      <c r="C1713" s="325">
        <f>J1672</f>
        <v>0</v>
      </c>
      <c r="D1713" s="1" t="b">
        <f t="shared" si="153"/>
        <v>0</v>
      </c>
      <c r="E1713" s="315"/>
      <c r="H1713" s="1" t="b">
        <f t="shared" si="151"/>
        <v>0</v>
      </c>
      <c r="I1713" s="1" t="s">
        <v>3089</v>
      </c>
      <c r="K1713" s="1" t="b">
        <v>0</v>
      </c>
    </row>
    <row r="1714" spans="2:11">
      <c r="B1714" s="313" t="str">
        <f>报表附注!E1970</f>
        <v>    3、企业年金缴费</v>
      </c>
      <c r="C1714" s="325">
        <f>J1671</f>
        <v>0</v>
      </c>
      <c r="D1714" s="1" t="b">
        <f t="shared" ref="D1714:D1723" si="154">EXACT(A1714,B1714)</f>
        <v>0</v>
      </c>
      <c r="E1714" s="315"/>
      <c r="H1714" s="1" t="b">
        <f t="shared" si="151"/>
        <v>0</v>
      </c>
      <c r="I1714" s="1" t="s">
        <v>3090</v>
      </c>
      <c r="K1714" s="1" t="b">
        <v>0</v>
      </c>
    </row>
    <row r="1715" spans="2:11">
      <c r="B1715" s="313" t="str">
        <f>报表附注!E1971</f>
        <v>    4、其他</v>
      </c>
      <c r="C1715" s="325"/>
      <c r="D1715" s="1" t="b">
        <f t="shared" si="154"/>
        <v>0</v>
      </c>
      <c r="E1715" s="315"/>
      <c r="H1715" s="1" t="b">
        <f t="shared" si="151"/>
        <v>0</v>
      </c>
      <c r="I1715" s="1" t="s">
        <v>3091</v>
      </c>
      <c r="K1715" s="1" t="b">
        <v>0</v>
      </c>
    </row>
    <row r="1716" spans="2:11">
      <c r="B1716" s="313">
        <f>报表附注!E1972</f>
        <v>0</v>
      </c>
      <c r="C1716" s="325"/>
      <c r="D1716" s="1" t="b">
        <f t="shared" si="154"/>
        <v>0</v>
      </c>
      <c r="E1716" s="315"/>
      <c r="H1716" s="1" t="b">
        <f t="shared" si="151"/>
        <v>0</v>
      </c>
      <c r="I1716" s="1" t="s">
        <v>3092</v>
      </c>
      <c r="K1716" s="1" t="b">
        <v>0</v>
      </c>
    </row>
    <row r="1717" spans="2:11">
      <c r="B1717" s="313" t="str">
        <f>报表附注!E1973</f>
        <v>三、辞退福利</v>
      </c>
      <c r="C1717" s="325">
        <f>SUM(C1718:C1719)</f>
        <v>0</v>
      </c>
      <c r="D1717" s="1" t="b">
        <f t="shared" si="154"/>
        <v>0</v>
      </c>
      <c r="E1717" s="315"/>
      <c r="H1717" s="1" t="b">
        <f t="shared" si="151"/>
        <v>0</v>
      </c>
      <c r="I1717" s="1" t="s">
        <v>3093</v>
      </c>
      <c r="K1717" s="1" t="b">
        <v>0</v>
      </c>
    </row>
    <row r="1718" spans="2:11">
      <c r="B1718" s="313" t="str">
        <f>报表附注!E1974</f>
        <v>    1、因解除劳动关系给予的补偿</v>
      </c>
      <c r="C1718" s="325">
        <f>J1679</f>
        <v>0</v>
      </c>
      <c r="D1718" s="1" t="b">
        <f t="shared" si="154"/>
        <v>0</v>
      </c>
      <c r="E1718" s="315"/>
      <c r="H1718" s="1" t="b">
        <f t="shared" si="151"/>
        <v>0</v>
      </c>
      <c r="I1718" s="1" t="s">
        <v>3094</v>
      </c>
      <c r="K1718" s="1" t="b">
        <v>0</v>
      </c>
    </row>
    <row r="1719" spans="2:11">
      <c r="B1719" s="313" t="str">
        <f>报表附注!E1975</f>
        <v>    2、其他</v>
      </c>
      <c r="C1719" s="325">
        <f>J1680</f>
        <v>0</v>
      </c>
      <c r="D1719" s="1" t="b">
        <f t="shared" si="154"/>
        <v>0</v>
      </c>
      <c r="E1719" s="315"/>
      <c r="H1719" s="1" t="b">
        <f t="shared" si="151"/>
        <v>0</v>
      </c>
      <c r="I1719" s="1" t="s">
        <v>3095</v>
      </c>
      <c r="K1719" s="1" t="b">
        <v>0</v>
      </c>
    </row>
    <row r="1720" spans="2:11">
      <c r="B1720" s="313">
        <f>报表附注!E1976</f>
        <v>0</v>
      </c>
      <c r="C1720" s="325"/>
      <c r="D1720" s="1" t="b">
        <f t="shared" si="154"/>
        <v>0</v>
      </c>
      <c r="E1720" s="315"/>
      <c r="H1720" s="1" t="b">
        <f t="shared" si="151"/>
        <v>0</v>
      </c>
      <c r="I1720" s="1" t="s">
        <v>3096</v>
      </c>
      <c r="K1720" s="1" t="b">
        <v>0</v>
      </c>
    </row>
    <row r="1721" spans="2:11">
      <c r="B1721" s="313" t="str">
        <f>报表附注!E1977</f>
        <v>四、一年内到期的其他福利</v>
      </c>
      <c r="C1721" s="325">
        <f>SUM(C1722:C1723)</f>
        <v>0</v>
      </c>
      <c r="D1721" s="1" t="b">
        <f t="shared" si="154"/>
        <v>0</v>
      </c>
      <c r="E1721" s="315"/>
      <c r="H1721" s="1" t="b">
        <f t="shared" si="151"/>
        <v>0</v>
      </c>
      <c r="I1721" s="1" t="s">
        <v>3097</v>
      </c>
      <c r="K1721" s="1" t="b">
        <v>0</v>
      </c>
    </row>
    <row r="1722" spans="2:11">
      <c r="B1722" s="313" t="str">
        <f>报表附注!E1978</f>
        <v>    1、项目1</v>
      </c>
      <c r="C1722" s="325"/>
      <c r="D1722" s="1" t="b">
        <f t="shared" si="154"/>
        <v>0</v>
      </c>
      <c r="E1722" s="315"/>
      <c r="H1722" s="1" t="b">
        <f t="shared" si="151"/>
        <v>0</v>
      </c>
      <c r="I1722" s="1" t="s">
        <v>3098</v>
      </c>
      <c r="K1722" s="1" t="b">
        <v>0</v>
      </c>
    </row>
    <row r="1723" spans="2:11">
      <c r="B1723" s="313" t="str">
        <f>报表附注!E1979</f>
        <v>    2、项目2</v>
      </c>
      <c r="C1723" s="325"/>
      <c r="D1723" s="1" t="b">
        <f t="shared" si="154"/>
        <v>0</v>
      </c>
      <c r="E1723" s="315"/>
      <c r="H1723" s="1" t="b">
        <f t="shared" si="151"/>
        <v>0</v>
      </c>
      <c r="I1723" s="1" t="s">
        <v>3099</v>
      </c>
      <c r="K1723" s="1" t="b">
        <v>0</v>
      </c>
    </row>
    <row r="1724" spans="1:11">
      <c r="A1724" s="1" t="s">
        <v>1206</v>
      </c>
      <c r="B1724" s="324" t="str">
        <f>报表附注!E1980</f>
        <v>合  计</v>
      </c>
      <c r="C1724" s="325">
        <f>C1698+C1711+C1717+C1721</f>
        <v>0</v>
      </c>
      <c r="D1724" s="1" t="b">
        <f t="shared" si="153"/>
        <v>1</v>
      </c>
      <c r="E1724" s="373">
        <f>C1724-J1682</f>
        <v>0</v>
      </c>
      <c r="H1724" s="1" t="b">
        <f t="shared" si="151"/>
        <v>0</v>
      </c>
      <c r="I1724" s="1" t="s">
        <v>3100</v>
      </c>
      <c r="K1724" s="1" t="b">
        <v>0</v>
      </c>
    </row>
    <row r="1725" spans="1:11">
      <c r="A1725" s="1" t="s">
        <v>315</v>
      </c>
      <c r="B1725" s="335" t="s">
        <v>315</v>
      </c>
      <c r="D1725" s="1" t="b">
        <f t="shared" si="153"/>
        <v>1</v>
      </c>
      <c r="E1725" s="311"/>
      <c r="H1725" s="1" t="b">
        <f t="shared" si="151"/>
        <v>0</v>
      </c>
      <c r="I1725" s="1" t="s">
        <v>3101</v>
      </c>
      <c r="K1725" s="1" t="b">
        <v>0</v>
      </c>
    </row>
    <row r="1726" spans="1:11">
      <c r="A1726" s="1" t="s">
        <v>1052</v>
      </c>
      <c r="B1726" s="374" t="str">
        <f>报表附注!E1954</f>
        <v>一、短期薪酬</v>
      </c>
      <c r="C1726" s="322">
        <f>C1727+C1728+C1729+C1733+C1734+C1735+C1736+C1737</f>
        <v>0</v>
      </c>
      <c r="D1726" s="1" t="b">
        <f t="shared" si="153"/>
        <v>0</v>
      </c>
      <c r="E1726" s="375">
        <f>C1642+C1670-C1698-C1726</f>
        <v>0</v>
      </c>
      <c r="H1726" s="1" t="b">
        <f t="shared" si="151"/>
        <v>0</v>
      </c>
      <c r="I1726" s="1" t="s">
        <v>3102</v>
      </c>
      <c r="K1726" s="1" t="b">
        <v>0</v>
      </c>
    </row>
    <row r="1727" spans="1:11">
      <c r="A1727" s="1" t="s">
        <v>1054</v>
      </c>
      <c r="B1727" s="374" t="str">
        <f>报表附注!E1955</f>
        <v>    1、工资、奖金、津贴和补贴</v>
      </c>
      <c r="C1727" s="322">
        <f>J1684</f>
        <v>0</v>
      </c>
      <c r="D1727" s="1" t="b">
        <f t="shared" si="153"/>
        <v>0</v>
      </c>
      <c r="E1727" s="375">
        <f t="shared" ref="E1727:E1752" si="155">C1643+C1671-C1699-C1727</f>
        <v>0</v>
      </c>
      <c r="H1727" s="1" t="b">
        <f t="shared" si="151"/>
        <v>0</v>
      </c>
      <c r="I1727" s="1" t="s">
        <v>3103</v>
      </c>
      <c r="K1727" s="1" t="b">
        <v>0</v>
      </c>
    </row>
    <row r="1728" spans="1:11">
      <c r="A1728" s="1" t="s">
        <v>1056</v>
      </c>
      <c r="B1728" s="374" t="str">
        <f>报表附注!E1956</f>
        <v>    2、职工福利费</v>
      </c>
      <c r="C1728" s="322">
        <f>J1685</f>
        <v>0</v>
      </c>
      <c r="D1728" s="1" t="b">
        <f t="shared" si="153"/>
        <v>0</v>
      </c>
      <c r="E1728" s="375">
        <f t="shared" si="155"/>
        <v>0</v>
      </c>
      <c r="H1728" s="1" t="b">
        <f t="shared" si="151"/>
        <v>0</v>
      </c>
      <c r="I1728" s="1" t="s">
        <v>1580</v>
      </c>
      <c r="K1728" s="1" t="b">
        <v>1</v>
      </c>
    </row>
    <row r="1729" spans="1:11">
      <c r="A1729" s="1" t="s">
        <v>1770</v>
      </c>
      <c r="B1729" s="374" t="str">
        <f>报表附注!E1957</f>
        <v>    3、社会保险费</v>
      </c>
      <c r="C1729" s="322">
        <f>SUM(C1730:C1732)</f>
        <v>0</v>
      </c>
      <c r="D1729" s="1" t="b">
        <f t="shared" si="153"/>
        <v>0</v>
      </c>
      <c r="E1729" s="375">
        <f t="shared" si="155"/>
        <v>0</v>
      </c>
      <c r="H1729" s="1" t="b">
        <f t="shared" si="151"/>
        <v>0</v>
      </c>
      <c r="I1729" s="1" t="s">
        <v>1808</v>
      </c>
      <c r="K1729" s="1" t="b">
        <v>1</v>
      </c>
    </row>
    <row r="1730" spans="1:11">
      <c r="A1730" s="1" t="s">
        <v>1771</v>
      </c>
      <c r="B1730" s="374" t="str">
        <f>报表附注!E1958</f>
        <v>     （1）医疗保险费</v>
      </c>
      <c r="C1730" s="322">
        <f>J1687</f>
        <v>0</v>
      </c>
      <c r="D1730" s="1" t="b">
        <f t="shared" si="153"/>
        <v>0</v>
      </c>
      <c r="E1730" s="375">
        <f t="shared" si="155"/>
        <v>0</v>
      </c>
      <c r="H1730" s="1" t="b">
        <f t="shared" si="151"/>
        <v>0</v>
      </c>
      <c r="I1730" s="1" t="s">
        <v>3080</v>
      </c>
      <c r="K1730" s="1" t="b">
        <v>0</v>
      </c>
    </row>
    <row r="1731" spans="1:11">
      <c r="A1731" s="1" t="s">
        <v>1772</v>
      </c>
      <c r="B1731" s="374" t="str">
        <f>报表附注!E1959</f>
        <v>     （2）工伤保险费</v>
      </c>
      <c r="C1731" s="322">
        <f>J1691</f>
        <v>0</v>
      </c>
      <c r="D1731" s="1" t="b">
        <f t="shared" si="153"/>
        <v>0</v>
      </c>
      <c r="E1731" s="375">
        <f t="shared" si="155"/>
        <v>0</v>
      </c>
      <c r="H1731" s="1" t="b">
        <f t="shared" si="151"/>
        <v>0</v>
      </c>
      <c r="I1731" s="1" t="s">
        <v>3081</v>
      </c>
      <c r="K1731" s="1" t="b">
        <v>0</v>
      </c>
    </row>
    <row r="1732" spans="1:11">
      <c r="A1732" s="1" t="s">
        <v>1773</v>
      </c>
      <c r="B1732" s="374" t="str">
        <f>报表附注!E1960</f>
        <v>     （3）生育保险费</v>
      </c>
      <c r="C1732" s="322">
        <f>J1692</f>
        <v>0</v>
      </c>
      <c r="D1732" s="1" t="b">
        <f t="shared" si="153"/>
        <v>0</v>
      </c>
      <c r="E1732" s="375">
        <f t="shared" si="155"/>
        <v>0</v>
      </c>
      <c r="H1732" s="1" t="b">
        <f t="shared" ref="H1732:H1795" si="156">I1732=B1732</f>
        <v>0</v>
      </c>
      <c r="I1732" s="1" t="s">
        <v>3082</v>
      </c>
      <c r="K1732" s="1" t="b">
        <v>0</v>
      </c>
    </row>
    <row r="1733" spans="1:11">
      <c r="A1733" s="1" t="s">
        <v>1774</v>
      </c>
      <c r="B1733" s="374" t="str">
        <f>报表附注!E1961</f>
        <v>    4、住房公积金</v>
      </c>
      <c r="C1733" s="322">
        <f>J1693</f>
        <v>0</v>
      </c>
      <c r="D1733" s="1" t="b">
        <f t="shared" si="153"/>
        <v>0</v>
      </c>
      <c r="E1733" s="375">
        <f t="shared" si="155"/>
        <v>0</v>
      </c>
      <c r="H1733" s="1" t="b">
        <f t="shared" si="156"/>
        <v>0</v>
      </c>
      <c r="I1733" s="1" t="s">
        <v>3083</v>
      </c>
      <c r="K1733" s="1" t="b">
        <v>0</v>
      </c>
    </row>
    <row r="1734" spans="1:11">
      <c r="A1734" s="1" t="s">
        <v>1775</v>
      </c>
      <c r="B1734" s="374" t="str">
        <f>报表附注!E1962</f>
        <v>    5、工会经费和职工教育经费</v>
      </c>
      <c r="C1734" s="322">
        <f>J1694+J1695</f>
        <v>0</v>
      </c>
      <c r="D1734" s="1" t="b">
        <f t="shared" si="153"/>
        <v>0</v>
      </c>
      <c r="E1734" s="375">
        <f t="shared" si="155"/>
        <v>0</v>
      </c>
      <c r="H1734" s="1" t="b">
        <f t="shared" si="156"/>
        <v>0</v>
      </c>
      <c r="I1734" s="1" t="s">
        <v>3084</v>
      </c>
      <c r="K1734" s="1" t="b">
        <v>0</v>
      </c>
    </row>
    <row r="1735" spans="1:11">
      <c r="A1735" s="1" t="s">
        <v>1070</v>
      </c>
      <c r="B1735" s="374" t="str">
        <f>报表附注!E1963</f>
        <v>    6、短期带薪缺勤</v>
      </c>
      <c r="C1735" s="322"/>
      <c r="D1735" s="1" t="b">
        <f t="shared" si="153"/>
        <v>0</v>
      </c>
      <c r="E1735" s="375">
        <f t="shared" si="155"/>
        <v>0</v>
      </c>
      <c r="H1735" s="1" t="b">
        <f t="shared" si="156"/>
        <v>0</v>
      </c>
      <c r="I1735" s="1" t="s">
        <v>3085</v>
      </c>
      <c r="K1735" s="1" t="b">
        <v>0</v>
      </c>
    </row>
    <row r="1736" spans="1:11">
      <c r="A1736" s="1" t="s">
        <v>1776</v>
      </c>
      <c r="B1736" s="374" t="str">
        <f>报表附注!E1964</f>
        <v>    7、短期利润分享计划</v>
      </c>
      <c r="C1736" s="322"/>
      <c r="D1736" s="1" t="b">
        <f t="shared" si="153"/>
        <v>0</v>
      </c>
      <c r="E1736" s="375">
        <f t="shared" si="155"/>
        <v>0</v>
      </c>
      <c r="H1736" s="1" t="b">
        <f t="shared" si="156"/>
        <v>0</v>
      </c>
      <c r="I1736" s="1" t="s">
        <v>3086</v>
      </c>
      <c r="K1736" s="1" t="b">
        <v>0</v>
      </c>
    </row>
    <row r="1737" spans="1:11">
      <c r="A1737" s="1" t="s">
        <v>1777</v>
      </c>
      <c r="B1737" s="374" t="str">
        <f>报表附注!E1965</f>
        <v>    8、其他短期薪酬</v>
      </c>
      <c r="C1737" s="322"/>
      <c r="D1737" s="1" t="b">
        <f t="shared" si="153"/>
        <v>0</v>
      </c>
      <c r="E1737" s="375">
        <f t="shared" si="155"/>
        <v>0</v>
      </c>
      <c r="H1737" s="1" t="b">
        <f t="shared" si="156"/>
        <v>0</v>
      </c>
      <c r="I1737" s="1" t="s">
        <v>3087</v>
      </c>
      <c r="K1737" s="1" t="b">
        <v>0</v>
      </c>
    </row>
    <row r="1738" spans="1:11">
      <c r="A1738" s="1" t="s">
        <v>1778</v>
      </c>
      <c r="B1738" s="374">
        <f>报表附注!E1966</f>
        <v>0</v>
      </c>
      <c r="C1738" s="322"/>
      <c r="D1738" s="1" t="b">
        <f t="shared" si="153"/>
        <v>0</v>
      </c>
      <c r="E1738" s="375">
        <f t="shared" si="155"/>
        <v>0</v>
      </c>
      <c r="H1738" s="1" t="b">
        <f t="shared" si="156"/>
        <v>0</v>
      </c>
      <c r="I1738" s="1" t="s">
        <v>3088</v>
      </c>
      <c r="K1738" s="1" t="b">
        <v>0</v>
      </c>
    </row>
    <row r="1739" spans="1:11">
      <c r="A1739" s="1" t="s">
        <v>1779</v>
      </c>
      <c r="B1739" s="374" t="str">
        <f>报表附注!E1967</f>
        <v>二、离职后福利-设定提存计划</v>
      </c>
      <c r="C1739" s="322">
        <f>SUM(C1740:C1743)</f>
        <v>0</v>
      </c>
      <c r="D1739" s="1" t="b">
        <f t="shared" si="153"/>
        <v>0</v>
      </c>
      <c r="E1739" s="375">
        <f t="shared" si="155"/>
        <v>0</v>
      </c>
      <c r="H1739" s="1" t="b">
        <f t="shared" si="156"/>
        <v>0</v>
      </c>
      <c r="I1739" s="1" t="s">
        <v>3089</v>
      </c>
      <c r="K1739" s="1" t="b">
        <v>0</v>
      </c>
    </row>
    <row r="1740" spans="1:11">
      <c r="A1740" s="1" t="s">
        <v>1780</v>
      </c>
      <c r="B1740" s="374" t="str">
        <f>报表附注!E1968</f>
        <v>  1、基本养老保险</v>
      </c>
      <c r="C1740" s="322">
        <f>J1688</f>
        <v>0</v>
      </c>
      <c r="D1740" s="1" t="b">
        <f t="shared" si="153"/>
        <v>0</v>
      </c>
      <c r="E1740" s="375">
        <f t="shared" si="155"/>
        <v>0</v>
      </c>
      <c r="H1740" s="1" t="b">
        <f t="shared" si="156"/>
        <v>0</v>
      </c>
      <c r="I1740" s="1" t="s">
        <v>3090</v>
      </c>
      <c r="K1740" s="1" t="b">
        <v>0</v>
      </c>
    </row>
    <row r="1741" spans="1:11">
      <c r="A1741" s="1" t="s">
        <v>1781</v>
      </c>
      <c r="B1741" s="374" t="str">
        <f>报表附注!E1969</f>
        <v>    2、失业保险费</v>
      </c>
      <c r="C1741" s="322">
        <f>J1690</f>
        <v>0</v>
      </c>
      <c r="D1741" s="1" t="b">
        <f t="shared" si="153"/>
        <v>0</v>
      </c>
      <c r="E1741" s="375">
        <f t="shared" si="155"/>
        <v>0</v>
      </c>
      <c r="H1741" s="1" t="b">
        <f t="shared" si="156"/>
        <v>0</v>
      </c>
      <c r="I1741" s="1" t="s">
        <v>3091</v>
      </c>
      <c r="K1741" s="1" t="b">
        <v>0</v>
      </c>
    </row>
    <row r="1742" spans="2:11">
      <c r="B1742" s="374" t="str">
        <f>报表附注!E1970</f>
        <v>    3、企业年金缴费</v>
      </c>
      <c r="C1742" s="322">
        <f>J1689</f>
        <v>0</v>
      </c>
      <c r="D1742" s="1" t="b">
        <f t="shared" ref="D1742:D1751" si="157">EXACT(A1742,B1742)</f>
        <v>0</v>
      </c>
      <c r="E1742" s="375">
        <f t="shared" si="155"/>
        <v>0</v>
      </c>
      <c r="H1742" s="1" t="b">
        <f t="shared" si="156"/>
        <v>0</v>
      </c>
      <c r="I1742" s="1" t="s">
        <v>3092</v>
      </c>
      <c r="K1742" s="1" t="b">
        <v>0</v>
      </c>
    </row>
    <row r="1743" spans="2:11">
      <c r="B1743" s="374" t="str">
        <f>报表附注!E1971</f>
        <v>    4、其他</v>
      </c>
      <c r="C1743" s="322"/>
      <c r="D1743" s="1" t="b">
        <f t="shared" si="157"/>
        <v>0</v>
      </c>
      <c r="E1743" s="375">
        <f t="shared" si="155"/>
        <v>0</v>
      </c>
      <c r="H1743" s="1" t="b">
        <f t="shared" si="156"/>
        <v>0</v>
      </c>
      <c r="I1743" s="1" t="s">
        <v>3093</v>
      </c>
      <c r="K1743" s="1" t="b">
        <v>0</v>
      </c>
    </row>
    <row r="1744" spans="2:11">
      <c r="B1744" s="374">
        <f>报表附注!E1972</f>
        <v>0</v>
      </c>
      <c r="C1744" s="322"/>
      <c r="D1744" s="1" t="b">
        <f t="shared" si="157"/>
        <v>0</v>
      </c>
      <c r="E1744" s="375">
        <f t="shared" si="155"/>
        <v>0</v>
      </c>
      <c r="H1744" s="1" t="b">
        <f t="shared" si="156"/>
        <v>0</v>
      </c>
      <c r="I1744" s="1" t="s">
        <v>3094</v>
      </c>
      <c r="K1744" s="1" t="b">
        <v>0</v>
      </c>
    </row>
    <row r="1745" spans="2:11">
      <c r="B1745" s="374" t="str">
        <f>报表附注!E1973</f>
        <v>三、辞退福利</v>
      </c>
      <c r="C1745" s="322">
        <f>SUM(C1746:C1747)</f>
        <v>0</v>
      </c>
      <c r="D1745" s="1" t="b">
        <f t="shared" si="157"/>
        <v>0</v>
      </c>
      <c r="E1745" s="375">
        <f t="shared" si="155"/>
        <v>0</v>
      </c>
      <c r="H1745" s="1" t="b">
        <f t="shared" si="156"/>
        <v>0</v>
      </c>
      <c r="I1745" s="1" t="s">
        <v>3095</v>
      </c>
      <c r="K1745" s="1" t="b">
        <v>0</v>
      </c>
    </row>
    <row r="1746" spans="2:11">
      <c r="B1746" s="374" t="str">
        <f>报表附注!E1974</f>
        <v>    1、因解除劳动关系给予的补偿</v>
      </c>
      <c r="C1746" s="322">
        <f>J1697</f>
        <v>0</v>
      </c>
      <c r="D1746" s="1" t="b">
        <f t="shared" si="157"/>
        <v>0</v>
      </c>
      <c r="E1746" s="375">
        <f t="shared" si="155"/>
        <v>0</v>
      </c>
      <c r="H1746" s="1" t="b">
        <f t="shared" si="156"/>
        <v>0</v>
      </c>
      <c r="I1746" s="1" t="s">
        <v>3096</v>
      </c>
      <c r="K1746" s="1" t="b">
        <v>0</v>
      </c>
    </row>
    <row r="1747" spans="2:11">
      <c r="B1747" s="374" t="str">
        <f>报表附注!E1975</f>
        <v>    2、其他</v>
      </c>
      <c r="C1747" s="322">
        <f>J1698</f>
        <v>0</v>
      </c>
      <c r="D1747" s="1" t="b">
        <f t="shared" si="157"/>
        <v>0</v>
      </c>
      <c r="E1747" s="375">
        <f t="shared" si="155"/>
        <v>0</v>
      </c>
      <c r="H1747" s="1" t="b">
        <f t="shared" si="156"/>
        <v>0</v>
      </c>
      <c r="I1747" s="1" t="s">
        <v>3097</v>
      </c>
      <c r="K1747" s="1" t="b">
        <v>0</v>
      </c>
    </row>
    <row r="1748" spans="2:11">
      <c r="B1748" s="374">
        <f>报表附注!E1976</f>
        <v>0</v>
      </c>
      <c r="C1748" s="322"/>
      <c r="D1748" s="1" t="b">
        <f t="shared" si="157"/>
        <v>0</v>
      </c>
      <c r="E1748" s="375">
        <f t="shared" si="155"/>
        <v>0</v>
      </c>
      <c r="H1748" s="1" t="b">
        <f t="shared" si="156"/>
        <v>0</v>
      </c>
      <c r="I1748" s="1" t="s">
        <v>3098</v>
      </c>
      <c r="K1748" s="1" t="b">
        <v>0</v>
      </c>
    </row>
    <row r="1749" spans="2:11">
      <c r="B1749" s="374" t="str">
        <f>报表附注!E1977</f>
        <v>四、一年内到期的其他福利</v>
      </c>
      <c r="C1749" s="322">
        <f>SUM(C1750:C1751)</f>
        <v>0</v>
      </c>
      <c r="D1749" s="1" t="b">
        <f t="shared" si="157"/>
        <v>0</v>
      </c>
      <c r="E1749" s="375">
        <f t="shared" si="155"/>
        <v>0</v>
      </c>
      <c r="H1749" s="1" t="b">
        <f t="shared" si="156"/>
        <v>0</v>
      </c>
      <c r="I1749" s="1" t="s">
        <v>3099</v>
      </c>
      <c r="K1749" s="1" t="b">
        <v>0</v>
      </c>
    </row>
    <row r="1750" spans="2:11">
      <c r="B1750" s="374" t="str">
        <f>报表附注!E1978</f>
        <v>    1、项目1</v>
      </c>
      <c r="C1750" s="322"/>
      <c r="D1750" s="1" t="b">
        <f t="shared" si="157"/>
        <v>0</v>
      </c>
      <c r="E1750" s="375">
        <f t="shared" si="155"/>
        <v>0</v>
      </c>
      <c r="H1750" s="1" t="b">
        <f t="shared" si="156"/>
        <v>0</v>
      </c>
      <c r="I1750" s="1" t="s">
        <v>3100</v>
      </c>
      <c r="K1750" s="1" t="b">
        <v>0</v>
      </c>
    </row>
    <row r="1751" spans="2:11">
      <c r="B1751" s="374" t="str">
        <f>报表附注!E1979</f>
        <v>    2、项目2</v>
      </c>
      <c r="C1751" s="322"/>
      <c r="D1751" s="1" t="b">
        <f t="shared" si="157"/>
        <v>0</v>
      </c>
      <c r="E1751" s="375">
        <f t="shared" si="155"/>
        <v>0</v>
      </c>
      <c r="H1751" s="1" t="b">
        <f t="shared" si="156"/>
        <v>0</v>
      </c>
      <c r="I1751" s="1" t="s">
        <v>3101</v>
      </c>
      <c r="K1751" s="1" t="b">
        <v>0</v>
      </c>
    </row>
    <row r="1752" spans="1:11">
      <c r="A1752" s="1" t="s">
        <v>1206</v>
      </c>
      <c r="B1752" s="324" t="str">
        <f>报表附注!E1980</f>
        <v>合  计</v>
      </c>
      <c r="C1752" s="322">
        <f>C1726+C1739+C1745+C1749</f>
        <v>0</v>
      </c>
      <c r="D1752" s="1" t="b">
        <f t="shared" si="153"/>
        <v>1</v>
      </c>
      <c r="E1752" s="375">
        <f t="shared" si="155"/>
        <v>0</v>
      </c>
      <c r="H1752" s="1" t="b">
        <f t="shared" si="156"/>
        <v>0</v>
      </c>
      <c r="I1752" s="1" t="s">
        <v>3102</v>
      </c>
      <c r="K1752" s="1" t="b">
        <v>0</v>
      </c>
    </row>
    <row r="1753" spans="4:11">
      <c r="D1753" s="1" t="b">
        <f t="shared" si="153"/>
        <v>1</v>
      </c>
      <c r="H1753" s="1" t="b">
        <f t="shared" si="156"/>
        <v>0</v>
      </c>
      <c r="I1753" s="1" t="s">
        <v>3103</v>
      </c>
      <c r="K1753" s="1" t="b">
        <v>0</v>
      </c>
    </row>
    <row r="1754" spans="1:11">
      <c r="A1754" s="1" t="s">
        <v>1783</v>
      </c>
      <c r="B1754" s="331" t="s">
        <v>1783</v>
      </c>
      <c r="D1754" s="1" t="b">
        <f t="shared" si="153"/>
        <v>1</v>
      </c>
      <c r="H1754" s="1" t="b">
        <f t="shared" si="156"/>
        <v>0</v>
      </c>
      <c r="I1754" s="1" t="s">
        <v>1580</v>
      </c>
      <c r="K1754" s="1" t="b">
        <v>1</v>
      </c>
    </row>
    <row r="1755" spans="1:11">
      <c r="A1755" s="1" t="s">
        <v>1579</v>
      </c>
      <c r="B1755" s="335" t="s">
        <v>1579</v>
      </c>
      <c r="D1755" s="1" t="b">
        <f t="shared" si="153"/>
        <v>1</v>
      </c>
      <c r="H1755" s="1" t="b">
        <f t="shared" si="156"/>
        <v>0</v>
      </c>
      <c r="I1755" s="1" t="s">
        <v>1809</v>
      </c>
      <c r="K1755" s="1" t="b">
        <v>1</v>
      </c>
    </row>
    <row r="1756" spans="1:11">
      <c r="A1756" s="1" t="s">
        <v>1784</v>
      </c>
      <c r="B1756" s="313" t="str">
        <f>报表附注!E1993</f>
        <v>1、企业所得税</v>
      </c>
      <c r="C1756" s="325">
        <f t="shared" ref="C1756:C1819" si="158">J1704</f>
        <v>0</v>
      </c>
      <c r="D1756" s="1" t="b">
        <f t="shared" si="153"/>
        <v>0</v>
      </c>
      <c r="E1756" s="325">
        <f>C1834</f>
        <v>0</v>
      </c>
      <c r="H1756" s="1" t="b">
        <f t="shared" si="156"/>
        <v>1</v>
      </c>
      <c r="I1756" s="1" t="s">
        <v>3080</v>
      </c>
      <c r="K1756" s="1" t="b">
        <v>0</v>
      </c>
    </row>
    <row r="1757" spans="1:11">
      <c r="A1757" s="1" t="s">
        <v>1785</v>
      </c>
      <c r="B1757" s="313" t="str">
        <f>报表附注!E1994</f>
        <v>2、增值税</v>
      </c>
      <c r="C1757" s="325">
        <f t="shared" si="158"/>
        <v>0</v>
      </c>
      <c r="D1757" s="1" t="b">
        <f t="shared" si="153"/>
        <v>0</v>
      </c>
      <c r="E1757" s="325">
        <f t="shared" ref="E1757:E1780" si="159">C1835</f>
        <v>0</v>
      </c>
      <c r="H1757" s="1" t="b">
        <f t="shared" si="156"/>
        <v>1</v>
      </c>
      <c r="I1757" s="1" t="s">
        <v>3081</v>
      </c>
      <c r="K1757" s="1" t="b">
        <v>0</v>
      </c>
    </row>
    <row r="1758" spans="1:11">
      <c r="A1758" s="1" t="s">
        <v>1786</v>
      </c>
      <c r="B1758" s="313" t="str">
        <f>报表附注!E1995</f>
        <v>3、营业税</v>
      </c>
      <c r="C1758" s="325">
        <f t="shared" si="158"/>
        <v>0</v>
      </c>
      <c r="D1758" s="1" t="b">
        <f t="shared" si="153"/>
        <v>0</v>
      </c>
      <c r="E1758" s="325">
        <f t="shared" si="159"/>
        <v>0</v>
      </c>
      <c r="H1758" s="1" t="b">
        <f t="shared" si="156"/>
        <v>1</v>
      </c>
      <c r="I1758" s="1" t="s">
        <v>3082</v>
      </c>
      <c r="K1758" s="1" t="b">
        <v>0</v>
      </c>
    </row>
    <row r="1759" spans="1:11">
      <c r="A1759" s="1" t="s">
        <v>1787</v>
      </c>
      <c r="B1759" s="313" t="str">
        <f>报表附注!E1996</f>
        <v>4、消费税</v>
      </c>
      <c r="C1759" s="325">
        <f t="shared" si="158"/>
        <v>0</v>
      </c>
      <c r="D1759" s="1" t="b">
        <f t="shared" si="153"/>
        <v>0</v>
      </c>
      <c r="E1759" s="325">
        <f t="shared" si="159"/>
        <v>0</v>
      </c>
      <c r="H1759" s="1" t="b">
        <f t="shared" si="156"/>
        <v>1</v>
      </c>
      <c r="I1759" s="1" t="s">
        <v>3083</v>
      </c>
      <c r="K1759" s="1" t="b">
        <v>0</v>
      </c>
    </row>
    <row r="1760" spans="1:11">
      <c r="A1760" s="1" t="s">
        <v>1788</v>
      </c>
      <c r="B1760" s="313" t="str">
        <f>报表附注!E1997</f>
        <v>5、资源税</v>
      </c>
      <c r="C1760" s="325">
        <f t="shared" si="158"/>
        <v>0</v>
      </c>
      <c r="D1760" s="1" t="b">
        <f t="shared" si="153"/>
        <v>0</v>
      </c>
      <c r="E1760" s="325">
        <f t="shared" si="159"/>
        <v>0</v>
      </c>
      <c r="H1760" s="1" t="b">
        <f t="shared" si="156"/>
        <v>1</v>
      </c>
      <c r="I1760" s="1" t="s">
        <v>3084</v>
      </c>
      <c r="K1760" s="1" t="b">
        <v>0</v>
      </c>
    </row>
    <row r="1761" spans="1:11">
      <c r="A1761" s="1" t="s">
        <v>1789</v>
      </c>
      <c r="B1761" s="313" t="str">
        <f>报表附注!E1998</f>
        <v>6、土地增值税</v>
      </c>
      <c r="C1761" s="325">
        <f t="shared" si="158"/>
        <v>0</v>
      </c>
      <c r="D1761" s="1" t="b">
        <f t="shared" si="153"/>
        <v>0</v>
      </c>
      <c r="E1761" s="325">
        <f t="shared" si="159"/>
        <v>0</v>
      </c>
      <c r="H1761" s="1" t="b">
        <f t="shared" si="156"/>
        <v>1</v>
      </c>
      <c r="I1761" s="1" t="s">
        <v>3085</v>
      </c>
      <c r="K1761" s="1" t="b">
        <v>0</v>
      </c>
    </row>
    <row r="1762" spans="1:11">
      <c r="A1762" s="1" t="s">
        <v>1790</v>
      </c>
      <c r="B1762" s="313" t="str">
        <f>报表附注!E1999</f>
        <v>7、土地使用税</v>
      </c>
      <c r="C1762" s="325">
        <f t="shared" si="158"/>
        <v>0</v>
      </c>
      <c r="D1762" s="1" t="b">
        <f t="shared" si="153"/>
        <v>0</v>
      </c>
      <c r="E1762" s="325">
        <f t="shared" si="159"/>
        <v>0</v>
      </c>
      <c r="H1762" s="1" t="b">
        <f t="shared" si="156"/>
        <v>1</v>
      </c>
      <c r="I1762" s="1" t="s">
        <v>3086</v>
      </c>
      <c r="K1762" s="1" t="b">
        <v>0</v>
      </c>
    </row>
    <row r="1763" spans="1:11">
      <c r="A1763" s="1" t="s">
        <v>1791</v>
      </c>
      <c r="B1763" s="313" t="str">
        <f>报表附注!E2000</f>
        <v>8、房产税</v>
      </c>
      <c r="C1763" s="325">
        <f t="shared" si="158"/>
        <v>0</v>
      </c>
      <c r="D1763" s="1" t="b">
        <f t="shared" si="153"/>
        <v>0</v>
      </c>
      <c r="E1763" s="325">
        <f t="shared" si="159"/>
        <v>0</v>
      </c>
      <c r="H1763" s="1" t="b">
        <f t="shared" si="156"/>
        <v>1</v>
      </c>
      <c r="I1763" s="1" t="s">
        <v>3087</v>
      </c>
      <c r="K1763" s="1" t="b">
        <v>0</v>
      </c>
    </row>
    <row r="1764" spans="1:11">
      <c r="A1764" s="1" t="s">
        <v>1792</v>
      </c>
      <c r="B1764" s="313" t="str">
        <f>报表附注!E2001</f>
        <v>9、车船使用税</v>
      </c>
      <c r="C1764" s="325">
        <f t="shared" si="158"/>
        <v>0</v>
      </c>
      <c r="D1764" s="1" t="b">
        <f t="shared" si="153"/>
        <v>0</v>
      </c>
      <c r="E1764" s="325">
        <f t="shared" si="159"/>
        <v>0</v>
      </c>
      <c r="H1764" s="1" t="b">
        <f t="shared" si="156"/>
        <v>1</v>
      </c>
      <c r="I1764" s="1" t="s">
        <v>3088</v>
      </c>
      <c r="K1764" s="1" t="b">
        <v>0</v>
      </c>
    </row>
    <row r="1765" spans="1:11">
      <c r="A1765" s="1" t="s">
        <v>1793</v>
      </c>
      <c r="B1765" s="313" t="str">
        <f>报表附注!E2002</f>
        <v>10、城市维护建设税</v>
      </c>
      <c r="C1765" s="325">
        <f t="shared" si="158"/>
        <v>0</v>
      </c>
      <c r="D1765" s="1" t="b">
        <f t="shared" si="153"/>
        <v>0</v>
      </c>
      <c r="E1765" s="325">
        <f t="shared" si="159"/>
        <v>0</v>
      </c>
      <c r="H1765" s="1" t="b">
        <f t="shared" si="156"/>
        <v>1</v>
      </c>
      <c r="I1765" s="1" t="s">
        <v>3089</v>
      </c>
      <c r="K1765" s="1" t="b">
        <v>0</v>
      </c>
    </row>
    <row r="1766" spans="1:11">
      <c r="A1766" s="1" t="s">
        <v>1794</v>
      </c>
      <c r="B1766" s="313" t="str">
        <f>报表附注!E2003</f>
        <v>11、教育附加（含地方）</v>
      </c>
      <c r="C1766" s="325">
        <f t="shared" si="158"/>
        <v>0</v>
      </c>
      <c r="D1766" s="1" t="b">
        <f t="shared" si="153"/>
        <v>0</v>
      </c>
      <c r="E1766" s="325">
        <f t="shared" si="159"/>
        <v>0</v>
      </c>
      <c r="H1766" s="1" t="b">
        <f t="shared" si="156"/>
        <v>1</v>
      </c>
      <c r="I1766" s="1" t="s">
        <v>3090</v>
      </c>
      <c r="K1766" s="1" t="b">
        <v>0</v>
      </c>
    </row>
    <row r="1767" spans="1:11">
      <c r="A1767" s="1" t="s">
        <v>1795</v>
      </c>
      <c r="B1767" s="313" t="str">
        <f>报表附注!E2004</f>
        <v>12、矿产资源补偿费</v>
      </c>
      <c r="C1767" s="325">
        <f t="shared" si="158"/>
        <v>0</v>
      </c>
      <c r="D1767" s="1" t="b">
        <f t="shared" si="153"/>
        <v>0</v>
      </c>
      <c r="E1767" s="325">
        <f t="shared" si="159"/>
        <v>0</v>
      </c>
      <c r="H1767" s="1" t="b">
        <f t="shared" si="156"/>
        <v>1</v>
      </c>
      <c r="I1767" s="1" t="s">
        <v>3091</v>
      </c>
      <c r="K1767" s="1" t="b">
        <v>0</v>
      </c>
    </row>
    <row r="1768" spans="1:11">
      <c r="A1768" s="1" t="s">
        <v>1796</v>
      </c>
      <c r="B1768" s="313" t="str">
        <f>报表附注!E2005</f>
        <v>13、代扣代缴个人所得税</v>
      </c>
      <c r="C1768" s="325">
        <f t="shared" si="158"/>
        <v>0</v>
      </c>
      <c r="D1768" s="1" t="b">
        <f t="shared" si="153"/>
        <v>0</v>
      </c>
      <c r="E1768" s="325">
        <f t="shared" si="159"/>
        <v>0</v>
      </c>
      <c r="H1768" s="1" t="b">
        <f t="shared" si="156"/>
        <v>1</v>
      </c>
      <c r="I1768" s="1" t="s">
        <v>3092</v>
      </c>
      <c r="K1768" s="1" t="b">
        <v>0</v>
      </c>
    </row>
    <row r="1769" spans="1:11">
      <c r="A1769" s="1" t="s">
        <v>1797</v>
      </c>
      <c r="B1769" s="313" t="str">
        <f>报表附注!E2006</f>
        <v>14、印花税</v>
      </c>
      <c r="C1769" s="325">
        <f t="shared" si="158"/>
        <v>0</v>
      </c>
      <c r="D1769" s="1" t="b">
        <f t="shared" si="153"/>
        <v>0</v>
      </c>
      <c r="E1769" s="325">
        <f t="shared" si="159"/>
        <v>0</v>
      </c>
      <c r="H1769" s="1" t="b">
        <f t="shared" si="156"/>
        <v>1</v>
      </c>
      <c r="I1769" s="1" t="s">
        <v>3093</v>
      </c>
      <c r="K1769" s="1" t="b">
        <v>0</v>
      </c>
    </row>
    <row r="1770" spans="1:11">
      <c r="A1770" s="1" t="s">
        <v>1798</v>
      </c>
      <c r="B1770" s="313" t="str">
        <f>报表附注!E2007</f>
        <v>15、防洪保安费（堤围费）</v>
      </c>
      <c r="C1770" s="325">
        <f t="shared" si="158"/>
        <v>0</v>
      </c>
      <c r="D1770" s="1" t="b">
        <f t="shared" si="153"/>
        <v>0</v>
      </c>
      <c r="E1770" s="325">
        <f t="shared" si="159"/>
        <v>0</v>
      </c>
      <c r="H1770" s="1" t="b">
        <f t="shared" si="156"/>
        <v>1</v>
      </c>
      <c r="I1770" s="1" t="s">
        <v>3094</v>
      </c>
      <c r="K1770" s="1" t="b">
        <v>0</v>
      </c>
    </row>
    <row r="1771" spans="1:11">
      <c r="A1771" s="1" t="s">
        <v>1799</v>
      </c>
      <c r="B1771" s="313" t="str">
        <f>报表附注!E2008</f>
        <v>16、电力监管费</v>
      </c>
      <c r="C1771" s="325">
        <f t="shared" si="158"/>
        <v>0</v>
      </c>
      <c r="D1771" s="1" t="b">
        <f t="shared" si="153"/>
        <v>0</v>
      </c>
      <c r="E1771" s="325">
        <f t="shared" si="159"/>
        <v>0</v>
      </c>
      <c r="H1771" s="1" t="b">
        <f t="shared" si="156"/>
        <v>1</v>
      </c>
      <c r="I1771" s="1" t="s">
        <v>3095</v>
      </c>
      <c r="K1771" s="1" t="b">
        <v>0</v>
      </c>
    </row>
    <row r="1772" spans="1:11">
      <c r="A1772" s="1" t="s">
        <v>1800</v>
      </c>
      <c r="B1772" s="313" t="str">
        <f>报表附注!E2009</f>
        <v>17、水资源费</v>
      </c>
      <c r="C1772" s="325">
        <f t="shared" si="158"/>
        <v>0</v>
      </c>
      <c r="D1772" s="1" t="b">
        <f t="shared" si="153"/>
        <v>0</v>
      </c>
      <c r="E1772" s="325">
        <f t="shared" si="159"/>
        <v>0</v>
      </c>
      <c r="H1772" s="1" t="b">
        <f t="shared" si="156"/>
        <v>1</v>
      </c>
      <c r="I1772" s="1" t="s">
        <v>3096</v>
      </c>
      <c r="K1772" s="1" t="b">
        <v>0</v>
      </c>
    </row>
    <row r="1773" spans="1:11">
      <c r="A1773" s="1" t="s">
        <v>1801</v>
      </c>
      <c r="B1773" s="313" t="str">
        <f>报表附注!E2010</f>
        <v>18、库区维护费</v>
      </c>
      <c r="C1773" s="325">
        <f t="shared" si="158"/>
        <v>0</v>
      </c>
      <c r="D1773" s="1" t="b">
        <f t="shared" si="153"/>
        <v>0</v>
      </c>
      <c r="E1773" s="325">
        <f t="shared" si="159"/>
        <v>0</v>
      </c>
      <c r="H1773" s="1" t="b">
        <f t="shared" si="156"/>
        <v>1</v>
      </c>
      <c r="I1773" s="1" t="s">
        <v>3097</v>
      </c>
      <c r="K1773" s="1" t="b">
        <v>0</v>
      </c>
    </row>
    <row r="1774" spans="1:11">
      <c r="A1774" s="1" t="s">
        <v>1802</v>
      </c>
      <c r="B1774" s="313" t="str">
        <f>报表附注!E2011</f>
        <v>19、代扣代缴企业所得税</v>
      </c>
      <c r="C1774" s="325">
        <f t="shared" si="158"/>
        <v>0</v>
      </c>
      <c r="D1774" s="1" t="b">
        <f t="shared" si="153"/>
        <v>0</v>
      </c>
      <c r="E1774" s="325">
        <f t="shared" si="159"/>
        <v>0</v>
      </c>
      <c r="H1774" s="1" t="b">
        <f t="shared" si="156"/>
        <v>1</v>
      </c>
      <c r="I1774" s="1" t="s">
        <v>3098</v>
      </c>
      <c r="K1774" s="1" t="b">
        <v>0</v>
      </c>
    </row>
    <row r="1775" spans="1:11">
      <c r="A1775" s="1" t="s">
        <v>1803</v>
      </c>
      <c r="B1775" s="313" t="str">
        <f>报表附注!E2012</f>
        <v>20、其他1-地方水利建设基金</v>
      </c>
      <c r="C1775" s="325">
        <f t="shared" si="158"/>
        <v>0</v>
      </c>
      <c r="D1775" s="1" t="b">
        <f t="shared" si="153"/>
        <v>0</v>
      </c>
      <c r="E1775" s="325">
        <f t="shared" si="159"/>
        <v>0</v>
      </c>
      <c r="H1775" s="1" t="b">
        <f t="shared" si="156"/>
        <v>1</v>
      </c>
      <c r="I1775" s="1" t="s">
        <v>3099</v>
      </c>
      <c r="K1775" s="1" t="b">
        <v>0</v>
      </c>
    </row>
    <row r="1776" spans="1:11">
      <c r="A1776" s="1" t="s">
        <v>1804</v>
      </c>
      <c r="B1776" s="313" t="str">
        <f>报表附注!E2013</f>
        <v>21、其他2-价格调节基金</v>
      </c>
      <c r="C1776" s="325">
        <f t="shared" si="158"/>
        <v>0</v>
      </c>
      <c r="D1776" s="1" t="b">
        <f t="shared" si="153"/>
        <v>0</v>
      </c>
      <c r="E1776" s="325">
        <f t="shared" si="159"/>
        <v>0</v>
      </c>
      <c r="H1776" s="1" t="b">
        <f t="shared" si="156"/>
        <v>1</v>
      </c>
      <c r="I1776" s="1" t="s">
        <v>3100</v>
      </c>
      <c r="K1776" s="1" t="b">
        <v>0</v>
      </c>
    </row>
    <row r="1777" spans="1:11">
      <c r="A1777" s="1" t="s">
        <v>1805</v>
      </c>
      <c r="B1777" s="313" t="str">
        <f>报表附注!E2014</f>
        <v>22、其他3-排污费</v>
      </c>
      <c r="C1777" s="325">
        <f t="shared" si="158"/>
        <v>0</v>
      </c>
      <c r="D1777" s="1" t="b">
        <f t="shared" si="153"/>
        <v>0</v>
      </c>
      <c r="E1777" s="325">
        <f t="shared" si="159"/>
        <v>0</v>
      </c>
      <c r="H1777" s="1" t="b">
        <f t="shared" si="156"/>
        <v>1</v>
      </c>
      <c r="I1777" s="1" t="s">
        <v>3101</v>
      </c>
      <c r="K1777" s="1" t="b">
        <v>0</v>
      </c>
    </row>
    <row r="1778" spans="1:11">
      <c r="A1778" s="1" t="s">
        <v>1806</v>
      </c>
      <c r="B1778" s="313" t="str">
        <f>报表附注!E2015</f>
        <v>23、其他4-</v>
      </c>
      <c r="C1778" s="325">
        <f t="shared" si="158"/>
        <v>0</v>
      </c>
      <c r="D1778" s="1" t="b">
        <f t="shared" si="153"/>
        <v>0</v>
      </c>
      <c r="E1778" s="325">
        <f t="shared" si="159"/>
        <v>0</v>
      </c>
      <c r="H1778" s="1" t="b">
        <f t="shared" si="156"/>
        <v>1</v>
      </c>
      <c r="I1778" s="1" t="s">
        <v>3102</v>
      </c>
      <c r="K1778" s="1" t="b">
        <v>0</v>
      </c>
    </row>
    <row r="1779" spans="1:11">
      <c r="A1779" s="1" t="s">
        <v>1807</v>
      </c>
      <c r="B1779" s="313" t="str">
        <f>报表附注!E2016</f>
        <v>24、其他5-</v>
      </c>
      <c r="C1779" s="325">
        <f t="shared" si="158"/>
        <v>0</v>
      </c>
      <c r="D1779" s="1" t="b">
        <f t="shared" si="153"/>
        <v>0</v>
      </c>
      <c r="E1779" s="325">
        <f t="shared" si="159"/>
        <v>0</v>
      </c>
      <c r="H1779" s="1" t="b">
        <f t="shared" si="156"/>
        <v>1</v>
      </c>
      <c r="I1779" s="1" t="s">
        <v>3103</v>
      </c>
      <c r="K1779" s="1" t="b">
        <v>0</v>
      </c>
    </row>
    <row r="1780" spans="1:11">
      <c r="A1780" s="1" t="s">
        <v>1580</v>
      </c>
      <c r="B1780" s="324" t="str">
        <f>报表附注!E2017</f>
        <v>合计</v>
      </c>
      <c r="C1780" s="325">
        <f t="shared" si="158"/>
        <v>0</v>
      </c>
      <c r="D1780" s="1" t="b">
        <f t="shared" si="153"/>
        <v>1</v>
      </c>
      <c r="E1780" s="325">
        <f t="shared" si="159"/>
        <v>0</v>
      </c>
      <c r="H1780" s="1" t="b">
        <f t="shared" si="156"/>
        <v>1</v>
      </c>
      <c r="I1780" s="1" t="s">
        <v>1580</v>
      </c>
      <c r="K1780" s="1" t="b">
        <v>1</v>
      </c>
    </row>
    <row r="1781" spans="1:11">
      <c r="A1781" s="1" t="s">
        <v>1808</v>
      </c>
      <c r="B1781" s="335" t="s">
        <v>1808</v>
      </c>
      <c r="D1781" s="1" t="b">
        <f t="shared" si="153"/>
        <v>1</v>
      </c>
      <c r="H1781" s="1" t="b">
        <f t="shared" si="156"/>
        <v>0</v>
      </c>
      <c r="I1781" s="1" t="s">
        <v>315</v>
      </c>
      <c r="K1781" s="1" t="b">
        <v>1</v>
      </c>
    </row>
    <row r="1782" spans="1:11">
      <c r="A1782" s="1" t="s">
        <v>1784</v>
      </c>
      <c r="B1782" s="313" t="str">
        <f>报表附注!E1993</f>
        <v>1、企业所得税</v>
      </c>
      <c r="C1782" s="325">
        <f t="shared" si="158"/>
        <v>0</v>
      </c>
      <c r="D1782" s="1" t="b">
        <f t="shared" si="153"/>
        <v>0</v>
      </c>
      <c r="E1782" s="315"/>
      <c r="H1782" s="1" t="b">
        <f t="shared" si="156"/>
        <v>1</v>
      </c>
      <c r="I1782" s="1" t="s">
        <v>3080</v>
      </c>
      <c r="K1782" s="1" t="b">
        <v>0</v>
      </c>
    </row>
    <row r="1783" spans="1:11">
      <c r="A1783" s="1" t="s">
        <v>1785</v>
      </c>
      <c r="B1783" s="313" t="str">
        <f>报表附注!E1994</f>
        <v>2、增值税</v>
      </c>
      <c r="C1783" s="325">
        <f t="shared" si="158"/>
        <v>0</v>
      </c>
      <c r="D1783" s="1" t="b">
        <f t="shared" si="153"/>
        <v>0</v>
      </c>
      <c r="E1783" s="315"/>
      <c r="H1783" s="1" t="b">
        <f t="shared" si="156"/>
        <v>1</v>
      </c>
      <c r="I1783" s="1" t="s">
        <v>3081</v>
      </c>
      <c r="K1783" s="1" t="b">
        <v>0</v>
      </c>
    </row>
    <row r="1784" spans="1:11">
      <c r="A1784" s="1" t="s">
        <v>1786</v>
      </c>
      <c r="B1784" s="313" t="str">
        <f>报表附注!E1995</f>
        <v>3、营业税</v>
      </c>
      <c r="C1784" s="325">
        <f t="shared" si="158"/>
        <v>0</v>
      </c>
      <c r="D1784" s="1" t="b">
        <f t="shared" si="153"/>
        <v>0</v>
      </c>
      <c r="E1784" s="315"/>
      <c r="H1784" s="1" t="b">
        <f t="shared" si="156"/>
        <v>1</v>
      </c>
      <c r="I1784" s="1" t="s">
        <v>3082</v>
      </c>
      <c r="K1784" s="1" t="b">
        <v>0</v>
      </c>
    </row>
    <row r="1785" spans="1:11">
      <c r="A1785" s="1" t="s">
        <v>1787</v>
      </c>
      <c r="B1785" s="313" t="str">
        <f>报表附注!E1996</f>
        <v>4、消费税</v>
      </c>
      <c r="C1785" s="325">
        <f t="shared" si="158"/>
        <v>0</v>
      </c>
      <c r="D1785" s="1" t="b">
        <f t="shared" si="153"/>
        <v>0</v>
      </c>
      <c r="E1785" s="315"/>
      <c r="H1785" s="1" t="b">
        <f t="shared" si="156"/>
        <v>1</v>
      </c>
      <c r="I1785" s="1" t="s">
        <v>3083</v>
      </c>
      <c r="K1785" s="1" t="b">
        <v>0</v>
      </c>
    </row>
    <row r="1786" spans="1:11">
      <c r="A1786" s="1" t="s">
        <v>1788</v>
      </c>
      <c r="B1786" s="313" t="str">
        <f>报表附注!E1997</f>
        <v>5、资源税</v>
      </c>
      <c r="C1786" s="325">
        <f t="shared" si="158"/>
        <v>0</v>
      </c>
      <c r="D1786" s="1" t="b">
        <f t="shared" si="153"/>
        <v>0</v>
      </c>
      <c r="E1786" s="315"/>
      <c r="H1786" s="1" t="b">
        <f t="shared" si="156"/>
        <v>1</v>
      </c>
      <c r="I1786" s="1" t="s">
        <v>3084</v>
      </c>
      <c r="K1786" s="1" t="b">
        <v>0</v>
      </c>
    </row>
    <row r="1787" spans="1:11">
      <c r="A1787" s="1" t="s">
        <v>1789</v>
      </c>
      <c r="B1787" s="313" t="str">
        <f>报表附注!E1998</f>
        <v>6、土地增值税</v>
      </c>
      <c r="C1787" s="325">
        <f t="shared" si="158"/>
        <v>0</v>
      </c>
      <c r="D1787" s="1" t="b">
        <f t="shared" si="153"/>
        <v>0</v>
      </c>
      <c r="E1787" s="315"/>
      <c r="H1787" s="1" t="b">
        <f t="shared" si="156"/>
        <v>1</v>
      </c>
      <c r="I1787" s="1" t="s">
        <v>3085</v>
      </c>
      <c r="K1787" s="1" t="b">
        <v>0</v>
      </c>
    </row>
    <row r="1788" spans="1:11">
      <c r="A1788" s="1" t="s">
        <v>1790</v>
      </c>
      <c r="B1788" s="313" t="str">
        <f>报表附注!E1999</f>
        <v>7、土地使用税</v>
      </c>
      <c r="C1788" s="325">
        <f t="shared" si="158"/>
        <v>0</v>
      </c>
      <c r="D1788" s="1" t="b">
        <f t="shared" si="153"/>
        <v>0</v>
      </c>
      <c r="E1788" s="315"/>
      <c r="H1788" s="1" t="b">
        <f t="shared" si="156"/>
        <v>1</v>
      </c>
      <c r="I1788" s="1" t="s">
        <v>3086</v>
      </c>
      <c r="K1788" s="1" t="b">
        <v>0</v>
      </c>
    </row>
    <row r="1789" spans="1:11">
      <c r="A1789" s="1" t="s">
        <v>1791</v>
      </c>
      <c r="B1789" s="313" t="str">
        <f>报表附注!E2000</f>
        <v>8、房产税</v>
      </c>
      <c r="C1789" s="325">
        <f t="shared" si="158"/>
        <v>0</v>
      </c>
      <c r="D1789" s="1" t="b">
        <f t="shared" si="153"/>
        <v>0</v>
      </c>
      <c r="E1789" s="315"/>
      <c r="H1789" s="1" t="b">
        <f t="shared" si="156"/>
        <v>1</v>
      </c>
      <c r="I1789" s="1" t="s">
        <v>3087</v>
      </c>
      <c r="K1789" s="1" t="b">
        <v>0</v>
      </c>
    </row>
    <row r="1790" spans="1:11">
      <c r="A1790" s="1" t="s">
        <v>1792</v>
      </c>
      <c r="B1790" s="313" t="str">
        <f>报表附注!E2001</f>
        <v>9、车船使用税</v>
      </c>
      <c r="C1790" s="325">
        <f t="shared" si="158"/>
        <v>0</v>
      </c>
      <c r="D1790" s="1" t="b">
        <f t="shared" ref="D1790:D1853" si="160">EXACT(A1790,B1790)</f>
        <v>0</v>
      </c>
      <c r="E1790" s="315"/>
      <c r="H1790" s="1" t="b">
        <f t="shared" si="156"/>
        <v>1</v>
      </c>
      <c r="I1790" s="1" t="s">
        <v>3088</v>
      </c>
      <c r="K1790" s="1" t="b">
        <v>0</v>
      </c>
    </row>
    <row r="1791" spans="1:11">
      <c r="A1791" s="1" t="s">
        <v>1793</v>
      </c>
      <c r="B1791" s="313" t="str">
        <f>报表附注!E2002</f>
        <v>10、城市维护建设税</v>
      </c>
      <c r="C1791" s="325">
        <f t="shared" si="158"/>
        <v>0</v>
      </c>
      <c r="D1791" s="1" t="b">
        <f t="shared" si="160"/>
        <v>0</v>
      </c>
      <c r="E1791" s="315"/>
      <c r="H1791" s="1" t="b">
        <f t="shared" si="156"/>
        <v>1</v>
      </c>
      <c r="I1791" s="1" t="s">
        <v>3089</v>
      </c>
      <c r="K1791" s="1" t="b">
        <v>0</v>
      </c>
    </row>
    <row r="1792" spans="1:11">
      <c r="A1792" s="1" t="s">
        <v>1794</v>
      </c>
      <c r="B1792" s="313" t="str">
        <f>报表附注!E2003</f>
        <v>11、教育附加（含地方）</v>
      </c>
      <c r="C1792" s="325">
        <f t="shared" si="158"/>
        <v>0</v>
      </c>
      <c r="D1792" s="1" t="b">
        <f t="shared" si="160"/>
        <v>0</v>
      </c>
      <c r="E1792" s="315"/>
      <c r="H1792" s="1" t="b">
        <f t="shared" si="156"/>
        <v>1</v>
      </c>
      <c r="I1792" s="1" t="s">
        <v>3090</v>
      </c>
      <c r="K1792" s="1" t="b">
        <v>0</v>
      </c>
    </row>
    <row r="1793" spans="1:11">
      <c r="A1793" s="1" t="s">
        <v>1795</v>
      </c>
      <c r="B1793" s="313" t="str">
        <f>报表附注!E2004</f>
        <v>12、矿产资源补偿费</v>
      </c>
      <c r="C1793" s="325">
        <f t="shared" si="158"/>
        <v>0</v>
      </c>
      <c r="D1793" s="1" t="b">
        <f t="shared" si="160"/>
        <v>0</v>
      </c>
      <c r="E1793" s="315"/>
      <c r="H1793" s="1" t="b">
        <f t="shared" si="156"/>
        <v>1</v>
      </c>
      <c r="I1793" s="1" t="s">
        <v>3091</v>
      </c>
      <c r="K1793" s="1" t="b">
        <v>0</v>
      </c>
    </row>
    <row r="1794" spans="1:11">
      <c r="A1794" s="1" t="s">
        <v>1796</v>
      </c>
      <c r="B1794" s="313" t="str">
        <f>报表附注!E2005</f>
        <v>13、代扣代缴个人所得税</v>
      </c>
      <c r="C1794" s="325">
        <f t="shared" si="158"/>
        <v>0</v>
      </c>
      <c r="D1794" s="1" t="b">
        <f t="shared" si="160"/>
        <v>0</v>
      </c>
      <c r="E1794" s="315"/>
      <c r="H1794" s="1" t="b">
        <f t="shared" si="156"/>
        <v>1</v>
      </c>
      <c r="I1794" s="1" t="s">
        <v>3092</v>
      </c>
      <c r="K1794" s="1" t="b">
        <v>0</v>
      </c>
    </row>
    <row r="1795" spans="1:11">
      <c r="A1795" s="1" t="s">
        <v>1797</v>
      </c>
      <c r="B1795" s="313" t="str">
        <f>报表附注!E2006</f>
        <v>14、印花税</v>
      </c>
      <c r="C1795" s="325">
        <f t="shared" si="158"/>
        <v>0</v>
      </c>
      <c r="D1795" s="1" t="b">
        <f t="shared" si="160"/>
        <v>0</v>
      </c>
      <c r="E1795" s="315"/>
      <c r="H1795" s="1" t="b">
        <f t="shared" si="156"/>
        <v>1</v>
      </c>
      <c r="I1795" s="1" t="s">
        <v>3093</v>
      </c>
      <c r="K1795" s="1" t="b">
        <v>0</v>
      </c>
    </row>
    <row r="1796" spans="1:11">
      <c r="A1796" s="1" t="s">
        <v>1798</v>
      </c>
      <c r="B1796" s="313" t="str">
        <f>报表附注!E2007</f>
        <v>15、防洪保安费（堤围费）</v>
      </c>
      <c r="C1796" s="325">
        <f t="shared" si="158"/>
        <v>0</v>
      </c>
      <c r="D1796" s="1" t="b">
        <f t="shared" si="160"/>
        <v>0</v>
      </c>
      <c r="E1796" s="315"/>
      <c r="H1796" s="1" t="b">
        <f t="shared" ref="H1796:H1859" si="161">I1796=B1796</f>
        <v>1</v>
      </c>
      <c r="I1796" s="1" t="s">
        <v>3094</v>
      </c>
      <c r="K1796" s="1" t="b">
        <v>0</v>
      </c>
    </row>
    <row r="1797" spans="1:11">
      <c r="A1797" s="1" t="s">
        <v>1799</v>
      </c>
      <c r="B1797" s="313" t="str">
        <f>报表附注!E2008</f>
        <v>16、电力监管费</v>
      </c>
      <c r="C1797" s="325">
        <f t="shared" si="158"/>
        <v>0</v>
      </c>
      <c r="D1797" s="1" t="b">
        <f t="shared" si="160"/>
        <v>0</v>
      </c>
      <c r="E1797" s="315"/>
      <c r="H1797" s="1" t="b">
        <f t="shared" si="161"/>
        <v>1</v>
      </c>
      <c r="I1797" s="1" t="s">
        <v>3095</v>
      </c>
      <c r="K1797" s="1" t="b">
        <v>0</v>
      </c>
    </row>
    <row r="1798" spans="1:11">
      <c r="A1798" s="1" t="s">
        <v>1800</v>
      </c>
      <c r="B1798" s="313" t="str">
        <f>报表附注!E2009</f>
        <v>17、水资源费</v>
      </c>
      <c r="C1798" s="325">
        <f t="shared" si="158"/>
        <v>0</v>
      </c>
      <c r="D1798" s="1" t="b">
        <f t="shared" si="160"/>
        <v>0</v>
      </c>
      <c r="E1798" s="315"/>
      <c r="H1798" s="1" t="b">
        <f t="shared" si="161"/>
        <v>1</v>
      </c>
      <c r="I1798" s="1" t="s">
        <v>3096</v>
      </c>
      <c r="K1798" s="1" t="b">
        <v>0</v>
      </c>
    </row>
    <row r="1799" spans="1:11">
      <c r="A1799" s="1" t="s">
        <v>1801</v>
      </c>
      <c r="B1799" s="313" t="str">
        <f>报表附注!E2010</f>
        <v>18、库区维护费</v>
      </c>
      <c r="C1799" s="325">
        <f t="shared" si="158"/>
        <v>0</v>
      </c>
      <c r="D1799" s="1" t="b">
        <f t="shared" si="160"/>
        <v>0</v>
      </c>
      <c r="E1799" s="315"/>
      <c r="H1799" s="1" t="b">
        <f t="shared" si="161"/>
        <v>1</v>
      </c>
      <c r="I1799" s="1" t="s">
        <v>3097</v>
      </c>
      <c r="K1799" s="1" t="b">
        <v>0</v>
      </c>
    </row>
    <row r="1800" spans="1:11">
      <c r="A1800" s="1" t="s">
        <v>1802</v>
      </c>
      <c r="B1800" s="313" t="str">
        <f>报表附注!E2011</f>
        <v>19、代扣代缴企业所得税</v>
      </c>
      <c r="C1800" s="325">
        <f t="shared" si="158"/>
        <v>0</v>
      </c>
      <c r="D1800" s="1" t="b">
        <f t="shared" si="160"/>
        <v>0</v>
      </c>
      <c r="E1800" s="315"/>
      <c r="H1800" s="1" t="b">
        <f t="shared" si="161"/>
        <v>1</v>
      </c>
      <c r="I1800" s="1" t="s">
        <v>3098</v>
      </c>
      <c r="K1800" s="1" t="b">
        <v>0</v>
      </c>
    </row>
    <row r="1801" spans="1:11">
      <c r="A1801" s="1" t="s">
        <v>1803</v>
      </c>
      <c r="B1801" s="313" t="str">
        <f>报表附注!E2012</f>
        <v>20、其他1-地方水利建设基金</v>
      </c>
      <c r="C1801" s="325">
        <f t="shared" si="158"/>
        <v>0</v>
      </c>
      <c r="D1801" s="1" t="b">
        <f t="shared" si="160"/>
        <v>0</v>
      </c>
      <c r="E1801" s="315"/>
      <c r="H1801" s="1" t="b">
        <f t="shared" si="161"/>
        <v>1</v>
      </c>
      <c r="I1801" s="1" t="s">
        <v>3099</v>
      </c>
      <c r="K1801" s="1" t="b">
        <v>0</v>
      </c>
    </row>
    <row r="1802" spans="1:11">
      <c r="A1802" s="1" t="s">
        <v>1804</v>
      </c>
      <c r="B1802" s="313" t="str">
        <f>报表附注!E2013</f>
        <v>21、其他2-价格调节基金</v>
      </c>
      <c r="C1802" s="325">
        <f t="shared" si="158"/>
        <v>0</v>
      </c>
      <c r="D1802" s="1" t="b">
        <f t="shared" si="160"/>
        <v>0</v>
      </c>
      <c r="E1802" s="315"/>
      <c r="H1802" s="1" t="b">
        <f t="shared" si="161"/>
        <v>1</v>
      </c>
      <c r="I1802" s="1" t="s">
        <v>3100</v>
      </c>
      <c r="K1802" s="1" t="b">
        <v>0</v>
      </c>
    </row>
    <row r="1803" spans="1:11">
      <c r="A1803" s="1" t="s">
        <v>1805</v>
      </c>
      <c r="B1803" s="313" t="str">
        <f>报表附注!E2014</f>
        <v>22、其他3-排污费</v>
      </c>
      <c r="C1803" s="325">
        <f t="shared" si="158"/>
        <v>0</v>
      </c>
      <c r="D1803" s="1" t="b">
        <f t="shared" si="160"/>
        <v>0</v>
      </c>
      <c r="E1803" s="315"/>
      <c r="H1803" s="1" t="b">
        <f t="shared" si="161"/>
        <v>1</v>
      </c>
      <c r="I1803" s="1" t="s">
        <v>3101</v>
      </c>
      <c r="K1803" s="1" t="b">
        <v>0</v>
      </c>
    </row>
    <row r="1804" spans="1:11">
      <c r="A1804" s="1" t="s">
        <v>1806</v>
      </c>
      <c r="B1804" s="313" t="str">
        <f>报表附注!E2015</f>
        <v>23、其他4-</v>
      </c>
      <c r="C1804" s="325">
        <f t="shared" si="158"/>
        <v>0</v>
      </c>
      <c r="D1804" s="1" t="b">
        <f t="shared" si="160"/>
        <v>0</v>
      </c>
      <c r="E1804" s="315"/>
      <c r="H1804" s="1" t="b">
        <f t="shared" si="161"/>
        <v>1</v>
      </c>
      <c r="I1804" s="1" t="s">
        <v>3102</v>
      </c>
      <c r="K1804" s="1" t="b">
        <v>0</v>
      </c>
    </row>
    <row r="1805" spans="1:11">
      <c r="A1805" s="1" t="s">
        <v>1807</v>
      </c>
      <c r="B1805" s="313" t="str">
        <f>报表附注!E2016</f>
        <v>24、其他5-</v>
      </c>
      <c r="C1805" s="325">
        <f t="shared" si="158"/>
        <v>0</v>
      </c>
      <c r="D1805" s="1" t="b">
        <f t="shared" si="160"/>
        <v>0</v>
      </c>
      <c r="E1805" s="315"/>
      <c r="H1805" s="1" t="b">
        <f t="shared" si="161"/>
        <v>1</v>
      </c>
      <c r="I1805" s="1" t="s">
        <v>3103</v>
      </c>
      <c r="K1805" s="1" t="b">
        <v>0</v>
      </c>
    </row>
    <row r="1806" spans="1:11">
      <c r="A1806" s="1" t="s">
        <v>1580</v>
      </c>
      <c r="B1806" s="324" t="str">
        <f>报表附注!E2017</f>
        <v>合计</v>
      </c>
      <c r="C1806" s="325">
        <f t="shared" si="158"/>
        <v>0</v>
      </c>
      <c r="D1806" s="1" t="b">
        <f t="shared" si="160"/>
        <v>1</v>
      </c>
      <c r="E1806" s="315"/>
      <c r="H1806" s="1" t="b">
        <f t="shared" si="161"/>
        <v>1</v>
      </c>
      <c r="I1806" s="1" t="s">
        <v>1580</v>
      </c>
      <c r="K1806" s="1" t="b">
        <v>1</v>
      </c>
    </row>
    <row r="1807" spans="1:11">
      <c r="A1807" s="1" t="s">
        <v>1809</v>
      </c>
      <c r="B1807" s="335" t="s">
        <v>1809</v>
      </c>
      <c r="D1807" s="1" t="b">
        <f t="shared" si="160"/>
        <v>1</v>
      </c>
      <c r="E1807" s="311"/>
      <c r="H1807" s="1" t="b">
        <f t="shared" si="161"/>
        <v>0</v>
      </c>
      <c r="K1807" s="1" t="b">
        <v>1</v>
      </c>
    </row>
    <row r="1808" spans="1:11">
      <c r="A1808" s="1" t="s">
        <v>1784</v>
      </c>
      <c r="B1808" s="313" t="str">
        <f>报表附注!E1993</f>
        <v>1、企业所得税</v>
      </c>
      <c r="C1808" s="325">
        <f t="shared" si="158"/>
        <v>0</v>
      </c>
      <c r="D1808" s="1" t="b">
        <f t="shared" si="160"/>
        <v>0</v>
      </c>
      <c r="E1808" s="315"/>
      <c r="H1808" s="1" t="b">
        <f t="shared" si="161"/>
        <v>0</v>
      </c>
      <c r="I1808" s="1" t="s">
        <v>1810</v>
      </c>
      <c r="K1808" s="1" t="b">
        <v>1</v>
      </c>
    </row>
    <row r="1809" spans="1:11">
      <c r="A1809" s="1" t="s">
        <v>1785</v>
      </c>
      <c r="B1809" s="313" t="str">
        <f>报表附注!E1994</f>
        <v>2、增值税</v>
      </c>
      <c r="C1809" s="325">
        <f t="shared" si="158"/>
        <v>0</v>
      </c>
      <c r="D1809" s="1" t="b">
        <f t="shared" si="160"/>
        <v>0</v>
      </c>
      <c r="E1809" s="315"/>
      <c r="H1809" s="1" t="b">
        <f t="shared" si="161"/>
        <v>0</v>
      </c>
      <c r="I1809" s="1" t="s">
        <v>515</v>
      </c>
      <c r="K1809" s="1" t="b">
        <v>1</v>
      </c>
    </row>
    <row r="1810" spans="1:11">
      <c r="A1810" s="1" t="s">
        <v>1786</v>
      </c>
      <c r="B1810" s="313" t="str">
        <f>报表附注!E1995</f>
        <v>3、营业税</v>
      </c>
      <c r="C1810" s="325">
        <f t="shared" si="158"/>
        <v>0</v>
      </c>
      <c r="D1810" s="1" t="b">
        <f t="shared" si="160"/>
        <v>0</v>
      </c>
      <c r="E1810" s="315"/>
      <c r="H1810" s="1" t="b">
        <f t="shared" si="161"/>
        <v>0</v>
      </c>
      <c r="I1810" s="1" t="s">
        <v>1811</v>
      </c>
      <c r="K1810" s="1" t="b">
        <v>1</v>
      </c>
    </row>
    <row r="1811" spans="1:11">
      <c r="A1811" s="1" t="s">
        <v>1787</v>
      </c>
      <c r="B1811" s="313" t="str">
        <f>报表附注!E1996</f>
        <v>4、消费税</v>
      </c>
      <c r="C1811" s="325">
        <f t="shared" si="158"/>
        <v>0</v>
      </c>
      <c r="D1811" s="1" t="b">
        <f t="shared" si="160"/>
        <v>0</v>
      </c>
      <c r="E1811" s="315"/>
      <c r="H1811" s="1" t="b">
        <f t="shared" si="161"/>
        <v>0</v>
      </c>
      <c r="I1811" s="1" t="s">
        <v>1812</v>
      </c>
      <c r="K1811" s="1" t="b">
        <v>1</v>
      </c>
    </row>
    <row r="1812" spans="1:11">
      <c r="A1812" s="1" t="s">
        <v>1788</v>
      </c>
      <c r="B1812" s="313" t="str">
        <f>报表附注!E1997</f>
        <v>5、资源税</v>
      </c>
      <c r="C1812" s="325">
        <f t="shared" si="158"/>
        <v>0</v>
      </c>
      <c r="D1812" s="1" t="b">
        <f t="shared" si="160"/>
        <v>0</v>
      </c>
      <c r="E1812" s="315"/>
      <c r="H1812" s="1" t="b">
        <f t="shared" si="161"/>
        <v>0</v>
      </c>
      <c r="I1812" s="1" t="s">
        <v>1813</v>
      </c>
      <c r="K1812" s="1" t="b">
        <v>1</v>
      </c>
    </row>
    <row r="1813" spans="1:11">
      <c r="A1813" s="1" t="s">
        <v>1789</v>
      </c>
      <c r="B1813" s="313" t="str">
        <f>报表附注!E1998</f>
        <v>6、土地增值税</v>
      </c>
      <c r="C1813" s="325">
        <f t="shared" si="158"/>
        <v>0</v>
      </c>
      <c r="D1813" s="1" t="b">
        <f t="shared" si="160"/>
        <v>0</v>
      </c>
      <c r="E1813" s="315"/>
      <c r="H1813" s="1" t="b">
        <f t="shared" si="161"/>
        <v>0</v>
      </c>
      <c r="I1813" s="1" t="s">
        <v>1580</v>
      </c>
      <c r="K1813" s="1" t="b">
        <v>1</v>
      </c>
    </row>
    <row r="1814" spans="1:11">
      <c r="A1814" s="1" t="s">
        <v>1790</v>
      </c>
      <c r="B1814" s="313" t="str">
        <f>报表附注!E1999</f>
        <v>7、土地使用税</v>
      </c>
      <c r="C1814" s="325">
        <f t="shared" si="158"/>
        <v>0</v>
      </c>
      <c r="D1814" s="1" t="b">
        <f t="shared" si="160"/>
        <v>0</v>
      </c>
      <c r="E1814" s="315"/>
      <c r="H1814" s="1" t="b">
        <f t="shared" si="161"/>
        <v>0</v>
      </c>
      <c r="K1814" s="1" t="b">
        <v>1</v>
      </c>
    </row>
    <row r="1815" spans="1:11">
      <c r="A1815" s="1" t="s">
        <v>1791</v>
      </c>
      <c r="B1815" s="313" t="str">
        <f>报表附注!E2000</f>
        <v>8、房产税</v>
      </c>
      <c r="C1815" s="325">
        <f t="shared" si="158"/>
        <v>0</v>
      </c>
      <c r="D1815" s="1" t="b">
        <f t="shared" si="160"/>
        <v>0</v>
      </c>
      <c r="E1815" s="315"/>
      <c r="H1815" s="1" t="b">
        <f t="shared" si="161"/>
        <v>0</v>
      </c>
      <c r="K1815" s="1" t="b">
        <v>1</v>
      </c>
    </row>
    <row r="1816" spans="1:11">
      <c r="A1816" s="1" t="s">
        <v>1792</v>
      </c>
      <c r="B1816" s="313" t="str">
        <f>报表附注!E2001</f>
        <v>9、车船使用税</v>
      </c>
      <c r="C1816" s="325">
        <f t="shared" si="158"/>
        <v>0</v>
      </c>
      <c r="D1816" s="1" t="b">
        <f t="shared" si="160"/>
        <v>0</v>
      </c>
      <c r="E1816" s="315"/>
      <c r="H1816" s="1" t="b">
        <f t="shared" si="161"/>
        <v>0</v>
      </c>
      <c r="I1816" s="1" t="s">
        <v>1814</v>
      </c>
      <c r="K1816" s="1" t="b">
        <v>1</v>
      </c>
    </row>
    <row r="1817" spans="1:11">
      <c r="A1817" s="1" t="s">
        <v>1793</v>
      </c>
      <c r="B1817" s="313" t="str">
        <f>报表附注!E2002</f>
        <v>10、城市维护建设税</v>
      </c>
      <c r="C1817" s="325">
        <f t="shared" si="158"/>
        <v>0</v>
      </c>
      <c r="D1817" s="1" t="b">
        <f t="shared" si="160"/>
        <v>0</v>
      </c>
      <c r="E1817" s="315"/>
      <c r="H1817" s="1" t="b">
        <f t="shared" si="161"/>
        <v>0</v>
      </c>
      <c r="K1817" s="1" t="b">
        <v>1</v>
      </c>
    </row>
    <row r="1818" spans="1:11">
      <c r="A1818" s="1" t="s">
        <v>1794</v>
      </c>
      <c r="B1818" s="313" t="str">
        <f>报表附注!E2003</f>
        <v>11、教育附加（含地方）</v>
      </c>
      <c r="C1818" s="325">
        <f t="shared" si="158"/>
        <v>0</v>
      </c>
      <c r="D1818" s="1" t="b">
        <f t="shared" si="160"/>
        <v>0</v>
      </c>
      <c r="E1818" s="315"/>
      <c r="H1818" s="1" t="b">
        <f t="shared" si="161"/>
        <v>0</v>
      </c>
      <c r="I1818" s="1" t="s">
        <v>1815</v>
      </c>
      <c r="K1818" s="1" t="b">
        <v>1</v>
      </c>
    </row>
    <row r="1819" spans="1:11">
      <c r="A1819" s="1" t="s">
        <v>1795</v>
      </c>
      <c r="B1819" s="313" t="str">
        <f>报表附注!E2004</f>
        <v>12、矿产资源补偿费</v>
      </c>
      <c r="C1819" s="325">
        <f t="shared" si="158"/>
        <v>0</v>
      </c>
      <c r="D1819" s="1" t="b">
        <f t="shared" si="160"/>
        <v>0</v>
      </c>
      <c r="E1819" s="315"/>
      <c r="H1819" s="1" t="b">
        <f t="shared" si="161"/>
        <v>0</v>
      </c>
      <c r="I1819" s="1" t="s">
        <v>315</v>
      </c>
      <c r="K1819" s="1" t="b">
        <v>1</v>
      </c>
    </row>
    <row r="1820" spans="1:11">
      <c r="A1820" s="1" t="s">
        <v>1796</v>
      </c>
      <c r="B1820" s="313" t="str">
        <f>报表附注!E2005</f>
        <v>13、代扣代缴个人所得税</v>
      </c>
      <c r="C1820" s="325">
        <f t="shared" ref="C1820:C1832" si="162">J1768</f>
        <v>0</v>
      </c>
      <c r="D1820" s="1" t="b">
        <f t="shared" si="160"/>
        <v>0</v>
      </c>
      <c r="E1820" s="315"/>
      <c r="H1820" s="1" t="b">
        <f t="shared" si="161"/>
        <v>0</v>
      </c>
      <c r="I1820" s="1" t="s">
        <v>1585</v>
      </c>
      <c r="K1820" s="1" t="b">
        <v>1</v>
      </c>
    </row>
    <row r="1821" spans="1:11">
      <c r="A1821" s="1" t="s">
        <v>1797</v>
      </c>
      <c r="B1821" s="313" t="str">
        <f>报表附注!E2006</f>
        <v>14、印花税</v>
      </c>
      <c r="C1821" s="325">
        <f t="shared" si="162"/>
        <v>0</v>
      </c>
      <c r="D1821" s="1" t="b">
        <f t="shared" si="160"/>
        <v>0</v>
      </c>
      <c r="E1821" s="315"/>
      <c r="H1821" s="1" t="b">
        <f t="shared" si="161"/>
        <v>0</v>
      </c>
      <c r="I1821" s="1" t="s">
        <v>1586</v>
      </c>
      <c r="K1821" s="1" t="b">
        <v>1</v>
      </c>
    </row>
    <row r="1822" spans="1:11">
      <c r="A1822" s="1" t="s">
        <v>1798</v>
      </c>
      <c r="B1822" s="313" t="str">
        <f>报表附注!E2007</f>
        <v>15、防洪保安费（堤围费）</v>
      </c>
      <c r="C1822" s="325">
        <f t="shared" si="162"/>
        <v>0</v>
      </c>
      <c r="D1822" s="1" t="b">
        <f t="shared" si="160"/>
        <v>0</v>
      </c>
      <c r="E1822" s="315"/>
      <c r="H1822" s="1" t="b">
        <f t="shared" si="161"/>
        <v>0</v>
      </c>
      <c r="I1822" s="1" t="s">
        <v>1587</v>
      </c>
      <c r="K1822" s="1" t="b">
        <v>1</v>
      </c>
    </row>
    <row r="1823" spans="1:11">
      <c r="A1823" s="1" t="s">
        <v>1799</v>
      </c>
      <c r="B1823" s="313" t="str">
        <f>报表附注!E2008</f>
        <v>16、电力监管费</v>
      </c>
      <c r="C1823" s="325">
        <f t="shared" si="162"/>
        <v>0</v>
      </c>
      <c r="D1823" s="1" t="b">
        <f t="shared" si="160"/>
        <v>0</v>
      </c>
      <c r="E1823" s="315"/>
      <c r="H1823" s="1" t="b">
        <f t="shared" si="161"/>
        <v>0</v>
      </c>
      <c r="I1823" s="1" t="s">
        <v>1588</v>
      </c>
      <c r="K1823" s="1" t="b">
        <v>1</v>
      </c>
    </row>
    <row r="1824" spans="1:11">
      <c r="A1824" s="1" t="s">
        <v>1800</v>
      </c>
      <c r="B1824" s="313" t="str">
        <f>报表附注!E2009</f>
        <v>17、水资源费</v>
      </c>
      <c r="C1824" s="325">
        <f t="shared" si="162"/>
        <v>0</v>
      </c>
      <c r="D1824" s="1" t="b">
        <f t="shared" si="160"/>
        <v>0</v>
      </c>
      <c r="E1824" s="315"/>
      <c r="H1824" s="1" t="b">
        <f t="shared" si="161"/>
        <v>0</v>
      </c>
      <c r="I1824" s="1" t="s">
        <v>1589</v>
      </c>
      <c r="K1824" s="1" t="b">
        <v>1</v>
      </c>
    </row>
    <row r="1825" spans="1:11">
      <c r="A1825" s="1" t="s">
        <v>1801</v>
      </c>
      <c r="B1825" s="313" t="str">
        <f>报表附注!E2010</f>
        <v>18、库区维护费</v>
      </c>
      <c r="C1825" s="325">
        <f t="shared" si="162"/>
        <v>0</v>
      </c>
      <c r="D1825" s="1" t="b">
        <f t="shared" si="160"/>
        <v>0</v>
      </c>
      <c r="E1825" s="315"/>
      <c r="H1825" s="1" t="b">
        <f t="shared" si="161"/>
        <v>0</v>
      </c>
      <c r="I1825" s="1" t="s">
        <v>1590</v>
      </c>
      <c r="K1825" s="1" t="b">
        <v>1</v>
      </c>
    </row>
    <row r="1826" spans="1:11">
      <c r="A1826" s="1" t="s">
        <v>1802</v>
      </c>
      <c r="B1826" s="313" t="str">
        <f>报表附注!E2011</f>
        <v>19、代扣代缴企业所得税</v>
      </c>
      <c r="C1826" s="325">
        <f t="shared" si="162"/>
        <v>0</v>
      </c>
      <c r="D1826" s="1" t="b">
        <f t="shared" si="160"/>
        <v>0</v>
      </c>
      <c r="E1826" s="315"/>
      <c r="H1826" s="1" t="b">
        <f t="shared" si="161"/>
        <v>0</v>
      </c>
      <c r="I1826" s="1" t="s">
        <v>1580</v>
      </c>
      <c r="K1826" s="1" t="b">
        <v>1</v>
      </c>
    </row>
    <row r="1827" spans="1:11">
      <c r="A1827" s="1" t="s">
        <v>1803</v>
      </c>
      <c r="B1827" s="313" t="str">
        <f>报表附注!E2012</f>
        <v>20、其他1-地方水利建设基金</v>
      </c>
      <c r="C1827" s="325">
        <f t="shared" si="162"/>
        <v>0</v>
      </c>
      <c r="D1827" s="1" t="b">
        <f t="shared" si="160"/>
        <v>0</v>
      </c>
      <c r="E1827" s="315"/>
      <c r="H1827" s="1" t="b">
        <f t="shared" si="161"/>
        <v>0</v>
      </c>
      <c r="I1827" s="1" t="s">
        <v>1579</v>
      </c>
      <c r="K1827" s="1" t="b">
        <v>1</v>
      </c>
    </row>
    <row r="1828" spans="1:11">
      <c r="A1828" s="1" t="s">
        <v>1804</v>
      </c>
      <c r="B1828" s="313" t="str">
        <f>报表附注!E2013</f>
        <v>21、其他2-价格调节基金</v>
      </c>
      <c r="C1828" s="325">
        <f t="shared" si="162"/>
        <v>0</v>
      </c>
      <c r="D1828" s="1" t="b">
        <f t="shared" si="160"/>
        <v>0</v>
      </c>
      <c r="E1828" s="315"/>
      <c r="H1828" s="1" t="b">
        <f t="shared" si="161"/>
        <v>0</v>
      </c>
      <c r="I1828" s="1" t="s">
        <v>1585</v>
      </c>
      <c r="K1828" s="1" t="b">
        <v>1</v>
      </c>
    </row>
    <row r="1829" spans="1:11">
      <c r="A1829" s="1" t="s">
        <v>1805</v>
      </c>
      <c r="B1829" s="313" t="str">
        <f>报表附注!E2014</f>
        <v>22、其他3-排污费</v>
      </c>
      <c r="C1829" s="325">
        <f t="shared" si="162"/>
        <v>0</v>
      </c>
      <c r="D1829" s="1" t="b">
        <f t="shared" si="160"/>
        <v>0</v>
      </c>
      <c r="E1829" s="315"/>
      <c r="H1829" s="1" t="b">
        <f t="shared" si="161"/>
        <v>0</v>
      </c>
      <c r="I1829" s="1" t="s">
        <v>1586</v>
      </c>
      <c r="K1829" s="1" t="b">
        <v>1</v>
      </c>
    </row>
    <row r="1830" spans="1:11">
      <c r="A1830" s="1" t="s">
        <v>1806</v>
      </c>
      <c r="B1830" s="313" t="str">
        <f>报表附注!E2015</f>
        <v>23、其他4-</v>
      </c>
      <c r="C1830" s="325">
        <f t="shared" si="162"/>
        <v>0</v>
      </c>
      <c r="D1830" s="1" t="b">
        <f t="shared" si="160"/>
        <v>0</v>
      </c>
      <c r="E1830" s="315"/>
      <c r="H1830" s="1" t="b">
        <f t="shared" si="161"/>
        <v>0</v>
      </c>
      <c r="I1830" s="1" t="s">
        <v>1587</v>
      </c>
      <c r="K1830" s="1" t="b">
        <v>1</v>
      </c>
    </row>
    <row r="1831" spans="1:11">
      <c r="A1831" s="1" t="s">
        <v>1807</v>
      </c>
      <c r="B1831" s="313" t="str">
        <f>报表附注!E2016</f>
        <v>24、其他5-</v>
      </c>
      <c r="C1831" s="325">
        <f t="shared" si="162"/>
        <v>0</v>
      </c>
      <c r="D1831" s="1" t="b">
        <f t="shared" si="160"/>
        <v>0</v>
      </c>
      <c r="E1831" s="315"/>
      <c r="H1831" s="1" t="b">
        <f t="shared" si="161"/>
        <v>0</v>
      </c>
      <c r="I1831" s="1" t="s">
        <v>1588</v>
      </c>
      <c r="K1831" s="1" t="b">
        <v>1</v>
      </c>
    </row>
    <row r="1832" spans="1:11">
      <c r="A1832" s="1" t="s">
        <v>1580</v>
      </c>
      <c r="B1832" s="324" t="str">
        <f>报表附注!E2017</f>
        <v>合计</v>
      </c>
      <c r="C1832" s="325">
        <f t="shared" si="162"/>
        <v>0</v>
      </c>
      <c r="D1832" s="1" t="b">
        <f t="shared" si="160"/>
        <v>1</v>
      </c>
      <c r="E1832" s="315"/>
      <c r="H1832" s="1" t="b">
        <f t="shared" si="161"/>
        <v>0</v>
      </c>
      <c r="I1832" s="1" t="s">
        <v>1589</v>
      </c>
      <c r="K1832" s="1" t="b">
        <v>1</v>
      </c>
    </row>
    <row r="1833" spans="1:11">
      <c r="A1833" s="1" t="s">
        <v>315</v>
      </c>
      <c r="B1833" s="335" t="s">
        <v>315</v>
      </c>
      <c r="D1833" s="1" t="b">
        <f t="shared" si="160"/>
        <v>1</v>
      </c>
      <c r="E1833" s="311"/>
      <c r="H1833" s="1" t="b">
        <f t="shared" si="161"/>
        <v>0</v>
      </c>
      <c r="I1833" s="1" t="s">
        <v>1590</v>
      </c>
      <c r="K1833" s="1" t="b">
        <v>1</v>
      </c>
    </row>
    <row r="1834" spans="1:11">
      <c r="A1834" s="1" t="s">
        <v>1784</v>
      </c>
      <c r="B1834" s="374" t="str">
        <f>报表附注!E1993</f>
        <v>1、企业所得税</v>
      </c>
      <c r="C1834" s="322">
        <f t="shared" ref="C1834:C1858" si="163">J1782</f>
        <v>0</v>
      </c>
      <c r="D1834" s="1" t="b">
        <f t="shared" si="160"/>
        <v>0</v>
      </c>
      <c r="E1834" s="315"/>
      <c r="H1834" s="1" t="b">
        <f t="shared" si="161"/>
        <v>0</v>
      </c>
      <c r="I1834" s="1" t="s">
        <v>1580</v>
      </c>
      <c r="K1834" s="1" t="b">
        <v>1</v>
      </c>
    </row>
    <row r="1835" spans="1:11">
      <c r="A1835" s="1" t="s">
        <v>1785</v>
      </c>
      <c r="B1835" s="374" t="str">
        <f>报表附注!E1994</f>
        <v>2、增值税</v>
      </c>
      <c r="C1835" s="322">
        <f t="shared" si="163"/>
        <v>0</v>
      </c>
      <c r="D1835" s="1" t="b">
        <f t="shared" si="160"/>
        <v>0</v>
      </c>
      <c r="E1835" s="315"/>
      <c r="H1835" s="1" t="b">
        <f t="shared" si="161"/>
        <v>0</v>
      </c>
      <c r="K1835" s="1" t="b">
        <v>1</v>
      </c>
    </row>
    <row r="1836" spans="1:11">
      <c r="A1836" s="1" t="s">
        <v>1786</v>
      </c>
      <c r="B1836" s="374" t="str">
        <f>报表附注!E1995</f>
        <v>3、营业税</v>
      </c>
      <c r="C1836" s="322">
        <f t="shared" si="163"/>
        <v>0</v>
      </c>
      <c r="D1836" s="1" t="b">
        <f t="shared" si="160"/>
        <v>0</v>
      </c>
      <c r="E1836" s="315"/>
      <c r="H1836" s="1" t="b">
        <f t="shared" si="161"/>
        <v>0</v>
      </c>
      <c r="I1836" s="1" t="s">
        <v>1816</v>
      </c>
      <c r="K1836" s="1" t="b">
        <v>1</v>
      </c>
    </row>
    <row r="1837" spans="1:11">
      <c r="A1837" s="1" t="s">
        <v>1787</v>
      </c>
      <c r="B1837" s="374" t="str">
        <f>报表附注!E1996</f>
        <v>4、消费税</v>
      </c>
      <c r="C1837" s="322">
        <f t="shared" si="163"/>
        <v>0</v>
      </c>
      <c r="D1837" s="1" t="b">
        <f t="shared" si="160"/>
        <v>0</v>
      </c>
      <c r="E1837" s="315"/>
      <c r="H1837" s="1" t="b">
        <f t="shared" si="161"/>
        <v>0</v>
      </c>
      <c r="I1837" s="1" t="s">
        <v>670</v>
      </c>
      <c r="K1837" s="1" t="b">
        <v>1</v>
      </c>
    </row>
    <row r="1838" spans="1:11">
      <c r="A1838" s="1" t="s">
        <v>1788</v>
      </c>
      <c r="B1838" s="374" t="str">
        <f>报表附注!E1997</f>
        <v>5、资源税</v>
      </c>
      <c r="C1838" s="322">
        <f t="shared" si="163"/>
        <v>0</v>
      </c>
      <c r="D1838" s="1" t="b">
        <f t="shared" si="160"/>
        <v>0</v>
      </c>
      <c r="E1838" s="315"/>
      <c r="H1838" s="1" t="b">
        <f t="shared" si="161"/>
        <v>0</v>
      </c>
      <c r="I1838" s="1" t="s">
        <v>1817</v>
      </c>
      <c r="K1838" s="1" t="b">
        <v>1</v>
      </c>
    </row>
    <row r="1839" spans="1:11">
      <c r="A1839" s="1" t="s">
        <v>1789</v>
      </c>
      <c r="B1839" s="374" t="str">
        <f>报表附注!E1998</f>
        <v>6、土地增值税</v>
      </c>
      <c r="C1839" s="322">
        <f t="shared" si="163"/>
        <v>0</v>
      </c>
      <c r="D1839" s="1" t="b">
        <f t="shared" si="160"/>
        <v>0</v>
      </c>
      <c r="E1839" s="315"/>
      <c r="H1839" s="1" t="b">
        <f t="shared" si="161"/>
        <v>0</v>
      </c>
      <c r="I1839" s="1" t="s">
        <v>1818</v>
      </c>
      <c r="K1839" s="1" t="b">
        <v>1</v>
      </c>
    </row>
    <row r="1840" spans="1:11">
      <c r="A1840" s="1" t="s">
        <v>1790</v>
      </c>
      <c r="B1840" s="374" t="str">
        <f>报表附注!E1999</f>
        <v>7、土地使用税</v>
      </c>
      <c r="C1840" s="322">
        <f t="shared" si="163"/>
        <v>0</v>
      </c>
      <c r="D1840" s="1" t="b">
        <f t="shared" si="160"/>
        <v>0</v>
      </c>
      <c r="E1840" s="315"/>
      <c r="H1840" s="1" t="b">
        <f t="shared" si="161"/>
        <v>0</v>
      </c>
      <c r="I1840" s="1" t="s">
        <v>1819</v>
      </c>
      <c r="K1840" s="1" t="b">
        <v>1</v>
      </c>
    </row>
    <row r="1841" spans="1:11">
      <c r="A1841" s="1" t="s">
        <v>1791</v>
      </c>
      <c r="B1841" s="374" t="str">
        <f>报表附注!E2000</f>
        <v>8、房产税</v>
      </c>
      <c r="C1841" s="322">
        <f t="shared" si="163"/>
        <v>0</v>
      </c>
      <c r="D1841" s="1" t="b">
        <f t="shared" si="160"/>
        <v>0</v>
      </c>
      <c r="E1841" s="315"/>
      <c r="H1841" s="1" t="b">
        <f t="shared" si="161"/>
        <v>0</v>
      </c>
      <c r="I1841" s="1" t="s">
        <v>1820</v>
      </c>
      <c r="K1841" s="1" t="b">
        <v>1</v>
      </c>
    </row>
    <row r="1842" spans="1:11">
      <c r="A1842" s="1" t="s">
        <v>1792</v>
      </c>
      <c r="B1842" s="374" t="str">
        <f>报表附注!E2001</f>
        <v>9、车船使用税</v>
      </c>
      <c r="C1842" s="322">
        <f t="shared" si="163"/>
        <v>0</v>
      </c>
      <c r="D1842" s="1" t="b">
        <f t="shared" si="160"/>
        <v>0</v>
      </c>
      <c r="E1842" s="315"/>
      <c r="H1842" s="1" t="b">
        <f t="shared" si="161"/>
        <v>0</v>
      </c>
      <c r="I1842" s="1" t="s">
        <v>1821</v>
      </c>
      <c r="K1842" s="1" t="b">
        <v>1</v>
      </c>
    </row>
    <row r="1843" spans="1:11">
      <c r="A1843" s="1" t="s">
        <v>1793</v>
      </c>
      <c r="B1843" s="374" t="str">
        <f>报表附注!E2002</f>
        <v>10、城市维护建设税</v>
      </c>
      <c r="C1843" s="322">
        <f t="shared" si="163"/>
        <v>0</v>
      </c>
      <c r="D1843" s="1" t="b">
        <f t="shared" si="160"/>
        <v>0</v>
      </c>
      <c r="E1843" s="315"/>
      <c r="H1843" s="1" t="b">
        <f t="shared" si="161"/>
        <v>0</v>
      </c>
      <c r="I1843" s="1" t="s">
        <v>1822</v>
      </c>
      <c r="K1843" s="1" t="b">
        <v>1</v>
      </c>
    </row>
    <row r="1844" spans="1:11">
      <c r="A1844" s="1" t="s">
        <v>1794</v>
      </c>
      <c r="B1844" s="374" t="str">
        <f>报表附注!E2003</f>
        <v>11、教育附加（含地方）</v>
      </c>
      <c r="C1844" s="322">
        <f t="shared" si="163"/>
        <v>0</v>
      </c>
      <c r="D1844" s="1" t="b">
        <f t="shared" si="160"/>
        <v>0</v>
      </c>
      <c r="E1844" s="315"/>
      <c r="H1844" s="1" t="b">
        <f t="shared" si="161"/>
        <v>0</v>
      </c>
      <c r="I1844" s="1" t="s">
        <v>279</v>
      </c>
      <c r="K1844" s="1" t="b">
        <v>1</v>
      </c>
    </row>
    <row r="1845" spans="1:11">
      <c r="A1845" s="1" t="s">
        <v>1795</v>
      </c>
      <c r="B1845" s="374" t="str">
        <f>报表附注!E2004</f>
        <v>12、矿产资源补偿费</v>
      </c>
      <c r="C1845" s="322">
        <f t="shared" si="163"/>
        <v>0</v>
      </c>
      <c r="D1845" s="1" t="b">
        <f t="shared" si="160"/>
        <v>0</v>
      </c>
      <c r="E1845" s="315"/>
      <c r="H1845" s="1" t="b">
        <f t="shared" si="161"/>
        <v>0</v>
      </c>
      <c r="I1845" s="1" t="s">
        <v>346</v>
      </c>
      <c r="K1845" s="1" t="b">
        <v>1</v>
      </c>
    </row>
    <row r="1846" spans="1:11">
      <c r="A1846" s="1" t="s">
        <v>1796</v>
      </c>
      <c r="B1846" s="374" t="str">
        <f>报表附注!E2005</f>
        <v>13、代扣代缴个人所得税</v>
      </c>
      <c r="C1846" s="322">
        <f t="shared" si="163"/>
        <v>0</v>
      </c>
      <c r="D1846" s="1" t="b">
        <f t="shared" si="160"/>
        <v>0</v>
      </c>
      <c r="E1846" s="315"/>
      <c r="H1846" s="1" t="b">
        <f t="shared" si="161"/>
        <v>0</v>
      </c>
      <c r="I1846" s="1" t="s">
        <v>671</v>
      </c>
      <c r="K1846" s="1" t="b">
        <v>1</v>
      </c>
    </row>
    <row r="1847" spans="1:11">
      <c r="A1847" s="1" t="s">
        <v>1797</v>
      </c>
      <c r="B1847" s="374" t="str">
        <f>报表附注!E2006</f>
        <v>14、印花税</v>
      </c>
      <c r="C1847" s="322">
        <f t="shared" si="163"/>
        <v>0</v>
      </c>
      <c r="D1847" s="1" t="b">
        <f t="shared" si="160"/>
        <v>0</v>
      </c>
      <c r="E1847" s="315"/>
      <c r="H1847" s="1" t="b">
        <f t="shared" si="161"/>
        <v>0</v>
      </c>
      <c r="I1847" s="1" t="s">
        <v>1817</v>
      </c>
      <c r="K1847" s="1" t="b">
        <v>1</v>
      </c>
    </row>
    <row r="1848" spans="1:11">
      <c r="A1848" s="1" t="s">
        <v>1798</v>
      </c>
      <c r="B1848" s="374" t="str">
        <f>报表附注!E2007</f>
        <v>15、防洪保安费（堤围费）</v>
      </c>
      <c r="C1848" s="322">
        <f t="shared" si="163"/>
        <v>0</v>
      </c>
      <c r="D1848" s="1" t="b">
        <f t="shared" si="160"/>
        <v>0</v>
      </c>
      <c r="E1848" s="315"/>
      <c r="H1848" s="1" t="b">
        <f t="shared" si="161"/>
        <v>0</v>
      </c>
      <c r="I1848" s="1" t="s">
        <v>1818</v>
      </c>
      <c r="K1848" s="1" t="b">
        <v>1</v>
      </c>
    </row>
    <row r="1849" spans="1:11">
      <c r="A1849" s="1" t="s">
        <v>1799</v>
      </c>
      <c r="B1849" s="374" t="str">
        <f>报表附注!E2008</f>
        <v>16、电力监管费</v>
      </c>
      <c r="C1849" s="322">
        <f t="shared" si="163"/>
        <v>0</v>
      </c>
      <c r="D1849" s="1" t="b">
        <f t="shared" si="160"/>
        <v>0</v>
      </c>
      <c r="E1849" s="315"/>
      <c r="H1849" s="1" t="b">
        <f t="shared" si="161"/>
        <v>0</v>
      </c>
      <c r="I1849" s="1" t="s">
        <v>1819</v>
      </c>
      <c r="K1849" s="1" t="b">
        <v>1</v>
      </c>
    </row>
    <row r="1850" spans="1:11">
      <c r="A1850" s="1" t="s">
        <v>1800</v>
      </c>
      <c r="B1850" s="374" t="str">
        <f>报表附注!E2009</f>
        <v>17、水资源费</v>
      </c>
      <c r="C1850" s="322">
        <f t="shared" si="163"/>
        <v>0</v>
      </c>
      <c r="D1850" s="1" t="b">
        <f t="shared" si="160"/>
        <v>0</v>
      </c>
      <c r="E1850" s="315"/>
      <c r="H1850" s="1" t="b">
        <f t="shared" si="161"/>
        <v>0</v>
      </c>
      <c r="I1850" s="1" t="s">
        <v>1820</v>
      </c>
      <c r="K1850" s="1" t="b">
        <v>1</v>
      </c>
    </row>
    <row r="1851" spans="1:11">
      <c r="A1851" s="1" t="s">
        <v>1801</v>
      </c>
      <c r="B1851" s="374" t="str">
        <f>报表附注!E2010</f>
        <v>18、库区维护费</v>
      </c>
      <c r="C1851" s="322">
        <f t="shared" si="163"/>
        <v>0</v>
      </c>
      <c r="D1851" s="1" t="b">
        <f t="shared" si="160"/>
        <v>0</v>
      </c>
      <c r="E1851" s="315"/>
      <c r="H1851" s="1" t="b">
        <f t="shared" si="161"/>
        <v>0</v>
      </c>
      <c r="I1851" s="1" t="s">
        <v>1821</v>
      </c>
      <c r="K1851" s="1" t="b">
        <v>1</v>
      </c>
    </row>
    <row r="1852" spans="1:11">
      <c r="A1852" s="1" t="s">
        <v>1802</v>
      </c>
      <c r="B1852" s="374" t="str">
        <f>报表附注!E2011</f>
        <v>19、代扣代缴企业所得税</v>
      </c>
      <c r="C1852" s="322">
        <f t="shared" si="163"/>
        <v>0</v>
      </c>
      <c r="D1852" s="1" t="b">
        <f t="shared" si="160"/>
        <v>0</v>
      </c>
      <c r="E1852" s="315"/>
      <c r="H1852" s="1" t="b">
        <f t="shared" si="161"/>
        <v>0</v>
      </c>
      <c r="I1852" s="1" t="s">
        <v>1822</v>
      </c>
      <c r="K1852" s="1" t="b">
        <v>1</v>
      </c>
    </row>
    <row r="1853" spans="1:11">
      <c r="A1853" s="1" t="s">
        <v>1803</v>
      </c>
      <c r="B1853" s="374" t="str">
        <f>报表附注!E2012</f>
        <v>20、其他1-地方水利建设基金</v>
      </c>
      <c r="C1853" s="322">
        <f t="shared" si="163"/>
        <v>0</v>
      </c>
      <c r="D1853" s="1" t="b">
        <f t="shared" si="160"/>
        <v>0</v>
      </c>
      <c r="E1853" s="315"/>
      <c r="H1853" s="1" t="b">
        <f t="shared" si="161"/>
        <v>0</v>
      </c>
      <c r="I1853" s="1" t="s">
        <v>279</v>
      </c>
      <c r="K1853" s="1" t="b">
        <v>1</v>
      </c>
    </row>
    <row r="1854" spans="1:11">
      <c r="A1854" s="1" t="s">
        <v>1804</v>
      </c>
      <c r="B1854" s="374" t="str">
        <f>报表附注!E2013</f>
        <v>21、其他2-价格调节基金</v>
      </c>
      <c r="C1854" s="322">
        <f t="shared" si="163"/>
        <v>0</v>
      </c>
      <c r="D1854" s="1" t="b">
        <f t="shared" ref="D1854:D1917" si="164">EXACT(A1854,B1854)</f>
        <v>0</v>
      </c>
      <c r="E1854" s="315"/>
      <c r="H1854" s="1" t="b">
        <f t="shared" si="161"/>
        <v>0</v>
      </c>
      <c r="I1854" s="1" t="s">
        <v>346</v>
      </c>
      <c r="K1854" s="1" t="b">
        <v>1</v>
      </c>
    </row>
    <row r="1855" spans="1:11">
      <c r="A1855" s="1" t="s">
        <v>1805</v>
      </c>
      <c r="B1855" s="374" t="str">
        <f>报表附注!E2014</f>
        <v>22、其他3-排污费</v>
      </c>
      <c r="C1855" s="322">
        <f t="shared" si="163"/>
        <v>0</v>
      </c>
      <c r="D1855" s="1" t="b">
        <f t="shared" si="164"/>
        <v>0</v>
      </c>
      <c r="E1855" s="315"/>
      <c r="H1855" s="1" t="b">
        <f t="shared" si="161"/>
        <v>0</v>
      </c>
      <c r="I1855" s="1" t="s">
        <v>672</v>
      </c>
      <c r="K1855" s="1" t="b">
        <v>1</v>
      </c>
    </row>
    <row r="1856" spans="1:11">
      <c r="A1856" s="1" t="s">
        <v>1806</v>
      </c>
      <c r="B1856" s="374" t="str">
        <f>报表附注!E2015</f>
        <v>23、其他4-</v>
      </c>
      <c r="C1856" s="322">
        <f t="shared" si="163"/>
        <v>0</v>
      </c>
      <c r="D1856" s="1" t="b">
        <f t="shared" si="164"/>
        <v>0</v>
      </c>
      <c r="E1856" s="315"/>
      <c r="H1856" s="1" t="b">
        <f t="shared" si="161"/>
        <v>0</v>
      </c>
      <c r="I1856" s="1" t="s">
        <v>1817</v>
      </c>
      <c r="K1856" s="1" t="b">
        <v>1</v>
      </c>
    </row>
    <row r="1857" spans="1:11">
      <c r="A1857" s="1" t="s">
        <v>1807</v>
      </c>
      <c r="B1857" s="374" t="str">
        <f>报表附注!E2016</f>
        <v>24、其他5-</v>
      </c>
      <c r="C1857" s="322">
        <f t="shared" si="163"/>
        <v>0</v>
      </c>
      <c r="D1857" s="1" t="b">
        <f t="shared" si="164"/>
        <v>0</v>
      </c>
      <c r="E1857" s="315"/>
      <c r="H1857" s="1" t="b">
        <f t="shared" si="161"/>
        <v>0</v>
      </c>
      <c r="I1857" s="1" t="s">
        <v>1818</v>
      </c>
      <c r="K1857" s="1" t="b">
        <v>1</v>
      </c>
    </row>
    <row r="1858" spans="1:11">
      <c r="A1858" s="1" t="s">
        <v>1580</v>
      </c>
      <c r="B1858" s="324" t="str">
        <f>报表附注!E2017</f>
        <v>合计</v>
      </c>
      <c r="C1858" s="322">
        <f t="shared" si="163"/>
        <v>0</v>
      </c>
      <c r="D1858" s="1" t="b">
        <f t="shared" si="164"/>
        <v>1</v>
      </c>
      <c r="E1858" s="315"/>
      <c r="H1858" s="1" t="b">
        <f t="shared" si="161"/>
        <v>0</v>
      </c>
      <c r="I1858" s="1" t="s">
        <v>1819</v>
      </c>
      <c r="K1858" s="1" t="b">
        <v>1</v>
      </c>
    </row>
    <row r="1859" spans="4:11">
      <c r="D1859" s="1" t="b">
        <f t="shared" si="164"/>
        <v>1</v>
      </c>
      <c r="H1859" s="1" t="b">
        <f t="shared" si="161"/>
        <v>0</v>
      </c>
      <c r="I1859" s="1" t="s">
        <v>1820</v>
      </c>
      <c r="K1859" s="1" t="b">
        <v>1</v>
      </c>
    </row>
    <row r="1860" spans="1:11">
      <c r="A1860" s="1" t="s">
        <v>1810</v>
      </c>
      <c r="B1860" s="377" t="s">
        <v>1810</v>
      </c>
      <c r="D1860" s="1" t="b">
        <f t="shared" si="164"/>
        <v>1</v>
      </c>
      <c r="H1860" s="1" t="b">
        <f t="shared" ref="H1860:H1923" si="165">I1860=B1860</f>
        <v>0</v>
      </c>
      <c r="I1860" s="1" t="s">
        <v>1821</v>
      </c>
      <c r="K1860" s="1" t="b">
        <v>1</v>
      </c>
    </row>
    <row r="1861" spans="1:11">
      <c r="A1861" s="1" t="s">
        <v>515</v>
      </c>
      <c r="B1861" s="335" t="s">
        <v>515</v>
      </c>
      <c r="D1861" s="1" t="b">
        <f t="shared" si="164"/>
        <v>1</v>
      </c>
      <c r="H1861" s="1" t="b">
        <f t="shared" si="165"/>
        <v>0</v>
      </c>
      <c r="I1861" s="1" t="s">
        <v>1822</v>
      </c>
      <c r="K1861" s="1" t="b">
        <v>1</v>
      </c>
    </row>
    <row r="1862" spans="1:11">
      <c r="A1862" s="1" t="s">
        <v>1811</v>
      </c>
      <c r="B1862" s="313" t="str">
        <f>报表附注!E2028</f>
        <v>分期付息到期还本的长期借款利息</v>
      </c>
      <c r="C1862" s="358">
        <f>J1810</f>
        <v>0</v>
      </c>
      <c r="D1862" s="1" t="b">
        <f t="shared" si="164"/>
        <v>1</v>
      </c>
      <c r="E1862" s="334"/>
      <c r="H1862" s="1" t="b">
        <f t="shared" si="165"/>
        <v>0</v>
      </c>
      <c r="I1862" s="1" t="s">
        <v>279</v>
      </c>
      <c r="K1862" s="1" t="b">
        <v>1</v>
      </c>
    </row>
    <row r="1863" spans="1:11">
      <c r="A1863" s="1" t="s">
        <v>1812</v>
      </c>
      <c r="B1863" s="313" t="str">
        <f>报表附注!E2029</f>
        <v>企业债券利息</v>
      </c>
      <c r="C1863" s="358">
        <f>J1811</f>
        <v>0</v>
      </c>
      <c r="D1863" s="1" t="b">
        <f t="shared" si="164"/>
        <v>1</v>
      </c>
      <c r="E1863" s="334"/>
      <c r="H1863" s="1" t="b">
        <f t="shared" si="165"/>
        <v>0</v>
      </c>
      <c r="I1863" s="1" t="s">
        <v>346</v>
      </c>
      <c r="K1863" s="1" t="b">
        <v>1</v>
      </c>
    </row>
    <row r="1864" spans="1:11">
      <c r="A1864" s="1" t="s">
        <v>1813</v>
      </c>
      <c r="B1864" s="313" t="str">
        <f>报表附注!E2030</f>
        <v>短期借款应付利息</v>
      </c>
      <c r="C1864" s="358">
        <f>J1812</f>
        <v>0</v>
      </c>
      <c r="D1864" s="1" t="b">
        <f t="shared" si="164"/>
        <v>1</v>
      </c>
      <c r="E1864" s="334"/>
      <c r="H1864" s="1" t="b">
        <f t="shared" si="165"/>
        <v>0</v>
      </c>
      <c r="K1864" s="1" t="b">
        <v>1</v>
      </c>
    </row>
    <row r="1865" spans="1:11">
      <c r="A1865" s="1" t="s">
        <v>1580</v>
      </c>
      <c r="B1865" s="324" t="str">
        <f>报表附注!E2031</f>
        <v>合计</v>
      </c>
      <c r="C1865" s="358">
        <f>J1813</f>
        <v>0</v>
      </c>
      <c r="D1865" s="1" t="b">
        <f t="shared" si="164"/>
        <v>1</v>
      </c>
      <c r="E1865" s="334"/>
      <c r="H1865" s="1" t="b">
        <f t="shared" si="165"/>
        <v>0</v>
      </c>
      <c r="K1865" s="1" t="b">
        <v>1</v>
      </c>
    </row>
    <row r="1866" spans="4:11">
      <c r="D1866" s="1" t="b">
        <f t="shared" si="164"/>
        <v>1</v>
      </c>
      <c r="H1866" s="1" t="b">
        <f t="shared" si="165"/>
        <v>0</v>
      </c>
      <c r="I1866" s="1" t="s">
        <v>1823</v>
      </c>
      <c r="K1866" s="1" t="b">
        <v>1</v>
      </c>
    </row>
    <row r="1867" spans="4:11">
      <c r="D1867" s="1" t="b">
        <f t="shared" si="164"/>
        <v>1</v>
      </c>
      <c r="H1867" s="1" t="b">
        <f t="shared" si="165"/>
        <v>0</v>
      </c>
      <c r="I1867" s="1" t="s">
        <v>1824</v>
      </c>
      <c r="K1867" s="1" t="b">
        <v>1</v>
      </c>
    </row>
    <row r="1868" spans="1:11">
      <c r="A1868" s="1" t="s">
        <v>1814</v>
      </c>
      <c r="B1868" s="333" t="s">
        <v>1814</v>
      </c>
      <c r="D1868" s="1" t="b">
        <f t="shared" si="164"/>
        <v>1</v>
      </c>
      <c r="H1868" s="1" t="b">
        <f t="shared" si="165"/>
        <v>0</v>
      </c>
      <c r="I1868" s="1" t="s">
        <v>515</v>
      </c>
      <c r="K1868" s="1" t="b">
        <v>1</v>
      </c>
    </row>
    <row r="1869" spans="4:11">
      <c r="D1869" s="1" t="b">
        <f t="shared" si="164"/>
        <v>1</v>
      </c>
      <c r="H1869" s="1" t="b">
        <f t="shared" si="165"/>
        <v>0</v>
      </c>
      <c r="I1869" s="1" t="s">
        <v>1825</v>
      </c>
      <c r="K1869" s="1" t="b">
        <v>1</v>
      </c>
    </row>
    <row r="1870" spans="1:11">
      <c r="A1870" s="1" t="s">
        <v>1815</v>
      </c>
      <c r="B1870" s="331" t="s">
        <v>1815</v>
      </c>
      <c r="D1870" s="1" t="b">
        <f t="shared" si="164"/>
        <v>1</v>
      </c>
      <c r="H1870" s="1" t="b">
        <f t="shared" si="165"/>
        <v>0</v>
      </c>
      <c r="I1870" s="1" t="s">
        <v>1826</v>
      </c>
      <c r="K1870" s="1" t="b">
        <v>1</v>
      </c>
    </row>
    <row r="1871" spans="1:11">
      <c r="A1871" s="1" t="s">
        <v>315</v>
      </c>
      <c r="B1871" s="335" t="s">
        <v>315</v>
      </c>
      <c r="D1871" s="1" t="b">
        <f t="shared" si="164"/>
        <v>1</v>
      </c>
      <c r="E1871" s="311"/>
      <c r="H1871" s="1" t="b">
        <f t="shared" si="165"/>
        <v>0</v>
      </c>
      <c r="I1871" s="1" t="s">
        <v>1827</v>
      </c>
      <c r="K1871" s="1" t="b">
        <v>1</v>
      </c>
    </row>
    <row r="1872" spans="1:11">
      <c r="A1872" s="1" t="s">
        <v>1585</v>
      </c>
      <c r="B1872" s="313" t="str">
        <f>报表附注!E2065</f>
        <v>1年以内（含1年）</v>
      </c>
      <c r="C1872" s="322">
        <f t="shared" ref="C1872:C1886" si="166">J1820</f>
        <v>0</v>
      </c>
      <c r="D1872" s="1" t="b">
        <f t="shared" si="164"/>
        <v>1</v>
      </c>
      <c r="E1872" s="315"/>
      <c r="H1872" s="1" t="b">
        <f t="shared" si="165"/>
        <v>0</v>
      </c>
      <c r="I1872" s="1" t="s">
        <v>1828</v>
      </c>
      <c r="K1872" s="1" t="b">
        <v>1</v>
      </c>
    </row>
    <row r="1873" spans="1:11">
      <c r="A1873" s="1" t="s">
        <v>1586</v>
      </c>
      <c r="B1873" s="313" t="str">
        <f>报表附注!E2066</f>
        <v>1-2年（含2年）</v>
      </c>
      <c r="C1873" s="322">
        <f t="shared" si="166"/>
        <v>0</v>
      </c>
      <c r="D1873" s="1" t="b">
        <f t="shared" si="164"/>
        <v>1</v>
      </c>
      <c r="E1873" s="315"/>
      <c r="H1873" s="1" t="b">
        <f t="shared" si="165"/>
        <v>0</v>
      </c>
      <c r="I1873" s="1" t="s">
        <v>1762</v>
      </c>
      <c r="K1873" s="1" t="b">
        <v>1</v>
      </c>
    </row>
    <row r="1874" spans="1:11">
      <c r="A1874" s="1" t="s">
        <v>1587</v>
      </c>
      <c r="B1874" s="313" t="str">
        <f>报表附注!E2067</f>
        <v>2-3年（含3年）</v>
      </c>
      <c r="C1874" s="322">
        <f t="shared" si="166"/>
        <v>0</v>
      </c>
      <c r="D1874" s="1" t="b">
        <f t="shared" si="164"/>
        <v>1</v>
      </c>
      <c r="E1874" s="315"/>
      <c r="H1874" s="1" t="b">
        <f t="shared" si="165"/>
        <v>0</v>
      </c>
      <c r="I1874" s="1" t="s">
        <v>670</v>
      </c>
      <c r="K1874" s="1" t="b">
        <v>1</v>
      </c>
    </row>
    <row r="1875" spans="1:11">
      <c r="A1875" s="1" t="s">
        <v>1588</v>
      </c>
      <c r="B1875" s="313" t="str">
        <f>报表附注!E2068</f>
        <v>3-4年（含4年）</v>
      </c>
      <c r="C1875" s="322">
        <f t="shared" si="166"/>
        <v>0</v>
      </c>
      <c r="D1875" s="1" t="b">
        <f t="shared" si="164"/>
        <v>1</v>
      </c>
      <c r="E1875" s="315"/>
      <c r="H1875" s="1" t="b">
        <f t="shared" si="165"/>
        <v>0</v>
      </c>
      <c r="I1875" s="1" t="s">
        <v>1825</v>
      </c>
      <c r="K1875" s="1" t="b">
        <v>1</v>
      </c>
    </row>
    <row r="1876" spans="1:11">
      <c r="A1876" s="1" t="s">
        <v>1589</v>
      </c>
      <c r="B1876" s="313" t="str">
        <f>报表附注!E2069</f>
        <v>4-5年（含5年）</v>
      </c>
      <c r="C1876" s="322">
        <f t="shared" si="166"/>
        <v>0</v>
      </c>
      <c r="D1876" s="1" t="b">
        <f t="shared" si="164"/>
        <v>1</v>
      </c>
      <c r="E1876" s="315"/>
      <c r="H1876" s="1" t="b">
        <f t="shared" si="165"/>
        <v>0</v>
      </c>
      <c r="I1876" s="1" t="s">
        <v>1826</v>
      </c>
      <c r="K1876" s="1" t="b">
        <v>1</v>
      </c>
    </row>
    <row r="1877" spans="1:11">
      <c r="A1877" s="1" t="s">
        <v>1590</v>
      </c>
      <c r="B1877" s="313" t="str">
        <f>报表附注!E2070</f>
        <v>5年以上</v>
      </c>
      <c r="C1877" s="322">
        <f t="shared" si="166"/>
        <v>0</v>
      </c>
      <c r="D1877" s="1" t="b">
        <f t="shared" si="164"/>
        <v>1</v>
      </c>
      <c r="E1877" s="315"/>
      <c r="H1877" s="1" t="b">
        <f t="shared" si="165"/>
        <v>0</v>
      </c>
      <c r="I1877" s="1" t="s">
        <v>1827</v>
      </c>
      <c r="K1877" s="1" t="b">
        <v>1</v>
      </c>
    </row>
    <row r="1878" spans="1:11">
      <c r="A1878" s="1" t="s">
        <v>1580</v>
      </c>
      <c r="B1878" s="324" t="str">
        <f>报表附注!E2071</f>
        <v>合计</v>
      </c>
      <c r="C1878" s="322">
        <f t="shared" si="166"/>
        <v>0</v>
      </c>
      <c r="D1878" s="1" t="b">
        <f t="shared" si="164"/>
        <v>1</v>
      </c>
      <c r="E1878" s="315"/>
      <c r="H1878" s="1" t="b">
        <f t="shared" si="165"/>
        <v>0</v>
      </c>
      <c r="I1878" s="1" t="s">
        <v>1828</v>
      </c>
      <c r="K1878" s="1" t="b">
        <v>1</v>
      </c>
    </row>
    <row r="1879" spans="1:11">
      <c r="A1879" s="1" t="s">
        <v>1579</v>
      </c>
      <c r="B1879" s="335" t="s">
        <v>1579</v>
      </c>
      <c r="C1879" s="330">
        <f t="shared" si="166"/>
        <v>0</v>
      </c>
      <c r="D1879" s="1" t="b">
        <f t="shared" si="164"/>
        <v>1</v>
      </c>
      <c r="H1879" s="1" t="b">
        <f t="shared" si="165"/>
        <v>0</v>
      </c>
      <c r="I1879" s="1" t="s">
        <v>1762</v>
      </c>
      <c r="K1879" s="1" t="b">
        <v>1</v>
      </c>
    </row>
    <row r="1880" spans="1:11">
      <c r="A1880" s="1" t="s">
        <v>1585</v>
      </c>
      <c r="B1880" s="313" t="str">
        <f>报表附注!E2065</f>
        <v>1年以内（含1年）</v>
      </c>
      <c r="C1880" s="325">
        <f t="shared" si="166"/>
        <v>0</v>
      </c>
      <c r="D1880" s="1" t="b">
        <f t="shared" si="164"/>
        <v>1</v>
      </c>
      <c r="E1880" s="325">
        <f>C1872</f>
        <v>0</v>
      </c>
      <c r="H1880" s="1" t="b">
        <f t="shared" si="165"/>
        <v>0</v>
      </c>
      <c r="K1880" s="1" t="b">
        <v>1</v>
      </c>
    </row>
    <row r="1881" spans="1:11">
      <c r="A1881" s="1" t="s">
        <v>1586</v>
      </c>
      <c r="B1881" s="313" t="str">
        <f>报表附注!E2066</f>
        <v>1-2年（含2年）</v>
      </c>
      <c r="C1881" s="325">
        <f t="shared" si="166"/>
        <v>0</v>
      </c>
      <c r="D1881" s="1" t="b">
        <f t="shared" si="164"/>
        <v>1</v>
      </c>
      <c r="E1881" s="325">
        <f t="shared" ref="E1881:E1886" si="167">C1873</f>
        <v>0</v>
      </c>
      <c r="H1881" s="1" t="b">
        <f t="shared" si="165"/>
        <v>0</v>
      </c>
      <c r="I1881" s="1" t="s">
        <v>1829</v>
      </c>
      <c r="K1881" s="1" t="b">
        <v>1</v>
      </c>
    </row>
    <row r="1882" spans="1:11">
      <c r="A1882" s="1" t="s">
        <v>1587</v>
      </c>
      <c r="B1882" s="313" t="str">
        <f>报表附注!E2067</f>
        <v>2-3年（含3年）</v>
      </c>
      <c r="C1882" s="325">
        <f t="shared" si="166"/>
        <v>0</v>
      </c>
      <c r="D1882" s="1" t="b">
        <f t="shared" si="164"/>
        <v>1</v>
      </c>
      <c r="E1882" s="325">
        <f t="shared" si="167"/>
        <v>0</v>
      </c>
      <c r="H1882" s="1" t="b">
        <f t="shared" si="165"/>
        <v>0</v>
      </c>
      <c r="I1882" s="1" t="s">
        <v>315</v>
      </c>
      <c r="K1882" s="1" t="b">
        <v>1</v>
      </c>
    </row>
    <row r="1883" spans="1:11">
      <c r="A1883" s="1" t="s">
        <v>1588</v>
      </c>
      <c r="B1883" s="313" t="str">
        <f>报表附注!E2068</f>
        <v>3-4年（含4年）</v>
      </c>
      <c r="C1883" s="325">
        <f t="shared" si="166"/>
        <v>0</v>
      </c>
      <c r="D1883" s="1" t="b">
        <f t="shared" si="164"/>
        <v>1</v>
      </c>
      <c r="E1883" s="325">
        <f t="shared" si="167"/>
        <v>0</v>
      </c>
      <c r="H1883" s="1" t="b">
        <f t="shared" si="165"/>
        <v>0</v>
      </c>
      <c r="I1883" s="1" t="s">
        <v>982</v>
      </c>
      <c r="K1883" s="1" t="b">
        <v>1</v>
      </c>
    </row>
    <row r="1884" spans="1:11">
      <c r="A1884" s="1" t="s">
        <v>1589</v>
      </c>
      <c r="B1884" s="313" t="str">
        <f>报表附注!E2069</f>
        <v>4-5年（含5年）</v>
      </c>
      <c r="C1884" s="325">
        <f t="shared" si="166"/>
        <v>0</v>
      </c>
      <c r="D1884" s="1" t="b">
        <f t="shared" si="164"/>
        <v>1</v>
      </c>
      <c r="E1884" s="325">
        <f t="shared" si="167"/>
        <v>0</v>
      </c>
      <c r="H1884" s="1" t="b">
        <f t="shared" si="165"/>
        <v>0</v>
      </c>
      <c r="I1884" s="1" t="s">
        <v>984</v>
      </c>
      <c r="K1884" s="1" t="b">
        <v>1</v>
      </c>
    </row>
    <row r="1885" spans="1:11">
      <c r="A1885" s="1" t="s">
        <v>1590</v>
      </c>
      <c r="B1885" s="313" t="str">
        <f>报表附注!E2070</f>
        <v>5年以上</v>
      </c>
      <c r="C1885" s="325">
        <f t="shared" si="166"/>
        <v>0</v>
      </c>
      <c r="D1885" s="1" t="b">
        <f t="shared" si="164"/>
        <v>1</v>
      </c>
      <c r="E1885" s="325">
        <f t="shared" si="167"/>
        <v>0</v>
      </c>
      <c r="H1885" s="1" t="b">
        <f t="shared" si="165"/>
        <v>0</v>
      </c>
      <c r="I1885" s="1" t="s">
        <v>986</v>
      </c>
      <c r="K1885" s="1" t="b">
        <v>1</v>
      </c>
    </row>
    <row r="1886" spans="1:11">
      <c r="A1886" s="1" t="s">
        <v>1580</v>
      </c>
      <c r="B1886" s="324" t="str">
        <f>报表附注!E2071</f>
        <v>合计</v>
      </c>
      <c r="C1886" s="325">
        <f t="shared" si="166"/>
        <v>0</v>
      </c>
      <c r="D1886" s="1" t="b">
        <f t="shared" si="164"/>
        <v>1</v>
      </c>
      <c r="E1886" s="325">
        <f t="shared" si="167"/>
        <v>0</v>
      </c>
      <c r="H1886" s="1" t="b">
        <f t="shared" si="165"/>
        <v>0</v>
      </c>
      <c r="I1886" s="1" t="s">
        <v>988</v>
      </c>
      <c r="K1886" s="1" t="b">
        <v>1</v>
      </c>
    </row>
    <row r="1887" spans="4:11">
      <c r="D1887" s="1" t="b">
        <f t="shared" si="164"/>
        <v>1</v>
      </c>
      <c r="H1887" s="1" t="b">
        <f t="shared" si="165"/>
        <v>0</v>
      </c>
      <c r="I1887" s="1" t="s">
        <v>1762</v>
      </c>
      <c r="K1887" s="1" t="b">
        <v>1</v>
      </c>
    </row>
    <row r="1888" ht="12" spans="1:11">
      <c r="A1888" s="1" t="s">
        <v>1816</v>
      </c>
      <c r="B1888" s="354" t="s">
        <v>1816</v>
      </c>
      <c r="D1888" s="1" t="b">
        <f t="shared" si="164"/>
        <v>1</v>
      </c>
      <c r="H1888" s="1" t="b">
        <f t="shared" si="165"/>
        <v>0</v>
      </c>
      <c r="I1888" s="1" t="s">
        <v>1579</v>
      </c>
      <c r="K1888" s="1" t="b">
        <v>1</v>
      </c>
    </row>
    <row r="1889" ht="12" spans="1:11">
      <c r="A1889" s="1" t="s">
        <v>670</v>
      </c>
      <c r="B1889" s="378" t="s">
        <v>670</v>
      </c>
      <c r="D1889" s="1" t="b">
        <f t="shared" si="164"/>
        <v>1</v>
      </c>
      <c r="H1889" s="1" t="b">
        <f t="shared" si="165"/>
        <v>0</v>
      </c>
      <c r="I1889" s="1" t="s">
        <v>982</v>
      </c>
      <c r="K1889" s="1" t="b">
        <v>1</v>
      </c>
    </row>
    <row r="1890" ht="12" spans="1:11">
      <c r="A1890" s="1" t="s">
        <v>1817</v>
      </c>
      <c r="B1890" s="379" t="str">
        <f>报表附注!E2160</f>
        <v>对外提供担保</v>
      </c>
      <c r="C1890" s="322">
        <f t="shared" ref="C1890:C1915" si="168">J1838</f>
        <v>0</v>
      </c>
      <c r="D1890" s="1" t="b">
        <f t="shared" si="164"/>
        <v>1</v>
      </c>
      <c r="E1890" s="325">
        <f>C1890+C1899-C1908</f>
        <v>0</v>
      </c>
      <c r="H1890" s="1" t="b">
        <f t="shared" si="165"/>
        <v>0</v>
      </c>
      <c r="I1890" s="1" t="s">
        <v>984</v>
      </c>
      <c r="K1890" s="1" t="b">
        <v>1</v>
      </c>
    </row>
    <row r="1891" ht="12" spans="1:11">
      <c r="A1891" s="1" t="s">
        <v>1818</v>
      </c>
      <c r="B1891" s="379" t="str">
        <f>报表附注!E2161</f>
        <v>未决诉讼</v>
      </c>
      <c r="C1891" s="322">
        <f t="shared" si="168"/>
        <v>0</v>
      </c>
      <c r="D1891" s="1" t="b">
        <f t="shared" si="164"/>
        <v>1</v>
      </c>
      <c r="E1891" s="325">
        <f t="shared" ref="E1891:E1897" si="169">C1891+C1900-C1909</f>
        <v>0</v>
      </c>
      <c r="H1891" s="1" t="b">
        <f t="shared" si="165"/>
        <v>0</v>
      </c>
      <c r="I1891" s="1" t="s">
        <v>986</v>
      </c>
      <c r="K1891" s="1" t="b">
        <v>1</v>
      </c>
    </row>
    <row r="1892" ht="12" spans="1:11">
      <c r="A1892" s="1" t="s">
        <v>1819</v>
      </c>
      <c r="B1892" s="379" t="str">
        <f>报表附注!E2162</f>
        <v>产品质量保证</v>
      </c>
      <c r="C1892" s="322">
        <f t="shared" si="168"/>
        <v>0</v>
      </c>
      <c r="D1892" s="1" t="b">
        <f t="shared" si="164"/>
        <v>1</v>
      </c>
      <c r="E1892" s="325">
        <f t="shared" si="169"/>
        <v>0</v>
      </c>
      <c r="H1892" s="1" t="b">
        <f t="shared" si="165"/>
        <v>0</v>
      </c>
      <c r="I1892" s="1" t="s">
        <v>988</v>
      </c>
      <c r="K1892" s="1" t="b">
        <v>1</v>
      </c>
    </row>
    <row r="1893" ht="12" spans="1:11">
      <c r="A1893" s="1" t="s">
        <v>1820</v>
      </c>
      <c r="B1893" s="379" t="str">
        <f>报表附注!E2163</f>
        <v>重组义务</v>
      </c>
      <c r="C1893" s="322">
        <f t="shared" si="168"/>
        <v>0</v>
      </c>
      <c r="D1893" s="1" t="b">
        <f t="shared" si="164"/>
        <v>1</v>
      </c>
      <c r="E1893" s="325">
        <f t="shared" si="169"/>
        <v>0</v>
      </c>
      <c r="H1893" s="1" t="b">
        <f t="shared" si="165"/>
        <v>0</v>
      </c>
      <c r="I1893" s="1" t="s">
        <v>1762</v>
      </c>
      <c r="K1893" s="1" t="b">
        <v>1</v>
      </c>
    </row>
    <row r="1894" ht="12" spans="1:11">
      <c r="A1894" s="1" t="s">
        <v>1821</v>
      </c>
      <c r="B1894" s="379" t="str">
        <f>报表附注!E2164</f>
        <v>辞退福利</v>
      </c>
      <c r="C1894" s="322">
        <f t="shared" si="168"/>
        <v>0</v>
      </c>
      <c r="D1894" s="1" t="b">
        <f t="shared" si="164"/>
        <v>1</v>
      </c>
      <c r="E1894" s="325">
        <f t="shared" si="169"/>
        <v>0</v>
      </c>
      <c r="H1894" s="1" t="b">
        <f t="shared" si="165"/>
        <v>0</v>
      </c>
      <c r="K1894" s="1" t="b">
        <v>1</v>
      </c>
    </row>
    <row r="1895" ht="12" spans="1:11">
      <c r="A1895" s="1" t="s">
        <v>1822</v>
      </c>
      <c r="B1895" s="379" t="str">
        <f>报表附注!E2165</f>
        <v>待执行的亏损合同</v>
      </c>
      <c r="C1895" s="322">
        <f t="shared" si="168"/>
        <v>0</v>
      </c>
      <c r="D1895" s="1" t="b">
        <f t="shared" si="164"/>
        <v>1</v>
      </c>
      <c r="E1895" s="325">
        <f t="shared" si="169"/>
        <v>0</v>
      </c>
      <c r="H1895" s="1" t="b">
        <f t="shared" si="165"/>
        <v>0</v>
      </c>
      <c r="I1895" s="1" t="s">
        <v>1830</v>
      </c>
      <c r="K1895" s="1" t="b">
        <v>1</v>
      </c>
    </row>
    <row r="1896" ht="12" spans="1:11">
      <c r="A1896" s="1" t="s">
        <v>279</v>
      </c>
      <c r="B1896" s="379" t="str">
        <f>报表附注!E2166</f>
        <v>其他</v>
      </c>
      <c r="C1896" s="322">
        <f t="shared" si="168"/>
        <v>0</v>
      </c>
      <c r="D1896" s="1" t="b">
        <f t="shared" si="164"/>
        <v>1</v>
      </c>
      <c r="E1896" s="325">
        <f t="shared" si="169"/>
        <v>0</v>
      </c>
      <c r="H1896" s="1" t="b">
        <f t="shared" si="165"/>
        <v>0</v>
      </c>
      <c r="K1896" s="1" t="b">
        <v>1</v>
      </c>
    </row>
    <row r="1897" ht="12" spans="1:11">
      <c r="A1897" s="1" t="s">
        <v>346</v>
      </c>
      <c r="B1897" s="380" t="str">
        <f>报表附注!E2167</f>
        <v>合 计</v>
      </c>
      <c r="C1897" s="322">
        <f t="shared" si="168"/>
        <v>0</v>
      </c>
      <c r="D1897" s="1" t="b">
        <f t="shared" si="164"/>
        <v>1</v>
      </c>
      <c r="E1897" s="325">
        <f t="shared" si="169"/>
        <v>0</v>
      </c>
      <c r="H1897" s="1" t="b">
        <f t="shared" si="165"/>
        <v>0</v>
      </c>
      <c r="I1897" s="1" t="s">
        <v>1831</v>
      </c>
      <c r="K1897" s="1" t="b">
        <v>1</v>
      </c>
    </row>
    <row r="1898" ht="12" spans="1:11">
      <c r="A1898" s="1" t="s">
        <v>671</v>
      </c>
      <c r="B1898" s="378" t="s">
        <v>671</v>
      </c>
      <c r="C1898" s="330">
        <f t="shared" si="168"/>
        <v>0</v>
      </c>
      <c r="D1898" s="1" t="b">
        <f t="shared" si="164"/>
        <v>1</v>
      </c>
      <c r="H1898" s="1" t="b">
        <f t="shared" si="165"/>
        <v>0</v>
      </c>
      <c r="I1898" s="1" t="s">
        <v>315</v>
      </c>
      <c r="K1898" s="1" t="b">
        <v>1</v>
      </c>
    </row>
    <row r="1899" ht="12" spans="1:11">
      <c r="A1899" s="1" t="s">
        <v>1817</v>
      </c>
      <c r="B1899" s="379" t="str">
        <f>报表附注!E2160</f>
        <v>对外提供担保</v>
      </c>
      <c r="C1899" s="322">
        <f t="shared" si="168"/>
        <v>0</v>
      </c>
      <c r="D1899" s="1" t="b">
        <f t="shared" si="164"/>
        <v>1</v>
      </c>
      <c r="E1899" s="315"/>
      <c r="H1899" s="1" t="b">
        <f t="shared" si="165"/>
        <v>0</v>
      </c>
      <c r="I1899" s="1" t="s">
        <v>982</v>
      </c>
      <c r="K1899" s="1" t="b">
        <v>1</v>
      </c>
    </row>
    <row r="1900" ht="12" spans="1:11">
      <c r="A1900" s="1" t="s">
        <v>1818</v>
      </c>
      <c r="B1900" s="379" t="str">
        <f>报表附注!E2161</f>
        <v>未决诉讼</v>
      </c>
      <c r="C1900" s="322">
        <f t="shared" si="168"/>
        <v>0</v>
      </c>
      <c r="D1900" s="1" t="b">
        <f t="shared" si="164"/>
        <v>1</v>
      </c>
      <c r="E1900" s="315"/>
      <c r="H1900" s="1" t="b">
        <f t="shared" si="165"/>
        <v>0</v>
      </c>
      <c r="I1900" s="1" t="s">
        <v>984</v>
      </c>
      <c r="K1900" s="1" t="b">
        <v>1</v>
      </c>
    </row>
    <row r="1901" ht="12" spans="1:11">
      <c r="A1901" s="1" t="s">
        <v>1819</v>
      </c>
      <c r="B1901" s="379" t="str">
        <f>报表附注!E2162</f>
        <v>产品质量保证</v>
      </c>
      <c r="C1901" s="322">
        <f t="shared" si="168"/>
        <v>0</v>
      </c>
      <c r="D1901" s="1" t="b">
        <f t="shared" si="164"/>
        <v>1</v>
      </c>
      <c r="E1901" s="315"/>
      <c r="H1901" s="1" t="b">
        <f t="shared" si="165"/>
        <v>0</v>
      </c>
      <c r="I1901" s="1" t="s">
        <v>986</v>
      </c>
      <c r="K1901" s="1" t="b">
        <v>1</v>
      </c>
    </row>
    <row r="1902" ht="12" spans="1:11">
      <c r="A1902" s="1" t="s">
        <v>1820</v>
      </c>
      <c r="B1902" s="379" t="str">
        <f>报表附注!E2163</f>
        <v>重组义务</v>
      </c>
      <c r="C1902" s="322">
        <f t="shared" si="168"/>
        <v>0</v>
      </c>
      <c r="D1902" s="1" t="b">
        <f t="shared" si="164"/>
        <v>1</v>
      </c>
      <c r="E1902" s="315"/>
      <c r="H1902" s="1" t="b">
        <f t="shared" si="165"/>
        <v>0</v>
      </c>
      <c r="I1902" s="1" t="s">
        <v>988</v>
      </c>
      <c r="K1902" s="1" t="b">
        <v>1</v>
      </c>
    </row>
    <row r="1903" ht="12" spans="1:11">
      <c r="A1903" s="1" t="s">
        <v>1821</v>
      </c>
      <c r="B1903" s="379" t="str">
        <f>报表附注!E2164</f>
        <v>辞退福利</v>
      </c>
      <c r="C1903" s="322">
        <f t="shared" si="168"/>
        <v>0</v>
      </c>
      <c r="D1903" s="1" t="b">
        <f t="shared" si="164"/>
        <v>1</v>
      </c>
      <c r="E1903" s="315"/>
      <c r="H1903" s="1" t="b">
        <f t="shared" si="165"/>
        <v>0</v>
      </c>
      <c r="I1903" s="1" t="s">
        <v>1762</v>
      </c>
      <c r="K1903" s="1" t="b">
        <v>1</v>
      </c>
    </row>
    <row r="1904" ht="12" spans="1:11">
      <c r="A1904" s="1" t="s">
        <v>1822</v>
      </c>
      <c r="B1904" s="379" t="str">
        <f>报表附注!E2165</f>
        <v>待执行的亏损合同</v>
      </c>
      <c r="C1904" s="322">
        <f t="shared" si="168"/>
        <v>0</v>
      </c>
      <c r="D1904" s="1" t="b">
        <f t="shared" si="164"/>
        <v>1</v>
      </c>
      <c r="E1904" s="315"/>
      <c r="H1904" s="1" t="b">
        <f t="shared" si="165"/>
        <v>0</v>
      </c>
      <c r="I1904" s="1" t="s">
        <v>1579</v>
      </c>
      <c r="K1904" s="1" t="b">
        <v>1</v>
      </c>
    </row>
    <row r="1905" ht="12" spans="1:11">
      <c r="A1905" s="1" t="s">
        <v>279</v>
      </c>
      <c r="B1905" s="379" t="str">
        <f>报表附注!E2166</f>
        <v>其他</v>
      </c>
      <c r="C1905" s="322">
        <f t="shared" si="168"/>
        <v>0</v>
      </c>
      <c r="D1905" s="1" t="b">
        <f t="shared" si="164"/>
        <v>1</v>
      </c>
      <c r="E1905" s="315"/>
      <c r="H1905" s="1" t="b">
        <f t="shared" si="165"/>
        <v>0</v>
      </c>
      <c r="I1905" s="1" t="s">
        <v>982</v>
      </c>
      <c r="K1905" s="1" t="b">
        <v>1</v>
      </c>
    </row>
    <row r="1906" ht="12" spans="1:11">
      <c r="A1906" s="1" t="s">
        <v>346</v>
      </c>
      <c r="B1906" s="380" t="str">
        <f>报表附注!E2167</f>
        <v>合 计</v>
      </c>
      <c r="C1906" s="322">
        <f t="shared" si="168"/>
        <v>0</v>
      </c>
      <c r="D1906" s="1" t="b">
        <f t="shared" si="164"/>
        <v>1</v>
      </c>
      <c r="E1906" s="315"/>
      <c r="H1906" s="1" t="b">
        <f t="shared" si="165"/>
        <v>0</v>
      </c>
      <c r="I1906" s="1" t="s">
        <v>984</v>
      </c>
      <c r="K1906" s="1" t="b">
        <v>1</v>
      </c>
    </row>
    <row r="1907" ht="12" spans="1:11">
      <c r="A1907" s="1" t="s">
        <v>672</v>
      </c>
      <c r="B1907" s="378" t="s">
        <v>672</v>
      </c>
      <c r="C1907" s="330">
        <f t="shared" si="168"/>
        <v>0</v>
      </c>
      <c r="D1907" s="1" t="b">
        <f t="shared" si="164"/>
        <v>1</v>
      </c>
      <c r="E1907" s="311"/>
      <c r="H1907" s="1" t="b">
        <f t="shared" si="165"/>
        <v>0</v>
      </c>
      <c r="I1907" s="1" t="s">
        <v>986</v>
      </c>
      <c r="K1907" s="1" t="b">
        <v>1</v>
      </c>
    </row>
    <row r="1908" ht="12" spans="1:11">
      <c r="A1908" s="1" t="s">
        <v>1817</v>
      </c>
      <c r="B1908" s="379" t="str">
        <f>报表附注!E2160</f>
        <v>对外提供担保</v>
      </c>
      <c r="C1908" s="322">
        <f t="shared" si="168"/>
        <v>0</v>
      </c>
      <c r="D1908" s="1" t="b">
        <f t="shared" si="164"/>
        <v>1</v>
      </c>
      <c r="E1908" s="315"/>
      <c r="H1908" s="1" t="b">
        <f t="shared" si="165"/>
        <v>0</v>
      </c>
      <c r="I1908" s="1" t="s">
        <v>988</v>
      </c>
      <c r="K1908" s="1" t="b">
        <v>1</v>
      </c>
    </row>
    <row r="1909" ht="12" spans="1:11">
      <c r="A1909" s="1" t="s">
        <v>1818</v>
      </c>
      <c r="B1909" s="379" t="str">
        <f>报表附注!E2161</f>
        <v>未决诉讼</v>
      </c>
      <c r="C1909" s="322">
        <f t="shared" si="168"/>
        <v>0</v>
      </c>
      <c r="D1909" s="1" t="b">
        <f t="shared" si="164"/>
        <v>1</v>
      </c>
      <c r="E1909" s="315"/>
      <c r="H1909" s="1" t="b">
        <f t="shared" si="165"/>
        <v>0</v>
      </c>
      <c r="I1909" s="1" t="s">
        <v>1762</v>
      </c>
      <c r="K1909" s="1" t="b">
        <v>1</v>
      </c>
    </row>
    <row r="1910" ht="12" spans="1:11">
      <c r="A1910" s="1" t="s">
        <v>1819</v>
      </c>
      <c r="B1910" s="379" t="str">
        <f>报表附注!E2162</f>
        <v>产品质量保证</v>
      </c>
      <c r="C1910" s="322">
        <f t="shared" si="168"/>
        <v>0</v>
      </c>
      <c r="D1910" s="1" t="b">
        <f t="shared" si="164"/>
        <v>1</v>
      </c>
      <c r="E1910" s="315"/>
      <c r="H1910" s="1" t="b">
        <f t="shared" si="165"/>
        <v>0</v>
      </c>
      <c r="K1910" s="1" t="b">
        <v>1</v>
      </c>
    </row>
    <row r="1911" ht="12" spans="1:11">
      <c r="A1911" s="1" t="s">
        <v>1820</v>
      </c>
      <c r="B1911" s="379" t="str">
        <f>报表附注!E2163</f>
        <v>重组义务</v>
      </c>
      <c r="C1911" s="322">
        <f t="shared" si="168"/>
        <v>0</v>
      </c>
      <c r="D1911" s="1" t="b">
        <f t="shared" si="164"/>
        <v>1</v>
      </c>
      <c r="E1911" s="315"/>
      <c r="H1911" s="1" t="b">
        <f t="shared" si="165"/>
        <v>0</v>
      </c>
      <c r="I1911" s="1" t="s">
        <v>1832</v>
      </c>
      <c r="K1911" s="1" t="b">
        <v>1</v>
      </c>
    </row>
    <row r="1912" ht="12" spans="1:11">
      <c r="A1912" s="1" t="s">
        <v>1821</v>
      </c>
      <c r="B1912" s="379" t="str">
        <f>报表附注!E2164</f>
        <v>辞退福利</v>
      </c>
      <c r="C1912" s="322">
        <f t="shared" si="168"/>
        <v>0</v>
      </c>
      <c r="D1912" s="1" t="b">
        <f t="shared" si="164"/>
        <v>1</v>
      </c>
      <c r="E1912" s="315"/>
      <c r="H1912" s="1" t="b">
        <f t="shared" si="165"/>
        <v>0</v>
      </c>
      <c r="K1912" s="1" t="b">
        <v>1</v>
      </c>
    </row>
    <row r="1913" ht="12" spans="1:11">
      <c r="A1913" s="1" t="s">
        <v>1822</v>
      </c>
      <c r="B1913" s="379" t="str">
        <f>报表附注!E2165</f>
        <v>待执行的亏损合同</v>
      </c>
      <c r="C1913" s="322">
        <f t="shared" si="168"/>
        <v>0</v>
      </c>
      <c r="D1913" s="1" t="b">
        <f t="shared" si="164"/>
        <v>1</v>
      </c>
      <c r="E1913" s="315"/>
      <c r="H1913" s="1" t="b">
        <f t="shared" si="165"/>
        <v>0</v>
      </c>
      <c r="I1913" s="1" t="s">
        <v>1834</v>
      </c>
      <c r="K1913" s="1" t="b">
        <v>1</v>
      </c>
    </row>
    <row r="1914" ht="12" spans="1:11">
      <c r="A1914" s="1" t="s">
        <v>279</v>
      </c>
      <c r="B1914" s="379" t="str">
        <f>报表附注!E2166</f>
        <v>其他</v>
      </c>
      <c r="C1914" s="322">
        <f t="shared" si="168"/>
        <v>0</v>
      </c>
      <c r="D1914" s="1" t="b">
        <f t="shared" si="164"/>
        <v>1</v>
      </c>
      <c r="E1914" s="315"/>
      <c r="H1914" s="1" t="b">
        <f t="shared" si="165"/>
        <v>0</v>
      </c>
      <c r="K1914" s="1" t="b">
        <v>1</v>
      </c>
    </row>
    <row r="1915" ht="12" spans="1:11">
      <c r="A1915" s="1" t="s">
        <v>346</v>
      </c>
      <c r="B1915" s="380" t="str">
        <f>报表附注!E2167</f>
        <v>合 计</v>
      </c>
      <c r="C1915" s="322">
        <f t="shared" si="168"/>
        <v>0</v>
      </c>
      <c r="D1915" s="1" t="b">
        <f t="shared" si="164"/>
        <v>1</v>
      </c>
      <c r="E1915" s="315"/>
      <c r="H1915" s="1" t="b">
        <f t="shared" si="165"/>
        <v>0</v>
      </c>
      <c r="I1915" s="1" t="s">
        <v>1836</v>
      </c>
      <c r="K1915" s="1" t="b">
        <v>1</v>
      </c>
    </row>
    <row r="1916" ht="12" spans="2:11">
      <c r="B1916" s="379"/>
      <c r="D1916" s="1" t="b">
        <f t="shared" si="164"/>
        <v>1</v>
      </c>
      <c r="H1916" s="1" t="b">
        <f t="shared" si="165"/>
        <v>1</v>
      </c>
      <c r="K1916" s="1" t="b">
        <v>1</v>
      </c>
    </row>
    <row r="1917" spans="4:11">
      <c r="D1917" s="1" t="b">
        <f t="shared" si="164"/>
        <v>1</v>
      </c>
      <c r="H1917" s="1" t="b">
        <f t="shared" si="165"/>
        <v>0</v>
      </c>
      <c r="I1917" s="1" t="s">
        <v>1838</v>
      </c>
      <c r="K1917" s="1" t="b">
        <v>1</v>
      </c>
    </row>
    <row r="1918" ht="10.5" customHeight="1" spans="1:11">
      <c r="A1918" s="1" t="s">
        <v>1823</v>
      </c>
      <c r="B1918" s="331" t="s">
        <v>1823</v>
      </c>
      <c r="D1918" s="1" t="b">
        <f t="shared" ref="D1918:D1981" si="170">EXACT(A1918,B1918)</f>
        <v>1</v>
      </c>
      <c r="H1918" s="1" t="b">
        <f t="shared" si="165"/>
        <v>0</v>
      </c>
      <c r="K1918" s="1" t="b">
        <v>1</v>
      </c>
    </row>
    <row r="1919" spans="1:11">
      <c r="A1919" s="1" t="s">
        <v>1824</v>
      </c>
      <c r="B1919" s="381" t="s">
        <v>1824</v>
      </c>
      <c r="D1919" s="1" t="b">
        <f t="shared" si="170"/>
        <v>1</v>
      </c>
      <c r="H1919" s="1" t="b">
        <f t="shared" si="165"/>
        <v>0</v>
      </c>
      <c r="I1919" s="1" t="s">
        <v>1839</v>
      </c>
      <c r="K1919" s="1" t="b">
        <v>1</v>
      </c>
    </row>
    <row r="1920" spans="1:11">
      <c r="A1920" s="1" t="s">
        <v>515</v>
      </c>
      <c r="B1920" s="335" t="s">
        <v>515</v>
      </c>
      <c r="D1920" s="1" t="b">
        <f t="shared" si="170"/>
        <v>1</v>
      </c>
      <c r="H1920" s="1" t="b">
        <f t="shared" si="165"/>
        <v>0</v>
      </c>
      <c r="K1920" s="1" t="b">
        <v>1</v>
      </c>
    </row>
    <row r="1921" spans="1:11">
      <c r="A1921" s="1" t="s">
        <v>1825</v>
      </c>
      <c r="B1921" s="313" t="str">
        <f>报表附注!E2176</f>
        <v>一年内到期的长期借款</v>
      </c>
      <c r="C1921" s="382">
        <f t="shared" ref="C1921:C1945" si="171">J1869</f>
        <v>0</v>
      </c>
      <c r="D1921" s="1" t="b">
        <f t="shared" si="170"/>
        <v>1</v>
      </c>
      <c r="E1921" s="334"/>
      <c r="H1921" s="1" t="b">
        <f t="shared" si="165"/>
        <v>0</v>
      </c>
      <c r="I1921" s="1" t="s">
        <v>1841</v>
      </c>
      <c r="K1921" s="1" t="b">
        <v>1</v>
      </c>
    </row>
    <row r="1922" spans="1:11">
      <c r="A1922" s="1" t="s">
        <v>1826</v>
      </c>
      <c r="B1922" s="313" t="str">
        <f>报表附注!E2177</f>
        <v>一年内到期的应付债券</v>
      </c>
      <c r="C1922" s="382">
        <f t="shared" si="171"/>
        <v>0</v>
      </c>
      <c r="D1922" s="1" t="b">
        <f t="shared" si="170"/>
        <v>1</v>
      </c>
      <c r="E1922" s="334"/>
      <c r="H1922" s="1" t="b">
        <f t="shared" si="165"/>
        <v>0</v>
      </c>
      <c r="K1922" s="1" t="b">
        <v>1</v>
      </c>
    </row>
    <row r="1923" spans="1:11">
      <c r="A1923" s="1" t="s">
        <v>1827</v>
      </c>
      <c r="B1923" s="313" t="str">
        <f>报表附注!E2178</f>
        <v>一年内到期的长期应付款</v>
      </c>
      <c r="C1923" s="382">
        <f t="shared" si="171"/>
        <v>0</v>
      </c>
      <c r="D1923" s="1" t="b">
        <f t="shared" si="170"/>
        <v>1</v>
      </c>
      <c r="E1923" s="334"/>
      <c r="H1923" s="1" t="b">
        <f t="shared" si="165"/>
        <v>0</v>
      </c>
      <c r="I1923" s="1" t="s">
        <v>1842</v>
      </c>
      <c r="K1923" s="1" t="b">
        <v>1</v>
      </c>
    </row>
    <row r="1924" spans="1:11">
      <c r="A1924" s="1" t="s">
        <v>1828</v>
      </c>
      <c r="B1924" s="313" t="str">
        <f>报表附注!E2179</f>
        <v>一年内到期内的预计负债</v>
      </c>
      <c r="C1924" s="382">
        <f t="shared" si="171"/>
        <v>0</v>
      </c>
      <c r="D1924" s="1" t="b">
        <f t="shared" si="170"/>
        <v>1</v>
      </c>
      <c r="E1924" s="334"/>
      <c r="H1924" s="1" t="b">
        <f t="shared" ref="H1924:H1987" si="172">I1924=B1924</f>
        <v>0</v>
      </c>
      <c r="K1924" s="1" t="b">
        <v>1</v>
      </c>
    </row>
    <row r="1925" spans="1:11">
      <c r="A1925" s="1" t="s">
        <v>1762</v>
      </c>
      <c r="B1925" s="324" t="str">
        <f>报表附注!E2180</f>
        <v>合   计</v>
      </c>
      <c r="C1925" s="382">
        <f t="shared" si="171"/>
        <v>0</v>
      </c>
      <c r="D1925" s="1" t="b">
        <f t="shared" si="170"/>
        <v>1</v>
      </c>
      <c r="E1925" s="334"/>
      <c r="H1925" s="1" t="b">
        <f t="shared" si="172"/>
        <v>0</v>
      </c>
      <c r="I1925" s="1" t="s">
        <v>1843</v>
      </c>
      <c r="K1925" s="1" t="b">
        <v>1</v>
      </c>
    </row>
    <row r="1926" spans="1:11">
      <c r="A1926" s="1" t="s">
        <v>670</v>
      </c>
      <c r="B1926" s="335" t="s">
        <v>670</v>
      </c>
      <c r="C1926" s="330">
        <f t="shared" si="171"/>
        <v>0</v>
      </c>
      <c r="D1926" s="1" t="b">
        <f t="shared" si="170"/>
        <v>1</v>
      </c>
      <c r="H1926" s="1" t="b">
        <f t="shared" si="172"/>
        <v>0</v>
      </c>
      <c r="I1926" s="1" t="s">
        <v>1579</v>
      </c>
      <c r="K1926" s="1" t="b">
        <v>1</v>
      </c>
    </row>
    <row r="1927" spans="1:11">
      <c r="A1927" s="1" t="s">
        <v>1825</v>
      </c>
      <c r="B1927" s="313" t="str">
        <f>报表附注!E2176</f>
        <v>一年内到期的长期借款</v>
      </c>
      <c r="C1927" s="325">
        <f t="shared" si="171"/>
        <v>0</v>
      </c>
      <c r="D1927" s="1" t="b">
        <f t="shared" si="170"/>
        <v>1</v>
      </c>
      <c r="E1927" s="325">
        <f>C1921</f>
        <v>0</v>
      </c>
      <c r="H1927" s="1" t="b">
        <f t="shared" si="172"/>
        <v>0</v>
      </c>
      <c r="I1927" s="1" t="s">
        <v>1844</v>
      </c>
      <c r="K1927" s="1" t="b">
        <v>1</v>
      </c>
    </row>
    <row r="1928" spans="1:11">
      <c r="A1928" s="1" t="s">
        <v>1826</v>
      </c>
      <c r="B1928" s="313" t="str">
        <f>报表附注!E2177</f>
        <v>一年内到期的应付债券</v>
      </c>
      <c r="C1928" s="325">
        <f t="shared" si="171"/>
        <v>0</v>
      </c>
      <c r="D1928" s="1" t="b">
        <f t="shared" si="170"/>
        <v>1</v>
      </c>
      <c r="E1928" s="325">
        <f>C1922</f>
        <v>0</v>
      </c>
      <c r="H1928" s="1" t="b">
        <f t="shared" si="172"/>
        <v>0</v>
      </c>
      <c r="I1928" s="1" t="s">
        <v>1845</v>
      </c>
      <c r="K1928" s="1" t="b">
        <v>1</v>
      </c>
    </row>
    <row r="1929" spans="1:11">
      <c r="A1929" s="1" t="s">
        <v>1827</v>
      </c>
      <c r="B1929" s="313" t="str">
        <f>报表附注!E2178</f>
        <v>一年内到期的长期应付款</v>
      </c>
      <c r="C1929" s="325">
        <f t="shared" si="171"/>
        <v>0</v>
      </c>
      <c r="D1929" s="1" t="b">
        <f t="shared" si="170"/>
        <v>1</v>
      </c>
      <c r="E1929" s="325">
        <f>C1923</f>
        <v>0</v>
      </c>
      <c r="H1929" s="1" t="b">
        <f t="shared" si="172"/>
        <v>0</v>
      </c>
      <c r="I1929" s="1" t="s">
        <v>1580</v>
      </c>
      <c r="K1929" s="1" t="b">
        <v>1</v>
      </c>
    </row>
    <row r="1930" spans="1:11">
      <c r="A1930" s="1" t="s">
        <v>1828</v>
      </c>
      <c r="B1930" s="313" t="str">
        <f>报表附注!E2179</f>
        <v>一年内到期内的预计负债</v>
      </c>
      <c r="C1930" s="325">
        <f t="shared" si="171"/>
        <v>0</v>
      </c>
      <c r="D1930" s="1" t="b">
        <f t="shared" si="170"/>
        <v>1</v>
      </c>
      <c r="E1930" s="325">
        <f>C1924</f>
        <v>0</v>
      </c>
      <c r="H1930" s="1" t="b">
        <f t="shared" si="172"/>
        <v>0</v>
      </c>
      <c r="I1930" s="1" t="s">
        <v>671</v>
      </c>
      <c r="K1930" s="1" t="b">
        <v>1</v>
      </c>
    </row>
    <row r="1931" spans="1:11">
      <c r="A1931" s="1" t="s">
        <v>1762</v>
      </c>
      <c r="B1931" s="324" t="str">
        <f>报表附注!E2180</f>
        <v>合   计</v>
      </c>
      <c r="C1931" s="325">
        <f t="shared" si="171"/>
        <v>0</v>
      </c>
      <c r="D1931" s="1" t="b">
        <f t="shared" si="170"/>
        <v>1</v>
      </c>
      <c r="E1931" s="325">
        <f>C1925</f>
        <v>0</v>
      </c>
      <c r="H1931" s="1" t="b">
        <f t="shared" si="172"/>
        <v>0</v>
      </c>
      <c r="I1931" s="1" t="s">
        <v>1844</v>
      </c>
      <c r="K1931" s="1" t="b">
        <v>1</v>
      </c>
    </row>
    <row r="1932" spans="3:11">
      <c r="C1932" s="330">
        <f t="shared" si="171"/>
        <v>0</v>
      </c>
      <c r="D1932" s="1" t="b">
        <f t="shared" si="170"/>
        <v>1</v>
      </c>
      <c r="H1932" s="1" t="b">
        <f t="shared" si="172"/>
        <v>0</v>
      </c>
      <c r="I1932" s="1" t="s">
        <v>1845</v>
      </c>
      <c r="K1932" s="1" t="b">
        <v>1</v>
      </c>
    </row>
    <row r="1933" spans="1:11">
      <c r="A1933" s="1" t="s">
        <v>1829</v>
      </c>
      <c r="B1933" s="319" t="s">
        <v>1829</v>
      </c>
      <c r="C1933" s="330">
        <f t="shared" si="171"/>
        <v>0</v>
      </c>
      <c r="D1933" s="1" t="b">
        <f t="shared" si="170"/>
        <v>1</v>
      </c>
      <c r="H1933" s="1" t="b">
        <f t="shared" si="172"/>
        <v>0</v>
      </c>
      <c r="I1933" s="1" t="s">
        <v>1580</v>
      </c>
      <c r="K1933" s="1" t="b">
        <v>1</v>
      </c>
    </row>
    <row r="1934" spans="1:11">
      <c r="A1934" s="1" t="s">
        <v>315</v>
      </c>
      <c r="B1934" s="335" t="s">
        <v>315</v>
      </c>
      <c r="C1934" s="330">
        <f t="shared" si="171"/>
        <v>0</v>
      </c>
      <c r="D1934" s="1" t="b">
        <f t="shared" si="170"/>
        <v>1</v>
      </c>
      <c r="E1934" s="311"/>
      <c r="H1934" s="1" t="b">
        <f t="shared" si="172"/>
        <v>0</v>
      </c>
      <c r="I1934" s="1" t="s">
        <v>672</v>
      </c>
      <c r="K1934" s="1" t="b">
        <v>1</v>
      </c>
    </row>
    <row r="1935" spans="1:11">
      <c r="A1935" s="1" t="s">
        <v>982</v>
      </c>
      <c r="B1935" s="336" t="str">
        <f>报表附注!E2186</f>
        <v>信用借款</v>
      </c>
      <c r="C1935" s="322">
        <f t="shared" si="171"/>
        <v>0</v>
      </c>
      <c r="D1935" s="1" t="b">
        <f t="shared" si="170"/>
        <v>1</v>
      </c>
      <c r="E1935" s="315"/>
      <c r="H1935" s="1" t="b">
        <f t="shared" si="172"/>
        <v>0</v>
      </c>
      <c r="I1935" s="1" t="s">
        <v>1844</v>
      </c>
      <c r="K1935" s="1" t="b">
        <v>1</v>
      </c>
    </row>
    <row r="1936" spans="1:11">
      <c r="A1936" s="1" t="s">
        <v>984</v>
      </c>
      <c r="B1936" s="336" t="str">
        <f>报表附注!E2187</f>
        <v>抵押借款</v>
      </c>
      <c r="C1936" s="322">
        <f t="shared" si="171"/>
        <v>0</v>
      </c>
      <c r="D1936" s="1" t="b">
        <f t="shared" si="170"/>
        <v>1</v>
      </c>
      <c r="E1936" s="315"/>
      <c r="H1936" s="1" t="b">
        <f t="shared" si="172"/>
        <v>0</v>
      </c>
      <c r="I1936" s="1" t="s">
        <v>1845</v>
      </c>
      <c r="K1936" s="1" t="b">
        <v>1</v>
      </c>
    </row>
    <row r="1937" spans="1:11">
      <c r="A1937" s="1" t="s">
        <v>986</v>
      </c>
      <c r="B1937" s="336" t="str">
        <f>报表附注!E2188</f>
        <v>保证借款</v>
      </c>
      <c r="C1937" s="322">
        <f t="shared" si="171"/>
        <v>0</v>
      </c>
      <c r="D1937" s="1" t="b">
        <f t="shared" si="170"/>
        <v>1</v>
      </c>
      <c r="E1937" s="315"/>
      <c r="H1937" s="1" t="b">
        <f t="shared" si="172"/>
        <v>0</v>
      </c>
      <c r="I1937" s="1" t="s">
        <v>1580</v>
      </c>
      <c r="K1937" s="1" t="b">
        <v>1</v>
      </c>
    </row>
    <row r="1938" spans="1:11">
      <c r="A1938" s="1" t="s">
        <v>988</v>
      </c>
      <c r="B1938" s="336" t="str">
        <f>报表附注!E2189</f>
        <v>质押借款</v>
      </c>
      <c r="C1938" s="322">
        <f t="shared" si="171"/>
        <v>0</v>
      </c>
      <c r="D1938" s="1" t="b">
        <f t="shared" si="170"/>
        <v>1</v>
      </c>
      <c r="E1938" s="315"/>
      <c r="H1938" s="1" t="b">
        <f t="shared" si="172"/>
        <v>0</v>
      </c>
      <c r="K1938" s="1" t="b">
        <v>1</v>
      </c>
    </row>
    <row r="1939" spans="1:11">
      <c r="A1939" s="1" t="s">
        <v>1762</v>
      </c>
      <c r="B1939" s="340" t="str">
        <f>报表附注!E2190</f>
        <v>合   计</v>
      </c>
      <c r="C1939" s="322">
        <f t="shared" si="171"/>
        <v>0</v>
      </c>
      <c r="D1939" s="1" t="b">
        <f t="shared" si="170"/>
        <v>1</v>
      </c>
      <c r="E1939" s="315"/>
      <c r="H1939" s="1" t="b">
        <f t="shared" si="172"/>
        <v>0</v>
      </c>
      <c r="I1939" s="1" t="s">
        <v>1846</v>
      </c>
      <c r="K1939" s="1" t="b">
        <v>1</v>
      </c>
    </row>
    <row r="1940" spans="1:11">
      <c r="A1940" s="1" t="s">
        <v>1579</v>
      </c>
      <c r="B1940" s="335" t="s">
        <v>1579</v>
      </c>
      <c r="C1940" s="330">
        <f t="shared" si="171"/>
        <v>0</v>
      </c>
      <c r="D1940" s="1" t="b">
        <f t="shared" si="170"/>
        <v>1</v>
      </c>
      <c r="H1940" s="1" t="b">
        <f t="shared" si="172"/>
        <v>1</v>
      </c>
      <c r="I1940" s="1" t="s">
        <v>1579</v>
      </c>
      <c r="K1940" s="1" t="b">
        <v>1</v>
      </c>
    </row>
    <row r="1941" spans="1:11">
      <c r="A1941" s="1" t="s">
        <v>982</v>
      </c>
      <c r="B1941" s="336" t="str">
        <f>报表附注!E2186</f>
        <v>信用借款</v>
      </c>
      <c r="C1941" s="325">
        <f t="shared" si="171"/>
        <v>0</v>
      </c>
      <c r="D1941" s="1" t="b">
        <f t="shared" si="170"/>
        <v>1</v>
      </c>
      <c r="E1941" s="325">
        <f>C1935</f>
        <v>0</v>
      </c>
      <c r="H1941" s="1" t="b">
        <f t="shared" si="172"/>
        <v>0</v>
      </c>
      <c r="I1941" s="1" t="s">
        <v>1847</v>
      </c>
      <c r="K1941" s="1" t="b">
        <v>1</v>
      </c>
    </row>
    <row r="1942" spans="1:11">
      <c r="A1942" s="1" t="s">
        <v>984</v>
      </c>
      <c r="B1942" s="336" t="str">
        <f>报表附注!E2187</f>
        <v>抵押借款</v>
      </c>
      <c r="C1942" s="325">
        <f t="shared" si="171"/>
        <v>0</v>
      </c>
      <c r="D1942" s="1" t="b">
        <f t="shared" si="170"/>
        <v>1</v>
      </c>
      <c r="E1942" s="325">
        <f>C1936</f>
        <v>0</v>
      </c>
      <c r="H1942" s="1" t="b">
        <f t="shared" si="172"/>
        <v>0</v>
      </c>
      <c r="I1942" s="1" t="s">
        <v>1848</v>
      </c>
      <c r="K1942" s="1" t="b">
        <v>1</v>
      </c>
    </row>
    <row r="1943" spans="1:11">
      <c r="A1943" s="1" t="s">
        <v>986</v>
      </c>
      <c r="B1943" s="336" t="str">
        <f>报表附注!E2188</f>
        <v>保证借款</v>
      </c>
      <c r="C1943" s="325">
        <f t="shared" si="171"/>
        <v>0</v>
      </c>
      <c r="D1943" s="1" t="b">
        <f t="shared" si="170"/>
        <v>1</v>
      </c>
      <c r="E1943" s="325">
        <f>C1937</f>
        <v>0</v>
      </c>
      <c r="H1943" s="1" t="b">
        <f t="shared" si="172"/>
        <v>0</v>
      </c>
      <c r="I1943" s="1" t="s">
        <v>1201</v>
      </c>
      <c r="K1943" s="1" t="b">
        <v>1</v>
      </c>
    </row>
    <row r="1944" spans="1:11">
      <c r="A1944" s="1" t="s">
        <v>988</v>
      </c>
      <c r="B1944" s="336" t="str">
        <f>报表附注!E2189</f>
        <v>质押借款</v>
      </c>
      <c r="C1944" s="325">
        <f t="shared" si="171"/>
        <v>0</v>
      </c>
      <c r="D1944" s="1" t="b">
        <f t="shared" si="170"/>
        <v>1</v>
      </c>
      <c r="E1944" s="325">
        <f>C1938</f>
        <v>0</v>
      </c>
      <c r="H1944" s="1" t="b">
        <f t="shared" si="172"/>
        <v>0</v>
      </c>
      <c r="I1944" s="1" t="s">
        <v>1203</v>
      </c>
      <c r="K1944" s="1" t="b">
        <v>1</v>
      </c>
    </row>
    <row r="1945" spans="1:11">
      <c r="A1945" s="1" t="s">
        <v>1762</v>
      </c>
      <c r="B1945" s="340" t="str">
        <f>报表附注!E2190</f>
        <v>合   计</v>
      </c>
      <c r="C1945" s="325">
        <f t="shared" si="171"/>
        <v>0</v>
      </c>
      <c r="D1945" s="1" t="b">
        <f t="shared" si="170"/>
        <v>1</v>
      </c>
      <c r="E1945" s="325">
        <f>C1939</f>
        <v>0</v>
      </c>
      <c r="H1945" s="1" t="b">
        <f t="shared" si="172"/>
        <v>0</v>
      </c>
      <c r="I1945" s="1" t="s">
        <v>1580</v>
      </c>
      <c r="K1945" s="1" t="b">
        <v>1</v>
      </c>
    </row>
    <row r="1946" spans="4:11">
      <c r="D1946" s="1" t="b">
        <f t="shared" si="170"/>
        <v>1</v>
      </c>
      <c r="H1946" s="1" t="b">
        <f t="shared" si="172"/>
        <v>0</v>
      </c>
      <c r="I1946" s="1" t="s">
        <v>671</v>
      </c>
      <c r="K1946" s="1" t="b">
        <v>1</v>
      </c>
    </row>
    <row r="1947" spans="1:11">
      <c r="A1947" s="1" t="s">
        <v>1830</v>
      </c>
      <c r="B1947" s="333" t="s">
        <v>1830</v>
      </c>
      <c r="D1947" s="1" t="b">
        <f t="shared" si="170"/>
        <v>1</v>
      </c>
      <c r="H1947" s="1" t="b">
        <f t="shared" si="172"/>
        <v>0</v>
      </c>
      <c r="I1947" s="1" t="s">
        <v>1847</v>
      </c>
      <c r="K1947" s="1" t="b">
        <v>1</v>
      </c>
    </row>
    <row r="1948" spans="4:11">
      <c r="D1948" s="1" t="b">
        <f t="shared" si="170"/>
        <v>1</v>
      </c>
      <c r="H1948" s="1" t="b">
        <f t="shared" si="172"/>
        <v>0</v>
      </c>
      <c r="I1948" s="1" t="s">
        <v>1848</v>
      </c>
      <c r="K1948" s="1" t="b">
        <v>1</v>
      </c>
    </row>
    <row r="1949" spans="1:11">
      <c r="A1949" s="1" t="s">
        <v>1831</v>
      </c>
      <c r="B1949" s="331" t="s">
        <v>1831</v>
      </c>
      <c r="D1949" s="1" t="b">
        <f t="shared" si="170"/>
        <v>1</v>
      </c>
      <c r="H1949" s="1" t="b">
        <f t="shared" si="172"/>
        <v>0</v>
      </c>
      <c r="I1949" s="1" t="s">
        <v>1201</v>
      </c>
      <c r="K1949" s="1" t="b">
        <v>1</v>
      </c>
    </row>
    <row r="1950" spans="1:11">
      <c r="A1950" s="1" t="s">
        <v>315</v>
      </c>
      <c r="B1950" s="335" t="s">
        <v>315</v>
      </c>
      <c r="D1950" s="1" t="b">
        <f t="shared" si="170"/>
        <v>1</v>
      </c>
      <c r="H1950" s="1" t="b">
        <f t="shared" si="172"/>
        <v>0</v>
      </c>
      <c r="I1950" s="1" t="s">
        <v>1203</v>
      </c>
      <c r="K1950" s="1" t="b">
        <v>1</v>
      </c>
    </row>
    <row r="1951" spans="1:11">
      <c r="A1951" s="1" t="s">
        <v>982</v>
      </c>
      <c r="B1951" s="313" t="str">
        <f>报表附注!E2274</f>
        <v>信用借款</v>
      </c>
      <c r="C1951" s="322">
        <f t="shared" ref="C1951:C1961" si="173">J1899</f>
        <v>0</v>
      </c>
      <c r="D1951" s="1" t="b">
        <f t="shared" si="170"/>
        <v>1</v>
      </c>
      <c r="E1951" s="315"/>
      <c r="H1951" s="1" t="b">
        <f t="shared" si="172"/>
        <v>0</v>
      </c>
      <c r="I1951" s="1" t="s">
        <v>1580</v>
      </c>
      <c r="K1951" s="1" t="b">
        <v>1</v>
      </c>
    </row>
    <row r="1952" spans="1:11">
      <c r="A1952" s="1" t="s">
        <v>984</v>
      </c>
      <c r="B1952" s="313" t="str">
        <f>报表附注!E2275</f>
        <v>抵押借款</v>
      </c>
      <c r="C1952" s="322">
        <f t="shared" si="173"/>
        <v>0</v>
      </c>
      <c r="D1952" s="1" t="b">
        <f t="shared" si="170"/>
        <v>1</v>
      </c>
      <c r="E1952" s="315"/>
      <c r="H1952" s="1" t="b">
        <f t="shared" si="172"/>
        <v>0</v>
      </c>
      <c r="I1952" s="1" t="s">
        <v>672</v>
      </c>
      <c r="K1952" s="1" t="b">
        <v>1</v>
      </c>
    </row>
    <row r="1953" spans="1:11">
      <c r="A1953" s="1" t="s">
        <v>986</v>
      </c>
      <c r="B1953" s="313" t="str">
        <f>报表附注!E2276</f>
        <v>保证借款</v>
      </c>
      <c r="C1953" s="322">
        <f t="shared" si="173"/>
        <v>0</v>
      </c>
      <c r="D1953" s="1" t="b">
        <f t="shared" si="170"/>
        <v>1</v>
      </c>
      <c r="E1953" s="315"/>
      <c r="H1953" s="1" t="b">
        <f t="shared" si="172"/>
        <v>0</v>
      </c>
      <c r="I1953" s="1" t="s">
        <v>1847</v>
      </c>
      <c r="K1953" s="1" t="b">
        <v>1</v>
      </c>
    </row>
    <row r="1954" spans="1:11">
      <c r="A1954" s="1" t="s">
        <v>988</v>
      </c>
      <c r="B1954" s="313" t="str">
        <f>报表附注!E2277</f>
        <v>质押借款</v>
      </c>
      <c r="C1954" s="322">
        <f t="shared" si="173"/>
        <v>0</v>
      </c>
      <c r="D1954" s="1" t="b">
        <f t="shared" si="170"/>
        <v>1</v>
      </c>
      <c r="E1954" s="315"/>
      <c r="H1954" s="1" t="b">
        <f t="shared" si="172"/>
        <v>0</v>
      </c>
      <c r="I1954" s="1" t="s">
        <v>1848</v>
      </c>
      <c r="K1954" s="1" t="b">
        <v>1</v>
      </c>
    </row>
    <row r="1955" spans="1:11">
      <c r="A1955" s="1" t="s">
        <v>1762</v>
      </c>
      <c r="B1955" s="324" t="str">
        <f>报表附注!E2278</f>
        <v>合   计</v>
      </c>
      <c r="C1955" s="322">
        <f t="shared" si="173"/>
        <v>0</v>
      </c>
      <c r="D1955" s="1" t="b">
        <f t="shared" si="170"/>
        <v>1</v>
      </c>
      <c r="E1955" s="315"/>
      <c r="H1955" s="1" t="b">
        <f t="shared" si="172"/>
        <v>0</v>
      </c>
      <c r="I1955" s="1" t="s">
        <v>1201</v>
      </c>
      <c r="K1955" s="1" t="b">
        <v>1</v>
      </c>
    </row>
    <row r="1956" spans="1:11">
      <c r="A1956" s="1" t="s">
        <v>1579</v>
      </c>
      <c r="B1956" s="335" t="s">
        <v>1579</v>
      </c>
      <c r="C1956" s="330">
        <f t="shared" si="173"/>
        <v>0</v>
      </c>
      <c r="D1956" s="1" t="b">
        <f t="shared" si="170"/>
        <v>1</v>
      </c>
      <c r="H1956" s="1" t="b">
        <f t="shared" si="172"/>
        <v>0</v>
      </c>
      <c r="I1956" s="1" t="s">
        <v>1203</v>
      </c>
      <c r="K1956" s="1" t="b">
        <v>1</v>
      </c>
    </row>
    <row r="1957" spans="1:11">
      <c r="A1957" s="1" t="s">
        <v>982</v>
      </c>
      <c r="B1957" s="313" t="str">
        <f>报表附注!E2274</f>
        <v>信用借款</v>
      </c>
      <c r="C1957" s="325">
        <f t="shared" si="173"/>
        <v>0</v>
      </c>
      <c r="D1957" s="1" t="b">
        <f t="shared" si="170"/>
        <v>1</v>
      </c>
      <c r="E1957" s="325">
        <f>C1951</f>
        <v>0</v>
      </c>
      <c r="H1957" s="1" t="b">
        <f t="shared" si="172"/>
        <v>0</v>
      </c>
      <c r="I1957" s="1" t="s">
        <v>1580</v>
      </c>
      <c r="K1957" s="1" t="b">
        <v>1</v>
      </c>
    </row>
    <row r="1958" spans="1:11">
      <c r="A1958" s="1" t="s">
        <v>984</v>
      </c>
      <c r="B1958" s="313" t="str">
        <f>报表附注!E2275</f>
        <v>抵押借款</v>
      </c>
      <c r="C1958" s="325">
        <f t="shared" si="173"/>
        <v>0</v>
      </c>
      <c r="D1958" s="1" t="b">
        <f t="shared" si="170"/>
        <v>1</v>
      </c>
      <c r="E1958" s="325">
        <f>C1952</f>
        <v>0</v>
      </c>
      <c r="H1958" s="1" t="b">
        <f t="shared" si="172"/>
        <v>0</v>
      </c>
      <c r="K1958" s="1" t="b">
        <v>1</v>
      </c>
    </row>
    <row r="1959" spans="1:11">
      <c r="A1959" s="1" t="s">
        <v>986</v>
      </c>
      <c r="B1959" s="313" t="str">
        <f>报表附注!E2276</f>
        <v>保证借款</v>
      </c>
      <c r="C1959" s="325">
        <f t="shared" si="173"/>
        <v>0</v>
      </c>
      <c r="D1959" s="1" t="b">
        <f t="shared" si="170"/>
        <v>1</v>
      </c>
      <c r="E1959" s="325">
        <f>C1953</f>
        <v>0</v>
      </c>
      <c r="H1959" s="1" t="b">
        <f t="shared" si="172"/>
        <v>0</v>
      </c>
      <c r="I1959" s="1" t="s">
        <v>1849</v>
      </c>
      <c r="K1959" s="1" t="b">
        <v>1</v>
      </c>
    </row>
    <row r="1960" spans="1:11">
      <c r="A1960" s="1" t="s">
        <v>988</v>
      </c>
      <c r="B1960" s="313" t="str">
        <f>报表附注!E2277</f>
        <v>质押借款</v>
      </c>
      <c r="C1960" s="325">
        <f t="shared" si="173"/>
        <v>0</v>
      </c>
      <c r="D1960" s="1" t="b">
        <f t="shared" si="170"/>
        <v>1</v>
      </c>
      <c r="E1960" s="325">
        <f>C1954</f>
        <v>0</v>
      </c>
      <c r="H1960" s="1" t="b">
        <f t="shared" si="172"/>
        <v>0</v>
      </c>
      <c r="K1960" s="1" t="b">
        <v>1</v>
      </c>
    </row>
    <row r="1961" spans="1:11">
      <c r="A1961" s="1" t="s">
        <v>1762</v>
      </c>
      <c r="B1961" s="324" t="str">
        <f>报表附注!E2278</f>
        <v>合   计</v>
      </c>
      <c r="C1961" s="325">
        <f t="shared" si="173"/>
        <v>0</v>
      </c>
      <c r="D1961" s="1" t="b">
        <f t="shared" si="170"/>
        <v>1</v>
      </c>
      <c r="E1961" s="325">
        <f>C1955</f>
        <v>0</v>
      </c>
      <c r="H1961" s="1" t="b">
        <f t="shared" si="172"/>
        <v>0</v>
      </c>
      <c r="I1961" s="1" t="s">
        <v>1850</v>
      </c>
      <c r="K1961" s="1" t="b">
        <v>1</v>
      </c>
    </row>
    <row r="1962" spans="4:11">
      <c r="D1962" s="1" t="b">
        <f t="shared" si="170"/>
        <v>1</v>
      </c>
      <c r="H1962" s="1" t="b">
        <f t="shared" si="172"/>
        <v>1</v>
      </c>
      <c r="K1962" s="1" t="b">
        <v>1</v>
      </c>
    </row>
    <row r="1963" ht="13.5" spans="1:11">
      <c r="A1963" s="1" t="s">
        <v>1832</v>
      </c>
      <c r="B1963" s="333" t="s">
        <v>1833</v>
      </c>
      <c r="D1963" s="1" t="b">
        <f t="shared" si="170"/>
        <v>1</v>
      </c>
      <c r="H1963" s="1" t="b">
        <f t="shared" si="172"/>
        <v>0</v>
      </c>
      <c r="I1963" s="1" t="s">
        <v>1851</v>
      </c>
      <c r="K1963" s="1" t="b">
        <v>1</v>
      </c>
    </row>
    <row r="1964" spans="4:11">
      <c r="D1964" s="1" t="b">
        <f t="shared" si="170"/>
        <v>1</v>
      </c>
      <c r="H1964" s="1" t="b">
        <f t="shared" si="172"/>
        <v>0</v>
      </c>
      <c r="I1964" s="1" t="s">
        <v>1852</v>
      </c>
      <c r="K1964" s="1" t="b">
        <v>1</v>
      </c>
    </row>
    <row r="1965" ht="13.5" spans="1:11">
      <c r="A1965" s="1" t="s">
        <v>1834</v>
      </c>
      <c r="B1965" s="333" t="s">
        <v>1835</v>
      </c>
      <c r="D1965" s="1" t="b">
        <f t="shared" si="170"/>
        <v>1</v>
      </c>
      <c r="H1965" s="1" t="b">
        <f t="shared" si="172"/>
        <v>0</v>
      </c>
      <c r="I1965" s="1" t="s">
        <v>1853</v>
      </c>
      <c r="K1965" s="1" t="b">
        <v>1</v>
      </c>
    </row>
    <row r="1966" spans="4:11">
      <c r="D1966" s="1" t="b">
        <f t="shared" si="170"/>
        <v>1</v>
      </c>
      <c r="H1966" s="1" t="b">
        <f t="shared" si="172"/>
        <v>0</v>
      </c>
      <c r="I1966" s="1" t="s">
        <v>346</v>
      </c>
      <c r="K1966" s="1" t="b">
        <v>1</v>
      </c>
    </row>
    <row r="1967" ht="13.5" spans="1:11">
      <c r="A1967" s="1" t="s">
        <v>1836</v>
      </c>
      <c r="B1967" s="333" t="s">
        <v>1837</v>
      </c>
      <c r="D1967" s="1" t="b">
        <f t="shared" si="170"/>
        <v>1</v>
      </c>
      <c r="H1967" s="1" t="b">
        <f t="shared" si="172"/>
        <v>0</v>
      </c>
      <c r="I1967" s="1" t="s">
        <v>1854</v>
      </c>
      <c r="K1967" s="1" t="b">
        <v>1</v>
      </c>
    </row>
    <row r="1968" spans="4:11">
      <c r="D1968" s="1" t="b">
        <f t="shared" si="170"/>
        <v>1</v>
      </c>
      <c r="H1968" s="1" t="b">
        <f t="shared" si="172"/>
        <v>0</v>
      </c>
      <c r="I1968" s="1" t="s">
        <v>1852</v>
      </c>
      <c r="K1968" s="1" t="b">
        <v>1</v>
      </c>
    </row>
    <row r="1969" ht="18" customHeight="1" spans="1:11">
      <c r="A1969" s="1" t="s">
        <v>1838</v>
      </c>
      <c r="B1969" s="383" t="s">
        <v>1838</v>
      </c>
      <c r="D1969" s="1" t="b">
        <f t="shared" si="170"/>
        <v>1</v>
      </c>
      <c r="H1969" s="1" t="b">
        <f t="shared" si="172"/>
        <v>0</v>
      </c>
      <c r="I1969" s="1" t="s">
        <v>1853</v>
      </c>
      <c r="K1969" s="1" t="b">
        <v>1</v>
      </c>
    </row>
    <row r="1970" spans="4:11">
      <c r="D1970" s="1" t="b">
        <f t="shared" si="170"/>
        <v>1</v>
      </c>
      <c r="H1970" s="1" t="b">
        <f t="shared" si="172"/>
        <v>0</v>
      </c>
      <c r="I1970" s="1" t="s">
        <v>346</v>
      </c>
      <c r="K1970" s="1" t="b">
        <v>1</v>
      </c>
    </row>
    <row r="1971" ht="14.25" customHeight="1" spans="1:11">
      <c r="A1971" s="1" t="s">
        <v>1839</v>
      </c>
      <c r="B1971" s="383" t="s">
        <v>1840</v>
      </c>
      <c r="D1971" s="1" t="b">
        <f t="shared" si="170"/>
        <v>1</v>
      </c>
      <c r="H1971" s="1" t="b">
        <f t="shared" si="172"/>
        <v>0</v>
      </c>
      <c r="I1971" s="1" t="s">
        <v>1855</v>
      </c>
      <c r="K1971" s="1" t="b">
        <v>1</v>
      </c>
    </row>
    <row r="1972" spans="4:11">
      <c r="D1972" s="1" t="b">
        <f t="shared" si="170"/>
        <v>1</v>
      </c>
      <c r="H1972" s="1" t="b">
        <f t="shared" si="172"/>
        <v>0</v>
      </c>
      <c r="I1972" s="1" t="s">
        <v>1852</v>
      </c>
      <c r="K1972" s="1" t="b">
        <v>1</v>
      </c>
    </row>
    <row r="1973" spans="1:11">
      <c r="A1973" s="1" t="s">
        <v>1841</v>
      </c>
      <c r="B1973" s="359" t="s">
        <v>1841</v>
      </c>
      <c r="D1973" s="1" t="b">
        <f t="shared" si="170"/>
        <v>1</v>
      </c>
      <c r="H1973" s="1" t="b">
        <f t="shared" si="172"/>
        <v>0</v>
      </c>
      <c r="I1973" s="1" t="s">
        <v>1853</v>
      </c>
      <c r="K1973" s="1" t="b">
        <v>1</v>
      </c>
    </row>
    <row r="1974" spans="4:11">
      <c r="D1974" s="1" t="b">
        <f t="shared" si="170"/>
        <v>1</v>
      </c>
      <c r="H1974" s="1" t="b">
        <f t="shared" si="172"/>
        <v>0</v>
      </c>
      <c r="I1974" s="1" t="s">
        <v>346</v>
      </c>
      <c r="K1974" s="1" t="b">
        <v>1</v>
      </c>
    </row>
    <row r="1975" ht="12" spans="1:11">
      <c r="A1975" s="1" t="s">
        <v>1842</v>
      </c>
      <c r="B1975" s="384" t="s">
        <v>1842</v>
      </c>
      <c r="D1975" s="1" t="b">
        <f t="shared" si="170"/>
        <v>1</v>
      </c>
      <c r="H1975" s="1" t="b">
        <f t="shared" si="172"/>
        <v>0</v>
      </c>
      <c r="I1975" s="1" t="s">
        <v>1856</v>
      </c>
      <c r="K1975" s="1" t="b">
        <v>1</v>
      </c>
    </row>
    <row r="1976" spans="4:11">
      <c r="D1976" s="1" t="b">
        <f t="shared" si="170"/>
        <v>1</v>
      </c>
      <c r="H1976" s="1" t="b">
        <f t="shared" si="172"/>
        <v>0</v>
      </c>
      <c r="I1976" s="1" t="s">
        <v>1852</v>
      </c>
      <c r="K1976" s="1" t="b">
        <v>1</v>
      </c>
    </row>
    <row r="1977" spans="1:11">
      <c r="A1977" s="1" t="s">
        <v>1843</v>
      </c>
      <c r="B1977" s="331" t="s">
        <v>1843</v>
      </c>
      <c r="D1977" s="1" t="b">
        <f t="shared" si="170"/>
        <v>1</v>
      </c>
      <c r="H1977" s="1" t="b">
        <f t="shared" si="172"/>
        <v>0</v>
      </c>
      <c r="I1977" s="1" t="s">
        <v>1853</v>
      </c>
      <c r="K1977" s="1" t="b">
        <v>1</v>
      </c>
    </row>
    <row r="1978" spans="1:11">
      <c r="A1978" s="1" t="s">
        <v>1579</v>
      </c>
      <c r="B1978" s="335" t="s">
        <v>1579</v>
      </c>
      <c r="D1978" s="1" t="b">
        <f t="shared" si="170"/>
        <v>1</v>
      </c>
      <c r="H1978" s="1" t="b">
        <f t="shared" si="172"/>
        <v>0</v>
      </c>
      <c r="I1978" s="1" t="s">
        <v>346</v>
      </c>
      <c r="K1978" s="1" t="b">
        <v>1</v>
      </c>
    </row>
    <row r="1979" spans="1:11">
      <c r="A1979" s="1" t="s">
        <v>1844</v>
      </c>
      <c r="B1979" s="313" t="str">
        <f>报表附注!E2472</f>
        <v>1、股本溢价</v>
      </c>
      <c r="C1979" s="322">
        <f t="shared" ref="C1979:C1989" si="174">J1927</f>
        <v>0</v>
      </c>
      <c r="D1979" s="1" t="b">
        <f t="shared" si="170"/>
        <v>1</v>
      </c>
      <c r="E1979" s="325">
        <f>C1979+C1983-C1987</f>
        <v>0</v>
      </c>
      <c r="H1979" s="1" t="b">
        <f t="shared" si="172"/>
        <v>0</v>
      </c>
      <c r="K1979" s="1" t="b">
        <v>1</v>
      </c>
    </row>
    <row r="1980" spans="1:11">
      <c r="A1980" s="1" t="s">
        <v>1845</v>
      </c>
      <c r="B1980" s="313" t="str">
        <f>报表附注!E2473</f>
        <v>2、其他资本公积</v>
      </c>
      <c r="C1980" s="322">
        <f t="shared" si="174"/>
        <v>0</v>
      </c>
      <c r="D1980" s="1" t="b">
        <f t="shared" si="170"/>
        <v>1</v>
      </c>
      <c r="E1980" s="325">
        <f>C1980+C1984-C1988</f>
        <v>0</v>
      </c>
      <c r="H1980" s="1" t="b">
        <f t="shared" si="172"/>
        <v>0</v>
      </c>
      <c r="I1980" s="1" t="s">
        <v>1857</v>
      </c>
      <c r="K1980" s="1" t="b">
        <v>1</v>
      </c>
    </row>
    <row r="1981" spans="1:11">
      <c r="A1981" s="1" t="s">
        <v>1580</v>
      </c>
      <c r="B1981" s="324" t="str">
        <f>报表附注!E2474</f>
        <v>合计</v>
      </c>
      <c r="C1981" s="322">
        <f t="shared" si="174"/>
        <v>0</v>
      </c>
      <c r="D1981" s="1" t="b">
        <f t="shared" si="170"/>
        <v>1</v>
      </c>
      <c r="E1981" s="325">
        <f>C1981+C1985-C1989</f>
        <v>0</v>
      </c>
      <c r="H1981" s="1" t="b">
        <f t="shared" si="172"/>
        <v>0</v>
      </c>
      <c r="I1981" s="1" t="s">
        <v>1858</v>
      </c>
      <c r="K1981" s="1" t="b">
        <v>1</v>
      </c>
    </row>
    <row r="1982" spans="1:11">
      <c r="A1982" s="1" t="s">
        <v>671</v>
      </c>
      <c r="B1982" s="335" t="s">
        <v>671</v>
      </c>
      <c r="C1982" s="330">
        <f t="shared" si="174"/>
        <v>0</v>
      </c>
      <c r="D1982" s="1" t="b">
        <f t="shared" ref="D1982:D2045" si="175">EXACT(A1982,B1982)</f>
        <v>1</v>
      </c>
      <c r="H1982" s="1" t="b">
        <f t="shared" si="172"/>
        <v>0</v>
      </c>
      <c r="I1982" s="1" t="s">
        <v>4586</v>
      </c>
      <c r="K1982" s="1" t="b">
        <v>0</v>
      </c>
    </row>
    <row r="1983" spans="1:11">
      <c r="A1983" s="1" t="s">
        <v>1844</v>
      </c>
      <c r="B1983" s="313" t="str">
        <f>报表附注!E2472</f>
        <v>1、股本溢价</v>
      </c>
      <c r="C1983" s="322">
        <f t="shared" si="174"/>
        <v>0</v>
      </c>
      <c r="D1983" s="1" t="b">
        <f t="shared" si="175"/>
        <v>1</v>
      </c>
      <c r="E1983" s="315"/>
      <c r="H1983" s="1" t="b">
        <f t="shared" si="172"/>
        <v>0</v>
      </c>
      <c r="I1983" s="1" t="s">
        <v>4587</v>
      </c>
      <c r="K1983" s="1" t="b">
        <v>0</v>
      </c>
    </row>
    <row r="1984" spans="1:11">
      <c r="A1984" s="1" t="s">
        <v>1845</v>
      </c>
      <c r="B1984" s="313" t="str">
        <f>报表附注!E2473</f>
        <v>2、其他资本公积</v>
      </c>
      <c r="C1984" s="322">
        <f t="shared" si="174"/>
        <v>0</v>
      </c>
      <c r="D1984" s="1" t="b">
        <f t="shared" si="175"/>
        <v>1</v>
      </c>
      <c r="E1984" s="315"/>
      <c r="H1984" s="1" t="b">
        <f t="shared" si="172"/>
        <v>0</v>
      </c>
      <c r="I1984" s="1" t="s">
        <v>4588</v>
      </c>
      <c r="K1984" s="1" t="b">
        <v>0</v>
      </c>
    </row>
    <row r="1985" spans="1:11">
      <c r="A1985" s="1" t="s">
        <v>1580</v>
      </c>
      <c r="B1985" s="324" t="str">
        <f>报表附注!E2474</f>
        <v>合计</v>
      </c>
      <c r="C1985" s="322">
        <f t="shared" si="174"/>
        <v>0</v>
      </c>
      <c r="D1985" s="1" t="b">
        <f t="shared" si="175"/>
        <v>1</v>
      </c>
      <c r="E1985" s="315"/>
      <c r="H1985" s="1" t="b">
        <f t="shared" si="172"/>
        <v>0</v>
      </c>
      <c r="I1985" s="1" t="s">
        <v>4589</v>
      </c>
      <c r="K1985" s="1" t="b">
        <v>0</v>
      </c>
    </row>
    <row r="1986" spans="1:11">
      <c r="A1986" s="1" t="s">
        <v>672</v>
      </c>
      <c r="B1986" s="335" t="s">
        <v>672</v>
      </c>
      <c r="C1986" s="330">
        <f t="shared" si="174"/>
        <v>0</v>
      </c>
      <c r="D1986" s="1" t="b">
        <f t="shared" si="175"/>
        <v>1</v>
      </c>
      <c r="E1986" s="311"/>
      <c r="H1986" s="1" t="b">
        <f t="shared" si="172"/>
        <v>0</v>
      </c>
      <c r="I1986" s="1" t="s">
        <v>4590</v>
      </c>
      <c r="K1986" s="1" t="b">
        <v>0</v>
      </c>
    </row>
    <row r="1987" spans="1:11">
      <c r="A1987" s="1" t="s">
        <v>1844</v>
      </c>
      <c r="B1987" s="313" t="str">
        <f>报表附注!E2472</f>
        <v>1、股本溢价</v>
      </c>
      <c r="C1987" s="322">
        <f t="shared" si="174"/>
        <v>0</v>
      </c>
      <c r="D1987" s="1" t="b">
        <f t="shared" si="175"/>
        <v>1</v>
      </c>
      <c r="E1987" s="315"/>
      <c r="H1987" s="1" t="b">
        <f t="shared" si="172"/>
        <v>0</v>
      </c>
      <c r="I1987" s="1" t="s">
        <v>4591</v>
      </c>
      <c r="K1987" s="1" t="b">
        <v>0</v>
      </c>
    </row>
    <row r="1988" spans="1:11">
      <c r="A1988" s="1" t="s">
        <v>1845</v>
      </c>
      <c r="B1988" s="313" t="str">
        <f>报表附注!E2473</f>
        <v>2、其他资本公积</v>
      </c>
      <c r="C1988" s="322">
        <f t="shared" si="174"/>
        <v>0</v>
      </c>
      <c r="D1988" s="1" t="b">
        <f t="shared" si="175"/>
        <v>1</v>
      </c>
      <c r="E1988" s="315"/>
      <c r="H1988" s="1" t="b">
        <f t="shared" ref="H1988:H2051" si="176">I1988=B1988</f>
        <v>0</v>
      </c>
      <c r="I1988" s="1" t="s">
        <v>4592</v>
      </c>
      <c r="K1988" s="1" t="b">
        <v>0</v>
      </c>
    </row>
    <row r="1989" spans="1:11">
      <c r="A1989" s="1" t="s">
        <v>1580</v>
      </c>
      <c r="B1989" s="324" t="str">
        <f>报表附注!E2474</f>
        <v>合计</v>
      </c>
      <c r="C1989" s="322">
        <f t="shared" si="174"/>
        <v>0</v>
      </c>
      <c r="D1989" s="1" t="b">
        <f t="shared" si="175"/>
        <v>1</v>
      </c>
      <c r="E1989" s="315"/>
      <c r="H1989" s="1" t="b">
        <f t="shared" si="176"/>
        <v>0</v>
      </c>
      <c r="I1989" s="1" t="s">
        <v>4593</v>
      </c>
      <c r="K1989" s="1" t="b">
        <v>0</v>
      </c>
    </row>
    <row r="1990" spans="4:11">
      <c r="D1990" s="1" t="b">
        <f t="shared" si="175"/>
        <v>1</v>
      </c>
      <c r="H1990" s="1" t="b">
        <f t="shared" si="176"/>
        <v>0</v>
      </c>
      <c r="I1990" s="1" t="s">
        <v>4594</v>
      </c>
      <c r="K1990" s="1" t="b">
        <v>0</v>
      </c>
    </row>
    <row r="1991" spans="1:11">
      <c r="A1991" s="1" t="s">
        <v>1846</v>
      </c>
      <c r="B1991" s="331" t="s">
        <v>1846</v>
      </c>
      <c r="D1991" s="1" t="b">
        <f t="shared" si="175"/>
        <v>1</v>
      </c>
      <c r="H1991" s="1" t="b">
        <f t="shared" si="176"/>
        <v>0</v>
      </c>
      <c r="I1991" s="1" t="s">
        <v>1868</v>
      </c>
      <c r="K1991" s="1" t="b">
        <v>1</v>
      </c>
    </row>
    <row r="1992" spans="1:11">
      <c r="A1992" s="1" t="s">
        <v>1579</v>
      </c>
      <c r="B1992" s="335" t="s">
        <v>1579</v>
      </c>
      <c r="D1992" s="1" t="b">
        <f t="shared" si="175"/>
        <v>1</v>
      </c>
      <c r="H1992" s="1" t="b">
        <f t="shared" si="176"/>
        <v>0</v>
      </c>
      <c r="I1992" s="1" t="s">
        <v>1869</v>
      </c>
      <c r="K1992" s="1" t="b">
        <v>1</v>
      </c>
    </row>
    <row r="1993" spans="1:11">
      <c r="A1993" s="1" t="s">
        <v>1847</v>
      </c>
      <c r="B1993" s="313" t="str">
        <f>报表附注!E2483</f>
        <v>法定盈余公积</v>
      </c>
      <c r="C1993" s="322">
        <f t="shared" ref="C1993:C2009" si="177">J1941</f>
        <v>0</v>
      </c>
      <c r="D1993" s="1" t="b">
        <f t="shared" si="175"/>
        <v>1</v>
      </c>
      <c r="E1993" s="325">
        <f>C1993+C1999-C2005</f>
        <v>0</v>
      </c>
      <c r="H1993" s="1" t="b">
        <f t="shared" si="176"/>
        <v>0</v>
      </c>
      <c r="I1993" s="1" t="s">
        <v>1870</v>
      </c>
      <c r="K1993" s="1" t="b">
        <v>1</v>
      </c>
    </row>
    <row r="1994" spans="1:11">
      <c r="A1994" s="1" t="s">
        <v>1848</v>
      </c>
      <c r="B1994" s="313" t="str">
        <f>报表附注!E2484</f>
        <v>任意盈余公积</v>
      </c>
      <c r="C1994" s="322">
        <f t="shared" si="177"/>
        <v>0</v>
      </c>
      <c r="D1994" s="1" t="b">
        <f t="shared" si="175"/>
        <v>1</v>
      </c>
      <c r="E1994" s="325">
        <f>C1994+C2000-C2006</f>
        <v>0</v>
      </c>
      <c r="H1994" s="1" t="b">
        <f t="shared" si="176"/>
        <v>0</v>
      </c>
      <c r="I1994" s="1" t="s">
        <v>1871</v>
      </c>
      <c r="K1994" s="1" t="b">
        <v>1</v>
      </c>
    </row>
    <row r="1995" spans="1:11">
      <c r="A1995" s="1" t="s">
        <v>1201</v>
      </c>
      <c r="B1995" s="313" t="str">
        <f>报表附注!E2485</f>
        <v>储备基金</v>
      </c>
      <c r="C1995" s="322">
        <f t="shared" si="177"/>
        <v>0</v>
      </c>
      <c r="D1995" s="1" t="b">
        <f t="shared" si="175"/>
        <v>1</v>
      </c>
      <c r="E1995" s="325">
        <f>C1995+C2001-C2007</f>
        <v>0</v>
      </c>
      <c r="H1995" s="1" t="b">
        <f t="shared" si="176"/>
        <v>0</v>
      </c>
      <c r="I1995" s="1" t="s">
        <v>1872</v>
      </c>
      <c r="K1995" s="1" t="b">
        <v>1</v>
      </c>
    </row>
    <row r="1996" spans="1:11">
      <c r="A1996" s="1" t="s">
        <v>1203</v>
      </c>
      <c r="B1996" s="313" t="str">
        <f>报表附注!E2486</f>
        <v>企业发展基金</v>
      </c>
      <c r="C1996" s="322">
        <f t="shared" si="177"/>
        <v>0</v>
      </c>
      <c r="D1996" s="1" t="b">
        <f t="shared" si="175"/>
        <v>1</v>
      </c>
      <c r="E1996" s="325">
        <f>C1996+C2002-C2008</f>
        <v>0</v>
      </c>
      <c r="H1996" s="1" t="b">
        <f t="shared" si="176"/>
        <v>0</v>
      </c>
      <c r="I1996" s="1" t="s">
        <v>1580</v>
      </c>
      <c r="K1996" s="1" t="b">
        <v>1</v>
      </c>
    </row>
    <row r="1997" spans="1:11">
      <c r="A1997" s="1" t="s">
        <v>1580</v>
      </c>
      <c r="B1997" s="324" t="str">
        <f>报表附注!E2487</f>
        <v>合计</v>
      </c>
      <c r="C1997" s="322">
        <f t="shared" si="177"/>
        <v>0</v>
      </c>
      <c r="D1997" s="1" t="b">
        <f t="shared" si="175"/>
        <v>1</v>
      </c>
      <c r="E1997" s="325">
        <f>C1997+C2003-C2009</f>
        <v>0</v>
      </c>
      <c r="H1997" s="1" t="b">
        <f t="shared" si="176"/>
        <v>0</v>
      </c>
      <c r="I1997" s="1" t="s">
        <v>1873</v>
      </c>
      <c r="K1997" s="1" t="b">
        <v>1</v>
      </c>
    </row>
    <row r="1998" spans="1:11">
      <c r="A1998" s="1" t="s">
        <v>671</v>
      </c>
      <c r="B1998" s="335" t="s">
        <v>671</v>
      </c>
      <c r="C1998" s="330">
        <f t="shared" si="177"/>
        <v>0</v>
      </c>
      <c r="D1998" s="1" t="b">
        <f t="shared" si="175"/>
        <v>1</v>
      </c>
      <c r="H1998" s="1" t="b">
        <f t="shared" si="176"/>
        <v>0</v>
      </c>
      <c r="I1998" s="1" t="s">
        <v>4586</v>
      </c>
      <c r="K1998" s="1" t="b">
        <v>0</v>
      </c>
    </row>
    <row r="1999" spans="1:11">
      <c r="A1999" s="1" t="s">
        <v>1847</v>
      </c>
      <c r="B1999" s="313" t="str">
        <f>报表附注!E2483</f>
        <v>法定盈余公积</v>
      </c>
      <c r="C1999" s="322">
        <f t="shared" si="177"/>
        <v>0</v>
      </c>
      <c r="D1999" s="1" t="b">
        <f t="shared" si="175"/>
        <v>1</v>
      </c>
      <c r="E1999" s="315"/>
      <c r="H1999" s="1" t="b">
        <f t="shared" si="176"/>
        <v>0</v>
      </c>
      <c r="I1999" s="1" t="s">
        <v>4587</v>
      </c>
      <c r="K1999" s="1" t="b">
        <v>0</v>
      </c>
    </row>
    <row r="2000" spans="1:11">
      <c r="A2000" s="1" t="s">
        <v>1848</v>
      </c>
      <c r="B2000" s="313" t="str">
        <f>报表附注!E2484</f>
        <v>任意盈余公积</v>
      </c>
      <c r="C2000" s="322">
        <f t="shared" si="177"/>
        <v>0</v>
      </c>
      <c r="D2000" s="1" t="b">
        <f t="shared" si="175"/>
        <v>1</v>
      </c>
      <c r="E2000" s="315"/>
      <c r="H2000" s="1" t="b">
        <f t="shared" si="176"/>
        <v>0</v>
      </c>
      <c r="I2000" s="1" t="s">
        <v>4588</v>
      </c>
      <c r="K2000" s="1" t="b">
        <v>0</v>
      </c>
    </row>
    <row r="2001" spans="1:11">
      <c r="A2001" s="1" t="s">
        <v>1201</v>
      </c>
      <c r="B2001" s="313" t="str">
        <f>报表附注!E2485</f>
        <v>储备基金</v>
      </c>
      <c r="C2001" s="322">
        <f t="shared" si="177"/>
        <v>0</v>
      </c>
      <c r="D2001" s="1" t="b">
        <f t="shared" si="175"/>
        <v>1</v>
      </c>
      <c r="E2001" s="315"/>
      <c r="H2001" s="1" t="b">
        <f t="shared" si="176"/>
        <v>0</v>
      </c>
      <c r="I2001" s="1" t="s">
        <v>4589</v>
      </c>
      <c r="K2001" s="1" t="b">
        <v>0</v>
      </c>
    </row>
    <row r="2002" spans="1:11">
      <c r="A2002" s="1" t="s">
        <v>1203</v>
      </c>
      <c r="B2002" s="313" t="str">
        <f>报表附注!E2486</f>
        <v>企业发展基金</v>
      </c>
      <c r="C2002" s="322">
        <f t="shared" si="177"/>
        <v>0</v>
      </c>
      <c r="D2002" s="1" t="b">
        <f t="shared" si="175"/>
        <v>1</v>
      </c>
      <c r="E2002" s="315"/>
      <c r="H2002" s="1" t="b">
        <f t="shared" si="176"/>
        <v>0</v>
      </c>
      <c r="I2002" s="1" t="s">
        <v>4590</v>
      </c>
      <c r="K2002" s="1" t="b">
        <v>0</v>
      </c>
    </row>
    <row r="2003" spans="1:11">
      <c r="A2003" s="1" t="s">
        <v>1580</v>
      </c>
      <c r="B2003" s="324" t="str">
        <f>报表附注!E2487</f>
        <v>合计</v>
      </c>
      <c r="C2003" s="322">
        <f t="shared" si="177"/>
        <v>0</v>
      </c>
      <c r="D2003" s="1" t="b">
        <f t="shared" si="175"/>
        <v>1</v>
      </c>
      <c r="E2003" s="315"/>
      <c r="H2003" s="1" t="b">
        <f t="shared" si="176"/>
        <v>0</v>
      </c>
      <c r="I2003" s="1" t="s">
        <v>4591</v>
      </c>
      <c r="K2003" s="1" t="b">
        <v>0</v>
      </c>
    </row>
    <row r="2004" spans="1:11">
      <c r="A2004" s="1" t="s">
        <v>672</v>
      </c>
      <c r="B2004" s="335" t="s">
        <v>672</v>
      </c>
      <c r="C2004" s="330">
        <f t="shared" si="177"/>
        <v>0</v>
      </c>
      <c r="D2004" s="1" t="b">
        <f t="shared" si="175"/>
        <v>1</v>
      </c>
      <c r="E2004" s="311"/>
      <c r="H2004" s="1" t="b">
        <f t="shared" si="176"/>
        <v>0</v>
      </c>
      <c r="I2004" s="1" t="s">
        <v>4592</v>
      </c>
      <c r="K2004" s="1" t="b">
        <v>0</v>
      </c>
    </row>
    <row r="2005" spans="1:11">
      <c r="A2005" s="1" t="s">
        <v>1847</v>
      </c>
      <c r="B2005" s="313" t="str">
        <f>报表附注!E2483</f>
        <v>法定盈余公积</v>
      </c>
      <c r="C2005" s="322">
        <f t="shared" si="177"/>
        <v>0</v>
      </c>
      <c r="D2005" s="1" t="b">
        <f t="shared" si="175"/>
        <v>1</v>
      </c>
      <c r="E2005" s="315"/>
      <c r="H2005" s="1" t="b">
        <f t="shared" si="176"/>
        <v>0</v>
      </c>
      <c r="I2005" s="1" t="s">
        <v>4593</v>
      </c>
      <c r="K2005" s="1" t="b">
        <v>0</v>
      </c>
    </row>
    <row r="2006" spans="1:11">
      <c r="A2006" s="1" t="s">
        <v>1848</v>
      </c>
      <c r="B2006" s="313" t="str">
        <f>报表附注!E2484</f>
        <v>任意盈余公积</v>
      </c>
      <c r="C2006" s="322">
        <f t="shared" si="177"/>
        <v>0</v>
      </c>
      <c r="D2006" s="1" t="b">
        <f t="shared" si="175"/>
        <v>1</v>
      </c>
      <c r="E2006" s="315"/>
      <c r="H2006" s="1" t="b">
        <f t="shared" si="176"/>
        <v>0</v>
      </c>
      <c r="I2006" s="1" t="s">
        <v>4594</v>
      </c>
      <c r="K2006" s="1" t="b">
        <v>0</v>
      </c>
    </row>
    <row r="2007" spans="1:11">
      <c r="A2007" s="1" t="s">
        <v>1201</v>
      </c>
      <c r="B2007" s="313" t="str">
        <f>报表附注!E2485</f>
        <v>储备基金</v>
      </c>
      <c r="C2007" s="322">
        <f t="shared" si="177"/>
        <v>0</v>
      </c>
      <c r="D2007" s="1" t="b">
        <f t="shared" si="175"/>
        <v>1</v>
      </c>
      <c r="E2007" s="315"/>
      <c r="H2007" s="1" t="b">
        <f t="shared" si="176"/>
        <v>0</v>
      </c>
      <c r="I2007" s="1" t="s">
        <v>1868</v>
      </c>
      <c r="K2007" s="1" t="b">
        <v>1</v>
      </c>
    </row>
    <row r="2008" spans="1:11">
      <c r="A2008" s="1" t="s">
        <v>1203</v>
      </c>
      <c r="B2008" s="313" t="str">
        <f>报表附注!E2486</f>
        <v>企业发展基金</v>
      </c>
      <c r="C2008" s="322">
        <f t="shared" si="177"/>
        <v>0</v>
      </c>
      <c r="D2008" s="1" t="b">
        <f t="shared" si="175"/>
        <v>1</v>
      </c>
      <c r="E2008" s="315"/>
      <c r="H2008" s="1" t="b">
        <f t="shared" si="176"/>
        <v>0</v>
      </c>
      <c r="I2008" s="1" t="s">
        <v>1869</v>
      </c>
      <c r="K2008" s="1" t="b">
        <v>1</v>
      </c>
    </row>
    <row r="2009" spans="1:11">
      <c r="A2009" s="1" t="s">
        <v>1580</v>
      </c>
      <c r="B2009" s="324" t="str">
        <f>报表附注!E2487</f>
        <v>合计</v>
      </c>
      <c r="C2009" s="322">
        <f t="shared" si="177"/>
        <v>0</v>
      </c>
      <c r="D2009" s="1" t="b">
        <f t="shared" si="175"/>
        <v>1</v>
      </c>
      <c r="E2009" s="315"/>
      <c r="H2009" s="1" t="b">
        <f t="shared" si="176"/>
        <v>0</v>
      </c>
      <c r="I2009" s="1" t="s">
        <v>1870</v>
      </c>
      <c r="K2009" s="1" t="b">
        <v>1</v>
      </c>
    </row>
    <row r="2010" spans="4:11">
      <c r="D2010" s="1" t="b">
        <f t="shared" si="175"/>
        <v>1</v>
      </c>
      <c r="H2010" s="1" t="b">
        <f t="shared" si="176"/>
        <v>0</v>
      </c>
      <c r="I2010" s="1" t="s">
        <v>1871</v>
      </c>
      <c r="K2010" s="1" t="b">
        <v>1</v>
      </c>
    </row>
    <row r="2011" spans="1:11">
      <c r="A2011" s="1" t="s">
        <v>1849</v>
      </c>
      <c r="B2011" s="333" t="s">
        <v>1849</v>
      </c>
      <c r="D2011" s="1" t="b">
        <f t="shared" si="175"/>
        <v>1</v>
      </c>
      <c r="H2011" s="1" t="b">
        <f t="shared" si="176"/>
        <v>0</v>
      </c>
      <c r="I2011" s="1" t="s">
        <v>1872</v>
      </c>
      <c r="K2011" s="1" t="b">
        <v>1</v>
      </c>
    </row>
    <row r="2012" spans="4:11">
      <c r="D2012" s="1" t="b">
        <f t="shared" si="175"/>
        <v>1</v>
      </c>
      <c r="H2012" s="1" t="b">
        <f t="shared" si="176"/>
        <v>0</v>
      </c>
      <c r="I2012" s="1" t="s">
        <v>1580</v>
      </c>
      <c r="K2012" s="1" t="b">
        <v>1</v>
      </c>
    </row>
    <row r="2013" spans="1:11">
      <c r="A2013" s="1" t="s">
        <v>1850</v>
      </c>
      <c r="B2013" s="331" t="s">
        <v>1850</v>
      </c>
      <c r="D2013" s="1" t="b">
        <f t="shared" si="175"/>
        <v>1</v>
      </c>
      <c r="H2013" s="1" t="b">
        <f t="shared" si="176"/>
        <v>0</v>
      </c>
      <c r="I2013" s="1" t="s">
        <v>1874</v>
      </c>
      <c r="K2013" s="1" t="b">
        <v>1</v>
      </c>
    </row>
    <row r="2014" spans="2:11">
      <c r="B2014" s="331"/>
      <c r="D2014" s="1" t="b">
        <f t="shared" si="175"/>
        <v>1</v>
      </c>
      <c r="H2014" s="1" t="b">
        <f t="shared" si="176"/>
        <v>0</v>
      </c>
      <c r="I2014" s="1" t="s">
        <v>4586</v>
      </c>
      <c r="K2014" s="1" t="b">
        <v>0</v>
      </c>
    </row>
    <row r="2015" spans="1:11">
      <c r="A2015" s="1" t="s">
        <v>1851</v>
      </c>
      <c r="B2015" s="335" t="s">
        <v>1851</v>
      </c>
      <c r="D2015" s="1" t="b">
        <f t="shared" si="175"/>
        <v>1</v>
      </c>
      <c r="E2015" s="311"/>
      <c r="H2015" s="1" t="b">
        <f t="shared" si="176"/>
        <v>0</v>
      </c>
      <c r="I2015" s="311" t="s">
        <v>4587</v>
      </c>
      <c r="J2015" s="334"/>
      <c r="K2015" s="311" t="b">
        <v>0</v>
      </c>
    </row>
    <row r="2016" spans="1:11">
      <c r="A2016" s="1" t="s">
        <v>1852</v>
      </c>
      <c r="B2016" s="313" t="str">
        <f>报表附注!E2529</f>
        <v>主营业务收入</v>
      </c>
      <c r="C2016" s="322"/>
      <c r="D2016" s="1" t="b">
        <f t="shared" si="175"/>
        <v>1</v>
      </c>
      <c r="E2016" s="315"/>
      <c r="H2016" s="1" t="b">
        <f t="shared" si="176"/>
        <v>0</v>
      </c>
      <c r="I2016" s="311" t="s">
        <v>4588</v>
      </c>
      <c r="J2016" s="334"/>
      <c r="K2016" s="311" t="b">
        <v>0</v>
      </c>
    </row>
    <row r="2017" spans="1:12">
      <c r="A2017" s="1" t="s">
        <v>1853</v>
      </c>
      <c r="B2017" s="313" t="str">
        <f>报表附注!E2530</f>
        <v>其他业务收入</v>
      </c>
      <c r="C2017" s="322"/>
      <c r="D2017" s="1" t="b">
        <f t="shared" si="175"/>
        <v>1</v>
      </c>
      <c r="E2017" s="315"/>
      <c r="H2017" s="1" t="b">
        <f t="shared" si="176"/>
        <v>0</v>
      </c>
      <c r="I2017" s="311" t="s">
        <v>4589</v>
      </c>
      <c r="J2017" s="334"/>
      <c r="K2017" s="311" t="b">
        <v>0</v>
      </c>
      <c r="L2017" s="311"/>
    </row>
    <row r="2018" spans="1:12">
      <c r="A2018" s="1" t="s">
        <v>346</v>
      </c>
      <c r="B2018" s="324" t="str">
        <f>报表附注!E2531</f>
        <v>合 计</v>
      </c>
      <c r="C2018" s="322"/>
      <c r="D2018" s="1" t="b">
        <f t="shared" si="175"/>
        <v>1</v>
      </c>
      <c r="E2018" s="315"/>
      <c r="H2018" s="1" t="b">
        <f t="shared" si="176"/>
        <v>0</v>
      </c>
      <c r="I2018" s="311" t="s">
        <v>4590</v>
      </c>
      <c r="J2018" s="334"/>
      <c r="K2018" s="311" t="b">
        <v>0</v>
      </c>
      <c r="L2018" s="311"/>
    </row>
    <row r="2019" spans="1:12">
      <c r="A2019" s="1" t="s">
        <v>1854</v>
      </c>
      <c r="B2019" s="335" t="s">
        <v>1854</v>
      </c>
      <c r="C2019" s="330"/>
      <c r="D2019" s="1" t="b">
        <f t="shared" si="175"/>
        <v>1</v>
      </c>
      <c r="H2019" s="1" t="b">
        <f t="shared" si="176"/>
        <v>0</v>
      </c>
      <c r="I2019" s="311" t="s">
        <v>4591</v>
      </c>
      <c r="J2019" s="334"/>
      <c r="K2019" s="311" t="b">
        <v>0</v>
      </c>
      <c r="L2019" s="311"/>
    </row>
    <row r="2020" spans="1:12">
      <c r="A2020" s="1" t="s">
        <v>1852</v>
      </c>
      <c r="B2020" s="313" t="str">
        <f>报表附注!E2529</f>
        <v>主营业务收入</v>
      </c>
      <c r="C2020" s="325"/>
      <c r="D2020" s="1" t="b">
        <f t="shared" si="175"/>
        <v>1</v>
      </c>
      <c r="E2020" s="325">
        <f>C2016</f>
        <v>0</v>
      </c>
      <c r="H2020" s="1" t="b">
        <f t="shared" si="176"/>
        <v>0</v>
      </c>
      <c r="I2020" s="311" t="s">
        <v>4592</v>
      </c>
      <c r="J2020" s="334"/>
      <c r="K2020" s="311" t="b">
        <v>0</v>
      </c>
      <c r="L2020" s="311"/>
    </row>
    <row r="2021" spans="1:12">
      <c r="A2021" s="1" t="s">
        <v>1853</v>
      </c>
      <c r="B2021" s="313" t="str">
        <f>报表附注!E2530</f>
        <v>其他业务收入</v>
      </c>
      <c r="C2021" s="325"/>
      <c r="D2021" s="1" t="b">
        <f t="shared" si="175"/>
        <v>1</v>
      </c>
      <c r="E2021" s="325">
        <f>C2017</f>
        <v>0</v>
      </c>
      <c r="H2021" s="1" t="b">
        <f t="shared" si="176"/>
        <v>0</v>
      </c>
      <c r="I2021" s="311" t="s">
        <v>4593</v>
      </c>
      <c r="J2021" s="334"/>
      <c r="K2021" s="311" t="b">
        <v>0</v>
      </c>
      <c r="L2021" s="311"/>
    </row>
    <row r="2022" spans="1:12">
      <c r="A2022" s="1" t="s">
        <v>346</v>
      </c>
      <c r="B2022" s="324" t="str">
        <f>报表附注!E2531</f>
        <v>合 计</v>
      </c>
      <c r="C2022" s="325"/>
      <c r="D2022" s="1" t="b">
        <f t="shared" si="175"/>
        <v>1</v>
      </c>
      <c r="E2022" s="325">
        <f>C2018</f>
        <v>0</v>
      </c>
      <c r="H2022" s="1" t="b">
        <f t="shared" si="176"/>
        <v>0</v>
      </c>
      <c r="I2022" s="311" t="s">
        <v>4594</v>
      </c>
      <c r="J2022" s="334"/>
      <c r="K2022" s="311" t="b">
        <v>0</v>
      </c>
      <c r="L2022" s="311"/>
    </row>
    <row r="2023" s="311" customFormat="1" spans="1:11">
      <c r="A2023" s="311" t="s">
        <v>1855</v>
      </c>
      <c r="B2023" s="335" t="s">
        <v>1855</v>
      </c>
      <c r="C2023" s="315"/>
      <c r="D2023" s="1" t="b">
        <f t="shared" si="175"/>
        <v>1</v>
      </c>
      <c r="E2023" s="315"/>
      <c r="F2023" s="1"/>
      <c r="H2023" s="1" t="b">
        <f t="shared" si="176"/>
        <v>0</v>
      </c>
      <c r="I2023" s="1" t="s">
        <v>1868</v>
      </c>
      <c r="J2023" s="314"/>
      <c r="K2023" s="1" t="b">
        <v>1</v>
      </c>
    </row>
    <row r="2024" s="311" customFormat="1" spans="1:11">
      <c r="A2024" s="311" t="s">
        <v>1852</v>
      </c>
      <c r="B2024" s="329" t="str">
        <f>B2016</f>
        <v>主营业务收入</v>
      </c>
      <c r="C2024" s="322"/>
      <c r="D2024" s="1" t="b">
        <f t="shared" si="175"/>
        <v>1</v>
      </c>
      <c r="E2024" s="315"/>
      <c r="F2024" s="1"/>
      <c r="H2024" s="1" t="b">
        <f t="shared" si="176"/>
        <v>0</v>
      </c>
      <c r="I2024" s="1" t="s">
        <v>1869</v>
      </c>
      <c r="J2024" s="314"/>
      <c r="K2024" s="1" t="b">
        <v>1</v>
      </c>
    </row>
    <row r="2025" s="311" customFormat="1" spans="1:12">
      <c r="A2025" s="311" t="s">
        <v>1853</v>
      </c>
      <c r="B2025" s="329" t="str">
        <f>B2017</f>
        <v>其他业务收入</v>
      </c>
      <c r="C2025" s="322"/>
      <c r="D2025" s="1" t="b">
        <f t="shared" si="175"/>
        <v>1</v>
      </c>
      <c r="E2025" s="315"/>
      <c r="F2025" s="1"/>
      <c r="H2025" s="1" t="b">
        <f t="shared" si="176"/>
        <v>0</v>
      </c>
      <c r="I2025" s="1" t="s">
        <v>1870</v>
      </c>
      <c r="J2025" s="314"/>
      <c r="K2025" s="1" t="b">
        <v>1</v>
      </c>
      <c r="L2025" s="1"/>
    </row>
    <row r="2026" s="311" customFormat="1" spans="1:12">
      <c r="A2026" s="311" t="s">
        <v>346</v>
      </c>
      <c r="B2026" s="324" t="str">
        <f>B2018</f>
        <v>合 计</v>
      </c>
      <c r="C2026" s="322"/>
      <c r="D2026" s="1" t="b">
        <f t="shared" si="175"/>
        <v>1</v>
      </c>
      <c r="E2026" s="315"/>
      <c r="F2026" s="1"/>
      <c r="H2026" s="1" t="b">
        <f t="shared" si="176"/>
        <v>0</v>
      </c>
      <c r="I2026" s="1" t="s">
        <v>1871</v>
      </c>
      <c r="J2026" s="314"/>
      <c r="K2026" s="1" t="b">
        <v>1</v>
      </c>
      <c r="L2026" s="1"/>
    </row>
    <row r="2027" s="311" customFormat="1" spans="1:12">
      <c r="A2027" s="311" t="s">
        <v>1856</v>
      </c>
      <c r="B2027" s="335" t="s">
        <v>1856</v>
      </c>
      <c r="C2027" s="315"/>
      <c r="D2027" s="1" t="b">
        <f t="shared" si="175"/>
        <v>1</v>
      </c>
      <c r="E2027" s="315"/>
      <c r="F2027" s="1"/>
      <c r="H2027" s="1" t="b">
        <f t="shared" si="176"/>
        <v>0</v>
      </c>
      <c r="I2027" s="1" t="s">
        <v>1872</v>
      </c>
      <c r="J2027" s="314"/>
      <c r="K2027" s="1" t="b">
        <v>1</v>
      </c>
      <c r="L2027" s="1"/>
    </row>
    <row r="2028" s="311" customFormat="1" spans="1:12">
      <c r="A2028" s="311" t="s">
        <v>1852</v>
      </c>
      <c r="B2028" s="329" t="str">
        <f>B2016</f>
        <v>主营业务收入</v>
      </c>
      <c r="C2028" s="325"/>
      <c r="D2028" s="1" t="b">
        <f t="shared" si="175"/>
        <v>1</v>
      </c>
      <c r="E2028" s="325">
        <f>C2024</f>
        <v>0</v>
      </c>
      <c r="F2028" s="1"/>
      <c r="H2028" s="1" t="b">
        <f t="shared" si="176"/>
        <v>0</v>
      </c>
      <c r="I2028" s="1" t="s">
        <v>1580</v>
      </c>
      <c r="J2028" s="314"/>
      <c r="K2028" s="1" t="b">
        <v>1</v>
      </c>
      <c r="L2028" s="1"/>
    </row>
    <row r="2029" s="311" customFormat="1" spans="1:12">
      <c r="A2029" s="311" t="s">
        <v>1853</v>
      </c>
      <c r="B2029" s="329" t="str">
        <f>B2017</f>
        <v>其他业务收入</v>
      </c>
      <c r="C2029" s="325"/>
      <c r="D2029" s="1" t="b">
        <f t="shared" si="175"/>
        <v>1</v>
      </c>
      <c r="E2029" s="325">
        <f>C2025</f>
        <v>0</v>
      </c>
      <c r="F2029" s="1"/>
      <c r="H2029" s="1" t="b">
        <f t="shared" si="176"/>
        <v>0</v>
      </c>
      <c r="I2029" s="1" t="s">
        <v>1875</v>
      </c>
      <c r="J2029" s="314"/>
      <c r="K2029" s="1" t="b">
        <v>1</v>
      </c>
      <c r="L2029" s="1"/>
    </row>
    <row r="2030" s="311" customFormat="1" spans="1:12">
      <c r="A2030" s="311" t="s">
        <v>346</v>
      </c>
      <c r="B2030" s="324" t="str">
        <f>B2018</f>
        <v>合 计</v>
      </c>
      <c r="C2030" s="325"/>
      <c r="D2030" s="1" t="b">
        <f t="shared" si="175"/>
        <v>1</v>
      </c>
      <c r="E2030" s="325">
        <f>C2026</f>
        <v>0</v>
      </c>
      <c r="F2030" s="1"/>
      <c r="H2030" s="1" t="b">
        <f t="shared" si="176"/>
        <v>0</v>
      </c>
      <c r="I2030" s="1" t="s">
        <v>4586</v>
      </c>
      <c r="J2030" s="314"/>
      <c r="K2030" s="1" t="b">
        <v>0</v>
      </c>
      <c r="L2030" s="1"/>
    </row>
    <row r="2031" spans="3:11">
      <c r="C2031" s="330"/>
      <c r="D2031" s="1" t="b">
        <f t="shared" si="175"/>
        <v>1</v>
      </c>
      <c r="H2031" s="1" t="b">
        <f t="shared" si="176"/>
        <v>0</v>
      </c>
      <c r="I2031" s="1" t="s">
        <v>4587</v>
      </c>
      <c r="K2031" s="1" t="b">
        <v>0</v>
      </c>
    </row>
    <row r="2032" spans="1:11">
      <c r="A2032" s="1" t="s">
        <v>1857</v>
      </c>
      <c r="B2032" s="319" t="s">
        <v>1857</v>
      </c>
      <c r="C2032" s="330"/>
      <c r="D2032" s="1" t="b">
        <f t="shared" si="175"/>
        <v>1</v>
      </c>
      <c r="H2032" s="1" t="b">
        <f t="shared" si="176"/>
        <v>0</v>
      </c>
      <c r="I2032" s="1" t="s">
        <v>4588</v>
      </c>
      <c r="K2032" s="1" t="b">
        <v>0</v>
      </c>
    </row>
    <row r="2033" spans="1:11">
      <c r="A2033" s="1" t="s">
        <v>1858</v>
      </c>
      <c r="B2033" s="335" t="s">
        <v>1858</v>
      </c>
      <c r="C2033" s="330"/>
      <c r="D2033" s="1" t="b">
        <f t="shared" si="175"/>
        <v>1</v>
      </c>
      <c r="E2033" s="311"/>
      <c r="H2033" s="1" t="b">
        <f t="shared" si="176"/>
        <v>0</v>
      </c>
      <c r="I2033" s="1" t="s">
        <v>4589</v>
      </c>
      <c r="K2033" s="1" t="b">
        <v>0</v>
      </c>
    </row>
    <row r="2034" spans="1:11">
      <c r="A2034" s="1" t="s">
        <v>1859</v>
      </c>
      <c r="B2034" s="313" t="str">
        <f>报表附注!E2538</f>
        <v>类别1--</v>
      </c>
      <c r="C2034" s="325"/>
      <c r="D2034" s="1" t="b">
        <f t="shared" si="175"/>
        <v>0</v>
      </c>
      <c r="E2034" s="315"/>
      <c r="H2034" s="1" t="b">
        <f t="shared" si="176"/>
        <v>0</v>
      </c>
      <c r="I2034" s="1" t="s">
        <v>4590</v>
      </c>
      <c r="K2034" s="1" t="b">
        <v>0</v>
      </c>
    </row>
    <row r="2035" spans="1:11">
      <c r="A2035" s="1" t="s">
        <v>1860</v>
      </c>
      <c r="B2035" s="313" t="str">
        <f>报表附注!E2539</f>
        <v>类别2--</v>
      </c>
      <c r="C2035" s="325"/>
      <c r="D2035" s="1" t="b">
        <f t="shared" si="175"/>
        <v>1</v>
      </c>
      <c r="E2035" s="315"/>
      <c r="H2035" s="1" t="b">
        <f t="shared" si="176"/>
        <v>0</v>
      </c>
      <c r="I2035" s="1" t="s">
        <v>4591</v>
      </c>
      <c r="K2035" s="1" t="b">
        <v>0</v>
      </c>
    </row>
    <row r="2036" spans="1:11">
      <c r="A2036" s="1" t="s">
        <v>1861</v>
      </c>
      <c r="B2036" s="313" t="str">
        <f>报表附注!E2540</f>
        <v>类别3--</v>
      </c>
      <c r="C2036" s="325"/>
      <c r="D2036" s="1" t="b">
        <f t="shared" si="175"/>
        <v>1</v>
      </c>
      <c r="E2036" s="315"/>
      <c r="H2036" s="1" t="b">
        <f t="shared" si="176"/>
        <v>0</v>
      </c>
      <c r="I2036" s="1" t="s">
        <v>4592</v>
      </c>
      <c r="K2036" s="1" t="b">
        <v>0</v>
      </c>
    </row>
    <row r="2037" spans="1:11">
      <c r="A2037" s="1" t="s">
        <v>1862</v>
      </c>
      <c r="B2037" s="313" t="str">
        <f>报表附注!E2541</f>
        <v>类别4-</v>
      </c>
      <c r="C2037" s="325"/>
      <c r="D2037" s="1" t="b">
        <f t="shared" si="175"/>
        <v>0</v>
      </c>
      <c r="E2037" s="315"/>
      <c r="H2037" s="1" t="b">
        <f t="shared" si="176"/>
        <v>0</v>
      </c>
      <c r="I2037" s="1" t="s">
        <v>4593</v>
      </c>
      <c r="K2037" s="1" t="b">
        <v>0</v>
      </c>
    </row>
    <row r="2038" spans="1:11">
      <c r="A2038" s="1" t="s">
        <v>1863</v>
      </c>
      <c r="B2038" s="313" t="str">
        <f>报表附注!E2542</f>
        <v>类别5-</v>
      </c>
      <c r="C2038" s="325"/>
      <c r="D2038" s="1" t="b">
        <f t="shared" si="175"/>
        <v>0</v>
      </c>
      <c r="E2038" s="315"/>
      <c r="H2038" s="1" t="b">
        <f t="shared" si="176"/>
        <v>0</v>
      </c>
      <c r="I2038" s="1" t="s">
        <v>4594</v>
      </c>
      <c r="K2038" s="1" t="b">
        <v>0</v>
      </c>
    </row>
    <row r="2039" spans="1:11">
      <c r="A2039" s="1" t="s">
        <v>1864</v>
      </c>
      <c r="B2039" s="313" t="str">
        <f>报表附注!E2543</f>
        <v>类别6--</v>
      </c>
      <c r="C2039" s="325"/>
      <c r="D2039" s="1" t="b">
        <f t="shared" si="175"/>
        <v>1</v>
      </c>
      <c r="E2039" s="315"/>
      <c r="H2039" s="1" t="b">
        <f t="shared" si="176"/>
        <v>0</v>
      </c>
      <c r="I2039" s="1" t="s">
        <v>1868</v>
      </c>
      <c r="K2039" s="1" t="b">
        <v>1</v>
      </c>
    </row>
    <row r="2040" spans="1:11">
      <c r="A2040" s="1" t="s">
        <v>1865</v>
      </c>
      <c r="B2040" s="313" t="str">
        <f>报表附注!E2544</f>
        <v>类别7-</v>
      </c>
      <c r="C2040" s="325"/>
      <c r="D2040" s="1" t="b">
        <f t="shared" si="175"/>
        <v>0</v>
      </c>
      <c r="E2040" s="315"/>
      <c r="H2040" s="1" t="b">
        <f t="shared" si="176"/>
        <v>0</v>
      </c>
      <c r="I2040" s="1" t="s">
        <v>1869</v>
      </c>
      <c r="K2040" s="1" t="b">
        <v>1</v>
      </c>
    </row>
    <row r="2041" spans="1:11">
      <c r="A2041" s="1" t="s">
        <v>1866</v>
      </c>
      <c r="B2041" s="313" t="str">
        <f>报表附注!E2545</f>
        <v>类别8--</v>
      </c>
      <c r="C2041" s="325"/>
      <c r="D2041" s="1" t="b">
        <f t="shared" si="175"/>
        <v>1</v>
      </c>
      <c r="E2041" s="315"/>
      <c r="H2041" s="1" t="b">
        <f t="shared" si="176"/>
        <v>0</v>
      </c>
      <c r="I2041" s="1" t="s">
        <v>1870</v>
      </c>
      <c r="K2041" s="1" t="b">
        <v>1</v>
      </c>
    </row>
    <row r="2042" spans="1:11">
      <c r="A2042" s="1" t="s">
        <v>1867</v>
      </c>
      <c r="B2042" s="313" t="str">
        <f>报表附注!E2546</f>
        <v>类别9--</v>
      </c>
      <c r="C2042" s="325"/>
      <c r="D2042" s="1" t="b">
        <f t="shared" si="175"/>
        <v>1</v>
      </c>
      <c r="E2042" s="315"/>
      <c r="H2042" s="1" t="b">
        <f t="shared" si="176"/>
        <v>0</v>
      </c>
      <c r="I2042" s="1" t="s">
        <v>1871</v>
      </c>
      <c r="K2042" s="1" t="b">
        <v>1</v>
      </c>
    </row>
    <row r="2043" spans="1:11">
      <c r="A2043" s="1" t="s">
        <v>1868</v>
      </c>
      <c r="B2043" s="313" t="str">
        <f>报表附注!E2547</f>
        <v>类别10--</v>
      </c>
      <c r="C2043" s="325"/>
      <c r="D2043" s="1" t="b">
        <f t="shared" si="175"/>
        <v>1</v>
      </c>
      <c r="E2043" s="315"/>
      <c r="H2043" s="1" t="b">
        <f t="shared" si="176"/>
        <v>0</v>
      </c>
      <c r="I2043" s="1" t="s">
        <v>1872</v>
      </c>
      <c r="K2043" s="1" t="b">
        <v>1</v>
      </c>
    </row>
    <row r="2044" spans="1:11">
      <c r="A2044" s="1" t="s">
        <v>1869</v>
      </c>
      <c r="B2044" s="313" t="str">
        <f>报表附注!E2548</f>
        <v>类别11--</v>
      </c>
      <c r="C2044" s="325"/>
      <c r="D2044" s="1" t="b">
        <f t="shared" si="175"/>
        <v>1</v>
      </c>
      <c r="E2044" s="315"/>
      <c r="H2044" s="1" t="b">
        <f t="shared" si="176"/>
        <v>0</v>
      </c>
      <c r="I2044" s="1" t="s">
        <v>1580</v>
      </c>
      <c r="K2044" s="1" t="b">
        <v>1</v>
      </c>
    </row>
    <row r="2045" spans="1:11">
      <c r="A2045" s="1" t="s">
        <v>1870</v>
      </c>
      <c r="B2045" s="313" t="str">
        <f>报表附注!E2549</f>
        <v>类别12--</v>
      </c>
      <c r="C2045" s="325"/>
      <c r="D2045" s="1" t="b">
        <f t="shared" si="175"/>
        <v>1</v>
      </c>
      <c r="E2045" s="315"/>
      <c r="H2045" s="1" t="b">
        <f t="shared" si="176"/>
        <v>0</v>
      </c>
      <c r="K2045" s="1" t="b">
        <v>1</v>
      </c>
    </row>
    <row r="2046" spans="1:11">
      <c r="A2046" s="1" t="s">
        <v>1871</v>
      </c>
      <c r="B2046" s="313" t="str">
        <f>报表附注!E2550</f>
        <v>类别13--</v>
      </c>
      <c r="C2046" s="325"/>
      <c r="D2046" s="1" t="b">
        <f t="shared" ref="D2046:D2109" si="178">EXACT(A2046,B2046)</f>
        <v>1</v>
      </c>
      <c r="E2046" s="315"/>
      <c r="H2046" s="1" t="b">
        <f t="shared" si="176"/>
        <v>0</v>
      </c>
      <c r="I2046" s="1" t="s">
        <v>1876</v>
      </c>
      <c r="K2046" s="1" t="b">
        <v>1</v>
      </c>
    </row>
    <row r="2047" spans="1:11">
      <c r="A2047" s="1" t="s">
        <v>1872</v>
      </c>
      <c r="B2047" s="313" t="str">
        <f>报表附注!E2551</f>
        <v>类别14--</v>
      </c>
      <c r="C2047" s="325"/>
      <c r="D2047" s="1" t="b">
        <f t="shared" si="178"/>
        <v>1</v>
      </c>
      <c r="E2047" s="315"/>
      <c r="H2047" s="1" t="b">
        <f t="shared" si="176"/>
        <v>0</v>
      </c>
      <c r="I2047" s="1" t="s">
        <v>1858</v>
      </c>
      <c r="K2047" s="1" t="b">
        <v>1</v>
      </c>
    </row>
    <row r="2048" spans="1:11">
      <c r="A2048" s="1" t="s">
        <v>1580</v>
      </c>
      <c r="B2048" s="324" t="str">
        <f>报表附注!E2552</f>
        <v>合计</v>
      </c>
      <c r="C2048" s="325"/>
      <c r="D2048" s="1" t="b">
        <f t="shared" si="178"/>
        <v>1</v>
      </c>
      <c r="E2048" s="315"/>
      <c r="H2048" s="1" t="b">
        <f t="shared" si="176"/>
        <v>0</v>
      </c>
      <c r="I2048" s="1" t="s">
        <v>4586</v>
      </c>
      <c r="K2048" s="1" t="b">
        <v>0</v>
      </c>
    </row>
    <row r="2049" spans="1:11">
      <c r="A2049" s="1" t="s">
        <v>1873</v>
      </c>
      <c r="B2049" s="335" t="s">
        <v>1873</v>
      </c>
      <c r="C2049" s="330"/>
      <c r="D2049" s="1" t="b">
        <f t="shared" si="178"/>
        <v>1</v>
      </c>
      <c r="H2049" s="1" t="b">
        <f t="shared" si="176"/>
        <v>0</v>
      </c>
      <c r="I2049" s="1" t="s">
        <v>4587</v>
      </c>
      <c r="K2049" s="1" t="b">
        <v>0</v>
      </c>
    </row>
    <row r="2050" spans="1:11">
      <c r="A2050" s="1" t="s">
        <v>1859</v>
      </c>
      <c r="B2050" s="313" t="str">
        <f>报表附注!E2538</f>
        <v>类别1--</v>
      </c>
      <c r="C2050" s="358"/>
      <c r="D2050" s="1" t="b">
        <f t="shared" si="178"/>
        <v>0</v>
      </c>
      <c r="E2050" s="358">
        <f>C2034</f>
        <v>0</v>
      </c>
      <c r="H2050" s="1" t="b">
        <f t="shared" si="176"/>
        <v>0</v>
      </c>
      <c r="I2050" s="1" t="s">
        <v>4588</v>
      </c>
      <c r="K2050" s="1" t="b">
        <v>0</v>
      </c>
    </row>
    <row r="2051" spans="1:11">
      <c r="A2051" s="1" t="s">
        <v>1860</v>
      </c>
      <c r="B2051" s="313" t="str">
        <f>报表附注!E2539</f>
        <v>类别2--</v>
      </c>
      <c r="C2051" s="358"/>
      <c r="D2051" s="1" t="b">
        <f t="shared" si="178"/>
        <v>1</v>
      </c>
      <c r="E2051" s="358">
        <f t="shared" ref="E2051:E2064" si="179">C2035</f>
        <v>0</v>
      </c>
      <c r="H2051" s="1" t="b">
        <f t="shared" si="176"/>
        <v>0</v>
      </c>
      <c r="I2051" s="1" t="s">
        <v>4589</v>
      </c>
      <c r="K2051" s="1" t="b">
        <v>0</v>
      </c>
    </row>
    <row r="2052" spans="1:11">
      <c r="A2052" s="1" t="s">
        <v>1861</v>
      </c>
      <c r="B2052" s="313" t="str">
        <f>报表附注!E2540</f>
        <v>类别3--</v>
      </c>
      <c r="C2052" s="358"/>
      <c r="D2052" s="1" t="b">
        <f t="shared" si="178"/>
        <v>1</v>
      </c>
      <c r="E2052" s="358">
        <f t="shared" si="179"/>
        <v>0</v>
      </c>
      <c r="H2052" s="1" t="b">
        <f t="shared" ref="H2052:H2115" si="180">I2052=B2052</f>
        <v>0</v>
      </c>
      <c r="I2052" s="1" t="s">
        <v>4590</v>
      </c>
      <c r="K2052" s="1" t="b">
        <v>0</v>
      </c>
    </row>
    <row r="2053" spans="1:11">
      <c r="A2053" s="1" t="s">
        <v>1862</v>
      </c>
      <c r="B2053" s="313" t="str">
        <f>报表附注!E2541</f>
        <v>类别4-</v>
      </c>
      <c r="C2053" s="358"/>
      <c r="D2053" s="1" t="b">
        <f t="shared" si="178"/>
        <v>0</v>
      </c>
      <c r="E2053" s="358">
        <f t="shared" si="179"/>
        <v>0</v>
      </c>
      <c r="H2053" s="1" t="b">
        <f t="shared" si="180"/>
        <v>0</v>
      </c>
      <c r="I2053" s="1" t="s">
        <v>4591</v>
      </c>
      <c r="K2053" s="1" t="b">
        <v>0</v>
      </c>
    </row>
    <row r="2054" spans="1:11">
      <c r="A2054" s="1" t="s">
        <v>1863</v>
      </c>
      <c r="B2054" s="313" t="str">
        <f>报表附注!E2542</f>
        <v>类别5-</v>
      </c>
      <c r="C2054" s="358"/>
      <c r="D2054" s="1" t="b">
        <f t="shared" si="178"/>
        <v>0</v>
      </c>
      <c r="E2054" s="358">
        <f t="shared" si="179"/>
        <v>0</v>
      </c>
      <c r="H2054" s="1" t="b">
        <f t="shared" si="180"/>
        <v>0</v>
      </c>
      <c r="I2054" s="1" t="s">
        <v>4592</v>
      </c>
      <c r="K2054" s="1" t="b">
        <v>0</v>
      </c>
    </row>
    <row r="2055" spans="1:11">
      <c r="A2055" s="1" t="s">
        <v>1864</v>
      </c>
      <c r="B2055" s="313" t="str">
        <f>报表附注!E2543</f>
        <v>类别6--</v>
      </c>
      <c r="C2055" s="358"/>
      <c r="D2055" s="1" t="b">
        <f t="shared" si="178"/>
        <v>1</v>
      </c>
      <c r="E2055" s="358">
        <f t="shared" si="179"/>
        <v>0</v>
      </c>
      <c r="H2055" s="1" t="b">
        <f t="shared" si="180"/>
        <v>0</v>
      </c>
      <c r="I2055" s="1" t="s">
        <v>4593</v>
      </c>
      <c r="K2055" s="1" t="b">
        <v>0</v>
      </c>
    </row>
    <row r="2056" spans="1:11">
      <c r="A2056" s="1" t="s">
        <v>1865</v>
      </c>
      <c r="B2056" s="313" t="str">
        <f>报表附注!E2544</f>
        <v>类别7-</v>
      </c>
      <c r="C2056" s="358"/>
      <c r="D2056" s="1" t="b">
        <f t="shared" si="178"/>
        <v>0</v>
      </c>
      <c r="E2056" s="358">
        <f t="shared" si="179"/>
        <v>0</v>
      </c>
      <c r="H2056" s="1" t="b">
        <f t="shared" si="180"/>
        <v>0</v>
      </c>
      <c r="I2056" s="1" t="s">
        <v>4594</v>
      </c>
      <c r="K2056" s="1" t="b">
        <v>0</v>
      </c>
    </row>
    <row r="2057" spans="1:11">
      <c r="A2057" s="1" t="s">
        <v>1866</v>
      </c>
      <c r="B2057" s="313" t="str">
        <f>报表附注!E2545</f>
        <v>类别8--</v>
      </c>
      <c r="C2057" s="358"/>
      <c r="D2057" s="1" t="b">
        <f t="shared" si="178"/>
        <v>1</v>
      </c>
      <c r="E2057" s="358">
        <f t="shared" si="179"/>
        <v>0</v>
      </c>
      <c r="H2057" s="1" t="b">
        <f t="shared" si="180"/>
        <v>0</v>
      </c>
      <c r="I2057" s="1" t="s">
        <v>1886</v>
      </c>
      <c r="K2057" s="1" t="b">
        <v>1</v>
      </c>
    </row>
    <row r="2058" spans="1:11">
      <c r="A2058" s="1" t="s">
        <v>1867</v>
      </c>
      <c r="B2058" s="313" t="str">
        <f>报表附注!E2546</f>
        <v>类别9--</v>
      </c>
      <c r="C2058" s="358"/>
      <c r="D2058" s="1" t="b">
        <f t="shared" si="178"/>
        <v>1</v>
      </c>
      <c r="E2058" s="358">
        <f t="shared" si="179"/>
        <v>0</v>
      </c>
      <c r="H2058" s="1" t="b">
        <f t="shared" si="180"/>
        <v>0</v>
      </c>
      <c r="I2058" s="1" t="s">
        <v>1887</v>
      </c>
      <c r="K2058" s="1" t="b">
        <v>1</v>
      </c>
    </row>
    <row r="2059" spans="1:11">
      <c r="A2059" s="1" t="s">
        <v>1868</v>
      </c>
      <c r="B2059" s="313" t="str">
        <f>报表附注!E2547</f>
        <v>类别10--</v>
      </c>
      <c r="C2059" s="358"/>
      <c r="D2059" s="1" t="b">
        <f t="shared" si="178"/>
        <v>1</v>
      </c>
      <c r="E2059" s="358">
        <f t="shared" si="179"/>
        <v>0</v>
      </c>
      <c r="H2059" s="1" t="b">
        <f t="shared" si="180"/>
        <v>0</v>
      </c>
      <c r="I2059" s="1" t="s">
        <v>1888</v>
      </c>
      <c r="K2059" s="1" t="b">
        <v>1</v>
      </c>
    </row>
    <row r="2060" spans="1:11">
      <c r="A2060" s="1" t="s">
        <v>1869</v>
      </c>
      <c r="B2060" s="313" t="str">
        <f>报表附注!E2548</f>
        <v>类别11--</v>
      </c>
      <c r="C2060" s="358"/>
      <c r="D2060" s="1" t="b">
        <f t="shared" si="178"/>
        <v>1</v>
      </c>
      <c r="E2060" s="358">
        <f t="shared" si="179"/>
        <v>0</v>
      </c>
      <c r="H2060" s="1" t="b">
        <f t="shared" si="180"/>
        <v>0</v>
      </c>
      <c r="I2060" s="1" t="s">
        <v>1889</v>
      </c>
      <c r="K2060" s="1" t="b">
        <v>1</v>
      </c>
    </row>
    <row r="2061" spans="1:11">
      <c r="A2061" s="1" t="s">
        <v>1870</v>
      </c>
      <c r="B2061" s="313" t="str">
        <f>报表附注!E2549</f>
        <v>类别12--</v>
      </c>
      <c r="C2061" s="358"/>
      <c r="D2061" s="1" t="b">
        <f t="shared" si="178"/>
        <v>1</v>
      </c>
      <c r="E2061" s="358">
        <f t="shared" si="179"/>
        <v>0</v>
      </c>
      <c r="H2061" s="1" t="b">
        <f t="shared" si="180"/>
        <v>0</v>
      </c>
      <c r="I2061" s="1" t="s">
        <v>1580</v>
      </c>
      <c r="K2061" s="1" t="b">
        <v>1</v>
      </c>
    </row>
    <row r="2062" spans="1:11">
      <c r="A2062" s="1" t="s">
        <v>1871</v>
      </c>
      <c r="B2062" s="313" t="str">
        <f>报表附注!E2550</f>
        <v>类别13--</v>
      </c>
      <c r="C2062" s="358"/>
      <c r="D2062" s="1" t="b">
        <f t="shared" si="178"/>
        <v>1</v>
      </c>
      <c r="E2062" s="358">
        <f t="shared" si="179"/>
        <v>0</v>
      </c>
      <c r="H2062" s="1" t="b">
        <f t="shared" si="180"/>
        <v>0</v>
      </c>
      <c r="I2062" s="1" t="s">
        <v>1873</v>
      </c>
      <c r="K2062" s="1" t="b">
        <v>1</v>
      </c>
    </row>
    <row r="2063" spans="1:11">
      <c r="A2063" s="1" t="s">
        <v>1872</v>
      </c>
      <c r="B2063" s="313" t="str">
        <f>报表附注!E2551</f>
        <v>类别14--</v>
      </c>
      <c r="C2063" s="358"/>
      <c r="D2063" s="1" t="b">
        <f t="shared" si="178"/>
        <v>1</v>
      </c>
      <c r="E2063" s="358">
        <f t="shared" si="179"/>
        <v>0</v>
      </c>
      <c r="H2063" s="1" t="b">
        <f t="shared" si="180"/>
        <v>0</v>
      </c>
      <c r="I2063" s="1" t="s">
        <v>4586</v>
      </c>
      <c r="K2063" s="1" t="b">
        <v>0</v>
      </c>
    </row>
    <row r="2064" spans="1:11">
      <c r="A2064" s="1" t="s">
        <v>1580</v>
      </c>
      <c r="B2064" s="324" t="str">
        <f>报表附注!E2552</f>
        <v>合计</v>
      </c>
      <c r="C2064" s="358"/>
      <c r="D2064" s="1" t="b">
        <f t="shared" si="178"/>
        <v>1</v>
      </c>
      <c r="E2064" s="358">
        <f t="shared" si="179"/>
        <v>0</v>
      </c>
      <c r="H2064" s="1" t="b">
        <f t="shared" si="180"/>
        <v>0</v>
      </c>
      <c r="I2064" s="1" t="s">
        <v>4587</v>
      </c>
      <c r="K2064" s="1" t="b">
        <v>0</v>
      </c>
    </row>
    <row r="2065" spans="1:11">
      <c r="A2065" s="1" t="s">
        <v>1874</v>
      </c>
      <c r="B2065" s="335" t="s">
        <v>1874</v>
      </c>
      <c r="C2065" s="330"/>
      <c r="D2065" s="1" t="b">
        <f t="shared" si="178"/>
        <v>1</v>
      </c>
      <c r="H2065" s="1" t="b">
        <f t="shared" si="180"/>
        <v>0</v>
      </c>
      <c r="I2065" s="1" t="s">
        <v>4588</v>
      </c>
      <c r="K2065" s="1" t="b">
        <v>0</v>
      </c>
    </row>
    <row r="2066" spans="1:11">
      <c r="A2066" s="1" t="s">
        <v>1859</v>
      </c>
      <c r="B2066" s="313" t="str">
        <f>报表附注!E2538</f>
        <v>类别1--</v>
      </c>
      <c r="C2066" s="358"/>
      <c r="D2066" s="1" t="b">
        <f t="shared" si="178"/>
        <v>0</v>
      </c>
      <c r="E2066" s="334"/>
      <c r="H2066" s="1" t="b">
        <f t="shared" si="180"/>
        <v>0</v>
      </c>
      <c r="I2066" s="1" t="s">
        <v>4589</v>
      </c>
      <c r="K2066" s="1" t="b">
        <v>0</v>
      </c>
    </row>
    <row r="2067" spans="1:11">
      <c r="A2067" s="1" t="s">
        <v>1860</v>
      </c>
      <c r="B2067" s="313" t="str">
        <f>报表附注!E2539</f>
        <v>类别2--</v>
      </c>
      <c r="C2067" s="358"/>
      <c r="D2067" s="1" t="b">
        <f t="shared" si="178"/>
        <v>1</v>
      </c>
      <c r="E2067" s="334"/>
      <c r="H2067" s="1" t="b">
        <f t="shared" si="180"/>
        <v>0</v>
      </c>
      <c r="I2067" s="1" t="s">
        <v>4590</v>
      </c>
      <c r="K2067" s="1" t="b">
        <v>0</v>
      </c>
    </row>
    <row r="2068" spans="1:11">
      <c r="A2068" s="1" t="s">
        <v>1861</v>
      </c>
      <c r="B2068" s="313" t="str">
        <f>报表附注!E2540</f>
        <v>类别3--</v>
      </c>
      <c r="C2068" s="358"/>
      <c r="D2068" s="1" t="b">
        <f t="shared" si="178"/>
        <v>1</v>
      </c>
      <c r="E2068" s="334"/>
      <c r="H2068" s="1" t="b">
        <f t="shared" si="180"/>
        <v>0</v>
      </c>
      <c r="I2068" s="1" t="s">
        <v>4591</v>
      </c>
      <c r="K2068" s="1" t="b">
        <v>0</v>
      </c>
    </row>
    <row r="2069" spans="1:11">
      <c r="A2069" s="1" t="s">
        <v>1862</v>
      </c>
      <c r="B2069" s="313" t="str">
        <f>报表附注!E2541</f>
        <v>类别4-</v>
      </c>
      <c r="C2069" s="358"/>
      <c r="D2069" s="1" t="b">
        <f t="shared" si="178"/>
        <v>0</v>
      </c>
      <c r="E2069" s="334"/>
      <c r="H2069" s="1" t="b">
        <f t="shared" si="180"/>
        <v>0</v>
      </c>
      <c r="I2069" s="1" t="s">
        <v>4592</v>
      </c>
      <c r="K2069" s="1" t="b">
        <v>0</v>
      </c>
    </row>
    <row r="2070" spans="1:11">
      <c r="A2070" s="1" t="s">
        <v>1863</v>
      </c>
      <c r="B2070" s="313" t="str">
        <f>报表附注!E2542</f>
        <v>类别5-</v>
      </c>
      <c r="C2070" s="358"/>
      <c r="D2070" s="1" t="b">
        <f t="shared" si="178"/>
        <v>0</v>
      </c>
      <c r="E2070" s="334"/>
      <c r="H2070" s="1" t="b">
        <f t="shared" si="180"/>
        <v>0</v>
      </c>
      <c r="I2070" s="1" t="s">
        <v>4593</v>
      </c>
      <c r="K2070" s="1" t="b">
        <v>0</v>
      </c>
    </row>
    <row r="2071" spans="1:11">
      <c r="A2071" s="1" t="s">
        <v>1864</v>
      </c>
      <c r="B2071" s="313" t="str">
        <f>报表附注!E2543</f>
        <v>类别6--</v>
      </c>
      <c r="C2071" s="358"/>
      <c r="D2071" s="1" t="b">
        <f t="shared" si="178"/>
        <v>1</v>
      </c>
      <c r="E2071" s="334"/>
      <c r="H2071" s="1" t="b">
        <f t="shared" si="180"/>
        <v>0</v>
      </c>
      <c r="I2071" s="1" t="s">
        <v>4594</v>
      </c>
      <c r="K2071" s="1" t="b">
        <v>0</v>
      </c>
    </row>
    <row r="2072" spans="1:11">
      <c r="A2072" s="1" t="s">
        <v>1865</v>
      </c>
      <c r="B2072" s="313" t="str">
        <f>报表附注!E2544</f>
        <v>类别7-</v>
      </c>
      <c r="C2072" s="358"/>
      <c r="D2072" s="1" t="b">
        <f t="shared" si="178"/>
        <v>0</v>
      </c>
      <c r="E2072" s="334"/>
      <c r="H2072" s="1" t="b">
        <f t="shared" si="180"/>
        <v>0</v>
      </c>
      <c r="I2072" s="1" t="s">
        <v>1886</v>
      </c>
      <c r="K2072" s="1" t="b">
        <v>1</v>
      </c>
    </row>
    <row r="2073" spans="1:11">
      <c r="A2073" s="1" t="s">
        <v>1866</v>
      </c>
      <c r="B2073" s="313" t="str">
        <f>报表附注!E2545</f>
        <v>类别8--</v>
      </c>
      <c r="C2073" s="358"/>
      <c r="D2073" s="1" t="b">
        <f t="shared" si="178"/>
        <v>1</v>
      </c>
      <c r="E2073" s="334"/>
      <c r="H2073" s="1" t="b">
        <f t="shared" si="180"/>
        <v>0</v>
      </c>
      <c r="I2073" s="1" t="s">
        <v>1887</v>
      </c>
      <c r="K2073" s="1" t="b">
        <v>1</v>
      </c>
    </row>
    <row r="2074" spans="1:11">
      <c r="A2074" s="1" t="s">
        <v>1867</v>
      </c>
      <c r="B2074" s="313" t="str">
        <f>报表附注!E2546</f>
        <v>类别9--</v>
      </c>
      <c r="C2074" s="358"/>
      <c r="D2074" s="1" t="b">
        <f t="shared" si="178"/>
        <v>1</v>
      </c>
      <c r="E2074" s="334"/>
      <c r="H2074" s="1" t="b">
        <f t="shared" si="180"/>
        <v>0</v>
      </c>
      <c r="I2074" s="1" t="s">
        <v>1888</v>
      </c>
      <c r="K2074" s="1" t="b">
        <v>1</v>
      </c>
    </row>
    <row r="2075" spans="1:11">
      <c r="A2075" s="1" t="s">
        <v>1868</v>
      </c>
      <c r="B2075" s="313" t="str">
        <f>报表附注!E2547</f>
        <v>类别10--</v>
      </c>
      <c r="C2075" s="358"/>
      <c r="D2075" s="1" t="b">
        <f t="shared" si="178"/>
        <v>1</v>
      </c>
      <c r="E2075" s="334"/>
      <c r="H2075" s="1" t="b">
        <f t="shared" si="180"/>
        <v>0</v>
      </c>
      <c r="I2075" s="1" t="s">
        <v>1889</v>
      </c>
      <c r="K2075" s="1" t="b">
        <v>1</v>
      </c>
    </row>
    <row r="2076" spans="1:11">
      <c r="A2076" s="1" t="s">
        <v>1869</v>
      </c>
      <c r="B2076" s="313" t="str">
        <f>报表附注!E2548</f>
        <v>类别11--</v>
      </c>
      <c r="C2076" s="358"/>
      <c r="D2076" s="1" t="b">
        <f t="shared" si="178"/>
        <v>1</v>
      </c>
      <c r="E2076" s="334"/>
      <c r="H2076" s="1" t="b">
        <f t="shared" si="180"/>
        <v>0</v>
      </c>
      <c r="I2076" s="1" t="s">
        <v>1580</v>
      </c>
      <c r="K2076" s="1" t="b">
        <v>1</v>
      </c>
    </row>
    <row r="2077" spans="1:11">
      <c r="A2077" s="1" t="s">
        <v>1870</v>
      </c>
      <c r="B2077" s="313" t="str">
        <f>报表附注!E2549</f>
        <v>类别12--</v>
      </c>
      <c r="C2077" s="358"/>
      <c r="D2077" s="1" t="b">
        <f t="shared" si="178"/>
        <v>1</v>
      </c>
      <c r="E2077" s="334"/>
      <c r="H2077" s="1" t="b">
        <f t="shared" si="180"/>
        <v>0</v>
      </c>
      <c r="I2077" s="1" t="s">
        <v>1874</v>
      </c>
      <c r="K2077" s="1" t="b">
        <v>1</v>
      </c>
    </row>
    <row r="2078" spans="1:11">
      <c r="A2078" s="1" t="s">
        <v>1871</v>
      </c>
      <c r="B2078" s="313" t="str">
        <f>报表附注!E2550</f>
        <v>类别13--</v>
      </c>
      <c r="C2078" s="358"/>
      <c r="D2078" s="1" t="b">
        <f t="shared" si="178"/>
        <v>1</v>
      </c>
      <c r="E2078" s="334"/>
      <c r="H2078" s="1" t="b">
        <f t="shared" si="180"/>
        <v>0</v>
      </c>
      <c r="I2078" s="1" t="s">
        <v>4586</v>
      </c>
      <c r="K2078" s="1" t="b">
        <v>0</v>
      </c>
    </row>
    <row r="2079" spans="1:11">
      <c r="A2079" s="1" t="s">
        <v>1872</v>
      </c>
      <c r="B2079" s="313" t="str">
        <f>报表附注!E2551</f>
        <v>类别14--</v>
      </c>
      <c r="C2079" s="358"/>
      <c r="D2079" s="1" t="b">
        <f t="shared" si="178"/>
        <v>1</v>
      </c>
      <c r="E2079" s="334"/>
      <c r="H2079" s="1" t="b">
        <f t="shared" si="180"/>
        <v>0</v>
      </c>
      <c r="I2079" s="1" t="s">
        <v>4587</v>
      </c>
      <c r="K2079" s="1" t="b">
        <v>0</v>
      </c>
    </row>
    <row r="2080" spans="1:11">
      <c r="A2080" s="1" t="s">
        <v>1580</v>
      </c>
      <c r="B2080" s="324" t="str">
        <f>报表附注!E2552</f>
        <v>合计</v>
      </c>
      <c r="C2080" s="358"/>
      <c r="D2080" s="1" t="b">
        <f t="shared" si="178"/>
        <v>1</v>
      </c>
      <c r="E2080" s="334"/>
      <c r="H2080" s="1" t="b">
        <f t="shared" si="180"/>
        <v>0</v>
      </c>
      <c r="I2080" s="1" t="s">
        <v>4588</v>
      </c>
      <c r="K2080" s="1" t="b">
        <v>0</v>
      </c>
    </row>
    <row r="2081" spans="1:11">
      <c r="A2081" s="1" t="s">
        <v>1875</v>
      </c>
      <c r="B2081" s="335" t="s">
        <v>1875</v>
      </c>
      <c r="C2081" s="330"/>
      <c r="D2081" s="1" t="b">
        <f t="shared" si="178"/>
        <v>1</v>
      </c>
      <c r="H2081" s="1" t="b">
        <f t="shared" si="180"/>
        <v>0</v>
      </c>
      <c r="I2081" s="1" t="s">
        <v>4589</v>
      </c>
      <c r="K2081" s="1" t="b">
        <v>0</v>
      </c>
    </row>
    <row r="2082" spans="1:11">
      <c r="A2082" s="1" t="s">
        <v>1859</v>
      </c>
      <c r="B2082" s="313" t="str">
        <f>报表附注!E2538</f>
        <v>类别1--</v>
      </c>
      <c r="C2082" s="358"/>
      <c r="D2082" s="1" t="b">
        <f t="shared" si="178"/>
        <v>0</v>
      </c>
      <c r="E2082" s="358">
        <f>C2066</f>
        <v>0</v>
      </c>
      <c r="H2082" s="1" t="b">
        <f t="shared" si="180"/>
        <v>0</v>
      </c>
      <c r="I2082" s="1" t="s">
        <v>4590</v>
      </c>
      <c r="K2082" s="1" t="b">
        <v>0</v>
      </c>
    </row>
    <row r="2083" spans="1:11">
      <c r="A2083" s="1" t="s">
        <v>1860</v>
      </c>
      <c r="B2083" s="313" t="str">
        <f>报表附注!E2539</f>
        <v>类别2--</v>
      </c>
      <c r="C2083" s="358"/>
      <c r="D2083" s="1" t="b">
        <f t="shared" si="178"/>
        <v>1</v>
      </c>
      <c r="E2083" s="358">
        <f t="shared" ref="E2083:E2096" si="181">C2067</f>
        <v>0</v>
      </c>
      <c r="H2083" s="1" t="b">
        <f t="shared" si="180"/>
        <v>0</v>
      </c>
      <c r="I2083" s="1" t="s">
        <v>4591</v>
      </c>
      <c r="K2083" s="1" t="b">
        <v>0</v>
      </c>
    </row>
    <row r="2084" spans="1:11">
      <c r="A2084" s="1" t="s">
        <v>1861</v>
      </c>
      <c r="B2084" s="313" t="str">
        <f>报表附注!E2540</f>
        <v>类别3--</v>
      </c>
      <c r="C2084" s="358"/>
      <c r="D2084" s="1" t="b">
        <f t="shared" si="178"/>
        <v>1</v>
      </c>
      <c r="E2084" s="358">
        <f t="shared" si="181"/>
        <v>0</v>
      </c>
      <c r="H2084" s="1" t="b">
        <f t="shared" si="180"/>
        <v>0</v>
      </c>
      <c r="I2084" s="1" t="s">
        <v>4592</v>
      </c>
      <c r="K2084" s="1" t="b">
        <v>0</v>
      </c>
    </row>
    <row r="2085" spans="1:11">
      <c r="A2085" s="1" t="s">
        <v>1862</v>
      </c>
      <c r="B2085" s="313" t="str">
        <f>报表附注!E2541</f>
        <v>类别4-</v>
      </c>
      <c r="C2085" s="358"/>
      <c r="D2085" s="1" t="b">
        <f t="shared" si="178"/>
        <v>0</v>
      </c>
      <c r="E2085" s="358">
        <f t="shared" si="181"/>
        <v>0</v>
      </c>
      <c r="H2085" s="1" t="b">
        <f t="shared" si="180"/>
        <v>0</v>
      </c>
      <c r="I2085" s="1" t="s">
        <v>4593</v>
      </c>
      <c r="K2085" s="1" t="b">
        <v>0</v>
      </c>
    </row>
    <row r="2086" spans="1:11">
      <c r="A2086" s="1" t="s">
        <v>1863</v>
      </c>
      <c r="B2086" s="313" t="str">
        <f>报表附注!E2542</f>
        <v>类别5-</v>
      </c>
      <c r="C2086" s="358"/>
      <c r="D2086" s="1" t="b">
        <f t="shared" si="178"/>
        <v>0</v>
      </c>
      <c r="E2086" s="358">
        <f t="shared" si="181"/>
        <v>0</v>
      </c>
      <c r="H2086" s="1" t="b">
        <f t="shared" si="180"/>
        <v>0</v>
      </c>
      <c r="I2086" s="1" t="s">
        <v>4594</v>
      </c>
      <c r="K2086" s="1" t="b">
        <v>0</v>
      </c>
    </row>
    <row r="2087" spans="1:11">
      <c r="A2087" s="1" t="s">
        <v>1864</v>
      </c>
      <c r="B2087" s="313" t="str">
        <f>报表附注!E2543</f>
        <v>类别6--</v>
      </c>
      <c r="C2087" s="358"/>
      <c r="D2087" s="1" t="b">
        <f t="shared" si="178"/>
        <v>1</v>
      </c>
      <c r="E2087" s="358">
        <f t="shared" si="181"/>
        <v>0</v>
      </c>
      <c r="H2087" s="1" t="b">
        <f t="shared" si="180"/>
        <v>0</v>
      </c>
      <c r="I2087" s="1" t="s">
        <v>1886</v>
      </c>
      <c r="K2087" s="1" t="b">
        <v>1</v>
      </c>
    </row>
    <row r="2088" spans="1:11">
      <c r="A2088" s="1" t="s">
        <v>1865</v>
      </c>
      <c r="B2088" s="313" t="str">
        <f>报表附注!E2544</f>
        <v>类别7-</v>
      </c>
      <c r="C2088" s="358"/>
      <c r="D2088" s="1" t="b">
        <f t="shared" si="178"/>
        <v>0</v>
      </c>
      <c r="E2088" s="358">
        <f t="shared" si="181"/>
        <v>0</v>
      </c>
      <c r="H2088" s="1" t="b">
        <f t="shared" si="180"/>
        <v>0</v>
      </c>
      <c r="I2088" s="1" t="s">
        <v>1887</v>
      </c>
      <c r="K2088" s="1" t="b">
        <v>1</v>
      </c>
    </row>
    <row r="2089" spans="1:11">
      <c r="A2089" s="1" t="s">
        <v>1866</v>
      </c>
      <c r="B2089" s="313" t="str">
        <f>报表附注!E2545</f>
        <v>类别8--</v>
      </c>
      <c r="C2089" s="358"/>
      <c r="D2089" s="1" t="b">
        <f t="shared" si="178"/>
        <v>1</v>
      </c>
      <c r="E2089" s="358">
        <f t="shared" si="181"/>
        <v>0</v>
      </c>
      <c r="H2089" s="1" t="b">
        <f t="shared" si="180"/>
        <v>0</v>
      </c>
      <c r="I2089" s="1" t="s">
        <v>1888</v>
      </c>
      <c r="K2089" s="1" t="b">
        <v>1</v>
      </c>
    </row>
    <row r="2090" spans="1:11">
      <c r="A2090" s="1" t="s">
        <v>1867</v>
      </c>
      <c r="B2090" s="313" t="str">
        <f>报表附注!E2546</f>
        <v>类别9--</v>
      </c>
      <c r="C2090" s="358"/>
      <c r="D2090" s="1" t="b">
        <f t="shared" si="178"/>
        <v>1</v>
      </c>
      <c r="E2090" s="358">
        <f t="shared" si="181"/>
        <v>0</v>
      </c>
      <c r="H2090" s="1" t="b">
        <f t="shared" si="180"/>
        <v>0</v>
      </c>
      <c r="I2090" s="1" t="s">
        <v>1889</v>
      </c>
      <c r="K2090" s="1" t="b">
        <v>1</v>
      </c>
    </row>
    <row r="2091" spans="1:11">
      <c r="A2091" s="1" t="s">
        <v>1868</v>
      </c>
      <c r="B2091" s="313" t="str">
        <f>报表附注!E2547</f>
        <v>类别10--</v>
      </c>
      <c r="C2091" s="358"/>
      <c r="D2091" s="1" t="b">
        <f t="shared" si="178"/>
        <v>1</v>
      </c>
      <c r="E2091" s="358">
        <f t="shared" si="181"/>
        <v>0</v>
      </c>
      <c r="H2091" s="1" t="b">
        <f t="shared" si="180"/>
        <v>0</v>
      </c>
      <c r="I2091" s="1" t="s">
        <v>1580</v>
      </c>
      <c r="K2091" s="1" t="b">
        <v>1</v>
      </c>
    </row>
    <row r="2092" spans="1:11">
      <c r="A2092" s="1" t="s">
        <v>1869</v>
      </c>
      <c r="B2092" s="313" t="str">
        <f>报表附注!E2548</f>
        <v>类别11--</v>
      </c>
      <c r="C2092" s="358"/>
      <c r="D2092" s="1" t="b">
        <f t="shared" si="178"/>
        <v>1</v>
      </c>
      <c r="E2092" s="358">
        <f t="shared" si="181"/>
        <v>0</v>
      </c>
      <c r="H2092" s="1" t="b">
        <f t="shared" si="180"/>
        <v>0</v>
      </c>
      <c r="I2092" s="1" t="s">
        <v>1875</v>
      </c>
      <c r="K2092" s="1" t="b">
        <v>1</v>
      </c>
    </row>
    <row r="2093" spans="1:11">
      <c r="A2093" s="1" t="s">
        <v>1870</v>
      </c>
      <c r="B2093" s="313" t="str">
        <f>报表附注!E2549</f>
        <v>类别12--</v>
      </c>
      <c r="C2093" s="358"/>
      <c r="D2093" s="1" t="b">
        <f t="shared" si="178"/>
        <v>1</v>
      </c>
      <c r="E2093" s="358">
        <f t="shared" si="181"/>
        <v>0</v>
      </c>
      <c r="H2093" s="1" t="b">
        <f t="shared" si="180"/>
        <v>0</v>
      </c>
      <c r="I2093" s="1" t="s">
        <v>4586</v>
      </c>
      <c r="K2093" s="1" t="b">
        <v>0</v>
      </c>
    </row>
    <row r="2094" spans="1:11">
      <c r="A2094" s="1" t="s">
        <v>1871</v>
      </c>
      <c r="B2094" s="313" t="str">
        <f>报表附注!E2550</f>
        <v>类别13--</v>
      </c>
      <c r="C2094" s="358"/>
      <c r="D2094" s="1" t="b">
        <f t="shared" si="178"/>
        <v>1</v>
      </c>
      <c r="E2094" s="358">
        <f t="shared" si="181"/>
        <v>0</v>
      </c>
      <c r="H2094" s="1" t="b">
        <f t="shared" si="180"/>
        <v>0</v>
      </c>
      <c r="I2094" s="1" t="s">
        <v>4587</v>
      </c>
      <c r="K2094" s="1" t="b">
        <v>0</v>
      </c>
    </row>
    <row r="2095" spans="1:11">
      <c r="A2095" s="1" t="s">
        <v>1872</v>
      </c>
      <c r="B2095" s="313" t="str">
        <f>报表附注!E2551</f>
        <v>类别14--</v>
      </c>
      <c r="C2095" s="358"/>
      <c r="D2095" s="1" t="b">
        <f t="shared" si="178"/>
        <v>1</v>
      </c>
      <c r="E2095" s="358">
        <f t="shared" si="181"/>
        <v>0</v>
      </c>
      <c r="H2095" s="1" t="b">
        <f t="shared" si="180"/>
        <v>0</v>
      </c>
      <c r="I2095" s="1" t="s">
        <v>4588</v>
      </c>
      <c r="K2095" s="1" t="b">
        <v>0</v>
      </c>
    </row>
    <row r="2096" spans="1:11">
      <c r="A2096" s="1" t="s">
        <v>1580</v>
      </c>
      <c r="B2096" s="324" t="str">
        <f>报表附注!E2552</f>
        <v>合计</v>
      </c>
      <c r="C2096" s="358"/>
      <c r="D2096" s="1" t="b">
        <f t="shared" si="178"/>
        <v>1</v>
      </c>
      <c r="E2096" s="358">
        <f t="shared" si="181"/>
        <v>0</v>
      </c>
      <c r="H2096" s="1" t="b">
        <f t="shared" si="180"/>
        <v>0</v>
      </c>
      <c r="I2096" s="1" t="s">
        <v>4589</v>
      </c>
      <c r="K2096" s="1" t="b">
        <v>0</v>
      </c>
    </row>
    <row r="2097" spans="3:11">
      <c r="C2097" s="330"/>
      <c r="D2097" s="1" t="b">
        <f t="shared" si="178"/>
        <v>1</v>
      </c>
      <c r="H2097" s="1" t="b">
        <f t="shared" si="180"/>
        <v>0</v>
      </c>
      <c r="I2097" s="1" t="s">
        <v>4590</v>
      </c>
      <c r="K2097" s="1" t="b">
        <v>0</v>
      </c>
    </row>
    <row r="2098" spans="1:11">
      <c r="A2098" s="1" t="s">
        <v>1876</v>
      </c>
      <c r="B2098" s="385" t="s">
        <v>1876</v>
      </c>
      <c r="C2098" s="330"/>
      <c r="D2098" s="1" t="b">
        <f t="shared" si="178"/>
        <v>1</v>
      </c>
      <c r="H2098" s="1" t="b">
        <f t="shared" si="180"/>
        <v>0</v>
      </c>
      <c r="I2098" s="1" t="s">
        <v>4591</v>
      </c>
      <c r="K2098" s="1" t="b">
        <v>0</v>
      </c>
    </row>
    <row r="2099" spans="1:11">
      <c r="A2099" s="1" t="s">
        <v>1858</v>
      </c>
      <c r="B2099" s="335" t="s">
        <v>1858</v>
      </c>
      <c r="C2099" s="330"/>
      <c r="D2099" s="1" t="b">
        <f t="shared" si="178"/>
        <v>1</v>
      </c>
      <c r="E2099" s="311"/>
      <c r="H2099" s="1" t="b">
        <f t="shared" si="180"/>
        <v>0</v>
      </c>
      <c r="I2099" s="1" t="s">
        <v>4592</v>
      </c>
      <c r="K2099" s="1" t="b">
        <v>0</v>
      </c>
    </row>
    <row r="2100" spans="1:11">
      <c r="A2100" s="1" t="s">
        <v>1877</v>
      </c>
      <c r="B2100" s="313" t="str">
        <f>报表附注!E2557</f>
        <v>类别1--</v>
      </c>
      <c r="C2100" s="358"/>
      <c r="D2100" s="1" t="b">
        <f t="shared" si="178"/>
        <v>0</v>
      </c>
      <c r="E2100" s="334"/>
      <c r="H2100" s="1" t="b">
        <f t="shared" si="180"/>
        <v>0</v>
      </c>
      <c r="I2100" s="1" t="s">
        <v>4593</v>
      </c>
      <c r="K2100" s="1" t="b">
        <v>0</v>
      </c>
    </row>
    <row r="2101" spans="1:11">
      <c r="A2101" s="1" t="s">
        <v>1878</v>
      </c>
      <c r="B2101" s="313" t="str">
        <f>报表附注!E2558</f>
        <v>类别2--</v>
      </c>
      <c r="C2101" s="358"/>
      <c r="D2101" s="1" t="b">
        <f t="shared" si="178"/>
        <v>0</v>
      </c>
      <c r="E2101" s="334"/>
      <c r="H2101" s="1" t="b">
        <f t="shared" si="180"/>
        <v>0</v>
      </c>
      <c r="I2101" s="1" t="s">
        <v>4594</v>
      </c>
      <c r="K2101" s="1" t="b">
        <v>0</v>
      </c>
    </row>
    <row r="2102" spans="1:11">
      <c r="A2102" s="1" t="s">
        <v>1879</v>
      </c>
      <c r="B2102" s="313" t="str">
        <f>报表附注!E2559</f>
        <v>类别3--</v>
      </c>
      <c r="C2102" s="358"/>
      <c r="D2102" s="1" t="b">
        <f t="shared" si="178"/>
        <v>0</v>
      </c>
      <c r="E2102" s="334"/>
      <c r="H2102" s="1" t="b">
        <f t="shared" si="180"/>
        <v>0</v>
      </c>
      <c r="I2102" s="1" t="s">
        <v>1886</v>
      </c>
      <c r="K2102" s="1" t="b">
        <v>1</v>
      </c>
    </row>
    <row r="2103" spans="1:11">
      <c r="A2103" s="1" t="s">
        <v>1880</v>
      </c>
      <c r="B2103" s="313" t="str">
        <f>报表附注!E2560</f>
        <v>类别4-</v>
      </c>
      <c r="C2103" s="358"/>
      <c r="D2103" s="1" t="b">
        <f t="shared" si="178"/>
        <v>0</v>
      </c>
      <c r="E2103" s="334"/>
      <c r="H2103" s="1" t="b">
        <f t="shared" si="180"/>
        <v>0</v>
      </c>
      <c r="I2103" s="1" t="s">
        <v>1887</v>
      </c>
      <c r="K2103" s="1" t="b">
        <v>1</v>
      </c>
    </row>
    <row r="2104" spans="1:11">
      <c r="A2104" s="1" t="s">
        <v>1881</v>
      </c>
      <c r="B2104" s="313" t="str">
        <f>报表附注!E2561</f>
        <v>类别5-</v>
      </c>
      <c r="C2104" s="358"/>
      <c r="D2104" s="1" t="b">
        <f t="shared" si="178"/>
        <v>0</v>
      </c>
      <c r="E2104" s="334"/>
      <c r="H2104" s="1" t="b">
        <f t="shared" si="180"/>
        <v>0</v>
      </c>
      <c r="I2104" s="1" t="s">
        <v>1888</v>
      </c>
      <c r="K2104" s="1" t="b">
        <v>1</v>
      </c>
    </row>
    <row r="2105" spans="1:11">
      <c r="A2105" s="1" t="s">
        <v>1882</v>
      </c>
      <c r="B2105" s="313" t="str">
        <f>报表附注!E2562</f>
        <v>类别6--</v>
      </c>
      <c r="C2105" s="358"/>
      <c r="D2105" s="1" t="b">
        <f t="shared" si="178"/>
        <v>0</v>
      </c>
      <c r="E2105" s="334"/>
      <c r="H2105" s="1" t="b">
        <f t="shared" si="180"/>
        <v>0</v>
      </c>
      <c r="I2105" s="1" t="s">
        <v>1889</v>
      </c>
      <c r="K2105" s="1" t="b">
        <v>1</v>
      </c>
    </row>
    <row r="2106" spans="1:11">
      <c r="A2106" s="1" t="s">
        <v>1883</v>
      </c>
      <c r="B2106" s="313" t="str">
        <f>报表附注!E2563</f>
        <v>类别7-</v>
      </c>
      <c r="C2106" s="358"/>
      <c r="D2106" s="1" t="b">
        <f t="shared" si="178"/>
        <v>0</v>
      </c>
      <c r="E2106" s="334"/>
      <c r="H2106" s="1" t="b">
        <f t="shared" si="180"/>
        <v>0</v>
      </c>
      <c r="I2106" s="1" t="s">
        <v>1580</v>
      </c>
      <c r="K2106" s="1" t="b">
        <v>1</v>
      </c>
    </row>
    <row r="2107" spans="1:11">
      <c r="A2107" s="1" t="s">
        <v>1884</v>
      </c>
      <c r="B2107" s="313" t="str">
        <f>报表附注!E2564</f>
        <v>类别8--</v>
      </c>
      <c r="C2107" s="358"/>
      <c r="D2107" s="1" t="b">
        <f t="shared" si="178"/>
        <v>0</v>
      </c>
      <c r="E2107" s="334"/>
      <c r="H2107" s="1" t="b">
        <f t="shared" si="180"/>
        <v>0</v>
      </c>
      <c r="K2107" s="1" t="b">
        <v>1</v>
      </c>
    </row>
    <row r="2108" spans="1:11">
      <c r="A2108" s="1" t="s">
        <v>1885</v>
      </c>
      <c r="B2108" s="313" t="str">
        <f>报表附注!E2565</f>
        <v>类别9--</v>
      </c>
      <c r="C2108" s="358"/>
      <c r="D2108" s="1" t="b">
        <f t="shared" si="178"/>
        <v>0</v>
      </c>
      <c r="E2108" s="334"/>
      <c r="H2108" s="1" t="b">
        <f t="shared" si="180"/>
        <v>0</v>
      </c>
      <c r="I2108" s="1" t="s">
        <v>1890</v>
      </c>
      <c r="K2108" s="1" t="b">
        <v>1</v>
      </c>
    </row>
    <row r="2109" spans="1:11">
      <c r="A2109" s="1" t="s">
        <v>1886</v>
      </c>
      <c r="B2109" s="313" t="str">
        <f>报表附注!E2566</f>
        <v>类别10--</v>
      </c>
      <c r="C2109" s="358"/>
      <c r="D2109" s="1" t="b">
        <f t="shared" si="178"/>
        <v>0</v>
      </c>
      <c r="E2109" s="334"/>
      <c r="H2109" s="1" t="b">
        <f t="shared" si="180"/>
        <v>0</v>
      </c>
      <c r="I2109" s="1" t="s">
        <v>1858</v>
      </c>
      <c r="K2109" s="1" t="b">
        <v>1</v>
      </c>
    </row>
    <row r="2110" spans="1:11">
      <c r="A2110" s="1" t="s">
        <v>1887</v>
      </c>
      <c r="B2110" s="313" t="str">
        <f>报表附注!E2567</f>
        <v>产品名称11--</v>
      </c>
      <c r="C2110" s="358"/>
      <c r="D2110" s="1" t="b">
        <f t="shared" ref="D2110:D2173" si="182">EXACT(A2110,B2110)</f>
        <v>1</v>
      </c>
      <c r="E2110" s="334"/>
      <c r="H2110" s="1" t="b">
        <f t="shared" si="180"/>
        <v>0</v>
      </c>
      <c r="I2110" s="1" t="s">
        <v>4595</v>
      </c>
      <c r="K2110" s="1" t="b">
        <v>0</v>
      </c>
    </row>
    <row r="2111" spans="1:11">
      <c r="A2111" s="1" t="s">
        <v>1888</v>
      </c>
      <c r="B2111" s="313" t="str">
        <f>报表附注!E2568</f>
        <v>产品名称12--</v>
      </c>
      <c r="C2111" s="358"/>
      <c r="D2111" s="1" t="b">
        <f t="shared" si="182"/>
        <v>1</v>
      </c>
      <c r="E2111" s="334"/>
      <c r="H2111" s="1" t="b">
        <f t="shared" si="180"/>
        <v>0</v>
      </c>
      <c r="I2111" s="1" t="s">
        <v>4596</v>
      </c>
      <c r="K2111" s="1" t="b">
        <v>0</v>
      </c>
    </row>
    <row r="2112" spans="1:11">
      <c r="A2112" s="1" t="s">
        <v>1889</v>
      </c>
      <c r="B2112" s="313" t="str">
        <f>报表附注!E2569</f>
        <v>产品名称13--</v>
      </c>
      <c r="C2112" s="358"/>
      <c r="D2112" s="1" t="b">
        <f t="shared" si="182"/>
        <v>1</v>
      </c>
      <c r="E2112" s="334"/>
      <c r="H2112" s="1" t="b">
        <f t="shared" si="180"/>
        <v>0</v>
      </c>
      <c r="I2112" s="1" t="s">
        <v>4597</v>
      </c>
      <c r="K2112" s="1" t="b">
        <v>0</v>
      </c>
    </row>
    <row r="2113" spans="1:11">
      <c r="A2113" s="1" t="s">
        <v>1580</v>
      </c>
      <c r="B2113" s="324" t="str">
        <f>报表附注!E2570</f>
        <v>合计</v>
      </c>
      <c r="C2113" s="358"/>
      <c r="D2113" s="1" t="b">
        <f t="shared" si="182"/>
        <v>1</v>
      </c>
      <c r="E2113" s="334"/>
      <c r="H2113" s="1" t="b">
        <f t="shared" si="180"/>
        <v>0</v>
      </c>
      <c r="I2113" s="1">
        <v>0</v>
      </c>
      <c r="K2113" s="1" t="b">
        <v>0</v>
      </c>
    </row>
    <row r="2114" spans="1:11">
      <c r="A2114" s="1" t="s">
        <v>1873</v>
      </c>
      <c r="B2114" s="335" t="s">
        <v>1873</v>
      </c>
      <c r="C2114" s="330"/>
      <c r="D2114" s="1" t="b">
        <f t="shared" si="182"/>
        <v>1</v>
      </c>
      <c r="E2114" s="311"/>
      <c r="H2114" s="1" t="b">
        <f t="shared" si="180"/>
        <v>0</v>
      </c>
      <c r="I2114" s="1">
        <v>0</v>
      </c>
      <c r="K2114" s="1" t="b">
        <v>0</v>
      </c>
    </row>
    <row r="2115" spans="1:11">
      <c r="A2115" s="1" t="s">
        <v>1877</v>
      </c>
      <c r="B2115" s="313" t="str">
        <f>报表附注!E2557</f>
        <v>类别1--</v>
      </c>
      <c r="C2115" s="358"/>
      <c r="D2115" s="1" t="b">
        <f t="shared" si="182"/>
        <v>0</v>
      </c>
      <c r="E2115" s="358">
        <f>C2100</f>
        <v>0</v>
      </c>
      <c r="H2115" s="1" t="b">
        <f t="shared" si="180"/>
        <v>0</v>
      </c>
      <c r="I2115" s="1" t="s">
        <v>1896</v>
      </c>
      <c r="K2115" s="1" t="b">
        <v>1</v>
      </c>
    </row>
    <row r="2116" spans="1:11">
      <c r="A2116" s="1" t="s">
        <v>1878</v>
      </c>
      <c r="B2116" s="313" t="str">
        <f>报表附注!E2558</f>
        <v>类别2--</v>
      </c>
      <c r="C2116" s="358"/>
      <c r="D2116" s="1" t="b">
        <f t="shared" si="182"/>
        <v>0</v>
      </c>
      <c r="E2116" s="358">
        <f t="shared" ref="E2116:E2128" si="183">C2101</f>
        <v>0</v>
      </c>
      <c r="H2116" s="1" t="b">
        <f t="shared" ref="H2116:H2179" si="184">I2116=B2116</f>
        <v>0</v>
      </c>
      <c r="I2116" s="1" t="s">
        <v>1897</v>
      </c>
      <c r="K2116" s="1" t="b">
        <v>1</v>
      </c>
    </row>
    <row r="2117" spans="1:11">
      <c r="A2117" s="1" t="s">
        <v>1879</v>
      </c>
      <c r="B2117" s="313" t="str">
        <f>报表附注!E2559</f>
        <v>类别3--</v>
      </c>
      <c r="C2117" s="358"/>
      <c r="D2117" s="1" t="b">
        <f t="shared" si="182"/>
        <v>0</v>
      </c>
      <c r="E2117" s="358">
        <f t="shared" si="183"/>
        <v>0</v>
      </c>
      <c r="H2117" s="1" t="b">
        <f t="shared" si="184"/>
        <v>0</v>
      </c>
      <c r="I2117" s="1" t="s">
        <v>1898</v>
      </c>
      <c r="K2117" s="1" t="b">
        <v>1</v>
      </c>
    </row>
    <row r="2118" spans="1:11">
      <c r="A2118" s="1" t="s">
        <v>1880</v>
      </c>
      <c r="B2118" s="313" t="str">
        <f>报表附注!E2560</f>
        <v>类别4-</v>
      </c>
      <c r="C2118" s="358"/>
      <c r="D2118" s="1" t="b">
        <f t="shared" si="182"/>
        <v>0</v>
      </c>
      <c r="E2118" s="358">
        <f t="shared" si="183"/>
        <v>0</v>
      </c>
      <c r="H2118" s="1" t="b">
        <f t="shared" si="184"/>
        <v>0</v>
      </c>
      <c r="I2118" s="1" t="s">
        <v>1899</v>
      </c>
      <c r="K2118" s="1" t="b">
        <v>1</v>
      </c>
    </row>
    <row r="2119" spans="1:11">
      <c r="A2119" s="1" t="s">
        <v>1881</v>
      </c>
      <c r="B2119" s="313" t="str">
        <f>报表附注!E2561</f>
        <v>类别5-</v>
      </c>
      <c r="C2119" s="358"/>
      <c r="D2119" s="1" t="b">
        <f t="shared" si="182"/>
        <v>0</v>
      </c>
      <c r="E2119" s="358">
        <f t="shared" si="183"/>
        <v>0</v>
      </c>
      <c r="H2119" s="1" t="b">
        <f t="shared" si="184"/>
        <v>0</v>
      </c>
      <c r="I2119" s="1" t="s">
        <v>1900</v>
      </c>
      <c r="K2119" s="1" t="b">
        <v>1</v>
      </c>
    </row>
    <row r="2120" spans="1:11">
      <c r="A2120" s="1" t="s">
        <v>1882</v>
      </c>
      <c r="B2120" s="313" t="str">
        <f>报表附注!E2562</f>
        <v>类别6--</v>
      </c>
      <c r="C2120" s="358"/>
      <c r="D2120" s="1" t="b">
        <f t="shared" si="182"/>
        <v>0</v>
      </c>
      <c r="E2120" s="358">
        <f t="shared" si="183"/>
        <v>0</v>
      </c>
      <c r="H2120" s="1" t="b">
        <f t="shared" si="184"/>
        <v>0</v>
      </c>
      <c r="I2120" s="1" t="s">
        <v>1901</v>
      </c>
      <c r="K2120" s="1" t="b">
        <v>1</v>
      </c>
    </row>
    <row r="2121" spans="1:11">
      <c r="A2121" s="1" t="s">
        <v>1883</v>
      </c>
      <c r="B2121" s="313" t="str">
        <f>报表附注!E2563</f>
        <v>类别7-</v>
      </c>
      <c r="C2121" s="358"/>
      <c r="D2121" s="1" t="b">
        <f t="shared" si="182"/>
        <v>0</v>
      </c>
      <c r="E2121" s="358">
        <f t="shared" si="183"/>
        <v>0</v>
      </c>
      <c r="H2121" s="1" t="b">
        <f t="shared" si="184"/>
        <v>0</v>
      </c>
      <c r="I2121" s="1" t="s">
        <v>1902</v>
      </c>
      <c r="K2121" s="1" t="b">
        <v>1</v>
      </c>
    </row>
    <row r="2122" spans="1:11">
      <c r="A2122" s="1" t="s">
        <v>1884</v>
      </c>
      <c r="B2122" s="313" t="str">
        <f>报表附注!E2564</f>
        <v>类别8--</v>
      </c>
      <c r="C2122" s="358"/>
      <c r="D2122" s="1" t="b">
        <f t="shared" si="182"/>
        <v>0</v>
      </c>
      <c r="E2122" s="358">
        <f t="shared" si="183"/>
        <v>0</v>
      </c>
      <c r="H2122" s="1" t="b">
        <f t="shared" si="184"/>
        <v>0</v>
      </c>
      <c r="I2122" s="1" t="s">
        <v>1903</v>
      </c>
      <c r="K2122" s="1" t="b">
        <v>1</v>
      </c>
    </row>
    <row r="2123" spans="1:11">
      <c r="A2123" s="1" t="s">
        <v>1885</v>
      </c>
      <c r="B2123" s="313" t="str">
        <f>报表附注!E2565</f>
        <v>类别9--</v>
      </c>
      <c r="C2123" s="358"/>
      <c r="D2123" s="1" t="b">
        <f t="shared" si="182"/>
        <v>0</v>
      </c>
      <c r="E2123" s="358">
        <f t="shared" si="183"/>
        <v>0</v>
      </c>
      <c r="H2123" s="1" t="b">
        <f t="shared" si="184"/>
        <v>0</v>
      </c>
      <c r="I2123" s="1" t="s">
        <v>1580</v>
      </c>
      <c r="K2123" s="1" t="b">
        <v>1</v>
      </c>
    </row>
    <row r="2124" spans="1:11">
      <c r="A2124" s="1" t="s">
        <v>1886</v>
      </c>
      <c r="B2124" s="313" t="str">
        <f>报表附注!E2566</f>
        <v>类别10--</v>
      </c>
      <c r="C2124" s="358"/>
      <c r="D2124" s="1" t="b">
        <f t="shared" si="182"/>
        <v>0</v>
      </c>
      <c r="E2124" s="358">
        <f t="shared" si="183"/>
        <v>0</v>
      </c>
      <c r="H2124" s="1" t="b">
        <f t="shared" si="184"/>
        <v>0</v>
      </c>
      <c r="I2124" s="1" t="s">
        <v>1873</v>
      </c>
      <c r="K2124" s="1" t="b">
        <v>1</v>
      </c>
    </row>
    <row r="2125" spans="1:11">
      <c r="A2125" s="1" t="s">
        <v>1887</v>
      </c>
      <c r="B2125" s="313" t="str">
        <f>报表附注!E2567</f>
        <v>产品名称11--</v>
      </c>
      <c r="C2125" s="358"/>
      <c r="D2125" s="1" t="b">
        <f t="shared" si="182"/>
        <v>1</v>
      </c>
      <c r="E2125" s="358">
        <f t="shared" si="183"/>
        <v>0</v>
      </c>
      <c r="H2125" s="1" t="b">
        <f t="shared" si="184"/>
        <v>0</v>
      </c>
      <c r="I2125" s="1" t="s">
        <v>4595</v>
      </c>
      <c r="K2125" s="1" t="b">
        <v>0</v>
      </c>
    </row>
    <row r="2126" spans="1:11">
      <c r="A2126" s="1" t="s">
        <v>1888</v>
      </c>
      <c r="B2126" s="313" t="str">
        <f>报表附注!E2568</f>
        <v>产品名称12--</v>
      </c>
      <c r="C2126" s="358"/>
      <c r="D2126" s="1" t="b">
        <f t="shared" si="182"/>
        <v>1</v>
      </c>
      <c r="E2126" s="358">
        <f t="shared" si="183"/>
        <v>0</v>
      </c>
      <c r="H2126" s="1" t="b">
        <f t="shared" si="184"/>
        <v>0</v>
      </c>
      <c r="I2126" s="1" t="s">
        <v>4596</v>
      </c>
      <c r="K2126" s="1" t="b">
        <v>0</v>
      </c>
    </row>
    <row r="2127" spans="1:11">
      <c r="A2127" s="1" t="s">
        <v>1889</v>
      </c>
      <c r="B2127" s="313" t="str">
        <f>报表附注!E2569</f>
        <v>产品名称13--</v>
      </c>
      <c r="C2127" s="358"/>
      <c r="D2127" s="1" t="b">
        <f t="shared" si="182"/>
        <v>1</v>
      </c>
      <c r="E2127" s="358">
        <f t="shared" si="183"/>
        <v>0</v>
      </c>
      <c r="H2127" s="1" t="b">
        <f t="shared" si="184"/>
        <v>0</v>
      </c>
      <c r="I2127" s="1" t="s">
        <v>4597</v>
      </c>
      <c r="K2127" s="1" t="b">
        <v>0</v>
      </c>
    </row>
    <row r="2128" spans="1:11">
      <c r="A2128" s="1" t="s">
        <v>1580</v>
      </c>
      <c r="B2128" s="324" t="str">
        <f>报表附注!E2570</f>
        <v>合计</v>
      </c>
      <c r="C2128" s="358"/>
      <c r="D2128" s="1" t="b">
        <f t="shared" si="182"/>
        <v>1</v>
      </c>
      <c r="E2128" s="358">
        <f t="shared" si="183"/>
        <v>0</v>
      </c>
      <c r="H2128" s="1" t="b">
        <f t="shared" si="184"/>
        <v>0</v>
      </c>
      <c r="I2128" s="1">
        <v>0</v>
      </c>
      <c r="K2128" s="1" t="b">
        <v>0</v>
      </c>
    </row>
    <row r="2129" spans="1:11">
      <c r="A2129" s="1" t="s">
        <v>1874</v>
      </c>
      <c r="B2129" s="335" t="s">
        <v>1874</v>
      </c>
      <c r="C2129" s="330"/>
      <c r="D2129" s="1" t="b">
        <f t="shared" si="182"/>
        <v>1</v>
      </c>
      <c r="E2129" s="311"/>
      <c r="H2129" s="1" t="b">
        <f t="shared" si="184"/>
        <v>0</v>
      </c>
      <c r="I2129" s="1">
        <v>0</v>
      </c>
      <c r="K2129" s="1" t="b">
        <v>0</v>
      </c>
    </row>
    <row r="2130" spans="1:11">
      <c r="A2130" s="1" t="s">
        <v>1877</v>
      </c>
      <c r="B2130" s="313" t="str">
        <f>报表附注!E2557</f>
        <v>类别1--</v>
      </c>
      <c r="C2130" s="358"/>
      <c r="D2130" s="1" t="b">
        <f t="shared" si="182"/>
        <v>0</v>
      </c>
      <c r="E2130" s="334"/>
      <c r="H2130" s="1" t="b">
        <f t="shared" si="184"/>
        <v>0</v>
      </c>
      <c r="I2130" s="1" t="s">
        <v>1896</v>
      </c>
      <c r="K2130" s="1" t="b">
        <v>1</v>
      </c>
    </row>
    <row r="2131" spans="1:11">
      <c r="A2131" s="1" t="s">
        <v>1878</v>
      </c>
      <c r="B2131" s="313" t="str">
        <f>报表附注!E2558</f>
        <v>类别2--</v>
      </c>
      <c r="C2131" s="358"/>
      <c r="D2131" s="1" t="b">
        <f t="shared" si="182"/>
        <v>0</v>
      </c>
      <c r="E2131" s="334"/>
      <c r="H2131" s="1" t="b">
        <f t="shared" si="184"/>
        <v>0</v>
      </c>
      <c r="I2131" s="1" t="s">
        <v>1897</v>
      </c>
      <c r="K2131" s="1" t="b">
        <v>1</v>
      </c>
    </row>
    <row r="2132" spans="1:11">
      <c r="A2132" s="1" t="s">
        <v>1879</v>
      </c>
      <c r="B2132" s="313" t="str">
        <f>报表附注!E2559</f>
        <v>类别3--</v>
      </c>
      <c r="C2132" s="358"/>
      <c r="D2132" s="1" t="b">
        <f t="shared" si="182"/>
        <v>0</v>
      </c>
      <c r="E2132" s="334"/>
      <c r="H2132" s="1" t="b">
        <f t="shared" si="184"/>
        <v>0</v>
      </c>
      <c r="I2132" s="1" t="s">
        <v>1898</v>
      </c>
      <c r="K2132" s="1" t="b">
        <v>1</v>
      </c>
    </row>
    <row r="2133" spans="1:11">
      <c r="A2133" s="1" t="s">
        <v>1880</v>
      </c>
      <c r="B2133" s="313" t="str">
        <f>报表附注!E2560</f>
        <v>类别4-</v>
      </c>
      <c r="C2133" s="358"/>
      <c r="D2133" s="1" t="b">
        <f t="shared" si="182"/>
        <v>0</v>
      </c>
      <c r="E2133" s="334"/>
      <c r="H2133" s="1" t="b">
        <f t="shared" si="184"/>
        <v>0</v>
      </c>
      <c r="I2133" s="1" t="s">
        <v>1899</v>
      </c>
      <c r="K2133" s="1" t="b">
        <v>1</v>
      </c>
    </row>
    <row r="2134" spans="1:11">
      <c r="A2134" s="1" t="s">
        <v>1881</v>
      </c>
      <c r="B2134" s="313" t="str">
        <f>报表附注!E2561</f>
        <v>类别5-</v>
      </c>
      <c r="C2134" s="358"/>
      <c r="D2134" s="1" t="b">
        <f t="shared" si="182"/>
        <v>0</v>
      </c>
      <c r="E2134" s="334"/>
      <c r="H2134" s="1" t="b">
        <f t="shared" si="184"/>
        <v>0</v>
      </c>
      <c r="I2134" s="1" t="s">
        <v>1900</v>
      </c>
      <c r="K2134" s="1" t="b">
        <v>1</v>
      </c>
    </row>
    <row r="2135" spans="1:11">
      <c r="A2135" s="1" t="s">
        <v>1882</v>
      </c>
      <c r="B2135" s="313" t="str">
        <f>报表附注!E2562</f>
        <v>类别6--</v>
      </c>
      <c r="C2135" s="358"/>
      <c r="D2135" s="1" t="b">
        <f t="shared" si="182"/>
        <v>0</v>
      </c>
      <c r="E2135" s="334"/>
      <c r="H2135" s="1" t="b">
        <f t="shared" si="184"/>
        <v>0</v>
      </c>
      <c r="I2135" s="1" t="s">
        <v>1901</v>
      </c>
      <c r="K2135" s="1" t="b">
        <v>1</v>
      </c>
    </row>
    <row r="2136" spans="1:11">
      <c r="A2136" s="1" t="s">
        <v>1883</v>
      </c>
      <c r="B2136" s="313" t="str">
        <f>报表附注!E2563</f>
        <v>类别7-</v>
      </c>
      <c r="C2136" s="358"/>
      <c r="D2136" s="1" t="b">
        <f t="shared" si="182"/>
        <v>0</v>
      </c>
      <c r="E2136" s="334"/>
      <c r="H2136" s="1" t="b">
        <f t="shared" si="184"/>
        <v>0</v>
      </c>
      <c r="I2136" s="1" t="s">
        <v>1902</v>
      </c>
      <c r="K2136" s="1" t="b">
        <v>1</v>
      </c>
    </row>
    <row r="2137" spans="1:11">
      <c r="A2137" s="1" t="s">
        <v>1884</v>
      </c>
      <c r="B2137" s="313" t="str">
        <f>报表附注!E2564</f>
        <v>类别8--</v>
      </c>
      <c r="C2137" s="358"/>
      <c r="D2137" s="1" t="b">
        <f t="shared" si="182"/>
        <v>0</v>
      </c>
      <c r="E2137" s="334"/>
      <c r="H2137" s="1" t="b">
        <f t="shared" si="184"/>
        <v>0</v>
      </c>
      <c r="I2137" s="1" t="s">
        <v>1903</v>
      </c>
      <c r="K2137" s="1" t="b">
        <v>1</v>
      </c>
    </row>
    <row r="2138" spans="1:11">
      <c r="A2138" s="1" t="s">
        <v>1885</v>
      </c>
      <c r="B2138" s="313" t="str">
        <f>报表附注!E2565</f>
        <v>类别9--</v>
      </c>
      <c r="C2138" s="358"/>
      <c r="D2138" s="1" t="b">
        <f t="shared" si="182"/>
        <v>0</v>
      </c>
      <c r="E2138" s="334"/>
      <c r="H2138" s="1" t="b">
        <f t="shared" si="184"/>
        <v>0</v>
      </c>
      <c r="I2138" s="1" t="s">
        <v>1580</v>
      </c>
      <c r="K2138" s="1" t="b">
        <v>1</v>
      </c>
    </row>
    <row r="2139" spans="1:11">
      <c r="A2139" s="1" t="s">
        <v>1886</v>
      </c>
      <c r="B2139" s="313" t="str">
        <f>报表附注!E2566</f>
        <v>类别10--</v>
      </c>
      <c r="C2139" s="358"/>
      <c r="D2139" s="1" t="b">
        <f t="shared" si="182"/>
        <v>0</v>
      </c>
      <c r="E2139" s="334"/>
      <c r="H2139" s="1" t="b">
        <f t="shared" si="184"/>
        <v>0</v>
      </c>
      <c r="I2139" s="1" t="s">
        <v>1874</v>
      </c>
      <c r="K2139" s="1" t="b">
        <v>1</v>
      </c>
    </row>
    <row r="2140" spans="1:11">
      <c r="A2140" s="1" t="s">
        <v>1887</v>
      </c>
      <c r="B2140" s="313" t="str">
        <f>报表附注!E2567</f>
        <v>产品名称11--</v>
      </c>
      <c r="C2140" s="358"/>
      <c r="D2140" s="1" t="b">
        <f t="shared" si="182"/>
        <v>1</v>
      </c>
      <c r="E2140" s="334"/>
      <c r="H2140" s="1" t="b">
        <f t="shared" si="184"/>
        <v>0</v>
      </c>
      <c r="I2140" s="1" t="s">
        <v>4595</v>
      </c>
      <c r="K2140" s="1" t="b">
        <v>0</v>
      </c>
    </row>
    <row r="2141" spans="1:11">
      <c r="A2141" s="1" t="s">
        <v>1888</v>
      </c>
      <c r="B2141" s="313" t="str">
        <f>报表附注!E2568</f>
        <v>产品名称12--</v>
      </c>
      <c r="C2141" s="358"/>
      <c r="D2141" s="1" t="b">
        <f t="shared" si="182"/>
        <v>1</v>
      </c>
      <c r="E2141" s="334"/>
      <c r="H2141" s="1" t="b">
        <f t="shared" si="184"/>
        <v>0</v>
      </c>
      <c r="I2141" s="1" t="s">
        <v>4596</v>
      </c>
      <c r="K2141" s="1" t="b">
        <v>0</v>
      </c>
    </row>
    <row r="2142" spans="1:11">
      <c r="A2142" s="1" t="s">
        <v>1889</v>
      </c>
      <c r="B2142" s="313" t="str">
        <f>报表附注!E2569</f>
        <v>产品名称13--</v>
      </c>
      <c r="C2142" s="358"/>
      <c r="D2142" s="1" t="b">
        <f t="shared" si="182"/>
        <v>1</v>
      </c>
      <c r="E2142" s="334"/>
      <c r="H2142" s="1" t="b">
        <f t="shared" si="184"/>
        <v>0</v>
      </c>
      <c r="I2142" s="1" t="s">
        <v>4597</v>
      </c>
      <c r="K2142" s="1" t="b">
        <v>0</v>
      </c>
    </row>
    <row r="2143" spans="1:11">
      <c r="A2143" s="1" t="s">
        <v>1580</v>
      </c>
      <c r="B2143" s="324" t="str">
        <f>报表附注!E2570</f>
        <v>合计</v>
      </c>
      <c r="C2143" s="358"/>
      <c r="D2143" s="1" t="b">
        <f t="shared" si="182"/>
        <v>1</v>
      </c>
      <c r="E2143" s="334"/>
      <c r="H2143" s="1" t="b">
        <f t="shared" si="184"/>
        <v>0</v>
      </c>
      <c r="I2143" s="1">
        <v>0</v>
      </c>
      <c r="K2143" s="1" t="b">
        <v>0</v>
      </c>
    </row>
    <row r="2144" spans="1:11">
      <c r="A2144" s="1" t="s">
        <v>1875</v>
      </c>
      <c r="B2144" s="335" t="s">
        <v>1875</v>
      </c>
      <c r="C2144" s="330"/>
      <c r="D2144" s="1" t="b">
        <f t="shared" si="182"/>
        <v>1</v>
      </c>
      <c r="E2144" s="311"/>
      <c r="H2144" s="1" t="b">
        <f t="shared" si="184"/>
        <v>0</v>
      </c>
      <c r="I2144" s="1">
        <v>0</v>
      </c>
      <c r="K2144" s="1" t="b">
        <v>0</v>
      </c>
    </row>
    <row r="2145" spans="1:11">
      <c r="A2145" s="1" t="s">
        <v>1877</v>
      </c>
      <c r="B2145" s="321" t="str">
        <f>报表附注!E2557</f>
        <v>类别1--</v>
      </c>
      <c r="C2145" s="358"/>
      <c r="D2145" s="1" t="b">
        <f t="shared" si="182"/>
        <v>0</v>
      </c>
      <c r="E2145" s="358">
        <f>C2130</f>
        <v>0</v>
      </c>
      <c r="H2145" s="1" t="b">
        <f t="shared" si="184"/>
        <v>0</v>
      </c>
      <c r="I2145" s="1" t="s">
        <v>1896</v>
      </c>
      <c r="K2145" s="1" t="b">
        <v>1</v>
      </c>
    </row>
    <row r="2146" spans="1:11">
      <c r="A2146" s="1" t="s">
        <v>1878</v>
      </c>
      <c r="B2146" s="321" t="str">
        <f>报表附注!E2558</f>
        <v>类别2--</v>
      </c>
      <c r="C2146" s="358"/>
      <c r="D2146" s="1" t="b">
        <f t="shared" si="182"/>
        <v>0</v>
      </c>
      <c r="E2146" s="358">
        <f t="shared" ref="E2146:E2158" si="185">C2131</f>
        <v>0</v>
      </c>
      <c r="H2146" s="1" t="b">
        <f t="shared" si="184"/>
        <v>0</v>
      </c>
      <c r="I2146" s="1" t="s">
        <v>1897</v>
      </c>
      <c r="K2146" s="1" t="b">
        <v>1</v>
      </c>
    </row>
    <row r="2147" spans="1:11">
      <c r="A2147" s="1" t="s">
        <v>1879</v>
      </c>
      <c r="B2147" s="321" t="str">
        <f>报表附注!E2559</f>
        <v>类别3--</v>
      </c>
      <c r="C2147" s="358"/>
      <c r="D2147" s="1" t="b">
        <f t="shared" si="182"/>
        <v>0</v>
      </c>
      <c r="E2147" s="358">
        <f t="shared" si="185"/>
        <v>0</v>
      </c>
      <c r="H2147" s="1" t="b">
        <f t="shared" si="184"/>
        <v>0</v>
      </c>
      <c r="I2147" s="1" t="s">
        <v>1898</v>
      </c>
      <c r="K2147" s="1" t="b">
        <v>1</v>
      </c>
    </row>
    <row r="2148" spans="1:11">
      <c r="A2148" s="1" t="s">
        <v>1880</v>
      </c>
      <c r="B2148" s="321" t="str">
        <f>报表附注!E2560</f>
        <v>类别4-</v>
      </c>
      <c r="C2148" s="358"/>
      <c r="D2148" s="1" t="b">
        <f t="shared" si="182"/>
        <v>0</v>
      </c>
      <c r="E2148" s="358">
        <f t="shared" si="185"/>
        <v>0</v>
      </c>
      <c r="H2148" s="1" t="b">
        <f t="shared" si="184"/>
        <v>0</v>
      </c>
      <c r="I2148" s="1" t="s">
        <v>1899</v>
      </c>
      <c r="K2148" s="1" t="b">
        <v>1</v>
      </c>
    </row>
    <row r="2149" spans="1:11">
      <c r="A2149" s="1" t="s">
        <v>1881</v>
      </c>
      <c r="B2149" s="321" t="str">
        <f>报表附注!E2561</f>
        <v>类别5-</v>
      </c>
      <c r="C2149" s="358"/>
      <c r="D2149" s="1" t="b">
        <f t="shared" si="182"/>
        <v>0</v>
      </c>
      <c r="E2149" s="358">
        <f t="shared" si="185"/>
        <v>0</v>
      </c>
      <c r="H2149" s="1" t="b">
        <f t="shared" si="184"/>
        <v>0</v>
      </c>
      <c r="I2149" s="1" t="s">
        <v>1900</v>
      </c>
      <c r="K2149" s="1" t="b">
        <v>1</v>
      </c>
    </row>
    <row r="2150" spans="1:11">
      <c r="A2150" s="1" t="s">
        <v>1882</v>
      </c>
      <c r="B2150" s="321" t="str">
        <f>报表附注!E2562</f>
        <v>类别6--</v>
      </c>
      <c r="C2150" s="358"/>
      <c r="D2150" s="1" t="b">
        <f t="shared" si="182"/>
        <v>0</v>
      </c>
      <c r="E2150" s="358">
        <f t="shared" si="185"/>
        <v>0</v>
      </c>
      <c r="H2150" s="1" t="b">
        <f t="shared" si="184"/>
        <v>0</v>
      </c>
      <c r="I2150" s="1" t="s">
        <v>1901</v>
      </c>
      <c r="K2150" s="1" t="b">
        <v>1</v>
      </c>
    </row>
    <row r="2151" spans="1:11">
      <c r="A2151" s="1" t="s">
        <v>1883</v>
      </c>
      <c r="B2151" s="321" t="str">
        <f>报表附注!E2563</f>
        <v>类别7-</v>
      </c>
      <c r="C2151" s="358"/>
      <c r="D2151" s="1" t="b">
        <f t="shared" si="182"/>
        <v>0</v>
      </c>
      <c r="E2151" s="358">
        <f t="shared" si="185"/>
        <v>0</v>
      </c>
      <c r="H2151" s="1" t="b">
        <f t="shared" si="184"/>
        <v>0</v>
      </c>
      <c r="I2151" s="1" t="s">
        <v>1902</v>
      </c>
      <c r="K2151" s="1" t="b">
        <v>1</v>
      </c>
    </row>
    <row r="2152" spans="1:11">
      <c r="A2152" s="1" t="s">
        <v>1884</v>
      </c>
      <c r="B2152" s="321" t="str">
        <f>报表附注!E2564</f>
        <v>类别8--</v>
      </c>
      <c r="C2152" s="358"/>
      <c r="D2152" s="1" t="b">
        <f t="shared" si="182"/>
        <v>0</v>
      </c>
      <c r="E2152" s="358">
        <f t="shared" si="185"/>
        <v>0</v>
      </c>
      <c r="H2152" s="1" t="b">
        <f t="shared" si="184"/>
        <v>0</v>
      </c>
      <c r="I2152" s="1" t="s">
        <v>1903</v>
      </c>
      <c r="K2152" s="1" t="b">
        <v>1</v>
      </c>
    </row>
    <row r="2153" spans="1:11">
      <c r="A2153" s="1" t="s">
        <v>1885</v>
      </c>
      <c r="B2153" s="321" t="str">
        <f>报表附注!E2565</f>
        <v>类别9--</v>
      </c>
      <c r="C2153" s="358"/>
      <c r="D2153" s="1" t="b">
        <f t="shared" si="182"/>
        <v>0</v>
      </c>
      <c r="E2153" s="358">
        <f t="shared" si="185"/>
        <v>0</v>
      </c>
      <c r="H2153" s="1" t="b">
        <f t="shared" si="184"/>
        <v>0</v>
      </c>
      <c r="I2153" s="1" t="s">
        <v>1580</v>
      </c>
      <c r="K2153" s="1" t="b">
        <v>1</v>
      </c>
    </row>
    <row r="2154" spans="1:11">
      <c r="A2154" s="1" t="s">
        <v>1886</v>
      </c>
      <c r="B2154" s="321" t="str">
        <f>报表附注!E2566</f>
        <v>类别10--</v>
      </c>
      <c r="C2154" s="358"/>
      <c r="D2154" s="1" t="b">
        <f t="shared" si="182"/>
        <v>0</v>
      </c>
      <c r="E2154" s="358">
        <f t="shared" si="185"/>
        <v>0</v>
      </c>
      <c r="H2154" s="1" t="b">
        <f t="shared" si="184"/>
        <v>0</v>
      </c>
      <c r="I2154" s="1" t="s">
        <v>1875</v>
      </c>
      <c r="K2154" s="1" t="b">
        <v>1</v>
      </c>
    </row>
    <row r="2155" spans="1:11">
      <c r="A2155" s="1" t="s">
        <v>1887</v>
      </c>
      <c r="B2155" s="321" t="str">
        <f>报表附注!E2567</f>
        <v>产品名称11--</v>
      </c>
      <c r="C2155" s="358"/>
      <c r="D2155" s="1" t="b">
        <f t="shared" si="182"/>
        <v>1</v>
      </c>
      <c r="E2155" s="358">
        <f t="shared" si="185"/>
        <v>0</v>
      </c>
      <c r="H2155" s="1" t="b">
        <f t="shared" si="184"/>
        <v>0</v>
      </c>
      <c r="I2155" s="1" t="s">
        <v>4595</v>
      </c>
      <c r="K2155" s="1" t="b">
        <v>0</v>
      </c>
    </row>
    <row r="2156" spans="1:11">
      <c r="A2156" s="1" t="s">
        <v>1888</v>
      </c>
      <c r="B2156" s="321" t="str">
        <f>报表附注!E2568</f>
        <v>产品名称12--</v>
      </c>
      <c r="C2156" s="358"/>
      <c r="D2156" s="1" t="b">
        <f t="shared" si="182"/>
        <v>1</v>
      </c>
      <c r="E2156" s="358">
        <f t="shared" si="185"/>
        <v>0</v>
      </c>
      <c r="H2156" s="1" t="b">
        <f t="shared" si="184"/>
        <v>0</v>
      </c>
      <c r="I2156" s="1" t="s">
        <v>4596</v>
      </c>
      <c r="K2156" s="1" t="b">
        <v>0</v>
      </c>
    </row>
    <row r="2157" spans="1:11">
      <c r="A2157" s="1" t="s">
        <v>1889</v>
      </c>
      <c r="B2157" s="321" t="str">
        <f>报表附注!E2569</f>
        <v>产品名称13--</v>
      </c>
      <c r="C2157" s="358"/>
      <c r="D2157" s="1" t="b">
        <f t="shared" si="182"/>
        <v>1</v>
      </c>
      <c r="E2157" s="358">
        <f t="shared" si="185"/>
        <v>0</v>
      </c>
      <c r="H2157" s="1" t="b">
        <f t="shared" si="184"/>
        <v>0</v>
      </c>
      <c r="I2157" s="1" t="s">
        <v>4597</v>
      </c>
      <c r="K2157" s="1" t="b">
        <v>0</v>
      </c>
    </row>
    <row r="2158" spans="1:11">
      <c r="A2158" s="1" t="s">
        <v>1580</v>
      </c>
      <c r="B2158" s="323" t="str">
        <f>报表附注!E2570</f>
        <v>合计</v>
      </c>
      <c r="C2158" s="358"/>
      <c r="D2158" s="1" t="b">
        <f t="shared" si="182"/>
        <v>1</v>
      </c>
      <c r="E2158" s="358">
        <f t="shared" si="185"/>
        <v>0</v>
      </c>
      <c r="H2158" s="1" t="b">
        <f t="shared" si="184"/>
        <v>0</v>
      </c>
      <c r="I2158" s="1">
        <v>0</v>
      </c>
      <c r="K2158" s="1" t="b">
        <v>0</v>
      </c>
    </row>
    <row r="2159" spans="2:11">
      <c r="B2159" s="335"/>
      <c r="D2159" s="1" t="b">
        <f t="shared" si="182"/>
        <v>1</v>
      </c>
      <c r="H2159" s="1" t="b">
        <f t="shared" si="184"/>
        <v>1</v>
      </c>
      <c r="I2159" s="1">
        <v>0</v>
      </c>
      <c r="K2159" s="1" t="b">
        <v>0</v>
      </c>
    </row>
    <row r="2160" spans="1:11">
      <c r="A2160" s="1" t="s">
        <v>1890</v>
      </c>
      <c r="B2160" s="385" t="s">
        <v>1890</v>
      </c>
      <c r="D2160" s="1" t="b">
        <f t="shared" si="182"/>
        <v>1</v>
      </c>
      <c r="H2160" s="1" t="b">
        <f t="shared" si="184"/>
        <v>0</v>
      </c>
      <c r="I2160" s="1" t="s">
        <v>1896</v>
      </c>
      <c r="K2160" s="1" t="b">
        <v>1</v>
      </c>
    </row>
    <row r="2161" spans="1:11">
      <c r="A2161" s="1" t="s">
        <v>1858</v>
      </c>
      <c r="B2161" s="335" t="s">
        <v>1858</v>
      </c>
      <c r="D2161" s="1" t="b">
        <f t="shared" si="182"/>
        <v>1</v>
      </c>
      <c r="H2161" s="1" t="b">
        <f t="shared" si="184"/>
        <v>0</v>
      </c>
      <c r="I2161" s="1" t="s">
        <v>1897</v>
      </c>
      <c r="K2161" s="1" t="b">
        <v>1</v>
      </c>
    </row>
    <row r="2162" spans="1:11">
      <c r="A2162" s="1" t="s">
        <v>1891</v>
      </c>
      <c r="B2162" s="386" t="str">
        <f>报表附注!E2575</f>
        <v>地区1--国内销售</v>
      </c>
      <c r="C2162" s="358"/>
      <c r="D2162" s="1" t="b">
        <f t="shared" si="182"/>
        <v>0</v>
      </c>
      <c r="E2162" s="334"/>
      <c r="H2162" s="1" t="b">
        <f t="shared" si="184"/>
        <v>0</v>
      </c>
      <c r="I2162" s="1" t="s">
        <v>1898</v>
      </c>
      <c r="K2162" s="1" t="b">
        <v>1</v>
      </c>
    </row>
    <row r="2163" spans="1:11">
      <c r="A2163" s="1" t="s">
        <v>1892</v>
      </c>
      <c r="B2163" s="386" t="str">
        <f>报表附注!E2576</f>
        <v>地区2--国外销售</v>
      </c>
      <c r="C2163" s="358"/>
      <c r="D2163" s="1" t="b">
        <f t="shared" si="182"/>
        <v>0</v>
      </c>
      <c r="E2163" s="334"/>
      <c r="H2163" s="1" t="b">
        <f t="shared" si="184"/>
        <v>0</v>
      </c>
      <c r="I2163" s="1" t="s">
        <v>1899</v>
      </c>
      <c r="K2163" s="1" t="b">
        <v>1</v>
      </c>
    </row>
    <row r="2164" spans="1:11">
      <c r="A2164" s="1" t="s">
        <v>1893</v>
      </c>
      <c r="B2164" s="386" t="str">
        <f>报表附注!E2577</f>
        <v>地区3--港澳台销售</v>
      </c>
      <c r="C2164" s="358"/>
      <c r="D2164" s="1" t="b">
        <f t="shared" si="182"/>
        <v>0</v>
      </c>
      <c r="E2164" s="334"/>
      <c r="H2164" s="1" t="b">
        <f t="shared" si="184"/>
        <v>0</v>
      </c>
      <c r="I2164" s="1" t="s">
        <v>1900</v>
      </c>
      <c r="K2164" s="1" t="b">
        <v>1</v>
      </c>
    </row>
    <row r="2165" spans="1:11">
      <c r="A2165" s="1" t="s">
        <v>1894</v>
      </c>
      <c r="B2165" s="386">
        <f>报表附注!E2578</f>
        <v>0</v>
      </c>
      <c r="C2165" s="358"/>
      <c r="D2165" s="1" t="b">
        <f t="shared" si="182"/>
        <v>0</v>
      </c>
      <c r="E2165" s="334"/>
      <c r="H2165" s="1" t="b">
        <f t="shared" si="184"/>
        <v>0</v>
      </c>
      <c r="I2165" s="1" t="s">
        <v>1901</v>
      </c>
      <c r="K2165" s="1" t="b">
        <v>1</v>
      </c>
    </row>
    <row r="2166" spans="1:11">
      <c r="A2166" s="1" t="s">
        <v>1895</v>
      </c>
      <c r="B2166" s="386">
        <f>报表附注!E2579</f>
        <v>0</v>
      </c>
      <c r="C2166" s="358"/>
      <c r="D2166" s="1" t="b">
        <f t="shared" si="182"/>
        <v>0</v>
      </c>
      <c r="E2166" s="334"/>
      <c r="H2166" s="1" t="b">
        <f t="shared" si="184"/>
        <v>0</v>
      </c>
      <c r="I2166" s="1" t="s">
        <v>1902</v>
      </c>
      <c r="K2166" s="1" t="b">
        <v>1</v>
      </c>
    </row>
    <row r="2167" spans="1:11">
      <c r="A2167" s="1" t="s">
        <v>1896</v>
      </c>
      <c r="B2167" s="386" t="str">
        <f>报表附注!E2580</f>
        <v>地区6--</v>
      </c>
      <c r="C2167" s="358"/>
      <c r="D2167" s="1" t="b">
        <f t="shared" si="182"/>
        <v>1</v>
      </c>
      <c r="E2167" s="334"/>
      <c r="H2167" s="1" t="b">
        <f t="shared" si="184"/>
        <v>0</v>
      </c>
      <c r="I2167" s="1" t="s">
        <v>1903</v>
      </c>
      <c r="K2167" s="1" t="b">
        <v>1</v>
      </c>
    </row>
    <row r="2168" spans="1:11">
      <c r="A2168" s="1" t="s">
        <v>1897</v>
      </c>
      <c r="B2168" s="386" t="str">
        <f>报表附注!E2581</f>
        <v>地区7--</v>
      </c>
      <c r="C2168" s="358"/>
      <c r="D2168" s="1" t="b">
        <f t="shared" si="182"/>
        <v>1</v>
      </c>
      <c r="E2168" s="334"/>
      <c r="H2168" s="1" t="b">
        <f t="shared" si="184"/>
        <v>0</v>
      </c>
      <c r="I2168" s="1" t="s">
        <v>1580</v>
      </c>
      <c r="K2168" s="1" t="b">
        <v>1</v>
      </c>
    </row>
    <row r="2169" spans="1:11">
      <c r="A2169" s="1" t="s">
        <v>1898</v>
      </c>
      <c r="B2169" s="386" t="str">
        <f>报表附注!E2582</f>
        <v>地区8--</v>
      </c>
      <c r="C2169" s="358"/>
      <c r="D2169" s="1" t="b">
        <f t="shared" si="182"/>
        <v>1</v>
      </c>
      <c r="E2169" s="334"/>
      <c r="H2169" s="1" t="b">
        <f t="shared" si="184"/>
        <v>0</v>
      </c>
      <c r="K2169" s="1" t="b">
        <v>1</v>
      </c>
    </row>
    <row r="2170" spans="1:11">
      <c r="A2170" s="1" t="s">
        <v>1899</v>
      </c>
      <c r="B2170" s="386" t="str">
        <f>报表附注!E2583</f>
        <v>地区9--</v>
      </c>
      <c r="C2170" s="358"/>
      <c r="D2170" s="1" t="b">
        <f t="shared" si="182"/>
        <v>1</v>
      </c>
      <c r="E2170" s="334"/>
      <c r="H2170" s="1" t="b">
        <f t="shared" si="184"/>
        <v>0</v>
      </c>
      <c r="I2170" s="1" t="s">
        <v>1904</v>
      </c>
      <c r="K2170" s="1" t="b">
        <v>1</v>
      </c>
    </row>
    <row r="2171" spans="1:11">
      <c r="A2171" s="1" t="s">
        <v>1900</v>
      </c>
      <c r="B2171" s="386" t="str">
        <f>报表附注!E2584</f>
        <v>地区10--</v>
      </c>
      <c r="C2171" s="358"/>
      <c r="D2171" s="1" t="b">
        <f t="shared" si="182"/>
        <v>1</v>
      </c>
      <c r="E2171" s="334"/>
      <c r="H2171" s="1" t="b">
        <f t="shared" si="184"/>
        <v>0</v>
      </c>
      <c r="K2171" s="1" t="b">
        <v>1</v>
      </c>
    </row>
    <row r="2172" spans="1:11">
      <c r="A2172" s="1" t="s">
        <v>1901</v>
      </c>
      <c r="B2172" s="386" t="str">
        <f>报表附注!E2585</f>
        <v>地区11--</v>
      </c>
      <c r="C2172" s="358"/>
      <c r="D2172" s="1" t="b">
        <f t="shared" si="182"/>
        <v>1</v>
      </c>
      <c r="E2172" s="334"/>
      <c r="H2172" s="1" t="b">
        <f t="shared" si="184"/>
        <v>0</v>
      </c>
      <c r="I2172" s="1" t="s">
        <v>1905</v>
      </c>
      <c r="K2172" s="1" t="b">
        <v>1</v>
      </c>
    </row>
    <row r="2173" spans="1:11">
      <c r="A2173" s="1" t="s">
        <v>1902</v>
      </c>
      <c r="B2173" s="386" t="str">
        <f>报表附注!E2586</f>
        <v>地区12--</v>
      </c>
      <c r="C2173" s="358"/>
      <c r="D2173" s="1" t="b">
        <f t="shared" si="182"/>
        <v>1</v>
      </c>
      <c r="E2173" s="334"/>
      <c r="H2173" s="1" t="b">
        <f t="shared" si="184"/>
        <v>0</v>
      </c>
      <c r="I2173" s="1" t="s">
        <v>1906</v>
      </c>
      <c r="K2173" s="1" t="b">
        <v>1</v>
      </c>
    </row>
    <row r="2174" spans="1:11">
      <c r="A2174" s="1" t="s">
        <v>1903</v>
      </c>
      <c r="B2174" s="386" t="str">
        <f>报表附注!E2587</f>
        <v>地区13--</v>
      </c>
      <c r="C2174" s="358"/>
      <c r="D2174" s="1" t="b">
        <f t="shared" ref="D2174:D2237" si="186">EXACT(A2174,B2174)</f>
        <v>1</v>
      </c>
      <c r="E2174" s="334"/>
      <c r="H2174" s="1" t="b">
        <f t="shared" si="184"/>
        <v>0</v>
      </c>
      <c r="I2174" s="1" t="s">
        <v>1087</v>
      </c>
      <c r="K2174" s="1" t="b">
        <v>1</v>
      </c>
    </row>
    <row r="2175" spans="1:11">
      <c r="A2175" s="1" t="s">
        <v>1580</v>
      </c>
      <c r="B2175" s="387" t="str">
        <f>报表附注!E2588</f>
        <v>合计</v>
      </c>
      <c r="C2175" s="358"/>
      <c r="D2175" s="1" t="b">
        <f t="shared" si="186"/>
        <v>1</v>
      </c>
      <c r="E2175" s="334"/>
      <c r="H2175" s="1" t="b">
        <f t="shared" si="184"/>
        <v>0</v>
      </c>
      <c r="I2175" s="1" t="s">
        <v>1089</v>
      </c>
      <c r="K2175" s="1" t="b">
        <v>1</v>
      </c>
    </row>
    <row r="2176" spans="1:11">
      <c r="A2176" s="1" t="s">
        <v>1873</v>
      </c>
      <c r="B2176" s="335" t="s">
        <v>1873</v>
      </c>
      <c r="C2176" s="330"/>
      <c r="D2176" s="1" t="b">
        <f t="shared" si="186"/>
        <v>1</v>
      </c>
      <c r="E2176" s="311"/>
      <c r="H2176" s="1" t="b">
        <f t="shared" si="184"/>
        <v>0</v>
      </c>
      <c r="I2176" s="1" t="s">
        <v>1103</v>
      </c>
      <c r="K2176" s="1" t="b">
        <v>1</v>
      </c>
    </row>
    <row r="2177" spans="1:11">
      <c r="A2177" s="1" t="s">
        <v>1891</v>
      </c>
      <c r="B2177" s="386" t="str">
        <f>报表附注!E2575</f>
        <v>地区1--国内销售</v>
      </c>
      <c r="C2177" s="358"/>
      <c r="D2177" s="1" t="b">
        <f t="shared" si="186"/>
        <v>0</v>
      </c>
      <c r="E2177" s="358">
        <f>C2162</f>
        <v>0</v>
      </c>
      <c r="H2177" s="1" t="b">
        <f t="shared" si="184"/>
        <v>0</v>
      </c>
      <c r="I2177" s="1" t="s">
        <v>1907</v>
      </c>
      <c r="K2177" s="1" t="b">
        <v>1</v>
      </c>
    </row>
    <row r="2178" spans="1:11">
      <c r="A2178" s="1" t="s">
        <v>1892</v>
      </c>
      <c r="B2178" s="386" t="str">
        <f>报表附注!E2576</f>
        <v>地区2--国外销售</v>
      </c>
      <c r="C2178" s="358"/>
      <c r="D2178" s="1" t="b">
        <f t="shared" si="186"/>
        <v>0</v>
      </c>
      <c r="E2178" s="358">
        <f t="shared" ref="E2178:E2190" si="187">C2163</f>
        <v>0</v>
      </c>
      <c r="H2178" s="1" t="b">
        <f t="shared" si="184"/>
        <v>0</v>
      </c>
      <c r="I2178" s="1" t="s">
        <v>1908</v>
      </c>
      <c r="K2178" s="1" t="b">
        <v>1</v>
      </c>
    </row>
    <row r="2179" spans="1:11">
      <c r="A2179" s="1" t="s">
        <v>1893</v>
      </c>
      <c r="B2179" s="386" t="str">
        <f>报表附注!E2577</f>
        <v>地区3--港澳台销售</v>
      </c>
      <c r="C2179" s="358"/>
      <c r="D2179" s="1" t="b">
        <f t="shared" si="186"/>
        <v>0</v>
      </c>
      <c r="E2179" s="358">
        <f t="shared" si="187"/>
        <v>0</v>
      </c>
      <c r="H2179" s="1" t="b">
        <f t="shared" si="184"/>
        <v>0</v>
      </c>
      <c r="I2179" s="1" t="s">
        <v>1909</v>
      </c>
      <c r="K2179" s="1" t="b">
        <v>1</v>
      </c>
    </row>
    <row r="2180" spans="1:11">
      <c r="A2180" s="1" t="s">
        <v>1894</v>
      </c>
      <c r="B2180" s="386">
        <f>报表附注!E2578</f>
        <v>0</v>
      </c>
      <c r="C2180" s="358"/>
      <c r="D2180" s="1" t="b">
        <f t="shared" si="186"/>
        <v>0</v>
      </c>
      <c r="E2180" s="358">
        <f t="shared" si="187"/>
        <v>0</v>
      </c>
      <c r="H2180" s="1" t="b">
        <f t="shared" ref="H2180:H2243" si="188">I2180=B2180</f>
        <v>0</v>
      </c>
      <c r="I2180" s="1" t="s">
        <v>279</v>
      </c>
      <c r="K2180" s="1" t="b">
        <v>1</v>
      </c>
    </row>
    <row r="2181" spans="1:11">
      <c r="A2181" s="1" t="s">
        <v>1895</v>
      </c>
      <c r="B2181" s="386">
        <f>报表附注!E2579</f>
        <v>0</v>
      </c>
      <c r="C2181" s="358"/>
      <c r="D2181" s="1" t="b">
        <f t="shared" si="186"/>
        <v>0</v>
      </c>
      <c r="E2181" s="358">
        <f t="shared" si="187"/>
        <v>0</v>
      </c>
      <c r="H2181" s="1" t="b">
        <f t="shared" si="188"/>
        <v>0</v>
      </c>
      <c r="I2181" s="1" t="s">
        <v>1580</v>
      </c>
      <c r="K2181" s="1" t="b">
        <v>1</v>
      </c>
    </row>
    <row r="2182" spans="1:11">
      <c r="A2182" s="1" t="s">
        <v>1896</v>
      </c>
      <c r="B2182" s="386" t="str">
        <f>报表附注!E2580</f>
        <v>地区6--</v>
      </c>
      <c r="C2182" s="358"/>
      <c r="D2182" s="1" t="b">
        <f t="shared" si="186"/>
        <v>1</v>
      </c>
      <c r="E2182" s="358">
        <f t="shared" si="187"/>
        <v>0</v>
      </c>
      <c r="H2182" s="1" t="b">
        <f t="shared" si="188"/>
        <v>0</v>
      </c>
      <c r="I2182" s="1" t="s">
        <v>1910</v>
      </c>
      <c r="K2182" s="1" t="b">
        <v>1</v>
      </c>
    </row>
    <row r="2183" spans="1:11">
      <c r="A2183" s="1" t="s">
        <v>1897</v>
      </c>
      <c r="B2183" s="386" t="str">
        <f>报表附注!E2581</f>
        <v>地区7--</v>
      </c>
      <c r="C2183" s="358"/>
      <c r="D2183" s="1" t="b">
        <f t="shared" si="186"/>
        <v>1</v>
      </c>
      <c r="E2183" s="358">
        <f t="shared" si="187"/>
        <v>0</v>
      </c>
      <c r="H2183" s="1" t="b">
        <f t="shared" si="188"/>
        <v>0</v>
      </c>
      <c r="I2183" s="1" t="s">
        <v>1087</v>
      </c>
      <c r="K2183" s="1" t="b">
        <v>1</v>
      </c>
    </row>
    <row r="2184" spans="1:11">
      <c r="A2184" s="1" t="s">
        <v>1898</v>
      </c>
      <c r="B2184" s="386" t="str">
        <f>报表附注!E2582</f>
        <v>地区8--</v>
      </c>
      <c r="C2184" s="358"/>
      <c r="D2184" s="1" t="b">
        <f t="shared" si="186"/>
        <v>1</v>
      </c>
      <c r="E2184" s="358">
        <f t="shared" si="187"/>
        <v>0</v>
      </c>
      <c r="H2184" s="1" t="b">
        <f t="shared" si="188"/>
        <v>0</v>
      </c>
      <c r="I2184" s="1" t="s">
        <v>1089</v>
      </c>
      <c r="K2184" s="1" t="b">
        <v>1</v>
      </c>
    </row>
    <row r="2185" spans="1:11">
      <c r="A2185" s="1" t="s">
        <v>1899</v>
      </c>
      <c r="B2185" s="386" t="str">
        <f>报表附注!E2583</f>
        <v>地区9--</v>
      </c>
      <c r="C2185" s="358"/>
      <c r="D2185" s="1" t="b">
        <f t="shared" si="186"/>
        <v>1</v>
      </c>
      <c r="E2185" s="358">
        <f t="shared" si="187"/>
        <v>0</v>
      </c>
      <c r="H2185" s="1" t="b">
        <f t="shared" si="188"/>
        <v>0</v>
      </c>
      <c r="I2185" s="1" t="s">
        <v>1103</v>
      </c>
      <c r="K2185" s="1" t="b">
        <v>1</v>
      </c>
    </row>
    <row r="2186" spans="1:11">
      <c r="A2186" s="1" t="s">
        <v>1900</v>
      </c>
      <c r="B2186" s="386" t="str">
        <f>报表附注!E2584</f>
        <v>地区10--</v>
      </c>
      <c r="C2186" s="358"/>
      <c r="D2186" s="1" t="b">
        <f t="shared" si="186"/>
        <v>1</v>
      </c>
      <c r="E2186" s="358">
        <f t="shared" si="187"/>
        <v>0</v>
      </c>
      <c r="H2186" s="1" t="b">
        <f t="shared" si="188"/>
        <v>0</v>
      </c>
      <c r="I2186" s="1" t="s">
        <v>1907</v>
      </c>
      <c r="K2186" s="1" t="b">
        <v>1</v>
      </c>
    </row>
    <row r="2187" spans="1:11">
      <c r="A2187" s="1" t="s">
        <v>1901</v>
      </c>
      <c r="B2187" s="386" t="str">
        <f>报表附注!E2585</f>
        <v>地区11--</v>
      </c>
      <c r="C2187" s="358"/>
      <c r="D2187" s="1" t="b">
        <f t="shared" si="186"/>
        <v>1</v>
      </c>
      <c r="E2187" s="358">
        <f t="shared" si="187"/>
        <v>0</v>
      </c>
      <c r="H2187" s="1" t="b">
        <f t="shared" si="188"/>
        <v>0</v>
      </c>
      <c r="I2187" s="1" t="s">
        <v>1908</v>
      </c>
      <c r="K2187" s="1" t="b">
        <v>1</v>
      </c>
    </row>
    <row r="2188" spans="1:11">
      <c r="A2188" s="1" t="s">
        <v>1902</v>
      </c>
      <c r="B2188" s="386" t="str">
        <f>报表附注!E2586</f>
        <v>地区12--</v>
      </c>
      <c r="C2188" s="358"/>
      <c r="D2188" s="1" t="b">
        <f t="shared" si="186"/>
        <v>1</v>
      </c>
      <c r="E2188" s="358">
        <f t="shared" si="187"/>
        <v>0</v>
      </c>
      <c r="H2188" s="1" t="b">
        <f t="shared" si="188"/>
        <v>0</v>
      </c>
      <c r="I2188" s="1" t="s">
        <v>1909</v>
      </c>
      <c r="K2188" s="1" t="b">
        <v>1</v>
      </c>
    </row>
    <row r="2189" spans="1:11">
      <c r="A2189" s="1" t="s">
        <v>1903</v>
      </c>
      <c r="B2189" s="386" t="str">
        <f>报表附注!E2587</f>
        <v>地区13--</v>
      </c>
      <c r="C2189" s="358"/>
      <c r="D2189" s="1" t="b">
        <f t="shared" si="186"/>
        <v>1</v>
      </c>
      <c r="E2189" s="358">
        <f t="shared" si="187"/>
        <v>0</v>
      </c>
      <c r="H2189" s="1" t="b">
        <f t="shared" si="188"/>
        <v>0</v>
      </c>
      <c r="I2189" s="1" t="s">
        <v>279</v>
      </c>
      <c r="K2189" s="1" t="b">
        <v>1</v>
      </c>
    </row>
    <row r="2190" spans="1:11">
      <c r="A2190" s="1" t="s">
        <v>1580</v>
      </c>
      <c r="B2190" s="387" t="str">
        <f>报表附注!E2588</f>
        <v>合计</v>
      </c>
      <c r="C2190" s="358"/>
      <c r="D2190" s="1" t="b">
        <f t="shared" si="186"/>
        <v>1</v>
      </c>
      <c r="E2190" s="358">
        <f t="shared" si="187"/>
        <v>0</v>
      </c>
      <c r="H2190" s="1" t="b">
        <f t="shared" si="188"/>
        <v>1</v>
      </c>
      <c r="I2190" s="1" t="s">
        <v>1580</v>
      </c>
      <c r="K2190" s="1" t="b">
        <v>1</v>
      </c>
    </row>
    <row r="2191" spans="1:11">
      <c r="A2191" s="1" t="s">
        <v>1874</v>
      </c>
      <c r="B2191" s="335" t="s">
        <v>1874</v>
      </c>
      <c r="C2191" s="330"/>
      <c r="D2191" s="1" t="b">
        <f t="shared" si="186"/>
        <v>1</v>
      </c>
      <c r="E2191" s="311"/>
      <c r="H2191" s="1" t="b">
        <f t="shared" si="188"/>
        <v>0</v>
      </c>
      <c r="K2191" s="1" t="b">
        <v>1</v>
      </c>
    </row>
    <row r="2192" spans="1:11">
      <c r="A2192" s="1" t="s">
        <v>1891</v>
      </c>
      <c r="B2192" s="321" t="str">
        <f>报表附注!E2575</f>
        <v>地区1--国内销售</v>
      </c>
      <c r="C2192" s="358"/>
      <c r="D2192" s="1" t="b">
        <f t="shared" si="186"/>
        <v>0</v>
      </c>
      <c r="E2192" s="334"/>
      <c r="H2192" s="1" t="b">
        <f t="shared" si="188"/>
        <v>0</v>
      </c>
      <c r="I2192" s="1" t="s">
        <v>1911</v>
      </c>
      <c r="K2192" s="1" t="b">
        <v>1</v>
      </c>
    </row>
    <row r="2193" spans="1:11">
      <c r="A2193" s="1" t="s">
        <v>1892</v>
      </c>
      <c r="B2193" s="321" t="str">
        <f>报表附注!E2576</f>
        <v>地区2--国外销售</v>
      </c>
      <c r="C2193" s="358"/>
      <c r="D2193" s="1" t="b">
        <f t="shared" si="186"/>
        <v>0</v>
      </c>
      <c r="E2193" s="334"/>
      <c r="H2193" s="1" t="b">
        <f t="shared" si="188"/>
        <v>0</v>
      </c>
      <c r="K2193" s="1" t="b">
        <v>1</v>
      </c>
    </row>
    <row r="2194" spans="1:11">
      <c r="A2194" s="1" t="s">
        <v>1893</v>
      </c>
      <c r="B2194" s="321" t="str">
        <f>报表附注!E2577</f>
        <v>地区3--港澳台销售</v>
      </c>
      <c r="C2194" s="358"/>
      <c r="D2194" s="1" t="b">
        <f t="shared" si="186"/>
        <v>0</v>
      </c>
      <c r="E2194" s="334"/>
      <c r="H2194" s="1" t="b">
        <f t="shared" si="188"/>
        <v>0</v>
      </c>
      <c r="I2194" s="1" t="s">
        <v>1912</v>
      </c>
      <c r="K2194" s="1" t="b">
        <v>1</v>
      </c>
    </row>
    <row r="2195" spans="1:11">
      <c r="A2195" s="1" t="s">
        <v>1894</v>
      </c>
      <c r="B2195" s="321">
        <f>报表附注!E2578</f>
        <v>0</v>
      </c>
      <c r="C2195" s="358"/>
      <c r="D2195" s="1" t="b">
        <f t="shared" si="186"/>
        <v>0</v>
      </c>
      <c r="E2195" s="334"/>
      <c r="H2195" s="1" t="b">
        <f t="shared" si="188"/>
        <v>0</v>
      </c>
      <c r="I2195" s="1" t="s">
        <v>1906</v>
      </c>
      <c r="K2195" s="1" t="b">
        <v>1</v>
      </c>
    </row>
    <row r="2196" spans="1:11">
      <c r="A2196" s="1" t="s">
        <v>1895</v>
      </c>
      <c r="B2196" s="321">
        <f>报表附注!E2579</f>
        <v>0</v>
      </c>
      <c r="C2196" s="358"/>
      <c r="D2196" s="1" t="b">
        <f t="shared" si="186"/>
        <v>0</v>
      </c>
      <c r="E2196" s="334"/>
      <c r="H2196" s="1" t="b">
        <f t="shared" si="188"/>
        <v>0</v>
      </c>
      <c r="I2196" s="1" t="s">
        <v>1913</v>
      </c>
      <c r="K2196" s="1" t="b">
        <v>1</v>
      </c>
    </row>
    <row r="2197" spans="1:11">
      <c r="A2197" s="1" t="s">
        <v>1896</v>
      </c>
      <c r="B2197" s="321" t="str">
        <f>报表附注!E2580</f>
        <v>地区6--</v>
      </c>
      <c r="C2197" s="358"/>
      <c r="D2197" s="1" t="b">
        <f t="shared" si="186"/>
        <v>1</v>
      </c>
      <c r="E2197" s="334"/>
      <c r="H2197" s="1" t="b">
        <f t="shared" si="188"/>
        <v>0</v>
      </c>
      <c r="I2197" s="1" t="s">
        <v>1914</v>
      </c>
      <c r="K2197" s="1" t="b">
        <v>1</v>
      </c>
    </row>
    <row r="2198" spans="1:11">
      <c r="A2198" s="1" t="s">
        <v>1897</v>
      </c>
      <c r="B2198" s="321" t="str">
        <f>报表附注!E2581</f>
        <v>地区7--</v>
      </c>
      <c r="C2198" s="358"/>
      <c r="D2198" s="1" t="b">
        <f t="shared" si="186"/>
        <v>1</v>
      </c>
      <c r="E2198" s="334"/>
      <c r="H2198" s="1" t="b">
        <f t="shared" si="188"/>
        <v>0</v>
      </c>
      <c r="I2198" s="1" t="s">
        <v>1915</v>
      </c>
      <c r="K2198" s="1" t="b">
        <v>1</v>
      </c>
    </row>
    <row r="2199" spans="1:11">
      <c r="A2199" s="1" t="s">
        <v>1898</v>
      </c>
      <c r="B2199" s="321" t="str">
        <f>报表附注!E2582</f>
        <v>地区8--</v>
      </c>
      <c r="C2199" s="358"/>
      <c r="D2199" s="1" t="b">
        <f t="shared" si="186"/>
        <v>1</v>
      </c>
      <c r="E2199" s="334"/>
      <c r="H2199" s="1" t="b">
        <f t="shared" si="188"/>
        <v>0</v>
      </c>
      <c r="I2199" s="1" t="s">
        <v>1916</v>
      </c>
      <c r="K2199" s="1" t="b">
        <v>1</v>
      </c>
    </row>
    <row r="2200" spans="1:11">
      <c r="A2200" s="1" t="s">
        <v>1899</v>
      </c>
      <c r="B2200" s="321" t="str">
        <f>报表附注!E2583</f>
        <v>地区9--</v>
      </c>
      <c r="C2200" s="358"/>
      <c r="D2200" s="1" t="b">
        <f t="shared" si="186"/>
        <v>1</v>
      </c>
      <c r="E2200" s="334"/>
      <c r="H2200" s="1" t="b">
        <f t="shared" si="188"/>
        <v>0</v>
      </c>
      <c r="I2200" s="1" t="s">
        <v>1917</v>
      </c>
      <c r="K2200" s="1" t="b">
        <v>1</v>
      </c>
    </row>
    <row r="2201" spans="1:11">
      <c r="A2201" s="1" t="s">
        <v>1900</v>
      </c>
      <c r="B2201" s="321" t="str">
        <f>报表附注!E2584</f>
        <v>地区10--</v>
      </c>
      <c r="C2201" s="358"/>
      <c r="D2201" s="1" t="b">
        <f t="shared" si="186"/>
        <v>1</v>
      </c>
      <c r="E2201" s="334"/>
      <c r="H2201" s="1" t="b">
        <f t="shared" si="188"/>
        <v>0</v>
      </c>
      <c r="I2201" s="1" t="s">
        <v>1918</v>
      </c>
      <c r="K2201" s="1" t="b">
        <v>1</v>
      </c>
    </row>
    <row r="2202" spans="1:11">
      <c r="A2202" s="1" t="s">
        <v>1901</v>
      </c>
      <c r="B2202" s="321" t="str">
        <f>报表附注!E2585</f>
        <v>地区11--</v>
      </c>
      <c r="C2202" s="358"/>
      <c r="D2202" s="1" t="b">
        <f t="shared" si="186"/>
        <v>1</v>
      </c>
      <c r="E2202" s="334"/>
      <c r="H2202" s="1" t="b">
        <f t="shared" si="188"/>
        <v>0</v>
      </c>
      <c r="I2202" s="1" t="s">
        <v>1919</v>
      </c>
      <c r="K2202" s="1" t="b">
        <v>1</v>
      </c>
    </row>
    <row r="2203" spans="1:11">
      <c r="A2203" s="1" t="s">
        <v>1902</v>
      </c>
      <c r="B2203" s="321" t="str">
        <f>报表附注!E2586</f>
        <v>地区12--</v>
      </c>
      <c r="C2203" s="358"/>
      <c r="D2203" s="1" t="b">
        <f t="shared" si="186"/>
        <v>1</v>
      </c>
      <c r="E2203" s="334"/>
      <c r="H2203" s="1" t="b">
        <f t="shared" si="188"/>
        <v>0</v>
      </c>
      <c r="I2203" s="1" t="s">
        <v>1920</v>
      </c>
      <c r="K2203" s="1" t="b">
        <v>1</v>
      </c>
    </row>
    <row r="2204" spans="1:11">
      <c r="A2204" s="1" t="s">
        <v>1903</v>
      </c>
      <c r="B2204" s="321" t="str">
        <f>报表附注!E2587</f>
        <v>地区13--</v>
      </c>
      <c r="C2204" s="358"/>
      <c r="D2204" s="1" t="b">
        <f t="shared" si="186"/>
        <v>1</v>
      </c>
      <c r="E2204" s="334"/>
      <c r="H2204" s="1" t="b">
        <f t="shared" si="188"/>
        <v>0</v>
      </c>
      <c r="I2204" s="1" t="s">
        <v>1921</v>
      </c>
      <c r="K2204" s="1" t="b">
        <v>1</v>
      </c>
    </row>
    <row r="2205" spans="1:11">
      <c r="A2205" s="1" t="s">
        <v>1580</v>
      </c>
      <c r="B2205" s="323" t="str">
        <f>报表附注!E2588</f>
        <v>合计</v>
      </c>
      <c r="C2205" s="358"/>
      <c r="D2205" s="1" t="b">
        <f t="shared" si="186"/>
        <v>1</v>
      </c>
      <c r="E2205" s="334"/>
      <c r="H2205" s="1" t="b">
        <f t="shared" si="188"/>
        <v>0</v>
      </c>
      <c r="I2205" s="1" t="s">
        <v>279</v>
      </c>
      <c r="K2205" s="1" t="b">
        <v>1</v>
      </c>
    </row>
    <row r="2206" spans="1:11">
      <c r="A2206" s="1" t="s">
        <v>1875</v>
      </c>
      <c r="B2206" s="335" t="s">
        <v>1875</v>
      </c>
      <c r="C2206" s="330"/>
      <c r="D2206" s="1" t="b">
        <f t="shared" si="186"/>
        <v>1</v>
      </c>
      <c r="E2206" s="311"/>
      <c r="H2206" s="1" t="b">
        <f t="shared" si="188"/>
        <v>0</v>
      </c>
      <c r="I2206" s="1" t="s">
        <v>1922</v>
      </c>
      <c r="K2206" s="1" t="b">
        <v>1</v>
      </c>
    </row>
    <row r="2207" spans="1:11">
      <c r="A2207" s="1" t="s">
        <v>1891</v>
      </c>
      <c r="B2207" s="321" t="str">
        <f>报表附注!E2575</f>
        <v>地区1--国内销售</v>
      </c>
      <c r="C2207" s="358"/>
      <c r="D2207" s="1" t="b">
        <f t="shared" si="186"/>
        <v>0</v>
      </c>
      <c r="E2207" s="358">
        <f>C2192</f>
        <v>0</v>
      </c>
      <c r="H2207" s="1" t="b">
        <f t="shared" si="188"/>
        <v>0</v>
      </c>
      <c r="I2207" s="1" t="s">
        <v>1923</v>
      </c>
      <c r="K2207" s="1" t="b">
        <v>1</v>
      </c>
    </row>
    <row r="2208" spans="1:11">
      <c r="A2208" s="1" t="s">
        <v>1892</v>
      </c>
      <c r="B2208" s="321" t="str">
        <f>报表附注!E2576</f>
        <v>地区2--国外销售</v>
      </c>
      <c r="C2208" s="358"/>
      <c r="D2208" s="1" t="b">
        <f t="shared" si="186"/>
        <v>0</v>
      </c>
      <c r="E2208" s="358">
        <f t="shared" ref="E2208:E2220" si="189">C2193</f>
        <v>0</v>
      </c>
      <c r="H2208" s="1" t="b">
        <f t="shared" si="188"/>
        <v>0</v>
      </c>
      <c r="I2208" s="1" t="s">
        <v>1924</v>
      </c>
      <c r="K2208" s="1" t="b">
        <v>1</v>
      </c>
    </row>
    <row r="2209" spans="1:11">
      <c r="A2209" s="1" t="s">
        <v>1893</v>
      </c>
      <c r="B2209" s="321" t="str">
        <f>报表附注!E2577</f>
        <v>地区3--港澳台销售</v>
      </c>
      <c r="C2209" s="358"/>
      <c r="D2209" s="1" t="b">
        <f t="shared" si="186"/>
        <v>0</v>
      </c>
      <c r="E2209" s="358">
        <f t="shared" si="189"/>
        <v>0</v>
      </c>
      <c r="H2209" s="1" t="b">
        <f t="shared" si="188"/>
        <v>0</v>
      </c>
      <c r="I2209" s="1" t="s">
        <v>1910</v>
      </c>
      <c r="K2209" s="1" t="b">
        <v>1</v>
      </c>
    </row>
    <row r="2210" spans="1:11">
      <c r="A2210" s="1" t="s">
        <v>1894</v>
      </c>
      <c r="B2210" s="321">
        <f>报表附注!E2578</f>
        <v>0</v>
      </c>
      <c r="C2210" s="358"/>
      <c r="D2210" s="1" t="b">
        <f t="shared" si="186"/>
        <v>0</v>
      </c>
      <c r="E2210" s="358">
        <f t="shared" si="189"/>
        <v>0</v>
      </c>
      <c r="H2210" s="1" t="b">
        <f t="shared" si="188"/>
        <v>0</v>
      </c>
      <c r="I2210" s="1" t="s">
        <v>1913</v>
      </c>
      <c r="K2210" s="1" t="b">
        <v>1</v>
      </c>
    </row>
    <row r="2211" spans="1:11">
      <c r="A2211" s="1" t="s">
        <v>1895</v>
      </c>
      <c r="B2211" s="321">
        <f>报表附注!E2579</f>
        <v>0</v>
      </c>
      <c r="C2211" s="358"/>
      <c r="D2211" s="1" t="b">
        <f t="shared" si="186"/>
        <v>0</v>
      </c>
      <c r="E2211" s="358">
        <f t="shared" si="189"/>
        <v>0</v>
      </c>
      <c r="H2211" s="1" t="b">
        <f t="shared" si="188"/>
        <v>0</v>
      </c>
      <c r="I2211" s="1" t="s">
        <v>1914</v>
      </c>
      <c r="K2211" s="1" t="b">
        <v>1</v>
      </c>
    </row>
    <row r="2212" spans="1:11">
      <c r="A2212" s="1" t="s">
        <v>1896</v>
      </c>
      <c r="B2212" s="321" t="str">
        <f>报表附注!E2580</f>
        <v>地区6--</v>
      </c>
      <c r="C2212" s="358"/>
      <c r="D2212" s="1" t="b">
        <f t="shared" si="186"/>
        <v>1</v>
      </c>
      <c r="E2212" s="358">
        <f t="shared" si="189"/>
        <v>0</v>
      </c>
      <c r="H2212" s="1" t="b">
        <f t="shared" si="188"/>
        <v>0</v>
      </c>
      <c r="I2212" s="1" t="s">
        <v>1915</v>
      </c>
      <c r="K2212" s="1" t="b">
        <v>1</v>
      </c>
    </row>
    <row r="2213" spans="1:11">
      <c r="A2213" s="1" t="s">
        <v>1897</v>
      </c>
      <c r="B2213" s="321" t="str">
        <f>报表附注!E2581</f>
        <v>地区7--</v>
      </c>
      <c r="C2213" s="358"/>
      <c r="D2213" s="1" t="b">
        <f t="shared" si="186"/>
        <v>1</v>
      </c>
      <c r="E2213" s="358">
        <f t="shared" si="189"/>
        <v>0</v>
      </c>
      <c r="H2213" s="1" t="b">
        <f t="shared" si="188"/>
        <v>0</v>
      </c>
      <c r="I2213" s="1" t="s">
        <v>1916</v>
      </c>
      <c r="K2213" s="1" t="b">
        <v>1</v>
      </c>
    </row>
    <row r="2214" spans="1:11">
      <c r="A2214" s="1" t="s">
        <v>1898</v>
      </c>
      <c r="B2214" s="321" t="str">
        <f>报表附注!E2582</f>
        <v>地区8--</v>
      </c>
      <c r="C2214" s="358"/>
      <c r="D2214" s="1" t="b">
        <f t="shared" si="186"/>
        <v>1</v>
      </c>
      <c r="E2214" s="358">
        <f t="shared" si="189"/>
        <v>0</v>
      </c>
      <c r="H2214" s="1" t="b">
        <f t="shared" si="188"/>
        <v>0</v>
      </c>
      <c r="I2214" s="1" t="s">
        <v>1917</v>
      </c>
      <c r="K2214" s="1" t="b">
        <v>1</v>
      </c>
    </row>
    <row r="2215" spans="1:11">
      <c r="A2215" s="1" t="s">
        <v>1899</v>
      </c>
      <c r="B2215" s="321" t="str">
        <f>报表附注!E2583</f>
        <v>地区9--</v>
      </c>
      <c r="C2215" s="358"/>
      <c r="D2215" s="1" t="b">
        <f t="shared" si="186"/>
        <v>1</v>
      </c>
      <c r="E2215" s="358">
        <f t="shared" si="189"/>
        <v>0</v>
      </c>
      <c r="H2215" s="1" t="b">
        <f t="shared" si="188"/>
        <v>0</v>
      </c>
      <c r="I2215" s="1" t="s">
        <v>1918</v>
      </c>
      <c r="K2215" s="1" t="b">
        <v>1</v>
      </c>
    </row>
    <row r="2216" spans="1:11">
      <c r="A2216" s="1" t="s">
        <v>1900</v>
      </c>
      <c r="B2216" s="321" t="str">
        <f>报表附注!E2584</f>
        <v>地区10--</v>
      </c>
      <c r="C2216" s="358"/>
      <c r="D2216" s="1" t="b">
        <f t="shared" si="186"/>
        <v>1</v>
      </c>
      <c r="E2216" s="358">
        <f t="shared" si="189"/>
        <v>0</v>
      </c>
      <c r="H2216" s="1" t="b">
        <f t="shared" si="188"/>
        <v>0</v>
      </c>
      <c r="I2216" s="1" t="s">
        <v>1919</v>
      </c>
      <c r="K2216" s="1" t="b">
        <v>1</v>
      </c>
    </row>
    <row r="2217" spans="1:11">
      <c r="A2217" s="1" t="s">
        <v>1901</v>
      </c>
      <c r="B2217" s="321" t="str">
        <f>报表附注!E2585</f>
        <v>地区11--</v>
      </c>
      <c r="C2217" s="358"/>
      <c r="D2217" s="1" t="b">
        <f t="shared" si="186"/>
        <v>1</v>
      </c>
      <c r="E2217" s="358">
        <f t="shared" si="189"/>
        <v>0</v>
      </c>
      <c r="H2217" s="1" t="b">
        <f t="shared" si="188"/>
        <v>0</v>
      </c>
      <c r="I2217" s="1" t="s">
        <v>1920</v>
      </c>
      <c r="K2217" s="1" t="b">
        <v>1</v>
      </c>
    </row>
    <row r="2218" spans="1:11">
      <c r="A2218" s="1" t="s">
        <v>1902</v>
      </c>
      <c r="B2218" s="321" t="str">
        <f>报表附注!E2586</f>
        <v>地区12--</v>
      </c>
      <c r="C2218" s="358"/>
      <c r="D2218" s="1" t="b">
        <f t="shared" si="186"/>
        <v>1</v>
      </c>
      <c r="E2218" s="358">
        <f t="shared" si="189"/>
        <v>0</v>
      </c>
      <c r="H2218" s="1" t="b">
        <f t="shared" si="188"/>
        <v>0</v>
      </c>
      <c r="I2218" s="1" t="s">
        <v>1921</v>
      </c>
      <c r="K2218" s="1" t="b">
        <v>1</v>
      </c>
    </row>
    <row r="2219" spans="1:11">
      <c r="A2219" s="1" t="s">
        <v>1903</v>
      </c>
      <c r="B2219" s="321" t="str">
        <f>报表附注!E2587</f>
        <v>地区13--</v>
      </c>
      <c r="C2219" s="358"/>
      <c r="D2219" s="1" t="b">
        <f t="shared" si="186"/>
        <v>1</v>
      </c>
      <c r="E2219" s="358">
        <f t="shared" si="189"/>
        <v>0</v>
      </c>
      <c r="H2219" s="1" t="b">
        <f t="shared" si="188"/>
        <v>0</v>
      </c>
      <c r="I2219" s="1" t="s">
        <v>279</v>
      </c>
      <c r="K2219" s="1" t="b">
        <v>1</v>
      </c>
    </row>
    <row r="2220" spans="1:11">
      <c r="A2220" s="1" t="s">
        <v>1580</v>
      </c>
      <c r="B2220" s="323" t="str">
        <f>报表附注!E2588</f>
        <v>合计</v>
      </c>
      <c r="C2220" s="358"/>
      <c r="D2220" s="1" t="b">
        <f t="shared" si="186"/>
        <v>1</v>
      </c>
      <c r="E2220" s="358">
        <f t="shared" si="189"/>
        <v>0</v>
      </c>
      <c r="H2220" s="1" t="b">
        <f t="shared" si="188"/>
        <v>0</v>
      </c>
      <c r="I2220" s="1" t="s">
        <v>1922</v>
      </c>
      <c r="K2220" s="1" t="b">
        <v>1</v>
      </c>
    </row>
    <row r="2221" spans="2:11">
      <c r="B2221" s="335"/>
      <c r="C2221" s="330"/>
      <c r="D2221" s="1" t="b">
        <f t="shared" si="186"/>
        <v>1</v>
      </c>
      <c r="H2221" s="1" t="b">
        <f t="shared" si="188"/>
        <v>0</v>
      </c>
      <c r="I2221" s="1" t="s">
        <v>1923</v>
      </c>
      <c r="K2221" s="1" t="b">
        <v>1</v>
      </c>
    </row>
    <row r="2222" ht="12" spans="1:11">
      <c r="A2222" s="1" t="s">
        <v>1904</v>
      </c>
      <c r="B2222" s="384" t="s">
        <v>1904</v>
      </c>
      <c r="C2222" s="330"/>
      <c r="D2222" s="1" t="b">
        <f t="shared" si="186"/>
        <v>1</v>
      </c>
      <c r="H2222" s="1" t="b">
        <f t="shared" si="188"/>
        <v>0</v>
      </c>
      <c r="I2222" s="1" t="s">
        <v>1924</v>
      </c>
      <c r="K2222" s="1" t="b">
        <v>1</v>
      </c>
    </row>
    <row r="2223" spans="3:11">
      <c r="C2223" s="330"/>
      <c r="D2223" s="1" t="b">
        <f t="shared" si="186"/>
        <v>1</v>
      </c>
      <c r="H2223" s="1" t="b">
        <f t="shared" si="188"/>
        <v>1</v>
      </c>
      <c r="K2223" s="1" t="b">
        <v>1</v>
      </c>
    </row>
    <row r="2224" spans="1:11">
      <c r="A2224" s="1" t="s">
        <v>1905</v>
      </c>
      <c r="B2224" s="331" t="s">
        <v>1905</v>
      </c>
      <c r="C2224" s="330"/>
      <c r="D2224" s="1" t="b">
        <f t="shared" si="186"/>
        <v>1</v>
      </c>
      <c r="E2224" s="311"/>
      <c r="H2224" s="1" t="b">
        <f t="shared" si="188"/>
        <v>0</v>
      </c>
      <c r="I2224" s="1" t="s">
        <v>1925</v>
      </c>
      <c r="K2224" s="1" t="b">
        <v>1</v>
      </c>
    </row>
    <row r="2225" spans="1:11">
      <c r="A2225" s="1" t="s">
        <v>1906</v>
      </c>
      <c r="B2225" s="335" t="s">
        <v>1906</v>
      </c>
      <c r="C2225" s="330"/>
      <c r="D2225" s="1" t="b">
        <f t="shared" si="186"/>
        <v>1</v>
      </c>
      <c r="E2225" s="311"/>
      <c r="H2225" s="1" t="b">
        <f t="shared" si="188"/>
        <v>1</v>
      </c>
      <c r="I2225" s="1" t="s">
        <v>1906</v>
      </c>
      <c r="K2225" s="1" t="b">
        <v>1</v>
      </c>
    </row>
    <row r="2226" spans="1:11">
      <c r="A2226" s="1" t="s">
        <v>1087</v>
      </c>
      <c r="B2226" s="313" t="str">
        <f>报表附注!E2623</f>
        <v>营业税</v>
      </c>
      <c r="C2226" s="322">
        <f>F2227</f>
        <v>0</v>
      </c>
      <c r="D2226" s="1" t="b">
        <f t="shared" si="186"/>
        <v>1</v>
      </c>
      <c r="E2226" s="388" t="s">
        <v>1089</v>
      </c>
      <c r="F2226" s="389"/>
      <c r="H2226" s="1" t="b">
        <f t="shared" si="188"/>
        <v>0</v>
      </c>
      <c r="I2226" s="1" t="s">
        <v>1926</v>
      </c>
      <c r="K2226" s="1" t="b">
        <v>1</v>
      </c>
    </row>
    <row r="2227" spans="1:11">
      <c r="A2227" s="1" t="s">
        <v>1089</v>
      </c>
      <c r="B2227" s="313" t="str">
        <f>报表附注!E2624</f>
        <v>消费税</v>
      </c>
      <c r="C2227" s="322">
        <f>F2226</f>
        <v>0</v>
      </c>
      <c r="D2227" s="1" t="b">
        <f t="shared" si="186"/>
        <v>1</v>
      </c>
      <c r="E2227" s="388" t="s">
        <v>1087</v>
      </c>
      <c r="F2227" s="389"/>
      <c r="H2227" s="1" t="b">
        <f t="shared" si="188"/>
        <v>0</v>
      </c>
      <c r="I2227" s="1" t="s">
        <v>1927</v>
      </c>
      <c r="K2227" s="1" t="b">
        <v>1</v>
      </c>
    </row>
    <row r="2228" spans="1:11">
      <c r="A2228" s="1" t="s">
        <v>1103</v>
      </c>
      <c r="B2228" s="313" t="str">
        <f>报表附注!E2625</f>
        <v>资源税</v>
      </c>
      <c r="C2228" s="322">
        <f>F2230</f>
        <v>0</v>
      </c>
      <c r="D2228" s="1" t="b">
        <f t="shared" si="186"/>
        <v>1</v>
      </c>
      <c r="E2228" s="388" t="s">
        <v>1907</v>
      </c>
      <c r="F2228" s="389"/>
      <c r="H2228" s="1" t="b">
        <f t="shared" si="188"/>
        <v>0</v>
      </c>
      <c r="I2228" s="1" t="s">
        <v>1928</v>
      </c>
      <c r="K2228" s="1" t="b">
        <v>1</v>
      </c>
    </row>
    <row r="2229" spans="1:11">
      <c r="A2229" s="1" t="s">
        <v>1907</v>
      </c>
      <c r="B2229" s="313" t="str">
        <f>报表附注!E2626</f>
        <v>城市维护建设税</v>
      </c>
      <c r="C2229" s="322">
        <f>F2228</f>
        <v>0</v>
      </c>
      <c r="D2229" s="1" t="b">
        <f t="shared" si="186"/>
        <v>1</v>
      </c>
      <c r="E2229" s="388" t="s">
        <v>1908</v>
      </c>
      <c r="F2229" s="389"/>
      <c r="H2229" s="1" t="b">
        <f t="shared" si="188"/>
        <v>0</v>
      </c>
      <c r="I2229" s="1" t="s">
        <v>1929</v>
      </c>
      <c r="K2229" s="1" t="b">
        <v>1</v>
      </c>
    </row>
    <row r="2230" spans="1:11">
      <c r="A2230" s="1" t="s">
        <v>1908</v>
      </c>
      <c r="B2230" s="313" t="str">
        <f>报表附注!E2627</f>
        <v>教育费附加</v>
      </c>
      <c r="C2230" s="322">
        <f>F2229</f>
        <v>0</v>
      </c>
      <c r="D2230" s="1" t="b">
        <f t="shared" si="186"/>
        <v>1</v>
      </c>
      <c r="E2230" s="388" t="s">
        <v>1103</v>
      </c>
      <c r="F2230" s="389"/>
      <c r="H2230" s="1" t="b">
        <f t="shared" si="188"/>
        <v>0</v>
      </c>
      <c r="I2230" s="1" t="s">
        <v>1930</v>
      </c>
      <c r="K2230" s="1" t="b">
        <v>1</v>
      </c>
    </row>
    <row r="2231" spans="1:11">
      <c r="A2231" s="1" t="s">
        <v>1909</v>
      </c>
      <c r="B2231" s="313" t="str">
        <f>报表附注!E2628</f>
        <v>地方费附加</v>
      </c>
      <c r="C2231" s="322">
        <f>F2231</f>
        <v>0</v>
      </c>
      <c r="D2231" s="1" t="b">
        <f t="shared" si="186"/>
        <v>1</v>
      </c>
      <c r="E2231" s="388" t="s">
        <v>4598</v>
      </c>
      <c r="F2231" s="389"/>
      <c r="H2231" s="1" t="b">
        <f t="shared" si="188"/>
        <v>0</v>
      </c>
      <c r="I2231" s="1" t="s">
        <v>1931</v>
      </c>
      <c r="K2231" s="1" t="b">
        <v>1</v>
      </c>
    </row>
    <row r="2232" spans="1:11">
      <c r="A2232" s="1" t="s">
        <v>279</v>
      </c>
      <c r="B2232" s="313" t="str">
        <f>报表附注!E2629</f>
        <v>其他</v>
      </c>
      <c r="C2232" s="322">
        <f>F2232+F2233</f>
        <v>0</v>
      </c>
      <c r="D2232" s="1" t="b">
        <f t="shared" si="186"/>
        <v>1</v>
      </c>
      <c r="E2232" s="388" t="s">
        <v>4599</v>
      </c>
      <c r="F2232" s="389"/>
      <c r="H2232" s="1" t="b">
        <f t="shared" si="188"/>
        <v>0</v>
      </c>
      <c r="I2232" s="1" t="s">
        <v>1932</v>
      </c>
      <c r="K2232" s="1" t="b">
        <v>1</v>
      </c>
    </row>
    <row r="2233" spans="1:11">
      <c r="A2233" s="1" t="s">
        <v>1580</v>
      </c>
      <c r="B2233" s="324" t="str">
        <f>报表附注!E2630</f>
        <v>合计</v>
      </c>
      <c r="C2233" s="322"/>
      <c r="D2233" s="1" t="b">
        <f t="shared" si="186"/>
        <v>1</v>
      </c>
      <c r="E2233" s="388" t="s">
        <v>279</v>
      </c>
      <c r="F2233" s="389"/>
      <c r="H2233" s="1" t="b">
        <f t="shared" si="188"/>
        <v>0</v>
      </c>
      <c r="I2233" s="1" t="s">
        <v>1933</v>
      </c>
      <c r="K2233" s="1" t="b">
        <v>1</v>
      </c>
    </row>
    <row r="2234" spans="1:11">
      <c r="A2234" s="1" t="s">
        <v>1910</v>
      </c>
      <c r="B2234" s="335" t="s">
        <v>1910</v>
      </c>
      <c r="C2234" s="330"/>
      <c r="D2234" s="1" t="b">
        <f t="shared" si="186"/>
        <v>1</v>
      </c>
      <c r="E2234" s="311"/>
      <c r="H2234" s="1" t="b">
        <f t="shared" si="188"/>
        <v>0</v>
      </c>
      <c r="I2234" s="1" t="s">
        <v>1934</v>
      </c>
      <c r="K2234" s="1" t="b">
        <v>1</v>
      </c>
    </row>
    <row r="2235" spans="1:11">
      <c r="A2235" s="1" t="s">
        <v>1087</v>
      </c>
      <c r="B2235" s="313" t="str">
        <f>报表附注!E2623</f>
        <v>营业税</v>
      </c>
      <c r="C2235" s="325"/>
      <c r="D2235" s="1" t="b">
        <f t="shared" si="186"/>
        <v>1</v>
      </c>
      <c r="E2235" s="325">
        <f>C2226</f>
        <v>0</v>
      </c>
      <c r="H2235" s="1" t="b">
        <f t="shared" si="188"/>
        <v>0</v>
      </c>
      <c r="I2235" s="1" t="s">
        <v>1935</v>
      </c>
      <c r="K2235" s="1" t="b">
        <v>1</v>
      </c>
    </row>
    <row r="2236" spans="1:11">
      <c r="A2236" s="1" t="s">
        <v>1089</v>
      </c>
      <c r="B2236" s="313" t="str">
        <f>报表附注!E2624</f>
        <v>消费税</v>
      </c>
      <c r="C2236" s="325"/>
      <c r="D2236" s="1" t="b">
        <f t="shared" si="186"/>
        <v>1</v>
      </c>
      <c r="E2236" s="325">
        <f t="shared" ref="E2236:E2242" si="190">C2227</f>
        <v>0</v>
      </c>
      <c r="H2236" s="1" t="b">
        <f t="shared" si="188"/>
        <v>0</v>
      </c>
      <c r="I2236" s="1" t="s">
        <v>1936</v>
      </c>
      <c r="K2236" s="1" t="b">
        <v>1</v>
      </c>
    </row>
    <row r="2237" spans="1:11">
      <c r="A2237" s="1" t="s">
        <v>1103</v>
      </c>
      <c r="B2237" s="313" t="str">
        <f>报表附注!E2625</f>
        <v>资源税</v>
      </c>
      <c r="C2237" s="325"/>
      <c r="D2237" s="1" t="b">
        <f t="shared" si="186"/>
        <v>1</v>
      </c>
      <c r="E2237" s="325">
        <f t="shared" si="190"/>
        <v>0</v>
      </c>
      <c r="H2237" s="1" t="b">
        <f t="shared" si="188"/>
        <v>0</v>
      </c>
      <c r="I2237" s="1" t="s">
        <v>1937</v>
      </c>
      <c r="K2237" s="1" t="b">
        <v>1</v>
      </c>
    </row>
    <row r="2238" spans="1:11">
      <c r="A2238" s="1" t="s">
        <v>1907</v>
      </c>
      <c r="B2238" s="313" t="str">
        <f>报表附注!E2626</f>
        <v>城市维护建设税</v>
      </c>
      <c r="C2238" s="325"/>
      <c r="D2238" s="1" t="b">
        <f t="shared" ref="D2238:D2301" si="191">EXACT(A2238,B2238)</f>
        <v>1</v>
      </c>
      <c r="E2238" s="325">
        <f t="shared" si="190"/>
        <v>0</v>
      </c>
      <c r="H2238" s="1" t="b">
        <f t="shared" si="188"/>
        <v>0</v>
      </c>
      <c r="I2238" s="1" t="s">
        <v>1938</v>
      </c>
      <c r="K2238" s="1" t="b">
        <v>1</v>
      </c>
    </row>
    <row r="2239" spans="1:11">
      <c r="A2239" s="1" t="s">
        <v>1908</v>
      </c>
      <c r="B2239" s="313" t="str">
        <f>报表附注!E2627</f>
        <v>教育费附加</v>
      </c>
      <c r="C2239" s="325"/>
      <c r="D2239" s="1" t="b">
        <f t="shared" si="191"/>
        <v>1</v>
      </c>
      <c r="E2239" s="325">
        <f t="shared" si="190"/>
        <v>0</v>
      </c>
      <c r="H2239" s="1" t="b">
        <f t="shared" si="188"/>
        <v>0</v>
      </c>
      <c r="I2239" s="1" t="s">
        <v>1939</v>
      </c>
      <c r="K2239" s="1" t="b">
        <v>1</v>
      </c>
    </row>
    <row r="2240" spans="1:11">
      <c r="A2240" s="1" t="s">
        <v>1909</v>
      </c>
      <c r="B2240" s="313" t="str">
        <f>报表附注!E2628</f>
        <v>地方费附加</v>
      </c>
      <c r="C2240" s="325"/>
      <c r="D2240" s="1" t="b">
        <f t="shared" si="191"/>
        <v>1</v>
      </c>
      <c r="E2240" s="325">
        <f t="shared" si="190"/>
        <v>0</v>
      </c>
      <c r="H2240" s="1" t="b">
        <f t="shared" si="188"/>
        <v>0</v>
      </c>
      <c r="I2240" s="1" t="s">
        <v>346</v>
      </c>
      <c r="K2240" s="1" t="b">
        <v>1</v>
      </c>
    </row>
    <row r="2241" spans="1:11">
      <c r="A2241" s="1" t="s">
        <v>279</v>
      </c>
      <c r="B2241" s="313" t="str">
        <f>报表附注!E2629</f>
        <v>其他</v>
      </c>
      <c r="C2241" s="325"/>
      <c r="D2241" s="1" t="b">
        <f t="shared" si="191"/>
        <v>1</v>
      </c>
      <c r="E2241" s="325">
        <f t="shared" si="190"/>
        <v>0</v>
      </c>
      <c r="H2241" s="1" t="b">
        <f t="shared" si="188"/>
        <v>0</v>
      </c>
      <c r="I2241" s="1" t="s">
        <v>1910</v>
      </c>
      <c r="K2241" s="1" t="b">
        <v>1</v>
      </c>
    </row>
    <row r="2242" spans="1:11">
      <c r="A2242" s="1" t="s">
        <v>1580</v>
      </c>
      <c r="B2242" s="324" t="str">
        <f>报表附注!E2630</f>
        <v>合计</v>
      </c>
      <c r="C2242" s="325"/>
      <c r="D2242" s="1" t="b">
        <f t="shared" si="191"/>
        <v>1</v>
      </c>
      <c r="E2242" s="325">
        <f t="shared" si="190"/>
        <v>0</v>
      </c>
      <c r="H2242" s="1" t="b">
        <f t="shared" si="188"/>
        <v>0</v>
      </c>
      <c r="I2242" s="1" t="s">
        <v>1926</v>
      </c>
      <c r="K2242" s="1" t="b">
        <v>1</v>
      </c>
    </row>
    <row r="2243" spans="3:11">
      <c r="C2243" s="330"/>
      <c r="D2243" s="1" t="b">
        <f t="shared" si="191"/>
        <v>1</v>
      </c>
      <c r="H2243" s="1" t="b">
        <f t="shared" si="188"/>
        <v>0</v>
      </c>
      <c r="I2243" s="1" t="s">
        <v>1927</v>
      </c>
      <c r="K2243" s="1" t="b">
        <v>1</v>
      </c>
    </row>
    <row r="2244" spans="1:11">
      <c r="A2244" s="1" t="s">
        <v>1911</v>
      </c>
      <c r="B2244" s="333" t="s">
        <v>1911</v>
      </c>
      <c r="C2244" s="330"/>
      <c r="D2244" s="1" t="b">
        <f t="shared" si="191"/>
        <v>1</v>
      </c>
      <c r="H2244" s="1" t="b">
        <f t="shared" ref="H2244:H2307" si="192">I2244=B2244</f>
        <v>0</v>
      </c>
      <c r="I2244" s="1" t="s">
        <v>1928</v>
      </c>
      <c r="K2244" s="1" t="b">
        <v>1</v>
      </c>
    </row>
    <row r="2245" spans="3:11">
      <c r="C2245" s="330"/>
      <c r="D2245" s="1" t="b">
        <f t="shared" si="191"/>
        <v>1</v>
      </c>
      <c r="H2245" s="1" t="b">
        <f t="shared" si="192"/>
        <v>0</v>
      </c>
      <c r="I2245" s="1" t="s">
        <v>1929</v>
      </c>
      <c r="K2245" s="1" t="b">
        <v>1</v>
      </c>
    </row>
    <row r="2246" spans="1:11">
      <c r="A2246" s="1" t="s">
        <v>1912</v>
      </c>
      <c r="B2246" s="331" t="s">
        <v>1912</v>
      </c>
      <c r="C2246" s="330"/>
      <c r="D2246" s="1" t="b">
        <f t="shared" si="191"/>
        <v>1</v>
      </c>
      <c r="H2246" s="1" t="b">
        <f t="shared" si="192"/>
        <v>0</v>
      </c>
      <c r="I2246" s="1" t="s">
        <v>1930</v>
      </c>
      <c r="K2246" s="1" t="b">
        <v>1</v>
      </c>
    </row>
    <row r="2247" spans="1:11">
      <c r="A2247" s="1" t="s">
        <v>1906</v>
      </c>
      <c r="B2247" s="335" t="s">
        <v>1906</v>
      </c>
      <c r="C2247" s="330"/>
      <c r="D2247" s="1" t="b">
        <f t="shared" si="191"/>
        <v>1</v>
      </c>
      <c r="E2247" s="311"/>
      <c r="H2247" s="1" t="b">
        <f t="shared" si="192"/>
        <v>0</v>
      </c>
      <c r="I2247" s="1" t="s">
        <v>1931</v>
      </c>
      <c r="K2247" s="1" t="b">
        <v>1</v>
      </c>
    </row>
    <row r="2248" spans="1:11">
      <c r="A2248" s="1" t="s">
        <v>1913</v>
      </c>
      <c r="B2248" s="336" t="str">
        <f>报表附注!E2661</f>
        <v>成本法核算的长期股权投资收益</v>
      </c>
      <c r="C2248" s="322"/>
      <c r="D2248" s="1" t="b">
        <f t="shared" si="191"/>
        <v>1</v>
      </c>
      <c r="E2248" s="315"/>
      <c r="H2248" s="1" t="b">
        <f t="shared" si="192"/>
        <v>0</v>
      </c>
      <c r="I2248" s="1" t="s">
        <v>1932</v>
      </c>
      <c r="K2248" s="1" t="b">
        <v>1</v>
      </c>
    </row>
    <row r="2249" spans="1:11">
      <c r="A2249" s="1" t="s">
        <v>1914</v>
      </c>
      <c r="B2249" s="336" t="str">
        <f>报表附注!E2662</f>
        <v>权益法核算的长期股权投资收益</v>
      </c>
      <c r="C2249" s="322"/>
      <c r="D2249" s="1" t="b">
        <f t="shared" si="191"/>
        <v>1</v>
      </c>
      <c r="E2249" s="315"/>
      <c r="H2249" s="1" t="b">
        <f t="shared" si="192"/>
        <v>0</v>
      </c>
      <c r="I2249" s="1" t="s">
        <v>1933</v>
      </c>
      <c r="K2249" s="1" t="b">
        <v>1</v>
      </c>
    </row>
    <row r="2250" spans="1:11">
      <c r="A2250" s="1" t="s">
        <v>1915</v>
      </c>
      <c r="B2250" s="336" t="str">
        <f>报表附注!E2663</f>
        <v>处置长期股权投资产生的投资收益</v>
      </c>
      <c r="C2250" s="322"/>
      <c r="D2250" s="1" t="b">
        <f t="shared" si="191"/>
        <v>1</v>
      </c>
      <c r="E2250" s="315"/>
      <c r="H2250" s="1" t="b">
        <f t="shared" si="192"/>
        <v>0</v>
      </c>
      <c r="I2250" s="1" t="s">
        <v>1934</v>
      </c>
      <c r="K2250" s="1" t="b">
        <v>1</v>
      </c>
    </row>
    <row r="2251" spans="1:11">
      <c r="A2251" s="1" t="s">
        <v>1916</v>
      </c>
      <c r="B2251" s="336" t="str">
        <f>报表附注!E2664</f>
        <v>持有交易性金融资产期间取得的投资收益</v>
      </c>
      <c r="C2251" s="322"/>
      <c r="D2251" s="1" t="b">
        <f t="shared" si="191"/>
        <v>1</v>
      </c>
      <c r="E2251" s="315"/>
      <c r="H2251" s="1" t="b">
        <f t="shared" si="192"/>
        <v>0</v>
      </c>
      <c r="I2251" s="1" t="s">
        <v>1935</v>
      </c>
      <c r="K2251" s="1" t="b">
        <v>1</v>
      </c>
    </row>
    <row r="2252" spans="1:11">
      <c r="A2252" s="1" t="s">
        <v>1917</v>
      </c>
      <c r="B2252" s="336" t="str">
        <f>报表附注!E2665</f>
        <v>持有至到期投资期间取得的投资收益</v>
      </c>
      <c r="C2252" s="322"/>
      <c r="D2252" s="1" t="b">
        <f t="shared" si="191"/>
        <v>1</v>
      </c>
      <c r="E2252" s="315"/>
      <c r="H2252" s="1" t="b">
        <f t="shared" si="192"/>
        <v>0</v>
      </c>
      <c r="I2252" s="1" t="s">
        <v>1936</v>
      </c>
      <c r="K2252" s="1" t="b">
        <v>1</v>
      </c>
    </row>
    <row r="2253" ht="22.5" spans="1:11">
      <c r="A2253" s="1" t="s">
        <v>1918</v>
      </c>
      <c r="B2253" s="336" t="str">
        <f>报表附注!E2666</f>
        <v>持有可供出售金融资产等期间取得的投资收益</v>
      </c>
      <c r="C2253" s="322"/>
      <c r="D2253" s="1" t="b">
        <f t="shared" si="191"/>
        <v>1</v>
      </c>
      <c r="E2253" s="315"/>
      <c r="H2253" s="1" t="b">
        <f t="shared" si="192"/>
        <v>0</v>
      </c>
      <c r="I2253" s="1" t="s">
        <v>1937</v>
      </c>
      <c r="K2253" s="1" t="b">
        <v>1</v>
      </c>
    </row>
    <row r="2254" spans="1:11">
      <c r="A2254" s="1" t="s">
        <v>1919</v>
      </c>
      <c r="B2254" s="336" t="str">
        <f>报表附注!E2667</f>
        <v>处置交易性金融资产取得的投资收益</v>
      </c>
      <c r="C2254" s="322"/>
      <c r="D2254" s="1" t="b">
        <f t="shared" si="191"/>
        <v>1</v>
      </c>
      <c r="E2254" s="315"/>
      <c r="H2254" s="1" t="b">
        <f t="shared" si="192"/>
        <v>0</v>
      </c>
      <c r="I2254" s="1" t="s">
        <v>1938</v>
      </c>
      <c r="K2254" s="1" t="b">
        <v>1</v>
      </c>
    </row>
    <row r="2255" spans="1:11">
      <c r="A2255" s="1" t="s">
        <v>1920</v>
      </c>
      <c r="B2255" s="336" t="str">
        <f>报表附注!E2668</f>
        <v>持有至到期投资取得的投资收益</v>
      </c>
      <c r="C2255" s="322"/>
      <c r="D2255" s="1" t="b">
        <f t="shared" si="191"/>
        <v>1</v>
      </c>
      <c r="E2255" s="315"/>
      <c r="H2255" s="1" t="b">
        <f t="shared" si="192"/>
        <v>0</v>
      </c>
      <c r="I2255" s="1" t="s">
        <v>1939</v>
      </c>
      <c r="K2255" s="1" t="b">
        <v>1</v>
      </c>
    </row>
    <row r="2256" spans="1:11">
      <c r="A2256" s="1" t="s">
        <v>1921</v>
      </c>
      <c r="B2256" s="336" t="str">
        <f>报表附注!E2669</f>
        <v>处置可供出售金融资产等取得的投资收益</v>
      </c>
      <c r="C2256" s="322"/>
      <c r="D2256" s="1" t="b">
        <f t="shared" si="191"/>
        <v>0</v>
      </c>
      <c r="E2256" s="315"/>
      <c r="H2256" s="1" t="b">
        <f t="shared" si="192"/>
        <v>0</v>
      </c>
      <c r="I2256" s="1" t="s">
        <v>346</v>
      </c>
      <c r="K2256" s="1" t="b">
        <v>1</v>
      </c>
    </row>
    <row r="2257" spans="1:11">
      <c r="A2257" s="1" t="s">
        <v>279</v>
      </c>
      <c r="B2257" s="336" t="str">
        <f>报表附注!E2670</f>
        <v>其他</v>
      </c>
      <c r="C2257" s="322"/>
      <c r="D2257" s="1" t="b">
        <f t="shared" si="191"/>
        <v>1</v>
      </c>
      <c r="E2257" s="315"/>
      <c r="H2257" s="1" t="b">
        <f t="shared" si="192"/>
        <v>0</v>
      </c>
      <c r="K2257" s="1" t="b">
        <v>1</v>
      </c>
    </row>
    <row r="2258" spans="1:11">
      <c r="A2258" s="1" t="s">
        <v>1922</v>
      </c>
      <c r="B2258" s="336" t="str">
        <f>报表附注!E2671</f>
        <v>增加项目1--</v>
      </c>
      <c r="C2258" s="322"/>
      <c r="D2258" s="1" t="b">
        <f t="shared" si="191"/>
        <v>1</v>
      </c>
      <c r="E2258" s="315"/>
      <c r="H2258" s="1" t="b">
        <f t="shared" si="192"/>
        <v>0</v>
      </c>
      <c r="I2258" s="1" t="s">
        <v>1940</v>
      </c>
      <c r="K2258" s="1" t="b">
        <v>1</v>
      </c>
    </row>
    <row r="2259" spans="1:11">
      <c r="A2259" s="1" t="s">
        <v>1923</v>
      </c>
      <c r="B2259" s="336" t="str">
        <f>报表附注!E2672</f>
        <v>增加项目2--</v>
      </c>
      <c r="C2259" s="322"/>
      <c r="D2259" s="1" t="b">
        <f t="shared" si="191"/>
        <v>1</v>
      </c>
      <c r="E2259" s="315"/>
      <c r="H2259" s="1" t="b">
        <f t="shared" si="192"/>
        <v>0</v>
      </c>
      <c r="I2259" s="1" t="s">
        <v>1906</v>
      </c>
      <c r="K2259" s="1" t="b">
        <v>1</v>
      </c>
    </row>
    <row r="2260" spans="1:11">
      <c r="A2260" s="1" t="s">
        <v>1924</v>
      </c>
      <c r="B2260" s="340" t="str">
        <f>报表附注!E2673</f>
        <v>合       计</v>
      </c>
      <c r="C2260" s="322"/>
      <c r="D2260" s="1" t="b">
        <f t="shared" si="191"/>
        <v>1</v>
      </c>
      <c r="E2260" s="315"/>
      <c r="H2260" s="1" t="b">
        <f t="shared" si="192"/>
        <v>0</v>
      </c>
      <c r="I2260" s="1" t="s">
        <v>1283</v>
      </c>
      <c r="K2260" s="1" t="b">
        <v>1</v>
      </c>
    </row>
    <row r="2261" spans="1:11">
      <c r="A2261" s="1" t="s">
        <v>1910</v>
      </c>
      <c r="B2261" s="335" t="s">
        <v>1910</v>
      </c>
      <c r="C2261" s="330"/>
      <c r="D2261" s="1" t="b">
        <f t="shared" si="191"/>
        <v>1</v>
      </c>
      <c r="H2261" s="1" t="b">
        <f t="shared" si="192"/>
        <v>0</v>
      </c>
      <c r="I2261" s="1" t="s">
        <v>1941</v>
      </c>
      <c r="K2261" s="1" t="b">
        <v>1</v>
      </c>
    </row>
    <row r="2262" spans="1:11">
      <c r="A2262" s="1" t="s">
        <v>1913</v>
      </c>
      <c r="B2262" s="336" t="str">
        <f>报表附注!E2661</f>
        <v>成本法核算的长期股权投资收益</v>
      </c>
      <c r="C2262" s="325"/>
      <c r="D2262" s="1" t="b">
        <f t="shared" si="191"/>
        <v>1</v>
      </c>
      <c r="E2262" s="325">
        <f>C2248</f>
        <v>0</v>
      </c>
      <c r="H2262" s="1" t="b">
        <f t="shared" si="192"/>
        <v>0</v>
      </c>
      <c r="I2262" s="1" t="s">
        <v>1942</v>
      </c>
      <c r="K2262" s="1" t="b">
        <v>1</v>
      </c>
    </row>
    <row r="2263" spans="1:11">
      <c r="A2263" s="1" t="s">
        <v>1914</v>
      </c>
      <c r="B2263" s="336" t="str">
        <f>报表附注!E2662</f>
        <v>权益法核算的长期股权投资收益</v>
      </c>
      <c r="C2263" s="325"/>
      <c r="D2263" s="1" t="b">
        <f t="shared" si="191"/>
        <v>1</v>
      </c>
      <c r="E2263" s="325">
        <f t="shared" ref="E2263:E2274" si="193">C2249</f>
        <v>0</v>
      </c>
      <c r="H2263" s="1" t="b">
        <f t="shared" si="192"/>
        <v>0</v>
      </c>
      <c r="I2263" s="1" t="s">
        <v>1943</v>
      </c>
      <c r="K2263" s="1" t="b">
        <v>1</v>
      </c>
    </row>
    <row r="2264" spans="1:11">
      <c r="A2264" s="1" t="s">
        <v>1915</v>
      </c>
      <c r="B2264" s="336" t="str">
        <f>报表附注!E2663</f>
        <v>处置长期股权投资产生的投资收益</v>
      </c>
      <c r="C2264" s="325"/>
      <c r="D2264" s="1" t="b">
        <f t="shared" si="191"/>
        <v>1</v>
      </c>
      <c r="E2264" s="325">
        <f t="shared" si="193"/>
        <v>0</v>
      </c>
      <c r="H2264" s="1" t="b">
        <f t="shared" si="192"/>
        <v>0</v>
      </c>
      <c r="I2264" s="1" t="s">
        <v>1944</v>
      </c>
      <c r="K2264" s="1" t="b">
        <v>1</v>
      </c>
    </row>
    <row r="2265" spans="1:11">
      <c r="A2265" s="1" t="s">
        <v>1916</v>
      </c>
      <c r="B2265" s="336" t="str">
        <f>报表附注!E2664</f>
        <v>持有交易性金融资产期间取得的投资收益</v>
      </c>
      <c r="C2265" s="325"/>
      <c r="D2265" s="1" t="b">
        <f t="shared" si="191"/>
        <v>1</v>
      </c>
      <c r="E2265" s="325">
        <f t="shared" si="193"/>
        <v>0</v>
      </c>
      <c r="H2265" s="1" t="b">
        <f t="shared" si="192"/>
        <v>0</v>
      </c>
      <c r="I2265" s="1" t="s">
        <v>1945</v>
      </c>
      <c r="K2265" s="1" t="b">
        <v>1</v>
      </c>
    </row>
    <row r="2266" spans="1:11">
      <c r="A2266" s="1" t="s">
        <v>1917</v>
      </c>
      <c r="B2266" s="336" t="str">
        <f>报表附注!E2665</f>
        <v>持有至到期投资期间取得的投资收益</v>
      </c>
      <c r="C2266" s="325"/>
      <c r="D2266" s="1" t="b">
        <f t="shared" si="191"/>
        <v>1</v>
      </c>
      <c r="E2266" s="325">
        <f t="shared" si="193"/>
        <v>0</v>
      </c>
      <c r="H2266" s="1" t="b">
        <f t="shared" si="192"/>
        <v>0</v>
      </c>
      <c r="I2266" s="1" t="s">
        <v>1946</v>
      </c>
      <c r="K2266" s="1" t="b">
        <v>1</v>
      </c>
    </row>
    <row r="2267" ht="22.5" spans="1:11">
      <c r="A2267" s="1" t="s">
        <v>1918</v>
      </c>
      <c r="B2267" s="336" t="str">
        <f>报表附注!E2666</f>
        <v>持有可供出售金融资产等期间取得的投资收益</v>
      </c>
      <c r="C2267" s="325"/>
      <c r="D2267" s="1" t="b">
        <f t="shared" si="191"/>
        <v>1</v>
      </c>
      <c r="E2267" s="325">
        <f t="shared" si="193"/>
        <v>0</v>
      </c>
      <c r="H2267" s="1" t="b">
        <f t="shared" si="192"/>
        <v>0</v>
      </c>
      <c r="I2267" s="1" t="s">
        <v>1947</v>
      </c>
      <c r="K2267" s="1" t="b">
        <v>1</v>
      </c>
    </row>
    <row r="2268" spans="1:11">
      <c r="A2268" s="1" t="s">
        <v>1919</v>
      </c>
      <c r="B2268" s="336" t="str">
        <f>报表附注!E2667</f>
        <v>处置交易性金融资产取得的投资收益</v>
      </c>
      <c r="C2268" s="325"/>
      <c r="D2268" s="1" t="b">
        <f t="shared" si="191"/>
        <v>1</v>
      </c>
      <c r="E2268" s="325">
        <f t="shared" si="193"/>
        <v>0</v>
      </c>
      <c r="H2268" s="1" t="b">
        <f t="shared" si="192"/>
        <v>0</v>
      </c>
      <c r="I2268" s="1" t="s">
        <v>1948</v>
      </c>
      <c r="K2268" s="1" t="b">
        <v>1</v>
      </c>
    </row>
    <row r="2269" spans="1:11">
      <c r="A2269" s="1" t="s">
        <v>1920</v>
      </c>
      <c r="B2269" s="336" t="str">
        <f>报表附注!E2668</f>
        <v>持有至到期投资取得的投资收益</v>
      </c>
      <c r="C2269" s="325"/>
      <c r="D2269" s="1" t="b">
        <f t="shared" si="191"/>
        <v>1</v>
      </c>
      <c r="E2269" s="325">
        <f t="shared" si="193"/>
        <v>0</v>
      </c>
      <c r="H2269" s="1" t="b">
        <f t="shared" si="192"/>
        <v>0</v>
      </c>
      <c r="I2269" s="1" t="s">
        <v>4600</v>
      </c>
      <c r="K2269" s="1" t="b">
        <v>1</v>
      </c>
    </row>
    <row r="2270" spans="1:11">
      <c r="A2270" s="1" t="s">
        <v>1921</v>
      </c>
      <c r="B2270" s="336" t="str">
        <f>报表附注!E2669</f>
        <v>处置可供出售金融资产等取得的投资收益</v>
      </c>
      <c r="C2270" s="325"/>
      <c r="D2270" s="1" t="b">
        <f t="shared" si="191"/>
        <v>0</v>
      </c>
      <c r="E2270" s="325">
        <f t="shared" si="193"/>
        <v>0</v>
      </c>
      <c r="H2270" s="1" t="b">
        <f t="shared" si="192"/>
        <v>0</v>
      </c>
      <c r="I2270" s="1" t="s">
        <v>4601</v>
      </c>
      <c r="K2270" s="1" t="b">
        <v>1</v>
      </c>
    </row>
    <row r="2271" spans="1:11">
      <c r="A2271" s="1" t="s">
        <v>279</v>
      </c>
      <c r="B2271" s="336" t="str">
        <f>报表附注!E2670</f>
        <v>其他</v>
      </c>
      <c r="C2271" s="325"/>
      <c r="D2271" s="1" t="b">
        <f t="shared" si="191"/>
        <v>1</v>
      </c>
      <c r="E2271" s="325">
        <f t="shared" si="193"/>
        <v>0</v>
      </c>
      <c r="H2271" s="1" t="b">
        <f t="shared" si="192"/>
        <v>1</v>
      </c>
      <c r="I2271" s="1" t="s">
        <v>279</v>
      </c>
      <c r="K2271" s="1" t="b">
        <v>1</v>
      </c>
    </row>
    <row r="2272" spans="1:11">
      <c r="A2272" s="1" t="s">
        <v>1922</v>
      </c>
      <c r="B2272" s="336" t="str">
        <f>报表附注!E2671</f>
        <v>增加项目1--</v>
      </c>
      <c r="C2272" s="325"/>
      <c r="D2272" s="1" t="b">
        <f t="shared" si="191"/>
        <v>1</v>
      </c>
      <c r="E2272" s="325">
        <f t="shared" si="193"/>
        <v>0</v>
      </c>
      <c r="H2272" s="1" t="b">
        <f t="shared" si="192"/>
        <v>0</v>
      </c>
      <c r="I2272" s="1" t="s">
        <v>1580</v>
      </c>
      <c r="K2272" s="1" t="b">
        <v>1</v>
      </c>
    </row>
    <row r="2273" spans="1:11">
      <c r="A2273" s="1" t="s">
        <v>1923</v>
      </c>
      <c r="B2273" s="336" t="str">
        <f>报表附注!E2672</f>
        <v>增加项目2--</v>
      </c>
      <c r="C2273" s="325"/>
      <c r="D2273" s="1" t="b">
        <f t="shared" si="191"/>
        <v>1</v>
      </c>
      <c r="E2273" s="325">
        <f t="shared" si="193"/>
        <v>0</v>
      </c>
      <c r="H2273" s="1" t="b">
        <f t="shared" si="192"/>
        <v>0</v>
      </c>
      <c r="I2273" s="1" t="s">
        <v>1910</v>
      </c>
      <c r="K2273" s="1" t="b">
        <v>1</v>
      </c>
    </row>
    <row r="2274" spans="1:11">
      <c r="A2274" s="1" t="s">
        <v>1924</v>
      </c>
      <c r="B2274" s="324" t="str">
        <f>报表附注!E2673</f>
        <v>合       计</v>
      </c>
      <c r="C2274" s="325"/>
      <c r="D2274" s="1" t="b">
        <f t="shared" si="191"/>
        <v>1</v>
      </c>
      <c r="E2274" s="325">
        <f t="shared" si="193"/>
        <v>0</v>
      </c>
      <c r="H2274" s="1" t="b">
        <f t="shared" si="192"/>
        <v>0</v>
      </c>
      <c r="I2274" s="1" t="s">
        <v>1283</v>
      </c>
      <c r="K2274" s="1" t="b">
        <v>1</v>
      </c>
    </row>
    <row r="2275" spans="3:11">
      <c r="C2275" s="330"/>
      <c r="D2275" s="1" t="b">
        <f t="shared" si="191"/>
        <v>1</v>
      </c>
      <c r="H2275" s="1" t="b">
        <f t="shared" si="192"/>
        <v>0</v>
      </c>
      <c r="I2275" s="1" t="s">
        <v>1941</v>
      </c>
      <c r="K2275" s="1" t="b">
        <v>1</v>
      </c>
    </row>
    <row r="2276" spans="1:11">
      <c r="A2276" s="1" t="s">
        <v>1925</v>
      </c>
      <c r="B2276" s="331" t="s">
        <v>1925</v>
      </c>
      <c r="C2276" s="330"/>
      <c r="D2276" s="1" t="b">
        <f t="shared" si="191"/>
        <v>1</v>
      </c>
      <c r="H2276" s="1" t="b">
        <f t="shared" si="192"/>
        <v>0</v>
      </c>
      <c r="I2276" s="1" t="s">
        <v>1942</v>
      </c>
      <c r="K2276" s="1" t="b">
        <v>1</v>
      </c>
    </row>
    <row r="2277" spans="1:11">
      <c r="A2277" s="1" t="s">
        <v>1906</v>
      </c>
      <c r="B2277" s="335" t="s">
        <v>1906</v>
      </c>
      <c r="C2277" s="330"/>
      <c r="D2277" s="1" t="b">
        <f t="shared" si="191"/>
        <v>1</v>
      </c>
      <c r="E2277" s="311"/>
      <c r="H2277" s="1" t="b">
        <f t="shared" si="192"/>
        <v>0</v>
      </c>
      <c r="I2277" s="1" t="s">
        <v>1943</v>
      </c>
      <c r="K2277" s="1" t="b">
        <v>1</v>
      </c>
    </row>
    <row r="2278" spans="1:11">
      <c r="A2278" s="1" t="s">
        <v>1926</v>
      </c>
      <c r="B2278" s="313" t="str">
        <f>报表附注!E2712</f>
        <v>1．坏账损失</v>
      </c>
      <c r="C2278" s="322"/>
      <c r="D2278" s="1" t="b">
        <f t="shared" si="191"/>
        <v>1</v>
      </c>
      <c r="E2278" s="315"/>
      <c r="H2278" s="1" t="b">
        <f t="shared" si="192"/>
        <v>0</v>
      </c>
      <c r="I2278" s="1" t="s">
        <v>1944</v>
      </c>
      <c r="K2278" s="1" t="b">
        <v>1</v>
      </c>
    </row>
    <row r="2279" spans="1:11">
      <c r="A2279" s="1" t="s">
        <v>1927</v>
      </c>
      <c r="B2279" s="313" t="str">
        <f>报表附注!E2713</f>
        <v>2．存货跌价损失</v>
      </c>
      <c r="C2279" s="322"/>
      <c r="D2279" s="1" t="b">
        <f t="shared" si="191"/>
        <v>1</v>
      </c>
      <c r="E2279" s="315"/>
      <c r="H2279" s="1" t="b">
        <f t="shared" si="192"/>
        <v>0</v>
      </c>
      <c r="I2279" s="1" t="s">
        <v>1945</v>
      </c>
      <c r="K2279" s="1" t="b">
        <v>1</v>
      </c>
    </row>
    <row r="2280" spans="1:11">
      <c r="A2280" s="1" t="s">
        <v>1928</v>
      </c>
      <c r="B2280" s="313" t="str">
        <f>报表附注!E2714</f>
        <v>3．可供出售金融资产减值损失</v>
      </c>
      <c r="C2280" s="322"/>
      <c r="D2280" s="1" t="b">
        <f t="shared" si="191"/>
        <v>1</v>
      </c>
      <c r="E2280" s="315"/>
      <c r="H2280" s="1" t="b">
        <f t="shared" si="192"/>
        <v>0</v>
      </c>
      <c r="I2280" s="1" t="s">
        <v>1946</v>
      </c>
      <c r="K2280" s="1" t="b">
        <v>1</v>
      </c>
    </row>
    <row r="2281" spans="1:11">
      <c r="A2281" s="1" t="s">
        <v>1929</v>
      </c>
      <c r="B2281" s="313" t="str">
        <f>报表附注!E2715</f>
        <v>4．持有至到期投资减值损失</v>
      </c>
      <c r="C2281" s="322"/>
      <c r="D2281" s="1" t="b">
        <f t="shared" si="191"/>
        <v>1</v>
      </c>
      <c r="E2281" s="315"/>
      <c r="H2281" s="1" t="b">
        <f t="shared" si="192"/>
        <v>0</v>
      </c>
      <c r="I2281" s="1" t="s">
        <v>1947</v>
      </c>
      <c r="K2281" s="1" t="b">
        <v>1</v>
      </c>
    </row>
    <row r="2282" spans="1:11">
      <c r="A2282" s="1" t="s">
        <v>1930</v>
      </c>
      <c r="B2282" s="313" t="str">
        <f>报表附注!E2716</f>
        <v>5．长期股权投资减值损失</v>
      </c>
      <c r="C2282" s="322"/>
      <c r="D2282" s="1" t="b">
        <f t="shared" si="191"/>
        <v>1</v>
      </c>
      <c r="E2282" s="315"/>
      <c r="H2282" s="1" t="b">
        <f t="shared" si="192"/>
        <v>0</v>
      </c>
      <c r="I2282" s="1" t="s">
        <v>1948</v>
      </c>
      <c r="K2282" s="1" t="b">
        <v>1</v>
      </c>
    </row>
    <row r="2283" spans="1:11">
      <c r="A2283" s="1" t="s">
        <v>1931</v>
      </c>
      <c r="B2283" s="313" t="str">
        <f>报表附注!E2717</f>
        <v>6．投资性房地产减值损失</v>
      </c>
      <c r="C2283" s="322"/>
      <c r="D2283" s="1" t="b">
        <f t="shared" si="191"/>
        <v>1</v>
      </c>
      <c r="E2283" s="315"/>
      <c r="H2283" s="1" t="b">
        <f t="shared" si="192"/>
        <v>0</v>
      </c>
      <c r="I2283" s="1" t="s">
        <v>4600</v>
      </c>
      <c r="K2283" s="1" t="b">
        <v>1</v>
      </c>
    </row>
    <row r="2284" spans="1:11">
      <c r="A2284" s="1" t="s">
        <v>1932</v>
      </c>
      <c r="B2284" s="313" t="str">
        <f>报表附注!E2718</f>
        <v>7．固定资产减值损失</v>
      </c>
      <c r="C2284" s="322"/>
      <c r="D2284" s="1" t="b">
        <f t="shared" si="191"/>
        <v>1</v>
      </c>
      <c r="E2284" s="315"/>
      <c r="H2284" s="1" t="b">
        <f t="shared" si="192"/>
        <v>0</v>
      </c>
      <c r="I2284" s="1" t="s">
        <v>4601</v>
      </c>
      <c r="K2284" s="1" t="b">
        <v>1</v>
      </c>
    </row>
    <row r="2285" spans="1:11">
      <c r="A2285" s="1" t="s">
        <v>1933</v>
      </c>
      <c r="B2285" s="313" t="str">
        <f>报表附注!E2719</f>
        <v>8．工程物资减值损失</v>
      </c>
      <c r="C2285" s="322"/>
      <c r="D2285" s="1" t="b">
        <f t="shared" si="191"/>
        <v>1</v>
      </c>
      <c r="E2285" s="315"/>
      <c r="H2285" s="1" t="b">
        <f t="shared" si="192"/>
        <v>0</v>
      </c>
      <c r="I2285" s="1" t="s">
        <v>279</v>
      </c>
      <c r="K2285" s="1" t="b">
        <v>1</v>
      </c>
    </row>
    <row r="2286" spans="1:11">
      <c r="A2286" s="1" t="s">
        <v>1934</v>
      </c>
      <c r="B2286" s="313" t="str">
        <f>报表附注!E2720</f>
        <v>9．在建工程减值损失</v>
      </c>
      <c r="C2286" s="322"/>
      <c r="D2286" s="1" t="b">
        <f t="shared" si="191"/>
        <v>1</v>
      </c>
      <c r="E2286" s="315"/>
      <c r="H2286" s="1" t="b">
        <f t="shared" si="192"/>
        <v>0</v>
      </c>
      <c r="I2286" s="1" t="s">
        <v>1580</v>
      </c>
      <c r="K2286" s="1" t="b">
        <v>1</v>
      </c>
    </row>
    <row r="2287" spans="1:11">
      <c r="A2287" s="1" t="s">
        <v>1935</v>
      </c>
      <c r="B2287" s="313" t="str">
        <f>报表附注!E2721</f>
        <v>10．生产性生物资产减值损失</v>
      </c>
      <c r="C2287" s="322"/>
      <c r="D2287" s="1" t="b">
        <f t="shared" si="191"/>
        <v>1</v>
      </c>
      <c r="E2287" s="315"/>
      <c r="H2287" s="1" t="b">
        <f t="shared" si="192"/>
        <v>0</v>
      </c>
      <c r="K2287" s="1" t="b">
        <v>1</v>
      </c>
    </row>
    <row r="2288" spans="1:11">
      <c r="A2288" s="1" t="s">
        <v>1936</v>
      </c>
      <c r="B2288" s="313" t="str">
        <f>报表附注!E2722</f>
        <v>11．油气资产减值损失</v>
      </c>
      <c r="C2288" s="322"/>
      <c r="D2288" s="1" t="b">
        <f t="shared" si="191"/>
        <v>1</v>
      </c>
      <c r="E2288" s="315"/>
      <c r="H2288" s="1" t="b">
        <f t="shared" si="192"/>
        <v>0</v>
      </c>
      <c r="I2288" s="1" t="s">
        <v>1951</v>
      </c>
      <c r="K2288" s="1" t="b">
        <v>1</v>
      </c>
    </row>
    <row r="2289" spans="1:11">
      <c r="A2289" s="1" t="s">
        <v>1937</v>
      </c>
      <c r="B2289" s="313" t="str">
        <f>报表附注!E2723</f>
        <v>12．无形资产减值损失</v>
      </c>
      <c r="C2289" s="322"/>
      <c r="D2289" s="1" t="b">
        <f t="shared" si="191"/>
        <v>1</v>
      </c>
      <c r="E2289" s="315"/>
      <c r="H2289" s="1" t="b">
        <f t="shared" si="192"/>
        <v>0</v>
      </c>
      <c r="I2289" s="1" t="s">
        <v>1906</v>
      </c>
      <c r="K2289" s="1" t="b">
        <v>1</v>
      </c>
    </row>
    <row r="2290" spans="1:11">
      <c r="A2290" s="1" t="s">
        <v>1938</v>
      </c>
      <c r="B2290" s="313" t="str">
        <f>报表附注!E2724</f>
        <v>13．商誉减值损失</v>
      </c>
      <c r="C2290" s="322"/>
      <c r="D2290" s="1" t="b">
        <f t="shared" si="191"/>
        <v>1</v>
      </c>
      <c r="E2290" s="315"/>
      <c r="H2290" s="1" t="b">
        <f t="shared" si="192"/>
        <v>0</v>
      </c>
      <c r="I2290" s="1" t="s">
        <v>1952</v>
      </c>
      <c r="K2290" s="1" t="b">
        <v>1</v>
      </c>
    </row>
    <row r="2291" spans="1:11">
      <c r="A2291" s="1" t="s">
        <v>1939</v>
      </c>
      <c r="B2291" s="313" t="str">
        <f>报表附注!E2725</f>
        <v>14．其他</v>
      </c>
      <c r="C2291" s="322"/>
      <c r="D2291" s="1" t="b">
        <f t="shared" si="191"/>
        <v>1</v>
      </c>
      <c r="E2291" s="315"/>
      <c r="H2291" s="1" t="b">
        <f t="shared" si="192"/>
        <v>0</v>
      </c>
      <c r="I2291" s="1" t="s">
        <v>1953</v>
      </c>
      <c r="K2291" s="1" t="b">
        <v>1</v>
      </c>
    </row>
    <row r="2292" spans="1:11">
      <c r="A2292" s="1" t="s">
        <v>346</v>
      </c>
      <c r="B2292" s="324" t="str">
        <f>报表附注!E2726</f>
        <v>合 计</v>
      </c>
      <c r="C2292" s="322"/>
      <c r="D2292" s="1" t="b">
        <f t="shared" si="191"/>
        <v>1</v>
      </c>
      <c r="E2292" s="315"/>
      <c r="H2292" s="1" t="b">
        <f t="shared" si="192"/>
        <v>0</v>
      </c>
      <c r="I2292" s="1" t="s">
        <v>1954</v>
      </c>
      <c r="K2292" s="1" t="b">
        <v>1</v>
      </c>
    </row>
    <row r="2293" spans="1:11">
      <c r="A2293" s="1" t="s">
        <v>1910</v>
      </c>
      <c r="B2293" s="335" t="s">
        <v>1910</v>
      </c>
      <c r="C2293" s="330"/>
      <c r="D2293" s="1" t="b">
        <f t="shared" si="191"/>
        <v>1</v>
      </c>
      <c r="E2293" s="311"/>
      <c r="H2293" s="1" t="b">
        <f t="shared" si="192"/>
        <v>0</v>
      </c>
      <c r="I2293" s="1" t="s">
        <v>1955</v>
      </c>
      <c r="K2293" s="1" t="b">
        <v>1</v>
      </c>
    </row>
    <row r="2294" spans="1:11">
      <c r="A2294" s="1" t="s">
        <v>1926</v>
      </c>
      <c r="B2294" s="313" t="str">
        <f>报表附注!E2712</f>
        <v>1．坏账损失</v>
      </c>
      <c r="C2294" s="325"/>
      <c r="D2294" s="1" t="b">
        <f t="shared" si="191"/>
        <v>1</v>
      </c>
      <c r="E2294" s="325">
        <f>C2278</f>
        <v>0</v>
      </c>
      <c r="H2294" s="1" t="b">
        <f t="shared" si="192"/>
        <v>0</v>
      </c>
      <c r="I2294" s="1" t="s">
        <v>1956</v>
      </c>
      <c r="K2294" s="1" t="b">
        <v>1</v>
      </c>
    </row>
    <row r="2295" spans="1:11">
      <c r="A2295" s="1" t="s">
        <v>1927</v>
      </c>
      <c r="B2295" s="313" t="str">
        <f>报表附注!E2713</f>
        <v>2．存货跌价损失</v>
      </c>
      <c r="C2295" s="325"/>
      <c r="D2295" s="1" t="b">
        <f t="shared" si="191"/>
        <v>1</v>
      </c>
      <c r="E2295" s="325">
        <f t="shared" ref="E2295:E2308" si="194">C2279</f>
        <v>0</v>
      </c>
      <c r="H2295" s="1" t="b">
        <f t="shared" si="192"/>
        <v>0</v>
      </c>
      <c r="I2295" s="1" t="s">
        <v>1957</v>
      </c>
      <c r="K2295" s="1" t="b">
        <v>1</v>
      </c>
    </row>
    <row r="2296" spans="1:11">
      <c r="A2296" s="1" t="s">
        <v>1928</v>
      </c>
      <c r="B2296" s="313" t="str">
        <f>报表附注!E2714</f>
        <v>3．可供出售金融资产减值损失</v>
      </c>
      <c r="C2296" s="325"/>
      <c r="D2296" s="1" t="b">
        <f t="shared" si="191"/>
        <v>1</v>
      </c>
      <c r="E2296" s="325">
        <f t="shared" si="194"/>
        <v>0</v>
      </c>
      <c r="H2296" s="1" t="b">
        <f t="shared" si="192"/>
        <v>0</v>
      </c>
      <c r="I2296" s="1" t="s">
        <v>1958</v>
      </c>
      <c r="K2296" s="1" t="b">
        <v>1</v>
      </c>
    </row>
    <row r="2297" spans="1:11">
      <c r="A2297" s="1" t="s">
        <v>1929</v>
      </c>
      <c r="B2297" s="313" t="str">
        <f>报表附注!E2715</f>
        <v>4．持有至到期投资减值损失</v>
      </c>
      <c r="C2297" s="325"/>
      <c r="D2297" s="1" t="b">
        <f t="shared" si="191"/>
        <v>1</v>
      </c>
      <c r="E2297" s="325">
        <f t="shared" si="194"/>
        <v>0</v>
      </c>
      <c r="H2297" s="1" t="b">
        <f t="shared" si="192"/>
        <v>0</v>
      </c>
      <c r="I2297" s="1" t="s">
        <v>1959</v>
      </c>
      <c r="K2297" s="1" t="b">
        <v>1</v>
      </c>
    </row>
    <row r="2298" spans="1:11">
      <c r="A2298" s="1" t="s">
        <v>1930</v>
      </c>
      <c r="B2298" s="313" t="str">
        <f>报表附注!E2716</f>
        <v>5．长期股权投资减值损失</v>
      </c>
      <c r="C2298" s="325"/>
      <c r="D2298" s="1" t="b">
        <f t="shared" si="191"/>
        <v>1</v>
      </c>
      <c r="E2298" s="325">
        <f t="shared" si="194"/>
        <v>0</v>
      </c>
      <c r="H2298" s="1" t="b">
        <f t="shared" si="192"/>
        <v>0</v>
      </c>
      <c r="I2298" s="1" t="s">
        <v>1960</v>
      </c>
      <c r="K2298" s="1" t="b">
        <v>1</v>
      </c>
    </row>
    <row r="2299" spans="1:11">
      <c r="A2299" s="1" t="s">
        <v>1931</v>
      </c>
      <c r="B2299" s="313" t="str">
        <f>报表附注!E2717</f>
        <v>6．投资性房地产减值损失</v>
      </c>
      <c r="C2299" s="325"/>
      <c r="D2299" s="1" t="b">
        <f t="shared" si="191"/>
        <v>1</v>
      </c>
      <c r="E2299" s="325">
        <f t="shared" si="194"/>
        <v>0</v>
      </c>
      <c r="H2299" s="1" t="b">
        <f t="shared" si="192"/>
        <v>0</v>
      </c>
      <c r="I2299" s="1" t="s">
        <v>1961</v>
      </c>
      <c r="K2299" s="1" t="b">
        <v>1</v>
      </c>
    </row>
    <row r="2300" spans="1:11">
      <c r="A2300" s="1" t="s">
        <v>1932</v>
      </c>
      <c r="B2300" s="313" t="str">
        <f>报表附注!E2718</f>
        <v>7．固定资产减值损失</v>
      </c>
      <c r="C2300" s="325"/>
      <c r="D2300" s="1" t="b">
        <f t="shared" si="191"/>
        <v>1</v>
      </c>
      <c r="E2300" s="325">
        <f t="shared" si="194"/>
        <v>0</v>
      </c>
      <c r="H2300" s="1" t="b">
        <f t="shared" si="192"/>
        <v>0</v>
      </c>
      <c r="I2300" s="1" t="s">
        <v>1206</v>
      </c>
      <c r="K2300" s="1" t="b">
        <v>1</v>
      </c>
    </row>
    <row r="2301" spans="1:11">
      <c r="A2301" s="1" t="s">
        <v>1933</v>
      </c>
      <c r="B2301" s="313" t="str">
        <f>报表附注!E2719</f>
        <v>8．工程物资减值损失</v>
      </c>
      <c r="C2301" s="325"/>
      <c r="D2301" s="1" t="b">
        <f t="shared" si="191"/>
        <v>1</v>
      </c>
      <c r="E2301" s="325">
        <f t="shared" si="194"/>
        <v>0</v>
      </c>
      <c r="H2301" s="1" t="b">
        <f t="shared" si="192"/>
        <v>0</v>
      </c>
      <c r="I2301" s="1" t="s">
        <v>1910</v>
      </c>
      <c r="K2301" s="1" t="b">
        <v>1</v>
      </c>
    </row>
    <row r="2302" spans="1:11">
      <c r="A2302" s="1" t="s">
        <v>1934</v>
      </c>
      <c r="B2302" s="313" t="str">
        <f>报表附注!E2720</f>
        <v>9．在建工程减值损失</v>
      </c>
      <c r="C2302" s="325"/>
      <c r="D2302" s="1" t="b">
        <f t="shared" ref="D2302:D2365" si="195">EXACT(A2302,B2302)</f>
        <v>1</v>
      </c>
      <c r="E2302" s="325">
        <f t="shared" si="194"/>
        <v>0</v>
      </c>
      <c r="H2302" s="1" t="b">
        <f t="shared" si="192"/>
        <v>0</v>
      </c>
      <c r="I2302" s="1" t="s">
        <v>1952</v>
      </c>
      <c r="K2302" s="1" t="b">
        <v>1</v>
      </c>
    </row>
    <row r="2303" spans="1:11">
      <c r="A2303" s="1" t="s">
        <v>1935</v>
      </c>
      <c r="B2303" s="313" t="str">
        <f>报表附注!E2721</f>
        <v>10．生产性生物资产减值损失</v>
      </c>
      <c r="C2303" s="325"/>
      <c r="D2303" s="1" t="b">
        <f t="shared" si="195"/>
        <v>1</v>
      </c>
      <c r="E2303" s="325">
        <f t="shared" si="194"/>
        <v>0</v>
      </c>
      <c r="H2303" s="1" t="b">
        <f t="shared" si="192"/>
        <v>0</v>
      </c>
      <c r="I2303" s="1" t="s">
        <v>1953</v>
      </c>
      <c r="K2303" s="1" t="b">
        <v>1</v>
      </c>
    </row>
    <row r="2304" spans="1:11">
      <c r="A2304" s="1" t="s">
        <v>1936</v>
      </c>
      <c r="B2304" s="313" t="str">
        <f>报表附注!E2722</f>
        <v>11．油气资产减值损失</v>
      </c>
      <c r="C2304" s="325"/>
      <c r="D2304" s="1" t="b">
        <f t="shared" si="195"/>
        <v>1</v>
      </c>
      <c r="E2304" s="325">
        <f t="shared" si="194"/>
        <v>0</v>
      </c>
      <c r="H2304" s="1" t="b">
        <f t="shared" si="192"/>
        <v>0</v>
      </c>
      <c r="I2304" s="1" t="s">
        <v>1954</v>
      </c>
      <c r="K2304" s="1" t="b">
        <v>1</v>
      </c>
    </row>
    <row r="2305" spans="1:11">
      <c r="A2305" s="1" t="s">
        <v>1937</v>
      </c>
      <c r="B2305" s="313" t="str">
        <f>报表附注!E2723</f>
        <v>12．无形资产减值损失</v>
      </c>
      <c r="C2305" s="325"/>
      <c r="D2305" s="1" t="b">
        <f t="shared" si="195"/>
        <v>1</v>
      </c>
      <c r="E2305" s="325">
        <f t="shared" si="194"/>
        <v>0</v>
      </c>
      <c r="H2305" s="1" t="b">
        <f t="shared" si="192"/>
        <v>0</v>
      </c>
      <c r="I2305" s="1" t="s">
        <v>1955</v>
      </c>
      <c r="K2305" s="1" t="b">
        <v>1</v>
      </c>
    </row>
    <row r="2306" spans="1:11">
      <c r="A2306" s="1" t="s">
        <v>1938</v>
      </c>
      <c r="B2306" s="313" t="str">
        <f>报表附注!E2724</f>
        <v>13．商誉减值损失</v>
      </c>
      <c r="C2306" s="325"/>
      <c r="D2306" s="1" t="b">
        <f t="shared" si="195"/>
        <v>1</v>
      </c>
      <c r="E2306" s="325">
        <f t="shared" si="194"/>
        <v>0</v>
      </c>
      <c r="H2306" s="1" t="b">
        <f t="shared" si="192"/>
        <v>0</v>
      </c>
      <c r="I2306" s="1" t="s">
        <v>1956</v>
      </c>
      <c r="K2306" s="1" t="b">
        <v>1</v>
      </c>
    </row>
    <row r="2307" spans="1:11">
      <c r="A2307" s="1" t="s">
        <v>1939</v>
      </c>
      <c r="B2307" s="313" t="str">
        <f>报表附注!E2725</f>
        <v>14．其他</v>
      </c>
      <c r="C2307" s="325"/>
      <c r="D2307" s="1" t="b">
        <f t="shared" si="195"/>
        <v>1</v>
      </c>
      <c r="E2307" s="325">
        <f t="shared" si="194"/>
        <v>0</v>
      </c>
      <c r="H2307" s="1" t="b">
        <f t="shared" si="192"/>
        <v>0</v>
      </c>
      <c r="I2307" s="1" t="s">
        <v>1957</v>
      </c>
      <c r="K2307" s="1" t="b">
        <v>1</v>
      </c>
    </row>
    <row r="2308" spans="1:11">
      <c r="A2308" s="1" t="s">
        <v>346</v>
      </c>
      <c r="B2308" s="324" t="str">
        <f>报表附注!E2726</f>
        <v>合 计</v>
      </c>
      <c r="C2308" s="325"/>
      <c r="D2308" s="1" t="b">
        <f t="shared" si="195"/>
        <v>1</v>
      </c>
      <c r="E2308" s="325">
        <f t="shared" si="194"/>
        <v>0</v>
      </c>
      <c r="H2308" s="1" t="b">
        <f t="shared" ref="H2308:H2371" si="196">I2308=B2308</f>
        <v>0</v>
      </c>
      <c r="I2308" s="1" t="s">
        <v>1958</v>
      </c>
      <c r="K2308" s="1" t="b">
        <v>1</v>
      </c>
    </row>
    <row r="2309" spans="4:11">
      <c r="D2309" s="1" t="b">
        <f t="shared" si="195"/>
        <v>1</v>
      </c>
      <c r="H2309" s="1" t="b">
        <f t="shared" si="196"/>
        <v>0</v>
      </c>
      <c r="I2309" s="1" t="s">
        <v>1959</v>
      </c>
      <c r="K2309" s="1" t="b">
        <v>1</v>
      </c>
    </row>
    <row r="2310" spans="1:11">
      <c r="A2310" s="1" t="s">
        <v>1940</v>
      </c>
      <c r="B2310" s="331" t="s">
        <v>1940</v>
      </c>
      <c r="D2310" s="1" t="b">
        <f t="shared" si="195"/>
        <v>1</v>
      </c>
      <c r="H2310" s="1" t="b">
        <f t="shared" si="196"/>
        <v>0</v>
      </c>
      <c r="I2310" s="1" t="s">
        <v>1960</v>
      </c>
      <c r="K2310" s="1" t="b">
        <v>1</v>
      </c>
    </row>
    <row r="2311" spans="1:11">
      <c r="A2311" s="1" t="s">
        <v>1906</v>
      </c>
      <c r="B2311" s="335" t="s">
        <v>1906</v>
      </c>
      <c r="D2311" s="1" t="b">
        <f t="shared" si="195"/>
        <v>1</v>
      </c>
      <c r="H2311" s="1" t="b">
        <f t="shared" si="196"/>
        <v>0</v>
      </c>
      <c r="I2311" s="1" t="s">
        <v>1961</v>
      </c>
      <c r="K2311" s="1" t="b">
        <v>1</v>
      </c>
    </row>
    <row r="2312" spans="1:11">
      <c r="A2312" s="1" t="s">
        <v>1283</v>
      </c>
      <c r="B2312" s="347" t="str">
        <f>报表附注!E2734</f>
        <v>利息支出</v>
      </c>
      <c r="C2312" s="322">
        <f>F2312</f>
        <v>0</v>
      </c>
      <c r="D2312" s="1" t="b">
        <f t="shared" si="195"/>
        <v>1</v>
      </c>
      <c r="E2312" s="388" t="s">
        <v>1283</v>
      </c>
      <c r="F2312" s="370"/>
      <c r="H2312" s="1" t="b">
        <f t="shared" si="196"/>
        <v>0</v>
      </c>
      <c r="I2312" s="1" t="s">
        <v>1206</v>
      </c>
      <c r="K2312" s="1" t="b">
        <v>1</v>
      </c>
    </row>
    <row r="2313" spans="1:11">
      <c r="A2313" s="1" t="s">
        <v>1941</v>
      </c>
      <c r="B2313" s="347" t="str">
        <f>报表附注!E2735</f>
        <v>利息收入</v>
      </c>
      <c r="C2313" s="322">
        <f>-F2313</f>
        <v>0</v>
      </c>
      <c r="D2313" s="1" t="b">
        <f t="shared" si="195"/>
        <v>1</v>
      </c>
      <c r="E2313" s="388" t="s">
        <v>4602</v>
      </c>
      <c r="F2313" s="370"/>
      <c r="H2313" s="1" t="b">
        <f t="shared" si="196"/>
        <v>0</v>
      </c>
      <c r="I2313" s="1" t="s">
        <v>1962</v>
      </c>
      <c r="K2313" s="1" t="b">
        <v>1</v>
      </c>
    </row>
    <row r="2314" spans="1:11">
      <c r="A2314" s="1" t="s">
        <v>1942</v>
      </c>
      <c r="B2314" s="347" t="str">
        <f>报表附注!E2736</f>
        <v>手续费</v>
      </c>
      <c r="C2314" s="322">
        <f>F2314</f>
        <v>0</v>
      </c>
      <c r="D2314" s="1" t="b">
        <f t="shared" si="195"/>
        <v>1</v>
      </c>
      <c r="E2314" s="388" t="s">
        <v>1942</v>
      </c>
      <c r="F2314" s="370"/>
      <c r="H2314" s="1" t="b">
        <f t="shared" si="196"/>
        <v>0</v>
      </c>
      <c r="I2314" s="1" t="s">
        <v>1952</v>
      </c>
      <c r="K2314" s="1" t="b">
        <v>1</v>
      </c>
    </row>
    <row r="2315" spans="1:11">
      <c r="A2315" s="1" t="s">
        <v>1943</v>
      </c>
      <c r="B2315" s="347" t="str">
        <f>报表附注!E2737</f>
        <v>汇兑损益</v>
      </c>
      <c r="C2315" s="322">
        <f>F2315</f>
        <v>0</v>
      </c>
      <c r="D2315" s="1" t="b">
        <f t="shared" si="195"/>
        <v>1</v>
      </c>
      <c r="E2315" s="388" t="s">
        <v>1943</v>
      </c>
      <c r="F2315" s="370"/>
      <c r="H2315" s="1" t="b">
        <f t="shared" si="196"/>
        <v>0</v>
      </c>
      <c r="I2315" s="1" t="s">
        <v>1953</v>
      </c>
      <c r="K2315" s="1" t="b">
        <v>1</v>
      </c>
    </row>
    <row r="2316" spans="1:11">
      <c r="A2316" s="1" t="s">
        <v>1944</v>
      </c>
      <c r="B2316" s="347" t="str">
        <f>报表附注!E2738</f>
        <v>   其 中：货币资金引起汇兑损益</v>
      </c>
      <c r="C2316" s="322">
        <f>G2320</f>
        <v>0</v>
      </c>
      <c r="D2316" s="1" t="b">
        <f t="shared" si="195"/>
        <v>1</v>
      </c>
      <c r="E2316" s="388" t="s">
        <v>279</v>
      </c>
      <c r="F2316" s="370"/>
      <c r="H2316" s="1" t="b">
        <f t="shared" si="196"/>
        <v>0</v>
      </c>
      <c r="I2316" s="1" t="s">
        <v>1954</v>
      </c>
      <c r="K2316" s="1" t="b">
        <v>1</v>
      </c>
    </row>
    <row r="2317" ht="22.5" spans="1:11">
      <c r="A2317" s="1" t="s">
        <v>1945</v>
      </c>
      <c r="B2317" s="347" t="str">
        <f>报表附注!E2739</f>
        <v>                      应收账款引起汇兑损益</v>
      </c>
      <c r="C2317" s="322">
        <f>G2323</f>
        <v>0</v>
      </c>
      <c r="D2317" s="1" t="b">
        <f t="shared" si="195"/>
        <v>1</v>
      </c>
      <c r="E2317" s="388" t="s">
        <v>1580</v>
      </c>
      <c r="F2317" s="370"/>
      <c r="H2317" s="1" t="b">
        <f t="shared" si="196"/>
        <v>0</v>
      </c>
      <c r="I2317" s="1" t="s">
        <v>1955</v>
      </c>
      <c r="K2317" s="1" t="b">
        <v>1</v>
      </c>
    </row>
    <row r="2318" ht="22.5" spans="1:11">
      <c r="A2318" s="1" t="s">
        <v>1946</v>
      </c>
      <c r="B2318" s="347" t="str">
        <f>报表附注!E2740</f>
        <v>                      其他应收账款引起汇兑损益</v>
      </c>
      <c r="C2318" s="322">
        <f>G2324</f>
        <v>0</v>
      </c>
      <c r="D2318" s="1" t="b">
        <f t="shared" si="195"/>
        <v>1</v>
      </c>
      <c r="E2318" s="315"/>
      <c r="F2318" s="389" t="s">
        <v>4603</v>
      </c>
      <c r="G2318" s="389"/>
      <c r="H2318" s="1" t="b">
        <f t="shared" si="196"/>
        <v>0</v>
      </c>
      <c r="I2318" s="1" t="s">
        <v>1956</v>
      </c>
      <c r="K2318" s="1" t="b">
        <v>1</v>
      </c>
    </row>
    <row r="2319" ht="22.5" spans="1:11">
      <c r="A2319" s="1" t="s">
        <v>1947</v>
      </c>
      <c r="B2319" s="347" t="str">
        <f>报表附注!E2741</f>
        <v>                       应付账款引起汇兑损益</v>
      </c>
      <c r="C2319" s="322">
        <f>G2325</f>
        <v>0</v>
      </c>
      <c r="D2319" s="1" t="b">
        <f t="shared" si="195"/>
        <v>1</v>
      </c>
      <c r="E2319" s="315"/>
      <c r="F2319" s="389" t="s">
        <v>4604</v>
      </c>
      <c r="G2319" s="389"/>
      <c r="H2319" s="1" t="b">
        <f t="shared" si="196"/>
        <v>0</v>
      </c>
      <c r="I2319" s="1" t="s">
        <v>1957</v>
      </c>
      <c r="K2319" s="1" t="b">
        <v>1</v>
      </c>
    </row>
    <row r="2320" ht="22.5" spans="1:11">
      <c r="A2320" s="1" t="s">
        <v>1948</v>
      </c>
      <c r="B2320" s="347" t="str">
        <f>报表附注!E2742</f>
        <v>                      其他应付款引起汇兑损益</v>
      </c>
      <c r="C2320" s="322">
        <f>G2326</f>
        <v>0</v>
      </c>
      <c r="D2320" s="1" t="b">
        <f t="shared" si="195"/>
        <v>1</v>
      </c>
      <c r="E2320" s="315"/>
      <c r="F2320" s="389" t="s">
        <v>4605</v>
      </c>
      <c r="G2320" s="389"/>
      <c r="H2320" s="1" t="b">
        <f t="shared" si="196"/>
        <v>0</v>
      </c>
      <c r="I2320" s="1" t="s">
        <v>1958</v>
      </c>
      <c r="K2320" s="1" t="b">
        <v>1</v>
      </c>
    </row>
    <row r="2321" ht="22.5" spans="1:11">
      <c r="A2321" s="1" t="s">
        <v>1949</v>
      </c>
      <c r="B2321" s="347" t="str">
        <f>报表附注!E2743</f>
        <v>                      其他科目1-短期借款引起汇兑损益</v>
      </c>
      <c r="C2321" s="322"/>
      <c r="D2321" s="1" t="b">
        <f t="shared" si="195"/>
        <v>0</v>
      </c>
      <c r="E2321" s="315"/>
      <c r="F2321" s="389" t="s">
        <v>4606</v>
      </c>
      <c r="G2321" s="389"/>
      <c r="H2321" s="1" t="b">
        <f t="shared" si="196"/>
        <v>0</v>
      </c>
      <c r="I2321" s="1" t="s">
        <v>1959</v>
      </c>
      <c r="K2321" s="1" t="b">
        <v>1</v>
      </c>
    </row>
    <row r="2322" spans="1:11">
      <c r="A2322" s="1" t="s">
        <v>1950</v>
      </c>
      <c r="B2322" s="347" t="str">
        <f>报表附注!E2744</f>
        <v>                      其他科目2--</v>
      </c>
      <c r="C2322" s="322"/>
      <c r="D2322" s="1" t="b">
        <f t="shared" si="195"/>
        <v>1</v>
      </c>
      <c r="E2322" s="315"/>
      <c r="F2322" s="389" t="s">
        <v>4607</v>
      </c>
      <c r="G2322" s="389"/>
      <c r="H2322" s="1" t="b">
        <f t="shared" si="196"/>
        <v>0</v>
      </c>
      <c r="I2322" s="1" t="s">
        <v>1960</v>
      </c>
      <c r="K2322" s="1" t="b">
        <v>1</v>
      </c>
    </row>
    <row r="2323" spans="1:11">
      <c r="A2323" s="1" t="s">
        <v>279</v>
      </c>
      <c r="B2323" s="347" t="str">
        <f>报表附注!E2745</f>
        <v>其他</v>
      </c>
      <c r="C2323" s="322">
        <f>F2316</f>
        <v>0</v>
      </c>
      <c r="D2323" s="1" t="b">
        <f t="shared" si="195"/>
        <v>1</v>
      </c>
      <c r="E2323" s="315"/>
      <c r="F2323" s="389" t="s">
        <v>4608</v>
      </c>
      <c r="G2323" s="389"/>
      <c r="H2323" s="1" t="b">
        <f t="shared" si="196"/>
        <v>0</v>
      </c>
      <c r="I2323" s="1" t="s">
        <v>1961</v>
      </c>
      <c r="K2323" s="1" t="b">
        <v>1</v>
      </c>
    </row>
    <row r="2324" spans="1:11">
      <c r="A2324" s="1" t="s">
        <v>1580</v>
      </c>
      <c r="B2324" s="355" t="str">
        <f>报表附注!E2746</f>
        <v>合计</v>
      </c>
      <c r="C2324" s="322">
        <f>F2317</f>
        <v>0</v>
      </c>
      <c r="D2324" s="1" t="b">
        <f t="shared" si="195"/>
        <v>1</v>
      </c>
      <c r="E2324" s="315"/>
      <c r="F2324" s="389" t="s">
        <v>4609</v>
      </c>
      <c r="G2324" s="389"/>
      <c r="H2324" s="1" t="b">
        <f t="shared" si="196"/>
        <v>0</v>
      </c>
      <c r="I2324" s="1" t="s">
        <v>1206</v>
      </c>
      <c r="K2324" s="1" t="b">
        <v>1</v>
      </c>
    </row>
    <row r="2325" spans="1:11">
      <c r="A2325" s="1" t="s">
        <v>1910</v>
      </c>
      <c r="B2325" s="335" t="s">
        <v>1910</v>
      </c>
      <c r="C2325" s="330"/>
      <c r="D2325" s="1" t="b">
        <f t="shared" si="195"/>
        <v>1</v>
      </c>
      <c r="F2325" s="389" t="s">
        <v>4610</v>
      </c>
      <c r="G2325" s="389"/>
      <c r="H2325" s="1" t="b">
        <f t="shared" si="196"/>
        <v>0</v>
      </c>
      <c r="I2325" s="1" t="s">
        <v>1963</v>
      </c>
      <c r="K2325" s="1" t="b">
        <v>1</v>
      </c>
    </row>
    <row r="2326" spans="1:11">
      <c r="A2326" s="1" t="s">
        <v>1283</v>
      </c>
      <c r="B2326" s="347" t="str">
        <f>报表附注!E2734</f>
        <v>利息支出</v>
      </c>
      <c r="C2326" s="325"/>
      <c r="D2326" s="1" t="b">
        <f t="shared" si="195"/>
        <v>1</v>
      </c>
      <c r="E2326" s="325">
        <f>C2312</f>
        <v>0</v>
      </c>
      <c r="F2326" s="389" t="s">
        <v>4611</v>
      </c>
      <c r="G2326" s="389"/>
      <c r="H2326" s="1" t="b">
        <f t="shared" si="196"/>
        <v>0</v>
      </c>
      <c r="I2326" s="1" t="s">
        <v>1952</v>
      </c>
      <c r="K2326" s="1" t="b">
        <v>1</v>
      </c>
    </row>
    <row r="2327" spans="1:11">
      <c r="A2327" s="1" t="s">
        <v>1941</v>
      </c>
      <c r="B2327" s="347" t="str">
        <f>报表附注!E2735</f>
        <v>利息收入</v>
      </c>
      <c r="C2327" s="325"/>
      <c r="D2327" s="1" t="b">
        <f t="shared" si="195"/>
        <v>1</v>
      </c>
      <c r="E2327" s="325">
        <f t="shared" ref="E2327:E2338" si="197">C2313</f>
        <v>0</v>
      </c>
      <c r="F2327" s="389" t="s">
        <v>279</v>
      </c>
      <c r="G2327" s="389"/>
      <c r="H2327" s="1" t="b">
        <f t="shared" si="196"/>
        <v>0</v>
      </c>
      <c r="I2327" s="1" t="s">
        <v>1953</v>
      </c>
      <c r="K2327" s="1" t="b">
        <v>1</v>
      </c>
    </row>
    <row r="2328" spans="1:11">
      <c r="A2328" s="1" t="s">
        <v>1942</v>
      </c>
      <c r="B2328" s="347" t="str">
        <f>报表附注!E2736</f>
        <v>手续费</v>
      </c>
      <c r="C2328" s="325"/>
      <c r="D2328" s="1" t="b">
        <f t="shared" si="195"/>
        <v>1</v>
      </c>
      <c r="E2328" s="325">
        <f t="shared" si="197"/>
        <v>0</v>
      </c>
      <c r="H2328" s="1" t="b">
        <f t="shared" si="196"/>
        <v>0</v>
      </c>
      <c r="I2328" s="1" t="s">
        <v>1954</v>
      </c>
      <c r="K2328" s="1" t="b">
        <v>1</v>
      </c>
    </row>
    <row r="2329" spans="1:11">
      <c r="A2329" s="1" t="s">
        <v>1943</v>
      </c>
      <c r="B2329" s="347" t="str">
        <f>报表附注!E2737</f>
        <v>汇兑损益</v>
      </c>
      <c r="C2329" s="325"/>
      <c r="D2329" s="1" t="b">
        <f t="shared" si="195"/>
        <v>1</v>
      </c>
      <c r="E2329" s="325">
        <f t="shared" si="197"/>
        <v>0</v>
      </c>
      <c r="H2329" s="1" t="b">
        <f t="shared" si="196"/>
        <v>0</v>
      </c>
      <c r="I2329" s="1" t="s">
        <v>1955</v>
      </c>
      <c r="K2329" s="1" t="b">
        <v>1</v>
      </c>
    </row>
    <row r="2330" spans="1:11">
      <c r="A2330" s="1" t="s">
        <v>1944</v>
      </c>
      <c r="B2330" s="347" t="str">
        <f>报表附注!E2738</f>
        <v>   其 中：货币资金引起汇兑损益</v>
      </c>
      <c r="C2330" s="325"/>
      <c r="D2330" s="1" t="b">
        <f t="shared" si="195"/>
        <v>1</v>
      </c>
      <c r="E2330" s="325">
        <f t="shared" si="197"/>
        <v>0</v>
      </c>
      <c r="H2330" s="1" t="b">
        <f t="shared" si="196"/>
        <v>0</v>
      </c>
      <c r="I2330" s="1" t="s">
        <v>1956</v>
      </c>
      <c r="K2330" s="1" t="b">
        <v>1</v>
      </c>
    </row>
    <row r="2331" ht="22.5" spans="1:11">
      <c r="A2331" s="1" t="s">
        <v>1945</v>
      </c>
      <c r="B2331" s="347" t="str">
        <f>报表附注!E2739</f>
        <v>                      应收账款引起汇兑损益</v>
      </c>
      <c r="C2331" s="325"/>
      <c r="D2331" s="1" t="b">
        <f t="shared" si="195"/>
        <v>1</v>
      </c>
      <c r="E2331" s="325">
        <f t="shared" si="197"/>
        <v>0</v>
      </c>
      <c r="H2331" s="1" t="b">
        <f t="shared" si="196"/>
        <v>0</v>
      </c>
      <c r="I2331" s="1" t="s">
        <v>1957</v>
      </c>
      <c r="K2331" s="1" t="b">
        <v>1</v>
      </c>
    </row>
    <row r="2332" ht="22.5" spans="1:11">
      <c r="A2332" s="1" t="s">
        <v>1946</v>
      </c>
      <c r="B2332" s="347" t="str">
        <f>报表附注!E2740</f>
        <v>                      其他应收账款引起汇兑损益</v>
      </c>
      <c r="C2332" s="325"/>
      <c r="D2332" s="1" t="b">
        <f t="shared" si="195"/>
        <v>1</v>
      </c>
      <c r="E2332" s="325">
        <f t="shared" si="197"/>
        <v>0</v>
      </c>
      <c r="H2332" s="1" t="b">
        <f t="shared" si="196"/>
        <v>0</v>
      </c>
      <c r="I2332" s="1" t="s">
        <v>1958</v>
      </c>
      <c r="K2332" s="1" t="b">
        <v>1</v>
      </c>
    </row>
    <row r="2333" ht="22.5" spans="1:11">
      <c r="A2333" s="1" t="s">
        <v>1947</v>
      </c>
      <c r="B2333" s="347" t="str">
        <f>报表附注!E2741</f>
        <v>                       应付账款引起汇兑损益</v>
      </c>
      <c r="C2333" s="325"/>
      <c r="D2333" s="1" t="b">
        <f t="shared" si="195"/>
        <v>1</v>
      </c>
      <c r="E2333" s="325">
        <f t="shared" si="197"/>
        <v>0</v>
      </c>
      <c r="H2333" s="1" t="b">
        <f t="shared" si="196"/>
        <v>0</v>
      </c>
      <c r="I2333" s="1" t="s">
        <v>1959</v>
      </c>
      <c r="K2333" s="1" t="b">
        <v>1</v>
      </c>
    </row>
    <row r="2334" ht="22.5" spans="1:11">
      <c r="A2334" s="1" t="s">
        <v>1948</v>
      </c>
      <c r="B2334" s="347" t="str">
        <f>报表附注!E2742</f>
        <v>                      其他应付款引起汇兑损益</v>
      </c>
      <c r="C2334" s="325"/>
      <c r="D2334" s="1" t="b">
        <f t="shared" si="195"/>
        <v>1</v>
      </c>
      <c r="E2334" s="325">
        <f t="shared" si="197"/>
        <v>0</v>
      </c>
      <c r="H2334" s="1" t="b">
        <f t="shared" si="196"/>
        <v>0</v>
      </c>
      <c r="I2334" s="1" t="s">
        <v>1960</v>
      </c>
      <c r="K2334" s="1" t="b">
        <v>1</v>
      </c>
    </row>
    <row r="2335" ht="22.5" spans="1:11">
      <c r="A2335" s="1" t="s">
        <v>1949</v>
      </c>
      <c r="B2335" s="347" t="str">
        <f>报表附注!E2743</f>
        <v>                      其他科目1-短期借款引起汇兑损益</v>
      </c>
      <c r="C2335" s="325"/>
      <c r="D2335" s="1" t="b">
        <f t="shared" si="195"/>
        <v>0</v>
      </c>
      <c r="E2335" s="325">
        <f t="shared" si="197"/>
        <v>0</v>
      </c>
      <c r="H2335" s="1" t="b">
        <f t="shared" si="196"/>
        <v>0</v>
      </c>
      <c r="I2335" s="1" t="s">
        <v>1961</v>
      </c>
      <c r="K2335" s="1" t="b">
        <v>1</v>
      </c>
    </row>
    <row r="2336" spans="1:11">
      <c r="A2336" s="1" t="s">
        <v>1950</v>
      </c>
      <c r="B2336" s="347" t="str">
        <f>报表附注!E2744</f>
        <v>                      其他科目2--</v>
      </c>
      <c r="C2336" s="325"/>
      <c r="D2336" s="1" t="b">
        <f t="shared" si="195"/>
        <v>1</v>
      </c>
      <c r="E2336" s="325">
        <f t="shared" si="197"/>
        <v>0</v>
      </c>
      <c r="H2336" s="1" t="b">
        <f t="shared" si="196"/>
        <v>0</v>
      </c>
      <c r="I2336" s="1" t="s">
        <v>1206</v>
      </c>
      <c r="K2336" s="1" t="b">
        <v>1</v>
      </c>
    </row>
    <row r="2337" spans="1:11">
      <c r="A2337" s="1" t="s">
        <v>279</v>
      </c>
      <c r="B2337" s="347" t="str">
        <f>报表附注!E2745</f>
        <v>其他</v>
      </c>
      <c r="C2337" s="325"/>
      <c r="D2337" s="1" t="b">
        <f t="shared" si="195"/>
        <v>1</v>
      </c>
      <c r="E2337" s="325">
        <f t="shared" si="197"/>
        <v>0</v>
      </c>
      <c r="H2337" s="1" t="b">
        <f t="shared" si="196"/>
        <v>0</v>
      </c>
      <c r="K2337" s="1" t="b">
        <v>1</v>
      </c>
    </row>
    <row r="2338" spans="1:11">
      <c r="A2338" s="1" t="s">
        <v>1580</v>
      </c>
      <c r="B2338" s="355" t="str">
        <f>报表附注!E2746</f>
        <v>合计</v>
      </c>
      <c r="C2338" s="325"/>
      <c r="D2338" s="1" t="b">
        <f t="shared" si="195"/>
        <v>1</v>
      </c>
      <c r="E2338" s="325">
        <f t="shared" si="197"/>
        <v>0</v>
      </c>
      <c r="H2338" s="1" t="b">
        <f t="shared" si="196"/>
        <v>0</v>
      </c>
      <c r="I2338" s="1" t="s">
        <v>1964</v>
      </c>
      <c r="K2338" s="1" t="b">
        <v>1</v>
      </c>
    </row>
    <row r="2339" spans="4:11">
      <c r="D2339" s="1" t="b">
        <f t="shared" si="195"/>
        <v>1</v>
      </c>
      <c r="H2339" s="1" t="b">
        <f t="shared" si="196"/>
        <v>0</v>
      </c>
      <c r="I2339" s="1" t="s">
        <v>1906</v>
      </c>
      <c r="K2339" s="1" t="b">
        <v>1</v>
      </c>
    </row>
    <row r="2340" spans="1:11">
      <c r="A2340" s="1" t="s">
        <v>1951</v>
      </c>
      <c r="B2340" s="331" t="s">
        <v>1951</v>
      </c>
      <c r="D2340" s="1" t="b">
        <f t="shared" si="195"/>
        <v>1</v>
      </c>
      <c r="H2340" s="1" t="b">
        <f t="shared" si="196"/>
        <v>0</v>
      </c>
      <c r="I2340" s="1" t="s">
        <v>1965</v>
      </c>
      <c r="K2340" s="1" t="b">
        <v>1</v>
      </c>
    </row>
    <row r="2341" spans="1:11">
      <c r="A2341" s="1" t="s">
        <v>1906</v>
      </c>
      <c r="B2341" s="335" t="s">
        <v>1906</v>
      </c>
      <c r="D2341" s="1" t="b">
        <f t="shared" si="195"/>
        <v>1</v>
      </c>
      <c r="E2341" s="311"/>
      <c r="H2341" s="1" t="b">
        <f t="shared" si="196"/>
        <v>0</v>
      </c>
      <c r="I2341" s="1" t="s">
        <v>1966</v>
      </c>
      <c r="K2341" s="1" t="b">
        <v>1</v>
      </c>
    </row>
    <row r="2342" spans="1:11">
      <c r="A2342" s="1" t="s">
        <v>1952</v>
      </c>
      <c r="B2342" s="313" t="str">
        <f>报表附注!E2915</f>
        <v>1．处置非流动资产利得小计</v>
      </c>
      <c r="C2342" s="322">
        <f>G2343</f>
        <v>0</v>
      </c>
      <c r="D2342" s="1" t="b">
        <f t="shared" si="195"/>
        <v>1</v>
      </c>
      <c r="F2342" s="390" t="s">
        <v>314</v>
      </c>
      <c r="G2342" s="390" t="s">
        <v>1906</v>
      </c>
      <c r="H2342" s="1" t="b">
        <f t="shared" si="196"/>
        <v>0</v>
      </c>
      <c r="I2342" s="1" t="s">
        <v>1967</v>
      </c>
      <c r="K2342" s="1" t="b">
        <v>1</v>
      </c>
    </row>
    <row r="2343" spans="1:11">
      <c r="A2343" s="1" t="s">
        <v>1953</v>
      </c>
      <c r="B2343" s="313" t="str">
        <f>报表附注!E2916</f>
        <v>其中：处置固定资产利得</v>
      </c>
      <c r="C2343" s="322">
        <f>G2344</f>
        <v>0</v>
      </c>
      <c r="D2343" s="1" t="b">
        <f t="shared" si="195"/>
        <v>1</v>
      </c>
      <c r="F2343" s="391" t="s">
        <v>4612</v>
      </c>
      <c r="G2343" s="392"/>
      <c r="H2343" s="1" t="b">
        <f t="shared" si="196"/>
        <v>0</v>
      </c>
      <c r="I2343" s="1" t="s">
        <v>1968</v>
      </c>
      <c r="K2343" s="1" t="b">
        <v>1</v>
      </c>
    </row>
    <row r="2344" spans="1:11">
      <c r="A2344" s="1" t="s">
        <v>1954</v>
      </c>
      <c r="B2344" s="313" t="str">
        <f>报表附注!E2917</f>
        <v>      处置无形资产利得</v>
      </c>
      <c r="C2344" s="322">
        <f>G2345</f>
        <v>0</v>
      </c>
      <c r="D2344" s="1" t="b">
        <f t="shared" si="195"/>
        <v>1</v>
      </c>
      <c r="F2344" s="391" t="s">
        <v>4613</v>
      </c>
      <c r="G2344" s="392"/>
      <c r="H2344" s="1" t="b">
        <f t="shared" si="196"/>
        <v>0</v>
      </c>
      <c r="I2344" s="1" t="s">
        <v>1969</v>
      </c>
      <c r="K2344" s="1" t="b">
        <v>1</v>
      </c>
    </row>
    <row r="2345" spans="1:11">
      <c r="A2345" s="1" t="s">
        <v>1955</v>
      </c>
      <c r="B2345" s="313" t="str">
        <f>报表附注!E2918</f>
        <v>2．非货币性资产交换利得</v>
      </c>
      <c r="C2345" s="322">
        <f>G2347</f>
        <v>0</v>
      </c>
      <c r="D2345" s="1" t="b">
        <f t="shared" si="195"/>
        <v>1</v>
      </c>
      <c r="F2345" s="391" t="s">
        <v>4614</v>
      </c>
      <c r="G2345" s="392"/>
      <c r="H2345" s="1" t="b">
        <f t="shared" si="196"/>
        <v>0</v>
      </c>
      <c r="I2345" s="1" t="s">
        <v>1970</v>
      </c>
      <c r="K2345" s="1" t="b">
        <v>1</v>
      </c>
    </row>
    <row r="2346" spans="1:11">
      <c r="A2346" s="1" t="s">
        <v>1956</v>
      </c>
      <c r="B2346" s="313" t="str">
        <f>报表附注!E2919</f>
        <v>3．债务重组利得</v>
      </c>
      <c r="C2346" s="322">
        <f>G2348</f>
        <v>0</v>
      </c>
      <c r="D2346" s="1" t="b">
        <f t="shared" si="195"/>
        <v>1</v>
      </c>
      <c r="F2346" s="391" t="s">
        <v>4615</v>
      </c>
      <c r="G2346" s="392"/>
      <c r="H2346" s="1" t="b">
        <f t="shared" si="196"/>
        <v>0</v>
      </c>
      <c r="I2346" s="1" t="s">
        <v>1971</v>
      </c>
      <c r="K2346" s="1" t="b">
        <v>1</v>
      </c>
    </row>
    <row r="2347" spans="1:11">
      <c r="A2347" s="1" t="s">
        <v>1957</v>
      </c>
      <c r="B2347" s="313" t="str">
        <f>报表附注!E2920</f>
        <v>4．政府补助</v>
      </c>
      <c r="C2347" s="322">
        <f>G2350</f>
        <v>0</v>
      </c>
      <c r="D2347" s="1" t="b">
        <f t="shared" si="195"/>
        <v>1</v>
      </c>
      <c r="F2347" s="391" t="s">
        <v>4616</v>
      </c>
      <c r="G2347" s="392"/>
      <c r="H2347" s="1" t="b">
        <f t="shared" si="196"/>
        <v>0</v>
      </c>
      <c r="I2347" s="1" t="s">
        <v>1972</v>
      </c>
      <c r="K2347" s="1" t="b">
        <v>1</v>
      </c>
    </row>
    <row r="2348" spans="1:11">
      <c r="A2348" s="1" t="s">
        <v>1958</v>
      </c>
      <c r="B2348" s="313" t="str">
        <f>报表附注!E2921</f>
        <v>5．盘盈利得</v>
      </c>
      <c r="C2348" s="322">
        <f>G2351</f>
        <v>0</v>
      </c>
      <c r="D2348" s="1" t="b">
        <f t="shared" si="195"/>
        <v>1</v>
      </c>
      <c r="F2348" s="391" t="s">
        <v>4617</v>
      </c>
      <c r="G2348" s="392"/>
      <c r="H2348" s="1" t="b">
        <f t="shared" si="196"/>
        <v>0</v>
      </c>
      <c r="I2348" s="1" t="s">
        <v>1973</v>
      </c>
      <c r="K2348" s="1" t="b">
        <v>1</v>
      </c>
    </row>
    <row r="2349" spans="1:11">
      <c r="A2349" s="1" t="s">
        <v>1959</v>
      </c>
      <c r="B2349" s="313" t="str">
        <f>报表附注!E2922</f>
        <v>6．捐赠利得</v>
      </c>
      <c r="C2349" s="322">
        <f>G2349</f>
        <v>0</v>
      </c>
      <c r="D2349" s="1" t="b">
        <f t="shared" si="195"/>
        <v>1</v>
      </c>
      <c r="F2349" s="391" t="s">
        <v>4618</v>
      </c>
      <c r="G2349" s="392"/>
      <c r="H2349" s="1" t="b">
        <f t="shared" si="196"/>
        <v>0</v>
      </c>
      <c r="I2349" s="1" t="s">
        <v>1974</v>
      </c>
      <c r="K2349" s="1" t="b">
        <v>1</v>
      </c>
    </row>
    <row r="2350" spans="1:11">
      <c r="A2350" s="1" t="s">
        <v>1960</v>
      </c>
      <c r="B2350" s="313" t="str">
        <f>报表附注!E2923</f>
        <v>7．罚款收入</v>
      </c>
      <c r="C2350" s="322"/>
      <c r="D2350" s="1" t="b">
        <f t="shared" si="195"/>
        <v>1</v>
      </c>
      <c r="F2350" s="391" t="s">
        <v>4619</v>
      </c>
      <c r="G2350" s="392"/>
      <c r="H2350" s="1" t="b">
        <f t="shared" si="196"/>
        <v>0</v>
      </c>
      <c r="I2350" s="1" t="s">
        <v>1206</v>
      </c>
      <c r="K2350" s="1" t="b">
        <v>1</v>
      </c>
    </row>
    <row r="2351" spans="1:11">
      <c r="A2351" s="1" t="s">
        <v>1961</v>
      </c>
      <c r="B2351" s="313" t="str">
        <f>报表附注!E2924</f>
        <v>8．其他</v>
      </c>
      <c r="C2351" s="322">
        <f>G2352</f>
        <v>0</v>
      </c>
      <c r="D2351" s="1" t="b">
        <f t="shared" si="195"/>
        <v>1</v>
      </c>
      <c r="F2351" s="391" t="s">
        <v>4620</v>
      </c>
      <c r="G2351" s="392"/>
      <c r="H2351" s="1" t="b">
        <f t="shared" si="196"/>
        <v>0</v>
      </c>
      <c r="I2351" s="1" t="s">
        <v>1910</v>
      </c>
      <c r="K2351" s="1" t="b">
        <v>1</v>
      </c>
    </row>
    <row r="2352" spans="1:11">
      <c r="A2352" s="1" t="s">
        <v>1206</v>
      </c>
      <c r="B2352" s="324" t="str">
        <f>报表附注!E2925</f>
        <v>合  计</v>
      </c>
      <c r="C2352" s="322">
        <f>SUM(C2345:C2351,C2342)</f>
        <v>0</v>
      </c>
      <c r="D2352" s="1" t="b">
        <f t="shared" si="195"/>
        <v>1</v>
      </c>
      <c r="F2352" s="391" t="s">
        <v>4621</v>
      </c>
      <c r="G2352" s="392"/>
      <c r="H2352" s="1" t="b">
        <f t="shared" si="196"/>
        <v>0</v>
      </c>
      <c r="I2352" s="1" t="s">
        <v>1965</v>
      </c>
      <c r="K2352" s="1" t="b">
        <v>1</v>
      </c>
    </row>
    <row r="2353" spans="1:11">
      <c r="A2353" s="1" t="s">
        <v>1910</v>
      </c>
      <c r="B2353" s="335" t="s">
        <v>1910</v>
      </c>
      <c r="C2353" s="330"/>
      <c r="D2353" s="1" t="b">
        <f t="shared" si="195"/>
        <v>1</v>
      </c>
      <c r="F2353" s="391" t="s">
        <v>4622</v>
      </c>
      <c r="G2353" s="392"/>
      <c r="H2353" s="1" t="b">
        <f t="shared" si="196"/>
        <v>0</v>
      </c>
      <c r="I2353" s="1" t="s">
        <v>1966</v>
      </c>
      <c r="K2353" s="1" t="b">
        <v>1</v>
      </c>
    </row>
    <row r="2354" spans="1:11">
      <c r="A2354" s="1" t="s">
        <v>1952</v>
      </c>
      <c r="B2354" s="313" t="str">
        <f>报表附注!E2915</f>
        <v>1．处置非流动资产利得小计</v>
      </c>
      <c r="C2354" s="325"/>
      <c r="D2354" s="1" t="b">
        <f t="shared" si="195"/>
        <v>1</v>
      </c>
      <c r="F2354" s="391" t="s">
        <v>1206</v>
      </c>
      <c r="G2354" s="391"/>
      <c r="H2354" s="1" t="b">
        <f t="shared" si="196"/>
        <v>0</v>
      </c>
      <c r="I2354" s="1" t="s">
        <v>1967</v>
      </c>
      <c r="K2354" s="1" t="b">
        <v>1</v>
      </c>
    </row>
    <row r="2355" spans="1:11">
      <c r="A2355" s="1" t="s">
        <v>1953</v>
      </c>
      <c r="B2355" s="313" t="str">
        <f>报表附注!E2916</f>
        <v>其中：处置固定资产利得</v>
      </c>
      <c r="C2355" s="325"/>
      <c r="D2355" s="1" t="b">
        <f t="shared" si="195"/>
        <v>1</v>
      </c>
      <c r="E2355" s="325">
        <f t="shared" ref="E2355:E2364" si="198">C2343</f>
        <v>0</v>
      </c>
      <c r="H2355" s="1" t="b">
        <f t="shared" si="196"/>
        <v>0</v>
      </c>
      <c r="I2355" s="1" t="s">
        <v>1968</v>
      </c>
      <c r="K2355" s="1" t="b">
        <v>1</v>
      </c>
    </row>
    <row r="2356" spans="1:11">
      <c r="A2356" s="1" t="s">
        <v>1954</v>
      </c>
      <c r="B2356" s="313" t="str">
        <f>报表附注!E2917</f>
        <v>      处置无形资产利得</v>
      </c>
      <c r="C2356" s="325"/>
      <c r="D2356" s="1" t="b">
        <f t="shared" si="195"/>
        <v>1</v>
      </c>
      <c r="E2356" s="325">
        <f t="shared" si="198"/>
        <v>0</v>
      </c>
      <c r="H2356" s="1" t="b">
        <f t="shared" si="196"/>
        <v>0</v>
      </c>
      <c r="I2356" s="1" t="s">
        <v>1969</v>
      </c>
      <c r="K2356" s="1" t="b">
        <v>1</v>
      </c>
    </row>
    <row r="2357" spans="1:11">
      <c r="A2357" s="1" t="s">
        <v>1955</v>
      </c>
      <c r="B2357" s="313" t="str">
        <f>报表附注!E2918</f>
        <v>2．非货币性资产交换利得</v>
      </c>
      <c r="C2357" s="325"/>
      <c r="D2357" s="1" t="b">
        <f t="shared" si="195"/>
        <v>1</v>
      </c>
      <c r="E2357" s="325">
        <f t="shared" si="198"/>
        <v>0</v>
      </c>
      <c r="H2357" s="1" t="b">
        <f t="shared" si="196"/>
        <v>0</v>
      </c>
      <c r="I2357" s="1" t="s">
        <v>1970</v>
      </c>
      <c r="K2357" s="1" t="b">
        <v>1</v>
      </c>
    </row>
    <row r="2358" spans="1:11">
      <c r="A2358" s="1" t="s">
        <v>1956</v>
      </c>
      <c r="B2358" s="313" t="str">
        <f>报表附注!E2919</f>
        <v>3．债务重组利得</v>
      </c>
      <c r="C2358" s="325"/>
      <c r="D2358" s="1" t="b">
        <f t="shared" si="195"/>
        <v>1</v>
      </c>
      <c r="E2358" s="325">
        <f t="shared" si="198"/>
        <v>0</v>
      </c>
      <c r="H2358" s="1" t="b">
        <f t="shared" si="196"/>
        <v>0</v>
      </c>
      <c r="I2358" s="1" t="s">
        <v>1971</v>
      </c>
      <c r="K2358" s="1" t="b">
        <v>1</v>
      </c>
    </row>
    <row r="2359" spans="1:11">
      <c r="A2359" s="1" t="s">
        <v>1957</v>
      </c>
      <c r="B2359" s="313" t="str">
        <f>报表附注!E2920</f>
        <v>4．政府补助</v>
      </c>
      <c r="C2359" s="325"/>
      <c r="D2359" s="1" t="b">
        <f t="shared" si="195"/>
        <v>1</v>
      </c>
      <c r="E2359" s="325">
        <f t="shared" si="198"/>
        <v>0</v>
      </c>
      <c r="H2359" s="1" t="b">
        <f t="shared" si="196"/>
        <v>0</v>
      </c>
      <c r="I2359" s="1" t="s">
        <v>1972</v>
      </c>
      <c r="K2359" s="1" t="b">
        <v>1</v>
      </c>
    </row>
    <row r="2360" spans="1:11">
      <c r="A2360" s="1" t="s">
        <v>1958</v>
      </c>
      <c r="B2360" s="313" t="str">
        <f>报表附注!E2921</f>
        <v>5．盘盈利得</v>
      </c>
      <c r="C2360" s="325"/>
      <c r="D2360" s="1" t="b">
        <f t="shared" si="195"/>
        <v>1</v>
      </c>
      <c r="E2360" s="325">
        <f t="shared" si="198"/>
        <v>0</v>
      </c>
      <c r="H2360" s="1" t="b">
        <f t="shared" si="196"/>
        <v>0</v>
      </c>
      <c r="I2360" s="1" t="s">
        <v>1973</v>
      </c>
      <c r="K2360" s="1" t="b">
        <v>1</v>
      </c>
    </row>
    <row r="2361" spans="1:11">
      <c r="A2361" s="1" t="s">
        <v>1959</v>
      </c>
      <c r="B2361" s="313" t="str">
        <f>报表附注!E2922</f>
        <v>6．捐赠利得</v>
      </c>
      <c r="C2361" s="325"/>
      <c r="D2361" s="1" t="b">
        <f t="shared" si="195"/>
        <v>1</v>
      </c>
      <c r="E2361" s="325">
        <f t="shared" si="198"/>
        <v>0</v>
      </c>
      <c r="H2361" s="1" t="b">
        <f t="shared" si="196"/>
        <v>0</v>
      </c>
      <c r="I2361" s="1" t="s">
        <v>1974</v>
      </c>
      <c r="K2361" s="1" t="b">
        <v>1</v>
      </c>
    </row>
    <row r="2362" spans="1:11">
      <c r="A2362" s="1" t="s">
        <v>1960</v>
      </c>
      <c r="B2362" s="313" t="str">
        <f>报表附注!E2923</f>
        <v>7．罚款收入</v>
      </c>
      <c r="C2362" s="325"/>
      <c r="D2362" s="1" t="b">
        <f t="shared" si="195"/>
        <v>1</v>
      </c>
      <c r="E2362" s="325">
        <f t="shared" si="198"/>
        <v>0</v>
      </c>
      <c r="H2362" s="1" t="b">
        <f t="shared" si="196"/>
        <v>0</v>
      </c>
      <c r="I2362" s="1" t="s">
        <v>1206</v>
      </c>
      <c r="K2362" s="1" t="b">
        <v>1</v>
      </c>
    </row>
    <row r="2363" spans="1:11">
      <c r="A2363" s="1" t="s">
        <v>1961</v>
      </c>
      <c r="B2363" s="313" t="str">
        <f>报表附注!E2924</f>
        <v>8．其他</v>
      </c>
      <c r="C2363" s="325"/>
      <c r="D2363" s="1" t="b">
        <f t="shared" si="195"/>
        <v>1</v>
      </c>
      <c r="E2363" s="325">
        <f t="shared" si="198"/>
        <v>0</v>
      </c>
      <c r="H2363" s="1" t="b">
        <f t="shared" si="196"/>
        <v>0</v>
      </c>
      <c r="I2363" s="1" t="s">
        <v>1962</v>
      </c>
      <c r="K2363" s="1" t="b">
        <v>1</v>
      </c>
    </row>
    <row r="2364" spans="1:11">
      <c r="A2364" s="1" t="s">
        <v>1206</v>
      </c>
      <c r="B2364" s="324" t="str">
        <f>报表附注!E2925</f>
        <v>合  计</v>
      </c>
      <c r="C2364" s="325"/>
      <c r="D2364" s="1" t="b">
        <f t="shared" si="195"/>
        <v>1</v>
      </c>
      <c r="E2364" s="325">
        <f t="shared" si="198"/>
        <v>0</v>
      </c>
      <c r="H2364" s="1" t="b">
        <f t="shared" si="196"/>
        <v>0</v>
      </c>
      <c r="I2364" s="1" t="s">
        <v>1965</v>
      </c>
      <c r="K2364" s="1" t="b">
        <v>1</v>
      </c>
    </row>
    <row r="2365" spans="1:11">
      <c r="A2365" s="1" t="s">
        <v>1962</v>
      </c>
      <c r="B2365" s="335" t="s">
        <v>1962</v>
      </c>
      <c r="C2365" s="330"/>
      <c r="D2365" s="1" t="b">
        <f t="shared" si="195"/>
        <v>1</v>
      </c>
      <c r="H2365" s="1" t="b">
        <f t="shared" si="196"/>
        <v>0</v>
      </c>
      <c r="I2365" s="1" t="s">
        <v>1966</v>
      </c>
      <c r="K2365" s="1" t="b">
        <v>1</v>
      </c>
    </row>
    <row r="2366" spans="1:11">
      <c r="A2366" s="1" t="s">
        <v>1952</v>
      </c>
      <c r="B2366" s="374" t="str">
        <f>报表附注!E2915</f>
        <v>1．处置非流动资产利得小计</v>
      </c>
      <c r="C2366" s="325"/>
      <c r="D2366" s="1" t="b">
        <f t="shared" ref="D2366:D2429" si="199">EXACT(A2366,B2366)</f>
        <v>1</v>
      </c>
      <c r="E2366" s="344"/>
      <c r="H2366" s="1" t="b">
        <f t="shared" si="196"/>
        <v>0</v>
      </c>
      <c r="I2366" s="1" t="s">
        <v>1967</v>
      </c>
      <c r="K2366" s="1" t="b">
        <v>1</v>
      </c>
    </row>
    <row r="2367" spans="1:11">
      <c r="A2367" s="1" t="s">
        <v>1953</v>
      </c>
      <c r="B2367" s="374" t="str">
        <f>报表附注!E2916</f>
        <v>其中：处置固定资产利得</v>
      </c>
      <c r="C2367" s="325"/>
      <c r="D2367" s="1" t="b">
        <f t="shared" si="199"/>
        <v>1</v>
      </c>
      <c r="E2367" s="344"/>
      <c r="H2367" s="1" t="b">
        <f t="shared" si="196"/>
        <v>0</v>
      </c>
      <c r="I2367" s="1" t="s">
        <v>1968</v>
      </c>
      <c r="K2367" s="1" t="b">
        <v>1</v>
      </c>
    </row>
    <row r="2368" spans="1:11">
      <c r="A2368" s="1" t="s">
        <v>1954</v>
      </c>
      <c r="B2368" s="374" t="str">
        <f>报表附注!E2917</f>
        <v>      处置无形资产利得</v>
      </c>
      <c r="C2368" s="325"/>
      <c r="D2368" s="1" t="b">
        <f t="shared" si="199"/>
        <v>1</v>
      </c>
      <c r="E2368" s="344"/>
      <c r="H2368" s="1" t="b">
        <f t="shared" si="196"/>
        <v>0</v>
      </c>
      <c r="I2368" s="1" t="s">
        <v>1969</v>
      </c>
      <c r="K2368" s="1" t="b">
        <v>1</v>
      </c>
    </row>
    <row r="2369" spans="1:11">
      <c r="A2369" s="1" t="s">
        <v>1955</v>
      </c>
      <c r="B2369" s="374" t="str">
        <f>报表附注!E2918</f>
        <v>2．非货币性资产交换利得</v>
      </c>
      <c r="C2369" s="325"/>
      <c r="D2369" s="1" t="b">
        <f t="shared" si="199"/>
        <v>1</v>
      </c>
      <c r="E2369" s="344"/>
      <c r="H2369" s="1" t="b">
        <f t="shared" si="196"/>
        <v>0</v>
      </c>
      <c r="I2369" s="1" t="s">
        <v>1970</v>
      </c>
      <c r="K2369" s="1" t="b">
        <v>1</v>
      </c>
    </row>
    <row r="2370" spans="1:11">
      <c r="A2370" s="1" t="s">
        <v>1956</v>
      </c>
      <c r="B2370" s="374" t="str">
        <f>报表附注!E2919</f>
        <v>3．债务重组利得</v>
      </c>
      <c r="C2370" s="325"/>
      <c r="D2370" s="1" t="b">
        <f t="shared" si="199"/>
        <v>1</v>
      </c>
      <c r="E2370" s="344"/>
      <c r="H2370" s="1" t="b">
        <f t="shared" si="196"/>
        <v>0</v>
      </c>
      <c r="I2370" s="1" t="s">
        <v>1971</v>
      </c>
      <c r="K2370" s="1" t="b">
        <v>1</v>
      </c>
    </row>
    <row r="2371" spans="1:11">
      <c r="A2371" s="1" t="s">
        <v>1957</v>
      </c>
      <c r="B2371" s="374" t="str">
        <f>报表附注!E2920</f>
        <v>4．政府补助</v>
      </c>
      <c r="C2371" s="325"/>
      <c r="D2371" s="1" t="b">
        <f t="shared" si="199"/>
        <v>1</v>
      </c>
      <c r="E2371" s="344"/>
      <c r="H2371" s="1" t="b">
        <f t="shared" si="196"/>
        <v>0</v>
      </c>
      <c r="I2371" s="1" t="s">
        <v>1972</v>
      </c>
      <c r="K2371" s="1" t="b">
        <v>1</v>
      </c>
    </row>
    <row r="2372" spans="1:11">
      <c r="A2372" s="1" t="s">
        <v>1958</v>
      </c>
      <c r="B2372" s="374" t="str">
        <f>报表附注!E2921</f>
        <v>5．盘盈利得</v>
      </c>
      <c r="C2372" s="325"/>
      <c r="D2372" s="1" t="b">
        <f t="shared" si="199"/>
        <v>1</v>
      </c>
      <c r="E2372" s="344"/>
      <c r="H2372" s="1" t="b">
        <f t="shared" ref="H2372:H2435" si="200">I2372=B2372</f>
        <v>0</v>
      </c>
      <c r="I2372" s="1" t="s">
        <v>1973</v>
      </c>
      <c r="K2372" s="1" t="b">
        <v>1</v>
      </c>
    </row>
    <row r="2373" spans="1:11">
      <c r="A2373" s="1" t="s">
        <v>1959</v>
      </c>
      <c r="B2373" s="374" t="str">
        <f>报表附注!E2922</f>
        <v>6．捐赠利得</v>
      </c>
      <c r="C2373" s="325"/>
      <c r="D2373" s="1" t="b">
        <f t="shared" si="199"/>
        <v>1</v>
      </c>
      <c r="E2373" s="344"/>
      <c r="H2373" s="1" t="b">
        <f t="shared" si="200"/>
        <v>0</v>
      </c>
      <c r="I2373" s="1" t="s">
        <v>1974</v>
      </c>
      <c r="K2373" s="1" t="b">
        <v>1</v>
      </c>
    </row>
    <row r="2374" spans="1:11">
      <c r="A2374" s="1" t="s">
        <v>1960</v>
      </c>
      <c r="B2374" s="374" t="str">
        <f>报表附注!E2923</f>
        <v>7．罚款收入</v>
      </c>
      <c r="C2374" s="325"/>
      <c r="D2374" s="1" t="b">
        <f t="shared" si="199"/>
        <v>1</v>
      </c>
      <c r="E2374" s="344"/>
      <c r="H2374" s="1" t="b">
        <f t="shared" si="200"/>
        <v>0</v>
      </c>
      <c r="I2374" s="1" t="s">
        <v>1206</v>
      </c>
      <c r="K2374" s="1" t="b">
        <v>1</v>
      </c>
    </row>
    <row r="2375" spans="1:11">
      <c r="A2375" s="1" t="s">
        <v>1961</v>
      </c>
      <c r="B2375" s="374" t="str">
        <f>报表附注!E2924</f>
        <v>8．其他</v>
      </c>
      <c r="C2375" s="325"/>
      <c r="D2375" s="1" t="b">
        <f t="shared" si="199"/>
        <v>1</v>
      </c>
      <c r="E2375" s="344"/>
      <c r="H2375" s="1" t="b">
        <f t="shared" si="200"/>
        <v>0</v>
      </c>
      <c r="I2375" s="1" t="s">
        <v>1963</v>
      </c>
      <c r="K2375" s="1" t="b">
        <v>1</v>
      </c>
    </row>
    <row r="2376" spans="1:11">
      <c r="A2376" s="1" t="s">
        <v>1206</v>
      </c>
      <c r="B2376" s="324" t="str">
        <f>报表附注!E2925</f>
        <v>合  计</v>
      </c>
      <c r="C2376" s="325"/>
      <c r="D2376" s="1" t="b">
        <f t="shared" si="199"/>
        <v>1</v>
      </c>
      <c r="E2376" s="344"/>
      <c r="H2376" s="1" t="b">
        <f t="shared" si="200"/>
        <v>0</v>
      </c>
      <c r="I2376" s="1" t="s">
        <v>1965</v>
      </c>
      <c r="K2376" s="1" t="b">
        <v>1</v>
      </c>
    </row>
    <row r="2377" spans="1:11">
      <c r="A2377" s="1" t="s">
        <v>1963</v>
      </c>
      <c r="B2377" s="335" t="s">
        <v>1963</v>
      </c>
      <c r="C2377" s="330"/>
      <c r="D2377" s="1" t="b">
        <f t="shared" si="199"/>
        <v>1</v>
      </c>
      <c r="H2377" s="1" t="b">
        <f t="shared" si="200"/>
        <v>0</v>
      </c>
      <c r="I2377" s="1" t="s">
        <v>1966</v>
      </c>
      <c r="K2377" s="1" t="b">
        <v>1</v>
      </c>
    </row>
    <row r="2378" spans="1:11">
      <c r="A2378" s="1" t="s">
        <v>1952</v>
      </c>
      <c r="B2378" s="374" t="str">
        <f>报表附注!E2915</f>
        <v>1．处置非流动资产利得小计</v>
      </c>
      <c r="C2378" s="325"/>
      <c r="D2378" s="1" t="b">
        <f t="shared" si="199"/>
        <v>1</v>
      </c>
      <c r="E2378" s="325">
        <f>C2366</f>
        <v>0</v>
      </c>
      <c r="H2378" s="1" t="b">
        <f t="shared" si="200"/>
        <v>0</v>
      </c>
      <c r="I2378" s="1" t="s">
        <v>1967</v>
      </c>
      <c r="K2378" s="1" t="b">
        <v>1</v>
      </c>
    </row>
    <row r="2379" spans="1:11">
      <c r="A2379" s="1" t="s">
        <v>1953</v>
      </c>
      <c r="B2379" s="374" t="str">
        <f>报表附注!E2916</f>
        <v>其中：处置固定资产利得</v>
      </c>
      <c r="C2379" s="325"/>
      <c r="D2379" s="1" t="b">
        <f t="shared" si="199"/>
        <v>1</v>
      </c>
      <c r="E2379" s="325">
        <f t="shared" ref="E2379:E2388" si="201">C2367</f>
        <v>0</v>
      </c>
      <c r="H2379" s="1" t="b">
        <f t="shared" si="200"/>
        <v>0</v>
      </c>
      <c r="I2379" s="1" t="s">
        <v>1968</v>
      </c>
      <c r="K2379" s="1" t="b">
        <v>1</v>
      </c>
    </row>
    <row r="2380" spans="1:11">
      <c r="A2380" s="1" t="s">
        <v>1954</v>
      </c>
      <c r="B2380" s="374" t="str">
        <f>报表附注!E2917</f>
        <v>      处置无形资产利得</v>
      </c>
      <c r="C2380" s="325"/>
      <c r="D2380" s="1" t="b">
        <f t="shared" si="199"/>
        <v>1</v>
      </c>
      <c r="E2380" s="325">
        <f t="shared" si="201"/>
        <v>0</v>
      </c>
      <c r="H2380" s="1" t="b">
        <f t="shared" si="200"/>
        <v>0</v>
      </c>
      <c r="I2380" s="1" t="s">
        <v>1969</v>
      </c>
      <c r="K2380" s="1" t="b">
        <v>1</v>
      </c>
    </row>
    <row r="2381" spans="1:11">
      <c r="A2381" s="1" t="s">
        <v>1955</v>
      </c>
      <c r="B2381" s="374" t="str">
        <f>报表附注!E2918</f>
        <v>2．非货币性资产交换利得</v>
      </c>
      <c r="C2381" s="325"/>
      <c r="D2381" s="1" t="b">
        <f t="shared" si="199"/>
        <v>1</v>
      </c>
      <c r="E2381" s="325">
        <f t="shared" si="201"/>
        <v>0</v>
      </c>
      <c r="H2381" s="1" t="b">
        <f t="shared" si="200"/>
        <v>0</v>
      </c>
      <c r="I2381" s="1" t="s">
        <v>1970</v>
      </c>
      <c r="K2381" s="1" t="b">
        <v>1</v>
      </c>
    </row>
    <row r="2382" spans="1:11">
      <c r="A2382" s="1" t="s">
        <v>1956</v>
      </c>
      <c r="B2382" s="374" t="str">
        <f>报表附注!E2919</f>
        <v>3．债务重组利得</v>
      </c>
      <c r="C2382" s="325"/>
      <c r="D2382" s="1" t="b">
        <f t="shared" si="199"/>
        <v>1</v>
      </c>
      <c r="E2382" s="325">
        <f t="shared" si="201"/>
        <v>0</v>
      </c>
      <c r="H2382" s="1" t="b">
        <f t="shared" si="200"/>
        <v>0</v>
      </c>
      <c r="I2382" s="1" t="s">
        <v>1971</v>
      </c>
      <c r="K2382" s="1" t="b">
        <v>1</v>
      </c>
    </row>
    <row r="2383" spans="1:11">
      <c r="A2383" s="1" t="s">
        <v>1957</v>
      </c>
      <c r="B2383" s="374" t="str">
        <f>报表附注!E2920</f>
        <v>4．政府补助</v>
      </c>
      <c r="C2383" s="325"/>
      <c r="D2383" s="1" t="b">
        <f t="shared" si="199"/>
        <v>1</v>
      </c>
      <c r="E2383" s="325">
        <f t="shared" si="201"/>
        <v>0</v>
      </c>
      <c r="H2383" s="1" t="b">
        <f t="shared" si="200"/>
        <v>0</v>
      </c>
      <c r="I2383" s="1" t="s">
        <v>1972</v>
      </c>
      <c r="K2383" s="1" t="b">
        <v>1</v>
      </c>
    </row>
    <row r="2384" spans="1:11">
      <c r="A2384" s="1" t="s">
        <v>1958</v>
      </c>
      <c r="B2384" s="374" t="str">
        <f>报表附注!E2921</f>
        <v>5．盘盈利得</v>
      </c>
      <c r="C2384" s="325"/>
      <c r="D2384" s="1" t="b">
        <f t="shared" si="199"/>
        <v>1</v>
      </c>
      <c r="E2384" s="325">
        <f t="shared" si="201"/>
        <v>0</v>
      </c>
      <c r="H2384" s="1" t="b">
        <f t="shared" si="200"/>
        <v>0</v>
      </c>
      <c r="I2384" s="1" t="s">
        <v>1973</v>
      </c>
      <c r="K2384" s="1" t="b">
        <v>1</v>
      </c>
    </row>
    <row r="2385" spans="1:11">
      <c r="A2385" s="1" t="s">
        <v>1959</v>
      </c>
      <c r="B2385" s="374" t="str">
        <f>报表附注!E2922</f>
        <v>6．捐赠利得</v>
      </c>
      <c r="C2385" s="325"/>
      <c r="D2385" s="1" t="b">
        <f t="shared" si="199"/>
        <v>1</v>
      </c>
      <c r="E2385" s="325">
        <f t="shared" si="201"/>
        <v>0</v>
      </c>
      <c r="H2385" s="1" t="b">
        <f t="shared" si="200"/>
        <v>0</v>
      </c>
      <c r="I2385" s="1" t="s">
        <v>1974</v>
      </c>
      <c r="K2385" s="1" t="b">
        <v>1</v>
      </c>
    </row>
    <row r="2386" spans="1:11">
      <c r="A2386" s="1" t="s">
        <v>1960</v>
      </c>
      <c r="B2386" s="374" t="str">
        <f>报表附注!E2923</f>
        <v>7．罚款收入</v>
      </c>
      <c r="C2386" s="325"/>
      <c r="D2386" s="1" t="b">
        <f t="shared" si="199"/>
        <v>1</v>
      </c>
      <c r="E2386" s="325">
        <f t="shared" si="201"/>
        <v>0</v>
      </c>
      <c r="H2386" s="1" t="b">
        <f t="shared" si="200"/>
        <v>0</v>
      </c>
      <c r="I2386" s="1" t="s">
        <v>1206</v>
      </c>
      <c r="K2386" s="1" t="b">
        <v>1</v>
      </c>
    </row>
    <row r="2387" spans="1:11">
      <c r="A2387" s="1" t="s">
        <v>1961</v>
      </c>
      <c r="B2387" s="374" t="str">
        <f>报表附注!E2924</f>
        <v>8．其他</v>
      </c>
      <c r="C2387" s="325"/>
      <c r="D2387" s="1" t="b">
        <f t="shared" si="199"/>
        <v>1</v>
      </c>
      <c r="E2387" s="325">
        <f t="shared" si="201"/>
        <v>0</v>
      </c>
      <c r="H2387" s="1" t="b">
        <f t="shared" si="200"/>
        <v>0</v>
      </c>
      <c r="K2387" s="1" t="b">
        <v>1</v>
      </c>
    </row>
    <row r="2388" spans="1:11">
      <c r="A2388" s="1" t="s">
        <v>1206</v>
      </c>
      <c r="B2388" s="324" t="str">
        <f>报表附注!E2925</f>
        <v>合  计</v>
      </c>
      <c r="C2388" s="325"/>
      <c r="D2388" s="1" t="b">
        <f t="shared" si="199"/>
        <v>1</v>
      </c>
      <c r="E2388" s="325">
        <f t="shared" si="201"/>
        <v>0</v>
      </c>
      <c r="H2388" s="1" t="b">
        <f t="shared" si="200"/>
        <v>0</v>
      </c>
      <c r="I2388" s="1" t="s">
        <v>1975</v>
      </c>
      <c r="K2388" s="1" t="b">
        <v>1</v>
      </c>
    </row>
    <row r="2389" spans="3:11">
      <c r="C2389" s="330"/>
      <c r="D2389" s="1" t="b">
        <f t="shared" si="199"/>
        <v>1</v>
      </c>
      <c r="H2389" s="1" t="b">
        <f t="shared" si="200"/>
        <v>0</v>
      </c>
      <c r="I2389" s="1" t="s">
        <v>1906</v>
      </c>
      <c r="K2389" s="1" t="b">
        <v>1</v>
      </c>
    </row>
    <row r="2390" spans="1:11">
      <c r="A2390" s="1" t="s">
        <v>1964</v>
      </c>
      <c r="B2390" s="331" t="s">
        <v>1964</v>
      </c>
      <c r="C2390" s="330"/>
      <c r="D2390" s="1" t="b">
        <f t="shared" si="199"/>
        <v>1</v>
      </c>
      <c r="F2390" s="389" t="s">
        <v>314</v>
      </c>
      <c r="G2390" s="389" t="s">
        <v>1906</v>
      </c>
      <c r="H2390" s="1" t="b">
        <f t="shared" si="200"/>
        <v>0</v>
      </c>
      <c r="I2390" s="1" t="s">
        <v>1411</v>
      </c>
      <c r="K2390" s="1" t="b">
        <v>1</v>
      </c>
    </row>
    <row r="2391" spans="1:11">
      <c r="A2391" s="1" t="s">
        <v>1906</v>
      </c>
      <c r="B2391" s="335" t="s">
        <v>1906</v>
      </c>
      <c r="C2391" s="330"/>
      <c r="D2391" s="1" t="b">
        <f t="shared" si="199"/>
        <v>1</v>
      </c>
      <c r="F2391" s="389" t="s">
        <v>4623</v>
      </c>
      <c r="G2391" s="389"/>
      <c r="H2391" s="1" t="b">
        <f t="shared" si="200"/>
        <v>0</v>
      </c>
      <c r="I2391" s="1" t="s">
        <v>1976</v>
      </c>
      <c r="K2391" s="1" t="b">
        <v>1</v>
      </c>
    </row>
    <row r="2392" spans="1:11">
      <c r="A2392" s="1" t="s">
        <v>1965</v>
      </c>
      <c r="B2392" s="313" t="str">
        <f>报表附注!E2981</f>
        <v>１．处置非流动资损失合计</v>
      </c>
      <c r="C2392" s="322">
        <f>G2391</f>
        <v>0</v>
      </c>
      <c r="D2392" s="1" t="b">
        <f t="shared" si="199"/>
        <v>1</v>
      </c>
      <c r="E2392" s="315"/>
      <c r="F2392" s="389" t="s">
        <v>4624</v>
      </c>
      <c r="G2392" s="389"/>
      <c r="H2392" s="1" t="b">
        <f t="shared" si="200"/>
        <v>0</v>
      </c>
      <c r="I2392" s="1" t="s">
        <v>1977</v>
      </c>
      <c r="K2392" s="1" t="b">
        <v>1</v>
      </c>
    </row>
    <row r="2393" spans="1:11">
      <c r="A2393" s="1" t="s">
        <v>1966</v>
      </c>
      <c r="B2393" s="313" t="str">
        <f>报表附注!E2982</f>
        <v>  其中：处置固定资产损失</v>
      </c>
      <c r="C2393" s="322">
        <f>G2392</f>
        <v>0</v>
      </c>
      <c r="D2393" s="1" t="b">
        <f t="shared" si="199"/>
        <v>1</v>
      </c>
      <c r="E2393" s="315"/>
      <c r="F2393" s="389" t="s">
        <v>4625</v>
      </c>
      <c r="G2393" s="389"/>
      <c r="H2393" s="1" t="b">
        <f t="shared" si="200"/>
        <v>0</v>
      </c>
      <c r="I2393" s="1" t="s">
        <v>1910</v>
      </c>
      <c r="K2393" s="1" t="b">
        <v>1</v>
      </c>
    </row>
    <row r="2394" spans="1:11">
      <c r="A2394" s="1" t="s">
        <v>1967</v>
      </c>
      <c r="B2394" s="313" t="str">
        <f>报表附注!E2983</f>
        <v>          处置无形资产损失</v>
      </c>
      <c r="C2394" s="322">
        <f>G2393</f>
        <v>0</v>
      </c>
      <c r="D2394" s="1" t="b">
        <f t="shared" si="199"/>
        <v>1</v>
      </c>
      <c r="E2394" s="315"/>
      <c r="F2394" s="389" t="s">
        <v>4626</v>
      </c>
      <c r="G2394" s="389"/>
      <c r="H2394" s="1" t="b">
        <f t="shared" si="200"/>
        <v>0</v>
      </c>
      <c r="I2394" s="1" t="s">
        <v>1411</v>
      </c>
      <c r="K2394" s="1" t="b">
        <v>1</v>
      </c>
    </row>
    <row r="2395" spans="1:11">
      <c r="A2395" s="1" t="s">
        <v>1968</v>
      </c>
      <c r="B2395" s="313" t="str">
        <f>报表附注!E2984</f>
        <v>２．非贷币性资产交换损失</v>
      </c>
      <c r="C2395" s="322">
        <f>G2395</f>
        <v>0</v>
      </c>
      <c r="D2395" s="1" t="b">
        <f t="shared" si="199"/>
        <v>1</v>
      </c>
      <c r="E2395" s="315"/>
      <c r="F2395" s="389" t="s">
        <v>4627</v>
      </c>
      <c r="G2395" s="389"/>
      <c r="H2395" s="1" t="b">
        <f t="shared" si="200"/>
        <v>0</v>
      </c>
      <c r="I2395" s="1" t="s">
        <v>1976</v>
      </c>
      <c r="K2395" s="1" t="b">
        <v>1</v>
      </c>
    </row>
    <row r="2396" spans="1:11">
      <c r="A2396" s="1" t="s">
        <v>1969</v>
      </c>
      <c r="B2396" s="313" t="str">
        <f>报表附注!E2985</f>
        <v>３．债务重组损失</v>
      </c>
      <c r="C2396" s="322">
        <f>G2394</f>
        <v>0</v>
      </c>
      <c r="D2396" s="1" t="b">
        <f t="shared" si="199"/>
        <v>1</v>
      </c>
      <c r="E2396" s="315"/>
      <c r="F2396" s="389" t="s">
        <v>4628</v>
      </c>
      <c r="G2396" s="389"/>
      <c r="H2396" s="1" t="b">
        <f t="shared" si="200"/>
        <v>0</v>
      </c>
      <c r="I2396" s="1" t="s">
        <v>1977</v>
      </c>
      <c r="K2396" s="1" t="b">
        <v>1</v>
      </c>
    </row>
    <row r="2397" spans="1:11">
      <c r="A2397" s="1" t="s">
        <v>1970</v>
      </c>
      <c r="B2397" s="313" t="str">
        <f>报表附注!E2986</f>
        <v>４．公益性捐赠支出</v>
      </c>
      <c r="C2397" s="322">
        <f>G2396</f>
        <v>0</v>
      </c>
      <c r="D2397" s="1" t="b">
        <f t="shared" si="199"/>
        <v>1</v>
      </c>
      <c r="E2397" s="315"/>
      <c r="F2397" s="389" t="s">
        <v>4629</v>
      </c>
      <c r="G2397" s="389"/>
      <c r="H2397" s="1" t="b">
        <f t="shared" si="200"/>
        <v>0</v>
      </c>
      <c r="K2397" s="1" t="b">
        <v>1</v>
      </c>
    </row>
    <row r="2398" spans="1:11">
      <c r="A2398" s="1" t="s">
        <v>1971</v>
      </c>
      <c r="B2398" s="313" t="str">
        <f>报表附注!E2987</f>
        <v>５．非常损失</v>
      </c>
      <c r="C2398" s="322"/>
      <c r="D2398" s="1" t="b">
        <f t="shared" si="199"/>
        <v>1</v>
      </c>
      <c r="E2398" s="315"/>
      <c r="F2398" s="389" t="s">
        <v>4630</v>
      </c>
      <c r="G2398" s="389"/>
      <c r="H2398" s="1" t="b">
        <f t="shared" si="200"/>
        <v>0</v>
      </c>
      <c r="K2398" s="1" t="b">
        <v>1</v>
      </c>
    </row>
    <row r="2399" spans="1:11">
      <c r="A2399" s="1" t="s">
        <v>1972</v>
      </c>
      <c r="B2399" s="313" t="str">
        <f>报表附注!E2988</f>
        <v>６．盘亏损失</v>
      </c>
      <c r="C2399" s="322">
        <f>G2398</f>
        <v>0</v>
      </c>
      <c r="D2399" s="1" t="b">
        <f t="shared" si="199"/>
        <v>1</v>
      </c>
      <c r="E2399" s="315"/>
      <c r="F2399" s="389" t="s">
        <v>4631</v>
      </c>
      <c r="G2399" s="389"/>
      <c r="H2399" s="1" t="b">
        <f t="shared" si="200"/>
        <v>0</v>
      </c>
      <c r="I2399" s="1" t="s">
        <v>1978</v>
      </c>
      <c r="K2399" s="1" t="b">
        <v>1</v>
      </c>
    </row>
    <row r="2400" spans="1:11">
      <c r="A2400" s="1" t="s">
        <v>1973</v>
      </c>
      <c r="B2400" s="313" t="str">
        <f>报表附注!E2989</f>
        <v>７．罚款支出</v>
      </c>
      <c r="C2400" s="322">
        <f>G2397</f>
        <v>0</v>
      </c>
      <c r="D2400" s="1" t="b">
        <f t="shared" si="199"/>
        <v>1</v>
      </c>
      <c r="E2400" s="315"/>
      <c r="F2400" s="389" t="s">
        <v>4632</v>
      </c>
      <c r="G2400" s="389"/>
      <c r="H2400" s="1" t="b">
        <f t="shared" si="200"/>
        <v>0</v>
      </c>
      <c r="K2400" s="1" t="b">
        <v>1</v>
      </c>
    </row>
    <row r="2401" spans="1:11">
      <c r="A2401" s="1" t="s">
        <v>1974</v>
      </c>
      <c r="B2401" s="313" t="str">
        <f>报表附注!E2990</f>
        <v>８．其他</v>
      </c>
      <c r="C2401" s="322">
        <f>G2399</f>
        <v>0</v>
      </c>
      <c r="D2401" s="1" t="b">
        <f t="shared" si="199"/>
        <v>1</v>
      </c>
      <c r="E2401" s="315"/>
      <c r="F2401" s="389"/>
      <c r="G2401" s="389"/>
      <c r="H2401" s="1" t="b">
        <f t="shared" si="200"/>
        <v>0</v>
      </c>
      <c r="I2401" s="1" t="s">
        <v>1979</v>
      </c>
      <c r="K2401" s="1" t="b">
        <v>1</v>
      </c>
    </row>
    <row r="2402" spans="1:11">
      <c r="A2402" s="1" t="s">
        <v>1206</v>
      </c>
      <c r="B2402" s="324" t="str">
        <f>报表附注!E2991</f>
        <v>合  计</v>
      </c>
      <c r="C2402" s="322">
        <f>G2402</f>
        <v>0</v>
      </c>
      <c r="D2402" s="1" t="b">
        <f t="shared" si="199"/>
        <v>1</v>
      </c>
      <c r="E2402" s="315"/>
      <c r="F2402" s="389" t="s">
        <v>1206</v>
      </c>
      <c r="G2402" s="389"/>
      <c r="H2402" s="1" t="b">
        <f t="shared" si="200"/>
        <v>0</v>
      </c>
      <c r="I2402" s="1" t="s">
        <v>1980</v>
      </c>
      <c r="K2402" s="1" t="b">
        <v>1</v>
      </c>
    </row>
    <row r="2403" spans="1:11">
      <c r="A2403" s="1" t="s">
        <v>1910</v>
      </c>
      <c r="B2403" s="335" t="s">
        <v>1910</v>
      </c>
      <c r="C2403" s="330"/>
      <c r="D2403" s="1" t="b">
        <f t="shared" si="199"/>
        <v>1</v>
      </c>
      <c r="H2403" s="1" t="b">
        <f t="shared" si="200"/>
        <v>0</v>
      </c>
      <c r="I2403" s="1" t="s">
        <v>1993</v>
      </c>
      <c r="K2403" s="1" t="b">
        <v>0</v>
      </c>
    </row>
    <row r="2404" spans="1:11">
      <c r="A2404" s="1" t="s">
        <v>1965</v>
      </c>
      <c r="B2404" s="313" t="str">
        <f>报表附注!E2981</f>
        <v>１．处置非流动资损失合计</v>
      </c>
      <c r="C2404" s="325"/>
      <c r="D2404" s="1" t="b">
        <f t="shared" si="199"/>
        <v>1</v>
      </c>
      <c r="E2404" s="325">
        <f>C2392</f>
        <v>0</v>
      </c>
      <c r="H2404" s="1" t="b">
        <f t="shared" si="200"/>
        <v>0</v>
      </c>
      <c r="I2404" s="1" t="s">
        <v>1994</v>
      </c>
      <c r="K2404" s="1" t="b">
        <v>0</v>
      </c>
    </row>
    <row r="2405" spans="1:11">
      <c r="A2405" s="1" t="s">
        <v>1966</v>
      </c>
      <c r="B2405" s="313" t="str">
        <f>报表附注!E2982</f>
        <v>  其中：处置固定资产损失</v>
      </c>
      <c r="C2405" s="325"/>
      <c r="D2405" s="1" t="b">
        <f t="shared" si="199"/>
        <v>1</v>
      </c>
      <c r="E2405" s="325">
        <f t="shared" ref="E2405:E2414" si="202">C2393</f>
        <v>0</v>
      </c>
      <c r="H2405" s="1" t="b">
        <f t="shared" si="200"/>
        <v>0</v>
      </c>
      <c r="I2405" s="1" t="s">
        <v>1984</v>
      </c>
      <c r="K2405" s="1" t="b">
        <v>0</v>
      </c>
    </row>
    <row r="2406" spans="1:11">
      <c r="A2406" s="1" t="s">
        <v>1967</v>
      </c>
      <c r="B2406" s="313" t="str">
        <f>报表附注!E2983</f>
        <v>          处置无形资产损失</v>
      </c>
      <c r="C2406" s="325"/>
      <c r="D2406" s="1" t="b">
        <f t="shared" si="199"/>
        <v>1</v>
      </c>
      <c r="E2406" s="325">
        <f t="shared" si="202"/>
        <v>0</v>
      </c>
      <c r="H2406" s="1" t="b">
        <f t="shared" si="200"/>
        <v>0</v>
      </c>
      <c r="I2406" s="1" t="s">
        <v>1762</v>
      </c>
      <c r="K2406" s="1" t="b">
        <v>0</v>
      </c>
    </row>
    <row r="2407" spans="1:11">
      <c r="A2407" s="1" t="s">
        <v>1968</v>
      </c>
      <c r="B2407" s="313" t="str">
        <f>报表附注!E2984</f>
        <v>２．非贷币性资产交换损失</v>
      </c>
      <c r="C2407" s="325"/>
      <c r="D2407" s="1" t="b">
        <f t="shared" si="199"/>
        <v>1</v>
      </c>
      <c r="E2407" s="325">
        <f t="shared" si="202"/>
        <v>0</v>
      </c>
      <c r="H2407" s="1" t="b">
        <f t="shared" si="200"/>
        <v>0</v>
      </c>
      <c r="I2407" s="1">
        <v>0</v>
      </c>
      <c r="K2407" s="1" t="b">
        <v>0</v>
      </c>
    </row>
    <row r="2408" spans="1:11">
      <c r="A2408" s="1" t="s">
        <v>1969</v>
      </c>
      <c r="B2408" s="313" t="str">
        <f>报表附注!E2985</f>
        <v>３．债务重组损失</v>
      </c>
      <c r="C2408" s="325"/>
      <c r="D2408" s="1" t="b">
        <f t="shared" si="199"/>
        <v>1</v>
      </c>
      <c r="E2408" s="325">
        <f t="shared" si="202"/>
        <v>0</v>
      </c>
      <c r="H2408" s="1" t="b">
        <f t="shared" si="200"/>
        <v>0</v>
      </c>
      <c r="I2408" s="1">
        <v>0</v>
      </c>
      <c r="K2408" s="1" t="b">
        <v>0</v>
      </c>
    </row>
    <row r="2409" spans="1:11">
      <c r="A2409" s="1" t="s">
        <v>1970</v>
      </c>
      <c r="B2409" s="313" t="str">
        <f>报表附注!E2986</f>
        <v>４．公益性捐赠支出</v>
      </c>
      <c r="C2409" s="325"/>
      <c r="D2409" s="1" t="b">
        <f t="shared" si="199"/>
        <v>1</v>
      </c>
      <c r="E2409" s="325">
        <f t="shared" si="202"/>
        <v>0</v>
      </c>
      <c r="H2409" s="1" t="b">
        <f t="shared" si="200"/>
        <v>0</v>
      </c>
      <c r="I2409" s="1">
        <v>0</v>
      </c>
      <c r="K2409" s="1" t="b">
        <v>0</v>
      </c>
    </row>
    <row r="2410" spans="1:11">
      <c r="A2410" s="1" t="s">
        <v>1971</v>
      </c>
      <c r="B2410" s="313" t="str">
        <f>报表附注!E2987</f>
        <v>５．非常损失</v>
      </c>
      <c r="C2410" s="325"/>
      <c r="D2410" s="1" t="b">
        <f t="shared" si="199"/>
        <v>1</v>
      </c>
      <c r="E2410" s="325">
        <f t="shared" si="202"/>
        <v>0</v>
      </c>
      <c r="H2410" s="1" t="b">
        <f t="shared" si="200"/>
        <v>0</v>
      </c>
      <c r="I2410" s="1" t="s">
        <v>4633</v>
      </c>
      <c r="K2410" s="1" t="b">
        <v>0</v>
      </c>
    </row>
    <row r="2411" spans="1:11">
      <c r="A2411" s="1" t="s">
        <v>1972</v>
      </c>
      <c r="B2411" s="313" t="str">
        <f>报表附注!E2988</f>
        <v>６．盘亏损失</v>
      </c>
      <c r="C2411" s="325"/>
      <c r="D2411" s="1" t="b">
        <f t="shared" si="199"/>
        <v>1</v>
      </c>
      <c r="E2411" s="325">
        <f t="shared" si="202"/>
        <v>0</v>
      </c>
      <c r="H2411" s="1" t="b">
        <f t="shared" si="200"/>
        <v>0</v>
      </c>
      <c r="I2411" s="1" t="s">
        <v>3687</v>
      </c>
      <c r="K2411" s="1" t="b">
        <v>0</v>
      </c>
    </row>
    <row r="2412" spans="1:11">
      <c r="A2412" s="1" t="s">
        <v>1973</v>
      </c>
      <c r="B2412" s="313" t="str">
        <f>报表附注!E2989</f>
        <v>７．罚款支出</v>
      </c>
      <c r="C2412" s="325"/>
      <c r="D2412" s="1" t="b">
        <f t="shared" si="199"/>
        <v>1</v>
      </c>
      <c r="E2412" s="325">
        <f t="shared" si="202"/>
        <v>0</v>
      </c>
      <c r="H2412" s="1" t="b">
        <f t="shared" si="200"/>
        <v>0</v>
      </c>
      <c r="I2412" s="1" t="s">
        <v>3686</v>
      </c>
      <c r="K2412" s="1" t="b">
        <v>0</v>
      </c>
    </row>
    <row r="2413" spans="1:11">
      <c r="A2413" s="1" t="s">
        <v>1974</v>
      </c>
      <c r="B2413" s="313" t="str">
        <f>报表附注!E2990</f>
        <v>８．其他</v>
      </c>
      <c r="C2413" s="325"/>
      <c r="D2413" s="1" t="b">
        <f t="shared" si="199"/>
        <v>1</v>
      </c>
      <c r="E2413" s="325">
        <f t="shared" si="202"/>
        <v>0</v>
      </c>
      <c r="H2413" s="1" t="b">
        <f t="shared" si="200"/>
        <v>0</v>
      </c>
      <c r="I2413" s="1" t="s">
        <v>3690</v>
      </c>
      <c r="K2413" s="1" t="b">
        <v>0</v>
      </c>
    </row>
    <row r="2414" spans="1:11">
      <c r="A2414" s="1" t="s">
        <v>1206</v>
      </c>
      <c r="B2414" s="324" t="str">
        <f>报表附注!E2991</f>
        <v>合  计</v>
      </c>
      <c r="C2414" s="325"/>
      <c r="D2414" s="1" t="b">
        <f t="shared" si="199"/>
        <v>1</v>
      </c>
      <c r="E2414" s="325">
        <f t="shared" si="202"/>
        <v>0</v>
      </c>
      <c r="H2414" s="1" t="b">
        <f t="shared" si="200"/>
        <v>0</v>
      </c>
      <c r="I2414" s="1" t="s">
        <v>3691</v>
      </c>
      <c r="K2414" s="1" t="b">
        <v>0</v>
      </c>
    </row>
    <row r="2415" spans="1:11">
      <c r="A2415" s="1" t="s">
        <v>1962</v>
      </c>
      <c r="B2415" s="335" t="s">
        <v>1962</v>
      </c>
      <c r="C2415" s="330"/>
      <c r="D2415" s="1" t="b">
        <f t="shared" si="199"/>
        <v>1</v>
      </c>
      <c r="H2415" s="1" t="b">
        <f t="shared" si="200"/>
        <v>0</v>
      </c>
      <c r="I2415" s="1" t="s">
        <v>3693</v>
      </c>
      <c r="K2415" s="1" t="b">
        <v>0</v>
      </c>
    </row>
    <row r="2416" spans="1:11">
      <c r="A2416" s="1" t="s">
        <v>1965</v>
      </c>
      <c r="B2416" s="374" t="str">
        <f>报表附注!E2981</f>
        <v>１．处置非流动资损失合计</v>
      </c>
      <c r="C2416" s="325"/>
      <c r="D2416" s="1" t="b">
        <f t="shared" si="199"/>
        <v>1</v>
      </c>
      <c r="E2416" s="315"/>
      <c r="H2416" s="1" t="b">
        <f t="shared" si="200"/>
        <v>0</v>
      </c>
      <c r="I2416" s="1" t="s">
        <v>3694</v>
      </c>
      <c r="K2416" s="1" t="b">
        <v>0</v>
      </c>
    </row>
    <row r="2417" spans="1:11">
      <c r="A2417" s="1" t="s">
        <v>1966</v>
      </c>
      <c r="B2417" s="374" t="str">
        <f>报表附注!E2982</f>
        <v>  其中：处置固定资产损失</v>
      </c>
      <c r="C2417" s="325"/>
      <c r="D2417" s="1" t="b">
        <f t="shared" si="199"/>
        <v>1</v>
      </c>
      <c r="E2417" s="315"/>
      <c r="H2417" s="1" t="b">
        <f t="shared" si="200"/>
        <v>0</v>
      </c>
      <c r="I2417" s="1">
        <v>0</v>
      </c>
      <c r="K2417" s="1" t="b">
        <v>0</v>
      </c>
    </row>
    <row r="2418" spans="1:11">
      <c r="A2418" s="1" t="s">
        <v>1967</v>
      </c>
      <c r="B2418" s="374" t="str">
        <f>报表附注!E2983</f>
        <v>          处置无形资产损失</v>
      </c>
      <c r="C2418" s="325"/>
      <c r="D2418" s="1" t="b">
        <f t="shared" si="199"/>
        <v>1</v>
      </c>
      <c r="E2418" s="315"/>
      <c r="H2418" s="1" t="b">
        <f t="shared" si="200"/>
        <v>0</v>
      </c>
      <c r="I2418" s="1">
        <v>0</v>
      </c>
      <c r="K2418" s="1" t="b">
        <v>0</v>
      </c>
    </row>
    <row r="2419" spans="1:11">
      <c r="A2419" s="1" t="s">
        <v>1968</v>
      </c>
      <c r="B2419" s="374" t="str">
        <f>报表附注!E2984</f>
        <v>２．非贷币性资产交换损失</v>
      </c>
      <c r="C2419" s="325"/>
      <c r="D2419" s="1" t="b">
        <f t="shared" si="199"/>
        <v>1</v>
      </c>
      <c r="E2419" s="315"/>
      <c r="H2419" s="1" t="b">
        <f t="shared" si="200"/>
        <v>0</v>
      </c>
      <c r="I2419" s="1">
        <v>0</v>
      </c>
      <c r="K2419" s="1" t="b">
        <v>0</v>
      </c>
    </row>
    <row r="2420" spans="1:11">
      <c r="A2420" s="1" t="s">
        <v>1969</v>
      </c>
      <c r="B2420" s="374" t="str">
        <f>报表附注!E2985</f>
        <v>３．债务重组损失</v>
      </c>
      <c r="C2420" s="325"/>
      <c r="D2420" s="1" t="b">
        <f t="shared" si="199"/>
        <v>1</v>
      </c>
      <c r="E2420" s="315"/>
      <c r="H2420" s="1" t="b">
        <f t="shared" si="200"/>
        <v>0</v>
      </c>
      <c r="I2420" s="1">
        <v>0</v>
      </c>
      <c r="K2420" s="1" t="b">
        <v>0</v>
      </c>
    </row>
    <row r="2421" spans="1:11">
      <c r="A2421" s="1" t="s">
        <v>1970</v>
      </c>
      <c r="B2421" s="374" t="str">
        <f>报表附注!E2986</f>
        <v>４．公益性捐赠支出</v>
      </c>
      <c r="C2421" s="325"/>
      <c r="D2421" s="1" t="b">
        <f t="shared" si="199"/>
        <v>1</v>
      </c>
      <c r="E2421" s="315"/>
      <c r="H2421" s="1" t="b">
        <f t="shared" si="200"/>
        <v>0</v>
      </c>
      <c r="I2421" s="1">
        <v>0</v>
      </c>
      <c r="K2421" s="1" t="b">
        <v>0</v>
      </c>
    </row>
    <row r="2422" spans="1:11">
      <c r="A2422" s="1" t="s">
        <v>1971</v>
      </c>
      <c r="B2422" s="374" t="str">
        <f>报表附注!E2987</f>
        <v>５．非常损失</v>
      </c>
      <c r="C2422" s="325"/>
      <c r="D2422" s="1" t="b">
        <f t="shared" si="199"/>
        <v>1</v>
      </c>
      <c r="E2422" s="315"/>
      <c r="H2422" s="1" t="b">
        <f t="shared" si="200"/>
        <v>0</v>
      </c>
      <c r="I2422" s="1">
        <v>0</v>
      </c>
      <c r="K2422" s="1" t="b">
        <v>0</v>
      </c>
    </row>
    <row r="2423" spans="1:11">
      <c r="A2423" s="1" t="s">
        <v>1972</v>
      </c>
      <c r="B2423" s="374" t="str">
        <f>报表附注!E2988</f>
        <v>６．盘亏损失</v>
      </c>
      <c r="C2423" s="325"/>
      <c r="D2423" s="1" t="b">
        <f t="shared" si="199"/>
        <v>1</v>
      </c>
      <c r="E2423" s="315"/>
      <c r="H2423" s="1" t="b">
        <f t="shared" si="200"/>
        <v>0</v>
      </c>
      <c r="I2423" s="1">
        <v>0</v>
      </c>
      <c r="K2423" s="1" t="b">
        <v>0</v>
      </c>
    </row>
    <row r="2424" spans="1:11">
      <c r="A2424" s="1" t="s">
        <v>1973</v>
      </c>
      <c r="B2424" s="374" t="str">
        <f>报表附注!E2989</f>
        <v>７．罚款支出</v>
      </c>
      <c r="C2424" s="325"/>
      <c r="D2424" s="1" t="b">
        <f t="shared" si="199"/>
        <v>1</v>
      </c>
      <c r="E2424" s="315"/>
      <c r="H2424" s="1" t="b">
        <f t="shared" si="200"/>
        <v>0</v>
      </c>
      <c r="I2424" s="1" t="s">
        <v>1995</v>
      </c>
      <c r="K2424" s="1" t="b">
        <v>1</v>
      </c>
    </row>
    <row r="2425" spans="1:11">
      <c r="A2425" s="1" t="s">
        <v>1974</v>
      </c>
      <c r="B2425" s="374" t="str">
        <f>报表附注!E2990</f>
        <v>８．其他</v>
      </c>
      <c r="C2425" s="325"/>
      <c r="D2425" s="1" t="b">
        <f t="shared" si="199"/>
        <v>1</v>
      </c>
      <c r="E2425" s="315"/>
      <c r="H2425" s="1" t="b">
        <f t="shared" si="200"/>
        <v>0</v>
      </c>
      <c r="I2425" s="1" t="s">
        <v>1993</v>
      </c>
      <c r="K2425" s="1" t="b">
        <v>0</v>
      </c>
    </row>
    <row r="2426" spans="1:11">
      <c r="A2426" s="1" t="s">
        <v>1206</v>
      </c>
      <c r="B2426" s="324" t="str">
        <f>报表附注!E2991</f>
        <v>合  计</v>
      </c>
      <c r="C2426" s="325"/>
      <c r="D2426" s="1" t="b">
        <f t="shared" si="199"/>
        <v>1</v>
      </c>
      <c r="E2426" s="315"/>
      <c r="H2426" s="1" t="b">
        <f t="shared" si="200"/>
        <v>0</v>
      </c>
      <c r="I2426" s="1" t="s">
        <v>1994</v>
      </c>
      <c r="K2426" s="1" t="b">
        <v>0</v>
      </c>
    </row>
    <row r="2427" spans="1:11">
      <c r="A2427" s="1" t="s">
        <v>1963</v>
      </c>
      <c r="B2427" s="335" t="s">
        <v>1963</v>
      </c>
      <c r="C2427" s="330"/>
      <c r="D2427" s="1" t="b">
        <f t="shared" si="199"/>
        <v>1</v>
      </c>
      <c r="H2427" s="1" t="b">
        <f t="shared" si="200"/>
        <v>0</v>
      </c>
      <c r="I2427" s="1" t="s">
        <v>1984</v>
      </c>
      <c r="K2427" s="1" t="b">
        <v>0</v>
      </c>
    </row>
    <row r="2428" spans="1:11">
      <c r="A2428" s="1" t="s">
        <v>1965</v>
      </c>
      <c r="B2428" s="374" t="str">
        <f>报表附注!E2981</f>
        <v>１．处置非流动资损失合计</v>
      </c>
      <c r="C2428" s="325"/>
      <c r="D2428" s="1" t="b">
        <f t="shared" si="199"/>
        <v>1</v>
      </c>
      <c r="E2428" s="325">
        <f>C2416</f>
        <v>0</v>
      </c>
      <c r="H2428" s="1" t="b">
        <f t="shared" si="200"/>
        <v>0</v>
      </c>
      <c r="I2428" s="1" t="s">
        <v>1762</v>
      </c>
      <c r="K2428" s="1" t="b">
        <v>0</v>
      </c>
    </row>
    <row r="2429" spans="1:11">
      <c r="A2429" s="1" t="s">
        <v>1966</v>
      </c>
      <c r="B2429" s="374" t="str">
        <f>报表附注!E2982</f>
        <v>  其中：处置固定资产损失</v>
      </c>
      <c r="C2429" s="325"/>
      <c r="D2429" s="1" t="b">
        <f t="shared" si="199"/>
        <v>1</v>
      </c>
      <c r="E2429" s="325">
        <f t="shared" ref="E2429:E2438" si="203">C2417</f>
        <v>0</v>
      </c>
      <c r="H2429" s="1" t="b">
        <f t="shared" si="200"/>
        <v>0</v>
      </c>
      <c r="I2429" s="1">
        <v>0</v>
      </c>
      <c r="K2429" s="1" t="b">
        <v>0</v>
      </c>
    </row>
    <row r="2430" spans="1:11">
      <c r="A2430" s="1" t="s">
        <v>1967</v>
      </c>
      <c r="B2430" s="374" t="str">
        <f>报表附注!E2983</f>
        <v>          处置无形资产损失</v>
      </c>
      <c r="C2430" s="325"/>
      <c r="D2430" s="1" t="b">
        <f t="shared" ref="D2430:D2493" si="204">EXACT(A2430,B2430)</f>
        <v>1</v>
      </c>
      <c r="E2430" s="325">
        <f t="shared" si="203"/>
        <v>0</v>
      </c>
      <c r="H2430" s="1" t="b">
        <f t="shared" si="200"/>
        <v>0</v>
      </c>
      <c r="I2430" s="1">
        <v>0</v>
      </c>
      <c r="K2430" s="1" t="b">
        <v>0</v>
      </c>
    </row>
    <row r="2431" spans="1:11">
      <c r="A2431" s="1" t="s">
        <v>1968</v>
      </c>
      <c r="B2431" s="374" t="str">
        <f>报表附注!E2984</f>
        <v>２．非贷币性资产交换损失</v>
      </c>
      <c r="C2431" s="325"/>
      <c r="D2431" s="1" t="b">
        <f t="shared" si="204"/>
        <v>1</v>
      </c>
      <c r="E2431" s="325">
        <f t="shared" si="203"/>
        <v>0</v>
      </c>
      <c r="H2431" s="1" t="b">
        <f t="shared" si="200"/>
        <v>0</v>
      </c>
      <c r="I2431" s="1">
        <v>0</v>
      </c>
      <c r="K2431" s="1" t="b">
        <v>0</v>
      </c>
    </row>
    <row r="2432" spans="1:11">
      <c r="A2432" s="1" t="s">
        <v>1969</v>
      </c>
      <c r="B2432" s="374" t="str">
        <f>报表附注!E2985</f>
        <v>３．债务重组损失</v>
      </c>
      <c r="C2432" s="325"/>
      <c r="D2432" s="1" t="b">
        <f t="shared" si="204"/>
        <v>1</v>
      </c>
      <c r="E2432" s="325">
        <f t="shared" si="203"/>
        <v>0</v>
      </c>
      <c r="H2432" s="1" t="b">
        <f t="shared" si="200"/>
        <v>0</v>
      </c>
      <c r="I2432" s="1" t="s">
        <v>4633</v>
      </c>
      <c r="K2432" s="1" t="b">
        <v>0</v>
      </c>
    </row>
    <row r="2433" spans="1:11">
      <c r="A2433" s="1" t="s">
        <v>1970</v>
      </c>
      <c r="B2433" s="374" t="str">
        <f>报表附注!E2986</f>
        <v>４．公益性捐赠支出</v>
      </c>
      <c r="C2433" s="325"/>
      <c r="D2433" s="1" t="b">
        <f t="shared" si="204"/>
        <v>1</v>
      </c>
      <c r="E2433" s="325">
        <f t="shared" si="203"/>
        <v>0</v>
      </c>
      <c r="H2433" s="1" t="b">
        <f t="shared" si="200"/>
        <v>0</v>
      </c>
      <c r="I2433" s="1" t="s">
        <v>3687</v>
      </c>
      <c r="K2433" s="1" t="b">
        <v>0</v>
      </c>
    </row>
    <row r="2434" spans="1:11">
      <c r="A2434" s="1" t="s">
        <v>1971</v>
      </c>
      <c r="B2434" s="374" t="str">
        <f>报表附注!E2987</f>
        <v>５．非常损失</v>
      </c>
      <c r="C2434" s="325"/>
      <c r="D2434" s="1" t="b">
        <f t="shared" si="204"/>
        <v>1</v>
      </c>
      <c r="E2434" s="325">
        <f t="shared" si="203"/>
        <v>0</v>
      </c>
      <c r="H2434" s="1" t="b">
        <f t="shared" si="200"/>
        <v>0</v>
      </c>
      <c r="I2434" s="1" t="s">
        <v>3686</v>
      </c>
      <c r="K2434" s="1" t="b">
        <v>0</v>
      </c>
    </row>
    <row r="2435" spans="1:11">
      <c r="A2435" s="1" t="s">
        <v>1972</v>
      </c>
      <c r="B2435" s="374" t="str">
        <f>报表附注!E2988</f>
        <v>６．盘亏损失</v>
      </c>
      <c r="C2435" s="325"/>
      <c r="D2435" s="1" t="b">
        <f t="shared" si="204"/>
        <v>1</v>
      </c>
      <c r="E2435" s="325">
        <f t="shared" si="203"/>
        <v>0</v>
      </c>
      <c r="H2435" s="1" t="b">
        <f t="shared" si="200"/>
        <v>0</v>
      </c>
      <c r="I2435" s="1" t="s">
        <v>3690</v>
      </c>
      <c r="K2435" s="1" t="b">
        <v>0</v>
      </c>
    </row>
    <row r="2436" spans="1:11">
      <c r="A2436" s="1" t="s">
        <v>1973</v>
      </c>
      <c r="B2436" s="374" t="str">
        <f>报表附注!E2989</f>
        <v>７．罚款支出</v>
      </c>
      <c r="C2436" s="325"/>
      <c r="D2436" s="1" t="b">
        <f t="shared" si="204"/>
        <v>1</v>
      </c>
      <c r="E2436" s="325">
        <f t="shared" si="203"/>
        <v>0</v>
      </c>
      <c r="H2436" s="1" t="b">
        <f t="shared" ref="H2436:H2499" si="205">I2436=B2436</f>
        <v>0</v>
      </c>
      <c r="I2436" s="1" t="s">
        <v>3691</v>
      </c>
      <c r="K2436" s="1" t="b">
        <v>0</v>
      </c>
    </row>
    <row r="2437" spans="1:11">
      <c r="A2437" s="1" t="s">
        <v>1974</v>
      </c>
      <c r="B2437" s="374" t="str">
        <f>报表附注!E2990</f>
        <v>８．其他</v>
      </c>
      <c r="C2437" s="325"/>
      <c r="D2437" s="1" t="b">
        <f t="shared" si="204"/>
        <v>1</v>
      </c>
      <c r="E2437" s="325">
        <f t="shared" si="203"/>
        <v>0</v>
      </c>
      <c r="H2437" s="1" t="b">
        <f t="shared" si="205"/>
        <v>0</v>
      </c>
      <c r="I2437" s="1" t="s">
        <v>3693</v>
      </c>
      <c r="K2437" s="1" t="b">
        <v>0</v>
      </c>
    </row>
    <row r="2438" spans="1:11">
      <c r="A2438" s="1" t="s">
        <v>1206</v>
      </c>
      <c r="B2438" s="324" t="str">
        <f>报表附注!E2991</f>
        <v>合  计</v>
      </c>
      <c r="C2438" s="325"/>
      <c r="D2438" s="1" t="b">
        <f t="shared" si="204"/>
        <v>1</v>
      </c>
      <c r="E2438" s="325">
        <f t="shared" si="203"/>
        <v>0</v>
      </c>
      <c r="H2438" s="1" t="b">
        <f t="shared" si="205"/>
        <v>0</v>
      </c>
      <c r="I2438" s="1" t="s">
        <v>3694</v>
      </c>
      <c r="K2438" s="1" t="b">
        <v>0</v>
      </c>
    </row>
    <row r="2439" spans="3:11">
      <c r="C2439" s="330"/>
      <c r="D2439" s="1" t="b">
        <f t="shared" si="204"/>
        <v>1</v>
      </c>
      <c r="H2439" s="1" t="b">
        <f t="shared" si="205"/>
        <v>1</v>
      </c>
      <c r="I2439" s="1">
        <v>0</v>
      </c>
      <c r="K2439" s="1" t="b">
        <v>0</v>
      </c>
    </row>
    <row r="2440" spans="1:11">
      <c r="A2440" s="1" t="s">
        <v>1975</v>
      </c>
      <c r="B2440" s="331" t="s">
        <v>1975</v>
      </c>
      <c r="C2440" s="330"/>
      <c r="D2440" s="1" t="b">
        <f t="shared" si="204"/>
        <v>1</v>
      </c>
      <c r="H2440" s="1" t="b">
        <f t="shared" si="205"/>
        <v>0</v>
      </c>
      <c r="I2440" s="1">
        <v>0</v>
      </c>
      <c r="K2440" s="1" t="b">
        <v>0</v>
      </c>
    </row>
    <row r="2441" spans="1:11">
      <c r="A2441" s="1" t="s">
        <v>1906</v>
      </c>
      <c r="B2441" s="335" t="s">
        <v>1906</v>
      </c>
      <c r="C2441" s="330"/>
      <c r="D2441" s="1" t="b">
        <f t="shared" si="204"/>
        <v>1</v>
      </c>
      <c r="H2441" s="1" t="b">
        <f t="shared" si="205"/>
        <v>0</v>
      </c>
      <c r="I2441" s="1">
        <v>0</v>
      </c>
      <c r="K2441" s="1" t="b">
        <v>0</v>
      </c>
    </row>
    <row r="2442" spans="1:11">
      <c r="A2442" s="1" t="s">
        <v>1411</v>
      </c>
      <c r="B2442" s="313" t="str">
        <f>报表附注!E3000</f>
        <v>所得税费用</v>
      </c>
      <c r="C2442" s="322"/>
      <c r="D2442" s="1" t="b">
        <f t="shared" si="204"/>
        <v>1</v>
      </c>
      <c r="E2442" s="315"/>
      <c r="H2442" s="1" t="b">
        <f t="shared" si="205"/>
        <v>0</v>
      </c>
      <c r="I2442" s="1">
        <v>0</v>
      </c>
      <c r="K2442" s="1" t="b">
        <v>0</v>
      </c>
    </row>
    <row r="2443" spans="1:11">
      <c r="A2443" s="1" t="s">
        <v>1976</v>
      </c>
      <c r="B2443" s="313" t="str">
        <f>报表附注!E3001</f>
        <v>其中：当期所得税</v>
      </c>
      <c r="C2443" s="322"/>
      <c r="D2443" s="1" t="b">
        <f t="shared" si="204"/>
        <v>1</v>
      </c>
      <c r="E2443" s="315"/>
      <c r="H2443" s="1" t="b">
        <f t="shared" si="205"/>
        <v>0</v>
      </c>
      <c r="I2443" s="1">
        <v>0</v>
      </c>
      <c r="K2443" s="1" t="b">
        <v>0</v>
      </c>
    </row>
    <row r="2444" spans="1:11">
      <c r="A2444" s="1" t="s">
        <v>1977</v>
      </c>
      <c r="B2444" s="313" t="str">
        <f>报表附注!E3002</f>
        <v>      递延所得税</v>
      </c>
      <c r="C2444" s="322"/>
      <c r="D2444" s="1" t="b">
        <f t="shared" si="204"/>
        <v>1</v>
      </c>
      <c r="E2444" s="315"/>
      <c r="H2444" s="1" t="b">
        <f t="shared" si="205"/>
        <v>0</v>
      </c>
      <c r="I2444" s="1">
        <v>0</v>
      </c>
      <c r="K2444" s="1" t="b">
        <v>0</v>
      </c>
    </row>
    <row r="2445" spans="1:11">
      <c r="A2445" s="1" t="s">
        <v>1910</v>
      </c>
      <c r="B2445" s="335" t="s">
        <v>1910</v>
      </c>
      <c r="C2445" s="330"/>
      <c r="D2445" s="1" t="b">
        <f t="shared" si="204"/>
        <v>1</v>
      </c>
      <c r="E2445" s="311"/>
      <c r="H2445" s="1" t="b">
        <f t="shared" si="205"/>
        <v>0</v>
      </c>
      <c r="I2445" s="1">
        <v>0</v>
      </c>
      <c r="K2445" s="1" t="b">
        <v>0</v>
      </c>
    </row>
    <row r="2446" spans="1:8">
      <c r="A2446" s="1" t="s">
        <v>1411</v>
      </c>
      <c r="B2446" s="313" t="str">
        <f>报表附注!E3000</f>
        <v>所得税费用</v>
      </c>
      <c r="C2446" s="325"/>
      <c r="D2446" s="1" t="b">
        <f t="shared" si="204"/>
        <v>1</v>
      </c>
      <c r="E2446" s="325">
        <f>C2442</f>
        <v>0</v>
      </c>
      <c r="H2446" s="1" t="b">
        <f t="shared" si="205"/>
        <v>0</v>
      </c>
    </row>
    <row r="2447" spans="1:8">
      <c r="A2447" s="1" t="s">
        <v>1976</v>
      </c>
      <c r="B2447" s="313" t="str">
        <f>报表附注!E3001</f>
        <v>其中：当期所得税</v>
      </c>
      <c r="C2447" s="325"/>
      <c r="D2447" s="1" t="b">
        <f t="shared" si="204"/>
        <v>1</v>
      </c>
      <c r="E2447" s="325">
        <f>C2443</f>
        <v>0</v>
      </c>
      <c r="H2447" s="1" t="b">
        <f t="shared" si="205"/>
        <v>0</v>
      </c>
    </row>
    <row r="2448" spans="1:9">
      <c r="A2448" s="1" t="s">
        <v>1977</v>
      </c>
      <c r="B2448" s="313" t="str">
        <f>报表附注!E3002</f>
        <v>      递延所得税</v>
      </c>
      <c r="C2448" s="325"/>
      <c r="D2448" s="1" t="b">
        <f t="shared" si="204"/>
        <v>1</v>
      </c>
      <c r="E2448" s="325">
        <f>C2444</f>
        <v>0</v>
      </c>
      <c r="H2448" s="1" t="b">
        <f t="shared" si="205"/>
        <v>0</v>
      </c>
      <c r="I2448" s="1" t="s">
        <v>1996</v>
      </c>
    </row>
    <row r="2449" spans="4:8">
      <c r="D2449" s="1" t="b">
        <f t="shared" si="204"/>
        <v>1</v>
      </c>
      <c r="H2449" s="1" t="b">
        <f t="shared" si="205"/>
        <v>1</v>
      </c>
    </row>
    <row r="2450" spans="4:9">
      <c r="D2450" s="1" t="b">
        <f t="shared" si="204"/>
        <v>1</v>
      </c>
      <c r="H2450" s="1" t="b">
        <f t="shared" si="205"/>
        <v>0</v>
      </c>
      <c r="I2450" s="1" t="s">
        <v>1997</v>
      </c>
    </row>
    <row r="2451" ht="12" spans="1:9">
      <c r="A2451" s="1" t="s">
        <v>1978</v>
      </c>
      <c r="B2451" s="354" t="s">
        <v>1978</v>
      </c>
      <c r="D2451" s="1" t="b">
        <f t="shared" si="204"/>
        <v>1</v>
      </c>
      <c r="H2451" s="1" t="b">
        <f t="shared" si="205"/>
        <v>0</v>
      </c>
      <c r="I2451" s="1" t="s">
        <v>1998</v>
      </c>
    </row>
    <row r="2452" spans="4:9">
      <c r="D2452" s="1" t="b">
        <f t="shared" si="204"/>
        <v>1</v>
      </c>
      <c r="H2452" s="1" t="b">
        <f t="shared" si="205"/>
        <v>0</v>
      </c>
      <c r="I2452" s="1" t="s">
        <v>1906</v>
      </c>
    </row>
    <row r="2453" spans="1:9">
      <c r="A2453" s="1" t="s">
        <v>1979</v>
      </c>
      <c r="B2453" s="331" t="s">
        <v>1979</v>
      </c>
      <c r="D2453" s="1" t="b">
        <f t="shared" si="204"/>
        <v>1</v>
      </c>
      <c r="H2453" s="1" t="b">
        <f t="shared" si="205"/>
        <v>0</v>
      </c>
      <c r="I2453" s="1" t="s">
        <v>4634</v>
      </c>
    </row>
    <row r="2454" spans="1:9">
      <c r="A2454" s="1" t="s">
        <v>1980</v>
      </c>
      <c r="B2454" s="393" t="s">
        <v>1980</v>
      </c>
      <c r="D2454" s="1" t="b">
        <f t="shared" si="204"/>
        <v>1</v>
      </c>
      <c r="H2454" s="1" t="b">
        <f t="shared" si="205"/>
        <v>0</v>
      </c>
      <c r="I2454" s="1" t="s">
        <v>4635</v>
      </c>
    </row>
    <row r="2455" ht="22.5" spans="1:9">
      <c r="A2455" s="1" t="s">
        <v>1981</v>
      </c>
      <c r="B2455" s="313" t="str">
        <f>报表附注!E3114</f>
        <v>   减：与其他计入其他综合收益相关的所得税影响</v>
      </c>
      <c r="C2455" s="325"/>
      <c r="D2455" s="1" t="b">
        <f t="shared" si="204"/>
        <v>0</v>
      </c>
      <c r="E2455" s="315"/>
      <c r="H2455" s="1" t="b">
        <f t="shared" si="205"/>
        <v>0</v>
      </c>
      <c r="I2455" s="1" t="s">
        <v>4636</v>
      </c>
    </row>
    <row r="2456" ht="22.5" spans="1:9">
      <c r="A2456" s="1" t="s">
        <v>1982</v>
      </c>
      <c r="B2456" s="313" t="str">
        <f>报表附注!E3115</f>
        <v>       前期其他计入其他综合收益当期转入损益的净额</v>
      </c>
      <c r="C2456" s="325"/>
      <c r="D2456" s="1" t="b">
        <f t="shared" si="204"/>
        <v>0</v>
      </c>
      <c r="E2456" s="315"/>
      <c r="H2456" s="1" t="b">
        <f t="shared" si="205"/>
        <v>0</v>
      </c>
      <c r="I2456" s="1" t="s">
        <v>4637</v>
      </c>
    </row>
    <row r="2457" spans="1:9">
      <c r="A2457" s="1" t="s">
        <v>1983</v>
      </c>
      <c r="B2457" s="313" t="str">
        <f>报表附注!E3116</f>
        <v>小  计</v>
      </c>
      <c r="C2457" s="325"/>
      <c r="D2457" s="1" t="b">
        <f t="shared" si="204"/>
        <v>0</v>
      </c>
      <c r="E2457" s="315"/>
      <c r="H2457" s="1" t="b">
        <f t="shared" si="205"/>
        <v>0</v>
      </c>
      <c r="I2457" s="1" t="s">
        <v>4638</v>
      </c>
    </row>
    <row r="2458" spans="1:9">
      <c r="A2458" s="1" t="s">
        <v>1984</v>
      </c>
      <c r="B2458" s="313" t="str">
        <f>报表附注!E3117</f>
        <v>合   计</v>
      </c>
      <c r="C2458" s="325"/>
      <c r="D2458" s="1" t="b">
        <f t="shared" si="204"/>
        <v>0</v>
      </c>
      <c r="E2458" s="315"/>
      <c r="H2458" s="1" t="b">
        <f t="shared" si="205"/>
        <v>0</v>
      </c>
      <c r="I2458" s="1" t="s">
        <v>4639</v>
      </c>
    </row>
    <row r="2459" spans="1:9">
      <c r="A2459" s="1" t="s">
        <v>1985</v>
      </c>
      <c r="B2459" s="313">
        <f>报表附注!E3118</f>
        <v>0</v>
      </c>
      <c r="C2459" s="325"/>
      <c r="D2459" s="1" t="b">
        <f t="shared" si="204"/>
        <v>0</v>
      </c>
      <c r="E2459" s="315"/>
      <c r="H2459" s="1" t="b">
        <f t="shared" si="205"/>
        <v>0</v>
      </c>
      <c r="I2459" s="1" t="s">
        <v>4640</v>
      </c>
    </row>
    <row r="2460" spans="1:9">
      <c r="A2460" s="1" t="s">
        <v>1986</v>
      </c>
      <c r="B2460" s="313">
        <f>报表附注!E3119</f>
        <v>0</v>
      </c>
      <c r="C2460" s="325"/>
      <c r="D2460" s="1" t="b">
        <f t="shared" si="204"/>
        <v>0</v>
      </c>
      <c r="E2460" s="315"/>
      <c r="H2460" s="1" t="b">
        <f t="shared" si="205"/>
        <v>0</v>
      </c>
      <c r="I2460" s="1" t="s">
        <v>4641</v>
      </c>
    </row>
    <row r="2461" spans="1:9">
      <c r="A2461" s="1" t="s">
        <v>1983</v>
      </c>
      <c r="B2461" s="313">
        <f>报表附注!E3120</f>
        <v>0</v>
      </c>
      <c r="C2461" s="325"/>
      <c r="D2461" s="1" t="b">
        <f t="shared" si="204"/>
        <v>0</v>
      </c>
      <c r="E2461" s="315"/>
      <c r="H2461" s="1" t="b">
        <f t="shared" si="205"/>
        <v>0</v>
      </c>
      <c r="I2461" s="1" t="s">
        <v>4642</v>
      </c>
    </row>
    <row r="2462" ht="22.5" spans="1:9">
      <c r="A2462" s="1" t="s">
        <v>1984</v>
      </c>
      <c r="B2462" s="313" t="str">
        <f>报表附注!E3121</f>
        <v>（六十六）收到或支付的其他与经营活动有关的现金</v>
      </c>
      <c r="C2462" s="325"/>
      <c r="D2462" s="1" t="b">
        <f t="shared" si="204"/>
        <v>0</v>
      </c>
      <c r="E2462" s="315"/>
      <c r="H2462" s="1" t="b">
        <f t="shared" si="205"/>
        <v>0</v>
      </c>
      <c r="I2462" s="1" t="s">
        <v>4643</v>
      </c>
    </row>
    <row r="2463" spans="1:9">
      <c r="A2463" s="1" t="s">
        <v>1987</v>
      </c>
      <c r="B2463" s="313" t="str">
        <f>报表附注!E3122</f>
        <v>大额项目</v>
      </c>
      <c r="C2463" s="325"/>
      <c r="D2463" s="1" t="b">
        <f t="shared" si="204"/>
        <v>0</v>
      </c>
      <c r="E2463" s="315"/>
      <c r="H2463" s="1" t="b">
        <f t="shared" si="205"/>
        <v>0</v>
      </c>
      <c r="I2463" s="1" t="s">
        <v>4644</v>
      </c>
    </row>
    <row r="2464" spans="1:9">
      <c r="A2464" s="1" t="s">
        <v>1988</v>
      </c>
      <c r="B2464" s="313" t="str">
        <f>报表附注!E3123</f>
        <v>一、收到的其他与经营活动有关的现金</v>
      </c>
      <c r="C2464" s="325"/>
      <c r="D2464" s="1" t="b">
        <f t="shared" si="204"/>
        <v>0</v>
      </c>
      <c r="E2464" s="315"/>
      <c r="H2464" s="1" t="b">
        <f t="shared" si="205"/>
        <v>0</v>
      </c>
      <c r="I2464" s="1" t="s">
        <v>1580</v>
      </c>
    </row>
    <row r="2465" spans="1:9">
      <c r="A2465" s="1" t="s">
        <v>1983</v>
      </c>
      <c r="B2465" s="313" t="str">
        <f>报表附注!E3124</f>
        <v>其中：往来款</v>
      </c>
      <c r="C2465" s="325"/>
      <c r="D2465" s="1" t="b">
        <f t="shared" si="204"/>
        <v>0</v>
      </c>
      <c r="E2465" s="315"/>
      <c r="H2465" s="1" t="b">
        <f t="shared" si="205"/>
        <v>0</v>
      </c>
      <c r="I2465" s="1" t="s">
        <v>1910</v>
      </c>
    </row>
    <row r="2466" spans="1:9">
      <c r="A2466" s="1" t="s">
        <v>1989</v>
      </c>
      <c r="B2466" s="313" t="str">
        <f>报表附注!E3125</f>
        <v>      利息收入</v>
      </c>
      <c r="C2466" s="325"/>
      <c r="D2466" s="1" t="b">
        <f t="shared" si="204"/>
        <v>0</v>
      </c>
      <c r="E2466" s="315"/>
      <c r="H2466" s="1" t="b">
        <f t="shared" si="205"/>
        <v>0</v>
      </c>
      <c r="I2466" s="1" t="s">
        <v>4634</v>
      </c>
    </row>
    <row r="2467" spans="1:9">
      <c r="A2467" s="1" t="s">
        <v>1984</v>
      </c>
      <c r="B2467" s="313" t="str">
        <f>报表附注!E3126</f>
        <v>政府补助</v>
      </c>
      <c r="C2467" s="325"/>
      <c r="D2467" s="1" t="b">
        <f t="shared" si="204"/>
        <v>0</v>
      </c>
      <c r="E2467" s="315"/>
      <c r="H2467" s="1" t="b">
        <f t="shared" si="205"/>
        <v>0</v>
      </c>
      <c r="I2467" s="1" t="s">
        <v>4635</v>
      </c>
    </row>
    <row r="2468" spans="1:9">
      <c r="A2468" s="1" t="s">
        <v>1990</v>
      </c>
      <c r="B2468" s="313" t="str">
        <f>报表附注!E3127</f>
        <v>其他…….</v>
      </c>
      <c r="C2468" s="325"/>
      <c r="D2468" s="1" t="b">
        <f t="shared" si="204"/>
        <v>0</v>
      </c>
      <c r="E2468" s="315"/>
      <c r="H2468" s="1" t="b">
        <f t="shared" si="205"/>
        <v>0</v>
      </c>
      <c r="I2468" s="1" t="s">
        <v>4636</v>
      </c>
    </row>
    <row r="2469" spans="1:9">
      <c r="A2469" s="1" t="s">
        <v>1991</v>
      </c>
      <c r="B2469" s="313" t="str">
        <f>报表附注!E3128</f>
        <v>非关联方租金收入</v>
      </c>
      <c r="C2469" s="325"/>
      <c r="D2469" s="1" t="b">
        <f t="shared" si="204"/>
        <v>0</v>
      </c>
      <c r="E2469" s="315"/>
      <c r="H2469" s="1" t="b">
        <f t="shared" si="205"/>
        <v>0</v>
      </c>
      <c r="I2469" s="1" t="s">
        <v>4637</v>
      </c>
    </row>
    <row r="2470" spans="1:9">
      <c r="A2470" s="1" t="s">
        <v>1984</v>
      </c>
      <c r="B2470" s="313" t="str">
        <f>报表附注!E3129</f>
        <v>关联方租金收入</v>
      </c>
      <c r="C2470" s="325"/>
      <c r="D2470" s="1" t="b">
        <f t="shared" si="204"/>
        <v>0</v>
      </c>
      <c r="E2470" s="315"/>
      <c r="H2470" s="1" t="b">
        <f t="shared" si="205"/>
        <v>0</v>
      </c>
      <c r="I2470" s="1" t="s">
        <v>4638</v>
      </c>
    </row>
    <row r="2471" spans="1:9">
      <c r="A2471" s="1" t="s">
        <v>1992</v>
      </c>
      <c r="B2471" s="313" t="str">
        <f>报表附注!E3130</f>
        <v>银行承兑汇票保证金收入</v>
      </c>
      <c r="C2471" s="325"/>
      <c r="D2471" s="1" t="b">
        <f t="shared" si="204"/>
        <v>0</v>
      </c>
      <c r="E2471" s="315"/>
      <c r="H2471" s="1" t="b">
        <f t="shared" si="205"/>
        <v>0</v>
      </c>
      <c r="I2471" s="1" t="s">
        <v>4639</v>
      </c>
    </row>
    <row r="2472" spans="1:9">
      <c r="A2472" s="1" t="s">
        <v>1993</v>
      </c>
      <c r="B2472" s="313">
        <f>报表附注!E3131</f>
        <v>0</v>
      </c>
      <c r="C2472" s="325"/>
      <c r="D2472" s="1" t="b">
        <f t="shared" si="204"/>
        <v>0</v>
      </c>
      <c r="E2472" s="315"/>
      <c r="H2472" s="1" t="b">
        <f t="shared" si="205"/>
        <v>0</v>
      </c>
      <c r="I2472" s="1" t="s">
        <v>4640</v>
      </c>
    </row>
    <row r="2473" spans="1:9">
      <c r="A2473" s="1" t="s">
        <v>1994</v>
      </c>
      <c r="B2473" s="313">
        <f>报表附注!E3132</f>
        <v>0</v>
      </c>
      <c r="C2473" s="325"/>
      <c r="D2473" s="1" t="b">
        <f t="shared" si="204"/>
        <v>0</v>
      </c>
      <c r="E2473" s="315"/>
      <c r="H2473" s="1" t="b">
        <f t="shared" si="205"/>
        <v>0</v>
      </c>
      <c r="I2473" s="1" t="s">
        <v>4641</v>
      </c>
    </row>
    <row r="2474" spans="1:9">
      <c r="A2474" s="1" t="s">
        <v>1984</v>
      </c>
      <c r="B2474" s="313">
        <f>报表附注!E3133</f>
        <v>0</v>
      </c>
      <c r="C2474" s="325"/>
      <c r="D2474" s="1" t="b">
        <f t="shared" si="204"/>
        <v>0</v>
      </c>
      <c r="E2474" s="315"/>
      <c r="H2474" s="1" t="b">
        <f t="shared" si="205"/>
        <v>0</v>
      </c>
      <c r="I2474" s="1" t="s">
        <v>4642</v>
      </c>
    </row>
    <row r="2475" spans="1:9">
      <c r="A2475" s="1" t="s">
        <v>1762</v>
      </c>
      <c r="B2475" s="324">
        <f>报表附注!E3134</f>
        <v>0</v>
      </c>
      <c r="C2475" s="325"/>
      <c r="D2475" s="1" t="b">
        <f t="shared" si="204"/>
        <v>0</v>
      </c>
      <c r="E2475" s="315"/>
      <c r="H2475" s="1" t="b">
        <f t="shared" si="205"/>
        <v>0</v>
      </c>
      <c r="I2475" s="1" t="s">
        <v>4643</v>
      </c>
    </row>
    <row r="2476" spans="1:9">
      <c r="A2476" s="1" t="s">
        <v>1995</v>
      </c>
      <c r="B2476" s="335" t="s">
        <v>1995</v>
      </c>
      <c r="D2476" s="1" t="b">
        <f t="shared" si="204"/>
        <v>1</v>
      </c>
      <c r="H2476" s="1" t="b">
        <f t="shared" si="205"/>
        <v>0</v>
      </c>
      <c r="I2476" s="1" t="s">
        <v>4644</v>
      </c>
    </row>
    <row r="2477" ht="22.5" spans="1:9">
      <c r="A2477" s="1" t="s">
        <v>1981</v>
      </c>
      <c r="B2477" s="313" t="str">
        <f>报表附注!E3114</f>
        <v>   减：与其他计入其他综合收益相关的所得税影响</v>
      </c>
      <c r="C2477" s="325"/>
      <c r="D2477" s="1" t="b">
        <f t="shared" si="204"/>
        <v>0</v>
      </c>
      <c r="E2477" s="325">
        <f>C2455</f>
        <v>0</v>
      </c>
      <c r="H2477" s="1" t="b">
        <f t="shared" si="205"/>
        <v>0</v>
      </c>
      <c r="I2477" s="1" t="s">
        <v>1580</v>
      </c>
    </row>
    <row r="2478" ht="22.5" spans="1:8">
      <c r="A2478" s="1" t="s">
        <v>1982</v>
      </c>
      <c r="B2478" s="313" t="str">
        <f>报表附注!E3115</f>
        <v>       前期其他计入其他综合收益当期转入损益的净额</v>
      </c>
      <c r="C2478" s="325"/>
      <c r="D2478" s="1" t="b">
        <f t="shared" si="204"/>
        <v>0</v>
      </c>
      <c r="E2478" s="325">
        <f t="shared" ref="E2478:E2497" si="206">C2456</f>
        <v>0</v>
      </c>
      <c r="H2478" s="1" t="b">
        <f t="shared" si="205"/>
        <v>0</v>
      </c>
    </row>
    <row r="2479" spans="1:9">
      <c r="A2479" s="1" t="s">
        <v>1983</v>
      </c>
      <c r="B2479" s="313" t="str">
        <f>报表附注!E3116</f>
        <v>小  计</v>
      </c>
      <c r="C2479" s="325"/>
      <c r="D2479" s="1" t="b">
        <f t="shared" si="204"/>
        <v>0</v>
      </c>
      <c r="E2479" s="325">
        <f t="shared" si="206"/>
        <v>0</v>
      </c>
      <c r="H2479" s="1" t="b">
        <f t="shared" si="205"/>
        <v>0</v>
      </c>
      <c r="I2479" s="1" t="s">
        <v>1999</v>
      </c>
    </row>
    <row r="2480" spans="1:9">
      <c r="A2480" s="1" t="s">
        <v>1984</v>
      </c>
      <c r="B2480" s="313" t="str">
        <f>报表附注!E3117</f>
        <v>合   计</v>
      </c>
      <c r="C2480" s="325"/>
      <c r="D2480" s="1" t="b">
        <f t="shared" si="204"/>
        <v>0</v>
      </c>
      <c r="E2480" s="325">
        <f t="shared" si="206"/>
        <v>0</v>
      </c>
      <c r="H2480" s="1" t="b">
        <f t="shared" si="205"/>
        <v>0</v>
      </c>
      <c r="I2480" s="1" t="s">
        <v>1998</v>
      </c>
    </row>
    <row r="2481" spans="1:9">
      <c r="A2481" s="1" t="s">
        <v>1985</v>
      </c>
      <c r="B2481" s="313">
        <f>报表附注!E3118</f>
        <v>0</v>
      </c>
      <c r="C2481" s="325"/>
      <c r="D2481" s="1" t="b">
        <f t="shared" si="204"/>
        <v>0</v>
      </c>
      <c r="E2481" s="325">
        <f t="shared" si="206"/>
        <v>0</v>
      </c>
      <c r="H2481" s="1" t="b">
        <f t="shared" si="205"/>
        <v>0</v>
      </c>
      <c r="I2481" s="1" t="s">
        <v>1906</v>
      </c>
    </row>
    <row r="2482" spans="1:9">
      <c r="A2482" s="1" t="s">
        <v>1986</v>
      </c>
      <c r="B2482" s="313">
        <f>报表附注!E3119</f>
        <v>0</v>
      </c>
      <c r="C2482" s="325"/>
      <c r="D2482" s="1" t="b">
        <f t="shared" si="204"/>
        <v>0</v>
      </c>
      <c r="E2482" s="325">
        <f t="shared" si="206"/>
        <v>0</v>
      </c>
      <c r="H2482" s="1" t="b">
        <f t="shared" si="205"/>
        <v>0</v>
      </c>
      <c r="I2482" s="1" t="s">
        <v>4645</v>
      </c>
    </row>
    <row r="2483" spans="1:9">
      <c r="A2483" s="1" t="s">
        <v>1983</v>
      </c>
      <c r="B2483" s="313">
        <f>报表附注!E3120</f>
        <v>0</v>
      </c>
      <c r="C2483" s="325"/>
      <c r="D2483" s="1" t="b">
        <f t="shared" si="204"/>
        <v>0</v>
      </c>
      <c r="E2483" s="325">
        <f t="shared" si="206"/>
        <v>0</v>
      </c>
      <c r="H2483" s="1" t="b">
        <f t="shared" si="205"/>
        <v>0</v>
      </c>
      <c r="I2483" s="1" t="s">
        <v>4646</v>
      </c>
    </row>
    <row r="2484" ht="22.5" spans="1:9">
      <c r="A2484" s="1" t="s">
        <v>1984</v>
      </c>
      <c r="B2484" s="313" t="str">
        <f>报表附注!E3121</f>
        <v>（六十六）收到或支付的其他与经营活动有关的现金</v>
      </c>
      <c r="C2484" s="325"/>
      <c r="D2484" s="1" t="b">
        <f t="shared" si="204"/>
        <v>0</v>
      </c>
      <c r="E2484" s="325">
        <f t="shared" si="206"/>
        <v>0</v>
      </c>
      <c r="H2484" s="1" t="b">
        <f t="shared" si="205"/>
        <v>0</v>
      </c>
      <c r="I2484" s="1" t="s">
        <v>4634</v>
      </c>
    </row>
    <row r="2485" spans="1:9">
      <c r="A2485" s="1" t="s">
        <v>1987</v>
      </c>
      <c r="B2485" s="313" t="str">
        <f>报表附注!E3122</f>
        <v>大额项目</v>
      </c>
      <c r="C2485" s="325"/>
      <c r="D2485" s="1" t="b">
        <f t="shared" si="204"/>
        <v>0</v>
      </c>
      <c r="E2485" s="325">
        <f t="shared" si="206"/>
        <v>0</v>
      </c>
      <c r="H2485" s="1" t="b">
        <f t="shared" si="205"/>
        <v>0</v>
      </c>
      <c r="I2485" s="1" t="s">
        <v>4647</v>
      </c>
    </row>
    <row r="2486" spans="1:9">
      <c r="A2486" s="1" t="s">
        <v>1988</v>
      </c>
      <c r="B2486" s="313" t="str">
        <f>报表附注!E3123</f>
        <v>一、收到的其他与经营活动有关的现金</v>
      </c>
      <c r="C2486" s="325"/>
      <c r="D2486" s="1" t="b">
        <f t="shared" si="204"/>
        <v>0</v>
      </c>
      <c r="E2486" s="325">
        <f t="shared" si="206"/>
        <v>0</v>
      </c>
      <c r="H2486" s="1" t="b">
        <f t="shared" si="205"/>
        <v>0</v>
      </c>
      <c r="I2486" s="1" t="s">
        <v>4648</v>
      </c>
    </row>
    <row r="2487" spans="1:9">
      <c r="A2487" s="1" t="s">
        <v>1983</v>
      </c>
      <c r="B2487" s="313" t="str">
        <f>报表附注!E3124</f>
        <v>其中：往来款</v>
      </c>
      <c r="C2487" s="325"/>
      <c r="D2487" s="1" t="b">
        <f t="shared" si="204"/>
        <v>0</v>
      </c>
      <c r="E2487" s="325">
        <f t="shared" si="206"/>
        <v>0</v>
      </c>
      <c r="H2487" s="1" t="b">
        <f t="shared" si="205"/>
        <v>0</v>
      </c>
      <c r="I2487" s="1" t="s">
        <v>4649</v>
      </c>
    </row>
    <row r="2488" spans="1:9">
      <c r="A2488" s="1" t="s">
        <v>1989</v>
      </c>
      <c r="B2488" s="313" t="str">
        <f>报表附注!E3125</f>
        <v>      利息收入</v>
      </c>
      <c r="C2488" s="325"/>
      <c r="D2488" s="1" t="b">
        <f t="shared" si="204"/>
        <v>0</v>
      </c>
      <c r="E2488" s="325">
        <f t="shared" si="206"/>
        <v>0</v>
      </c>
      <c r="H2488" s="1" t="b">
        <f t="shared" si="205"/>
        <v>0</v>
      </c>
      <c r="I2488" s="1" t="s">
        <v>4650</v>
      </c>
    </row>
    <row r="2489" spans="1:9">
      <c r="A2489" s="1" t="s">
        <v>1984</v>
      </c>
      <c r="B2489" s="313" t="str">
        <f>报表附注!E3126</f>
        <v>政府补助</v>
      </c>
      <c r="C2489" s="325"/>
      <c r="D2489" s="1" t="b">
        <f t="shared" si="204"/>
        <v>0</v>
      </c>
      <c r="E2489" s="325">
        <f t="shared" si="206"/>
        <v>0</v>
      </c>
      <c r="H2489" s="1" t="b">
        <f t="shared" si="205"/>
        <v>0</v>
      </c>
      <c r="I2489" s="1" t="s">
        <v>1580</v>
      </c>
    </row>
    <row r="2490" spans="1:9">
      <c r="A2490" s="1" t="s">
        <v>1990</v>
      </c>
      <c r="B2490" s="313" t="str">
        <f>报表附注!E3127</f>
        <v>其他…….</v>
      </c>
      <c r="C2490" s="325"/>
      <c r="D2490" s="1" t="b">
        <f t="shared" si="204"/>
        <v>0</v>
      </c>
      <c r="E2490" s="325">
        <f t="shared" si="206"/>
        <v>0</v>
      </c>
      <c r="H2490" s="1" t="b">
        <f t="shared" si="205"/>
        <v>0</v>
      </c>
      <c r="I2490" s="1" t="s">
        <v>1910</v>
      </c>
    </row>
    <row r="2491" spans="1:9">
      <c r="A2491" s="1" t="s">
        <v>1991</v>
      </c>
      <c r="B2491" s="313" t="str">
        <f>报表附注!E3128</f>
        <v>非关联方租金收入</v>
      </c>
      <c r="C2491" s="325"/>
      <c r="D2491" s="1" t="b">
        <f t="shared" si="204"/>
        <v>0</v>
      </c>
      <c r="E2491" s="325">
        <f t="shared" si="206"/>
        <v>0</v>
      </c>
      <c r="H2491" s="1" t="b">
        <f t="shared" si="205"/>
        <v>0</v>
      </c>
      <c r="I2491" s="1" t="s">
        <v>4645</v>
      </c>
    </row>
    <row r="2492" spans="1:9">
      <c r="A2492" s="1" t="s">
        <v>1984</v>
      </c>
      <c r="B2492" s="313" t="str">
        <f>报表附注!E3129</f>
        <v>关联方租金收入</v>
      </c>
      <c r="C2492" s="325"/>
      <c r="D2492" s="1" t="b">
        <f t="shared" si="204"/>
        <v>0</v>
      </c>
      <c r="E2492" s="325">
        <f t="shared" si="206"/>
        <v>0</v>
      </c>
      <c r="H2492" s="1" t="b">
        <f t="shared" si="205"/>
        <v>0</v>
      </c>
      <c r="I2492" s="1" t="s">
        <v>4646</v>
      </c>
    </row>
    <row r="2493" spans="1:9">
      <c r="A2493" s="1" t="s">
        <v>1992</v>
      </c>
      <c r="B2493" s="313" t="str">
        <f>报表附注!E3130</f>
        <v>银行承兑汇票保证金收入</v>
      </c>
      <c r="C2493" s="325"/>
      <c r="D2493" s="1" t="b">
        <f t="shared" si="204"/>
        <v>0</v>
      </c>
      <c r="E2493" s="325">
        <f t="shared" si="206"/>
        <v>0</v>
      </c>
      <c r="H2493" s="1" t="b">
        <f t="shared" si="205"/>
        <v>0</v>
      </c>
      <c r="I2493" s="1" t="s">
        <v>4634</v>
      </c>
    </row>
    <row r="2494" spans="1:9">
      <c r="A2494" s="1" t="s">
        <v>1993</v>
      </c>
      <c r="B2494" s="313">
        <f>报表附注!E3131</f>
        <v>0</v>
      </c>
      <c r="C2494" s="325"/>
      <c r="D2494" s="1" t="b">
        <f>EXACT(A2494,B2494)</f>
        <v>0</v>
      </c>
      <c r="E2494" s="325">
        <f t="shared" si="206"/>
        <v>0</v>
      </c>
      <c r="H2494" s="1" t="b">
        <f t="shared" si="205"/>
        <v>0</v>
      </c>
      <c r="I2494" s="1" t="s">
        <v>4647</v>
      </c>
    </row>
    <row r="2495" spans="1:9">
      <c r="A2495" s="1" t="s">
        <v>1994</v>
      </c>
      <c r="B2495" s="313">
        <f>报表附注!E3132</f>
        <v>0</v>
      </c>
      <c r="C2495" s="325"/>
      <c r="D2495" s="1" t="b">
        <f>EXACT(A2495,B2495)</f>
        <v>0</v>
      </c>
      <c r="E2495" s="325">
        <f t="shared" si="206"/>
        <v>0</v>
      </c>
      <c r="H2495" s="1" t="b">
        <f t="shared" si="205"/>
        <v>0</v>
      </c>
      <c r="I2495" s="1" t="s">
        <v>4648</v>
      </c>
    </row>
    <row r="2496" spans="1:9">
      <c r="A2496" s="1" t="s">
        <v>1984</v>
      </c>
      <c r="B2496" s="313">
        <f>报表附注!E3133</f>
        <v>0</v>
      </c>
      <c r="C2496" s="325"/>
      <c r="D2496" s="1" t="b">
        <f>EXACT(A2496,B2496)</f>
        <v>0</v>
      </c>
      <c r="E2496" s="325">
        <f t="shared" si="206"/>
        <v>0</v>
      </c>
      <c r="H2496" s="1" t="b">
        <f t="shared" si="205"/>
        <v>0</v>
      </c>
      <c r="I2496" s="1" t="s">
        <v>4649</v>
      </c>
    </row>
    <row r="2497" spans="1:9">
      <c r="A2497" s="1" t="s">
        <v>1762</v>
      </c>
      <c r="B2497" s="324">
        <f>报表附注!E3134</f>
        <v>0</v>
      </c>
      <c r="C2497" s="325"/>
      <c r="D2497" s="1" t="b">
        <f>EXACT(A2497,B2497)</f>
        <v>0</v>
      </c>
      <c r="E2497" s="325">
        <f t="shared" si="206"/>
        <v>0</v>
      </c>
      <c r="H2497" s="1" t="b">
        <f t="shared" si="205"/>
        <v>0</v>
      </c>
      <c r="I2497" s="1" t="s">
        <v>4650</v>
      </c>
    </row>
    <row r="2498" spans="8:9">
      <c r="H2498" s="1" t="b">
        <f t="shared" si="205"/>
        <v>0</v>
      </c>
      <c r="I2498" s="1" t="s">
        <v>1580</v>
      </c>
    </row>
    <row r="2499" spans="8:8">
      <c r="H2499" s="1" t="b">
        <f t="shared" si="205"/>
        <v>1</v>
      </c>
    </row>
    <row r="2500" spans="1:8">
      <c r="A2500" s="1" t="s">
        <v>1996</v>
      </c>
      <c r="B2500" s="394" t="s">
        <v>1996</v>
      </c>
      <c r="H2500" s="1" t="b">
        <f t="shared" ref="H2500:H2537" si="207">I2500=B2500</f>
        <v>0</v>
      </c>
    </row>
    <row r="2501" spans="8:8">
      <c r="H2501" s="1" t="b">
        <f t="shared" si="207"/>
        <v>1</v>
      </c>
    </row>
    <row r="2502" spans="8:8">
      <c r="H2502" s="1" t="b">
        <f t="shared" si="207"/>
        <v>1</v>
      </c>
    </row>
    <row r="2503" spans="8:8">
      <c r="H2503" s="1" t="b">
        <f t="shared" si="207"/>
        <v>1</v>
      </c>
    </row>
    <row r="2504" spans="8:8">
      <c r="H2504" s="1" t="b">
        <f t="shared" si="207"/>
        <v>1</v>
      </c>
    </row>
    <row r="2505" spans="8:8">
      <c r="H2505" s="1" t="b">
        <f t="shared" si="207"/>
        <v>1</v>
      </c>
    </row>
    <row r="2506" spans="8:8">
      <c r="H2506" s="1" t="b">
        <f t="shared" si="207"/>
        <v>1</v>
      </c>
    </row>
    <row r="2507" spans="8:8">
      <c r="H2507" s="1" t="b">
        <f t="shared" si="207"/>
        <v>1</v>
      </c>
    </row>
    <row r="2508" spans="8:8">
      <c r="H2508" s="1" t="b">
        <f t="shared" si="207"/>
        <v>1</v>
      </c>
    </row>
    <row r="2509" spans="8:8">
      <c r="H2509" s="1" t="b">
        <f t="shared" si="207"/>
        <v>1</v>
      </c>
    </row>
    <row r="2510" spans="8:8">
      <c r="H2510" s="1" t="b">
        <f t="shared" si="207"/>
        <v>1</v>
      </c>
    </row>
    <row r="2511" spans="8:8">
      <c r="H2511" s="1" t="b">
        <f t="shared" si="207"/>
        <v>1</v>
      </c>
    </row>
    <row r="2512" spans="8:8">
      <c r="H2512" s="1" t="b">
        <f t="shared" si="207"/>
        <v>1</v>
      </c>
    </row>
    <row r="2513" spans="8:8">
      <c r="H2513" s="1" t="b">
        <f t="shared" si="207"/>
        <v>1</v>
      </c>
    </row>
    <row r="2514" spans="8:8">
      <c r="H2514" s="1" t="b">
        <f t="shared" si="207"/>
        <v>1</v>
      </c>
    </row>
    <row r="2515" spans="8:8">
      <c r="H2515" s="1" t="b">
        <f t="shared" si="207"/>
        <v>1</v>
      </c>
    </row>
    <row r="2516" spans="8:8">
      <c r="H2516" s="1" t="b">
        <f t="shared" si="207"/>
        <v>1</v>
      </c>
    </row>
    <row r="2517" spans="8:8">
      <c r="H2517" s="1" t="b">
        <f t="shared" si="207"/>
        <v>1</v>
      </c>
    </row>
    <row r="2518" spans="8:8">
      <c r="H2518" s="1" t="b">
        <f t="shared" si="207"/>
        <v>1</v>
      </c>
    </row>
    <row r="2519" spans="8:8">
      <c r="H2519" s="1" t="b">
        <f t="shared" si="207"/>
        <v>1</v>
      </c>
    </row>
    <row r="2520" spans="8:8">
      <c r="H2520" s="1" t="b">
        <f t="shared" si="207"/>
        <v>1</v>
      </c>
    </row>
    <row r="2521" spans="8:8">
      <c r="H2521" s="1" t="b">
        <f t="shared" si="207"/>
        <v>1</v>
      </c>
    </row>
    <row r="2522" spans="8:8">
      <c r="H2522" s="1" t="b">
        <f t="shared" si="207"/>
        <v>1</v>
      </c>
    </row>
    <row r="2523" spans="8:8">
      <c r="H2523" s="1" t="b">
        <f t="shared" si="207"/>
        <v>1</v>
      </c>
    </row>
    <row r="2524" spans="8:8">
      <c r="H2524" s="1" t="b">
        <f t="shared" si="207"/>
        <v>1</v>
      </c>
    </row>
    <row r="2525" spans="8:8">
      <c r="H2525" s="1" t="b">
        <f t="shared" si="207"/>
        <v>1</v>
      </c>
    </row>
    <row r="2526" spans="8:8">
      <c r="H2526" s="1" t="b">
        <f t="shared" si="207"/>
        <v>1</v>
      </c>
    </row>
    <row r="2527" spans="8:8">
      <c r="H2527" s="1" t="b">
        <f t="shared" si="207"/>
        <v>1</v>
      </c>
    </row>
    <row r="2528" spans="8:8">
      <c r="H2528" s="1" t="b">
        <f t="shared" si="207"/>
        <v>1</v>
      </c>
    </row>
    <row r="2529" spans="8:8">
      <c r="H2529" s="1" t="b">
        <f t="shared" si="207"/>
        <v>1</v>
      </c>
    </row>
    <row r="2530" spans="8:8">
      <c r="H2530" s="1" t="b">
        <f t="shared" si="207"/>
        <v>1</v>
      </c>
    </row>
    <row r="2531" spans="8:8">
      <c r="H2531" s="1" t="b">
        <f t="shared" si="207"/>
        <v>1</v>
      </c>
    </row>
    <row r="2532" spans="8:8">
      <c r="H2532" s="1" t="b">
        <f t="shared" si="207"/>
        <v>1</v>
      </c>
    </row>
    <row r="2533" spans="8:8">
      <c r="H2533" s="1" t="b">
        <f t="shared" si="207"/>
        <v>1</v>
      </c>
    </row>
    <row r="2534" spans="8:8">
      <c r="H2534" s="1" t="b">
        <f t="shared" si="207"/>
        <v>1</v>
      </c>
    </row>
    <row r="2535" spans="8:8">
      <c r="H2535" s="1" t="b">
        <f t="shared" si="207"/>
        <v>1</v>
      </c>
    </row>
    <row r="2536" spans="8:8">
      <c r="H2536" s="1" t="b">
        <f t="shared" si="207"/>
        <v>1</v>
      </c>
    </row>
    <row r="2537" spans="8:8">
      <c r="H2537" s="1" t="b">
        <f t="shared" si="207"/>
        <v>1</v>
      </c>
    </row>
  </sheetData>
  <autoFilter ref="A1:IW2537">
    <extLst/>
  </autoFilter>
  <conditionalFormatting sqref="B190 B293">
    <cfRule type="containsText" dxfId="6" priority="1" operator="between" text="文字描述">
      <formula>NOT(ISERROR(SEARCH("文字描述",B190)))</formula>
    </cfRule>
  </conditionalFormatting>
  <hyperlinks>
    <hyperlink ref="F1" location="报表附注!F1" display="【返回】报表附注"/>
  </hyperlinks>
  <pageMargins left="0.7" right="0.7" top="0.75" bottom="0.75" header="0.3" footer="0.3"/>
  <pageSetup paperSize="9" orientation="portrait"/>
  <headerFooter/>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T83"/>
  <sheetViews>
    <sheetView workbookViewId="0">
      <pane xSplit="1" ySplit="3" topLeftCell="B4" activePane="bottomRight" state="frozen"/>
      <selection/>
      <selection pane="topRight"/>
      <selection pane="bottomLeft"/>
      <selection pane="bottomRight" activeCell="D1" sqref="D1"/>
    </sheetView>
  </sheetViews>
  <sheetFormatPr defaultColWidth="9" defaultRowHeight="13.5" customHeight="1"/>
  <cols>
    <col min="1" max="1" width="11.25" style="225" customWidth="1"/>
    <col min="2" max="2" width="26.625" style="225" customWidth="1"/>
    <col min="3" max="3" width="17.875" style="226" customWidth="1"/>
    <col min="4" max="4" width="17.25" style="226" customWidth="1"/>
    <col min="5" max="5" width="3.25" style="225" customWidth="1"/>
    <col min="6" max="6" width="16.125" style="225" customWidth="1"/>
    <col min="7" max="7" width="10" style="225" customWidth="1"/>
    <col min="8" max="9" width="11.5" style="225" customWidth="1"/>
    <col min="10" max="11" width="9" style="225"/>
    <col min="12" max="13" width="12.875" style="225" customWidth="1"/>
    <col min="14" max="14" width="10.75" style="225" customWidth="1"/>
    <col min="15" max="15" width="3.625" style="225" customWidth="1"/>
    <col min="16" max="16" width="14" style="225" hidden="1" customWidth="1"/>
    <col min="17" max="18" width="9" style="225"/>
    <col min="19" max="16384" width="9" style="227"/>
  </cols>
  <sheetData>
    <row r="1" s="223" customFormat="1" customHeight="1" spans="1:20">
      <c r="A1" s="228" t="s">
        <v>1556</v>
      </c>
      <c r="B1" s="229"/>
      <c r="C1" s="230">
        <f>C2-审定利润表!C10</f>
        <v>0</v>
      </c>
      <c r="D1" s="230">
        <f>D2-审定利润表!D10</f>
        <v>0</v>
      </c>
      <c r="E1" s="231"/>
      <c r="F1" s="232" t="s">
        <v>4651</v>
      </c>
      <c r="G1" s="282" t="s">
        <v>4652</v>
      </c>
      <c r="H1" s="283">
        <f>C15-H2</f>
        <v>0</v>
      </c>
      <c r="I1" s="283">
        <f>D15-I2</f>
        <v>0</v>
      </c>
      <c r="J1" s="282"/>
      <c r="K1" s="282"/>
      <c r="L1" s="293"/>
      <c r="M1" s="293"/>
      <c r="N1" s="263"/>
      <c r="O1" s="264"/>
      <c r="P1" s="264"/>
      <c r="Q1" s="231"/>
      <c r="R1" s="231"/>
      <c r="S1" s="231"/>
      <c r="T1" s="231"/>
    </row>
    <row r="2" s="223" customFormat="1" customHeight="1" spans="1:20">
      <c r="A2" s="235" t="s">
        <v>4653</v>
      </c>
      <c r="B2" s="235"/>
      <c r="C2" s="236">
        <f>C15</f>
        <v>0</v>
      </c>
      <c r="D2" s="236">
        <f>D15</f>
        <v>0</v>
      </c>
      <c r="E2" s="237"/>
      <c r="F2" s="233" t="s">
        <v>4654</v>
      </c>
      <c r="G2" s="238" t="s">
        <v>4653</v>
      </c>
      <c r="H2" s="239">
        <f>H80</f>
        <v>0</v>
      </c>
      <c r="I2" s="239">
        <f>I80</f>
        <v>0</v>
      </c>
      <c r="J2" s="282"/>
      <c r="K2" s="282"/>
      <c r="L2" s="294"/>
      <c r="M2" s="293"/>
      <c r="N2" s="295" t="s">
        <v>4655</v>
      </c>
      <c r="O2" s="296"/>
      <c r="P2" s="264"/>
      <c r="Q2" s="231"/>
      <c r="R2" s="231"/>
      <c r="S2" s="231"/>
      <c r="T2" s="231"/>
    </row>
    <row r="3" s="224" customFormat="1" customHeight="1" spans="1:18">
      <c r="A3" s="240" t="s">
        <v>4656</v>
      </c>
      <c r="B3" s="241" t="s">
        <v>4657</v>
      </c>
      <c r="C3" s="242" t="s">
        <v>4658</v>
      </c>
      <c r="D3" s="242" t="s">
        <v>2015</v>
      </c>
      <c r="E3" s="243"/>
      <c r="F3" s="245" t="s">
        <v>4659</v>
      </c>
      <c r="G3" s="245" t="s">
        <v>4660</v>
      </c>
      <c r="H3" s="246" t="s">
        <v>4661</v>
      </c>
      <c r="I3" s="246" t="s">
        <v>1910</v>
      </c>
      <c r="J3" s="297" t="s">
        <v>4662</v>
      </c>
      <c r="K3" s="246" t="s">
        <v>4663</v>
      </c>
      <c r="L3" s="298" t="s">
        <v>4664</v>
      </c>
      <c r="M3" s="299" t="s">
        <v>4665</v>
      </c>
      <c r="N3" s="267" t="s">
        <v>4666</v>
      </c>
      <c r="O3" s="300">
        <v>1</v>
      </c>
      <c r="P3" s="301" t="str">
        <f>A4</f>
        <v>石嘴山市深阳蓝光市政工程有限公司</v>
      </c>
      <c r="Q3" s="243"/>
      <c r="R3" s="243"/>
    </row>
    <row r="4" customHeight="1" spans="1:16">
      <c r="A4" s="247" t="str">
        <f>参数表!C3</f>
        <v>石嘴山市深阳蓝光市政工程有限公司</v>
      </c>
      <c r="B4" s="247" t="s">
        <v>4634</v>
      </c>
      <c r="C4" s="249">
        <f>SUMIFS($H$4:$H$80,$N$4:$N$80,$B4)</f>
        <v>0</v>
      </c>
      <c r="D4" s="249">
        <f>SUMIFS($I$4:$I$80,$N$4:$N$80,$B4)</f>
        <v>0</v>
      </c>
      <c r="E4" s="250"/>
      <c r="F4" s="244" t="s">
        <v>4667</v>
      </c>
      <c r="G4" s="245" t="s">
        <v>4668</v>
      </c>
      <c r="H4" s="251">
        <f>SUM(H5:H9,H13:H16)</f>
        <v>0</v>
      </c>
      <c r="I4" s="251">
        <f>SUM(I5:I9,I13:I16)</f>
        <v>0</v>
      </c>
      <c r="J4" s="302">
        <v>0</v>
      </c>
      <c r="K4" s="303"/>
      <c r="L4" s="251">
        <f>SUM(L5:L9,L13:L16)</f>
        <v>0</v>
      </c>
      <c r="M4" s="251">
        <f>SUM(M5:M9,M13:M16)</f>
        <v>0</v>
      </c>
      <c r="N4" s="304" t="s">
        <v>4634</v>
      </c>
      <c r="O4" s="301">
        <v>2</v>
      </c>
      <c r="P4" s="274" t="str">
        <f>P3</f>
        <v>石嘴山市深阳蓝光市政工程有限公司</v>
      </c>
    </row>
    <row r="5" customHeight="1" spans="1:16">
      <c r="A5" s="247" t="str">
        <f>A4</f>
        <v>石嘴山市深阳蓝光市政工程有限公司</v>
      </c>
      <c r="B5" s="247" t="s">
        <v>4635</v>
      </c>
      <c r="C5" s="249">
        <f t="shared" ref="C5:C14" si="0">SUMIFS($H$4:$H$80,$N$4:$N$80,$B5)</f>
        <v>0</v>
      </c>
      <c r="D5" s="249">
        <f t="shared" ref="D5:D14" si="1">SUMIFS($I$4:$I$80,$N$4:$N$80,$B5)</f>
        <v>0</v>
      </c>
      <c r="E5" s="250"/>
      <c r="F5" s="245" t="s">
        <v>4669</v>
      </c>
      <c r="G5" s="245" t="s">
        <v>4670</v>
      </c>
      <c r="H5" s="252"/>
      <c r="I5" s="252"/>
      <c r="J5" s="302">
        <v>0</v>
      </c>
      <c r="K5" s="303"/>
      <c r="L5" s="252"/>
      <c r="M5" s="252"/>
      <c r="N5" s="305"/>
      <c r="O5" s="301">
        <v>3</v>
      </c>
      <c r="P5" s="274" t="str">
        <f t="shared" ref="P5:P68" si="2">P4</f>
        <v>石嘴山市深阳蓝光市政工程有限公司</v>
      </c>
    </row>
    <row r="6" customHeight="1" spans="1:16">
      <c r="A6" s="247" t="str">
        <f t="shared" ref="A6:A16" si="3">A5</f>
        <v>石嘴山市深阳蓝光市政工程有限公司</v>
      </c>
      <c r="B6" s="247" t="s">
        <v>4636</v>
      </c>
      <c r="C6" s="249">
        <f t="shared" si="0"/>
        <v>0</v>
      </c>
      <c r="D6" s="249">
        <f t="shared" si="1"/>
        <v>0</v>
      </c>
      <c r="E6" s="250"/>
      <c r="F6" s="245" t="s">
        <v>4671</v>
      </c>
      <c r="G6" s="245" t="s">
        <v>4672</v>
      </c>
      <c r="H6" s="252"/>
      <c r="I6" s="252"/>
      <c r="J6" s="302">
        <v>0</v>
      </c>
      <c r="K6" s="303"/>
      <c r="L6" s="252"/>
      <c r="M6" s="252"/>
      <c r="N6" s="305"/>
      <c r="O6" s="301">
        <v>4</v>
      </c>
      <c r="P6" s="274" t="str">
        <f t="shared" si="2"/>
        <v>石嘴山市深阳蓝光市政工程有限公司</v>
      </c>
    </row>
    <row r="7" customHeight="1" spans="1:16">
      <c r="A7" s="247" t="str">
        <f t="shared" si="3"/>
        <v>石嘴山市深阳蓝光市政工程有限公司</v>
      </c>
      <c r="B7" s="247" t="s">
        <v>4637</v>
      </c>
      <c r="C7" s="249">
        <f t="shared" si="0"/>
        <v>0</v>
      </c>
      <c r="D7" s="249">
        <f t="shared" si="1"/>
        <v>0</v>
      </c>
      <c r="F7" s="245" t="s">
        <v>4673</v>
      </c>
      <c r="G7" s="245" t="s">
        <v>4674</v>
      </c>
      <c r="H7" s="252"/>
      <c r="I7" s="252"/>
      <c r="J7" s="302">
        <v>0</v>
      </c>
      <c r="K7" s="303"/>
      <c r="L7" s="252"/>
      <c r="M7" s="252"/>
      <c r="N7" s="305"/>
      <c r="O7" s="301">
        <v>5</v>
      </c>
      <c r="P7" s="274" t="str">
        <f t="shared" si="2"/>
        <v>石嘴山市深阳蓝光市政工程有限公司</v>
      </c>
    </row>
    <row r="8" customHeight="1" spans="1:16">
      <c r="A8" s="247" t="str">
        <f t="shared" si="3"/>
        <v>石嘴山市深阳蓝光市政工程有限公司</v>
      </c>
      <c r="B8" s="247" t="s">
        <v>4638</v>
      </c>
      <c r="C8" s="249">
        <f t="shared" si="0"/>
        <v>0</v>
      </c>
      <c r="D8" s="249">
        <f t="shared" si="1"/>
        <v>0</v>
      </c>
      <c r="F8" s="245" t="s">
        <v>4675</v>
      </c>
      <c r="G8" s="245" t="s">
        <v>4676</v>
      </c>
      <c r="H8" s="252"/>
      <c r="I8" s="252"/>
      <c r="J8" s="302">
        <v>0</v>
      </c>
      <c r="K8" s="303"/>
      <c r="L8" s="252"/>
      <c r="M8" s="252"/>
      <c r="N8" s="305"/>
      <c r="O8" s="301">
        <v>6</v>
      </c>
      <c r="P8" s="274" t="str">
        <f t="shared" si="2"/>
        <v>石嘴山市深阳蓝光市政工程有限公司</v>
      </c>
    </row>
    <row r="9" customHeight="1" spans="1:16">
      <c r="A9" s="247" t="str">
        <f t="shared" si="3"/>
        <v>石嘴山市深阳蓝光市政工程有限公司</v>
      </c>
      <c r="B9" s="247" t="s">
        <v>4639</v>
      </c>
      <c r="C9" s="249">
        <f t="shared" si="0"/>
        <v>0</v>
      </c>
      <c r="D9" s="249">
        <f t="shared" si="1"/>
        <v>0</v>
      </c>
      <c r="F9" s="245" t="s">
        <v>4677</v>
      </c>
      <c r="G9" s="245" t="s">
        <v>4678</v>
      </c>
      <c r="H9" s="251">
        <f>SUM(H10:H12)</f>
        <v>0</v>
      </c>
      <c r="I9" s="251">
        <f>SUM(I10:I12)</f>
        <v>0</v>
      </c>
      <c r="J9" s="302">
        <v>0</v>
      </c>
      <c r="K9" s="303"/>
      <c r="L9" s="251">
        <f>SUM(L10:L12)</f>
        <v>0</v>
      </c>
      <c r="M9" s="251">
        <f>SUM(M10:M12)</f>
        <v>0</v>
      </c>
      <c r="N9" s="305"/>
      <c r="O9" s="301">
        <v>7</v>
      </c>
      <c r="P9" s="274" t="str">
        <f t="shared" si="2"/>
        <v>石嘴山市深阳蓝光市政工程有限公司</v>
      </c>
    </row>
    <row r="10" customHeight="1" spans="1:16">
      <c r="A10" s="247" t="str">
        <f t="shared" si="3"/>
        <v>石嘴山市深阳蓝光市政工程有限公司</v>
      </c>
      <c r="B10" s="247" t="s">
        <v>4640</v>
      </c>
      <c r="C10" s="249">
        <f t="shared" si="0"/>
        <v>0</v>
      </c>
      <c r="D10" s="249">
        <f t="shared" si="1"/>
        <v>0</v>
      </c>
      <c r="F10" s="245" t="s">
        <v>4679</v>
      </c>
      <c r="G10" s="245" t="s">
        <v>4680</v>
      </c>
      <c r="H10" s="252"/>
      <c r="I10" s="252"/>
      <c r="J10" s="302">
        <v>0</v>
      </c>
      <c r="K10" s="303"/>
      <c r="L10" s="252"/>
      <c r="M10" s="252"/>
      <c r="N10" s="305"/>
      <c r="O10" s="301">
        <v>8</v>
      </c>
      <c r="P10" s="274" t="str">
        <f t="shared" si="2"/>
        <v>石嘴山市深阳蓝光市政工程有限公司</v>
      </c>
    </row>
    <row r="11" customHeight="1" spans="1:16">
      <c r="A11" s="247" t="str">
        <f t="shared" si="3"/>
        <v>石嘴山市深阳蓝光市政工程有限公司</v>
      </c>
      <c r="B11" s="284" t="s">
        <v>4641</v>
      </c>
      <c r="C11" s="249">
        <f t="shared" si="0"/>
        <v>0</v>
      </c>
      <c r="D11" s="249">
        <f t="shared" si="1"/>
        <v>0</v>
      </c>
      <c r="F11" s="245" t="s">
        <v>4681</v>
      </c>
      <c r="G11" s="245" t="s">
        <v>4682</v>
      </c>
      <c r="H11" s="252"/>
      <c r="I11" s="252"/>
      <c r="J11" s="302">
        <v>0</v>
      </c>
      <c r="K11" s="303"/>
      <c r="L11" s="252"/>
      <c r="M11" s="252"/>
      <c r="N11" s="305"/>
      <c r="O11" s="301">
        <v>9</v>
      </c>
      <c r="P11" s="274" t="str">
        <f t="shared" si="2"/>
        <v>石嘴山市深阳蓝光市政工程有限公司</v>
      </c>
    </row>
    <row r="12" customHeight="1" spans="1:16">
      <c r="A12" s="247" t="str">
        <f t="shared" si="3"/>
        <v>石嘴山市深阳蓝光市政工程有限公司</v>
      </c>
      <c r="B12" s="284" t="s">
        <v>4642</v>
      </c>
      <c r="C12" s="249">
        <f t="shared" si="0"/>
        <v>0</v>
      </c>
      <c r="D12" s="249">
        <f t="shared" si="1"/>
        <v>0</v>
      </c>
      <c r="F12" s="245" t="s">
        <v>4683</v>
      </c>
      <c r="G12" s="245" t="s">
        <v>4684</v>
      </c>
      <c r="H12" s="252"/>
      <c r="I12" s="252"/>
      <c r="J12" s="302">
        <v>0</v>
      </c>
      <c r="K12" s="303"/>
      <c r="L12" s="252"/>
      <c r="M12" s="252"/>
      <c r="N12" s="305"/>
      <c r="O12" s="301">
        <v>10</v>
      </c>
      <c r="P12" s="274" t="str">
        <f t="shared" si="2"/>
        <v>石嘴山市深阳蓝光市政工程有限公司</v>
      </c>
    </row>
    <row r="13" customHeight="1" spans="1:16">
      <c r="A13" s="247" t="str">
        <f t="shared" si="3"/>
        <v>石嘴山市深阳蓝光市政工程有限公司</v>
      </c>
      <c r="B13" s="284" t="s">
        <v>4643</v>
      </c>
      <c r="C13" s="249">
        <f t="shared" si="0"/>
        <v>0</v>
      </c>
      <c r="D13" s="249">
        <f t="shared" si="1"/>
        <v>0</v>
      </c>
      <c r="F13" s="245" t="s">
        <v>4685</v>
      </c>
      <c r="G13" s="245" t="s">
        <v>4686</v>
      </c>
      <c r="H13" s="252"/>
      <c r="I13" s="252"/>
      <c r="J13" s="302">
        <v>0</v>
      </c>
      <c r="K13" s="303"/>
      <c r="L13" s="252"/>
      <c r="M13" s="252"/>
      <c r="N13" s="305"/>
      <c r="O13" s="301">
        <v>11</v>
      </c>
      <c r="P13" s="274" t="str">
        <f t="shared" si="2"/>
        <v>石嘴山市深阳蓝光市政工程有限公司</v>
      </c>
    </row>
    <row r="14" customHeight="1" spans="1:16">
      <c r="A14" s="247" t="str">
        <f t="shared" si="3"/>
        <v>石嘴山市深阳蓝光市政工程有限公司</v>
      </c>
      <c r="B14" s="284" t="s">
        <v>4644</v>
      </c>
      <c r="C14" s="249">
        <f t="shared" si="0"/>
        <v>0</v>
      </c>
      <c r="D14" s="249">
        <f t="shared" si="1"/>
        <v>0</v>
      </c>
      <c r="F14" s="245" t="s">
        <v>4687</v>
      </c>
      <c r="G14" s="245" t="s">
        <v>4688</v>
      </c>
      <c r="H14" s="252"/>
      <c r="I14" s="252"/>
      <c r="J14" s="302">
        <v>0</v>
      </c>
      <c r="K14" s="303"/>
      <c r="L14" s="252"/>
      <c r="M14" s="252"/>
      <c r="N14" s="305"/>
      <c r="O14" s="301">
        <v>12</v>
      </c>
      <c r="P14" s="274" t="str">
        <f t="shared" si="2"/>
        <v>石嘴山市深阳蓝光市政工程有限公司</v>
      </c>
    </row>
    <row r="15" customHeight="1" spans="1:16">
      <c r="A15" s="247" t="str">
        <f t="shared" si="3"/>
        <v>石嘴山市深阳蓝光市政工程有限公司</v>
      </c>
      <c r="B15" s="285" t="s">
        <v>1580</v>
      </c>
      <c r="C15" s="286">
        <f>SUM(C4:C14)</f>
        <v>0</v>
      </c>
      <c r="D15" s="286">
        <f>SUM(D4:D14)</f>
        <v>0</v>
      </c>
      <c r="F15" s="245" t="s">
        <v>4689</v>
      </c>
      <c r="G15" s="245" t="s">
        <v>4690</v>
      </c>
      <c r="H15" s="252"/>
      <c r="I15" s="252"/>
      <c r="J15" s="302">
        <v>0</v>
      </c>
      <c r="K15" s="303"/>
      <c r="L15" s="252"/>
      <c r="M15" s="252"/>
      <c r="N15" s="305"/>
      <c r="O15" s="301">
        <v>13</v>
      </c>
      <c r="P15" s="274" t="str">
        <f t="shared" si="2"/>
        <v>石嘴山市深阳蓝光市政工程有限公司</v>
      </c>
    </row>
    <row r="16" customHeight="1" spans="1:16">
      <c r="A16" s="287" t="str">
        <f t="shared" si="3"/>
        <v>石嘴山市深阳蓝光市政工程有限公司</v>
      </c>
      <c r="B16" s="256" t="s">
        <v>1394</v>
      </c>
      <c r="C16" s="288">
        <f>C15-H2</f>
        <v>0</v>
      </c>
      <c r="D16" s="288">
        <f>D15-I2</f>
        <v>0</v>
      </c>
      <c r="F16" s="245" t="s">
        <v>4691</v>
      </c>
      <c r="G16" s="245" t="s">
        <v>4692</v>
      </c>
      <c r="H16" s="252"/>
      <c r="I16" s="252"/>
      <c r="J16" s="302">
        <v>0</v>
      </c>
      <c r="K16" s="303"/>
      <c r="L16" s="252"/>
      <c r="M16" s="252"/>
      <c r="N16" s="305"/>
      <c r="O16" s="301">
        <v>14</v>
      </c>
      <c r="P16" s="274" t="str">
        <f t="shared" si="2"/>
        <v>石嘴山市深阳蓝光市政工程有限公司</v>
      </c>
    </row>
    <row r="17" customHeight="1" spans="1:16">
      <c r="A17" s="258"/>
      <c r="B17" s="289"/>
      <c r="C17" s="290"/>
      <c r="D17" s="290"/>
      <c r="F17" s="244" t="s">
        <v>4693</v>
      </c>
      <c r="G17" s="245" t="s">
        <v>4694</v>
      </c>
      <c r="H17" s="252"/>
      <c r="I17" s="252"/>
      <c r="J17" s="302">
        <v>0</v>
      </c>
      <c r="K17" s="303"/>
      <c r="L17" s="252"/>
      <c r="M17" s="252"/>
      <c r="N17" s="304" t="s">
        <v>4637</v>
      </c>
      <c r="O17" s="301">
        <v>15</v>
      </c>
      <c r="P17" s="274" t="str">
        <f t="shared" si="2"/>
        <v>石嘴山市深阳蓝光市政工程有限公司</v>
      </c>
    </row>
    <row r="18" customHeight="1" spans="1:16">
      <c r="A18" s="258"/>
      <c r="B18" s="289"/>
      <c r="C18" s="290"/>
      <c r="D18" s="290"/>
      <c r="F18" s="244" t="s">
        <v>4695</v>
      </c>
      <c r="G18" s="245" t="s">
        <v>4696</v>
      </c>
      <c r="H18" s="252"/>
      <c r="I18" s="252"/>
      <c r="J18" s="302">
        <v>0</v>
      </c>
      <c r="K18" s="303"/>
      <c r="L18" s="252"/>
      <c r="M18" s="252"/>
      <c r="N18" s="304" t="s">
        <v>4637</v>
      </c>
      <c r="O18" s="301">
        <v>16</v>
      </c>
      <c r="P18" s="274" t="str">
        <f t="shared" si="2"/>
        <v>石嘴山市深阳蓝光市政工程有限公司</v>
      </c>
    </row>
    <row r="19" s="260" customFormat="1" customHeight="1" spans="1:20">
      <c r="A19" s="258"/>
      <c r="B19" s="289"/>
      <c r="C19" s="289"/>
      <c r="D19" s="289"/>
      <c r="E19" s="225"/>
      <c r="F19" s="244" t="s">
        <v>4697</v>
      </c>
      <c r="G19" s="245" t="s">
        <v>4698</v>
      </c>
      <c r="H19" s="252"/>
      <c r="I19" s="252"/>
      <c r="J19" s="302">
        <v>0</v>
      </c>
      <c r="K19" s="303"/>
      <c r="L19" s="252"/>
      <c r="M19" s="252"/>
      <c r="N19" s="304" t="s">
        <v>4639</v>
      </c>
      <c r="O19" s="301">
        <v>17</v>
      </c>
      <c r="P19" s="274" t="str">
        <f t="shared" si="2"/>
        <v>石嘴山市深阳蓝光市政工程有限公司</v>
      </c>
      <c r="Q19" s="225"/>
      <c r="R19" s="225"/>
      <c r="S19" s="227"/>
      <c r="T19" s="227"/>
    </row>
    <row r="20" s="260" customFormat="1" customHeight="1" spans="1:20">
      <c r="A20" s="225"/>
      <c r="C20" s="226"/>
      <c r="D20" s="226"/>
      <c r="E20" s="225"/>
      <c r="F20" s="244" t="s">
        <v>4699</v>
      </c>
      <c r="G20" s="245" t="s">
        <v>4700</v>
      </c>
      <c r="H20" s="252"/>
      <c r="I20" s="252"/>
      <c r="J20" s="302">
        <v>0</v>
      </c>
      <c r="K20" s="303"/>
      <c r="L20" s="252"/>
      <c r="M20" s="252"/>
      <c r="N20" s="304" t="s">
        <v>4641</v>
      </c>
      <c r="O20" s="301">
        <v>18</v>
      </c>
      <c r="P20" s="274" t="str">
        <f t="shared" si="2"/>
        <v>石嘴山市深阳蓝光市政工程有限公司</v>
      </c>
      <c r="Q20" s="225"/>
      <c r="R20" s="225"/>
      <c r="S20" s="227"/>
      <c r="T20" s="227"/>
    </row>
    <row r="21" s="260" customFormat="1" customHeight="1" spans="1:20">
      <c r="A21" s="225"/>
      <c r="C21" s="226"/>
      <c r="D21" s="226"/>
      <c r="E21" s="225"/>
      <c r="F21" s="244" t="s">
        <v>4701</v>
      </c>
      <c r="G21" s="245" t="s">
        <v>4702</v>
      </c>
      <c r="H21" s="252"/>
      <c r="I21" s="252"/>
      <c r="J21" s="302">
        <v>0</v>
      </c>
      <c r="K21" s="303"/>
      <c r="L21" s="252"/>
      <c r="M21" s="252"/>
      <c r="N21" s="304" t="s">
        <v>4640</v>
      </c>
      <c r="O21" s="301">
        <v>19</v>
      </c>
      <c r="P21" s="274" t="str">
        <f t="shared" si="2"/>
        <v>石嘴山市深阳蓝光市政工程有限公司</v>
      </c>
      <c r="Q21" s="225"/>
      <c r="R21" s="225"/>
      <c r="S21" s="227"/>
      <c r="T21" s="227"/>
    </row>
    <row r="22" s="260" customFormat="1" customHeight="1" spans="1:20">
      <c r="A22" s="225"/>
      <c r="C22" s="226"/>
      <c r="D22" s="226"/>
      <c r="E22" s="225"/>
      <c r="F22" s="244" t="s">
        <v>4703</v>
      </c>
      <c r="G22" s="245" t="s">
        <v>4704</v>
      </c>
      <c r="H22" s="252"/>
      <c r="I22" s="252"/>
      <c r="J22" s="302">
        <v>0</v>
      </c>
      <c r="K22" s="303"/>
      <c r="L22" s="252"/>
      <c r="M22" s="252"/>
      <c r="N22" s="304" t="s">
        <v>4637</v>
      </c>
      <c r="O22" s="301">
        <v>20</v>
      </c>
      <c r="P22" s="274" t="str">
        <f t="shared" si="2"/>
        <v>石嘴山市深阳蓝光市政工程有限公司</v>
      </c>
      <c r="Q22" s="225"/>
      <c r="R22" s="225"/>
      <c r="S22" s="227"/>
      <c r="T22" s="227"/>
    </row>
    <row r="23" s="260" customFormat="1" customHeight="1" spans="1:20">
      <c r="A23" s="225"/>
      <c r="C23" s="226"/>
      <c r="D23" s="226"/>
      <c r="E23" s="225"/>
      <c r="F23" s="244" t="s">
        <v>4705</v>
      </c>
      <c r="G23" s="245" t="s">
        <v>4706</v>
      </c>
      <c r="H23" s="252"/>
      <c r="I23" s="252"/>
      <c r="J23" s="302">
        <v>0</v>
      </c>
      <c r="K23" s="303"/>
      <c r="L23" s="252"/>
      <c r="M23" s="252"/>
      <c r="N23" s="304" t="s">
        <v>4643</v>
      </c>
      <c r="O23" s="301">
        <v>21</v>
      </c>
      <c r="P23" s="274" t="str">
        <f t="shared" si="2"/>
        <v>石嘴山市深阳蓝光市政工程有限公司</v>
      </c>
      <c r="Q23" s="225"/>
      <c r="R23" s="225"/>
      <c r="S23" s="227"/>
      <c r="T23" s="227"/>
    </row>
    <row r="24" s="260" customFormat="1" customHeight="1" spans="1:20">
      <c r="A24" s="225"/>
      <c r="C24" s="226"/>
      <c r="D24" s="226"/>
      <c r="E24" s="225"/>
      <c r="F24" s="244" t="s">
        <v>4707</v>
      </c>
      <c r="G24" s="245" t="s">
        <v>4708</v>
      </c>
      <c r="H24" s="251">
        <f>SUM(H25:H28)</f>
        <v>0</v>
      </c>
      <c r="I24" s="251">
        <f>SUM(I25:I28)</f>
        <v>0</v>
      </c>
      <c r="J24" s="302">
        <v>0</v>
      </c>
      <c r="K24" s="303"/>
      <c r="L24" s="251">
        <f>SUM(L25:L28)</f>
        <v>0</v>
      </c>
      <c r="M24" s="251">
        <f>SUM(M25:M28)</f>
        <v>0</v>
      </c>
      <c r="N24" s="304" t="s">
        <v>4638</v>
      </c>
      <c r="O24" s="301">
        <v>22</v>
      </c>
      <c r="P24" s="274" t="str">
        <f t="shared" si="2"/>
        <v>石嘴山市深阳蓝光市政工程有限公司</v>
      </c>
      <c r="Q24" s="225"/>
      <c r="R24" s="225"/>
      <c r="S24" s="227"/>
      <c r="T24" s="227"/>
    </row>
    <row r="25" s="260" customFormat="1" customHeight="1" spans="1:20">
      <c r="A25" s="225"/>
      <c r="C25" s="226"/>
      <c r="D25" s="226"/>
      <c r="E25" s="225"/>
      <c r="F25" s="245" t="s">
        <v>4709</v>
      </c>
      <c r="G25" s="245" t="s">
        <v>4710</v>
      </c>
      <c r="H25" s="252"/>
      <c r="I25" s="252"/>
      <c r="J25" s="302">
        <v>0</v>
      </c>
      <c r="K25" s="303"/>
      <c r="L25" s="252"/>
      <c r="M25" s="252"/>
      <c r="N25" s="305"/>
      <c r="O25" s="301">
        <v>23</v>
      </c>
      <c r="P25" s="274" t="str">
        <f t="shared" si="2"/>
        <v>石嘴山市深阳蓝光市政工程有限公司</v>
      </c>
      <c r="Q25" s="225"/>
      <c r="R25" s="225"/>
      <c r="S25" s="227"/>
      <c r="T25" s="227"/>
    </row>
    <row r="26" s="260" customFormat="1" customHeight="1" spans="1:20">
      <c r="A26" s="225"/>
      <c r="C26" s="226"/>
      <c r="D26" s="226"/>
      <c r="E26" s="225"/>
      <c r="F26" s="245" t="s">
        <v>4711</v>
      </c>
      <c r="G26" s="245" t="s">
        <v>4712</v>
      </c>
      <c r="H26" s="252"/>
      <c r="I26" s="252"/>
      <c r="J26" s="302">
        <v>0</v>
      </c>
      <c r="K26" s="303"/>
      <c r="L26" s="252"/>
      <c r="M26" s="252"/>
      <c r="N26" s="305"/>
      <c r="O26" s="301">
        <v>24</v>
      </c>
      <c r="P26" s="274" t="str">
        <f t="shared" si="2"/>
        <v>石嘴山市深阳蓝光市政工程有限公司</v>
      </c>
      <c r="Q26" s="225"/>
      <c r="R26" s="225"/>
      <c r="S26" s="227"/>
      <c r="T26" s="227"/>
    </row>
    <row r="27" s="260" customFormat="1" customHeight="1" spans="1:20">
      <c r="A27" s="225"/>
      <c r="C27" s="226"/>
      <c r="D27" s="226"/>
      <c r="E27" s="225"/>
      <c r="F27" s="245" t="s">
        <v>4713</v>
      </c>
      <c r="G27" s="245" t="s">
        <v>4714</v>
      </c>
      <c r="H27" s="252"/>
      <c r="I27" s="252"/>
      <c r="J27" s="302">
        <v>0</v>
      </c>
      <c r="K27" s="303"/>
      <c r="L27" s="252"/>
      <c r="M27" s="252"/>
      <c r="N27" s="305"/>
      <c r="O27" s="301">
        <v>25</v>
      </c>
      <c r="P27" s="274" t="str">
        <f t="shared" si="2"/>
        <v>石嘴山市深阳蓝光市政工程有限公司</v>
      </c>
      <c r="Q27" s="225"/>
      <c r="R27" s="225"/>
      <c r="S27" s="227"/>
      <c r="T27" s="227"/>
    </row>
    <row r="28" s="260" customFormat="1" customHeight="1" spans="1:20">
      <c r="A28" s="225"/>
      <c r="C28" s="226"/>
      <c r="D28" s="226"/>
      <c r="E28" s="225"/>
      <c r="F28" s="245" t="s">
        <v>4715</v>
      </c>
      <c r="G28" s="245" t="s">
        <v>4716</v>
      </c>
      <c r="H28" s="251">
        <f>SUM(H29:H31)</f>
        <v>0</v>
      </c>
      <c r="I28" s="251">
        <f>SUM(I29:I31)</f>
        <v>0</v>
      </c>
      <c r="J28" s="302">
        <v>0</v>
      </c>
      <c r="K28" s="303"/>
      <c r="L28" s="251">
        <f>SUM(L29:L31)</f>
        <v>0</v>
      </c>
      <c r="M28" s="251">
        <f>SUM(M29:M31)</f>
        <v>0</v>
      </c>
      <c r="N28" s="305"/>
      <c r="O28" s="301">
        <v>26</v>
      </c>
      <c r="P28" s="274" t="str">
        <f t="shared" si="2"/>
        <v>石嘴山市深阳蓝光市政工程有限公司</v>
      </c>
      <c r="Q28" s="225"/>
      <c r="R28" s="225"/>
      <c r="S28" s="227"/>
      <c r="T28" s="227"/>
    </row>
    <row r="29" s="260" customFormat="1" customHeight="1" spans="1:20">
      <c r="A29" s="225"/>
      <c r="C29" s="226"/>
      <c r="D29" s="226"/>
      <c r="E29" s="225"/>
      <c r="F29" s="245" t="s">
        <v>4717</v>
      </c>
      <c r="G29" s="245" t="s">
        <v>4718</v>
      </c>
      <c r="H29" s="252"/>
      <c r="I29" s="252"/>
      <c r="J29" s="302">
        <v>0</v>
      </c>
      <c r="K29" s="303"/>
      <c r="L29" s="252"/>
      <c r="M29" s="252"/>
      <c r="N29" s="305"/>
      <c r="O29" s="301">
        <v>27</v>
      </c>
      <c r="P29" s="274" t="str">
        <f t="shared" si="2"/>
        <v>石嘴山市深阳蓝光市政工程有限公司</v>
      </c>
      <c r="Q29" s="225"/>
      <c r="R29" s="225"/>
      <c r="S29" s="227"/>
      <c r="T29" s="227"/>
    </row>
    <row r="30" s="260" customFormat="1" customHeight="1" spans="1:20">
      <c r="A30" s="225"/>
      <c r="C30" s="226"/>
      <c r="D30" s="226"/>
      <c r="E30" s="225"/>
      <c r="F30" s="245" t="s">
        <v>4719</v>
      </c>
      <c r="G30" s="245" t="s">
        <v>4720</v>
      </c>
      <c r="H30" s="252"/>
      <c r="I30" s="252"/>
      <c r="J30" s="302">
        <v>0</v>
      </c>
      <c r="K30" s="303"/>
      <c r="L30" s="252"/>
      <c r="M30" s="252"/>
      <c r="N30" s="305"/>
      <c r="O30" s="301">
        <v>28</v>
      </c>
      <c r="P30" s="274" t="str">
        <f t="shared" si="2"/>
        <v>石嘴山市深阳蓝光市政工程有限公司</v>
      </c>
      <c r="Q30" s="225"/>
      <c r="R30" s="225"/>
      <c r="S30" s="227"/>
      <c r="T30" s="227"/>
    </row>
    <row r="31" s="260" customFormat="1" customHeight="1" spans="1:20">
      <c r="A31" s="291"/>
      <c r="B31" s="225"/>
      <c r="C31" s="226"/>
      <c r="D31" s="226"/>
      <c r="E31" s="225"/>
      <c r="F31" s="245" t="s">
        <v>4721</v>
      </c>
      <c r="G31" s="245" t="s">
        <v>4722</v>
      </c>
      <c r="H31" s="252"/>
      <c r="I31" s="252"/>
      <c r="J31" s="302">
        <v>0</v>
      </c>
      <c r="K31" s="303"/>
      <c r="L31" s="252"/>
      <c r="M31" s="252"/>
      <c r="N31" s="305"/>
      <c r="O31" s="301">
        <v>29</v>
      </c>
      <c r="P31" s="274" t="str">
        <f t="shared" si="2"/>
        <v>石嘴山市深阳蓝光市政工程有限公司</v>
      </c>
      <c r="Q31" s="225"/>
      <c r="R31" s="225"/>
      <c r="S31" s="227"/>
      <c r="T31" s="227"/>
    </row>
    <row r="32" s="260" customFormat="1" customHeight="1" spans="1:20">
      <c r="A32" s="225"/>
      <c r="B32" s="225"/>
      <c r="C32" s="226"/>
      <c r="D32" s="226"/>
      <c r="E32" s="225"/>
      <c r="F32" s="244" t="s">
        <v>4723</v>
      </c>
      <c r="G32" s="245" t="s">
        <v>4724</v>
      </c>
      <c r="H32" s="252"/>
      <c r="I32" s="252"/>
      <c r="J32" s="302">
        <v>0</v>
      </c>
      <c r="K32" s="303"/>
      <c r="L32" s="252"/>
      <c r="M32" s="252"/>
      <c r="N32" s="304" t="s">
        <v>4636</v>
      </c>
      <c r="O32" s="301">
        <v>30</v>
      </c>
      <c r="P32" s="274" t="str">
        <f t="shared" si="2"/>
        <v>石嘴山市深阳蓝光市政工程有限公司</v>
      </c>
      <c r="Q32" s="225"/>
      <c r="R32" s="225"/>
      <c r="S32" s="227"/>
      <c r="T32" s="227"/>
    </row>
    <row r="33" s="260" customFormat="1" customHeight="1" spans="1:20">
      <c r="A33" s="225"/>
      <c r="B33" s="225"/>
      <c r="C33" s="226"/>
      <c r="D33" s="226"/>
      <c r="E33" s="225"/>
      <c r="F33" s="244" t="s">
        <v>4725</v>
      </c>
      <c r="G33" s="245" t="s">
        <v>4726</v>
      </c>
      <c r="H33" s="252"/>
      <c r="I33" s="252"/>
      <c r="J33" s="302">
        <v>0</v>
      </c>
      <c r="K33" s="303"/>
      <c r="L33" s="252"/>
      <c r="M33" s="252"/>
      <c r="N33" s="304" t="s">
        <v>4644</v>
      </c>
      <c r="O33" s="301">
        <v>31</v>
      </c>
      <c r="P33" s="274" t="str">
        <f t="shared" si="2"/>
        <v>石嘴山市深阳蓝光市政工程有限公司</v>
      </c>
      <c r="Q33" s="225"/>
      <c r="R33" s="225"/>
      <c r="S33" s="227"/>
      <c r="T33" s="227"/>
    </row>
    <row r="34" s="260" customFormat="1" customHeight="1" spans="1:20">
      <c r="A34" s="225"/>
      <c r="C34" s="226"/>
      <c r="D34" s="226"/>
      <c r="E34" s="225"/>
      <c r="F34" s="244" t="s">
        <v>4727</v>
      </c>
      <c r="G34" s="245" t="s">
        <v>4728</v>
      </c>
      <c r="H34" s="251">
        <f>SUM(H35:H36)</f>
        <v>0</v>
      </c>
      <c r="I34" s="251">
        <f>SUM(I35:I36)</f>
        <v>0</v>
      </c>
      <c r="J34" s="302">
        <v>0</v>
      </c>
      <c r="K34" s="303"/>
      <c r="L34" s="251">
        <f>SUM(L35:L36)</f>
        <v>0</v>
      </c>
      <c r="M34" s="251">
        <f>SUM(M35:M36)</f>
        <v>0</v>
      </c>
      <c r="N34" s="304" t="s">
        <v>4640</v>
      </c>
      <c r="O34" s="301">
        <v>32</v>
      </c>
      <c r="P34" s="274" t="str">
        <f t="shared" si="2"/>
        <v>石嘴山市深阳蓝光市政工程有限公司</v>
      </c>
      <c r="Q34" s="225"/>
      <c r="R34" s="225"/>
      <c r="S34" s="227"/>
      <c r="T34" s="227"/>
    </row>
    <row r="35" customHeight="1" spans="6:16">
      <c r="F35" s="245" t="s">
        <v>166</v>
      </c>
      <c r="G35" s="245" t="s">
        <v>4729</v>
      </c>
      <c r="H35" s="252"/>
      <c r="I35" s="252"/>
      <c r="J35" s="302">
        <v>0</v>
      </c>
      <c r="K35" s="303"/>
      <c r="L35" s="252"/>
      <c r="M35" s="252"/>
      <c r="N35" s="305"/>
      <c r="O35" s="301">
        <v>33</v>
      </c>
      <c r="P35" s="274" t="str">
        <f t="shared" si="2"/>
        <v>石嘴山市深阳蓝光市政工程有限公司</v>
      </c>
    </row>
    <row r="36" customHeight="1" spans="6:16">
      <c r="F36" s="245" t="s">
        <v>4730</v>
      </c>
      <c r="G36" s="245" t="s">
        <v>4731</v>
      </c>
      <c r="H36" s="252"/>
      <c r="I36" s="252"/>
      <c r="J36" s="302">
        <v>0</v>
      </c>
      <c r="K36" s="303"/>
      <c r="L36" s="252"/>
      <c r="M36" s="252"/>
      <c r="N36" s="305"/>
      <c r="O36" s="301">
        <v>34</v>
      </c>
      <c r="P36" s="274" t="str">
        <f t="shared" si="2"/>
        <v>石嘴山市深阳蓝光市政工程有限公司</v>
      </c>
    </row>
    <row r="37" customHeight="1" spans="6:16">
      <c r="F37" s="244" t="s">
        <v>4732</v>
      </c>
      <c r="G37" s="245" t="s">
        <v>4733</v>
      </c>
      <c r="H37" s="252"/>
      <c r="I37" s="252"/>
      <c r="J37" s="302">
        <v>0</v>
      </c>
      <c r="K37" s="303"/>
      <c r="L37" s="252"/>
      <c r="M37" s="252"/>
      <c r="N37" s="304" t="s">
        <v>4644</v>
      </c>
      <c r="O37" s="301">
        <v>35</v>
      </c>
      <c r="P37" s="274" t="str">
        <f t="shared" si="2"/>
        <v>石嘴山市深阳蓝光市政工程有限公司</v>
      </c>
    </row>
    <row r="38" customHeight="1" spans="6:16">
      <c r="F38" s="244" t="s">
        <v>4734</v>
      </c>
      <c r="G38" s="245" t="s">
        <v>4735</v>
      </c>
      <c r="H38" s="252">
        <v>0</v>
      </c>
      <c r="I38" s="252"/>
      <c r="J38" s="302">
        <v>0</v>
      </c>
      <c r="K38" s="303"/>
      <c r="L38" s="252"/>
      <c r="M38" s="252"/>
      <c r="N38" s="304" t="s">
        <v>4644</v>
      </c>
      <c r="O38" s="301">
        <v>36</v>
      </c>
      <c r="P38" s="274" t="str">
        <f t="shared" si="2"/>
        <v>石嘴山市深阳蓝光市政工程有限公司</v>
      </c>
    </row>
    <row r="39" customHeight="1" spans="6:16">
      <c r="F39" s="244" t="s">
        <v>4736</v>
      </c>
      <c r="G39" s="245" t="s">
        <v>4737</v>
      </c>
      <c r="H39" s="251">
        <f>SUM(H40:H44)</f>
        <v>0</v>
      </c>
      <c r="I39" s="251">
        <f>SUM(I40:I44)</f>
        <v>0</v>
      </c>
      <c r="J39" s="302">
        <v>0</v>
      </c>
      <c r="K39" s="303"/>
      <c r="L39" s="251">
        <f>SUM(L40:L44)</f>
        <v>0</v>
      </c>
      <c r="M39" s="251">
        <f>SUM(M40:M44)</f>
        <v>0</v>
      </c>
      <c r="N39" s="304" t="s">
        <v>4642</v>
      </c>
      <c r="O39" s="301">
        <v>37</v>
      </c>
      <c r="P39" s="274" t="str">
        <f t="shared" si="2"/>
        <v>石嘴山市深阳蓝光市政工程有限公司</v>
      </c>
    </row>
    <row r="40" customHeight="1" spans="6:16">
      <c r="F40" s="245" t="s">
        <v>4738</v>
      </c>
      <c r="G40" s="245" t="s">
        <v>4739</v>
      </c>
      <c r="H40" s="252"/>
      <c r="I40" s="252"/>
      <c r="J40" s="302">
        <v>0</v>
      </c>
      <c r="K40" s="303"/>
      <c r="L40" s="252"/>
      <c r="M40" s="252"/>
      <c r="N40" s="305"/>
      <c r="O40" s="301">
        <v>38</v>
      </c>
      <c r="P40" s="274" t="str">
        <f t="shared" si="2"/>
        <v>石嘴山市深阳蓝光市政工程有限公司</v>
      </c>
    </row>
    <row r="41" customHeight="1" spans="6:16">
      <c r="F41" s="245" t="s">
        <v>4740</v>
      </c>
      <c r="G41" s="245" t="s">
        <v>4741</v>
      </c>
      <c r="H41" s="252"/>
      <c r="I41" s="252"/>
      <c r="J41" s="302">
        <v>0</v>
      </c>
      <c r="K41" s="303"/>
      <c r="L41" s="252"/>
      <c r="M41" s="252"/>
      <c r="N41" s="305"/>
      <c r="O41" s="301">
        <v>39</v>
      </c>
      <c r="P41" s="274" t="str">
        <f t="shared" si="2"/>
        <v>石嘴山市深阳蓝光市政工程有限公司</v>
      </c>
    </row>
    <row r="42" customHeight="1" spans="6:16">
      <c r="F42" s="245" t="s">
        <v>4742</v>
      </c>
      <c r="G42" s="245" t="s">
        <v>4743</v>
      </c>
      <c r="H42" s="252"/>
      <c r="I42" s="252"/>
      <c r="J42" s="302">
        <v>0</v>
      </c>
      <c r="K42" s="303"/>
      <c r="L42" s="252"/>
      <c r="M42" s="252"/>
      <c r="N42" s="306"/>
      <c r="O42" s="301">
        <v>40</v>
      </c>
      <c r="P42" s="274" t="str">
        <f t="shared" si="2"/>
        <v>石嘴山市深阳蓝光市政工程有限公司</v>
      </c>
    </row>
    <row r="43" customHeight="1" spans="6:16">
      <c r="F43" s="245" t="s">
        <v>4744</v>
      </c>
      <c r="G43" s="245" t="s">
        <v>4745</v>
      </c>
      <c r="H43" s="252"/>
      <c r="I43" s="252"/>
      <c r="J43" s="302">
        <v>0</v>
      </c>
      <c r="K43" s="303"/>
      <c r="L43" s="252"/>
      <c r="M43" s="252"/>
      <c r="N43" s="306"/>
      <c r="O43" s="301">
        <v>41</v>
      </c>
      <c r="P43" s="274" t="str">
        <f t="shared" si="2"/>
        <v>石嘴山市深阳蓝光市政工程有限公司</v>
      </c>
    </row>
    <row r="44" customHeight="1" spans="6:16">
      <c r="F44" s="245" t="s">
        <v>4746</v>
      </c>
      <c r="G44" s="245" t="s">
        <v>4747</v>
      </c>
      <c r="H44" s="252"/>
      <c r="I44" s="252"/>
      <c r="J44" s="302">
        <v>0</v>
      </c>
      <c r="K44" s="303"/>
      <c r="L44" s="252"/>
      <c r="M44" s="252"/>
      <c r="N44" s="307"/>
      <c r="O44" s="301">
        <v>42</v>
      </c>
      <c r="P44" s="274" t="str">
        <f t="shared" si="2"/>
        <v>石嘴山市深阳蓝光市政工程有限公司</v>
      </c>
    </row>
    <row r="45" customHeight="1" spans="6:16">
      <c r="F45" s="244" t="s">
        <v>4748</v>
      </c>
      <c r="G45" s="245" t="s">
        <v>4749</v>
      </c>
      <c r="H45" s="251">
        <f>SUM(H46,H54:H71)</f>
        <v>0</v>
      </c>
      <c r="I45" s="251">
        <f>SUM(I46,I54:I71)</f>
        <v>0</v>
      </c>
      <c r="J45" s="302">
        <v>0</v>
      </c>
      <c r="K45" s="303"/>
      <c r="L45" s="251">
        <f>SUM(L46,L54:L71)</f>
        <v>0</v>
      </c>
      <c r="M45" s="251">
        <f>SUM(M46,M54:M71)</f>
        <v>0</v>
      </c>
      <c r="N45" s="304" t="s">
        <v>4635</v>
      </c>
      <c r="O45" s="301">
        <v>43</v>
      </c>
      <c r="P45" s="274" t="str">
        <f t="shared" si="2"/>
        <v>石嘴山市深阳蓝光市政工程有限公司</v>
      </c>
    </row>
    <row r="46" customHeight="1" spans="6:16">
      <c r="F46" s="292" t="s">
        <v>4750</v>
      </c>
      <c r="G46" s="245" t="s">
        <v>4751</v>
      </c>
      <c r="H46" s="251">
        <f>SUM(H47:H53)</f>
        <v>0</v>
      </c>
      <c r="I46" s="251">
        <f>SUM(I47:I53)</f>
        <v>0</v>
      </c>
      <c r="J46" s="302">
        <v>0</v>
      </c>
      <c r="K46" s="303"/>
      <c r="L46" s="251">
        <f>SUM(L47:L53)</f>
        <v>0</v>
      </c>
      <c r="M46" s="251">
        <f>SUM(M47:M53)</f>
        <v>0</v>
      </c>
      <c r="N46" s="305"/>
      <c r="O46" s="301">
        <v>44</v>
      </c>
      <c r="P46" s="274" t="str">
        <f t="shared" si="2"/>
        <v>石嘴山市深阳蓝光市政工程有限公司</v>
      </c>
    </row>
    <row r="47" customHeight="1" spans="6:16">
      <c r="F47" s="292" t="s">
        <v>4752</v>
      </c>
      <c r="G47" s="245" t="s">
        <v>4753</v>
      </c>
      <c r="H47" s="252"/>
      <c r="I47" s="252"/>
      <c r="J47" s="302">
        <v>0</v>
      </c>
      <c r="K47" s="303"/>
      <c r="L47" s="252"/>
      <c r="M47" s="252"/>
      <c r="N47" s="305"/>
      <c r="O47" s="301">
        <v>45</v>
      </c>
      <c r="P47" s="274" t="str">
        <f t="shared" si="2"/>
        <v>石嘴山市深阳蓝光市政工程有限公司</v>
      </c>
    </row>
    <row r="48" customHeight="1" spans="6:16">
      <c r="F48" s="292" t="s">
        <v>4754</v>
      </c>
      <c r="G48" s="245" t="s">
        <v>4755</v>
      </c>
      <c r="H48" s="252"/>
      <c r="I48" s="252"/>
      <c r="J48" s="302">
        <v>0</v>
      </c>
      <c r="K48" s="303"/>
      <c r="L48" s="252"/>
      <c r="M48" s="252"/>
      <c r="N48" s="305"/>
      <c r="O48" s="301">
        <v>46</v>
      </c>
      <c r="P48" s="274" t="str">
        <f t="shared" si="2"/>
        <v>石嘴山市深阳蓝光市政工程有限公司</v>
      </c>
    </row>
    <row r="49" customHeight="1" spans="6:16">
      <c r="F49" s="292" t="s">
        <v>4756</v>
      </c>
      <c r="G49" s="245" t="s">
        <v>4757</v>
      </c>
      <c r="H49" s="252"/>
      <c r="I49" s="252"/>
      <c r="J49" s="302">
        <v>0</v>
      </c>
      <c r="K49" s="303"/>
      <c r="L49" s="252"/>
      <c r="M49" s="252"/>
      <c r="N49" s="305"/>
      <c r="O49" s="301">
        <v>47</v>
      </c>
      <c r="P49" s="274" t="str">
        <f t="shared" si="2"/>
        <v>石嘴山市深阳蓝光市政工程有限公司</v>
      </c>
    </row>
    <row r="50" customHeight="1" spans="6:16">
      <c r="F50" s="292" t="s">
        <v>4758</v>
      </c>
      <c r="G50" s="245" t="s">
        <v>4759</v>
      </c>
      <c r="H50" s="252"/>
      <c r="I50" s="252"/>
      <c r="J50" s="302">
        <v>0</v>
      </c>
      <c r="K50" s="303"/>
      <c r="L50" s="252"/>
      <c r="M50" s="252"/>
      <c r="N50" s="305"/>
      <c r="O50" s="301">
        <v>48</v>
      </c>
      <c r="P50" s="274" t="str">
        <f t="shared" si="2"/>
        <v>石嘴山市深阳蓝光市政工程有限公司</v>
      </c>
    </row>
    <row r="51" customHeight="1" spans="6:16">
      <c r="F51" s="292" t="s">
        <v>4760</v>
      </c>
      <c r="G51" s="245" t="s">
        <v>4761</v>
      </c>
      <c r="H51" s="252"/>
      <c r="I51" s="252"/>
      <c r="J51" s="302">
        <v>0</v>
      </c>
      <c r="K51" s="303"/>
      <c r="L51" s="252"/>
      <c r="M51" s="252"/>
      <c r="N51" s="305"/>
      <c r="O51" s="301">
        <v>49</v>
      </c>
      <c r="P51" s="274" t="str">
        <f t="shared" si="2"/>
        <v>石嘴山市深阳蓝光市政工程有限公司</v>
      </c>
    </row>
    <row r="52" customHeight="1" spans="6:16">
      <c r="F52" s="292" t="s">
        <v>4762</v>
      </c>
      <c r="G52" s="245" t="s">
        <v>4763</v>
      </c>
      <c r="H52" s="252"/>
      <c r="I52" s="252"/>
      <c r="J52" s="302">
        <v>0</v>
      </c>
      <c r="K52" s="303"/>
      <c r="L52" s="252"/>
      <c r="M52" s="252"/>
      <c r="N52" s="305"/>
      <c r="O52" s="301">
        <v>50</v>
      </c>
      <c r="P52" s="274" t="str">
        <f t="shared" si="2"/>
        <v>石嘴山市深阳蓝光市政工程有限公司</v>
      </c>
    </row>
    <row r="53" customHeight="1" spans="6:16">
      <c r="F53" s="292" t="s">
        <v>4764</v>
      </c>
      <c r="G53" s="245" t="s">
        <v>4765</v>
      </c>
      <c r="H53" s="252"/>
      <c r="I53" s="252"/>
      <c r="J53" s="302">
        <v>0</v>
      </c>
      <c r="K53" s="303"/>
      <c r="L53" s="252"/>
      <c r="M53" s="252"/>
      <c r="N53" s="305"/>
      <c r="O53" s="301">
        <v>51</v>
      </c>
      <c r="P53" s="274" t="str">
        <f t="shared" si="2"/>
        <v>石嘴山市深阳蓝光市政工程有限公司</v>
      </c>
    </row>
    <row r="54" customHeight="1" spans="6:16">
      <c r="F54" s="292" t="s">
        <v>4766</v>
      </c>
      <c r="G54" s="245" t="s">
        <v>4767</v>
      </c>
      <c r="H54" s="252"/>
      <c r="I54" s="252"/>
      <c r="J54" s="302">
        <v>0</v>
      </c>
      <c r="K54" s="303"/>
      <c r="L54" s="252"/>
      <c r="M54" s="252"/>
      <c r="N54" s="305"/>
      <c r="O54" s="301">
        <v>52</v>
      </c>
      <c r="P54" s="274" t="str">
        <f t="shared" si="2"/>
        <v>石嘴山市深阳蓝光市政工程有限公司</v>
      </c>
    </row>
    <row r="55" customHeight="1" spans="6:16">
      <c r="F55" s="292" t="s">
        <v>4768</v>
      </c>
      <c r="G55" s="245" t="s">
        <v>4769</v>
      </c>
      <c r="H55" s="252"/>
      <c r="I55" s="252"/>
      <c r="J55" s="302">
        <v>0</v>
      </c>
      <c r="K55" s="303"/>
      <c r="L55" s="252"/>
      <c r="M55" s="252"/>
      <c r="N55" s="305"/>
      <c r="O55" s="301">
        <v>53</v>
      </c>
      <c r="P55" s="274" t="str">
        <f t="shared" si="2"/>
        <v>石嘴山市深阳蓝光市政工程有限公司</v>
      </c>
    </row>
    <row r="56" customHeight="1" spans="6:16">
      <c r="F56" s="292" t="s">
        <v>4770</v>
      </c>
      <c r="G56" s="245" t="s">
        <v>4771</v>
      </c>
      <c r="H56" s="252"/>
      <c r="I56" s="252"/>
      <c r="J56" s="302">
        <v>0</v>
      </c>
      <c r="K56" s="303"/>
      <c r="L56" s="252"/>
      <c r="M56" s="252"/>
      <c r="N56" s="305"/>
      <c r="O56" s="301">
        <v>54</v>
      </c>
      <c r="P56" s="274" t="str">
        <f t="shared" si="2"/>
        <v>石嘴山市深阳蓝光市政工程有限公司</v>
      </c>
    </row>
    <row r="57" customHeight="1" spans="6:16">
      <c r="F57" s="292" t="s">
        <v>4772</v>
      </c>
      <c r="G57" s="245" t="s">
        <v>4773</v>
      </c>
      <c r="H57" s="252"/>
      <c r="I57" s="252"/>
      <c r="J57" s="302">
        <v>0</v>
      </c>
      <c r="K57" s="303"/>
      <c r="L57" s="252"/>
      <c r="M57" s="252"/>
      <c r="N57" s="305"/>
      <c r="O57" s="301">
        <v>55</v>
      </c>
      <c r="P57" s="274" t="str">
        <f t="shared" si="2"/>
        <v>石嘴山市深阳蓝光市政工程有限公司</v>
      </c>
    </row>
    <row r="58" customHeight="1" spans="6:16">
      <c r="F58" s="292" t="s">
        <v>4774</v>
      </c>
      <c r="G58" s="245" t="s">
        <v>4775</v>
      </c>
      <c r="H58" s="252"/>
      <c r="I58" s="252"/>
      <c r="J58" s="302">
        <v>0</v>
      </c>
      <c r="K58" s="303"/>
      <c r="L58" s="252"/>
      <c r="M58" s="252"/>
      <c r="N58" s="308"/>
      <c r="O58" s="301">
        <v>56</v>
      </c>
      <c r="P58" s="274" t="str">
        <f t="shared" si="2"/>
        <v>石嘴山市深阳蓝光市政工程有限公司</v>
      </c>
    </row>
    <row r="59" customHeight="1" spans="6:16">
      <c r="F59" s="292" t="s">
        <v>4776</v>
      </c>
      <c r="G59" s="245" t="s">
        <v>4777</v>
      </c>
      <c r="H59" s="252"/>
      <c r="I59" s="252"/>
      <c r="J59" s="302">
        <v>0</v>
      </c>
      <c r="K59" s="303"/>
      <c r="L59" s="252"/>
      <c r="M59" s="252"/>
      <c r="N59" s="308"/>
      <c r="O59" s="301">
        <v>57</v>
      </c>
      <c r="P59" s="274" t="str">
        <f t="shared" si="2"/>
        <v>石嘴山市深阳蓝光市政工程有限公司</v>
      </c>
    </row>
    <row r="60" customHeight="1" spans="6:16">
      <c r="F60" s="292" t="s">
        <v>4778</v>
      </c>
      <c r="G60" s="245" t="s">
        <v>4779</v>
      </c>
      <c r="H60" s="252"/>
      <c r="I60" s="252"/>
      <c r="J60" s="302">
        <v>0</v>
      </c>
      <c r="K60" s="303"/>
      <c r="L60" s="252"/>
      <c r="M60" s="252"/>
      <c r="N60" s="308"/>
      <c r="O60" s="301">
        <v>58</v>
      </c>
      <c r="P60" s="274" t="str">
        <f t="shared" si="2"/>
        <v>石嘴山市深阳蓝光市政工程有限公司</v>
      </c>
    </row>
    <row r="61" customHeight="1" spans="6:16">
      <c r="F61" s="292" t="s">
        <v>4780</v>
      </c>
      <c r="G61" s="245" t="s">
        <v>4781</v>
      </c>
      <c r="H61" s="252"/>
      <c r="I61" s="252"/>
      <c r="J61" s="302">
        <v>0</v>
      </c>
      <c r="K61" s="303"/>
      <c r="L61" s="252"/>
      <c r="M61" s="252"/>
      <c r="N61" s="308"/>
      <c r="O61" s="301">
        <v>59</v>
      </c>
      <c r="P61" s="274" t="str">
        <f t="shared" si="2"/>
        <v>石嘴山市深阳蓝光市政工程有限公司</v>
      </c>
    </row>
    <row r="62" customHeight="1" spans="6:16">
      <c r="F62" s="292" t="s">
        <v>4782</v>
      </c>
      <c r="G62" s="245" t="s">
        <v>4783</v>
      </c>
      <c r="H62" s="252"/>
      <c r="I62" s="252"/>
      <c r="J62" s="302">
        <v>0</v>
      </c>
      <c r="K62" s="303"/>
      <c r="L62" s="252"/>
      <c r="M62" s="252"/>
      <c r="N62" s="308"/>
      <c r="O62" s="301">
        <v>60</v>
      </c>
      <c r="P62" s="274" t="str">
        <f t="shared" si="2"/>
        <v>石嘴山市深阳蓝光市政工程有限公司</v>
      </c>
    </row>
    <row r="63" customHeight="1" spans="6:16">
      <c r="F63" s="292" t="s">
        <v>4784</v>
      </c>
      <c r="G63" s="245" t="s">
        <v>4785</v>
      </c>
      <c r="H63" s="252"/>
      <c r="I63" s="252"/>
      <c r="J63" s="302">
        <v>0</v>
      </c>
      <c r="K63" s="303"/>
      <c r="L63" s="252"/>
      <c r="M63" s="252"/>
      <c r="N63" s="308"/>
      <c r="O63" s="301">
        <v>61</v>
      </c>
      <c r="P63" s="274" t="str">
        <f t="shared" si="2"/>
        <v>石嘴山市深阳蓝光市政工程有限公司</v>
      </c>
    </row>
    <row r="64" customHeight="1" spans="6:16">
      <c r="F64" s="292" t="s">
        <v>4786</v>
      </c>
      <c r="G64" s="245" t="s">
        <v>4787</v>
      </c>
      <c r="H64" s="252"/>
      <c r="I64" s="252"/>
      <c r="J64" s="302">
        <v>0</v>
      </c>
      <c r="K64" s="303"/>
      <c r="L64" s="252"/>
      <c r="M64" s="252"/>
      <c r="N64" s="308"/>
      <c r="O64" s="301">
        <v>62</v>
      </c>
      <c r="P64" s="274" t="str">
        <f t="shared" si="2"/>
        <v>石嘴山市深阳蓝光市政工程有限公司</v>
      </c>
    </row>
    <row r="65" customHeight="1" spans="6:16">
      <c r="F65" s="292" t="s">
        <v>4788</v>
      </c>
      <c r="G65" s="245" t="s">
        <v>4789</v>
      </c>
      <c r="H65" s="252"/>
      <c r="I65" s="252"/>
      <c r="J65" s="302">
        <v>0</v>
      </c>
      <c r="K65" s="303"/>
      <c r="L65" s="252"/>
      <c r="M65" s="252"/>
      <c r="N65" s="308"/>
      <c r="O65" s="301">
        <v>63</v>
      </c>
      <c r="P65" s="274" t="str">
        <f t="shared" si="2"/>
        <v>石嘴山市深阳蓝光市政工程有限公司</v>
      </c>
    </row>
    <row r="66" customHeight="1" spans="6:16">
      <c r="F66" s="292" t="s">
        <v>4790</v>
      </c>
      <c r="G66" s="245" t="s">
        <v>4791</v>
      </c>
      <c r="H66" s="252"/>
      <c r="I66" s="252"/>
      <c r="J66" s="302">
        <v>0</v>
      </c>
      <c r="K66" s="303"/>
      <c r="L66" s="252"/>
      <c r="M66" s="252"/>
      <c r="N66" s="308"/>
      <c r="O66" s="301">
        <v>64</v>
      </c>
      <c r="P66" s="274" t="str">
        <f t="shared" si="2"/>
        <v>石嘴山市深阳蓝光市政工程有限公司</v>
      </c>
    </row>
    <row r="67" customHeight="1" spans="6:16">
      <c r="F67" s="292" t="s">
        <v>4792</v>
      </c>
      <c r="G67" s="245" t="s">
        <v>4793</v>
      </c>
      <c r="H67" s="252"/>
      <c r="I67" s="252"/>
      <c r="J67" s="302">
        <v>0</v>
      </c>
      <c r="K67" s="303"/>
      <c r="L67" s="252"/>
      <c r="M67" s="252"/>
      <c r="N67" s="308"/>
      <c r="O67" s="301">
        <v>65</v>
      </c>
      <c r="P67" s="274" t="str">
        <f t="shared" si="2"/>
        <v>石嘴山市深阳蓝光市政工程有限公司</v>
      </c>
    </row>
    <row r="68" customHeight="1" spans="6:16">
      <c r="F68" s="292" t="s">
        <v>4794</v>
      </c>
      <c r="G68" s="245" t="s">
        <v>4795</v>
      </c>
      <c r="H68" s="252"/>
      <c r="I68" s="252"/>
      <c r="J68" s="302">
        <v>0</v>
      </c>
      <c r="K68" s="303"/>
      <c r="L68" s="252"/>
      <c r="M68" s="252"/>
      <c r="N68" s="308"/>
      <c r="O68" s="301">
        <v>66</v>
      </c>
      <c r="P68" s="274" t="str">
        <f t="shared" si="2"/>
        <v>石嘴山市深阳蓝光市政工程有限公司</v>
      </c>
    </row>
    <row r="69" customHeight="1" spans="6:16">
      <c r="F69" s="292" t="s">
        <v>4796</v>
      </c>
      <c r="G69" s="245" t="s">
        <v>4797</v>
      </c>
      <c r="H69" s="252"/>
      <c r="I69" s="252"/>
      <c r="J69" s="302">
        <v>0</v>
      </c>
      <c r="K69" s="303"/>
      <c r="L69" s="252"/>
      <c r="M69" s="252"/>
      <c r="N69" s="308"/>
      <c r="O69" s="301">
        <v>67</v>
      </c>
      <c r="P69" s="274" t="str">
        <f t="shared" ref="P69:P80" si="4">P68</f>
        <v>石嘴山市深阳蓝光市政工程有限公司</v>
      </c>
    </row>
    <row r="70" customHeight="1" spans="6:16">
      <c r="F70" s="292" t="s">
        <v>4798</v>
      </c>
      <c r="G70" s="245" t="s">
        <v>4799</v>
      </c>
      <c r="H70" s="252"/>
      <c r="I70" s="252"/>
      <c r="J70" s="302">
        <v>0</v>
      </c>
      <c r="K70" s="303"/>
      <c r="L70" s="252"/>
      <c r="M70" s="252"/>
      <c r="N70" s="308"/>
      <c r="O70" s="301">
        <v>68</v>
      </c>
      <c r="P70" s="274" t="str">
        <f t="shared" si="4"/>
        <v>石嘴山市深阳蓝光市政工程有限公司</v>
      </c>
    </row>
    <row r="71" customHeight="1" spans="6:16">
      <c r="F71" s="292" t="s">
        <v>4800</v>
      </c>
      <c r="G71" s="245" t="s">
        <v>4801</v>
      </c>
      <c r="H71" s="252"/>
      <c r="I71" s="252"/>
      <c r="J71" s="302">
        <v>0</v>
      </c>
      <c r="K71" s="303"/>
      <c r="L71" s="252"/>
      <c r="M71" s="252"/>
      <c r="N71" s="305"/>
      <c r="O71" s="301">
        <v>69</v>
      </c>
      <c r="P71" s="274" t="str">
        <f t="shared" si="4"/>
        <v>石嘴山市深阳蓝光市政工程有限公司</v>
      </c>
    </row>
    <row r="72" customHeight="1" spans="6:16">
      <c r="F72" s="244" t="s">
        <v>4802</v>
      </c>
      <c r="G72" s="245" t="s">
        <v>4803</v>
      </c>
      <c r="H72" s="252"/>
      <c r="I72" s="252"/>
      <c r="J72" s="302">
        <v>0</v>
      </c>
      <c r="K72" s="303"/>
      <c r="L72" s="252"/>
      <c r="M72" s="252"/>
      <c r="N72" s="304" t="s">
        <v>4644</v>
      </c>
      <c r="O72" s="301">
        <v>70</v>
      </c>
      <c r="P72" s="274" t="str">
        <f t="shared" si="4"/>
        <v>石嘴山市深阳蓝光市政工程有限公司</v>
      </c>
    </row>
    <row r="73" customHeight="1" spans="6:16">
      <c r="F73" s="244" t="s">
        <v>4804</v>
      </c>
      <c r="G73" s="245" t="s">
        <v>4805</v>
      </c>
      <c r="H73" s="252"/>
      <c r="I73" s="252"/>
      <c r="J73" s="302">
        <v>0</v>
      </c>
      <c r="K73" s="303"/>
      <c r="L73" s="252"/>
      <c r="M73" s="252"/>
      <c r="N73" s="304" t="s">
        <v>4644</v>
      </c>
      <c r="O73" s="301">
        <v>71</v>
      </c>
      <c r="P73" s="274" t="str">
        <f t="shared" si="4"/>
        <v>石嘴山市深阳蓝光市政工程有限公司</v>
      </c>
    </row>
    <row r="74" customHeight="1" spans="6:16">
      <c r="F74" s="244" t="s">
        <v>4806</v>
      </c>
      <c r="G74" s="245" t="s">
        <v>4807</v>
      </c>
      <c r="H74" s="252"/>
      <c r="I74" s="252"/>
      <c r="J74" s="302">
        <v>0</v>
      </c>
      <c r="K74" s="303"/>
      <c r="L74" s="252"/>
      <c r="M74" s="252"/>
      <c r="N74" s="304" t="s">
        <v>4644</v>
      </c>
      <c r="O74" s="301">
        <v>72</v>
      </c>
      <c r="P74" s="274" t="str">
        <f t="shared" si="4"/>
        <v>石嘴山市深阳蓝光市政工程有限公司</v>
      </c>
    </row>
    <row r="75" customHeight="1" spans="6:16">
      <c r="F75" s="244" t="s">
        <v>4808</v>
      </c>
      <c r="G75" s="245" t="s">
        <v>4809</v>
      </c>
      <c r="H75" s="252"/>
      <c r="I75" s="252"/>
      <c r="J75" s="302">
        <v>0</v>
      </c>
      <c r="K75" s="303"/>
      <c r="L75" s="252"/>
      <c r="M75" s="252"/>
      <c r="N75" s="304" t="s">
        <v>4644</v>
      </c>
      <c r="O75" s="301">
        <v>73</v>
      </c>
      <c r="P75" s="274" t="str">
        <f t="shared" si="4"/>
        <v>石嘴山市深阳蓝光市政工程有限公司</v>
      </c>
    </row>
    <row r="76" customHeight="1" spans="6:16">
      <c r="F76" s="268" t="s">
        <v>4810</v>
      </c>
      <c r="G76" s="245"/>
      <c r="H76" s="252"/>
      <c r="I76" s="252"/>
      <c r="J76" s="302">
        <v>0</v>
      </c>
      <c r="K76" s="303"/>
      <c r="L76" s="252"/>
      <c r="M76" s="252"/>
      <c r="N76" s="304" t="s">
        <v>4644</v>
      </c>
      <c r="O76" s="301">
        <v>74</v>
      </c>
      <c r="P76" s="274" t="str">
        <f t="shared" si="4"/>
        <v>石嘴山市深阳蓝光市政工程有限公司</v>
      </c>
    </row>
    <row r="77" customHeight="1" spans="6:16">
      <c r="F77" s="268" t="s">
        <v>4811</v>
      </c>
      <c r="G77" s="245"/>
      <c r="H77" s="252"/>
      <c r="I77" s="252"/>
      <c r="J77" s="302">
        <v>0</v>
      </c>
      <c r="K77" s="303"/>
      <c r="L77" s="252"/>
      <c r="M77" s="252"/>
      <c r="N77" s="304" t="s">
        <v>4644</v>
      </c>
      <c r="O77" s="301">
        <v>75</v>
      </c>
      <c r="P77" s="274" t="str">
        <f t="shared" si="4"/>
        <v>石嘴山市深阳蓝光市政工程有限公司</v>
      </c>
    </row>
    <row r="78" customHeight="1" spans="6:16">
      <c r="F78" s="268" t="s">
        <v>4812</v>
      </c>
      <c r="G78" s="245"/>
      <c r="H78" s="252"/>
      <c r="I78" s="252"/>
      <c r="J78" s="302">
        <v>0</v>
      </c>
      <c r="K78" s="303"/>
      <c r="L78" s="252"/>
      <c r="M78" s="252"/>
      <c r="N78" s="304" t="s">
        <v>4644</v>
      </c>
      <c r="O78" s="301">
        <v>76</v>
      </c>
      <c r="P78" s="274" t="str">
        <f t="shared" si="4"/>
        <v>石嘴山市深阳蓝光市政工程有限公司</v>
      </c>
    </row>
    <row r="79" customHeight="1" spans="6:16">
      <c r="F79" s="268" t="s">
        <v>4813</v>
      </c>
      <c r="G79" s="245"/>
      <c r="H79" s="252"/>
      <c r="I79" s="252"/>
      <c r="J79" s="302">
        <v>0</v>
      </c>
      <c r="K79" s="303"/>
      <c r="L79" s="252"/>
      <c r="M79" s="252"/>
      <c r="N79" s="304" t="s">
        <v>4644</v>
      </c>
      <c r="O79" s="301">
        <v>77</v>
      </c>
      <c r="P79" s="274" t="str">
        <f t="shared" si="4"/>
        <v>石嘴山市深阳蓝光市政工程有限公司</v>
      </c>
    </row>
    <row r="80" customHeight="1" spans="6:16">
      <c r="F80" s="245" t="s">
        <v>1580</v>
      </c>
      <c r="G80" s="245"/>
      <c r="H80" s="251">
        <f>SUM(H4,H17:H24,H32:H34,H37:H39,H45,H72:H79)</f>
        <v>0</v>
      </c>
      <c r="I80" s="251">
        <f>SUM(I4,I17:I24,I32:I34,I37:I39,I45,I72:I79)</f>
        <v>0</v>
      </c>
      <c r="J80" s="302">
        <v>0</v>
      </c>
      <c r="K80" s="303"/>
      <c r="L80" s="251">
        <f>SUM(L4,L17:L24,L32:L34,L37:L39,L45,L72:L79)</f>
        <v>0</v>
      </c>
      <c r="M80" s="251">
        <f>SUM(M4,M17:M24,M32:M34,M37:M39,M45,M72:M79)</f>
        <v>0</v>
      </c>
      <c r="N80" s="310"/>
      <c r="O80" s="301">
        <v>78</v>
      </c>
      <c r="P80" s="274" t="str">
        <f t="shared" si="4"/>
        <v>石嘴山市深阳蓝光市政工程有限公司</v>
      </c>
    </row>
    <row r="81" customHeight="1" spans="6:16">
      <c r="F81" s="309" t="s">
        <v>2007</v>
      </c>
      <c r="G81" s="309"/>
      <c r="H81" s="309"/>
      <c r="I81" s="309"/>
      <c r="J81" s="309"/>
      <c r="K81" s="309"/>
      <c r="L81" s="309"/>
      <c r="M81" s="309"/>
      <c r="N81" s="309"/>
      <c r="O81" s="309"/>
      <c r="P81" s="309"/>
    </row>
    <row r="82" customHeight="1" spans="8:9">
      <c r="H82" s="237"/>
      <c r="I82" s="237"/>
    </row>
    <row r="83" customHeight="1" spans="8:9">
      <c r="H83" s="237"/>
      <c r="I83" s="237"/>
    </row>
  </sheetData>
  <sheetProtection formatCells="0" formatColumns="0" insertHyperlinks="0" autoFilter="0" pivotTables="0"/>
  <autoFilter ref="A3:P81">
    <extLst/>
  </autoFilter>
  <conditionalFormatting sqref="K4">
    <cfRule type="expression" dxfId="11" priority="11" stopIfTrue="1">
      <formula>J4&lt;=-0.3</formula>
    </cfRule>
    <cfRule type="expression" dxfId="11" priority="12" stopIfTrue="1">
      <formula>J4&gt;=0.3</formula>
    </cfRule>
    <cfRule type="expression" dxfId="12" priority="9" stopIfTrue="1">
      <formula>J4&lt;=-0.3</formula>
    </cfRule>
    <cfRule type="expression" dxfId="12" priority="10" stopIfTrue="1">
      <formula>J4&gt;=0.3</formula>
    </cfRule>
    <cfRule type="expression" dxfId="13" priority="7" stopIfTrue="1">
      <formula>J4&lt;=-0.3</formula>
    </cfRule>
    <cfRule type="expression" dxfId="13" priority="8" stopIfTrue="1">
      <formula>J4&gt;=0.3</formula>
    </cfRule>
    <cfRule type="expression" dxfId="14" priority="5" stopIfTrue="1">
      <formula>J4&lt;=-0.3</formula>
    </cfRule>
    <cfRule type="expression" dxfId="14" priority="6" stopIfTrue="1">
      <formula>J4&gt;=0.3</formula>
    </cfRule>
  </conditionalFormatting>
  <conditionalFormatting sqref="K5">
    <cfRule type="expression" dxfId="14" priority="13" stopIfTrue="1">
      <formula>J5&lt;=-0.3</formula>
    </cfRule>
    <cfRule type="expression" dxfId="14" priority="14" stopIfTrue="1">
      <formula>J5&gt;=0.3</formula>
    </cfRule>
  </conditionalFormatting>
  <conditionalFormatting sqref="K6">
    <cfRule type="expression" dxfId="14" priority="3" stopIfTrue="1">
      <formula>J6&lt;=-0.3</formula>
    </cfRule>
    <cfRule type="expression" dxfId="14" priority="4" stopIfTrue="1">
      <formula>J6&gt;=0.3</formula>
    </cfRule>
  </conditionalFormatting>
  <conditionalFormatting sqref="K7:K80">
    <cfRule type="expression" dxfId="14" priority="1" stopIfTrue="1">
      <formula>J7&lt;=-0.3</formula>
    </cfRule>
    <cfRule type="expression" dxfId="14" priority="2" stopIfTrue="1">
      <formula>J7&gt;=0.3</formula>
    </cfRule>
  </conditionalFormatting>
  <hyperlinks>
    <hyperlink ref="G1" location="审定利润表!A1" display="返回利润表"/>
  </hyperlinks>
  <pageMargins left="0.7" right="0.7" top="0.75" bottom="0.75" header="0.3" footer="0.3"/>
  <pageSetup paperSize="9" orientation="portrait"/>
  <headerFooter/>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T84"/>
  <sheetViews>
    <sheetView workbookViewId="0">
      <pane xSplit="1" ySplit="3" topLeftCell="B4" activePane="bottomRight" state="frozen"/>
      <selection/>
      <selection pane="topRight"/>
      <selection pane="bottomLeft"/>
      <selection pane="bottomRight" activeCell="C1" sqref="C1:D1"/>
    </sheetView>
  </sheetViews>
  <sheetFormatPr defaultColWidth="9" defaultRowHeight="13.5" customHeight="1"/>
  <cols>
    <col min="1" max="1" width="9.75" style="225" customWidth="1"/>
    <col min="2" max="2" width="26.625" style="225" customWidth="1"/>
    <col min="3" max="4" width="17.25" style="226" customWidth="1"/>
    <col min="5" max="5" width="2.625" style="225" customWidth="1"/>
    <col min="6" max="6" width="17.375" style="225" customWidth="1"/>
    <col min="7" max="7" width="10.625" style="225" customWidth="1"/>
    <col min="8" max="9" width="13.125" style="225" customWidth="1"/>
    <col min="10" max="10" width="9" style="225" customWidth="1"/>
    <col min="11" max="11" width="7" style="225" customWidth="1"/>
    <col min="12" max="13" width="16.375" style="225" customWidth="1"/>
    <col min="14" max="14" width="12.5" style="225" customWidth="1"/>
    <col min="15" max="15" width="3.625" style="225" customWidth="1"/>
    <col min="16" max="16" width="20.375" style="225" hidden="1" customWidth="1"/>
    <col min="17" max="18" width="9" style="225"/>
    <col min="19" max="16384" width="9" style="227"/>
  </cols>
  <sheetData>
    <row r="1" s="223" customFormat="1" customHeight="1" spans="1:20">
      <c r="A1" s="228" t="s">
        <v>1556</v>
      </c>
      <c r="B1" s="229"/>
      <c r="C1" s="230">
        <f>C2-审定利润表!C9</f>
        <v>0</v>
      </c>
      <c r="D1" s="230">
        <f>D2-审定利润表!D9</f>
        <v>0</v>
      </c>
      <c r="E1" s="231"/>
      <c r="F1" s="232" t="s">
        <v>4814</v>
      </c>
      <c r="G1" s="233" t="s">
        <v>4652</v>
      </c>
      <c r="H1" s="234">
        <f>C11-H2</f>
        <v>0</v>
      </c>
      <c r="I1" s="234">
        <f>D11-I2</f>
        <v>0</v>
      </c>
      <c r="J1" s="233"/>
      <c r="K1" s="233"/>
      <c r="L1" s="263"/>
      <c r="M1" s="263"/>
      <c r="N1" s="263" t="s">
        <v>4655</v>
      </c>
      <c r="O1" s="264"/>
      <c r="P1" s="264"/>
      <c r="Q1" s="231"/>
      <c r="R1" s="231"/>
      <c r="S1" s="231"/>
      <c r="T1" s="231"/>
    </row>
    <row r="2" s="223" customFormat="1" customHeight="1" spans="1:20">
      <c r="A2" s="235" t="s">
        <v>4653</v>
      </c>
      <c r="B2" s="235"/>
      <c r="C2" s="236">
        <f>C11</f>
        <v>0</v>
      </c>
      <c r="D2" s="236">
        <f>D11</f>
        <v>0</v>
      </c>
      <c r="E2" s="237"/>
      <c r="F2" s="233" t="s">
        <v>4815</v>
      </c>
      <c r="G2" s="238" t="s">
        <v>4653</v>
      </c>
      <c r="H2" s="239">
        <f>H38</f>
        <v>0</v>
      </c>
      <c r="I2" s="239">
        <f>I38</f>
        <v>0</v>
      </c>
      <c r="J2" s="233"/>
      <c r="K2" s="233"/>
      <c r="L2" s="263"/>
      <c r="M2" s="263"/>
      <c r="N2" s="263"/>
      <c r="O2" s="264"/>
      <c r="P2" s="264"/>
      <c r="Q2" s="231"/>
      <c r="R2" s="231"/>
      <c r="S2" s="231"/>
      <c r="T2" s="231"/>
    </row>
    <row r="3" s="224" customFormat="1" customHeight="1" spans="1:18">
      <c r="A3" s="240" t="s">
        <v>4656</v>
      </c>
      <c r="B3" s="241" t="s">
        <v>4816</v>
      </c>
      <c r="C3" s="242" t="s">
        <v>4658</v>
      </c>
      <c r="D3" s="242" t="s">
        <v>2015</v>
      </c>
      <c r="E3" s="243"/>
      <c r="F3" s="244" t="s">
        <v>4659</v>
      </c>
      <c r="G3" s="245" t="s">
        <v>4660</v>
      </c>
      <c r="H3" s="246" t="s">
        <v>4661</v>
      </c>
      <c r="I3" s="246" t="s">
        <v>1910</v>
      </c>
      <c r="J3" s="245" t="s">
        <v>4662</v>
      </c>
      <c r="K3" s="245" t="s">
        <v>4663</v>
      </c>
      <c r="L3" s="265" t="s">
        <v>4664</v>
      </c>
      <c r="M3" s="266" t="s">
        <v>4665</v>
      </c>
      <c r="N3" s="267" t="s">
        <v>4666</v>
      </c>
      <c r="O3" s="268">
        <v>1</v>
      </c>
      <c r="P3" s="269" t="s">
        <v>4656</v>
      </c>
      <c r="Q3" s="243"/>
      <c r="R3" s="243"/>
    </row>
    <row r="4" customHeight="1" spans="1:16">
      <c r="A4" s="247" t="str">
        <f>参数表!C3</f>
        <v>石嘴山市深阳蓝光市政工程有限公司</v>
      </c>
      <c r="B4" s="248" t="s">
        <v>4645</v>
      </c>
      <c r="C4" s="249">
        <f t="shared" ref="C4:C10" si="0">SUMIFS($H$4:$H$38,$N$4:$N$38,$B4)</f>
        <v>0</v>
      </c>
      <c r="D4" s="249">
        <f>SUMIFS($I$4:$I$38,$N$4:$N$38,$B4)</f>
        <v>0</v>
      </c>
      <c r="E4" s="250"/>
      <c r="F4" s="244" t="s">
        <v>4667</v>
      </c>
      <c r="G4" s="245" t="s">
        <v>4817</v>
      </c>
      <c r="H4" s="251">
        <f>SUM(H5:H9,H13:H16)</f>
        <v>0</v>
      </c>
      <c r="I4" s="251">
        <f>SUM(I5:I9,I13:I16)</f>
        <v>0</v>
      </c>
      <c r="J4" s="270">
        <v>0</v>
      </c>
      <c r="K4" s="271"/>
      <c r="L4" s="272">
        <f>SUM(L5:L9,L13:L16)</f>
        <v>0</v>
      </c>
      <c r="M4" s="272">
        <f>SUM(M5:M9,M13:M16)</f>
        <v>0</v>
      </c>
      <c r="N4" s="273" t="s">
        <v>4634</v>
      </c>
      <c r="O4" s="268">
        <v>2</v>
      </c>
      <c r="P4" s="274" t="str">
        <f>A4</f>
        <v>石嘴山市深阳蓝光市政工程有限公司</v>
      </c>
    </row>
    <row r="5" customHeight="1" spans="1:16">
      <c r="A5" s="247" t="str">
        <f>A4</f>
        <v>石嘴山市深阳蓝光市政工程有限公司</v>
      </c>
      <c r="B5" s="248" t="s">
        <v>4646</v>
      </c>
      <c r="C5" s="249">
        <f t="shared" si="0"/>
        <v>0</v>
      </c>
      <c r="D5" s="249">
        <f t="shared" ref="D5:D10" si="1">SUMIFS($I$4:$I$38,$N$4:$N$38,$B5)</f>
        <v>0</v>
      </c>
      <c r="E5" s="250"/>
      <c r="F5" s="245" t="s">
        <v>4669</v>
      </c>
      <c r="G5" s="245" t="s">
        <v>4818</v>
      </c>
      <c r="H5" s="252"/>
      <c r="I5" s="252"/>
      <c r="J5" s="270">
        <v>0</v>
      </c>
      <c r="K5" s="271"/>
      <c r="L5" s="275"/>
      <c r="M5" s="275"/>
      <c r="N5" s="276"/>
      <c r="O5" s="268">
        <v>3</v>
      </c>
      <c r="P5" s="274" t="str">
        <f>P4</f>
        <v>石嘴山市深阳蓝光市政工程有限公司</v>
      </c>
    </row>
    <row r="6" customHeight="1" spans="1:16">
      <c r="A6" s="247" t="str">
        <f t="shared" ref="A6:A12" si="2">A5</f>
        <v>石嘴山市深阳蓝光市政工程有限公司</v>
      </c>
      <c r="B6" s="248" t="s">
        <v>4634</v>
      </c>
      <c r="C6" s="249">
        <f t="shared" si="0"/>
        <v>0</v>
      </c>
      <c r="D6" s="249">
        <f t="shared" si="1"/>
        <v>0</v>
      </c>
      <c r="E6" s="250"/>
      <c r="F6" s="245" t="s">
        <v>4671</v>
      </c>
      <c r="G6" s="245" t="s">
        <v>4819</v>
      </c>
      <c r="H6" s="252"/>
      <c r="I6" s="252"/>
      <c r="J6" s="270">
        <v>0</v>
      </c>
      <c r="K6" s="271"/>
      <c r="L6" s="275"/>
      <c r="M6" s="275"/>
      <c r="N6" s="276"/>
      <c r="O6" s="268">
        <v>4</v>
      </c>
      <c r="P6" s="274" t="str">
        <f t="shared" ref="P6:P38" si="3">P5</f>
        <v>石嘴山市深阳蓝光市政工程有限公司</v>
      </c>
    </row>
    <row r="7" customHeight="1" spans="1:16">
      <c r="A7" s="247" t="str">
        <f t="shared" si="2"/>
        <v>石嘴山市深阳蓝光市政工程有限公司</v>
      </c>
      <c r="B7" s="248" t="s">
        <v>4647</v>
      </c>
      <c r="C7" s="249">
        <f t="shared" si="0"/>
        <v>0</v>
      </c>
      <c r="D7" s="249">
        <f t="shared" si="1"/>
        <v>0</v>
      </c>
      <c r="F7" s="245" t="s">
        <v>4673</v>
      </c>
      <c r="G7" s="245" t="s">
        <v>4820</v>
      </c>
      <c r="H7" s="252"/>
      <c r="I7" s="252"/>
      <c r="J7" s="270">
        <v>0</v>
      </c>
      <c r="K7" s="271"/>
      <c r="L7" s="275"/>
      <c r="M7" s="275"/>
      <c r="N7" s="276"/>
      <c r="O7" s="268">
        <v>5</v>
      </c>
      <c r="P7" s="274" t="str">
        <f t="shared" si="3"/>
        <v>石嘴山市深阳蓝光市政工程有限公司</v>
      </c>
    </row>
    <row r="8" customHeight="1" spans="1:16">
      <c r="A8" s="247" t="str">
        <f t="shared" si="2"/>
        <v>石嘴山市深阳蓝光市政工程有限公司</v>
      </c>
      <c r="B8" s="248" t="s">
        <v>4648</v>
      </c>
      <c r="C8" s="249">
        <f t="shared" si="0"/>
        <v>0</v>
      </c>
      <c r="D8" s="249">
        <f t="shared" si="1"/>
        <v>0</v>
      </c>
      <c r="F8" s="245" t="s">
        <v>4675</v>
      </c>
      <c r="G8" s="245" t="s">
        <v>4821</v>
      </c>
      <c r="H8" s="252"/>
      <c r="I8" s="252"/>
      <c r="J8" s="270">
        <v>0</v>
      </c>
      <c r="K8" s="271"/>
      <c r="L8" s="275"/>
      <c r="M8" s="275"/>
      <c r="N8" s="276"/>
      <c r="O8" s="268">
        <v>6</v>
      </c>
      <c r="P8" s="274" t="str">
        <f t="shared" si="3"/>
        <v>石嘴山市深阳蓝光市政工程有限公司</v>
      </c>
    </row>
    <row r="9" customHeight="1" spans="1:16">
      <c r="A9" s="247" t="str">
        <f t="shared" si="2"/>
        <v>石嘴山市深阳蓝光市政工程有限公司</v>
      </c>
      <c r="B9" s="248" t="s">
        <v>4649</v>
      </c>
      <c r="C9" s="249">
        <f t="shared" si="0"/>
        <v>0</v>
      </c>
      <c r="D9" s="249">
        <f t="shared" si="1"/>
        <v>0</v>
      </c>
      <c r="F9" s="245" t="s">
        <v>4677</v>
      </c>
      <c r="G9" s="245" t="s">
        <v>4822</v>
      </c>
      <c r="H9" s="251">
        <f>SUM(H10:H12)</f>
        <v>0</v>
      </c>
      <c r="I9" s="251">
        <f>SUM(I10:I12)</f>
        <v>0</v>
      </c>
      <c r="J9" s="270">
        <v>0</v>
      </c>
      <c r="K9" s="271"/>
      <c r="L9" s="272">
        <f>SUM(L10:L12)</f>
        <v>0</v>
      </c>
      <c r="M9" s="272">
        <f>SUM(M10:M12)</f>
        <v>0</v>
      </c>
      <c r="N9" s="276"/>
      <c r="O9" s="268">
        <v>7</v>
      </c>
      <c r="P9" s="274" t="str">
        <f t="shared" si="3"/>
        <v>石嘴山市深阳蓝光市政工程有限公司</v>
      </c>
    </row>
    <row r="10" customHeight="1" spans="1:16">
      <c r="A10" s="247" t="str">
        <f t="shared" si="2"/>
        <v>石嘴山市深阳蓝光市政工程有限公司</v>
      </c>
      <c r="B10" s="248" t="s">
        <v>4650</v>
      </c>
      <c r="C10" s="249">
        <f t="shared" si="0"/>
        <v>0</v>
      </c>
      <c r="D10" s="249">
        <f t="shared" si="1"/>
        <v>0</v>
      </c>
      <c r="F10" s="245" t="s">
        <v>4679</v>
      </c>
      <c r="G10" s="245" t="s">
        <v>4823</v>
      </c>
      <c r="H10" s="252"/>
      <c r="I10" s="252"/>
      <c r="J10" s="270">
        <v>0</v>
      </c>
      <c r="K10" s="271"/>
      <c r="L10" s="275"/>
      <c r="M10" s="275"/>
      <c r="N10" s="276"/>
      <c r="O10" s="268">
        <v>8</v>
      </c>
      <c r="P10" s="274" t="str">
        <f t="shared" si="3"/>
        <v>石嘴山市深阳蓝光市政工程有限公司</v>
      </c>
    </row>
    <row r="11" customHeight="1" spans="1:16">
      <c r="A11" s="247" t="str">
        <f t="shared" si="2"/>
        <v>石嘴山市深阳蓝光市政工程有限公司</v>
      </c>
      <c r="B11" s="253" t="s">
        <v>1580</v>
      </c>
      <c r="C11" s="254">
        <f>SUM(C4:C10)</f>
        <v>0</v>
      </c>
      <c r="D11" s="254">
        <f>SUM(D4:D10)</f>
        <v>0</v>
      </c>
      <c r="F11" s="245" t="s">
        <v>4681</v>
      </c>
      <c r="G11" s="245" t="s">
        <v>4824</v>
      </c>
      <c r="H11" s="252"/>
      <c r="I11" s="252"/>
      <c r="J11" s="270">
        <v>0</v>
      </c>
      <c r="K11" s="271"/>
      <c r="L11" s="275"/>
      <c r="M11" s="275"/>
      <c r="N11" s="276"/>
      <c r="O11" s="268">
        <v>9</v>
      </c>
      <c r="P11" s="274" t="str">
        <f t="shared" si="3"/>
        <v>石嘴山市深阳蓝光市政工程有限公司</v>
      </c>
    </row>
    <row r="12" customHeight="1" spans="1:16">
      <c r="A12" s="255" t="str">
        <f t="shared" si="2"/>
        <v>石嘴山市深阳蓝光市政工程有限公司</v>
      </c>
      <c r="B12" s="256" t="s">
        <v>1394</v>
      </c>
      <c r="C12" s="257">
        <f>C11-H2</f>
        <v>0</v>
      </c>
      <c r="D12" s="257">
        <f>D11-I2</f>
        <v>0</v>
      </c>
      <c r="F12" s="245" t="s">
        <v>4825</v>
      </c>
      <c r="G12" s="245" t="s">
        <v>4826</v>
      </c>
      <c r="H12" s="252"/>
      <c r="I12" s="252"/>
      <c r="J12" s="270">
        <v>0</v>
      </c>
      <c r="K12" s="271"/>
      <c r="L12" s="275"/>
      <c r="M12" s="275"/>
      <c r="N12" s="276"/>
      <c r="O12" s="268">
        <v>10</v>
      </c>
      <c r="P12" s="274" t="str">
        <f t="shared" si="3"/>
        <v>石嘴山市深阳蓝光市政工程有限公司</v>
      </c>
    </row>
    <row r="13" customHeight="1" spans="1:16">
      <c r="A13" s="258"/>
      <c r="F13" s="245" t="s">
        <v>4685</v>
      </c>
      <c r="G13" s="245" t="s">
        <v>4827</v>
      </c>
      <c r="H13" s="252"/>
      <c r="I13" s="252"/>
      <c r="J13" s="270">
        <v>0</v>
      </c>
      <c r="K13" s="271"/>
      <c r="L13" s="275"/>
      <c r="M13" s="275"/>
      <c r="N13" s="276"/>
      <c r="O13" s="268">
        <v>11</v>
      </c>
      <c r="P13" s="274" t="str">
        <f t="shared" si="3"/>
        <v>石嘴山市深阳蓝光市政工程有限公司</v>
      </c>
    </row>
    <row r="14" customHeight="1" spans="1:16">
      <c r="A14" s="258"/>
      <c r="F14" s="245" t="s">
        <v>4687</v>
      </c>
      <c r="G14" s="245" t="s">
        <v>4828</v>
      </c>
      <c r="H14" s="252"/>
      <c r="I14" s="252"/>
      <c r="J14" s="270">
        <v>0</v>
      </c>
      <c r="K14" s="271"/>
      <c r="L14" s="275"/>
      <c r="M14" s="275"/>
      <c r="N14" s="276"/>
      <c r="O14" s="268">
        <v>12</v>
      </c>
      <c r="P14" s="274" t="str">
        <f t="shared" si="3"/>
        <v>石嘴山市深阳蓝光市政工程有限公司</v>
      </c>
    </row>
    <row r="15" customHeight="1" spans="1:16">
      <c r="A15" s="258"/>
      <c r="D15" s="259"/>
      <c r="F15" s="245" t="s">
        <v>4689</v>
      </c>
      <c r="G15" s="245" t="s">
        <v>4829</v>
      </c>
      <c r="H15" s="252"/>
      <c r="I15" s="252"/>
      <c r="J15" s="270">
        <v>0</v>
      </c>
      <c r="K15" s="271"/>
      <c r="L15" s="275"/>
      <c r="M15" s="275"/>
      <c r="N15" s="276"/>
      <c r="O15" s="268">
        <v>13</v>
      </c>
      <c r="P15" s="274" t="str">
        <f t="shared" si="3"/>
        <v>石嘴山市深阳蓝光市政工程有限公司</v>
      </c>
    </row>
    <row r="16" customHeight="1" spans="1:16">
      <c r="A16" s="258"/>
      <c r="F16" s="245" t="s">
        <v>4691</v>
      </c>
      <c r="G16" s="245" t="s">
        <v>4830</v>
      </c>
      <c r="H16" s="252"/>
      <c r="I16" s="252"/>
      <c r="J16" s="270">
        <v>0</v>
      </c>
      <c r="K16" s="271"/>
      <c r="L16" s="275"/>
      <c r="M16" s="275"/>
      <c r="N16" s="276"/>
      <c r="O16" s="268">
        <v>14</v>
      </c>
      <c r="P16" s="274" t="str">
        <f t="shared" si="3"/>
        <v>石嘴山市深阳蓝光市政工程有限公司</v>
      </c>
    </row>
    <row r="17" customHeight="1" spans="1:16">
      <c r="A17" s="258"/>
      <c r="F17" s="244" t="s">
        <v>4693</v>
      </c>
      <c r="G17" s="245" t="s">
        <v>4831</v>
      </c>
      <c r="H17" s="252"/>
      <c r="I17" s="252"/>
      <c r="J17" s="270">
        <v>0</v>
      </c>
      <c r="K17" s="271"/>
      <c r="L17" s="275"/>
      <c r="M17" s="275"/>
      <c r="N17" s="276" t="s">
        <v>4649</v>
      </c>
      <c r="O17" s="268">
        <v>15</v>
      </c>
      <c r="P17" s="274" t="str">
        <f t="shared" si="3"/>
        <v>石嘴山市深阳蓝光市政工程有限公司</v>
      </c>
    </row>
    <row r="18" customHeight="1" spans="1:16">
      <c r="A18" s="258"/>
      <c r="B18" s="260"/>
      <c r="F18" s="244" t="s">
        <v>4695</v>
      </c>
      <c r="G18" s="245" t="s">
        <v>4832</v>
      </c>
      <c r="H18" s="252"/>
      <c r="I18" s="252"/>
      <c r="J18" s="270">
        <v>0</v>
      </c>
      <c r="K18" s="271"/>
      <c r="L18" s="275"/>
      <c r="M18" s="275"/>
      <c r="N18" s="276" t="s">
        <v>4649</v>
      </c>
      <c r="O18" s="268">
        <v>16</v>
      </c>
      <c r="P18" s="274" t="str">
        <f t="shared" si="3"/>
        <v>石嘴山市深阳蓝光市政工程有限公司</v>
      </c>
    </row>
    <row r="19" customHeight="1" spans="1:16">
      <c r="A19" s="258"/>
      <c r="F19" s="244" t="s">
        <v>4697</v>
      </c>
      <c r="G19" s="245" t="s">
        <v>4833</v>
      </c>
      <c r="H19" s="252"/>
      <c r="I19" s="252"/>
      <c r="J19" s="270">
        <v>0</v>
      </c>
      <c r="K19" s="271"/>
      <c r="L19" s="275"/>
      <c r="M19" s="275"/>
      <c r="N19" s="273" t="s">
        <v>4646</v>
      </c>
      <c r="O19" s="268">
        <v>17</v>
      </c>
      <c r="P19" s="274" t="str">
        <f t="shared" si="3"/>
        <v>石嘴山市深阳蓝光市政工程有限公司</v>
      </c>
    </row>
    <row r="20" customHeight="1" spans="1:16">
      <c r="A20" s="258"/>
      <c r="F20" s="244" t="s">
        <v>4699</v>
      </c>
      <c r="G20" s="245" t="s">
        <v>4834</v>
      </c>
      <c r="H20" s="252"/>
      <c r="I20" s="252"/>
      <c r="J20" s="270">
        <v>0</v>
      </c>
      <c r="K20" s="271"/>
      <c r="L20" s="275"/>
      <c r="M20" s="275"/>
      <c r="N20" s="276" t="s">
        <v>4647</v>
      </c>
      <c r="O20" s="268">
        <v>18</v>
      </c>
      <c r="P20" s="274" t="str">
        <f t="shared" si="3"/>
        <v>石嘴山市深阳蓝光市政工程有限公司</v>
      </c>
    </row>
    <row r="21" customHeight="1" spans="1:16">
      <c r="A21" s="258"/>
      <c r="F21" s="244" t="s">
        <v>4701</v>
      </c>
      <c r="G21" s="245" t="s">
        <v>4835</v>
      </c>
      <c r="H21" s="252"/>
      <c r="I21" s="252"/>
      <c r="J21" s="270">
        <v>0</v>
      </c>
      <c r="K21" s="271"/>
      <c r="L21" s="275"/>
      <c r="M21" s="275"/>
      <c r="N21" s="276" t="s">
        <v>4648</v>
      </c>
      <c r="O21" s="268">
        <v>19</v>
      </c>
      <c r="P21" s="274" t="str">
        <f t="shared" si="3"/>
        <v>石嘴山市深阳蓝光市政工程有限公司</v>
      </c>
    </row>
    <row r="22" customHeight="1" spans="1:16">
      <c r="A22" s="258"/>
      <c r="F22" s="244" t="s">
        <v>4836</v>
      </c>
      <c r="G22" s="245" t="s">
        <v>4837</v>
      </c>
      <c r="H22" s="252"/>
      <c r="I22" s="252"/>
      <c r="J22" s="270">
        <v>0</v>
      </c>
      <c r="K22" s="271"/>
      <c r="L22" s="275"/>
      <c r="M22" s="275"/>
      <c r="N22" s="276" t="s">
        <v>4649</v>
      </c>
      <c r="O22" s="268">
        <v>20</v>
      </c>
      <c r="P22" s="274" t="str">
        <f t="shared" si="3"/>
        <v>石嘴山市深阳蓝光市政工程有限公司</v>
      </c>
    </row>
    <row r="23" customHeight="1" spans="1:16">
      <c r="A23" s="258"/>
      <c r="F23" s="244" t="s">
        <v>4705</v>
      </c>
      <c r="G23" s="245" t="s">
        <v>4838</v>
      </c>
      <c r="H23" s="252"/>
      <c r="I23" s="252"/>
      <c r="J23" s="270">
        <v>0</v>
      </c>
      <c r="K23" s="271"/>
      <c r="L23" s="275"/>
      <c r="M23" s="275"/>
      <c r="N23" s="276" t="s">
        <v>4650</v>
      </c>
      <c r="O23" s="268">
        <v>21</v>
      </c>
      <c r="P23" s="274" t="str">
        <f t="shared" si="3"/>
        <v>石嘴山市深阳蓝光市政工程有限公司</v>
      </c>
    </row>
    <row r="24" customHeight="1" spans="1:16">
      <c r="A24" s="258"/>
      <c r="F24" s="244" t="s">
        <v>4839</v>
      </c>
      <c r="G24" s="245" t="s">
        <v>4840</v>
      </c>
      <c r="H24" s="252"/>
      <c r="I24" s="252"/>
      <c r="J24" s="270">
        <v>0</v>
      </c>
      <c r="K24" s="271"/>
      <c r="L24" s="275"/>
      <c r="M24" s="275"/>
      <c r="N24" s="276" t="s">
        <v>4650</v>
      </c>
      <c r="O24" s="268">
        <v>22</v>
      </c>
      <c r="P24" s="274" t="str">
        <f t="shared" si="3"/>
        <v>石嘴山市深阳蓝光市政工程有限公司</v>
      </c>
    </row>
    <row r="25" customHeight="1" spans="1:16">
      <c r="A25" s="258"/>
      <c r="F25" s="244" t="s">
        <v>4723</v>
      </c>
      <c r="G25" s="245" t="s">
        <v>4841</v>
      </c>
      <c r="H25" s="252"/>
      <c r="I25" s="252"/>
      <c r="J25" s="270">
        <v>0</v>
      </c>
      <c r="K25" s="271"/>
      <c r="L25" s="275"/>
      <c r="M25" s="275"/>
      <c r="N25" s="276" t="s">
        <v>4645</v>
      </c>
      <c r="O25" s="268">
        <v>23</v>
      </c>
      <c r="P25" s="274" t="str">
        <f t="shared" si="3"/>
        <v>石嘴山市深阳蓝光市政工程有限公司</v>
      </c>
    </row>
    <row r="26" customHeight="1" spans="1:16">
      <c r="A26" s="258"/>
      <c r="F26" s="244" t="s">
        <v>4842</v>
      </c>
      <c r="G26" s="245" t="s">
        <v>4843</v>
      </c>
      <c r="H26" s="252"/>
      <c r="I26" s="252"/>
      <c r="J26" s="270">
        <v>0</v>
      </c>
      <c r="K26" s="271"/>
      <c r="L26" s="275"/>
      <c r="M26" s="275"/>
      <c r="N26" s="276" t="s">
        <v>4649</v>
      </c>
      <c r="O26" s="268">
        <v>24</v>
      </c>
      <c r="P26" s="274" t="str">
        <f t="shared" si="3"/>
        <v>石嘴山市深阳蓝光市政工程有限公司</v>
      </c>
    </row>
    <row r="27" customHeight="1" spans="1:16">
      <c r="A27" s="258"/>
      <c r="F27" s="244" t="s">
        <v>4844</v>
      </c>
      <c r="G27" s="245" t="s">
        <v>4845</v>
      </c>
      <c r="H27" s="252"/>
      <c r="I27" s="252"/>
      <c r="J27" s="270">
        <v>0</v>
      </c>
      <c r="K27" s="271"/>
      <c r="L27" s="275"/>
      <c r="M27" s="275"/>
      <c r="N27" s="276" t="s">
        <v>4645</v>
      </c>
      <c r="O27" s="268">
        <v>25</v>
      </c>
      <c r="P27" s="274" t="str">
        <f t="shared" si="3"/>
        <v>石嘴山市深阳蓝光市政工程有限公司</v>
      </c>
    </row>
    <row r="28" customHeight="1" spans="1:16">
      <c r="A28" s="258"/>
      <c r="F28" s="244" t="s">
        <v>4732</v>
      </c>
      <c r="G28" s="245" t="s">
        <v>4846</v>
      </c>
      <c r="H28" s="252"/>
      <c r="I28" s="252"/>
      <c r="J28" s="270">
        <v>0</v>
      </c>
      <c r="K28" s="271"/>
      <c r="L28" s="275"/>
      <c r="M28" s="275"/>
      <c r="N28" s="273" t="s">
        <v>4645</v>
      </c>
      <c r="O28" s="268">
        <v>26</v>
      </c>
      <c r="P28" s="274" t="str">
        <f t="shared" si="3"/>
        <v>石嘴山市深阳蓝光市政工程有限公司</v>
      </c>
    </row>
    <row r="29" customHeight="1" spans="1:16">
      <c r="A29" s="258"/>
      <c r="F29" s="244" t="s">
        <v>4847</v>
      </c>
      <c r="G29" s="245" t="s">
        <v>4848</v>
      </c>
      <c r="H29" s="251">
        <f>SUM(H30:H32)</f>
        <v>0</v>
      </c>
      <c r="I29" s="251">
        <f>SUM(I30:I32)</f>
        <v>0</v>
      </c>
      <c r="J29" s="270">
        <v>0</v>
      </c>
      <c r="K29" s="271"/>
      <c r="L29" s="272">
        <f>SUM(L30:L32)</f>
        <v>0</v>
      </c>
      <c r="M29" s="272">
        <f>SUM(M30:M32)</f>
        <v>0</v>
      </c>
      <c r="N29" s="273" t="s">
        <v>4646</v>
      </c>
      <c r="O29" s="268">
        <v>27</v>
      </c>
      <c r="P29" s="274" t="str">
        <f t="shared" si="3"/>
        <v>石嘴山市深阳蓝光市政工程有限公司</v>
      </c>
    </row>
    <row r="30" customHeight="1" spans="1:16">
      <c r="A30" s="258"/>
      <c r="F30" s="245" t="s">
        <v>4849</v>
      </c>
      <c r="G30" s="245" t="s">
        <v>4850</v>
      </c>
      <c r="H30" s="252"/>
      <c r="I30" s="252"/>
      <c r="J30" s="270">
        <v>0</v>
      </c>
      <c r="K30" s="271"/>
      <c r="L30" s="275"/>
      <c r="M30" s="275"/>
      <c r="N30" s="276"/>
      <c r="O30" s="268">
        <v>28</v>
      </c>
      <c r="P30" s="274" t="str">
        <f t="shared" si="3"/>
        <v>石嘴山市深阳蓝光市政工程有限公司</v>
      </c>
    </row>
    <row r="31" customHeight="1" spans="1:16">
      <c r="A31" s="258"/>
      <c r="F31" s="245" t="s">
        <v>4851</v>
      </c>
      <c r="G31" s="245" t="s">
        <v>4852</v>
      </c>
      <c r="H31" s="252"/>
      <c r="I31" s="252"/>
      <c r="J31" s="270">
        <v>0</v>
      </c>
      <c r="K31" s="271"/>
      <c r="L31" s="275"/>
      <c r="M31" s="275"/>
      <c r="N31" s="276"/>
      <c r="O31" s="268">
        <v>29</v>
      </c>
      <c r="P31" s="274" t="str">
        <f t="shared" si="3"/>
        <v>石嘴山市深阳蓝光市政工程有限公司</v>
      </c>
    </row>
    <row r="32" customHeight="1" spans="1:16">
      <c r="A32" s="258"/>
      <c r="F32" s="245" t="s">
        <v>4853</v>
      </c>
      <c r="G32" s="245" t="s">
        <v>4854</v>
      </c>
      <c r="H32" s="252"/>
      <c r="I32" s="252"/>
      <c r="J32" s="270">
        <v>0</v>
      </c>
      <c r="K32" s="271"/>
      <c r="L32" s="275"/>
      <c r="M32" s="275"/>
      <c r="N32" s="276"/>
      <c r="O32" s="268">
        <v>30</v>
      </c>
      <c r="P32" s="274" t="str">
        <f t="shared" si="3"/>
        <v>石嘴山市深阳蓝光市政工程有限公司</v>
      </c>
    </row>
    <row r="33" customHeight="1" spans="1:16">
      <c r="A33" s="258"/>
      <c r="F33" s="244" t="s">
        <v>4736</v>
      </c>
      <c r="G33" s="245" t="s">
        <v>4855</v>
      </c>
      <c r="H33" s="251">
        <f>SUM(H34)</f>
        <v>0</v>
      </c>
      <c r="I33" s="251">
        <f>SUM(I34)</f>
        <v>0</v>
      </c>
      <c r="J33" s="270">
        <v>0</v>
      </c>
      <c r="K33" s="271"/>
      <c r="L33" s="272">
        <f>SUM(L34)</f>
        <v>0</v>
      </c>
      <c r="M33" s="272">
        <f>SUM(M34)</f>
        <v>0</v>
      </c>
      <c r="N33" s="276" t="s">
        <v>4650</v>
      </c>
      <c r="O33" s="268">
        <v>31</v>
      </c>
      <c r="P33" s="274" t="str">
        <f t="shared" si="3"/>
        <v>石嘴山市深阳蓝光市政工程有限公司</v>
      </c>
    </row>
    <row r="34" customHeight="1" spans="1:16">
      <c r="A34" s="258"/>
      <c r="F34" s="245" t="s">
        <v>4738</v>
      </c>
      <c r="G34" s="245" t="s">
        <v>4856</v>
      </c>
      <c r="H34" s="252"/>
      <c r="I34" s="252"/>
      <c r="J34" s="270">
        <v>0</v>
      </c>
      <c r="K34" s="271"/>
      <c r="L34" s="277"/>
      <c r="M34" s="275"/>
      <c r="N34" s="276"/>
      <c r="O34" s="268">
        <v>32</v>
      </c>
      <c r="P34" s="274" t="str">
        <f t="shared" si="3"/>
        <v>石嘴山市深阳蓝光市政工程有限公司</v>
      </c>
    </row>
    <row r="35" customHeight="1" spans="1:16">
      <c r="A35" s="258"/>
      <c r="F35" s="244" t="s">
        <v>4804</v>
      </c>
      <c r="G35" s="245" t="s">
        <v>4857</v>
      </c>
      <c r="H35" s="252"/>
      <c r="I35" s="252"/>
      <c r="J35" s="270">
        <v>0</v>
      </c>
      <c r="K35" s="271"/>
      <c r="L35" s="278"/>
      <c r="M35" s="275"/>
      <c r="N35" s="276" t="s">
        <v>4645</v>
      </c>
      <c r="O35" s="268">
        <v>33</v>
      </c>
      <c r="P35" s="274" t="str">
        <f t="shared" si="3"/>
        <v>石嘴山市深阳蓝光市政工程有限公司</v>
      </c>
    </row>
    <row r="36" customHeight="1" spans="1:16">
      <c r="A36" s="258"/>
      <c r="F36" s="244" t="s">
        <v>4858</v>
      </c>
      <c r="G36" s="245" t="s">
        <v>4859</v>
      </c>
      <c r="H36" s="252"/>
      <c r="I36" s="252"/>
      <c r="J36" s="270">
        <v>0</v>
      </c>
      <c r="K36" s="271"/>
      <c r="L36" s="278"/>
      <c r="M36" s="275"/>
      <c r="N36" s="276" t="s">
        <v>4650</v>
      </c>
      <c r="O36" s="268">
        <v>34</v>
      </c>
      <c r="P36" s="274" t="str">
        <f t="shared" si="3"/>
        <v>石嘴山市深阳蓝光市政工程有限公司</v>
      </c>
    </row>
    <row r="37" customHeight="1" spans="1:16">
      <c r="A37" s="258"/>
      <c r="F37" s="244" t="s">
        <v>4860</v>
      </c>
      <c r="G37" s="245" t="s">
        <v>4861</v>
      </c>
      <c r="H37" s="252"/>
      <c r="I37" s="252"/>
      <c r="J37" s="270">
        <v>0</v>
      </c>
      <c r="K37" s="271"/>
      <c r="L37" s="278"/>
      <c r="M37" s="275"/>
      <c r="N37" s="276" t="s">
        <v>4650</v>
      </c>
      <c r="O37" s="268">
        <v>35</v>
      </c>
      <c r="P37" s="274" t="str">
        <f t="shared" si="3"/>
        <v>石嘴山市深阳蓝光市政工程有限公司</v>
      </c>
    </row>
    <row r="38" customHeight="1" spans="1:16">
      <c r="A38" s="258"/>
      <c r="F38" s="245" t="s">
        <v>1580</v>
      </c>
      <c r="G38" s="245"/>
      <c r="H38" s="251">
        <f>SUM(H4,H17:H29,H33,H35:H37)</f>
        <v>0</v>
      </c>
      <c r="I38" s="251">
        <f>SUM(I4,I17:I29,I33,I35:I37)</f>
        <v>0</v>
      </c>
      <c r="J38" s="270">
        <v>0</v>
      </c>
      <c r="K38" s="271"/>
      <c r="L38" s="272">
        <f>SUM(L4,L17:L29,L33,L35:L37)</f>
        <v>0</v>
      </c>
      <c r="M38" s="272">
        <f>SUM(M4,M17:M29,M33,M35:M37)</f>
        <v>0</v>
      </c>
      <c r="N38" s="279"/>
      <c r="O38" s="268">
        <v>36</v>
      </c>
      <c r="P38" s="274" t="str">
        <f t="shared" si="3"/>
        <v>石嘴山市深阳蓝光市政工程有限公司</v>
      </c>
    </row>
    <row r="39" customHeight="1" spans="6:16">
      <c r="F39" s="261" t="s">
        <v>2007</v>
      </c>
      <c r="G39" s="261"/>
      <c r="H39" s="262"/>
      <c r="I39" s="262"/>
      <c r="J39" s="233"/>
      <c r="K39" s="233"/>
      <c r="L39" s="233"/>
      <c r="M39" s="233"/>
      <c r="N39" s="263"/>
      <c r="O39" s="238"/>
      <c r="P39" s="280"/>
    </row>
    <row r="40" customHeight="1" spans="15:15">
      <c r="O40" s="281"/>
    </row>
    <row r="41" customHeight="1" spans="15:15">
      <c r="O41" s="281"/>
    </row>
    <row r="42" customHeight="1" spans="15:15">
      <c r="O42" s="281"/>
    </row>
    <row r="43" customHeight="1" spans="15:15">
      <c r="O43" s="281"/>
    </row>
    <row r="44" customHeight="1" spans="15:15">
      <c r="O44" s="281"/>
    </row>
    <row r="45" customHeight="1" spans="15:15">
      <c r="O45" s="281"/>
    </row>
    <row r="46" customHeight="1" spans="15:15">
      <c r="O46" s="281"/>
    </row>
    <row r="47" customHeight="1" spans="15:15">
      <c r="O47" s="281"/>
    </row>
    <row r="48" customHeight="1" spans="15:15">
      <c r="O48" s="281"/>
    </row>
    <row r="49" customHeight="1" spans="15:15">
      <c r="O49" s="281"/>
    </row>
    <row r="50" customHeight="1" spans="15:15">
      <c r="O50" s="281"/>
    </row>
    <row r="51" customHeight="1" spans="15:15">
      <c r="O51" s="281"/>
    </row>
    <row r="52" customHeight="1" spans="15:15">
      <c r="O52" s="281"/>
    </row>
    <row r="53" customHeight="1" spans="15:15">
      <c r="O53" s="281"/>
    </row>
    <row r="54" customHeight="1" spans="15:15">
      <c r="O54" s="281"/>
    </row>
    <row r="55" customHeight="1" spans="15:15">
      <c r="O55" s="281"/>
    </row>
    <row r="56" customHeight="1" spans="15:15">
      <c r="O56" s="281"/>
    </row>
    <row r="57" customHeight="1" spans="15:15">
      <c r="O57" s="281"/>
    </row>
    <row r="58" customHeight="1" spans="15:15">
      <c r="O58" s="281"/>
    </row>
    <row r="59" customHeight="1" spans="15:15">
      <c r="O59" s="281"/>
    </row>
    <row r="60" customHeight="1" spans="15:15">
      <c r="O60" s="281"/>
    </row>
    <row r="61" customHeight="1" spans="15:15">
      <c r="O61" s="281"/>
    </row>
    <row r="62" customHeight="1" spans="15:15">
      <c r="O62" s="281"/>
    </row>
    <row r="63" customHeight="1" spans="15:15">
      <c r="O63" s="281"/>
    </row>
    <row r="64" customHeight="1" spans="15:15">
      <c r="O64" s="281"/>
    </row>
    <row r="65" customHeight="1" spans="15:15">
      <c r="O65" s="281"/>
    </row>
    <row r="66" customHeight="1" spans="15:15">
      <c r="O66" s="281"/>
    </row>
    <row r="67" customHeight="1" spans="15:15">
      <c r="O67" s="281"/>
    </row>
    <row r="68" customHeight="1" spans="15:15">
      <c r="O68" s="281"/>
    </row>
    <row r="69" customHeight="1" spans="15:15">
      <c r="O69" s="281"/>
    </row>
    <row r="70" customHeight="1" spans="15:15">
      <c r="O70" s="281"/>
    </row>
    <row r="71" customHeight="1" spans="15:15">
      <c r="O71" s="281"/>
    </row>
    <row r="72" customHeight="1" spans="15:15">
      <c r="O72" s="281"/>
    </row>
    <row r="73" customHeight="1" spans="15:15">
      <c r="O73" s="281"/>
    </row>
    <row r="74" customHeight="1" spans="15:15">
      <c r="O74" s="281"/>
    </row>
    <row r="75" customHeight="1" spans="15:15">
      <c r="O75" s="281"/>
    </row>
    <row r="76" customHeight="1" spans="15:15">
      <c r="O76" s="281"/>
    </row>
    <row r="77" customHeight="1" spans="15:15">
      <c r="O77" s="281"/>
    </row>
    <row r="78" customHeight="1" spans="15:15">
      <c r="O78" s="281"/>
    </row>
    <row r="79" customHeight="1" spans="15:15">
      <c r="O79" s="281"/>
    </row>
    <row r="80" customHeight="1" spans="15:15">
      <c r="O80" s="281"/>
    </row>
    <row r="81" customHeight="1" spans="15:15">
      <c r="O81" s="281"/>
    </row>
    <row r="82" customHeight="1" spans="15:15">
      <c r="O82" s="281"/>
    </row>
    <row r="83" customHeight="1" spans="15:15">
      <c r="O83" s="281"/>
    </row>
    <row r="84" customHeight="1" spans="15:15">
      <c r="O84" s="281"/>
    </row>
  </sheetData>
  <sheetProtection formatCells="0" formatColumns="0" formatRows="0" insertHyperlinks="0" sort="0" autoFilter="0" pivotTables="0"/>
  <autoFilter ref="A3:P39">
    <extLst/>
  </autoFilter>
  <conditionalFormatting sqref="K4">
    <cfRule type="expression" dxfId="11" priority="15" stopIfTrue="1">
      <formula>J4&lt;=-0.3</formula>
    </cfRule>
    <cfRule type="expression" dxfId="11" priority="16" stopIfTrue="1">
      <formula>J4&gt;=0.3</formula>
    </cfRule>
    <cfRule type="expression" dxfId="12" priority="13" stopIfTrue="1">
      <formula>J4&lt;=-0.3</formula>
    </cfRule>
    <cfRule type="expression" dxfId="12" priority="14" stopIfTrue="1">
      <formula>J4&gt;=0.3</formula>
    </cfRule>
    <cfRule type="expression" dxfId="13" priority="11" stopIfTrue="1">
      <formula>J4&lt;=-0.3</formula>
    </cfRule>
    <cfRule type="expression" dxfId="13" priority="12" stopIfTrue="1">
      <formula>J4&gt;=0.3</formula>
    </cfRule>
    <cfRule type="expression" dxfId="14" priority="9" stopIfTrue="1">
      <formula>J4&lt;=-0.3</formula>
    </cfRule>
    <cfRule type="expression" dxfId="14" priority="10" stopIfTrue="1">
      <formula>J4&gt;=0.3</formula>
    </cfRule>
  </conditionalFormatting>
  <conditionalFormatting sqref="K5:K38">
    <cfRule type="expression" dxfId="11" priority="7" stopIfTrue="1">
      <formula>J5&lt;=-0.3</formula>
    </cfRule>
    <cfRule type="expression" dxfId="11" priority="8" stopIfTrue="1">
      <formula>J5&gt;=0.3</formula>
    </cfRule>
    <cfRule type="expression" dxfId="12" priority="5" stopIfTrue="1">
      <formula>J5&lt;=-0.3</formula>
    </cfRule>
    <cfRule type="expression" dxfId="12" priority="6" stopIfTrue="1">
      <formula>J5&gt;=0.3</formula>
    </cfRule>
    <cfRule type="expression" dxfId="13" priority="3" stopIfTrue="1">
      <formula>J5&lt;=-0.3</formula>
    </cfRule>
    <cfRule type="expression" dxfId="13" priority="4" stopIfTrue="1">
      <formula>J5&gt;=0.3</formula>
    </cfRule>
    <cfRule type="expression" dxfId="14" priority="1" stopIfTrue="1">
      <formula>J5&lt;=-0.3</formula>
    </cfRule>
    <cfRule type="expression" dxfId="14" priority="2" stopIfTrue="1">
      <formula>J5&gt;=0.3</formula>
    </cfRule>
  </conditionalFormatting>
  <hyperlinks>
    <hyperlink ref="G1" location="审定利润表!A1" display="返回利润表"/>
  </hyperlinks>
  <pageMargins left="0.7" right="0.7" top="0.75" bottom="0.75" header="0.3" footer="0.3"/>
  <pageSetup paperSize="9" orientation="portrait"/>
  <headerFooter/>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P81"/>
  <sheetViews>
    <sheetView workbookViewId="0">
      <pane xSplit="1" ySplit="12" topLeftCell="B34" activePane="bottomRight" state="frozen"/>
      <selection/>
      <selection pane="topRight"/>
      <selection pane="bottomLeft"/>
      <selection pane="bottomRight" activeCell="G23" sqref="G23"/>
    </sheetView>
  </sheetViews>
  <sheetFormatPr defaultColWidth="9" defaultRowHeight="11.25"/>
  <cols>
    <col min="1" max="1" width="21.125" style="182" customWidth="1"/>
    <col min="2" max="2" width="15.25" style="182" customWidth="1"/>
    <col min="3" max="3" width="13.875" style="182" customWidth="1"/>
    <col min="4" max="5" width="14.125" style="182" customWidth="1"/>
    <col min="6" max="6" width="13.125" style="182" customWidth="1"/>
    <col min="7" max="7" width="6.375" style="182" customWidth="1"/>
    <col min="8" max="8" width="14.5" style="182" customWidth="1"/>
    <col min="9" max="9" width="14.25" style="182" customWidth="1"/>
    <col min="10" max="10" width="11.75" style="182" customWidth="1"/>
    <col min="11" max="11" width="13.25" style="182" customWidth="1"/>
    <col min="12" max="12" width="13.75" style="182" customWidth="1"/>
    <col min="13" max="13" width="15.25" style="183" customWidth="1"/>
    <col min="14" max="14" width="13.375" style="183" customWidth="1"/>
    <col min="15" max="15" width="13.875" style="183" customWidth="1"/>
    <col min="16" max="16" width="11.25" style="182" customWidth="1"/>
    <col min="17" max="16384" width="9" style="182"/>
  </cols>
  <sheetData>
    <row r="1" spans="3:6">
      <c r="C1" s="184"/>
      <c r="D1" s="184" t="s">
        <v>1761</v>
      </c>
      <c r="E1" s="184"/>
      <c r="F1" s="185"/>
    </row>
    <row r="2" spans="3:6">
      <c r="C2" s="186" t="s">
        <v>3001</v>
      </c>
      <c r="D2" s="184" t="s">
        <v>315</v>
      </c>
      <c r="E2" s="184" t="s">
        <v>4862</v>
      </c>
      <c r="F2" s="187" t="s">
        <v>1556</v>
      </c>
    </row>
    <row r="3" spans="3:6">
      <c r="C3" s="184" t="s">
        <v>988</v>
      </c>
      <c r="D3" s="184">
        <f>SUMIFS(报表附注!$F$1771:$F$1778,报表附注!$E$1771:$E$1778,'3.借款'!C3)</f>
        <v>0</v>
      </c>
      <c r="E3" s="184">
        <f t="shared" ref="E3:E8" si="0">SUMIFS($H$13:$H$27,$C$13:$C$27,C3)</f>
        <v>0</v>
      </c>
      <c r="F3" s="188">
        <f t="shared" ref="F3:F8" si="1">D3-E3</f>
        <v>0</v>
      </c>
    </row>
    <row r="4" spans="3:6">
      <c r="C4" s="184" t="s">
        <v>984</v>
      </c>
      <c r="D4" s="184">
        <f>SUMIFS(报表附注!$F$1771:$F$1778,报表附注!$E$1771:$E$1778,'3.借款'!C4)</f>
        <v>0</v>
      </c>
      <c r="E4" s="184">
        <f t="shared" si="0"/>
        <v>0</v>
      </c>
      <c r="F4" s="188">
        <f t="shared" si="1"/>
        <v>0</v>
      </c>
    </row>
    <row r="5" spans="3:6">
      <c r="C5" s="184" t="s">
        <v>986</v>
      </c>
      <c r="D5" s="184">
        <f>SUMIFS(报表附注!$F$1771:$F$1778,报表附注!$E$1771:$E$1778,'3.借款'!C5)</f>
        <v>0</v>
      </c>
      <c r="E5" s="184">
        <f t="shared" si="0"/>
        <v>0</v>
      </c>
      <c r="F5" s="188">
        <f t="shared" si="1"/>
        <v>0</v>
      </c>
    </row>
    <row r="6" spans="3:6">
      <c r="C6" s="184" t="s">
        <v>982</v>
      </c>
      <c r="D6" s="184">
        <f>SUMIFS(报表附注!$F$1771:$F$1778,报表附注!$E$1771:$E$1778,'3.借款'!C6)</f>
        <v>0</v>
      </c>
      <c r="E6" s="184">
        <f t="shared" si="0"/>
        <v>0</v>
      </c>
      <c r="F6" s="188">
        <f t="shared" si="1"/>
        <v>0</v>
      </c>
    </row>
    <row r="7" spans="3:6">
      <c r="C7" s="184" t="s">
        <v>3002</v>
      </c>
      <c r="D7" s="184">
        <f>SUMIFS(报表附注!$F$1771:$F$1778,报表附注!$E$1771:$E$1778,'3.借款'!C7)</f>
        <v>0</v>
      </c>
      <c r="E7" s="184">
        <f t="shared" si="0"/>
        <v>0</v>
      </c>
      <c r="F7" s="188">
        <f t="shared" si="1"/>
        <v>0</v>
      </c>
    </row>
    <row r="8" ht="16.5" customHeight="1" spans="3:6">
      <c r="C8" s="184" t="s">
        <v>3003</v>
      </c>
      <c r="D8" s="184">
        <f>SUMIFS(报表附注!$F$1771:$F$1778,报表附注!$E$1771:$E$1778,'3.借款'!C8)</f>
        <v>0</v>
      </c>
      <c r="E8" s="184">
        <f t="shared" si="0"/>
        <v>0</v>
      </c>
      <c r="F8" s="188">
        <f t="shared" si="1"/>
        <v>0</v>
      </c>
    </row>
    <row r="9" spans="1:1">
      <c r="A9" s="189" t="s">
        <v>4863</v>
      </c>
    </row>
    <row r="10" s="178" customFormat="1" spans="1:14">
      <c r="A10" s="190" t="s">
        <v>1556</v>
      </c>
      <c r="B10" s="190"/>
      <c r="C10" s="190"/>
      <c r="D10" s="190"/>
      <c r="E10" s="190"/>
      <c r="F10" s="190"/>
      <c r="G10" s="190"/>
      <c r="H10" s="190">
        <f>H11-审定资负表!G7</f>
        <v>0</v>
      </c>
      <c r="I10" s="190"/>
      <c r="J10" s="190"/>
      <c r="K10" s="190"/>
      <c r="L10" s="190"/>
      <c r="M10" s="205"/>
      <c r="N10" s="205"/>
    </row>
    <row r="11" spans="1:16">
      <c r="A11" s="182" t="s">
        <v>4653</v>
      </c>
      <c r="H11" s="182">
        <f>SUM(H13:H27)</f>
        <v>0</v>
      </c>
      <c r="L11" s="183"/>
      <c r="O11" s="182"/>
      <c r="P11" s="178"/>
    </row>
    <row r="12" s="179" customFormat="1" ht="33.75" spans="1:16">
      <c r="A12" s="191" t="s">
        <v>4656</v>
      </c>
      <c r="B12" s="191" t="s">
        <v>4864</v>
      </c>
      <c r="C12" s="191" t="s">
        <v>4865</v>
      </c>
      <c r="D12" s="191" t="s">
        <v>992</v>
      </c>
      <c r="E12" s="192" t="s">
        <v>3148</v>
      </c>
      <c r="F12" s="192" t="s">
        <v>3149</v>
      </c>
      <c r="G12" s="191" t="s">
        <v>4866</v>
      </c>
      <c r="H12" s="193" t="s">
        <v>515</v>
      </c>
      <c r="I12" s="191" t="s">
        <v>4867</v>
      </c>
      <c r="J12" s="191" t="s">
        <v>4868</v>
      </c>
      <c r="K12" s="191" t="s">
        <v>4869</v>
      </c>
      <c r="L12" s="191" t="s">
        <v>279</v>
      </c>
      <c r="M12" s="206" t="s">
        <v>4870</v>
      </c>
      <c r="N12" s="206" t="s">
        <v>4871</v>
      </c>
      <c r="O12" s="206" t="s">
        <v>4872</v>
      </c>
      <c r="P12" s="207" t="s">
        <v>4873</v>
      </c>
    </row>
    <row r="13" s="180" customFormat="1" ht="13.5" spans="1:16">
      <c r="A13" s="194"/>
      <c r="B13" s="194"/>
      <c r="C13" s="195"/>
      <c r="D13" s="194"/>
      <c r="E13" s="196"/>
      <c r="F13" s="196"/>
      <c r="G13" s="197"/>
      <c r="H13" s="194"/>
      <c r="I13" s="194"/>
      <c r="J13" s="194"/>
      <c r="K13" s="194"/>
      <c r="L13" s="194"/>
      <c r="M13" s="194"/>
      <c r="N13" s="208">
        <f>IFERROR(ROUND(H13*G13*M13/360,2),)</f>
        <v>0</v>
      </c>
      <c r="O13" s="209"/>
      <c r="P13" s="209"/>
    </row>
    <row r="14" s="180" customFormat="1" ht="13.5" spans="1:16">
      <c r="A14" s="194"/>
      <c r="B14" s="194"/>
      <c r="C14" s="195"/>
      <c r="D14" s="194"/>
      <c r="E14" s="196"/>
      <c r="F14" s="196"/>
      <c r="G14" s="197"/>
      <c r="H14" s="194"/>
      <c r="I14" s="194"/>
      <c r="J14" s="194"/>
      <c r="K14" s="194"/>
      <c r="L14" s="194"/>
      <c r="M14" s="194"/>
      <c r="N14" s="208">
        <f t="shared" ref="N14:N27" si="2">IFERROR(ROUND(H14*G14*M14/360,2),)</f>
        <v>0</v>
      </c>
      <c r="O14" s="209"/>
      <c r="P14" s="209"/>
    </row>
    <row r="15" s="180" customFormat="1" ht="13.5" spans="1:16">
      <c r="A15" s="194"/>
      <c r="B15" s="194"/>
      <c r="C15" s="195"/>
      <c r="D15" s="194"/>
      <c r="E15" s="194"/>
      <c r="F15" s="194"/>
      <c r="G15" s="197"/>
      <c r="H15" s="194"/>
      <c r="I15" s="194"/>
      <c r="J15" s="194"/>
      <c r="K15" s="194"/>
      <c r="L15" s="194"/>
      <c r="M15" s="194"/>
      <c r="N15" s="208">
        <f t="shared" si="2"/>
        <v>0</v>
      </c>
      <c r="O15" s="209"/>
      <c r="P15" s="209"/>
    </row>
    <row r="16" s="180" customFormat="1" ht="13.5" spans="1:16">
      <c r="A16" s="194"/>
      <c r="B16" s="194"/>
      <c r="C16" s="195"/>
      <c r="D16" s="194"/>
      <c r="E16" s="194"/>
      <c r="F16" s="194"/>
      <c r="G16" s="197"/>
      <c r="H16" s="194"/>
      <c r="I16" s="194"/>
      <c r="J16" s="194"/>
      <c r="K16" s="194"/>
      <c r="L16" s="194"/>
      <c r="M16" s="194"/>
      <c r="N16" s="208">
        <f t="shared" si="2"/>
        <v>0</v>
      </c>
      <c r="O16" s="209"/>
      <c r="P16" s="209"/>
    </row>
    <row r="17" s="180" customFormat="1" ht="13.5" spans="1:16">
      <c r="A17" s="194"/>
      <c r="B17" s="194"/>
      <c r="C17" s="195"/>
      <c r="D17" s="194"/>
      <c r="E17" s="194"/>
      <c r="F17" s="194"/>
      <c r="G17" s="197"/>
      <c r="H17" s="194"/>
      <c r="I17" s="194"/>
      <c r="J17" s="194"/>
      <c r="K17" s="194"/>
      <c r="L17" s="194"/>
      <c r="M17" s="194"/>
      <c r="N17" s="208">
        <f t="shared" si="2"/>
        <v>0</v>
      </c>
      <c r="O17" s="209"/>
      <c r="P17" s="209"/>
    </row>
    <row r="18" s="180" customFormat="1" ht="13.5" spans="1:16">
      <c r="A18" s="194"/>
      <c r="B18" s="194"/>
      <c r="C18" s="195"/>
      <c r="D18" s="194"/>
      <c r="E18" s="194"/>
      <c r="F18" s="194"/>
      <c r="G18" s="197"/>
      <c r="H18" s="194"/>
      <c r="I18" s="194"/>
      <c r="J18" s="194"/>
      <c r="K18" s="194"/>
      <c r="L18" s="194"/>
      <c r="M18" s="194"/>
      <c r="N18" s="208">
        <f t="shared" si="2"/>
        <v>0</v>
      </c>
      <c r="O18" s="209"/>
      <c r="P18" s="209"/>
    </row>
    <row r="19" s="180" customFormat="1" ht="13.5" spans="1:16">
      <c r="A19" s="194"/>
      <c r="B19" s="194"/>
      <c r="C19" s="195"/>
      <c r="D19" s="194"/>
      <c r="E19" s="194"/>
      <c r="F19" s="194"/>
      <c r="G19" s="197"/>
      <c r="H19" s="194"/>
      <c r="I19" s="194"/>
      <c r="J19" s="194"/>
      <c r="K19" s="194"/>
      <c r="L19" s="194"/>
      <c r="M19" s="194"/>
      <c r="N19" s="208">
        <f t="shared" si="2"/>
        <v>0</v>
      </c>
      <c r="O19" s="209"/>
      <c r="P19" s="209"/>
    </row>
    <row r="20" s="180" customFormat="1" ht="13.5" spans="1:16">
      <c r="A20" s="194"/>
      <c r="B20" s="194"/>
      <c r="C20" s="195"/>
      <c r="D20" s="194"/>
      <c r="E20" s="194"/>
      <c r="F20" s="194"/>
      <c r="G20" s="197"/>
      <c r="H20" s="194"/>
      <c r="I20" s="194"/>
      <c r="J20" s="194"/>
      <c r="K20" s="194"/>
      <c r="L20" s="194"/>
      <c r="M20" s="194"/>
      <c r="N20" s="208">
        <f t="shared" si="2"/>
        <v>0</v>
      </c>
      <c r="O20" s="209"/>
      <c r="P20" s="209"/>
    </row>
    <row r="21" s="180" customFormat="1" ht="13.5" spans="1:16">
      <c r="A21" s="194"/>
      <c r="B21" s="194"/>
      <c r="C21" s="195"/>
      <c r="D21" s="194"/>
      <c r="E21" s="194"/>
      <c r="F21" s="194"/>
      <c r="G21" s="197"/>
      <c r="H21" s="194"/>
      <c r="I21" s="194"/>
      <c r="J21" s="194"/>
      <c r="K21" s="194"/>
      <c r="L21" s="194"/>
      <c r="M21" s="194"/>
      <c r="N21" s="208">
        <f t="shared" si="2"/>
        <v>0</v>
      </c>
      <c r="O21" s="209"/>
      <c r="P21" s="209"/>
    </row>
    <row r="22" s="180" customFormat="1" ht="13.5" spans="1:16">
      <c r="A22" s="194"/>
      <c r="B22" s="194"/>
      <c r="C22" s="195"/>
      <c r="D22" s="194"/>
      <c r="E22" s="194"/>
      <c r="F22" s="194"/>
      <c r="G22" s="197"/>
      <c r="H22" s="194"/>
      <c r="I22" s="194"/>
      <c r="J22" s="194"/>
      <c r="K22" s="194"/>
      <c r="L22" s="194"/>
      <c r="M22" s="194"/>
      <c r="N22" s="208">
        <f t="shared" si="2"/>
        <v>0</v>
      </c>
      <c r="O22" s="209"/>
      <c r="P22" s="209"/>
    </row>
    <row r="23" s="180" customFormat="1" ht="13.5" spans="1:16">
      <c r="A23" s="194"/>
      <c r="B23" s="194"/>
      <c r="C23" s="195"/>
      <c r="D23" s="194"/>
      <c r="E23" s="194"/>
      <c r="F23" s="194"/>
      <c r="G23" s="197"/>
      <c r="H23" s="194"/>
      <c r="I23" s="194"/>
      <c r="J23" s="194"/>
      <c r="K23" s="194"/>
      <c r="L23" s="194"/>
      <c r="M23" s="194"/>
      <c r="N23" s="208">
        <f t="shared" si="2"/>
        <v>0</v>
      </c>
      <c r="O23" s="209"/>
      <c r="P23" s="209"/>
    </row>
    <row r="24" s="180" customFormat="1" ht="13.5" spans="1:16">
      <c r="A24" s="194"/>
      <c r="B24" s="194"/>
      <c r="C24" s="195"/>
      <c r="D24" s="194"/>
      <c r="E24" s="194"/>
      <c r="F24" s="194"/>
      <c r="G24" s="197"/>
      <c r="H24" s="194"/>
      <c r="I24" s="194"/>
      <c r="J24" s="194"/>
      <c r="K24" s="194"/>
      <c r="L24" s="194"/>
      <c r="M24" s="194"/>
      <c r="N24" s="208">
        <f t="shared" si="2"/>
        <v>0</v>
      </c>
      <c r="O24" s="209"/>
      <c r="P24" s="209"/>
    </row>
    <row r="25" s="180" customFormat="1" ht="13.5" spans="1:16">
      <c r="A25" s="194"/>
      <c r="B25" s="194"/>
      <c r="C25" s="195"/>
      <c r="D25" s="194"/>
      <c r="E25" s="194"/>
      <c r="F25" s="194"/>
      <c r="G25" s="197"/>
      <c r="H25" s="194"/>
      <c r="I25" s="194"/>
      <c r="J25" s="194"/>
      <c r="K25" s="194"/>
      <c r="L25" s="194"/>
      <c r="M25" s="194"/>
      <c r="N25" s="208">
        <f t="shared" si="2"/>
        <v>0</v>
      </c>
      <c r="O25" s="209"/>
      <c r="P25" s="209"/>
    </row>
    <row r="26" s="180" customFormat="1" ht="13.5" spans="1:16">
      <c r="A26" s="194"/>
      <c r="B26" s="194"/>
      <c r="C26" s="195"/>
      <c r="D26" s="194"/>
      <c r="E26" s="194"/>
      <c r="F26" s="194"/>
      <c r="G26" s="197"/>
      <c r="H26" s="194"/>
      <c r="I26" s="194"/>
      <c r="J26" s="194"/>
      <c r="K26" s="194"/>
      <c r="L26" s="194"/>
      <c r="M26" s="194"/>
      <c r="N26" s="208">
        <f t="shared" si="2"/>
        <v>0</v>
      </c>
      <c r="O26" s="209"/>
      <c r="P26" s="209"/>
    </row>
    <row r="27" s="180" customFormat="1" ht="13.5" spans="1:16">
      <c r="A27" s="194"/>
      <c r="B27" s="194"/>
      <c r="C27" s="195"/>
      <c r="D27" s="194"/>
      <c r="E27" s="194"/>
      <c r="F27" s="194"/>
      <c r="G27" s="197"/>
      <c r="H27" s="194"/>
      <c r="I27" s="194"/>
      <c r="J27" s="194"/>
      <c r="K27" s="194"/>
      <c r="L27" s="194"/>
      <c r="M27" s="194"/>
      <c r="N27" s="208">
        <f t="shared" si="2"/>
        <v>0</v>
      </c>
      <c r="O27" s="209"/>
      <c r="P27" s="209"/>
    </row>
    <row r="28" s="180" customFormat="1" spans="1:16">
      <c r="A28" s="191" t="s">
        <v>1580</v>
      </c>
      <c r="B28" s="191"/>
      <c r="C28" s="191"/>
      <c r="D28" s="191"/>
      <c r="E28" s="191"/>
      <c r="F28" s="191"/>
      <c r="G28" s="191"/>
      <c r="H28" s="198">
        <f>SUM(H13:H27)</f>
        <v>0</v>
      </c>
      <c r="I28" s="191"/>
      <c r="J28" s="191"/>
      <c r="K28" s="191"/>
      <c r="L28" s="191"/>
      <c r="M28" s="198"/>
      <c r="N28" s="198">
        <f>SUM(N13:N27)</f>
        <v>0</v>
      </c>
      <c r="O28" s="198">
        <f>报表附注!F2030</f>
        <v>0</v>
      </c>
      <c r="P28" s="210">
        <f>N28-O28</f>
        <v>0</v>
      </c>
    </row>
    <row r="29" spans="12:15">
      <c r="L29" s="183"/>
      <c r="O29" s="182"/>
    </row>
    <row r="30" s="181" customFormat="1" spans="1:15">
      <c r="A30" s="189" t="s">
        <v>4874</v>
      </c>
      <c r="B30" s="199"/>
      <c r="C30" s="200"/>
      <c r="M30" s="211"/>
      <c r="N30" s="211"/>
      <c r="O30" s="211"/>
    </row>
    <row r="31" s="178" customFormat="1" spans="1:14">
      <c r="A31" s="190" t="s">
        <v>1556</v>
      </c>
      <c r="B31" s="190"/>
      <c r="C31" s="190"/>
      <c r="D31" s="190"/>
      <c r="E31" s="190"/>
      <c r="F31" s="190"/>
      <c r="G31" s="190"/>
      <c r="H31" s="190">
        <f>H32-审定资负表!G17-审定资负表!G23</f>
        <v>-6935621.62</v>
      </c>
      <c r="I31" s="190">
        <f>I32-审定资负表!G23</f>
        <v>0</v>
      </c>
      <c r="J31" s="190">
        <f>J32-审定资负表!G17</f>
        <v>-6935621.62</v>
      </c>
      <c r="K31" s="190"/>
      <c r="L31" s="190"/>
      <c r="M31" s="205"/>
      <c r="N31" s="205"/>
    </row>
    <row r="32" spans="1:15">
      <c r="A32" s="182" t="s">
        <v>4653</v>
      </c>
      <c r="H32" s="182">
        <f>SUM(H34:H78)</f>
        <v>0</v>
      </c>
      <c r="I32" s="182">
        <f>SUM(I34:I78)</f>
        <v>0</v>
      </c>
      <c r="J32" s="182">
        <f>SUM(J34:J78)</f>
        <v>0</v>
      </c>
      <c r="L32" s="183"/>
      <c r="O32" s="182"/>
    </row>
    <row r="33" s="179" customFormat="1" ht="40.5" customHeight="1" spans="1:14">
      <c r="A33" s="191" t="s">
        <v>4656</v>
      </c>
      <c r="B33" s="191" t="s">
        <v>4864</v>
      </c>
      <c r="C33" s="201" t="s">
        <v>3001</v>
      </c>
      <c r="D33" s="202" t="s">
        <v>3193</v>
      </c>
      <c r="E33" s="192" t="s">
        <v>3148</v>
      </c>
      <c r="F33" s="192" t="s">
        <v>3149</v>
      </c>
      <c r="G33" s="192" t="s">
        <v>3150</v>
      </c>
      <c r="H33" s="203" t="s">
        <v>4875</v>
      </c>
      <c r="I33" s="193" t="s">
        <v>4876</v>
      </c>
      <c r="J33" s="193" t="s">
        <v>4877</v>
      </c>
      <c r="K33" s="191" t="s">
        <v>4867</v>
      </c>
      <c r="L33" s="191" t="s">
        <v>3194</v>
      </c>
      <c r="M33" s="191" t="s">
        <v>4878</v>
      </c>
      <c r="N33" s="212" t="s">
        <v>670</v>
      </c>
    </row>
    <row r="34" ht="13.5" spans="1:15">
      <c r="A34" s="195"/>
      <c r="B34" s="195"/>
      <c r="C34" s="195"/>
      <c r="D34" s="195"/>
      <c r="E34" s="195"/>
      <c r="F34" s="195"/>
      <c r="G34" s="195"/>
      <c r="H34" s="195"/>
      <c r="I34" s="195"/>
      <c r="J34" s="195"/>
      <c r="K34" s="213"/>
      <c r="L34" s="213"/>
      <c r="M34" s="213"/>
      <c r="N34" s="195"/>
      <c r="O34" s="182"/>
    </row>
    <row r="35" ht="13.5" spans="1:15">
      <c r="A35" s="195"/>
      <c r="B35" s="195"/>
      <c r="C35" s="195"/>
      <c r="D35" s="195"/>
      <c r="E35" s="195"/>
      <c r="F35" s="195"/>
      <c r="G35" s="195"/>
      <c r="H35" s="195"/>
      <c r="I35" s="195"/>
      <c r="J35" s="195"/>
      <c r="K35" s="213"/>
      <c r="L35" s="213"/>
      <c r="M35" s="213"/>
      <c r="N35" s="195"/>
      <c r="O35" s="182"/>
    </row>
    <row r="36" ht="13.5" spans="1:15">
      <c r="A36" s="195"/>
      <c r="B36" s="195"/>
      <c r="C36" s="195"/>
      <c r="D36" s="195"/>
      <c r="E36" s="195"/>
      <c r="F36" s="195"/>
      <c r="G36" s="195"/>
      <c r="H36" s="195"/>
      <c r="I36" s="195"/>
      <c r="J36" s="195"/>
      <c r="K36" s="213"/>
      <c r="L36" s="213"/>
      <c r="M36" s="213"/>
      <c r="N36" s="195"/>
      <c r="O36" s="182"/>
    </row>
    <row r="37" ht="13.5" spans="1:15">
      <c r="A37" s="195"/>
      <c r="B37" s="195"/>
      <c r="C37" s="195"/>
      <c r="D37" s="195"/>
      <c r="E37" s="195"/>
      <c r="F37" s="195"/>
      <c r="G37" s="195"/>
      <c r="H37" s="195"/>
      <c r="I37" s="195"/>
      <c r="J37" s="195"/>
      <c r="K37" s="213"/>
      <c r="L37" s="213"/>
      <c r="M37" s="213"/>
      <c r="N37" s="195"/>
      <c r="O37" s="182"/>
    </row>
    <row r="38" ht="13.5" spans="1:15">
      <c r="A38" s="195"/>
      <c r="B38" s="195"/>
      <c r="C38" s="195"/>
      <c r="D38" s="195"/>
      <c r="E38" s="195"/>
      <c r="F38" s="195"/>
      <c r="G38" s="195"/>
      <c r="H38" s="195"/>
      <c r="I38" s="195"/>
      <c r="J38" s="195"/>
      <c r="K38" s="213"/>
      <c r="L38" s="213"/>
      <c r="M38" s="213"/>
      <c r="N38" s="195"/>
      <c r="O38" s="182"/>
    </row>
    <row r="39" ht="13.5" hidden="1" spans="1:15">
      <c r="A39" s="195"/>
      <c r="B39" s="195"/>
      <c r="C39" s="195"/>
      <c r="D39" s="195"/>
      <c r="E39" s="195"/>
      <c r="F39" s="195"/>
      <c r="G39" s="195"/>
      <c r="H39" s="195"/>
      <c r="I39" s="195"/>
      <c r="J39" s="195"/>
      <c r="K39" s="213"/>
      <c r="L39" s="213"/>
      <c r="M39" s="213"/>
      <c r="N39" s="195"/>
      <c r="O39" s="182"/>
    </row>
    <row r="40" ht="13.5" hidden="1" spans="1:15">
      <c r="A40" s="195"/>
      <c r="B40" s="195"/>
      <c r="C40" s="195"/>
      <c r="D40" s="195"/>
      <c r="E40" s="195"/>
      <c r="F40" s="195"/>
      <c r="G40" s="195"/>
      <c r="H40" s="195"/>
      <c r="I40" s="195"/>
      <c r="J40" s="195"/>
      <c r="K40" s="213"/>
      <c r="L40" s="213"/>
      <c r="M40" s="213"/>
      <c r="N40" s="195"/>
      <c r="O40" s="182"/>
    </row>
    <row r="41" ht="13.5" hidden="1" spans="1:15">
      <c r="A41" s="195"/>
      <c r="B41" s="195"/>
      <c r="C41" s="195"/>
      <c r="D41" s="195"/>
      <c r="E41" s="195"/>
      <c r="F41" s="195"/>
      <c r="G41" s="195"/>
      <c r="H41" s="195"/>
      <c r="I41" s="195"/>
      <c r="J41" s="195"/>
      <c r="K41" s="213"/>
      <c r="L41" s="213"/>
      <c r="M41" s="213"/>
      <c r="N41" s="195"/>
      <c r="O41" s="182"/>
    </row>
    <row r="42" ht="13.5" hidden="1" spans="1:15">
      <c r="A42" s="195"/>
      <c r="B42" s="195"/>
      <c r="C42" s="195"/>
      <c r="D42" s="195"/>
      <c r="E42" s="195"/>
      <c r="F42" s="195"/>
      <c r="G42" s="195"/>
      <c r="H42" s="195"/>
      <c r="I42" s="195"/>
      <c r="J42" s="195"/>
      <c r="K42" s="213"/>
      <c r="L42" s="213"/>
      <c r="M42" s="213"/>
      <c r="N42" s="195"/>
      <c r="O42" s="182"/>
    </row>
    <row r="43" ht="13.5" hidden="1" spans="1:15">
      <c r="A43" s="195"/>
      <c r="B43" s="195"/>
      <c r="C43" s="195"/>
      <c r="D43" s="195"/>
      <c r="E43" s="195"/>
      <c r="F43" s="195"/>
      <c r="G43" s="195"/>
      <c r="H43" s="195"/>
      <c r="I43" s="195"/>
      <c r="J43" s="195"/>
      <c r="K43" s="213"/>
      <c r="L43" s="213"/>
      <c r="M43" s="213"/>
      <c r="N43" s="195"/>
      <c r="O43" s="182"/>
    </row>
    <row r="44" ht="13.5" hidden="1" spans="1:15">
      <c r="A44" s="204"/>
      <c r="B44" s="204"/>
      <c r="C44" s="195"/>
      <c r="D44" s="204"/>
      <c r="E44" s="195"/>
      <c r="F44" s="195"/>
      <c r="G44" s="195"/>
      <c r="H44" s="195"/>
      <c r="I44" s="195"/>
      <c r="J44" s="195"/>
      <c r="K44" s="213"/>
      <c r="L44" s="214"/>
      <c r="M44" s="214"/>
      <c r="N44" s="195"/>
      <c r="O44" s="182"/>
    </row>
    <row r="45" ht="13.5" hidden="1" spans="1:15">
      <c r="A45" s="195"/>
      <c r="B45" s="195"/>
      <c r="C45" s="195"/>
      <c r="D45" s="195"/>
      <c r="E45" s="195"/>
      <c r="F45" s="195"/>
      <c r="G45" s="195"/>
      <c r="H45" s="195"/>
      <c r="I45" s="195"/>
      <c r="J45" s="195"/>
      <c r="K45" s="213"/>
      <c r="L45" s="213"/>
      <c r="M45" s="213"/>
      <c r="N45" s="195"/>
      <c r="O45" s="182"/>
    </row>
    <row r="46" ht="13.5" hidden="1" spans="1:15">
      <c r="A46" s="195"/>
      <c r="B46" s="195"/>
      <c r="C46" s="195"/>
      <c r="D46" s="195"/>
      <c r="E46" s="195"/>
      <c r="F46" s="195"/>
      <c r="G46" s="195"/>
      <c r="H46" s="195"/>
      <c r="I46" s="195"/>
      <c r="J46" s="195"/>
      <c r="K46" s="213"/>
      <c r="L46" s="213"/>
      <c r="M46" s="213"/>
      <c r="N46" s="195"/>
      <c r="O46" s="182"/>
    </row>
    <row r="47" ht="13.5" hidden="1" spans="1:15">
      <c r="A47" s="195"/>
      <c r="B47" s="195"/>
      <c r="C47" s="195"/>
      <c r="D47" s="195"/>
      <c r="E47" s="195"/>
      <c r="F47" s="195"/>
      <c r="G47" s="195"/>
      <c r="H47" s="195"/>
      <c r="I47" s="195"/>
      <c r="J47" s="195"/>
      <c r="K47" s="213"/>
      <c r="L47" s="213"/>
      <c r="M47" s="213"/>
      <c r="N47" s="195"/>
      <c r="O47" s="182"/>
    </row>
    <row r="48" ht="13.5" hidden="1" spans="1:15">
      <c r="A48" s="195"/>
      <c r="B48" s="195"/>
      <c r="C48" s="195"/>
      <c r="D48" s="195"/>
      <c r="E48" s="195"/>
      <c r="F48" s="195"/>
      <c r="G48" s="195"/>
      <c r="H48" s="195"/>
      <c r="I48" s="195"/>
      <c r="J48" s="195"/>
      <c r="K48" s="213"/>
      <c r="L48" s="213"/>
      <c r="M48" s="213"/>
      <c r="N48" s="195"/>
      <c r="O48" s="182"/>
    </row>
    <row r="49" ht="13.5" hidden="1" spans="1:15">
      <c r="A49" s="195"/>
      <c r="B49" s="195"/>
      <c r="C49" s="195"/>
      <c r="D49" s="195"/>
      <c r="E49" s="195"/>
      <c r="F49" s="195"/>
      <c r="G49" s="195"/>
      <c r="H49" s="195"/>
      <c r="I49" s="195"/>
      <c r="J49" s="195"/>
      <c r="K49" s="213"/>
      <c r="L49" s="213"/>
      <c r="M49" s="213"/>
      <c r="N49" s="195"/>
      <c r="O49" s="182"/>
    </row>
    <row r="50" ht="13.5" hidden="1" spans="1:15">
      <c r="A50" s="195"/>
      <c r="B50" s="195"/>
      <c r="C50" s="195"/>
      <c r="D50" s="195"/>
      <c r="E50" s="195"/>
      <c r="F50" s="195"/>
      <c r="G50" s="195"/>
      <c r="H50" s="195"/>
      <c r="I50" s="195"/>
      <c r="J50" s="195"/>
      <c r="K50" s="213"/>
      <c r="L50" s="213"/>
      <c r="M50" s="213"/>
      <c r="N50" s="195"/>
      <c r="O50" s="182"/>
    </row>
    <row r="51" ht="13.5" hidden="1" spans="1:15">
      <c r="A51" s="195"/>
      <c r="B51" s="195"/>
      <c r="C51" s="195"/>
      <c r="D51" s="195"/>
      <c r="E51" s="195"/>
      <c r="F51" s="195"/>
      <c r="G51" s="195"/>
      <c r="H51" s="195"/>
      <c r="I51" s="195"/>
      <c r="J51" s="195"/>
      <c r="K51" s="213"/>
      <c r="L51" s="213"/>
      <c r="M51" s="213"/>
      <c r="N51" s="195"/>
      <c r="O51" s="182"/>
    </row>
    <row r="52" ht="13.5" hidden="1" spans="1:15">
      <c r="A52" s="195"/>
      <c r="B52" s="195"/>
      <c r="C52" s="195"/>
      <c r="D52" s="195"/>
      <c r="E52" s="195"/>
      <c r="F52" s="195"/>
      <c r="G52" s="195"/>
      <c r="H52" s="195"/>
      <c r="I52" s="195"/>
      <c r="J52" s="195"/>
      <c r="K52" s="213"/>
      <c r="L52" s="213"/>
      <c r="M52" s="213"/>
      <c r="N52" s="195"/>
      <c r="O52" s="182"/>
    </row>
    <row r="53" ht="13.5" hidden="1" spans="1:15">
      <c r="A53" s="195"/>
      <c r="B53" s="195"/>
      <c r="C53" s="195"/>
      <c r="D53" s="195"/>
      <c r="E53" s="195"/>
      <c r="F53" s="195"/>
      <c r="G53" s="195"/>
      <c r="H53" s="195"/>
      <c r="I53" s="195"/>
      <c r="J53" s="195"/>
      <c r="K53" s="213"/>
      <c r="L53" s="213"/>
      <c r="M53" s="213"/>
      <c r="N53" s="195"/>
      <c r="O53" s="182"/>
    </row>
    <row r="54" ht="13.5" hidden="1" spans="1:15">
      <c r="A54" s="195"/>
      <c r="B54" s="195"/>
      <c r="C54" s="195"/>
      <c r="D54" s="195"/>
      <c r="E54" s="195"/>
      <c r="F54" s="195"/>
      <c r="G54" s="195"/>
      <c r="H54" s="195"/>
      <c r="I54" s="195"/>
      <c r="J54" s="195"/>
      <c r="K54" s="213"/>
      <c r="L54" s="213"/>
      <c r="M54" s="213"/>
      <c r="N54" s="195"/>
      <c r="O54" s="182"/>
    </row>
    <row r="55" ht="13.5" hidden="1" spans="1:15">
      <c r="A55" s="195"/>
      <c r="B55" s="195"/>
      <c r="C55" s="195"/>
      <c r="D55" s="195"/>
      <c r="E55" s="195"/>
      <c r="F55" s="195"/>
      <c r="G55" s="195"/>
      <c r="H55" s="195"/>
      <c r="I55" s="195"/>
      <c r="J55" s="195"/>
      <c r="K55" s="213"/>
      <c r="L55" s="213"/>
      <c r="M55" s="213"/>
      <c r="N55" s="195"/>
      <c r="O55" s="182"/>
    </row>
    <row r="56" ht="13.5" hidden="1" spans="1:15">
      <c r="A56" s="195"/>
      <c r="B56" s="195"/>
      <c r="C56" s="195"/>
      <c r="D56" s="195"/>
      <c r="E56" s="195"/>
      <c r="F56" s="195"/>
      <c r="G56" s="195"/>
      <c r="H56" s="195"/>
      <c r="I56" s="195"/>
      <c r="J56" s="195"/>
      <c r="K56" s="213"/>
      <c r="L56" s="213"/>
      <c r="M56" s="213"/>
      <c r="N56" s="195"/>
      <c r="O56" s="182"/>
    </row>
    <row r="57" ht="13.5" hidden="1" spans="1:15">
      <c r="A57" s="195"/>
      <c r="B57" s="195"/>
      <c r="C57" s="195"/>
      <c r="D57" s="195"/>
      <c r="E57" s="195"/>
      <c r="F57" s="195"/>
      <c r="G57" s="195"/>
      <c r="H57" s="195"/>
      <c r="I57" s="195"/>
      <c r="J57" s="195"/>
      <c r="K57" s="213"/>
      <c r="L57" s="213"/>
      <c r="M57" s="213"/>
      <c r="N57" s="195"/>
      <c r="O57" s="182"/>
    </row>
    <row r="58" ht="13.5" hidden="1" spans="1:15">
      <c r="A58" s="195"/>
      <c r="B58" s="195"/>
      <c r="C58" s="195"/>
      <c r="D58" s="195"/>
      <c r="E58" s="195"/>
      <c r="F58" s="195"/>
      <c r="G58" s="195"/>
      <c r="H58" s="195"/>
      <c r="I58" s="195"/>
      <c r="J58" s="195"/>
      <c r="K58" s="213"/>
      <c r="L58" s="213"/>
      <c r="M58" s="213"/>
      <c r="N58" s="195"/>
      <c r="O58" s="182"/>
    </row>
    <row r="59" ht="13.5" hidden="1" spans="1:15">
      <c r="A59" s="195"/>
      <c r="B59" s="195"/>
      <c r="C59" s="195"/>
      <c r="D59" s="195"/>
      <c r="E59" s="195"/>
      <c r="F59" s="195"/>
      <c r="G59" s="195"/>
      <c r="H59" s="195"/>
      <c r="I59" s="195"/>
      <c r="J59" s="195"/>
      <c r="K59" s="213"/>
      <c r="L59" s="213"/>
      <c r="M59" s="213"/>
      <c r="N59" s="195"/>
      <c r="O59" s="182"/>
    </row>
    <row r="60" ht="13.5" hidden="1" spans="1:15">
      <c r="A60" s="195"/>
      <c r="B60" s="195"/>
      <c r="C60" s="195"/>
      <c r="D60" s="195"/>
      <c r="E60" s="195"/>
      <c r="F60" s="195"/>
      <c r="G60" s="195"/>
      <c r="H60" s="195"/>
      <c r="I60" s="195"/>
      <c r="J60" s="195"/>
      <c r="K60" s="213"/>
      <c r="L60" s="213"/>
      <c r="M60" s="213"/>
      <c r="N60" s="195"/>
      <c r="O60" s="182"/>
    </row>
    <row r="61" ht="13.5" hidden="1" spans="1:15">
      <c r="A61" s="195"/>
      <c r="B61" s="195"/>
      <c r="C61" s="195"/>
      <c r="D61" s="195"/>
      <c r="E61" s="195"/>
      <c r="F61" s="195"/>
      <c r="G61" s="195"/>
      <c r="H61" s="195"/>
      <c r="I61" s="195"/>
      <c r="J61" s="195"/>
      <c r="K61" s="213"/>
      <c r="L61" s="213"/>
      <c r="M61" s="213"/>
      <c r="N61" s="195"/>
      <c r="O61" s="182"/>
    </row>
    <row r="62" ht="13.5" hidden="1" spans="1:15">
      <c r="A62" s="195"/>
      <c r="B62" s="195"/>
      <c r="C62" s="195"/>
      <c r="D62" s="195"/>
      <c r="E62" s="195"/>
      <c r="F62" s="195"/>
      <c r="G62" s="195"/>
      <c r="H62" s="195"/>
      <c r="I62" s="195"/>
      <c r="J62" s="195"/>
      <c r="K62" s="213"/>
      <c r="L62" s="213"/>
      <c r="M62" s="213"/>
      <c r="N62" s="195"/>
      <c r="O62" s="182"/>
    </row>
    <row r="63" ht="13.5" hidden="1" spans="1:15">
      <c r="A63" s="195"/>
      <c r="B63" s="195"/>
      <c r="C63" s="195"/>
      <c r="D63" s="195"/>
      <c r="E63" s="195"/>
      <c r="F63" s="195"/>
      <c r="G63" s="195"/>
      <c r="H63" s="195"/>
      <c r="I63" s="195"/>
      <c r="J63" s="195"/>
      <c r="K63" s="213"/>
      <c r="L63" s="213"/>
      <c r="M63" s="213"/>
      <c r="N63" s="195"/>
      <c r="O63" s="182"/>
    </row>
    <row r="64" ht="13.5" hidden="1" spans="1:15">
      <c r="A64" s="195"/>
      <c r="B64" s="195"/>
      <c r="C64" s="195"/>
      <c r="D64" s="195"/>
      <c r="E64" s="195"/>
      <c r="F64" s="195"/>
      <c r="G64" s="195"/>
      <c r="H64" s="195"/>
      <c r="I64" s="195"/>
      <c r="J64" s="195"/>
      <c r="K64" s="213"/>
      <c r="L64" s="213"/>
      <c r="M64" s="213"/>
      <c r="N64" s="195"/>
      <c r="O64" s="182"/>
    </row>
    <row r="65" ht="13.5" hidden="1" spans="1:15">
      <c r="A65" s="195"/>
      <c r="B65" s="195"/>
      <c r="C65" s="195"/>
      <c r="D65" s="195"/>
      <c r="E65" s="195"/>
      <c r="F65" s="195"/>
      <c r="G65" s="195"/>
      <c r="H65" s="195"/>
      <c r="I65" s="195"/>
      <c r="J65" s="195"/>
      <c r="K65" s="213"/>
      <c r="L65" s="213"/>
      <c r="M65" s="213"/>
      <c r="N65" s="195"/>
      <c r="O65" s="182"/>
    </row>
    <row r="66" ht="13.5" hidden="1" spans="1:15">
      <c r="A66" s="195"/>
      <c r="B66" s="195"/>
      <c r="C66" s="195"/>
      <c r="D66" s="195"/>
      <c r="E66" s="195"/>
      <c r="F66" s="195"/>
      <c r="G66" s="195"/>
      <c r="H66" s="195"/>
      <c r="I66" s="195"/>
      <c r="J66" s="195"/>
      <c r="K66" s="213"/>
      <c r="L66" s="213"/>
      <c r="M66" s="213"/>
      <c r="N66" s="195"/>
      <c r="O66" s="182"/>
    </row>
    <row r="67" ht="13.5" hidden="1" spans="1:15">
      <c r="A67" s="195"/>
      <c r="B67" s="195"/>
      <c r="C67" s="195"/>
      <c r="D67" s="195"/>
      <c r="E67" s="195"/>
      <c r="F67" s="195"/>
      <c r="G67" s="195"/>
      <c r="H67" s="195"/>
      <c r="I67" s="195"/>
      <c r="J67" s="195"/>
      <c r="K67" s="213"/>
      <c r="L67" s="213"/>
      <c r="M67" s="213"/>
      <c r="N67" s="195"/>
      <c r="O67" s="182"/>
    </row>
    <row r="68" ht="13.5" hidden="1" spans="1:15">
      <c r="A68" s="195"/>
      <c r="B68" s="195"/>
      <c r="C68" s="195"/>
      <c r="D68" s="195"/>
      <c r="E68" s="195"/>
      <c r="F68" s="195"/>
      <c r="G68" s="195"/>
      <c r="H68" s="195"/>
      <c r="I68" s="195"/>
      <c r="J68" s="195"/>
      <c r="K68" s="213"/>
      <c r="L68" s="213"/>
      <c r="M68" s="213"/>
      <c r="N68" s="195"/>
      <c r="O68" s="182"/>
    </row>
    <row r="69" ht="13.5" hidden="1" spans="1:15">
      <c r="A69" s="215"/>
      <c r="B69" s="215"/>
      <c r="C69" s="195"/>
      <c r="D69" s="215"/>
      <c r="E69" s="216"/>
      <c r="F69" s="216"/>
      <c r="G69" s="215"/>
      <c r="H69" s="215"/>
      <c r="I69" s="215"/>
      <c r="J69" s="215"/>
      <c r="K69" s="220"/>
      <c r="L69" s="220"/>
      <c r="M69" s="220"/>
      <c r="N69" s="215"/>
      <c r="O69" s="182"/>
    </row>
    <row r="70" ht="13.5" hidden="1" spans="1:15">
      <c r="A70" s="215"/>
      <c r="B70" s="215"/>
      <c r="C70" s="195"/>
      <c r="D70" s="215"/>
      <c r="E70" s="216"/>
      <c r="F70" s="216"/>
      <c r="G70" s="215"/>
      <c r="H70" s="215"/>
      <c r="I70" s="215"/>
      <c r="J70" s="215"/>
      <c r="K70" s="220"/>
      <c r="L70" s="220"/>
      <c r="M70" s="220"/>
      <c r="N70" s="215"/>
      <c r="O70" s="182"/>
    </row>
    <row r="71" ht="13.5" hidden="1" spans="1:15">
      <c r="A71" s="215"/>
      <c r="B71" s="215"/>
      <c r="C71" s="195"/>
      <c r="D71" s="215"/>
      <c r="E71" s="216"/>
      <c r="F71" s="216"/>
      <c r="G71" s="215"/>
      <c r="H71" s="215"/>
      <c r="I71" s="215"/>
      <c r="J71" s="215"/>
      <c r="K71" s="220"/>
      <c r="L71" s="220"/>
      <c r="M71" s="220"/>
      <c r="N71" s="215"/>
      <c r="O71" s="182"/>
    </row>
    <row r="72" ht="13.5" hidden="1" spans="1:15">
      <c r="A72" s="215"/>
      <c r="B72" s="215"/>
      <c r="C72" s="195"/>
      <c r="D72" s="215"/>
      <c r="E72" s="216"/>
      <c r="F72" s="216"/>
      <c r="G72" s="215"/>
      <c r="H72" s="215"/>
      <c r="I72" s="215"/>
      <c r="J72" s="215"/>
      <c r="K72" s="220"/>
      <c r="L72" s="220"/>
      <c r="M72" s="220"/>
      <c r="N72" s="215"/>
      <c r="O72" s="182"/>
    </row>
    <row r="73" ht="13.5" hidden="1" spans="1:15">
      <c r="A73" s="195"/>
      <c r="B73" s="195"/>
      <c r="C73" s="195"/>
      <c r="D73" s="195"/>
      <c r="E73" s="195"/>
      <c r="F73" s="195"/>
      <c r="G73" s="195"/>
      <c r="H73" s="195"/>
      <c r="I73" s="195"/>
      <c r="J73" s="195"/>
      <c r="K73" s="213"/>
      <c r="L73" s="213"/>
      <c r="M73" s="213"/>
      <c r="N73" s="195"/>
      <c r="O73" s="182"/>
    </row>
    <row r="74" ht="13.5" hidden="1" spans="1:15">
      <c r="A74" s="195"/>
      <c r="B74" s="195"/>
      <c r="C74" s="195"/>
      <c r="D74" s="195"/>
      <c r="E74" s="195"/>
      <c r="F74" s="195"/>
      <c r="G74" s="195"/>
      <c r="H74" s="195"/>
      <c r="I74" s="195"/>
      <c r="J74" s="195"/>
      <c r="K74" s="213"/>
      <c r="L74" s="213"/>
      <c r="M74" s="213"/>
      <c r="N74" s="195"/>
      <c r="O74" s="182"/>
    </row>
    <row r="75" ht="13.5" hidden="1" spans="1:15">
      <c r="A75" s="215"/>
      <c r="B75" s="215"/>
      <c r="C75" s="195"/>
      <c r="D75" s="215"/>
      <c r="E75" s="216"/>
      <c r="F75" s="216"/>
      <c r="G75" s="215"/>
      <c r="H75" s="215"/>
      <c r="I75" s="215"/>
      <c r="J75" s="215"/>
      <c r="K75" s="220"/>
      <c r="L75" s="220"/>
      <c r="M75" s="220"/>
      <c r="N75" s="215"/>
      <c r="O75" s="182"/>
    </row>
    <row r="76" ht="13.5" hidden="1" spans="1:15">
      <c r="A76" s="215"/>
      <c r="B76" s="215"/>
      <c r="C76" s="195"/>
      <c r="D76" s="215"/>
      <c r="E76" s="216"/>
      <c r="F76" s="216"/>
      <c r="G76" s="215"/>
      <c r="H76" s="215"/>
      <c r="I76" s="215"/>
      <c r="J76" s="215"/>
      <c r="K76" s="220"/>
      <c r="L76" s="220"/>
      <c r="M76" s="220"/>
      <c r="N76" s="215"/>
      <c r="O76" s="182"/>
    </row>
    <row r="77" ht="13.5" hidden="1" spans="1:15">
      <c r="A77" s="215"/>
      <c r="B77" s="215"/>
      <c r="C77" s="215"/>
      <c r="D77" s="215"/>
      <c r="E77" s="216"/>
      <c r="F77" s="216"/>
      <c r="G77" s="215"/>
      <c r="H77" s="215"/>
      <c r="I77" s="215"/>
      <c r="J77" s="215"/>
      <c r="K77" s="220"/>
      <c r="L77" s="220"/>
      <c r="M77" s="220"/>
      <c r="N77" s="215"/>
      <c r="O77" s="182"/>
    </row>
    <row r="78" ht="13.5" hidden="1" spans="1:15">
      <c r="A78" s="215"/>
      <c r="B78" s="215"/>
      <c r="C78" s="215"/>
      <c r="D78" s="215"/>
      <c r="E78" s="216"/>
      <c r="F78" s="216"/>
      <c r="G78" s="215"/>
      <c r="H78" s="215"/>
      <c r="I78" s="215"/>
      <c r="J78" s="215"/>
      <c r="K78" s="220"/>
      <c r="L78" s="220"/>
      <c r="M78" s="220"/>
      <c r="N78" s="215"/>
      <c r="O78" s="182"/>
    </row>
    <row r="79" ht="13.5" hidden="1" spans="1:15">
      <c r="A79" s="215"/>
      <c r="B79" s="215"/>
      <c r="C79" s="215"/>
      <c r="D79" s="215"/>
      <c r="E79" s="216"/>
      <c r="F79" s="216"/>
      <c r="G79" s="215"/>
      <c r="H79" s="215"/>
      <c r="I79" s="215"/>
      <c r="J79" s="215"/>
      <c r="K79" s="220"/>
      <c r="L79" s="220"/>
      <c r="M79" s="220"/>
      <c r="N79" s="215"/>
      <c r="O79" s="182"/>
    </row>
    <row r="80" ht="13.5" spans="1:15">
      <c r="A80" s="217"/>
      <c r="B80" s="217" t="s">
        <v>1580</v>
      </c>
      <c r="C80" s="217"/>
      <c r="D80" s="217"/>
      <c r="E80" s="218"/>
      <c r="F80" s="218"/>
      <c r="G80" s="218"/>
      <c r="H80" s="219">
        <f>SUM(H34:H79)</f>
        <v>0</v>
      </c>
      <c r="I80" s="219">
        <f>SUM(I34:I79)</f>
        <v>0</v>
      </c>
      <c r="J80" s="219">
        <f>SUM(J34:J79)</f>
        <v>0</v>
      </c>
      <c r="K80" s="221"/>
      <c r="L80" s="222"/>
      <c r="M80" s="222"/>
      <c r="N80" s="219">
        <f>SUM(N34:N79)</f>
        <v>0</v>
      </c>
      <c r="O80" s="182"/>
    </row>
    <row r="81" spans="11:15">
      <c r="K81" s="183"/>
      <c r="L81" s="183"/>
      <c r="N81" s="182"/>
      <c r="O81" s="182"/>
    </row>
  </sheetData>
  <sheetProtection formatCells="0" formatColumns="0" formatRows="0" insertRows="0" insertColumns="0" insertHyperlinks="0" deleteColumns="0" deleteRows="0" autoFilter="0"/>
  <conditionalFormatting sqref="L12">
    <cfRule type="containsText" dxfId="6" priority="2" operator="between" text="文字描述">
      <formula>NOT(ISERROR(SEARCH("文字描述",L12)))</formula>
    </cfRule>
  </conditionalFormatting>
  <conditionalFormatting sqref="A28:P28">
    <cfRule type="containsText" dxfId="6" priority="3" operator="between" text="文字描述">
      <formula>NOT(ISERROR(SEARCH("文字描述",A28)))</formula>
    </cfRule>
  </conditionalFormatting>
  <conditionalFormatting sqref="L34:M80 I33:M33 A33:D80 G12:K12 A9 A12:D12 A30:B30 C13:C27">
    <cfRule type="containsText" dxfId="6" priority="5" operator="between" text="文字描述">
      <formula>NOT(ISERROR(SEARCH("文字描述",A9)))</formula>
    </cfRule>
  </conditionalFormatting>
  <conditionalFormatting sqref="O13:P27">
    <cfRule type="containsText" dxfId="6" priority="1" operator="between" text="文字描述">
      <formula>NOT(ISERROR(SEARCH("文字描述",O13)))</formula>
    </cfRule>
  </conditionalFormatting>
  <dataValidations count="1">
    <dataValidation type="list" allowBlank="1" showInputMessage="1" showErrorMessage="1" sqref="C13:C27 C34:C76">
      <formula1>$C$3:$C$8</formula1>
    </dataValidation>
  </dataValidations>
  <pageMargins left="0.7" right="0.7" top="0.75" bottom="0.75" header="0.3" footer="0.3"/>
  <headerFooter/>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M80"/>
  <sheetViews>
    <sheetView workbookViewId="0">
      <pane xSplit="1" ySplit="1" topLeftCell="B2" activePane="bottomRight" state="frozen"/>
      <selection/>
      <selection pane="topRight"/>
      <selection pane="bottomLeft"/>
      <selection pane="bottomRight" activeCell="B24" sqref="B24"/>
    </sheetView>
  </sheetViews>
  <sheetFormatPr defaultColWidth="9" defaultRowHeight="13.5"/>
  <cols>
    <col min="1" max="1" width="38.125" style="155" customWidth="1"/>
    <col min="2" max="2" width="19" style="162" customWidth="1"/>
    <col min="3" max="16384" width="9" style="155"/>
  </cols>
  <sheetData>
    <row r="1" s="159" customFormat="1" spans="1:13">
      <c r="A1" s="164" t="s">
        <v>4879</v>
      </c>
      <c r="B1" s="165" t="s">
        <v>365</v>
      </c>
      <c r="C1" s="166"/>
      <c r="D1" s="166"/>
      <c r="E1" s="166"/>
      <c r="F1" s="166"/>
      <c r="G1" s="166"/>
      <c r="H1" s="166"/>
      <c r="I1" s="166"/>
      <c r="J1" s="166"/>
      <c r="K1" s="166"/>
      <c r="L1" s="166"/>
      <c r="M1" s="166"/>
    </row>
    <row r="2" spans="1:13">
      <c r="A2" s="167" t="str">
        <f>报表附注!E2915</f>
        <v>1．处置非流动资产利得小计</v>
      </c>
      <c r="B2" s="168">
        <f>报表附注!F2915</f>
        <v>0</v>
      </c>
      <c r="C2" s="169"/>
      <c r="D2" s="169"/>
      <c r="E2" s="169"/>
      <c r="F2" s="169"/>
      <c r="G2" s="169"/>
      <c r="H2" s="169"/>
      <c r="I2" s="169"/>
      <c r="J2" s="169"/>
      <c r="K2" s="169"/>
      <c r="L2" s="169"/>
      <c r="M2" s="169"/>
    </row>
    <row r="3" spans="1:13">
      <c r="A3" s="167" t="str">
        <f>报表附注!E2916</f>
        <v>其中：处置固定资产利得</v>
      </c>
      <c r="B3" s="168">
        <f>报表附注!F2916</f>
        <v>0</v>
      </c>
      <c r="C3" s="169"/>
      <c r="D3" s="169"/>
      <c r="E3" s="169"/>
      <c r="F3" s="169"/>
      <c r="G3" s="169"/>
      <c r="H3" s="169"/>
      <c r="I3" s="169"/>
      <c r="J3" s="169"/>
      <c r="K3" s="169"/>
      <c r="L3" s="169"/>
      <c r="M3" s="169"/>
    </row>
    <row r="4" spans="1:13">
      <c r="A4" s="167" t="str">
        <f>报表附注!E2917</f>
        <v>      处置无形资产利得</v>
      </c>
      <c r="B4" s="168">
        <f>报表附注!F2917</f>
        <v>0</v>
      </c>
      <c r="C4" s="169"/>
      <c r="D4" s="169"/>
      <c r="E4" s="169"/>
      <c r="F4" s="169"/>
      <c r="G4" s="169"/>
      <c r="H4" s="169"/>
      <c r="I4" s="169"/>
      <c r="J4" s="169"/>
      <c r="K4" s="169"/>
      <c r="L4" s="169"/>
      <c r="M4" s="169"/>
    </row>
    <row r="5" spans="1:13">
      <c r="A5" s="167" t="str">
        <f>报表附注!E2918</f>
        <v>2．非货币性资产交换利得</v>
      </c>
      <c r="B5" s="168">
        <f>报表附注!F2918</f>
        <v>0</v>
      </c>
      <c r="C5" s="169"/>
      <c r="D5" s="169"/>
      <c r="E5" s="169"/>
      <c r="F5" s="169"/>
      <c r="G5" s="169"/>
      <c r="H5" s="169"/>
      <c r="I5" s="169"/>
      <c r="J5" s="169"/>
      <c r="K5" s="169"/>
      <c r="L5" s="169"/>
      <c r="M5" s="169"/>
    </row>
    <row r="6" spans="1:13">
      <c r="A6" s="167" t="str">
        <f>报表附注!E2919</f>
        <v>3．债务重组利得</v>
      </c>
      <c r="B6" s="168">
        <f>报表附注!F2919</f>
        <v>0</v>
      </c>
      <c r="C6" s="169"/>
      <c r="D6" s="169"/>
      <c r="E6" s="169"/>
      <c r="F6" s="169"/>
      <c r="G6" s="169"/>
      <c r="H6" s="169"/>
      <c r="I6" s="169"/>
      <c r="J6" s="169"/>
      <c r="K6" s="169"/>
      <c r="L6" s="169"/>
      <c r="M6" s="169"/>
    </row>
    <row r="7" spans="1:13">
      <c r="A7" s="167" t="str">
        <f>报表附注!E2920</f>
        <v>4．政府补助</v>
      </c>
      <c r="B7" s="168">
        <f>报表附注!F2920</f>
        <v>0</v>
      </c>
      <c r="C7" s="169"/>
      <c r="D7" s="169"/>
      <c r="E7" s="169"/>
      <c r="F7" s="169"/>
      <c r="G7" s="169"/>
      <c r="H7" s="169"/>
      <c r="I7" s="169"/>
      <c r="J7" s="169"/>
      <c r="K7" s="169"/>
      <c r="L7" s="169"/>
      <c r="M7" s="169"/>
    </row>
    <row r="8" spans="1:13">
      <c r="A8" s="167" t="str">
        <f>报表附注!E2921</f>
        <v>5．盘盈利得</v>
      </c>
      <c r="B8" s="168">
        <f>报表附注!F2921</f>
        <v>0</v>
      </c>
      <c r="C8" s="169"/>
      <c r="D8" s="169"/>
      <c r="E8" s="169"/>
      <c r="F8" s="169"/>
      <c r="G8" s="169"/>
      <c r="H8" s="169"/>
      <c r="I8" s="169"/>
      <c r="J8" s="169"/>
      <c r="K8" s="169"/>
      <c r="L8" s="169"/>
      <c r="M8" s="169"/>
    </row>
    <row r="9" spans="1:13">
      <c r="A9" s="167" t="str">
        <f>报表附注!E2922</f>
        <v>6．捐赠利得</v>
      </c>
      <c r="B9" s="168">
        <f>报表附注!F2922</f>
        <v>0</v>
      </c>
      <c r="C9" s="169"/>
      <c r="D9" s="169"/>
      <c r="E9" s="169"/>
      <c r="F9" s="169"/>
      <c r="G9" s="169"/>
      <c r="H9" s="169"/>
      <c r="I9" s="169"/>
      <c r="J9" s="169"/>
      <c r="K9" s="169"/>
      <c r="L9" s="169"/>
      <c r="M9" s="169"/>
    </row>
    <row r="10" spans="1:13">
      <c r="A10" s="167" t="str">
        <f>报表附注!E2923</f>
        <v>7．罚款收入</v>
      </c>
      <c r="B10" s="168">
        <f>报表附注!F2923</f>
        <v>0</v>
      </c>
      <c r="C10" s="169"/>
      <c r="D10" s="169"/>
      <c r="E10" s="169"/>
      <c r="F10" s="169"/>
      <c r="G10" s="169"/>
      <c r="H10" s="169"/>
      <c r="I10" s="169"/>
      <c r="J10" s="169"/>
      <c r="K10" s="169"/>
      <c r="L10" s="169"/>
      <c r="M10" s="169"/>
    </row>
    <row r="11" spans="1:13">
      <c r="A11" s="167" t="str">
        <f>报表附注!E2924</f>
        <v>8．其他</v>
      </c>
      <c r="B11" s="168">
        <f>报表附注!F2924</f>
        <v>0</v>
      </c>
      <c r="C11" s="169"/>
      <c r="D11" s="169"/>
      <c r="E11" s="169"/>
      <c r="F11" s="169"/>
      <c r="G11" s="169"/>
      <c r="H11" s="169"/>
      <c r="I11" s="169"/>
      <c r="J11" s="169"/>
      <c r="K11" s="169"/>
      <c r="L11" s="169"/>
      <c r="M11" s="169"/>
    </row>
    <row r="12" s="159" customFormat="1" spans="1:13">
      <c r="A12" s="170" t="s">
        <v>1334</v>
      </c>
      <c r="B12" s="171">
        <f>报表附注!F2925</f>
        <v>0</v>
      </c>
      <c r="C12" s="166"/>
      <c r="D12" s="166"/>
      <c r="E12" s="166"/>
      <c r="F12" s="166"/>
      <c r="G12" s="166"/>
      <c r="H12" s="166"/>
      <c r="I12" s="166"/>
      <c r="J12" s="166"/>
      <c r="K12" s="166"/>
      <c r="L12" s="166"/>
      <c r="M12" s="166"/>
    </row>
    <row r="13" spans="1:13">
      <c r="A13" s="167" t="str">
        <f>报表附注!E2981</f>
        <v>１．处置非流动资损失合计</v>
      </c>
      <c r="B13" s="168">
        <f>报表附注!F2981</f>
        <v>0</v>
      </c>
      <c r="C13" s="169"/>
      <c r="D13" s="169"/>
      <c r="E13" s="169"/>
      <c r="F13" s="169"/>
      <c r="G13" s="169"/>
      <c r="H13" s="169"/>
      <c r="I13" s="169"/>
      <c r="J13" s="169"/>
      <c r="K13" s="169"/>
      <c r="L13" s="169"/>
      <c r="M13" s="169"/>
    </row>
    <row r="14" spans="1:13">
      <c r="A14" s="167" t="str">
        <f>报表附注!E2982</f>
        <v>  其中：处置固定资产损失</v>
      </c>
      <c r="B14" s="168">
        <f>报表附注!F2982</f>
        <v>0</v>
      </c>
      <c r="C14" s="169"/>
      <c r="D14" s="169"/>
      <c r="E14" s="169"/>
      <c r="F14" s="169"/>
      <c r="G14" s="169"/>
      <c r="H14" s="169"/>
      <c r="I14" s="169"/>
      <c r="J14" s="169"/>
      <c r="K14" s="169"/>
      <c r="L14" s="169"/>
      <c r="M14" s="169"/>
    </row>
    <row r="15" spans="1:13">
      <c r="A15" s="167" t="str">
        <f>报表附注!E2983</f>
        <v>          处置无形资产损失</v>
      </c>
      <c r="B15" s="168">
        <f>报表附注!F2983</f>
        <v>0</v>
      </c>
      <c r="C15" s="169"/>
      <c r="D15" s="169"/>
      <c r="E15" s="169"/>
      <c r="F15" s="169"/>
      <c r="G15" s="169"/>
      <c r="H15" s="169"/>
      <c r="I15" s="169"/>
      <c r="J15" s="169"/>
      <c r="K15" s="169"/>
      <c r="L15" s="169"/>
      <c r="M15" s="169"/>
    </row>
    <row r="16" spans="1:13">
      <c r="A16" s="167" t="str">
        <f>报表附注!E2984</f>
        <v>２．非贷币性资产交换损失</v>
      </c>
      <c r="B16" s="168">
        <f>报表附注!F2984</f>
        <v>0</v>
      </c>
      <c r="C16" s="169"/>
      <c r="D16" s="169"/>
      <c r="E16" s="169"/>
      <c r="F16" s="169"/>
      <c r="G16" s="169"/>
      <c r="H16" s="169"/>
      <c r="I16" s="169"/>
      <c r="J16" s="169"/>
      <c r="K16" s="169"/>
      <c r="L16" s="169"/>
      <c r="M16" s="169"/>
    </row>
    <row r="17" spans="1:13">
      <c r="A17" s="167" t="str">
        <f>报表附注!E2985</f>
        <v>３．债务重组损失</v>
      </c>
      <c r="B17" s="168">
        <f>报表附注!F2985</f>
        <v>0</v>
      </c>
      <c r="C17" s="169"/>
      <c r="D17" s="169"/>
      <c r="E17" s="169"/>
      <c r="F17" s="169"/>
      <c r="G17" s="169"/>
      <c r="H17" s="169"/>
      <c r="I17" s="169"/>
      <c r="J17" s="169"/>
      <c r="K17" s="169"/>
      <c r="L17" s="169"/>
      <c r="M17" s="169"/>
    </row>
    <row r="18" spans="1:13">
      <c r="A18" s="167" t="str">
        <f>报表附注!E2986</f>
        <v>４．公益性捐赠支出</v>
      </c>
      <c r="B18" s="168">
        <f>报表附注!F2986</f>
        <v>0</v>
      </c>
      <c r="C18" s="169"/>
      <c r="D18" s="169"/>
      <c r="E18" s="169"/>
      <c r="F18" s="169"/>
      <c r="G18" s="169"/>
      <c r="H18" s="169"/>
      <c r="I18" s="169"/>
      <c r="J18" s="169"/>
      <c r="K18" s="169"/>
      <c r="L18" s="169"/>
      <c r="M18" s="169"/>
    </row>
    <row r="19" spans="1:13">
      <c r="A19" s="167" t="str">
        <f>报表附注!E2987</f>
        <v>５．非常损失</v>
      </c>
      <c r="B19" s="168">
        <f>报表附注!F2987</f>
        <v>0</v>
      </c>
      <c r="C19" s="169"/>
      <c r="D19" s="169"/>
      <c r="E19" s="169"/>
      <c r="F19" s="169"/>
      <c r="G19" s="169"/>
      <c r="H19" s="169"/>
      <c r="I19" s="169"/>
      <c r="J19" s="169"/>
      <c r="K19" s="169"/>
      <c r="L19" s="169"/>
      <c r="M19" s="169"/>
    </row>
    <row r="20" spans="1:13">
      <c r="A20" s="167" t="str">
        <f>报表附注!E2988</f>
        <v>６．盘亏损失</v>
      </c>
      <c r="B20" s="168">
        <f>报表附注!F2988</f>
        <v>0</v>
      </c>
      <c r="C20" s="169"/>
      <c r="D20" s="169"/>
      <c r="E20" s="169"/>
      <c r="F20" s="169"/>
      <c r="G20" s="169"/>
      <c r="H20" s="169"/>
      <c r="I20" s="169"/>
      <c r="J20" s="169"/>
      <c r="K20" s="169"/>
      <c r="L20" s="169"/>
      <c r="M20" s="169"/>
    </row>
    <row r="21" spans="1:13">
      <c r="A21" s="167" t="str">
        <f>报表附注!E2989</f>
        <v>７．罚款支出</v>
      </c>
      <c r="B21" s="168">
        <f>报表附注!F2989</f>
        <v>0</v>
      </c>
      <c r="C21" s="169"/>
      <c r="D21" s="169"/>
      <c r="E21" s="169"/>
      <c r="F21" s="169"/>
      <c r="G21" s="169"/>
      <c r="H21" s="169"/>
      <c r="I21" s="169"/>
      <c r="J21" s="169"/>
      <c r="K21" s="169"/>
      <c r="L21" s="169"/>
      <c r="M21" s="169"/>
    </row>
    <row r="22" spans="1:13">
      <c r="A22" s="167" t="str">
        <f>报表附注!E2990</f>
        <v>８．其他</v>
      </c>
      <c r="B22" s="168">
        <f>报表附注!F2990</f>
        <v>0</v>
      </c>
      <c r="C22" s="169"/>
      <c r="D22" s="169"/>
      <c r="E22" s="169"/>
      <c r="F22" s="169"/>
      <c r="G22" s="169"/>
      <c r="H22" s="169"/>
      <c r="I22" s="169"/>
      <c r="J22" s="169"/>
      <c r="K22" s="169"/>
      <c r="L22" s="169"/>
      <c r="M22" s="169"/>
    </row>
    <row r="23" s="159" customFormat="1" spans="1:13">
      <c r="A23" s="170" t="s">
        <v>1337</v>
      </c>
      <c r="B23" s="168">
        <f>报表附注!F2991</f>
        <v>0</v>
      </c>
      <c r="C23" s="166"/>
      <c r="D23" s="166"/>
      <c r="E23" s="166"/>
      <c r="F23" s="166"/>
      <c r="G23" s="166"/>
      <c r="H23" s="166"/>
      <c r="I23" s="166"/>
      <c r="J23" s="166"/>
      <c r="K23" s="166"/>
      <c r="L23" s="166"/>
      <c r="M23" s="166"/>
    </row>
    <row r="24" s="159" customFormat="1" spans="1:13">
      <c r="A24" s="170" t="s">
        <v>4880</v>
      </c>
      <c r="B24" s="172"/>
      <c r="C24" s="166"/>
      <c r="D24" s="166"/>
      <c r="E24" s="166"/>
      <c r="F24" s="166"/>
      <c r="G24" s="166"/>
      <c r="H24" s="166"/>
      <c r="I24" s="166"/>
      <c r="J24" s="166"/>
      <c r="K24" s="166"/>
      <c r="L24" s="166"/>
      <c r="M24" s="166"/>
    </row>
    <row r="25" s="159" customFormat="1" spans="1:13">
      <c r="A25" s="170" t="s">
        <v>4881</v>
      </c>
      <c r="B25" s="172"/>
      <c r="C25" s="166"/>
      <c r="D25" s="166"/>
      <c r="E25" s="166"/>
      <c r="F25" s="166"/>
      <c r="G25" s="166"/>
      <c r="H25" s="166"/>
      <c r="I25" s="166"/>
      <c r="J25" s="166"/>
      <c r="K25" s="166"/>
      <c r="L25" s="166"/>
      <c r="M25" s="166"/>
    </row>
    <row r="26" s="159" customFormat="1" spans="1:13">
      <c r="A26" s="170" t="s">
        <v>4882</v>
      </c>
      <c r="B26" s="172"/>
      <c r="C26" s="166"/>
      <c r="D26" s="166"/>
      <c r="E26" s="166"/>
      <c r="F26" s="166"/>
      <c r="G26" s="166"/>
      <c r="H26" s="166"/>
      <c r="I26" s="166"/>
      <c r="J26" s="166"/>
      <c r="K26" s="166"/>
      <c r="L26" s="166"/>
      <c r="M26" s="166"/>
    </row>
    <row r="27" s="159" customFormat="1" spans="1:13">
      <c r="A27" s="170" t="s">
        <v>4883</v>
      </c>
      <c r="B27" s="172"/>
      <c r="C27" s="166"/>
      <c r="D27" s="166"/>
      <c r="E27" s="166"/>
      <c r="F27" s="166"/>
      <c r="G27" s="166"/>
      <c r="H27" s="166"/>
      <c r="I27" s="166"/>
      <c r="J27" s="166"/>
      <c r="K27" s="166"/>
      <c r="L27" s="166"/>
      <c r="M27" s="166"/>
    </row>
    <row r="28" spans="1:13">
      <c r="A28" s="173" t="s">
        <v>4884</v>
      </c>
      <c r="B28" s="174">
        <f>B12-B23+B24+B25+B26+B27</f>
        <v>0</v>
      </c>
      <c r="C28" s="169"/>
      <c r="D28" s="169"/>
      <c r="E28" s="169"/>
      <c r="F28" s="169"/>
      <c r="G28" s="169"/>
      <c r="H28" s="169"/>
      <c r="I28" s="169"/>
      <c r="J28" s="169"/>
      <c r="K28" s="169"/>
      <c r="L28" s="169"/>
      <c r="M28" s="169"/>
    </row>
    <row r="29" spans="1:13">
      <c r="A29" s="173" t="s">
        <v>4885</v>
      </c>
      <c r="B29" s="174"/>
      <c r="C29" s="169"/>
      <c r="D29" s="169"/>
      <c r="E29" s="169"/>
      <c r="F29" s="169"/>
      <c r="G29" s="169"/>
      <c r="H29" s="169"/>
      <c r="I29" s="169"/>
      <c r="J29" s="169"/>
      <c r="K29" s="169"/>
      <c r="L29" s="169"/>
      <c r="M29" s="169"/>
    </row>
    <row r="30" spans="1:13">
      <c r="A30" s="173" t="s">
        <v>4886</v>
      </c>
      <c r="B30" s="174"/>
      <c r="C30" s="169"/>
      <c r="D30" s="169"/>
      <c r="E30" s="169"/>
      <c r="F30" s="169"/>
      <c r="G30" s="169"/>
      <c r="H30" s="169"/>
      <c r="I30" s="169"/>
      <c r="J30" s="169"/>
      <c r="K30" s="169"/>
      <c r="L30" s="169"/>
      <c r="M30" s="169"/>
    </row>
    <row r="31" spans="1:13">
      <c r="A31" s="167" t="s">
        <v>4887</v>
      </c>
      <c r="B31" s="168">
        <f>ROUND((B28+B30)*B29,2)</f>
        <v>0</v>
      </c>
      <c r="C31" s="169"/>
      <c r="D31" s="169"/>
      <c r="E31" s="169"/>
      <c r="F31" s="169"/>
      <c r="G31" s="169"/>
      <c r="H31" s="169"/>
      <c r="I31" s="169"/>
      <c r="J31" s="169"/>
      <c r="K31" s="169"/>
      <c r="L31" s="169"/>
      <c r="M31" s="169"/>
    </row>
    <row r="32" spans="1:13">
      <c r="A32" s="167" t="s">
        <v>4888</v>
      </c>
      <c r="B32" s="168">
        <f>B28-B31</f>
        <v>0</v>
      </c>
      <c r="C32" s="169"/>
      <c r="D32" s="169"/>
      <c r="E32" s="169"/>
      <c r="F32" s="169"/>
      <c r="G32" s="169"/>
      <c r="H32" s="169"/>
      <c r="I32" s="169"/>
      <c r="J32" s="169"/>
      <c r="K32" s="169"/>
      <c r="L32" s="169"/>
      <c r="M32" s="169"/>
    </row>
    <row r="33" spans="1:13">
      <c r="A33" s="173" t="s">
        <v>4889</v>
      </c>
      <c r="B33" s="174"/>
      <c r="C33" s="169"/>
      <c r="D33" s="169"/>
      <c r="E33" s="169"/>
      <c r="F33" s="169"/>
      <c r="G33" s="169"/>
      <c r="H33" s="169"/>
      <c r="I33" s="169"/>
      <c r="J33" s="169"/>
      <c r="K33" s="169"/>
      <c r="L33" s="169"/>
      <c r="M33" s="169"/>
    </row>
    <row r="34" spans="1:13">
      <c r="A34" s="167" t="s">
        <v>4890</v>
      </c>
      <c r="B34" s="168">
        <f>ROUND(B32*B33,2)</f>
        <v>0</v>
      </c>
      <c r="C34" s="169"/>
      <c r="D34" s="169"/>
      <c r="E34" s="169"/>
      <c r="F34" s="169"/>
      <c r="G34" s="169"/>
      <c r="H34" s="169"/>
      <c r="I34" s="169"/>
      <c r="J34" s="169"/>
      <c r="K34" s="169"/>
      <c r="L34" s="169"/>
      <c r="M34" s="169"/>
    </row>
    <row r="35" spans="1:13">
      <c r="A35" s="175" t="s">
        <v>4891</v>
      </c>
      <c r="B35" s="176">
        <f>B31-B34</f>
        <v>0</v>
      </c>
      <c r="C35" s="169"/>
      <c r="D35" s="169"/>
      <c r="E35" s="169"/>
      <c r="F35" s="169"/>
      <c r="G35" s="169"/>
      <c r="H35" s="169"/>
      <c r="I35" s="169"/>
      <c r="J35" s="169"/>
      <c r="K35" s="169"/>
      <c r="L35" s="169"/>
      <c r="M35" s="169"/>
    </row>
    <row r="36" spans="1:13">
      <c r="A36" s="169"/>
      <c r="B36" s="177"/>
      <c r="C36" s="169"/>
      <c r="D36" s="169"/>
      <c r="E36" s="169"/>
      <c r="F36" s="169"/>
      <c r="G36" s="169"/>
      <c r="H36" s="169"/>
      <c r="I36" s="169"/>
      <c r="J36" s="169"/>
      <c r="K36" s="169"/>
      <c r="L36" s="169"/>
      <c r="M36" s="169"/>
    </row>
    <row r="37" spans="1:13">
      <c r="A37" s="169"/>
      <c r="B37" s="177"/>
      <c r="C37" s="169"/>
      <c r="D37" s="169"/>
      <c r="E37" s="169"/>
      <c r="F37" s="169"/>
      <c r="G37" s="169"/>
      <c r="H37" s="169"/>
      <c r="I37" s="169"/>
      <c r="J37" s="169"/>
      <c r="K37" s="169"/>
      <c r="L37" s="169"/>
      <c r="M37" s="169"/>
    </row>
    <row r="38" spans="1:13">
      <c r="A38" s="169"/>
      <c r="B38" s="177"/>
      <c r="C38" s="169"/>
      <c r="D38" s="169"/>
      <c r="E38" s="169"/>
      <c r="F38" s="169"/>
      <c r="G38" s="169"/>
      <c r="H38" s="169"/>
      <c r="I38" s="169"/>
      <c r="J38" s="169"/>
      <c r="K38" s="169"/>
      <c r="L38" s="169"/>
      <c r="M38" s="169"/>
    </row>
    <row r="39" spans="1:13">
      <c r="A39" s="169"/>
      <c r="B39" s="177"/>
      <c r="C39" s="169"/>
      <c r="D39" s="169"/>
      <c r="E39" s="169"/>
      <c r="F39" s="169"/>
      <c r="G39" s="169"/>
      <c r="H39" s="169"/>
      <c r="I39" s="169"/>
      <c r="J39" s="169"/>
      <c r="K39" s="169"/>
      <c r="L39" s="169"/>
      <c r="M39" s="169"/>
    </row>
    <row r="40" spans="1:13">
      <c r="A40" s="169"/>
      <c r="B40" s="177"/>
      <c r="C40" s="169"/>
      <c r="D40" s="169"/>
      <c r="E40" s="169"/>
      <c r="F40" s="169"/>
      <c r="G40" s="169"/>
      <c r="H40" s="169"/>
      <c r="I40" s="169"/>
      <c r="J40" s="169"/>
      <c r="K40" s="169"/>
      <c r="L40" s="169"/>
      <c r="M40" s="169"/>
    </row>
    <row r="41" spans="1:13">
      <c r="A41" s="169"/>
      <c r="B41" s="177"/>
      <c r="C41" s="169"/>
      <c r="D41" s="169"/>
      <c r="E41" s="169"/>
      <c r="F41" s="169"/>
      <c r="G41" s="169"/>
      <c r="H41" s="169"/>
      <c r="I41" s="169"/>
      <c r="J41" s="169"/>
      <c r="K41" s="169"/>
      <c r="L41" s="169"/>
      <c r="M41" s="169"/>
    </row>
    <row r="42" spans="1:13">
      <c r="A42" s="169"/>
      <c r="B42" s="177"/>
      <c r="C42" s="169"/>
      <c r="D42" s="169"/>
      <c r="E42" s="169"/>
      <c r="F42" s="169"/>
      <c r="G42" s="169"/>
      <c r="H42" s="169"/>
      <c r="I42" s="169"/>
      <c r="J42" s="169"/>
      <c r="K42" s="169"/>
      <c r="L42" s="169"/>
      <c r="M42" s="169"/>
    </row>
    <row r="43" spans="1:13">
      <c r="A43" s="169"/>
      <c r="B43" s="177"/>
      <c r="C43" s="169"/>
      <c r="D43" s="169"/>
      <c r="E43" s="169"/>
      <c r="F43" s="169"/>
      <c r="G43" s="169"/>
      <c r="H43" s="169"/>
      <c r="I43" s="169"/>
      <c r="J43" s="169"/>
      <c r="K43" s="169"/>
      <c r="L43" s="169"/>
      <c r="M43" s="169"/>
    </row>
    <row r="44" spans="1:13">
      <c r="A44" s="169"/>
      <c r="B44" s="177"/>
      <c r="C44" s="169"/>
      <c r="D44" s="169"/>
      <c r="E44" s="169"/>
      <c r="F44" s="169"/>
      <c r="G44" s="169"/>
      <c r="H44" s="169"/>
      <c r="I44" s="169"/>
      <c r="J44" s="169"/>
      <c r="K44" s="169"/>
      <c r="L44" s="169"/>
      <c r="M44" s="169"/>
    </row>
    <row r="45" spans="1:13">
      <c r="A45" s="169"/>
      <c r="B45" s="177"/>
      <c r="C45" s="169"/>
      <c r="D45" s="169"/>
      <c r="E45" s="169"/>
      <c r="F45" s="169"/>
      <c r="G45" s="169"/>
      <c r="H45" s="169"/>
      <c r="I45" s="169"/>
      <c r="J45" s="169"/>
      <c r="K45" s="169"/>
      <c r="L45" s="169"/>
      <c r="M45" s="169"/>
    </row>
    <row r="46" spans="1:13">
      <c r="A46" s="169"/>
      <c r="B46" s="177"/>
      <c r="C46" s="169"/>
      <c r="D46" s="169"/>
      <c r="E46" s="169"/>
      <c r="F46" s="169"/>
      <c r="G46" s="169"/>
      <c r="H46" s="169"/>
      <c r="I46" s="169"/>
      <c r="J46" s="169"/>
      <c r="K46" s="169"/>
      <c r="L46" s="169"/>
      <c r="M46" s="169"/>
    </row>
    <row r="47" spans="1:13">
      <c r="A47" s="169"/>
      <c r="B47" s="177"/>
      <c r="C47" s="169"/>
      <c r="D47" s="169"/>
      <c r="E47" s="169"/>
      <c r="F47" s="169"/>
      <c r="G47" s="169"/>
      <c r="H47" s="169"/>
      <c r="I47" s="169"/>
      <c r="J47" s="169"/>
      <c r="K47" s="169"/>
      <c r="L47" s="169"/>
      <c r="M47" s="169"/>
    </row>
    <row r="48" spans="1:13">
      <c r="A48" s="169"/>
      <c r="B48" s="177"/>
      <c r="C48" s="169"/>
      <c r="D48" s="169"/>
      <c r="E48" s="169"/>
      <c r="F48" s="169"/>
      <c r="G48" s="169"/>
      <c r="H48" s="169"/>
      <c r="I48" s="169"/>
      <c r="J48" s="169"/>
      <c r="K48" s="169"/>
      <c r="L48" s="169"/>
      <c r="M48" s="169"/>
    </row>
    <row r="49" spans="1:13">
      <c r="A49" s="169"/>
      <c r="B49" s="177"/>
      <c r="C49" s="169"/>
      <c r="D49" s="169"/>
      <c r="E49" s="169"/>
      <c r="F49" s="169"/>
      <c r="G49" s="169"/>
      <c r="H49" s="169"/>
      <c r="I49" s="169"/>
      <c r="J49" s="169"/>
      <c r="K49" s="169"/>
      <c r="L49" s="169"/>
      <c r="M49" s="169"/>
    </row>
    <row r="50" spans="1:13">
      <c r="A50" s="169"/>
      <c r="B50" s="177"/>
      <c r="C50" s="169"/>
      <c r="D50" s="169"/>
      <c r="E50" s="169"/>
      <c r="F50" s="169"/>
      <c r="G50" s="169"/>
      <c r="H50" s="169"/>
      <c r="I50" s="169"/>
      <c r="J50" s="169"/>
      <c r="K50" s="169"/>
      <c r="L50" s="169"/>
      <c r="M50" s="169"/>
    </row>
    <row r="51" spans="1:13">
      <c r="A51" s="169"/>
      <c r="B51" s="177"/>
      <c r="C51" s="169"/>
      <c r="D51" s="169"/>
      <c r="E51" s="169"/>
      <c r="F51" s="169"/>
      <c r="G51" s="169"/>
      <c r="H51" s="169"/>
      <c r="I51" s="169"/>
      <c r="J51" s="169"/>
      <c r="K51" s="169"/>
      <c r="L51" s="169"/>
      <c r="M51" s="169"/>
    </row>
    <row r="52" spans="1:13">
      <c r="A52" s="169"/>
      <c r="B52" s="177"/>
      <c r="C52" s="169"/>
      <c r="D52" s="169"/>
      <c r="E52" s="169"/>
      <c r="F52" s="169"/>
      <c r="G52" s="169"/>
      <c r="H52" s="169"/>
      <c r="I52" s="169"/>
      <c r="J52" s="169"/>
      <c r="K52" s="169"/>
      <c r="L52" s="169"/>
      <c r="M52" s="169"/>
    </row>
    <row r="53" spans="1:13">
      <c r="A53" s="169"/>
      <c r="B53" s="177"/>
      <c r="C53" s="169"/>
      <c r="D53" s="169"/>
      <c r="E53" s="169"/>
      <c r="F53" s="169"/>
      <c r="G53" s="169"/>
      <c r="H53" s="169"/>
      <c r="I53" s="169"/>
      <c r="J53" s="169"/>
      <c r="K53" s="169"/>
      <c r="L53" s="169"/>
      <c r="M53" s="169"/>
    </row>
    <row r="54" spans="1:13">
      <c r="A54" s="169"/>
      <c r="B54" s="177"/>
      <c r="C54" s="169"/>
      <c r="D54" s="169"/>
      <c r="E54" s="169"/>
      <c r="F54" s="169"/>
      <c r="G54" s="169"/>
      <c r="H54" s="169"/>
      <c r="I54" s="169"/>
      <c r="J54" s="169"/>
      <c r="K54" s="169"/>
      <c r="L54" s="169"/>
      <c r="M54" s="169"/>
    </row>
    <row r="55" spans="1:13">
      <c r="A55" s="169"/>
      <c r="B55" s="177"/>
      <c r="C55" s="169"/>
      <c r="D55" s="169"/>
      <c r="E55" s="169"/>
      <c r="F55" s="169"/>
      <c r="G55" s="169"/>
      <c r="H55" s="169"/>
      <c r="I55" s="169"/>
      <c r="J55" s="169"/>
      <c r="K55" s="169"/>
      <c r="L55" s="169"/>
      <c r="M55" s="169"/>
    </row>
    <row r="56" spans="1:13">
      <c r="A56" s="169"/>
      <c r="B56" s="177"/>
      <c r="C56" s="169"/>
      <c r="D56" s="169"/>
      <c r="E56" s="169"/>
      <c r="F56" s="169"/>
      <c r="G56" s="169"/>
      <c r="H56" s="169"/>
      <c r="I56" s="169"/>
      <c r="J56" s="169"/>
      <c r="K56" s="169"/>
      <c r="L56" s="169"/>
      <c r="M56" s="169"/>
    </row>
    <row r="57" spans="1:13">
      <c r="A57" s="169"/>
      <c r="B57" s="177"/>
      <c r="C57" s="169"/>
      <c r="D57" s="169"/>
      <c r="E57" s="169"/>
      <c r="F57" s="169"/>
      <c r="G57" s="169"/>
      <c r="H57" s="169"/>
      <c r="I57" s="169"/>
      <c r="J57" s="169"/>
      <c r="K57" s="169"/>
      <c r="L57" s="169"/>
      <c r="M57" s="169"/>
    </row>
    <row r="58" spans="1:13">
      <c r="A58" s="169"/>
      <c r="B58" s="177"/>
      <c r="C58" s="169"/>
      <c r="D58" s="169"/>
      <c r="E58" s="169"/>
      <c r="F58" s="169"/>
      <c r="G58" s="169"/>
      <c r="H58" s="169"/>
      <c r="I58" s="169"/>
      <c r="J58" s="169"/>
      <c r="K58" s="169"/>
      <c r="L58" s="169"/>
      <c r="M58" s="169"/>
    </row>
    <row r="59" spans="1:13">
      <c r="A59" s="169"/>
      <c r="B59" s="177"/>
      <c r="C59" s="169"/>
      <c r="D59" s="169"/>
      <c r="E59" s="169"/>
      <c r="F59" s="169"/>
      <c r="G59" s="169"/>
      <c r="H59" s="169"/>
      <c r="I59" s="169"/>
      <c r="J59" s="169"/>
      <c r="K59" s="169"/>
      <c r="L59" s="169"/>
      <c r="M59" s="169"/>
    </row>
    <row r="60" spans="3:13">
      <c r="C60" s="169"/>
      <c r="D60" s="169"/>
      <c r="E60" s="169"/>
      <c r="F60" s="169"/>
      <c r="G60" s="169"/>
      <c r="H60" s="169"/>
      <c r="I60" s="169"/>
      <c r="J60" s="169"/>
      <c r="K60" s="169"/>
      <c r="L60" s="169"/>
      <c r="M60" s="169"/>
    </row>
    <row r="61" spans="3:13">
      <c r="C61" s="169"/>
      <c r="D61" s="169"/>
      <c r="E61" s="169"/>
      <c r="F61" s="169"/>
      <c r="G61" s="169"/>
      <c r="H61" s="169"/>
      <c r="I61" s="169"/>
      <c r="J61" s="169"/>
      <c r="K61" s="169"/>
      <c r="L61" s="169"/>
      <c r="M61" s="169"/>
    </row>
    <row r="62" spans="3:13">
      <c r="C62" s="169"/>
      <c r="D62" s="169"/>
      <c r="E62" s="169"/>
      <c r="F62" s="169"/>
      <c r="G62" s="169"/>
      <c r="H62" s="169"/>
      <c r="I62" s="169"/>
      <c r="J62" s="169"/>
      <c r="K62" s="169"/>
      <c r="L62" s="169"/>
      <c r="M62" s="169"/>
    </row>
    <row r="63" spans="3:13">
      <c r="C63" s="169"/>
      <c r="D63" s="169"/>
      <c r="E63" s="169"/>
      <c r="F63" s="169"/>
      <c r="G63" s="169"/>
      <c r="H63" s="169"/>
      <c r="I63" s="169"/>
      <c r="J63" s="169"/>
      <c r="K63" s="169"/>
      <c r="L63" s="169"/>
      <c r="M63" s="169"/>
    </row>
    <row r="64" spans="3:13">
      <c r="C64" s="169"/>
      <c r="D64" s="169"/>
      <c r="E64" s="169"/>
      <c r="F64" s="169"/>
      <c r="G64" s="169"/>
      <c r="H64" s="169"/>
      <c r="I64" s="169"/>
      <c r="J64" s="169"/>
      <c r="K64" s="169"/>
      <c r="L64" s="169"/>
      <c r="M64" s="169"/>
    </row>
    <row r="65" spans="3:13">
      <c r="C65" s="169"/>
      <c r="D65" s="169"/>
      <c r="E65" s="169"/>
      <c r="F65" s="169"/>
      <c r="G65" s="169"/>
      <c r="H65" s="169"/>
      <c r="I65" s="169"/>
      <c r="J65" s="169"/>
      <c r="K65" s="169"/>
      <c r="L65" s="169"/>
      <c r="M65" s="169"/>
    </row>
    <row r="66" spans="3:13">
      <c r="C66" s="169"/>
      <c r="D66" s="169"/>
      <c r="E66" s="169"/>
      <c r="F66" s="169"/>
      <c r="G66" s="169"/>
      <c r="H66" s="169"/>
      <c r="I66" s="169"/>
      <c r="J66" s="169"/>
      <c r="K66" s="169"/>
      <c r="L66" s="169"/>
      <c r="M66" s="169"/>
    </row>
    <row r="67" spans="3:13">
      <c r="C67" s="169"/>
      <c r="D67" s="169"/>
      <c r="E67" s="169"/>
      <c r="F67" s="169"/>
      <c r="G67" s="169"/>
      <c r="H67" s="169"/>
      <c r="I67" s="169"/>
      <c r="J67" s="169"/>
      <c r="K67" s="169"/>
      <c r="L67" s="169"/>
      <c r="M67" s="169"/>
    </row>
    <row r="68" spans="3:13">
      <c r="C68" s="169"/>
      <c r="D68" s="169"/>
      <c r="E68" s="169"/>
      <c r="F68" s="169"/>
      <c r="G68" s="169"/>
      <c r="H68" s="169"/>
      <c r="I68" s="169"/>
      <c r="J68" s="169"/>
      <c r="K68" s="169"/>
      <c r="L68" s="169"/>
      <c r="M68" s="169"/>
    </row>
    <row r="69" spans="3:13">
      <c r="C69" s="169"/>
      <c r="D69" s="169"/>
      <c r="E69" s="169"/>
      <c r="F69" s="169"/>
      <c r="G69" s="169"/>
      <c r="H69" s="169"/>
      <c r="I69" s="169"/>
      <c r="J69" s="169"/>
      <c r="K69" s="169"/>
      <c r="L69" s="169"/>
      <c r="M69" s="169"/>
    </row>
    <row r="70" spans="3:13">
      <c r="C70" s="169"/>
      <c r="D70" s="169"/>
      <c r="E70" s="169"/>
      <c r="F70" s="169"/>
      <c r="G70" s="169"/>
      <c r="H70" s="169"/>
      <c r="I70" s="169"/>
      <c r="J70" s="169"/>
      <c r="K70" s="169"/>
      <c r="L70" s="169"/>
      <c r="M70" s="169"/>
    </row>
    <row r="71" spans="3:13">
      <c r="C71" s="169"/>
      <c r="D71" s="169"/>
      <c r="E71" s="169"/>
      <c r="F71" s="169"/>
      <c r="G71" s="169"/>
      <c r="H71" s="169"/>
      <c r="I71" s="169"/>
      <c r="J71" s="169"/>
      <c r="K71" s="169"/>
      <c r="L71" s="169"/>
      <c r="M71" s="169"/>
    </row>
    <row r="72" spans="3:13">
      <c r="C72" s="169"/>
      <c r="D72" s="169"/>
      <c r="E72" s="169"/>
      <c r="F72" s="169"/>
      <c r="G72" s="169"/>
      <c r="H72" s="169"/>
      <c r="I72" s="169"/>
      <c r="J72" s="169"/>
      <c r="K72" s="169"/>
      <c r="L72" s="169"/>
      <c r="M72" s="169"/>
    </row>
    <row r="73" spans="3:13">
      <c r="C73" s="169"/>
      <c r="D73" s="169"/>
      <c r="E73" s="169"/>
      <c r="F73" s="169"/>
      <c r="G73" s="169"/>
      <c r="H73" s="169"/>
      <c r="I73" s="169"/>
      <c r="J73" s="169"/>
      <c r="K73" s="169"/>
      <c r="L73" s="169"/>
      <c r="M73" s="169"/>
    </row>
    <row r="74" spans="3:13">
      <c r="C74" s="169"/>
      <c r="D74" s="169"/>
      <c r="E74" s="169"/>
      <c r="F74" s="169"/>
      <c r="G74" s="169"/>
      <c r="H74" s="169"/>
      <c r="I74" s="169"/>
      <c r="J74" s="169"/>
      <c r="K74" s="169"/>
      <c r="L74" s="169"/>
      <c r="M74" s="169"/>
    </row>
    <row r="75" spans="3:13">
      <c r="C75" s="169"/>
      <c r="D75" s="169"/>
      <c r="E75" s="169"/>
      <c r="F75" s="169"/>
      <c r="G75" s="169"/>
      <c r="H75" s="169"/>
      <c r="I75" s="169"/>
      <c r="J75" s="169"/>
      <c r="K75" s="169"/>
      <c r="L75" s="169"/>
      <c r="M75" s="169"/>
    </row>
    <row r="76" spans="3:13">
      <c r="C76" s="169"/>
      <c r="D76" s="169"/>
      <c r="E76" s="169"/>
      <c r="F76" s="169"/>
      <c r="G76" s="169"/>
      <c r="H76" s="169"/>
      <c r="I76" s="169"/>
      <c r="J76" s="169"/>
      <c r="K76" s="169"/>
      <c r="L76" s="169"/>
      <c r="M76" s="169"/>
    </row>
    <row r="77" spans="3:13">
      <c r="C77" s="169"/>
      <c r="D77" s="169"/>
      <c r="E77" s="169"/>
      <c r="F77" s="169"/>
      <c r="G77" s="169"/>
      <c r="H77" s="169"/>
      <c r="I77" s="169"/>
      <c r="J77" s="169"/>
      <c r="K77" s="169"/>
      <c r="L77" s="169"/>
      <c r="M77" s="169"/>
    </row>
    <row r="78" spans="3:13">
      <c r="C78" s="169"/>
      <c r="D78" s="169"/>
      <c r="E78" s="169"/>
      <c r="F78" s="169"/>
      <c r="G78" s="169"/>
      <c r="H78" s="169"/>
      <c r="I78" s="169"/>
      <c r="J78" s="169"/>
      <c r="K78" s="169"/>
      <c r="L78" s="169"/>
      <c r="M78" s="169"/>
    </row>
    <row r="79" spans="3:13">
      <c r="C79" s="169"/>
      <c r="D79" s="169"/>
      <c r="E79" s="169"/>
      <c r="F79" s="169"/>
      <c r="G79" s="169"/>
      <c r="H79" s="169"/>
      <c r="I79" s="169"/>
      <c r="J79" s="169"/>
      <c r="K79" s="169"/>
      <c r="L79" s="169"/>
      <c r="M79" s="169"/>
    </row>
    <row r="80" spans="3:13">
      <c r="C80" s="169"/>
      <c r="D80" s="169"/>
      <c r="E80" s="169"/>
      <c r="F80" s="169"/>
      <c r="G80" s="169"/>
      <c r="H80" s="169"/>
      <c r="I80" s="169"/>
      <c r="J80" s="169"/>
      <c r="K80" s="169"/>
      <c r="L80" s="169"/>
      <c r="M80" s="169"/>
    </row>
  </sheetData>
  <sheetProtection formatCells="0" autoFilter="0" pivotTables="0"/>
  <pageMargins left="0.7" right="0.7" top="0.75" bottom="0.75" header="0.3" footer="0.3"/>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E20"/>
  <sheetViews>
    <sheetView workbookViewId="0">
      <selection activeCell="A4" sqref="A4"/>
    </sheetView>
  </sheetViews>
  <sheetFormatPr defaultColWidth="9" defaultRowHeight="13.5" outlineLevelCol="4"/>
  <cols>
    <col min="1" max="1" width="47" style="155" customWidth="1"/>
    <col min="2" max="4" width="15" style="155" customWidth="1"/>
    <col min="5" max="16384" width="9" style="155"/>
  </cols>
  <sheetData>
    <row r="1" s="154" customFormat="1" spans="1:5">
      <c r="A1" s="156" t="s">
        <v>4892</v>
      </c>
      <c r="B1" s="157" t="s">
        <v>365</v>
      </c>
      <c r="C1" s="158" t="s">
        <v>4893</v>
      </c>
      <c r="D1" s="154" t="s">
        <v>4894</v>
      </c>
      <c r="E1" s="154" t="s">
        <v>4895</v>
      </c>
    </row>
    <row r="2" spans="1:2">
      <c r="A2" s="159" t="s">
        <v>4896</v>
      </c>
      <c r="B2" s="160">
        <f>审定利润表!C22</f>
        <v>0</v>
      </c>
    </row>
    <row r="3" spans="1:3">
      <c r="A3" s="159" t="s">
        <v>4897</v>
      </c>
      <c r="B3" s="160">
        <f>SUM(B4:B11)</f>
        <v>0</v>
      </c>
      <c r="C3" s="160">
        <f>SUM(C4:C11)</f>
        <v>0</v>
      </c>
    </row>
    <row r="4" spans="1:4">
      <c r="A4" s="155" t="s">
        <v>4898</v>
      </c>
      <c r="B4" s="161">
        <f>'1.管理费用'!C9+'2.销售费用'!C5-MIN(C4,D4)</f>
        <v>0</v>
      </c>
      <c r="C4" s="162">
        <f>ROUND(('1.管理费用'!C9+'2.销售费用'!C5)*60%,2)</f>
        <v>0</v>
      </c>
      <c r="D4" s="162">
        <f>ROUND(审定利润表!C6*0.5%,2)</f>
        <v>0</v>
      </c>
    </row>
    <row r="5" spans="1:1">
      <c r="A5" s="155" t="s">
        <v>4899</v>
      </c>
    </row>
    <row r="6" spans="1:1">
      <c r="A6" s="1" t="s">
        <v>4900</v>
      </c>
    </row>
    <row r="7" spans="1:1">
      <c r="A7" s="1" t="s">
        <v>4901</v>
      </c>
    </row>
    <row r="8" spans="1:1">
      <c r="A8" s="155" t="s">
        <v>4902</v>
      </c>
    </row>
    <row r="9" spans="1:1">
      <c r="A9" s="1" t="s">
        <v>4903</v>
      </c>
    </row>
    <row r="10" spans="1:1">
      <c r="A10" s="1" t="s">
        <v>4904</v>
      </c>
    </row>
    <row r="11" spans="1:1">
      <c r="A11" s="1" t="s">
        <v>4905</v>
      </c>
    </row>
    <row r="12" spans="1:3">
      <c r="A12" s="159" t="s">
        <v>4906</v>
      </c>
      <c r="B12" s="163">
        <f>SUM(B13:B16)</f>
        <v>0</v>
      </c>
      <c r="C12" s="163">
        <f>SUM(C13:C16)</f>
        <v>0</v>
      </c>
    </row>
    <row r="13" spans="1:1">
      <c r="A13" s="155" t="s">
        <v>4907</v>
      </c>
    </row>
    <row r="14" spans="1:1">
      <c r="A14" s="155" t="s">
        <v>4908</v>
      </c>
    </row>
    <row r="15" spans="1:1">
      <c r="A15" s="155" t="s">
        <v>4909</v>
      </c>
    </row>
    <row r="16" spans="1:1">
      <c r="A16" s="155" t="s">
        <v>4910</v>
      </c>
    </row>
    <row r="17" s="154" customFormat="1" spans="1:3">
      <c r="A17" s="156" t="s">
        <v>4911</v>
      </c>
      <c r="B17" s="156"/>
      <c r="C17" s="156"/>
    </row>
    <row r="19" spans="1:1">
      <c r="A19" s="1" t="s">
        <v>4912</v>
      </c>
    </row>
    <row r="20" spans="1:1">
      <c r="A20" s="1" t="s">
        <v>4913</v>
      </c>
    </row>
  </sheetData>
  <pageMargins left="0.7" right="0.7" top="0.75" bottom="0.75" header="0.3" footer="0.3"/>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U31"/>
  <sheetViews>
    <sheetView workbookViewId="0">
      <pane xSplit="2" ySplit="2" topLeftCell="C3" activePane="bottomRight" state="frozen"/>
      <selection/>
      <selection pane="topRight"/>
      <selection pane="bottomLeft"/>
      <selection pane="bottomRight" activeCell="J22" sqref="J22"/>
    </sheetView>
  </sheetViews>
  <sheetFormatPr defaultColWidth="9" defaultRowHeight="12.75" customHeight="1"/>
  <cols>
    <col min="1" max="1" width="2.375" style="120" hidden="1" customWidth="1"/>
    <col min="2" max="2" width="26.125" customWidth="1"/>
    <col min="3" max="14" width="11.875" customWidth="1"/>
    <col min="15" max="15" width="3.25" customWidth="1"/>
    <col min="16" max="16" width="23.25" customWidth="1"/>
    <col min="17" max="21" width="12.75" customWidth="1"/>
  </cols>
  <sheetData>
    <row r="1" customHeight="1" spans="1:21">
      <c r="A1" s="120" t="str">
        <f>报表附注!$G$1</f>
        <v>石嘴山市深阳蓝光市政工程有限公司</v>
      </c>
      <c r="B1" s="140" t="s">
        <v>2787</v>
      </c>
      <c r="C1" s="141"/>
      <c r="D1" s="141"/>
      <c r="E1" s="141"/>
      <c r="F1" s="141"/>
      <c r="G1" s="142"/>
      <c r="H1" s="142"/>
      <c r="I1" s="148"/>
      <c r="J1" s="148"/>
      <c r="K1" s="148"/>
      <c r="L1" s="148"/>
      <c r="M1" s="148"/>
      <c r="N1" s="148"/>
      <c r="P1" s="149" t="str">
        <f>报表附注!E1311</f>
        <v>（3）在建工程减值准备</v>
      </c>
      <c r="Q1" s="141"/>
      <c r="R1" s="141"/>
      <c r="S1" s="141"/>
      <c r="T1" s="141"/>
      <c r="U1" s="148"/>
    </row>
    <row r="2" ht="24" customHeight="1" spans="1:21">
      <c r="A2" s="120" t="str">
        <f>报表附注!$G$1</f>
        <v>石嘴山市深阳蓝光市政工程有限公司</v>
      </c>
      <c r="B2" s="143" t="s">
        <v>2477</v>
      </c>
      <c r="C2" s="143" t="s">
        <v>815</v>
      </c>
      <c r="D2" s="143" t="s">
        <v>670</v>
      </c>
      <c r="E2" s="143" t="s">
        <v>671</v>
      </c>
      <c r="F2" s="143" t="s">
        <v>2788</v>
      </c>
      <c r="G2" s="143" t="s">
        <v>817</v>
      </c>
      <c r="H2" s="143" t="s">
        <v>2789</v>
      </c>
      <c r="I2" s="143" t="s">
        <v>2790</v>
      </c>
      <c r="J2" s="143" t="s">
        <v>2791</v>
      </c>
      <c r="K2" s="150" t="s">
        <v>2792</v>
      </c>
      <c r="L2" s="143" t="s">
        <v>2793</v>
      </c>
      <c r="M2" s="143" t="s">
        <v>818</v>
      </c>
      <c r="N2" s="143" t="s">
        <v>2407</v>
      </c>
      <c r="P2" s="151" t="str">
        <f>报表附注!E1312</f>
        <v>项目</v>
      </c>
      <c r="Q2" s="151" t="str">
        <f>报表附注!F1312</f>
        <v>期初余额</v>
      </c>
      <c r="R2" s="151" t="str">
        <f>报表附注!G1312</f>
        <v>本期增加</v>
      </c>
      <c r="S2" s="151" t="str">
        <f>报表附注!H1312</f>
        <v>本期减少</v>
      </c>
      <c r="T2" s="151" t="str">
        <f>报表附注!I1312</f>
        <v>期末余额</v>
      </c>
      <c r="U2" s="151" t="str">
        <f>报表附注!J1312</f>
        <v>计提原因</v>
      </c>
    </row>
    <row r="3" customHeight="1" spans="1:21">
      <c r="A3" s="120" t="str">
        <f>报表附注!$G$1</f>
        <v>石嘴山市深阳蓝光市政工程有限公司</v>
      </c>
      <c r="B3" s="144">
        <f>报表附注!E1281</f>
        <v>0</v>
      </c>
      <c r="C3" s="132">
        <f>报表附注!F1281</f>
        <v>0</v>
      </c>
      <c r="D3" s="132">
        <f>报表附注!G1281</f>
        <v>0</v>
      </c>
      <c r="E3" s="132">
        <f>报表附注!H1281</f>
        <v>0</v>
      </c>
      <c r="F3" s="132">
        <f>报表附注!I1281</f>
        <v>0</v>
      </c>
      <c r="G3" s="133">
        <f>报表附注!J1281</f>
        <v>0</v>
      </c>
      <c r="H3" s="133">
        <f>报表附注!K1281</f>
        <v>0</v>
      </c>
      <c r="I3" s="133">
        <f>报表附注!L1281</f>
        <v>0</v>
      </c>
      <c r="J3" s="133">
        <f>报表附注!M1281</f>
        <v>0</v>
      </c>
      <c r="K3" s="133">
        <f>报表附注!N1281</f>
        <v>0</v>
      </c>
      <c r="L3" s="133">
        <f>报表附注!O1281</f>
        <v>0</v>
      </c>
      <c r="M3" s="133">
        <f>报表附注!P1281</f>
        <v>0</v>
      </c>
      <c r="N3" s="152">
        <f>ROUND(D3+E3-F3-G3,2)</f>
        <v>0</v>
      </c>
      <c r="P3" s="145">
        <f>报表附注!E1313</f>
        <v>0</v>
      </c>
      <c r="Q3" s="132">
        <f>报表附注!F1313</f>
        <v>0</v>
      </c>
      <c r="R3" s="132">
        <f>报表附注!G1313</f>
        <v>0</v>
      </c>
      <c r="S3" s="132">
        <f>报表附注!H1313</f>
        <v>0</v>
      </c>
      <c r="T3" s="135">
        <f>报表附注!I1313</f>
        <v>0</v>
      </c>
      <c r="U3" s="133">
        <f>报表附注!J1313</f>
        <v>0</v>
      </c>
    </row>
    <row r="4" customHeight="1" spans="1:21">
      <c r="A4" s="120" t="str">
        <f>报表附注!$G$1</f>
        <v>石嘴山市深阳蓝光市政工程有限公司</v>
      </c>
      <c r="B4" s="144">
        <f>报表附注!E1282</f>
        <v>0</v>
      </c>
      <c r="C4" s="132">
        <f>报表附注!F1282</f>
        <v>0</v>
      </c>
      <c r="D4" s="132">
        <f>报表附注!G1282</f>
        <v>0</v>
      </c>
      <c r="E4" s="132">
        <f>报表附注!H1282</f>
        <v>0</v>
      </c>
      <c r="F4" s="132">
        <f>报表附注!I1282</f>
        <v>0</v>
      </c>
      <c r="G4" s="133">
        <f>报表附注!J1282</f>
        <v>0</v>
      </c>
      <c r="H4" s="133">
        <f>报表附注!K1282</f>
        <v>0</v>
      </c>
      <c r="I4" s="133">
        <f>报表附注!L1282</f>
        <v>0</v>
      </c>
      <c r="J4" s="133">
        <f>报表附注!M1282</f>
        <v>0</v>
      </c>
      <c r="K4" s="133">
        <f>报表附注!N1282</f>
        <v>0</v>
      </c>
      <c r="L4" s="133">
        <f>报表附注!O1282</f>
        <v>0</v>
      </c>
      <c r="M4" s="133">
        <f>报表附注!P1282</f>
        <v>0</v>
      </c>
      <c r="N4" s="152">
        <f t="shared" ref="N4:N30" si="0">ROUND(D4+E4-F4-G4,2)</f>
        <v>0</v>
      </c>
      <c r="P4" s="145">
        <f>报表附注!E1314</f>
        <v>0</v>
      </c>
      <c r="Q4" s="132">
        <f>报表附注!F1314</f>
        <v>0</v>
      </c>
      <c r="R4" s="132">
        <f>报表附注!G1314</f>
        <v>0</v>
      </c>
      <c r="S4" s="132">
        <f>报表附注!H1314</f>
        <v>0</v>
      </c>
      <c r="T4" s="135">
        <f>报表附注!I1314</f>
        <v>0</v>
      </c>
      <c r="U4" s="133">
        <f>报表附注!J1314</f>
        <v>0</v>
      </c>
    </row>
    <row r="5" customHeight="1" spans="1:21">
      <c r="A5" s="120" t="str">
        <f>报表附注!$G$1</f>
        <v>石嘴山市深阳蓝光市政工程有限公司</v>
      </c>
      <c r="B5" s="144">
        <f>报表附注!E1283</f>
        <v>0</v>
      </c>
      <c r="C5" s="132">
        <f>报表附注!F1283</f>
        <v>0</v>
      </c>
      <c r="D5" s="132">
        <f>报表附注!G1283</f>
        <v>0</v>
      </c>
      <c r="E5" s="132">
        <f>报表附注!H1283</f>
        <v>0</v>
      </c>
      <c r="F5" s="132">
        <f>报表附注!I1283</f>
        <v>0</v>
      </c>
      <c r="G5" s="133">
        <f>报表附注!J1283</f>
        <v>0</v>
      </c>
      <c r="H5" s="133">
        <f>报表附注!K1283</f>
        <v>0</v>
      </c>
      <c r="I5" s="133">
        <f>报表附注!L1283</f>
        <v>0</v>
      </c>
      <c r="J5" s="133">
        <f>报表附注!M1283</f>
        <v>0</v>
      </c>
      <c r="K5" s="133">
        <f>报表附注!N1283</f>
        <v>0</v>
      </c>
      <c r="L5" s="133">
        <f>报表附注!O1283</f>
        <v>0</v>
      </c>
      <c r="M5" s="133">
        <f>报表附注!P1283</f>
        <v>0</v>
      </c>
      <c r="N5" s="152">
        <f t="shared" si="0"/>
        <v>0</v>
      </c>
      <c r="P5" s="145">
        <f>报表附注!E1315</f>
        <v>0</v>
      </c>
      <c r="Q5" s="132">
        <f>报表附注!F1315</f>
        <v>0</v>
      </c>
      <c r="R5" s="132">
        <f>报表附注!G1315</f>
        <v>0</v>
      </c>
      <c r="S5" s="132">
        <f>报表附注!H1315</f>
        <v>0</v>
      </c>
      <c r="T5" s="135">
        <f>报表附注!I1315</f>
        <v>0</v>
      </c>
      <c r="U5" s="133">
        <f>报表附注!J1315</f>
        <v>0</v>
      </c>
    </row>
    <row r="6" customHeight="1" spans="1:21">
      <c r="A6" s="120" t="str">
        <f>报表附注!$G$1</f>
        <v>石嘴山市深阳蓝光市政工程有限公司</v>
      </c>
      <c r="B6" s="144">
        <f>报表附注!E1284</f>
        <v>0</v>
      </c>
      <c r="C6" s="132">
        <f>报表附注!F1284</f>
        <v>0</v>
      </c>
      <c r="D6" s="132">
        <f>报表附注!G1284</f>
        <v>0</v>
      </c>
      <c r="E6" s="132">
        <f>报表附注!H1284</f>
        <v>0</v>
      </c>
      <c r="F6" s="132">
        <f>报表附注!I1284</f>
        <v>0</v>
      </c>
      <c r="G6" s="133">
        <f>报表附注!J1284</f>
        <v>0</v>
      </c>
      <c r="H6" s="133">
        <f>报表附注!K1284</f>
        <v>0</v>
      </c>
      <c r="I6" s="133">
        <f>报表附注!L1284</f>
        <v>0</v>
      </c>
      <c r="J6" s="133">
        <f>报表附注!M1284</f>
        <v>0</v>
      </c>
      <c r="K6" s="133">
        <f>报表附注!N1284</f>
        <v>0</v>
      </c>
      <c r="L6" s="133">
        <f>报表附注!O1284</f>
        <v>0</v>
      </c>
      <c r="M6" s="133">
        <f>报表附注!P1284</f>
        <v>0</v>
      </c>
      <c r="N6" s="152">
        <f t="shared" si="0"/>
        <v>0</v>
      </c>
      <c r="P6" s="145">
        <f>报表附注!E1316</f>
        <v>0</v>
      </c>
      <c r="Q6" s="132">
        <f>报表附注!F1316</f>
        <v>0</v>
      </c>
      <c r="R6" s="132">
        <f>报表附注!G1316</f>
        <v>0</v>
      </c>
      <c r="S6" s="132">
        <f>报表附注!H1316</f>
        <v>0</v>
      </c>
      <c r="T6" s="135">
        <f>报表附注!I1316</f>
        <v>0</v>
      </c>
      <c r="U6" s="133">
        <f>报表附注!J1316</f>
        <v>0</v>
      </c>
    </row>
    <row r="7" customHeight="1" spans="1:21">
      <c r="A7" s="120" t="str">
        <f>报表附注!$G$1</f>
        <v>石嘴山市深阳蓝光市政工程有限公司</v>
      </c>
      <c r="B7" s="144">
        <f>报表附注!E1285</f>
        <v>0</v>
      </c>
      <c r="C7" s="132">
        <f>报表附注!F1285</f>
        <v>0</v>
      </c>
      <c r="D7" s="132">
        <f>报表附注!G1285</f>
        <v>0</v>
      </c>
      <c r="E7" s="132">
        <f>报表附注!H1285</f>
        <v>0</v>
      </c>
      <c r="F7" s="132">
        <f>报表附注!I1285</f>
        <v>0</v>
      </c>
      <c r="G7" s="133">
        <f>报表附注!J1285</f>
        <v>0</v>
      </c>
      <c r="H7" s="133">
        <f>报表附注!K1285</f>
        <v>0</v>
      </c>
      <c r="I7" s="133">
        <f>报表附注!L1285</f>
        <v>0</v>
      </c>
      <c r="J7" s="133">
        <f>报表附注!M1285</f>
        <v>0</v>
      </c>
      <c r="K7" s="133">
        <f>报表附注!N1285</f>
        <v>0</v>
      </c>
      <c r="L7" s="133">
        <f>报表附注!O1285</f>
        <v>0</v>
      </c>
      <c r="M7" s="133">
        <f>报表附注!P1285</f>
        <v>0</v>
      </c>
      <c r="N7" s="152">
        <f t="shared" si="0"/>
        <v>0</v>
      </c>
      <c r="P7" s="145">
        <f>报表附注!E1317</f>
        <v>0</v>
      </c>
      <c r="Q7" s="132">
        <f>报表附注!F1317</f>
        <v>0</v>
      </c>
      <c r="R7" s="132">
        <f>报表附注!G1317</f>
        <v>0</v>
      </c>
      <c r="S7" s="132">
        <f>报表附注!H1317</f>
        <v>0</v>
      </c>
      <c r="T7" s="135">
        <f>报表附注!I1317</f>
        <v>0</v>
      </c>
      <c r="U7" s="133">
        <f>报表附注!J1317</f>
        <v>0</v>
      </c>
    </row>
    <row r="8" customHeight="1" spans="1:21">
      <c r="A8" s="120" t="str">
        <f>报表附注!$G$1</f>
        <v>石嘴山市深阳蓝光市政工程有限公司</v>
      </c>
      <c r="B8" s="144">
        <f>报表附注!E1286</f>
        <v>0</v>
      </c>
      <c r="C8" s="132">
        <f>报表附注!F1286</f>
        <v>0</v>
      </c>
      <c r="D8" s="132">
        <f>报表附注!G1286</f>
        <v>0</v>
      </c>
      <c r="E8" s="132">
        <f>报表附注!H1286</f>
        <v>0</v>
      </c>
      <c r="F8" s="132">
        <f>报表附注!I1286</f>
        <v>0</v>
      </c>
      <c r="G8" s="133">
        <f>报表附注!J1286</f>
        <v>0</v>
      </c>
      <c r="H8" s="133">
        <f>报表附注!K1286</f>
        <v>0</v>
      </c>
      <c r="I8" s="133">
        <f>报表附注!L1286</f>
        <v>0</v>
      </c>
      <c r="J8" s="133">
        <f>报表附注!M1286</f>
        <v>0</v>
      </c>
      <c r="K8" s="133">
        <f>报表附注!N1286</f>
        <v>0</v>
      </c>
      <c r="L8" s="133">
        <f>报表附注!O1286</f>
        <v>0</v>
      </c>
      <c r="M8" s="133">
        <f>报表附注!P1286</f>
        <v>0</v>
      </c>
      <c r="N8" s="152">
        <f t="shared" si="0"/>
        <v>0</v>
      </c>
      <c r="P8" s="145">
        <f>报表附注!E1318</f>
        <v>0</v>
      </c>
      <c r="Q8" s="132">
        <f>报表附注!F1318</f>
        <v>0</v>
      </c>
      <c r="R8" s="132">
        <f>报表附注!G1318</f>
        <v>0</v>
      </c>
      <c r="S8" s="132">
        <f>报表附注!H1318</f>
        <v>0</v>
      </c>
      <c r="T8" s="135">
        <f>报表附注!I1318</f>
        <v>0</v>
      </c>
      <c r="U8" s="133">
        <f>报表附注!J1318</f>
        <v>0</v>
      </c>
    </row>
    <row r="9" customHeight="1" spans="1:21">
      <c r="A9" s="120" t="str">
        <f>报表附注!$G$1</f>
        <v>石嘴山市深阳蓝光市政工程有限公司</v>
      </c>
      <c r="B9" s="144">
        <f>报表附注!E1287</f>
        <v>0</v>
      </c>
      <c r="C9" s="132">
        <f>报表附注!F1287</f>
        <v>0</v>
      </c>
      <c r="D9" s="132">
        <f>报表附注!G1287</f>
        <v>0</v>
      </c>
      <c r="E9" s="132">
        <f>报表附注!H1287</f>
        <v>0</v>
      </c>
      <c r="F9" s="132">
        <f>报表附注!I1287</f>
        <v>0</v>
      </c>
      <c r="G9" s="133">
        <f>报表附注!J1287</f>
        <v>0</v>
      </c>
      <c r="H9" s="133">
        <f>报表附注!K1287</f>
        <v>0</v>
      </c>
      <c r="I9" s="133">
        <f>报表附注!L1287</f>
        <v>0</v>
      </c>
      <c r="J9" s="133">
        <f>报表附注!M1287</f>
        <v>0</v>
      </c>
      <c r="K9" s="133">
        <f>报表附注!N1287</f>
        <v>0</v>
      </c>
      <c r="L9" s="133">
        <f>报表附注!O1287</f>
        <v>0</v>
      </c>
      <c r="M9" s="133">
        <f>报表附注!P1287</f>
        <v>0</v>
      </c>
      <c r="N9" s="152">
        <f t="shared" si="0"/>
        <v>0</v>
      </c>
      <c r="P9" s="134" t="str">
        <f>报表附注!E1319</f>
        <v>合计</v>
      </c>
      <c r="Q9" s="135">
        <f>ROUND(SUM(Q3:Q8),2)</f>
        <v>0</v>
      </c>
      <c r="R9" s="135">
        <f>ROUND(SUM(R3:R8),2)</f>
        <v>0</v>
      </c>
      <c r="S9" s="135">
        <f>ROUND(SUM(S3:S8),2)</f>
        <v>0</v>
      </c>
      <c r="T9" s="135">
        <f>ROUND(SUM(T3:T8),2)</f>
        <v>0</v>
      </c>
      <c r="U9" s="139"/>
    </row>
    <row r="10" customHeight="1" spans="1:14">
      <c r="A10" s="120" t="str">
        <f>报表附注!$G$1</f>
        <v>石嘴山市深阳蓝光市政工程有限公司</v>
      </c>
      <c r="B10" s="144">
        <f>报表附注!E1288</f>
        <v>0</v>
      </c>
      <c r="C10" s="132">
        <f>报表附注!F1288</f>
        <v>0</v>
      </c>
      <c r="D10" s="132">
        <f>报表附注!G1288</f>
        <v>0</v>
      </c>
      <c r="E10" s="132">
        <f>报表附注!H1288</f>
        <v>0</v>
      </c>
      <c r="F10" s="132">
        <f>报表附注!I1288</f>
        <v>0</v>
      </c>
      <c r="G10" s="133">
        <f>报表附注!J1288</f>
        <v>0</v>
      </c>
      <c r="H10" s="133">
        <f>报表附注!K1288</f>
        <v>0</v>
      </c>
      <c r="I10" s="133">
        <f>报表附注!L1288</f>
        <v>0</v>
      </c>
      <c r="J10" s="133">
        <f>报表附注!M1288</f>
        <v>0</v>
      </c>
      <c r="K10" s="133">
        <f>报表附注!N1288</f>
        <v>0</v>
      </c>
      <c r="L10" s="133">
        <f>报表附注!O1288</f>
        <v>0</v>
      </c>
      <c r="M10" s="133">
        <f>报表附注!P1288</f>
        <v>0</v>
      </c>
      <c r="N10" s="152">
        <f t="shared" si="0"/>
        <v>0</v>
      </c>
    </row>
    <row r="11" customHeight="1" spans="1:14">
      <c r="A11" s="120" t="str">
        <f>报表附注!$G$1</f>
        <v>石嘴山市深阳蓝光市政工程有限公司</v>
      </c>
      <c r="B11" s="144">
        <f>报表附注!E1289</f>
        <v>0</v>
      </c>
      <c r="C11" s="132">
        <f>报表附注!F1289</f>
        <v>0</v>
      </c>
      <c r="D11" s="132">
        <f>报表附注!G1289</f>
        <v>0</v>
      </c>
      <c r="E11" s="132">
        <f>报表附注!H1289</f>
        <v>0</v>
      </c>
      <c r="F11" s="132">
        <f>报表附注!I1289</f>
        <v>0</v>
      </c>
      <c r="G11" s="133">
        <f>报表附注!J1289</f>
        <v>0</v>
      </c>
      <c r="H11" s="133">
        <f>报表附注!K1289</f>
        <v>0</v>
      </c>
      <c r="I11" s="133">
        <f>报表附注!L1289</f>
        <v>0</v>
      </c>
      <c r="J11" s="133">
        <f>报表附注!M1289</f>
        <v>0</v>
      </c>
      <c r="K11" s="133">
        <f>报表附注!N1289</f>
        <v>0</v>
      </c>
      <c r="L11" s="133">
        <f>报表附注!O1289</f>
        <v>0</v>
      </c>
      <c r="M11" s="133">
        <f>报表附注!P1289</f>
        <v>0</v>
      </c>
      <c r="N11" s="152">
        <f t="shared" si="0"/>
        <v>0</v>
      </c>
    </row>
    <row r="12" customHeight="1" spans="1:14">
      <c r="A12" s="120" t="str">
        <f>报表附注!$G$1</f>
        <v>石嘴山市深阳蓝光市政工程有限公司</v>
      </c>
      <c r="B12" s="144">
        <f>报表附注!E1290</f>
        <v>0</v>
      </c>
      <c r="C12" s="132">
        <f>报表附注!F1290</f>
        <v>0</v>
      </c>
      <c r="D12" s="132">
        <f>报表附注!G1290</f>
        <v>0</v>
      </c>
      <c r="E12" s="132">
        <f>报表附注!H1290</f>
        <v>0</v>
      </c>
      <c r="F12" s="132">
        <f>报表附注!I1290</f>
        <v>0</v>
      </c>
      <c r="G12" s="133">
        <f>报表附注!J1290</f>
        <v>0</v>
      </c>
      <c r="H12" s="133">
        <f>报表附注!K1290</f>
        <v>0</v>
      </c>
      <c r="I12" s="133">
        <f>报表附注!L1290</f>
        <v>0</v>
      </c>
      <c r="J12" s="133">
        <f>报表附注!M1290</f>
        <v>0</v>
      </c>
      <c r="K12" s="133">
        <f>报表附注!N1290</f>
        <v>0</v>
      </c>
      <c r="L12" s="133">
        <f>报表附注!O1290</f>
        <v>0</v>
      </c>
      <c r="M12" s="133">
        <f>报表附注!P1290</f>
        <v>0</v>
      </c>
      <c r="N12" s="152">
        <f t="shared" si="0"/>
        <v>0</v>
      </c>
    </row>
    <row r="13" customHeight="1" spans="1:14">
      <c r="A13" s="120" t="str">
        <f>报表附注!$G$1</f>
        <v>石嘴山市深阳蓝光市政工程有限公司</v>
      </c>
      <c r="B13" s="144">
        <f>报表附注!E1291</f>
        <v>0</v>
      </c>
      <c r="C13" s="132">
        <f>报表附注!F1291</f>
        <v>0</v>
      </c>
      <c r="D13" s="132">
        <f>报表附注!G1291</f>
        <v>0</v>
      </c>
      <c r="E13" s="132">
        <f>报表附注!H1291</f>
        <v>0</v>
      </c>
      <c r="F13" s="132">
        <f>报表附注!I1291</f>
        <v>0</v>
      </c>
      <c r="G13" s="133">
        <f>报表附注!J1291</f>
        <v>0</v>
      </c>
      <c r="H13" s="133">
        <f>报表附注!K1291</f>
        <v>0</v>
      </c>
      <c r="I13" s="133">
        <f>报表附注!L1291</f>
        <v>0</v>
      </c>
      <c r="J13" s="133">
        <f>报表附注!M1291</f>
        <v>0</v>
      </c>
      <c r="K13" s="133">
        <f>报表附注!N1291</f>
        <v>0</v>
      </c>
      <c r="L13" s="133">
        <f>报表附注!O1291</f>
        <v>0</v>
      </c>
      <c r="M13" s="133">
        <f>报表附注!P1291</f>
        <v>0</v>
      </c>
      <c r="N13" s="152">
        <f t="shared" si="0"/>
        <v>0</v>
      </c>
    </row>
    <row r="14" customHeight="1" spans="1:14">
      <c r="A14" s="120" t="str">
        <f>报表附注!$G$1</f>
        <v>石嘴山市深阳蓝光市政工程有限公司</v>
      </c>
      <c r="B14" s="144">
        <f>报表附注!E1292</f>
        <v>0</v>
      </c>
      <c r="C14" s="132">
        <f>报表附注!F1292</f>
        <v>0</v>
      </c>
      <c r="D14" s="132">
        <f>报表附注!G1292</f>
        <v>0</v>
      </c>
      <c r="E14" s="132">
        <f>报表附注!H1292</f>
        <v>0</v>
      </c>
      <c r="F14" s="132">
        <f>报表附注!I1292</f>
        <v>0</v>
      </c>
      <c r="G14" s="133">
        <f>报表附注!J1292</f>
        <v>0</v>
      </c>
      <c r="H14" s="133">
        <f>报表附注!K1292</f>
        <v>0</v>
      </c>
      <c r="I14" s="133">
        <f>报表附注!L1292</f>
        <v>0</v>
      </c>
      <c r="J14" s="133">
        <f>报表附注!M1292</f>
        <v>0</v>
      </c>
      <c r="K14" s="133">
        <f>报表附注!N1292</f>
        <v>0</v>
      </c>
      <c r="L14" s="133">
        <f>报表附注!O1292</f>
        <v>0</v>
      </c>
      <c r="M14" s="133">
        <f>报表附注!P1292</f>
        <v>0</v>
      </c>
      <c r="N14" s="152">
        <f t="shared" si="0"/>
        <v>0</v>
      </c>
    </row>
    <row r="15" customHeight="1" spans="1:14">
      <c r="A15" s="120" t="str">
        <f>报表附注!$G$1</f>
        <v>石嘴山市深阳蓝光市政工程有限公司</v>
      </c>
      <c r="B15" s="144">
        <f>报表附注!E1293</f>
        <v>0</v>
      </c>
      <c r="C15" s="132">
        <f>报表附注!F1293</f>
        <v>0</v>
      </c>
      <c r="D15" s="132">
        <f>报表附注!G1293</f>
        <v>0</v>
      </c>
      <c r="E15" s="132">
        <f>报表附注!H1293</f>
        <v>0</v>
      </c>
      <c r="F15" s="132">
        <f>报表附注!I1293</f>
        <v>0</v>
      </c>
      <c r="G15" s="133">
        <f>报表附注!J1293</f>
        <v>0</v>
      </c>
      <c r="H15" s="133">
        <f>报表附注!K1293</f>
        <v>0</v>
      </c>
      <c r="I15" s="133">
        <f>报表附注!L1293</f>
        <v>0</v>
      </c>
      <c r="J15" s="133">
        <f>报表附注!M1293</f>
        <v>0</v>
      </c>
      <c r="K15" s="133">
        <f>报表附注!N1293</f>
        <v>0</v>
      </c>
      <c r="L15" s="133">
        <f>报表附注!O1293</f>
        <v>0</v>
      </c>
      <c r="M15" s="133">
        <f>报表附注!P1293</f>
        <v>0</v>
      </c>
      <c r="N15" s="152">
        <f t="shared" si="0"/>
        <v>0</v>
      </c>
    </row>
    <row r="16" customHeight="1" spans="1:14">
      <c r="A16" s="120" t="str">
        <f>报表附注!$G$1</f>
        <v>石嘴山市深阳蓝光市政工程有限公司</v>
      </c>
      <c r="B16" s="144">
        <f>报表附注!E1294</f>
        <v>0</v>
      </c>
      <c r="C16" s="132">
        <f>报表附注!F1294</f>
        <v>0</v>
      </c>
      <c r="D16" s="132">
        <f>报表附注!G1294</f>
        <v>0</v>
      </c>
      <c r="E16" s="132">
        <f>报表附注!H1294</f>
        <v>0</v>
      </c>
      <c r="F16" s="132">
        <f>报表附注!I1294</f>
        <v>0</v>
      </c>
      <c r="G16" s="133">
        <f>报表附注!J1294</f>
        <v>0</v>
      </c>
      <c r="H16" s="133">
        <f>报表附注!K1294</f>
        <v>0</v>
      </c>
      <c r="I16" s="133">
        <f>报表附注!L1294</f>
        <v>0</v>
      </c>
      <c r="J16" s="133">
        <f>报表附注!M1294</f>
        <v>0</v>
      </c>
      <c r="K16" s="133">
        <f>报表附注!N1294</f>
        <v>0</v>
      </c>
      <c r="L16" s="133">
        <f>报表附注!O1294</f>
        <v>0</v>
      </c>
      <c r="M16" s="133">
        <f>报表附注!P1294</f>
        <v>0</v>
      </c>
      <c r="N16" s="152">
        <f t="shared" si="0"/>
        <v>0</v>
      </c>
    </row>
    <row r="17" customHeight="1" spans="1:14">
      <c r="A17" s="120" t="str">
        <f>报表附注!$G$1</f>
        <v>石嘴山市深阳蓝光市政工程有限公司</v>
      </c>
      <c r="B17" s="144">
        <f>报表附注!E1295</f>
        <v>0</v>
      </c>
      <c r="C17" s="132">
        <f>报表附注!F1295</f>
        <v>0</v>
      </c>
      <c r="D17" s="132">
        <f>报表附注!G1295</f>
        <v>0</v>
      </c>
      <c r="E17" s="132">
        <f>报表附注!H1295</f>
        <v>0</v>
      </c>
      <c r="F17" s="132">
        <f>报表附注!I1295</f>
        <v>0</v>
      </c>
      <c r="G17" s="133">
        <f>报表附注!J1295</f>
        <v>0</v>
      </c>
      <c r="H17" s="133">
        <f>报表附注!K1295</f>
        <v>0</v>
      </c>
      <c r="I17" s="133">
        <f>报表附注!L1295</f>
        <v>0</v>
      </c>
      <c r="J17" s="133">
        <f>报表附注!M1295</f>
        <v>0</v>
      </c>
      <c r="K17" s="133">
        <f>报表附注!N1295</f>
        <v>0</v>
      </c>
      <c r="L17" s="133">
        <f>报表附注!O1295</f>
        <v>0</v>
      </c>
      <c r="M17" s="133">
        <f>报表附注!P1295</f>
        <v>0</v>
      </c>
      <c r="N17" s="152">
        <f t="shared" si="0"/>
        <v>0</v>
      </c>
    </row>
    <row r="18" customHeight="1" spans="1:14">
      <c r="A18" s="120" t="str">
        <f>报表附注!$G$1</f>
        <v>石嘴山市深阳蓝光市政工程有限公司</v>
      </c>
      <c r="B18" s="144">
        <f>报表附注!E1296</f>
        <v>0</v>
      </c>
      <c r="C18" s="132">
        <f>报表附注!F1296</f>
        <v>0</v>
      </c>
      <c r="D18" s="132">
        <f>报表附注!G1296</f>
        <v>0</v>
      </c>
      <c r="E18" s="132">
        <f>报表附注!H1296</f>
        <v>0</v>
      </c>
      <c r="F18" s="132">
        <f>报表附注!I1296</f>
        <v>0</v>
      </c>
      <c r="G18" s="133">
        <f>报表附注!J1296</f>
        <v>0</v>
      </c>
      <c r="H18" s="133">
        <f>报表附注!K1296</f>
        <v>0</v>
      </c>
      <c r="I18" s="133">
        <f>报表附注!L1296</f>
        <v>0</v>
      </c>
      <c r="J18" s="133">
        <f>报表附注!M1296</f>
        <v>0</v>
      </c>
      <c r="K18" s="133">
        <f>报表附注!N1296</f>
        <v>0</v>
      </c>
      <c r="L18" s="133">
        <f>报表附注!O1296</f>
        <v>0</v>
      </c>
      <c r="M18" s="133">
        <f>报表附注!P1296</f>
        <v>0</v>
      </c>
      <c r="N18" s="152">
        <f t="shared" si="0"/>
        <v>0</v>
      </c>
    </row>
    <row r="19" customHeight="1" spans="1:14">
      <c r="A19" s="120" t="str">
        <f>报表附注!$G$1</f>
        <v>石嘴山市深阳蓝光市政工程有限公司</v>
      </c>
      <c r="B19" s="144">
        <f>报表附注!E1297</f>
        <v>0</v>
      </c>
      <c r="C19" s="132">
        <f>报表附注!F1297</f>
        <v>0</v>
      </c>
      <c r="D19" s="132">
        <f>报表附注!G1297</f>
        <v>0</v>
      </c>
      <c r="E19" s="132">
        <f>报表附注!H1297</f>
        <v>0</v>
      </c>
      <c r="F19" s="132">
        <f>报表附注!I1297</f>
        <v>0</v>
      </c>
      <c r="G19" s="133">
        <f>报表附注!J1297</f>
        <v>0</v>
      </c>
      <c r="H19" s="133">
        <f>报表附注!K1297</f>
        <v>0</v>
      </c>
      <c r="I19" s="133">
        <f>报表附注!L1297</f>
        <v>0</v>
      </c>
      <c r="J19" s="133">
        <f>报表附注!M1297</f>
        <v>0</v>
      </c>
      <c r="K19" s="133">
        <f>报表附注!N1297</f>
        <v>0</v>
      </c>
      <c r="L19" s="133">
        <f>报表附注!O1297</f>
        <v>0</v>
      </c>
      <c r="M19" s="133">
        <f>报表附注!P1297</f>
        <v>0</v>
      </c>
      <c r="N19" s="152">
        <f t="shared" si="0"/>
        <v>0</v>
      </c>
    </row>
    <row r="20" customHeight="1" spans="1:14">
      <c r="A20" s="120" t="str">
        <f>报表附注!$G$1</f>
        <v>石嘴山市深阳蓝光市政工程有限公司</v>
      </c>
      <c r="B20" s="144">
        <f>报表附注!E1298</f>
        <v>0</v>
      </c>
      <c r="C20" s="132">
        <f>报表附注!F1298</f>
        <v>0</v>
      </c>
      <c r="D20" s="132">
        <f>报表附注!G1298</f>
        <v>0</v>
      </c>
      <c r="E20" s="132">
        <f>报表附注!H1298</f>
        <v>0</v>
      </c>
      <c r="F20" s="132">
        <f>报表附注!I1298</f>
        <v>0</v>
      </c>
      <c r="G20" s="133">
        <f>报表附注!J1298</f>
        <v>0</v>
      </c>
      <c r="H20" s="133">
        <f>报表附注!K1298</f>
        <v>0</v>
      </c>
      <c r="I20" s="133">
        <f>报表附注!L1298</f>
        <v>0</v>
      </c>
      <c r="J20" s="133">
        <f>报表附注!M1298</f>
        <v>0</v>
      </c>
      <c r="K20" s="133">
        <f>报表附注!N1298</f>
        <v>0</v>
      </c>
      <c r="L20" s="133">
        <f>报表附注!O1298</f>
        <v>0</v>
      </c>
      <c r="M20" s="133">
        <f>报表附注!P1298</f>
        <v>0</v>
      </c>
      <c r="N20" s="152">
        <f t="shared" si="0"/>
        <v>0</v>
      </c>
    </row>
    <row r="21" customHeight="1" spans="1:14">
      <c r="A21" s="120" t="str">
        <f>报表附注!$G$1</f>
        <v>石嘴山市深阳蓝光市政工程有限公司</v>
      </c>
      <c r="B21" s="144">
        <f>报表附注!E1299</f>
        <v>0</v>
      </c>
      <c r="C21" s="132">
        <f>报表附注!F1299</f>
        <v>0</v>
      </c>
      <c r="D21" s="132">
        <f>报表附注!G1299</f>
        <v>0</v>
      </c>
      <c r="E21" s="132">
        <f>报表附注!H1299</f>
        <v>0</v>
      </c>
      <c r="F21" s="132">
        <f>报表附注!I1299</f>
        <v>0</v>
      </c>
      <c r="G21" s="133">
        <f>报表附注!J1299</f>
        <v>0</v>
      </c>
      <c r="H21" s="133">
        <f>报表附注!K1299</f>
        <v>0</v>
      </c>
      <c r="I21" s="133">
        <f>报表附注!L1299</f>
        <v>0</v>
      </c>
      <c r="J21" s="133">
        <f>报表附注!M1299</f>
        <v>0</v>
      </c>
      <c r="K21" s="133">
        <f>报表附注!N1299</f>
        <v>0</v>
      </c>
      <c r="L21" s="133">
        <f>报表附注!O1299</f>
        <v>0</v>
      </c>
      <c r="M21" s="133">
        <f>报表附注!P1299</f>
        <v>0</v>
      </c>
      <c r="N21" s="152">
        <f t="shared" si="0"/>
        <v>0</v>
      </c>
    </row>
    <row r="22" customHeight="1" spans="1:14">
      <c r="A22" s="120" t="str">
        <f>报表附注!$G$1</f>
        <v>石嘴山市深阳蓝光市政工程有限公司</v>
      </c>
      <c r="B22" s="144">
        <f>报表附注!E1300</f>
        <v>0</v>
      </c>
      <c r="C22" s="132">
        <f>报表附注!F1300</f>
        <v>0</v>
      </c>
      <c r="D22" s="132">
        <f>报表附注!G1300</f>
        <v>0</v>
      </c>
      <c r="E22" s="132">
        <f>报表附注!H1300</f>
        <v>0</v>
      </c>
      <c r="F22" s="132">
        <f>报表附注!I1300</f>
        <v>0</v>
      </c>
      <c r="G22" s="133">
        <f>报表附注!J1300</f>
        <v>0</v>
      </c>
      <c r="H22" s="133">
        <f>报表附注!K1300</f>
        <v>0</v>
      </c>
      <c r="I22" s="133">
        <f>报表附注!L1300</f>
        <v>0</v>
      </c>
      <c r="J22" s="133">
        <f>报表附注!M1300</f>
        <v>0</v>
      </c>
      <c r="K22" s="133">
        <f>报表附注!N1300</f>
        <v>0</v>
      </c>
      <c r="L22" s="133">
        <f>报表附注!O1300</f>
        <v>0</v>
      </c>
      <c r="M22" s="133">
        <f>报表附注!P1300</f>
        <v>0</v>
      </c>
      <c r="N22" s="152">
        <f t="shared" si="0"/>
        <v>0</v>
      </c>
    </row>
    <row r="23" customHeight="1" spans="1:14">
      <c r="A23" s="120" t="str">
        <f>报表附注!$G$1</f>
        <v>石嘴山市深阳蓝光市政工程有限公司</v>
      </c>
      <c r="B23" s="144">
        <f>报表附注!E1301</f>
        <v>0</v>
      </c>
      <c r="C23" s="132">
        <f>报表附注!F1301</f>
        <v>0</v>
      </c>
      <c r="D23" s="132">
        <f>报表附注!G1301</f>
        <v>0</v>
      </c>
      <c r="E23" s="132">
        <f>报表附注!H1301</f>
        <v>0</v>
      </c>
      <c r="F23" s="132">
        <f>报表附注!I1301</f>
        <v>0</v>
      </c>
      <c r="G23" s="133">
        <f>报表附注!J1301</f>
        <v>0</v>
      </c>
      <c r="H23" s="133">
        <f>报表附注!K1301</f>
        <v>0</v>
      </c>
      <c r="I23" s="133">
        <f>报表附注!L1301</f>
        <v>0</v>
      </c>
      <c r="J23" s="133">
        <f>报表附注!M1301</f>
        <v>0</v>
      </c>
      <c r="K23" s="133">
        <f>报表附注!N1301</f>
        <v>0</v>
      </c>
      <c r="L23" s="133">
        <f>报表附注!O1301</f>
        <v>0</v>
      </c>
      <c r="M23" s="133">
        <f>报表附注!P1301</f>
        <v>0</v>
      </c>
      <c r="N23" s="152">
        <f t="shared" si="0"/>
        <v>0</v>
      </c>
    </row>
    <row r="24" customHeight="1" spans="1:14">
      <c r="A24" s="120" t="str">
        <f>报表附注!$G$1</f>
        <v>石嘴山市深阳蓝光市政工程有限公司</v>
      </c>
      <c r="B24" s="144">
        <f>报表附注!E1302</f>
        <v>0</v>
      </c>
      <c r="C24" s="132">
        <f>报表附注!F1302</f>
        <v>0</v>
      </c>
      <c r="D24" s="132">
        <f>报表附注!G1302</f>
        <v>0</v>
      </c>
      <c r="E24" s="132">
        <f>报表附注!H1302</f>
        <v>0</v>
      </c>
      <c r="F24" s="132">
        <f>报表附注!I1302</f>
        <v>0</v>
      </c>
      <c r="G24" s="133">
        <f>报表附注!J1302</f>
        <v>0</v>
      </c>
      <c r="H24" s="133">
        <f>报表附注!K1302</f>
        <v>0</v>
      </c>
      <c r="I24" s="133">
        <f>报表附注!L1302</f>
        <v>0</v>
      </c>
      <c r="J24" s="133">
        <f>报表附注!M1302</f>
        <v>0</v>
      </c>
      <c r="K24" s="133">
        <f>报表附注!N1302</f>
        <v>0</v>
      </c>
      <c r="L24" s="133">
        <f>报表附注!O1302</f>
        <v>0</v>
      </c>
      <c r="M24" s="133">
        <f>报表附注!P1302</f>
        <v>0</v>
      </c>
      <c r="N24" s="152">
        <f t="shared" si="0"/>
        <v>0</v>
      </c>
    </row>
    <row r="25" customHeight="1" spans="1:14">
      <c r="A25" s="120" t="str">
        <f>报表附注!$G$1</f>
        <v>石嘴山市深阳蓝光市政工程有限公司</v>
      </c>
      <c r="B25" s="144">
        <f>报表附注!E1303</f>
        <v>0</v>
      </c>
      <c r="C25" s="132">
        <f>报表附注!F1303</f>
        <v>0</v>
      </c>
      <c r="D25" s="132">
        <f>报表附注!G1303</f>
        <v>0</v>
      </c>
      <c r="E25" s="132">
        <f>报表附注!H1303</f>
        <v>0</v>
      </c>
      <c r="F25" s="132">
        <f>报表附注!I1303</f>
        <v>0</v>
      </c>
      <c r="G25" s="133">
        <f>报表附注!J1303</f>
        <v>0</v>
      </c>
      <c r="H25" s="133">
        <f>报表附注!K1303</f>
        <v>0</v>
      </c>
      <c r="I25" s="133">
        <f>报表附注!L1303</f>
        <v>0</v>
      </c>
      <c r="J25" s="133">
        <f>报表附注!M1303</f>
        <v>0</v>
      </c>
      <c r="K25" s="133">
        <f>报表附注!N1303</f>
        <v>0</v>
      </c>
      <c r="L25" s="133">
        <f>报表附注!O1303</f>
        <v>0</v>
      </c>
      <c r="M25" s="133">
        <f>报表附注!P1303</f>
        <v>0</v>
      </c>
      <c r="N25" s="152">
        <f t="shared" si="0"/>
        <v>0</v>
      </c>
    </row>
    <row r="26" customHeight="1" spans="1:14">
      <c r="A26" s="120" t="str">
        <f>报表附注!$G$1</f>
        <v>石嘴山市深阳蓝光市政工程有限公司</v>
      </c>
      <c r="B26" s="144">
        <f>报表附注!E1304</f>
        <v>0</v>
      </c>
      <c r="C26" s="132">
        <f>报表附注!F1304</f>
        <v>0</v>
      </c>
      <c r="D26" s="132">
        <f>报表附注!G1304</f>
        <v>0</v>
      </c>
      <c r="E26" s="132">
        <f>报表附注!H1304</f>
        <v>0</v>
      </c>
      <c r="F26" s="132">
        <f>报表附注!I1304</f>
        <v>0</v>
      </c>
      <c r="G26" s="133">
        <f>报表附注!J1304</f>
        <v>0</v>
      </c>
      <c r="H26" s="133">
        <f>报表附注!K1304</f>
        <v>0</v>
      </c>
      <c r="I26" s="133">
        <f>报表附注!L1304</f>
        <v>0</v>
      </c>
      <c r="J26" s="133">
        <f>报表附注!M1304</f>
        <v>0</v>
      </c>
      <c r="K26" s="133">
        <f>报表附注!N1304</f>
        <v>0</v>
      </c>
      <c r="L26" s="133">
        <f>报表附注!O1304</f>
        <v>0</v>
      </c>
      <c r="M26" s="133">
        <f>报表附注!P1304</f>
        <v>0</v>
      </c>
      <c r="N26" s="152">
        <f t="shared" si="0"/>
        <v>0</v>
      </c>
    </row>
    <row r="27" customHeight="1" spans="1:14">
      <c r="A27" s="120" t="str">
        <f>报表附注!$G$1</f>
        <v>石嘴山市深阳蓝光市政工程有限公司</v>
      </c>
      <c r="B27" s="144">
        <f>报表附注!E1305</f>
        <v>0</v>
      </c>
      <c r="C27" s="132">
        <f>报表附注!F1305</f>
        <v>0</v>
      </c>
      <c r="D27" s="132">
        <f>报表附注!G1305</f>
        <v>0</v>
      </c>
      <c r="E27" s="132">
        <f>报表附注!H1305</f>
        <v>0</v>
      </c>
      <c r="F27" s="132">
        <f>报表附注!I1305</f>
        <v>0</v>
      </c>
      <c r="G27" s="133">
        <f>报表附注!J1305</f>
        <v>0</v>
      </c>
      <c r="H27" s="133">
        <f>报表附注!K1305</f>
        <v>0</v>
      </c>
      <c r="I27" s="133">
        <f>报表附注!L1305</f>
        <v>0</v>
      </c>
      <c r="J27" s="133">
        <f>报表附注!M1305</f>
        <v>0</v>
      </c>
      <c r="K27" s="133">
        <f>报表附注!N1305</f>
        <v>0</v>
      </c>
      <c r="L27" s="133">
        <f>报表附注!O1305</f>
        <v>0</v>
      </c>
      <c r="M27" s="133">
        <f>报表附注!P1305</f>
        <v>0</v>
      </c>
      <c r="N27" s="152">
        <f t="shared" si="0"/>
        <v>0</v>
      </c>
    </row>
    <row r="28" customHeight="1" spans="1:14">
      <c r="A28" s="120" t="str">
        <f>报表附注!$G$1</f>
        <v>石嘴山市深阳蓝光市政工程有限公司</v>
      </c>
      <c r="B28" s="144">
        <f>报表附注!E1306</f>
        <v>0</v>
      </c>
      <c r="C28" s="132">
        <f>报表附注!F1306</f>
        <v>0</v>
      </c>
      <c r="D28" s="132">
        <f>报表附注!G1306</f>
        <v>0</v>
      </c>
      <c r="E28" s="132">
        <f>报表附注!H1306</f>
        <v>0</v>
      </c>
      <c r="F28" s="132">
        <f>报表附注!I1306</f>
        <v>0</v>
      </c>
      <c r="G28" s="133">
        <f>报表附注!J1306</f>
        <v>0</v>
      </c>
      <c r="H28" s="133">
        <f>报表附注!K1306</f>
        <v>0</v>
      </c>
      <c r="I28" s="133">
        <f>报表附注!L1306</f>
        <v>0</v>
      </c>
      <c r="J28" s="133">
        <f>报表附注!M1306</f>
        <v>0</v>
      </c>
      <c r="K28" s="133">
        <f>报表附注!N1306</f>
        <v>0</v>
      </c>
      <c r="L28" s="133">
        <f>报表附注!O1306</f>
        <v>0</v>
      </c>
      <c r="M28" s="133">
        <f>报表附注!P1306</f>
        <v>0</v>
      </c>
      <c r="N28" s="152">
        <f t="shared" si="0"/>
        <v>0</v>
      </c>
    </row>
    <row r="29" customHeight="1" spans="1:14">
      <c r="A29" s="120" t="str">
        <f>报表附注!$G$1</f>
        <v>石嘴山市深阳蓝光市政工程有限公司</v>
      </c>
      <c r="B29" s="144">
        <f>报表附注!E1307</f>
        <v>0</v>
      </c>
      <c r="C29" s="132">
        <f>报表附注!F1307</f>
        <v>0</v>
      </c>
      <c r="D29" s="132">
        <f>报表附注!G1307</f>
        <v>0</v>
      </c>
      <c r="E29" s="132">
        <f>报表附注!H1307</f>
        <v>0</v>
      </c>
      <c r="F29" s="132">
        <f>报表附注!I1307</f>
        <v>0</v>
      </c>
      <c r="G29" s="133">
        <f>报表附注!J1307</f>
        <v>0</v>
      </c>
      <c r="H29" s="133">
        <f>报表附注!K1307</f>
        <v>0</v>
      </c>
      <c r="I29" s="133">
        <f>报表附注!L1307</f>
        <v>0</v>
      </c>
      <c r="J29" s="133">
        <f>报表附注!M1307</f>
        <v>0</v>
      </c>
      <c r="K29" s="133">
        <f>报表附注!N1307</f>
        <v>0</v>
      </c>
      <c r="L29" s="133">
        <f>报表附注!O1307</f>
        <v>0</v>
      </c>
      <c r="M29" s="133">
        <f>报表附注!P1307</f>
        <v>0</v>
      </c>
      <c r="N29" s="152">
        <f t="shared" si="0"/>
        <v>0</v>
      </c>
    </row>
    <row r="30" customHeight="1" spans="1:14">
      <c r="A30" s="120" t="str">
        <f>报表附注!$G$1</f>
        <v>石嘴山市深阳蓝光市政工程有限公司</v>
      </c>
      <c r="B30" s="145">
        <f>报表附注!E1308</f>
        <v>0</v>
      </c>
      <c r="C30" s="132">
        <f>报表附注!F1308</f>
        <v>0</v>
      </c>
      <c r="D30" s="132">
        <f>报表附注!G1308</f>
        <v>0</v>
      </c>
      <c r="E30" s="132">
        <f>报表附注!H1308</f>
        <v>0</v>
      </c>
      <c r="F30" s="132">
        <f>报表附注!I1308</f>
        <v>0</v>
      </c>
      <c r="G30" s="133">
        <f>报表附注!J1308</f>
        <v>0</v>
      </c>
      <c r="H30" s="133">
        <f>报表附注!K1308</f>
        <v>0</v>
      </c>
      <c r="I30" s="133">
        <f>报表附注!L1308</f>
        <v>0</v>
      </c>
      <c r="J30" s="133">
        <f>报表附注!M1308</f>
        <v>0</v>
      </c>
      <c r="K30" s="133">
        <f>报表附注!N1308</f>
        <v>0</v>
      </c>
      <c r="L30" s="133">
        <f>报表附注!O1308</f>
        <v>0</v>
      </c>
      <c r="M30" s="133">
        <f>报表附注!P1308</f>
        <v>0</v>
      </c>
      <c r="N30" s="152">
        <f t="shared" si="0"/>
        <v>0</v>
      </c>
    </row>
    <row r="31" customHeight="1" spans="1:14">
      <c r="A31" s="120" t="str">
        <f>报表附注!$G$1</f>
        <v>石嘴山市深阳蓝光市政工程有限公司</v>
      </c>
      <c r="B31" s="146" t="s">
        <v>1580</v>
      </c>
      <c r="C31" s="147">
        <f>ROUND(SUM(C3:C30),2)</f>
        <v>0</v>
      </c>
      <c r="D31" s="147">
        <f t="shared" ref="D31:K31" si="1">ROUND(SUM(D3:D30),2)</f>
        <v>0</v>
      </c>
      <c r="E31" s="147">
        <f t="shared" si="1"/>
        <v>0</v>
      </c>
      <c r="F31" s="147">
        <f t="shared" si="1"/>
        <v>0</v>
      </c>
      <c r="G31" s="147">
        <f t="shared" si="1"/>
        <v>0</v>
      </c>
      <c r="H31" s="147"/>
      <c r="I31" s="147"/>
      <c r="J31" s="147">
        <f t="shared" si="1"/>
        <v>0</v>
      </c>
      <c r="K31" s="147">
        <f t="shared" si="1"/>
        <v>0</v>
      </c>
      <c r="L31" s="147"/>
      <c r="M31" s="147"/>
      <c r="N31" s="153">
        <f>SUM(N3:N30)</f>
        <v>0</v>
      </c>
    </row>
  </sheetData>
  <sheetProtection formatCells="0" formatColumns="0" formatRows="0"/>
  <conditionalFormatting sqref="B1:B31 P1:P9">
    <cfRule type="containsText" dxfId="6" priority="6" operator="between" text="文字描述">
      <formula>NOT(ISERROR(SEARCH("文字描述",B1)))</formula>
    </cfRule>
  </conditionalFormatting>
  <pageMargins left="0.7" right="0.7" top="0.75" bottom="0.75" header="0.3" footer="0.3"/>
  <headerFooter/>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K32"/>
  <sheetViews>
    <sheetView topLeftCell="B1" workbookViewId="0">
      <pane xSplit="1" ySplit="1" topLeftCell="C2" activePane="bottomRight" state="frozen"/>
      <selection/>
      <selection pane="topRight"/>
      <selection pane="bottomLeft"/>
      <selection pane="bottomRight" activeCell="F21" sqref="F21"/>
    </sheetView>
  </sheetViews>
  <sheetFormatPr defaultColWidth="9" defaultRowHeight="14.25"/>
  <cols>
    <col min="1" max="1" width="7.5" hidden="1" customWidth="1"/>
    <col min="2" max="2" width="25" customWidth="1"/>
    <col min="3" max="9" width="15.375" customWidth="1"/>
  </cols>
  <sheetData>
    <row r="1" spans="1:11">
      <c r="A1" s="120" t="str">
        <f>报表附注!$G$1</f>
        <v>石嘴山市深阳蓝光市政工程有限公司</v>
      </c>
      <c r="B1" s="128" t="s">
        <v>60</v>
      </c>
      <c r="C1" s="128" t="s">
        <v>928</v>
      </c>
      <c r="D1" s="128" t="s">
        <v>1473</v>
      </c>
      <c r="E1" s="128" t="s">
        <v>1219</v>
      </c>
      <c r="F1" s="128" t="s">
        <v>2865</v>
      </c>
      <c r="G1" s="128" t="s">
        <v>817</v>
      </c>
      <c r="H1" s="128" t="s">
        <v>1472</v>
      </c>
      <c r="I1" s="136" t="s">
        <v>2866</v>
      </c>
      <c r="K1" s="137"/>
    </row>
    <row r="2" spans="1:9">
      <c r="A2" s="120" t="str">
        <f>报表附注!$G$1</f>
        <v>石嘴山市深阳蓝光市政工程有限公司</v>
      </c>
      <c r="B2" s="129" t="str">
        <f>报表附注!E1522</f>
        <v>项目1</v>
      </c>
      <c r="C2" s="130">
        <f>报表附注!F1522</f>
        <v>0</v>
      </c>
      <c r="D2" s="130">
        <f>报表附注!G1522</f>
        <v>0</v>
      </c>
      <c r="E2" s="130">
        <f>报表附注!H1522</f>
        <v>0</v>
      </c>
      <c r="F2" s="130">
        <f>报表附注!I1522</f>
        <v>0</v>
      </c>
      <c r="G2" s="130">
        <f>报表附注!J1522</f>
        <v>0</v>
      </c>
      <c r="H2" s="131">
        <f>ROUND(D2+E2-F2-G2,2)</f>
        <v>0</v>
      </c>
      <c r="I2" s="138"/>
    </row>
    <row r="3" spans="1:9">
      <c r="A3" s="120" t="str">
        <f>报表附注!$G$1</f>
        <v>石嘴山市深阳蓝光市政工程有限公司</v>
      </c>
      <c r="B3" s="129" t="str">
        <f>报表附注!E1523</f>
        <v>项目2</v>
      </c>
      <c r="C3" s="130">
        <f>报表附注!F1523</f>
        <v>0</v>
      </c>
      <c r="D3" s="130">
        <f>报表附注!G1523</f>
        <v>0</v>
      </c>
      <c r="E3" s="130">
        <f>报表附注!H1523</f>
        <v>0</v>
      </c>
      <c r="F3" s="130">
        <f>报表附注!I1523</f>
        <v>0</v>
      </c>
      <c r="G3" s="130">
        <f>报表附注!J1523</f>
        <v>0</v>
      </c>
      <c r="H3" s="131">
        <f t="shared" ref="H3:H31" si="0">ROUND(D3+E3-F3-G3,2)</f>
        <v>0</v>
      </c>
      <c r="I3" s="138"/>
    </row>
    <row r="4" spans="1:9">
      <c r="A4" s="120" t="str">
        <f>报表附注!$G$1</f>
        <v>石嘴山市深阳蓝光市政工程有限公司</v>
      </c>
      <c r="B4" s="129" t="str">
        <f>报表附注!E1524</f>
        <v>项目3</v>
      </c>
      <c r="C4" s="130">
        <f>报表附注!F1524</f>
        <v>0</v>
      </c>
      <c r="D4" s="130">
        <f>报表附注!G1524</f>
        <v>0</v>
      </c>
      <c r="E4" s="130">
        <f>报表附注!H1524</f>
        <v>0</v>
      </c>
      <c r="F4" s="130">
        <f>报表附注!I1524</f>
        <v>0</v>
      </c>
      <c r="G4" s="130">
        <f>报表附注!J1524</f>
        <v>0</v>
      </c>
      <c r="H4" s="131">
        <f t="shared" si="0"/>
        <v>0</v>
      </c>
      <c r="I4" s="138"/>
    </row>
    <row r="5" spans="1:9">
      <c r="A5" s="120" t="str">
        <f>报表附注!$G$1</f>
        <v>石嘴山市深阳蓝光市政工程有限公司</v>
      </c>
      <c r="B5" s="129" t="str">
        <f>报表附注!E1525</f>
        <v>项目4</v>
      </c>
      <c r="C5" s="130">
        <f>报表附注!F1525</f>
        <v>0</v>
      </c>
      <c r="D5" s="130">
        <f>报表附注!G1525</f>
        <v>0</v>
      </c>
      <c r="E5" s="130">
        <f>报表附注!H1525</f>
        <v>0</v>
      </c>
      <c r="F5" s="130">
        <f>报表附注!I1525</f>
        <v>0</v>
      </c>
      <c r="G5" s="130">
        <f>报表附注!J1525</f>
        <v>0</v>
      </c>
      <c r="H5" s="131">
        <f t="shared" si="0"/>
        <v>0</v>
      </c>
      <c r="I5" s="138"/>
    </row>
    <row r="6" spans="1:9">
      <c r="A6" s="120" t="str">
        <f>报表附注!$G$1</f>
        <v>石嘴山市深阳蓝光市政工程有限公司</v>
      </c>
      <c r="B6" s="129" t="str">
        <f>报表附注!E1526</f>
        <v>项目5</v>
      </c>
      <c r="C6" s="130">
        <f>报表附注!F1526</f>
        <v>0</v>
      </c>
      <c r="D6" s="130">
        <f>报表附注!G1526</f>
        <v>0</v>
      </c>
      <c r="E6" s="130">
        <f>报表附注!H1526</f>
        <v>0</v>
      </c>
      <c r="F6" s="130">
        <f>报表附注!I1526</f>
        <v>0</v>
      </c>
      <c r="G6" s="130">
        <f>报表附注!J1526</f>
        <v>0</v>
      </c>
      <c r="H6" s="131">
        <f t="shared" si="0"/>
        <v>0</v>
      </c>
      <c r="I6" s="138"/>
    </row>
    <row r="7" spans="1:9">
      <c r="A7" s="120" t="str">
        <f>报表附注!$G$1</f>
        <v>石嘴山市深阳蓝光市政工程有限公司</v>
      </c>
      <c r="B7" s="129" t="str">
        <f>报表附注!E1527</f>
        <v>项目6</v>
      </c>
      <c r="C7" s="130">
        <f>报表附注!F1527</f>
        <v>0</v>
      </c>
      <c r="D7" s="130">
        <f>报表附注!G1527</f>
        <v>0</v>
      </c>
      <c r="E7" s="130">
        <f>报表附注!H1527</f>
        <v>0</v>
      </c>
      <c r="F7" s="130">
        <f>报表附注!I1527</f>
        <v>0</v>
      </c>
      <c r="G7" s="130">
        <f>报表附注!J1527</f>
        <v>0</v>
      </c>
      <c r="H7" s="131">
        <f t="shared" si="0"/>
        <v>0</v>
      </c>
      <c r="I7" s="138"/>
    </row>
    <row r="8" spans="1:9">
      <c r="A8" s="120" t="str">
        <f>报表附注!$G$1</f>
        <v>石嘴山市深阳蓝光市政工程有限公司</v>
      </c>
      <c r="B8" s="129" t="str">
        <f>报表附注!E1528</f>
        <v>项目7</v>
      </c>
      <c r="C8" s="130">
        <f>报表附注!F1528</f>
        <v>0</v>
      </c>
      <c r="D8" s="130">
        <f>报表附注!G1528</f>
        <v>0</v>
      </c>
      <c r="E8" s="130">
        <f>报表附注!H1528</f>
        <v>0</v>
      </c>
      <c r="F8" s="130">
        <f>报表附注!I1528</f>
        <v>0</v>
      </c>
      <c r="G8" s="130">
        <f>报表附注!J1528</f>
        <v>0</v>
      </c>
      <c r="H8" s="131">
        <f t="shared" si="0"/>
        <v>0</v>
      </c>
      <c r="I8" s="138"/>
    </row>
    <row r="9" spans="1:9">
      <c r="A9" s="120" t="str">
        <f>报表附注!$G$1</f>
        <v>石嘴山市深阳蓝光市政工程有限公司</v>
      </c>
      <c r="B9" s="129" t="str">
        <f>报表附注!E1529</f>
        <v>项目8</v>
      </c>
      <c r="C9" s="130">
        <f>报表附注!F1529</f>
        <v>0</v>
      </c>
      <c r="D9" s="130">
        <f>报表附注!G1529</f>
        <v>0</v>
      </c>
      <c r="E9" s="130">
        <f>报表附注!H1529</f>
        <v>0</v>
      </c>
      <c r="F9" s="130">
        <f>报表附注!I1529</f>
        <v>0</v>
      </c>
      <c r="G9" s="130">
        <f>报表附注!J1529</f>
        <v>0</v>
      </c>
      <c r="H9" s="131">
        <f t="shared" si="0"/>
        <v>0</v>
      </c>
      <c r="I9" s="138"/>
    </row>
    <row r="10" spans="1:9">
      <c r="A10" s="120" t="str">
        <f>报表附注!$G$1</f>
        <v>石嘴山市深阳蓝光市政工程有限公司</v>
      </c>
      <c r="B10" s="129" t="str">
        <f>报表附注!E1530</f>
        <v>项目9</v>
      </c>
      <c r="C10" s="130">
        <f>报表附注!F1530</f>
        <v>0</v>
      </c>
      <c r="D10" s="130">
        <f>报表附注!G1530</f>
        <v>0</v>
      </c>
      <c r="E10" s="130">
        <f>报表附注!H1530</f>
        <v>0</v>
      </c>
      <c r="F10" s="130">
        <f>报表附注!I1530</f>
        <v>0</v>
      </c>
      <c r="G10" s="130">
        <f>报表附注!J1530</f>
        <v>0</v>
      </c>
      <c r="H10" s="131">
        <f t="shared" si="0"/>
        <v>0</v>
      </c>
      <c r="I10" s="138"/>
    </row>
    <row r="11" spans="1:9">
      <c r="A11" s="120" t="str">
        <f>报表附注!$G$1</f>
        <v>石嘴山市深阳蓝光市政工程有限公司</v>
      </c>
      <c r="B11" s="129" t="str">
        <f>报表附注!E1531</f>
        <v>项目10</v>
      </c>
      <c r="C11" s="130">
        <f>报表附注!F1531</f>
        <v>0</v>
      </c>
      <c r="D11" s="130">
        <f>报表附注!G1531</f>
        <v>0</v>
      </c>
      <c r="E11" s="130">
        <f>报表附注!H1531</f>
        <v>0</v>
      </c>
      <c r="F11" s="130">
        <f>报表附注!I1531</f>
        <v>0</v>
      </c>
      <c r="G11" s="130">
        <f>报表附注!J1531</f>
        <v>0</v>
      </c>
      <c r="H11" s="131">
        <f t="shared" si="0"/>
        <v>0</v>
      </c>
      <c r="I11" s="138"/>
    </row>
    <row r="12" spans="1:9">
      <c r="A12" s="120" t="str">
        <f>报表附注!$G$1</f>
        <v>石嘴山市深阳蓝光市政工程有限公司</v>
      </c>
      <c r="B12" s="129" t="str">
        <f>报表附注!E1532</f>
        <v>项目11</v>
      </c>
      <c r="C12" s="130">
        <f>报表附注!F1532</f>
        <v>0</v>
      </c>
      <c r="D12" s="130">
        <f>报表附注!G1532</f>
        <v>0</v>
      </c>
      <c r="E12" s="130">
        <f>报表附注!H1532</f>
        <v>0</v>
      </c>
      <c r="F12" s="130">
        <f>报表附注!I1532</f>
        <v>0</v>
      </c>
      <c r="G12" s="130">
        <f>报表附注!J1532</f>
        <v>0</v>
      </c>
      <c r="H12" s="131">
        <f t="shared" si="0"/>
        <v>0</v>
      </c>
      <c r="I12" s="138"/>
    </row>
    <row r="13" spans="1:9">
      <c r="A13" s="120" t="str">
        <f>报表附注!$G$1</f>
        <v>石嘴山市深阳蓝光市政工程有限公司</v>
      </c>
      <c r="B13" s="129" t="str">
        <f>报表附注!E1533</f>
        <v>项目12</v>
      </c>
      <c r="C13" s="130">
        <f>报表附注!F1533</f>
        <v>0</v>
      </c>
      <c r="D13" s="130">
        <f>报表附注!G1533</f>
        <v>0</v>
      </c>
      <c r="E13" s="130">
        <f>报表附注!H1533</f>
        <v>0</v>
      </c>
      <c r="F13" s="130">
        <f>报表附注!I1533</f>
        <v>0</v>
      </c>
      <c r="G13" s="130">
        <f>报表附注!J1533</f>
        <v>0</v>
      </c>
      <c r="H13" s="131">
        <f t="shared" si="0"/>
        <v>0</v>
      </c>
      <c r="I13" s="138"/>
    </row>
    <row r="14" spans="1:9">
      <c r="A14" s="120" t="str">
        <f>报表附注!$G$1</f>
        <v>石嘴山市深阳蓝光市政工程有限公司</v>
      </c>
      <c r="B14" s="129" t="str">
        <f>报表附注!E1534</f>
        <v>项目13</v>
      </c>
      <c r="C14" s="130">
        <f>报表附注!F1534</f>
        <v>0</v>
      </c>
      <c r="D14" s="130">
        <f>报表附注!G1534</f>
        <v>0</v>
      </c>
      <c r="E14" s="130">
        <f>报表附注!H1534</f>
        <v>0</v>
      </c>
      <c r="F14" s="130">
        <f>报表附注!I1534</f>
        <v>0</v>
      </c>
      <c r="G14" s="130">
        <f>报表附注!J1534</f>
        <v>0</v>
      </c>
      <c r="H14" s="131">
        <f t="shared" si="0"/>
        <v>0</v>
      </c>
      <c r="I14" s="138"/>
    </row>
    <row r="15" spans="1:9">
      <c r="A15" s="120" t="str">
        <f>报表附注!$G$1</f>
        <v>石嘴山市深阳蓝光市政工程有限公司</v>
      </c>
      <c r="B15" s="129" t="str">
        <f>报表附注!E1535</f>
        <v>项目14</v>
      </c>
      <c r="C15" s="130">
        <f>报表附注!F1535</f>
        <v>0</v>
      </c>
      <c r="D15" s="130">
        <f>报表附注!G1535</f>
        <v>0</v>
      </c>
      <c r="E15" s="130">
        <f>报表附注!H1535</f>
        <v>0</v>
      </c>
      <c r="F15" s="130">
        <f>报表附注!I1535</f>
        <v>0</v>
      </c>
      <c r="G15" s="130">
        <f>报表附注!J1535</f>
        <v>0</v>
      </c>
      <c r="H15" s="131">
        <f t="shared" si="0"/>
        <v>0</v>
      </c>
      <c r="I15" s="138"/>
    </row>
    <row r="16" spans="1:9">
      <c r="A16" s="120" t="str">
        <f>报表附注!$G$1</f>
        <v>石嘴山市深阳蓝光市政工程有限公司</v>
      </c>
      <c r="B16" s="129" t="str">
        <f>报表附注!E1536</f>
        <v>项目15</v>
      </c>
      <c r="C16" s="130">
        <f>报表附注!F1536</f>
        <v>0</v>
      </c>
      <c r="D16" s="130">
        <f>报表附注!G1536</f>
        <v>0</v>
      </c>
      <c r="E16" s="130">
        <f>报表附注!H1536</f>
        <v>0</v>
      </c>
      <c r="F16" s="130">
        <f>报表附注!I1536</f>
        <v>0</v>
      </c>
      <c r="G16" s="130">
        <f>报表附注!J1536</f>
        <v>0</v>
      </c>
      <c r="H16" s="131">
        <f t="shared" si="0"/>
        <v>0</v>
      </c>
      <c r="I16" s="138"/>
    </row>
    <row r="17" spans="1:9">
      <c r="A17" s="120" t="str">
        <f>报表附注!$G$1</f>
        <v>石嘴山市深阳蓝光市政工程有限公司</v>
      </c>
      <c r="B17" s="129" t="str">
        <f>报表附注!E1537</f>
        <v>项目16</v>
      </c>
      <c r="C17" s="130">
        <f>报表附注!F1537</f>
        <v>0</v>
      </c>
      <c r="D17" s="130">
        <f>报表附注!G1537</f>
        <v>0</v>
      </c>
      <c r="E17" s="130">
        <f>报表附注!H1537</f>
        <v>0</v>
      </c>
      <c r="F17" s="130">
        <f>报表附注!I1537</f>
        <v>0</v>
      </c>
      <c r="G17" s="130">
        <f>报表附注!J1537</f>
        <v>0</v>
      </c>
      <c r="H17" s="131">
        <f t="shared" si="0"/>
        <v>0</v>
      </c>
      <c r="I17" s="138"/>
    </row>
    <row r="18" spans="1:9">
      <c r="A18" s="120" t="str">
        <f>报表附注!$G$1</f>
        <v>石嘴山市深阳蓝光市政工程有限公司</v>
      </c>
      <c r="B18" s="129" t="str">
        <f>报表附注!E1538</f>
        <v>项目17</v>
      </c>
      <c r="C18" s="130">
        <f>报表附注!F1538</f>
        <v>0</v>
      </c>
      <c r="D18" s="130">
        <f>报表附注!G1538</f>
        <v>0</v>
      </c>
      <c r="E18" s="130">
        <f>报表附注!H1538</f>
        <v>0</v>
      </c>
      <c r="F18" s="130">
        <f>报表附注!I1538</f>
        <v>0</v>
      </c>
      <c r="G18" s="130">
        <f>报表附注!J1538</f>
        <v>0</v>
      </c>
      <c r="H18" s="131">
        <f t="shared" si="0"/>
        <v>0</v>
      </c>
      <c r="I18" s="138"/>
    </row>
    <row r="19" spans="1:9">
      <c r="A19" s="120" t="str">
        <f>报表附注!$G$1</f>
        <v>石嘴山市深阳蓝光市政工程有限公司</v>
      </c>
      <c r="B19" s="129" t="str">
        <f>报表附注!E1539</f>
        <v>项目18</v>
      </c>
      <c r="C19" s="130">
        <f>报表附注!F1539</f>
        <v>0</v>
      </c>
      <c r="D19" s="130">
        <f>报表附注!G1539</f>
        <v>0</v>
      </c>
      <c r="E19" s="130">
        <f>报表附注!H1539</f>
        <v>0</v>
      </c>
      <c r="F19" s="130">
        <f>报表附注!I1539</f>
        <v>0</v>
      </c>
      <c r="G19" s="130">
        <f>报表附注!J1539</f>
        <v>0</v>
      </c>
      <c r="H19" s="131">
        <f t="shared" si="0"/>
        <v>0</v>
      </c>
      <c r="I19" s="138"/>
    </row>
    <row r="20" spans="1:9">
      <c r="A20" s="120" t="str">
        <f>报表附注!$G$1</f>
        <v>石嘴山市深阳蓝光市政工程有限公司</v>
      </c>
      <c r="B20" s="129" t="str">
        <f>报表附注!E1540</f>
        <v>项目19</v>
      </c>
      <c r="C20" s="130">
        <f>报表附注!F1540</f>
        <v>0</v>
      </c>
      <c r="D20" s="130">
        <f>报表附注!G1540</f>
        <v>0</v>
      </c>
      <c r="E20" s="130">
        <f>报表附注!H1540</f>
        <v>0</v>
      </c>
      <c r="F20" s="130">
        <f>报表附注!I1540</f>
        <v>0</v>
      </c>
      <c r="G20" s="130">
        <f>报表附注!J1540</f>
        <v>0</v>
      </c>
      <c r="H20" s="131">
        <f t="shared" si="0"/>
        <v>0</v>
      </c>
      <c r="I20" s="138"/>
    </row>
    <row r="21" spans="1:9">
      <c r="A21" s="120" t="str">
        <f>报表附注!$G$1</f>
        <v>石嘴山市深阳蓝光市政工程有限公司</v>
      </c>
      <c r="B21" s="129" t="str">
        <f>报表附注!E1541</f>
        <v>项目20</v>
      </c>
      <c r="C21" s="130">
        <f>报表附注!F1541</f>
        <v>0</v>
      </c>
      <c r="D21" s="130">
        <f>报表附注!G1541</f>
        <v>0</v>
      </c>
      <c r="E21" s="130">
        <f>报表附注!H1541</f>
        <v>0</v>
      </c>
      <c r="F21" s="130">
        <f>报表附注!I1541</f>
        <v>0</v>
      </c>
      <c r="G21" s="130">
        <f>报表附注!J1541</f>
        <v>0</v>
      </c>
      <c r="H21" s="131">
        <f t="shared" si="0"/>
        <v>0</v>
      </c>
      <c r="I21" s="138"/>
    </row>
    <row r="22" spans="1:9">
      <c r="A22" s="120" t="str">
        <f>报表附注!$G$1</f>
        <v>石嘴山市深阳蓝光市政工程有限公司</v>
      </c>
      <c r="B22" s="129" t="str">
        <f>报表附注!E1542</f>
        <v>项目21</v>
      </c>
      <c r="C22" s="130">
        <f>报表附注!F1542</f>
        <v>0</v>
      </c>
      <c r="D22" s="130">
        <f>报表附注!G1542</f>
        <v>0</v>
      </c>
      <c r="E22" s="130">
        <f>报表附注!H1542</f>
        <v>0</v>
      </c>
      <c r="F22" s="130">
        <f>报表附注!I1542</f>
        <v>0</v>
      </c>
      <c r="G22" s="130">
        <f>报表附注!J1542</f>
        <v>0</v>
      </c>
      <c r="H22" s="131">
        <f t="shared" si="0"/>
        <v>0</v>
      </c>
      <c r="I22" s="138"/>
    </row>
    <row r="23" spans="1:9">
      <c r="A23" s="120" t="str">
        <f>报表附注!$G$1</f>
        <v>石嘴山市深阳蓝光市政工程有限公司</v>
      </c>
      <c r="B23" s="129" t="str">
        <f>报表附注!E1543</f>
        <v>项目22</v>
      </c>
      <c r="C23" s="130">
        <f>报表附注!F1543</f>
        <v>0</v>
      </c>
      <c r="D23" s="130">
        <f>报表附注!G1543</f>
        <v>0</v>
      </c>
      <c r="E23" s="130">
        <f>报表附注!H1543</f>
        <v>0</v>
      </c>
      <c r="F23" s="130">
        <f>报表附注!I1543</f>
        <v>0</v>
      </c>
      <c r="G23" s="130">
        <f>报表附注!J1543</f>
        <v>0</v>
      </c>
      <c r="H23" s="131">
        <f t="shared" si="0"/>
        <v>0</v>
      </c>
      <c r="I23" s="138"/>
    </row>
    <row r="24" spans="1:9">
      <c r="A24" s="120" t="str">
        <f>报表附注!$G$1</f>
        <v>石嘴山市深阳蓝光市政工程有限公司</v>
      </c>
      <c r="B24" s="129" t="str">
        <f>报表附注!E1544</f>
        <v>项目23</v>
      </c>
      <c r="C24" s="130">
        <f>报表附注!F1544</f>
        <v>0</v>
      </c>
      <c r="D24" s="130">
        <f>报表附注!G1544</f>
        <v>0</v>
      </c>
      <c r="E24" s="130">
        <f>报表附注!H1544</f>
        <v>0</v>
      </c>
      <c r="F24" s="130">
        <f>报表附注!I1544</f>
        <v>0</v>
      </c>
      <c r="G24" s="130">
        <f>报表附注!J1544</f>
        <v>0</v>
      </c>
      <c r="H24" s="131">
        <f t="shared" si="0"/>
        <v>0</v>
      </c>
      <c r="I24" s="138"/>
    </row>
    <row r="25" spans="1:9">
      <c r="A25" s="120" t="str">
        <f>报表附注!$G$1</f>
        <v>石嘴山市深阳蓝光市政工程有限公司</v>
      </c>
      <c r="B25" s="129" t="str">
        <f>报表附注!E1545</f>
        <v>项目24</v>
      </c>
      <c r="C25" s="130">
        <f>报表附注!F1545</f>
        <v>0</v>
      </c>
      <c r="D25" s="130">
        <f>报表附注!G1545</f>
        <v>0</v>
      </c>
      <c r="E25" s="130">
        <f>报表附注!H1545</f>
        <v>0</v>
      </c>
      <c r="F25" s="130">
        <f>报表附注!I1545</f>
        <v>0</v>
      </c>
      <c r="G25" s="130">
        <f>报表附注!J1545</f>
        <v>0</v>
      </c>
      <c r="H25" s="131">
        <f t="shared" si="0"/>
        <v>0</v>
      </c>
      <c r="I25" s="138"/>
    </row>
    <row r="26" spans="1:9">
      <c r="A26" s="120" t="str">
        <f>报表附注!$G$1</f>
        <v>石嘴山市深阳蓝光市政工程有限公司</v>
      </c>
      <c r="B26" s="129" t="str">
        <f>报表附注!E1546</f>
        <v>项目25</v>
      </c>
      <c r="C26" s="132">
        <f>报表附注!F1546</f>
        <v>0</v>
      </c>
      <c r="D26" s="132">
        <f>报表附注!G1546</f>
        <v>0</v>
      </c>
      <c r="E26" s="132">
        <f>报表附注!H1546</f>
        <v>0</v>
      </c>
      <c r="F26" s="132">
        <f>报表附注!I1546</f>
        <v>0</v>
      </c>
      <c r="G26" s="133">
        <f>报表附注!J1546</f>
        <v>0</v>
      </c>
      <c r="H26" s="131">
        <f t="shared" si="0"/>
        <v>0</v>
      </c>
      <c r="I26" s="138"/>
    </row>
    <row r="27" spans="1:9">
      <c r="A27" s="120" t="str">
        <f>报表附注!$G$1</f>
        <v>石嘴山市深阳蓝光市政工程有限公司</v>
      </c>
      <c r="B27" s="129" t="str">
        <f>报表附注!E1547</f>
        <v>项目26</v>
      </c>
      <c r="C27" s="132">
        <f>报表附注!F1547</f>
        <v>0</v>
      </c>
      <c r="D27" s="132">
        <f>报表附注!G1547</f>
        <v>0</v>
      </c>
      <c r="E27" s="132">
        <f>报表附注!H1547</f>
        <v>0</v>
      </c>
      <c r="F27" s="132">
        <f>报表附注!I1547</f>
        <v>0</v>
      </c>
      <c r="G27" s="133">
        <f>报表附注!J1547</f>
        <v>0</v>
      </c>
      <c r="H27" s="131">
        <f t="shared" si="0"/>
        <v>0</v>
      </c>
      <c r="I27" s="138"/>
    </row>
    <row r="28" spans="1:9">
      <c r="A28" s="120" t="str">
        <f>报表附注!$G$1</f>
        <v>石嘴山市深阳蓝光市政工程有限公司</v>
      </c>
      <c r="B28" s="129" t="str">
        <f>报表附注!E1548</f>
        <v>项目27</v>
      </c>
      <c r="C28" s="132">
        <f>报表附注!F1548</f>
        <v>0</v>
      </c>
      <c r="D28" s="132">
        <f>报表附注!G1548</f>
        <v>0</v>
      </c>
      <c r="E28" s="132">
        <f>报表附注!H1548</f>
        <v>0</v>
      </c>
      <c r="F28" s="132">
        <f>报表附注!I1548</f>
        <v>0</v>
      </c>
      <c r="G28" s="133">
        <f>报表附注!J1548</f>
        <v>0</v>
      </c>
      <c r="H28" s="131">
        <f t="shared" si="0"/>
        <v>0</v>
      </c>
      <c r="I28" s="138"/>
    </row>
    <row r="29" spans="1:9">
      <c r="A29" s="120" t="str">
        <f>报表附注!$G$1</f>
        <v>石嘴山市深阳蓝光市政工程有限公司</v>
      </c>
      <c r="B29" s="129" t="str">
        <f>报表附注!E1549</f>
        <v>项目28</v>
      </c>
      <c r="C29" s="132">
        <f>报表附注!F1549</f>
        <v>0</v>
      </c>
      <c r="D29" s="132">
        <f>报表附注!G1549</f>
        <v>0</v>
      </c>
      <c r="E29" s="132">
        <f>报表附注!H1549</f>
        <v>0</v>
      </c>
      <c r="F29" s="132">
        <f>报表附注!I1549</f>
        <v>0</v>
      </c>
      <c r="G29" s="133">
        <f>报表附注!J1549</f>
        <v>0</v>
      </c>
      <c r="H29" s="131">
        <f t="shared" si="0"/>
        <v>0</v>
      </c>
      <c r="I29" s="138"/>
    </row>
    <row r="30" spans="1:9">
      <c r="A30" s="120" t="str">
        <f>报表附注!$G$1</f>
        <v>石嘴山市深阳蓝光市政工程有限公司</v>
      </c>
      <c r="B30" s="129" t="str">
        <f>报表附注!E1550</f>
        <v>项目29</v>
      </c>
      <c r="C30" s="132">
        <f>报表附注!F1550</f>
        <v>0</v>
      </c>
      <c r="D30" s="132">
        <f>报表附注!G1550</f>
        <v>0</v>
      </c>
      <c r="E30" s="132">
        <f>报表附注!H1550</f>
        <v>0</v>
      </c>
      <c r="F30" s="132">
        <f>报表附注!I1550</f>
        <v>0</v>
      </c>
      <c r="G30" s="133">
        <f>报表附注!J1550</f>
        <v>0</v>
      </c>
      <c r="H30" s="131">
        <f t="shared" si="0"/>
        <v>0</v>
      </c>
      <c r="I30" s="138"/>
    </row>
    <row r="31" spans="1:9">
      <c r="A31" s="120" t="str">
        <f>报表附注!$G$1</f>
        <v>石嘴山市深阳蓝光市政工程有限公司</v>
      </c>
      <c r="B31" s="129" t="str">
        <f>报表附注!E1551</f>
        <v>项目30</v>
      </c>
      <c r="C31" s="132">
        <f>报表附注!F1551</f>
        <v>0</v>
      </c>
      <c r="D31" s="132">
        <f>报表附注!G1551</f>
        <v>0</v>
      </c>
      <c r="E31" s="132">
        <f>报表附注!H1551</f>
        <v>0</v>
      </c>
      <c r="F31" s="132">
        <f>报表附注!I1551</f>
        <v>0</v>
      </c>
      <c r="G31" s="133">
        <f>报表附注!J1551</f>
        <v>0</v>
      </c>
      <c r="H31" s="131">
        <f t="shared" si="0"/>
        <v>0</v>
      </c>
      <c r="I31" s="138"/>
    </row>
    <row r="32" spans="1:9">
      <c r="A32" s="120" t="str">
        <f>报表附注!$G$1</f>
        <v>石嘴山市深阳蓝光市政工程有限公司</v>
      </c>
      <c r="B32" s="134" t="s">
        <v>1580</v>
      </c>
      <c r="C32" s="135">
        <f t="shared" ref="C32:H32" si="1">ROUND(SUM(C2:C31),2)</f>
        <v>0</v>
      </c>
      <c r="D32" s="135">
        <f t="shared" si="1"/>
        <v>0</v>
      </c>
      <c r="E32" s="135">
        <f t="shared" si="1"/>
        <v>0</v>
      </c>
      <c r="F32" s="135">
        <f t="shared" si="1"/>
        <v>0</v>
      </c>
      <c r="G32" s="135">
        <f t="shared" si="1"/>
        <v>0</v>
      </c>
      <c r="H32" s="135">
        <f t="shared" si="1"/>
        <v>0</v>
      </c>
      <c r="I32" s="139"/>
    </row>
  </sheetData>
  <conditionalFormatting sqref="B1:B32">
    <cfRule type="containsText" dxfId="6" priority="1" operator="between" text="文字描述">
      <formula>NOT(ISERROR(SEARCH("文字描述",B1)))</formula>
    </cfRule>
  </conditionalFormatting>
  <pageMargins left="0.7" right="0.7" top="0.75" bottom="0.75" header="0.3" footer="0.3"/>
  <headerFooter/>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Q53"/>
  <sheetViews>
    <sheetView zoomScale="120" zoomScaleNormal="120" workbookViewId="0">
      <pane xSplit="2" ySplit="2" topLeftCell="C3" activePane="bottomRight" state="frozen"/>
      <selection/>
      <selection pane="topRight"/>
      <selection pane="bottomLeft"/>
      <selection pane="bottomRight" activeCell="A1" sqref="A1"/>
    </sheetView>
  </sheetViews>
  <sheetFormatPr defaultColWidth="9" defaultRowHeight="12.95" customHeight="1"/>
  <cols>
    <col min="1" max="1" width="4.125" style="107" hidden="1" customWidth="1"/>
    <col min="2" max="2" width="22.125" customWidth="1"/>
    <col min="3" max="17" width="13.625" customWidth="1"/>
  </cols>
  <sheetData>
    <row r="1" customHeight="1" spans="1:17">
      <c r="A1" s="64" t="str">
        <f>报表附注!G1</f>
        <v>石嘴山市深阳蓝光市政工程有限公司</v>
      </c>
      <c r="B1" s="65" t="s">
        <v>4248</v>
      </c>
      <c r="C1" s="66" t="s">
        <v>4130</v>
      </c>
      <c r="D1" s="85"/>
      <c r="E1" s="85"/>
      <c r="F1" s="85"/>
      <c r="G1" s="85"/>
      <c r="H1" s="68" t="s">
        <v>4914</v>
      </c>
      <c r="I1" s="68"/>
      <c r="J1" s="68"/>
      <c r="K1" s="68"/>
      <c r="L1" s="68"/>
      <c r="M1" s="104" t="s">
        <v>4915</v>
      </c>
      <c r="N1" s="125"/>
      <c r="O1" s="125"/>
      <c r="P1" s="125"/>
      <c r="Q1" s="125"/>
    </row>
    <row r="2" customHeight="1" spans="1:17">
      <c r="A2" s="64" t="str">
        <f>A1</f>
        <v>石嘴山市深阳蓝光市政工程有限公司</v>
      </c>
      <c r="B2" s="108" t="s">
        <v>60</v>
      </c>
      <c r="C2" s="108" t="s">
        <v>4251</v>
      </c>
      <c r="D2" s="108" t="s">
        <v>1659</v>
      </c>
      <c r="E2" s="108" t="s">
        <v>4252</v>
      </c>
      <c r="F2" s="108" t="s">
        <v>4253</v>
      </c>
      <c r="G2" s="108" t="s">
        <v>1580</v>
      </c>
      <c r="H2" s="109" t="s">
        <v>4251</v>
      </c>
      <c r="I2" s="109" t="s">
        <v>1659</v>
      </c>
      <c r="J2" s="109" t="s">
        <v>4252</v>
      </c>
      <c r="K2" s="109" t="s">
        <v>4253</v>
      </c>
      <c r="L2" s="109" t="s">
        <v>1580</v>
      </c>
      <c r="M2" s="109" t="s">
        <v>4251</v>
      </c>
      <c r="N2" s="109" t="s">
        <v>1659</v>
      </c>
      <c r="O2" s="109" t="s">
        <v>4252</v>
      </c>
      <c r="P2" s="109" t="s">
        <v>4253</v>
      </c>
      <c r="Q2" s="109" t="s">
        <v>1580</v>
      </c>
    </row>
    <row r="3" customHeight="1" spans="1:17">
      <c r="A3" s="64" t="str">
        <f t="shared" ref="A3:A52" si="0">A2</f>
        <v>石嘴山市深阳蓝光市政工程有限公司</v>
      </c>
      <c r="B3" s="79" t="s">
        <v>4256</v>
      </c>
      <c r="C3" s="110"/>
      <c r="D3" s="110"/>
      <c r="E3" s="110"/>
      <c r="F3" s="110"/>
      <c r="G3" s="110"/>
      <c r="H3" s="111"/>
      <c r="I3" s="111"/>
      <c r="J3" s="111"/>
      <c r="K3" s="111"/>
      <c r="L3" s="111"/>
      <c r="M3" s="111"/>
      <c r="N3" s="111"/>
      <c r="O3" s="111"/>
      <c r="P3" s="111"/>
      <c r="Q3" s="111"/>
    </row>
    <row r="4" customHeight="1" spans="1:17">
      <c r="A4" s="64" t="str">
        <f t="shared" si="0"/>
        <v>石嘴山市深阳蓝光市政工程有限公司</v>
      </c>
      <c r="B4" s="79" t="s">
        <v>4259</v>
      </c>
      <c r="C4" s="112">
        <f>报表附注!F3798</f>
        <v>0</v>
      </c>
      <c r="D4" s="112">
        <f>报表附注!G3798</f>
        <v>0</v>
      </c>
      <c r="E4" s="112">
        <f>报表附注!H3798</f>
        <v>0</v>
      </c>
      <c r="F4" s="112">
        <f>报表附注!I3798</f>
        <v>0</v>
      </c>
      <c r="G4" s="73">
        <f>ROUND(SUM(C4:F4),2)</f>
        <v>0</v>
      </c>
      <c r="H4" s="113"/>
      <c r="I4" s="113"/>
      <c r="J4" s="113"/>
      <c r="K4" s="113"/>
      <c r="L4" s="126">
        <f>ROUND(SUM(H4:K4),2)</f>
        <v>0</v>
      </c>
      <c r="M4" s="106">
        <f>C4-H4</f>
        <v>0</v>
      </c>
      <c r="N4" s="106">
        <f>D4-I4</f>
        <v>0</v>
      </c>
      <c r="O4" s="106">
        <f>E4-J4</f>
        <v>0</v>
      </c>
      <c r="P4" s="106">
        <f>F4-K4</f>
        <v>0</v>
      </c>
      <c r="Q4" s="126">
        <f>ROUND(SUM(M4:P4),2)</f>
        <v>0</v>
      </c>
    </row>
    <row r="5" customHeight="1" spans="1:17">
      <c r="A5" s="64" t="str">
        <f t="shared" si="0"/>
        <v>石嘴山市深阳蓝光市政工程有限公司</v>
      </c>
      <c r="B5" s="79" t="s">
        <v>4262</v>
      </c>
      <c r="C5" s="73">
        <f>ROUND(SUM(C6:C11),2)</f>
        <v>0</v>
      </c>
      <c r="D5" s="73">
        <f>ROUND(SUM(D6:D11),2)</f>
        <v>0</v>
      </c>
      <c r="E5" s="73">
        <f>ROUND(SUM(E6:E11),2)</f>
        <v>0</v>
      </c>
      <c r="F5" s="73">
        <f>ROUND(SUM(F6:F11),2)</f>
        <v>0</v>
      </c>
      <c r="G5" s="73">
        <f t="shared" ref="G5:G39" si="1">ROUND(SUM(C5:F5),2)</f>
        <v>0</v>
      </c>
      <c r="H5" s="114">
        <f>ROUND(SUM(H6:H11),2)</f>
        <v>0</v>
      </c>
      <c r="I5" s="114">
        <f>ROUND(SUM(I6:I11),2)</f>
        <v>0</v>
      </c>
      <c r="J5" s="114">
        <f>ROUND(SUM(J6:J11),2)</f>
        <v>0</v>
      </c>
      <c r="K5" s="114">
        <f>ROUND(SUM(K6:K11),2)</f>
        <v>0</v>
      </c>
      <c r="L5" s="126">
        <f t="shared" ref="L5:L39" si="2">ROUND(SUM(H5:K5),2)</f>
        <v>0</v>
      </c>
      <c r="M5" s="126">
        <f>ROUND(SUM(M6:M11),2)</f>
        <v>0</v>
      </c>
      <c r="N5" s="126">
        <f>ROUND(SUM(N6:N11),2)</f>
        <v>0</v>
      </c>
      <c r="O5" s="126">
        <f>ROUND(SUM(O6:O11),2)</f>
        <v>0</v>
      </c>
      <c r="P5" s="126">
        <f>ROUND(SUM(P6:P11),2)</f>
        <v>0</v>
      </c>
      <c r="Q5" s="126">
        <f t="shared" ref="Q5:Q39" si="3">ROUND(SUM(M5:P5),2)</f>
        <v>0</v>
      </c>
    </row>
    <row r="6" customHeight="1" spans="1:17">
      <c r="A6" s="64" t="str">
        <f t="shared" si="0"/>
        <v>石嘴山市深阳蓝光市政工程有限公司</v>
      </c>
      <c r="B6" s="115" t="s">
        <v>4265</v>
      </c>
      <c r="C6" s="112">
        <f>报表附注!F3800</f>
        <v>0</v>
      </c>
      <c r="D6" s="112">
        <f>报表附注!G3800</f>
        <v>0</v>
      </c>
      <c r="E6" s="112">
        <f>报表附注!H3800</f>
        <v>0</v>
      </c>
      <c r="F6" s="112">
        <f>报表附注!I3800</f>
        <v>0</v>
      </c>
      <c r="G6" s="73">
        <f t="shared" si="1"/>
        <v>0</v>
      </c>
      <c r="H6" s="116"/>
      <c r="I6" s="116"/>
      <c r="J6" s="116"/>
      <c r="K6" s="116"/>
      <c r="L6" s="126">
        <f t="shared" si="2"/>
        <v>0</v>
      </c>
      <c r="M6" s="106">
        <f t="shared" ref="M6:M11" si="4">C6-H6</f>
        <v>0</v>
      </c>
      <c r="N6" s="106">
        <f t="shared" ref="N6:N11" si="5">D6-I6</f>
        <v>0</v>
      </c>
      <c r="O6" s="106">
        <f t="shared" ref="O6:O11" si="6">E6-J6</f>
        <v>0</v>
      </c>
      <c r="P6" s="106">
        <f t="shared" ref="P6:P11" si="7">F6-K6</f>
        <v>0</v>
      </c>
      <c r="Q6" s="126">
        <f t="shared" si="3"/>
        <v>0</v>
      </c>
    </row>
    <row r="7" customHeight="1" spans="1:17">
      <c r="A7" s="64" t="str">
        <f t="shared" si="0"/>
        <v>石嘴山市深阳蓝光市政工程有限公司</v>
      </c>
      <c r="B7" s="115" t="s">
        <v>4268</v>
      </c>
      <c r="C7" s="112">
        <f>报表附注!F3801</f>
        <v>0</v>
      </c>
      <c r="D7" s="112">
        <f>报表附注!G3801</f>
        <v>0</v>
      </c>
      <c r="E7" s="112">
        <f>报表附注!H3801</f>
        <v>0</v>
      </c>
      <c r="F7" s="112">
        <f>报表附注!I3801</f>
        <v>0</v>
      </c>
      <c r="G7" s="73">
        <f t="shared" si="1"/>
        <v>0</v>
      </c>
      <c r="H7" s="116"/>
      <c r="I7" s="116"/>
      <c r="J7" s="116"/>
      <c r="K7" s="116"/>
      <c r="L7" s="126">
        <f t="shared" si="2"/>
        <v>0</v>
      </c>
      <c r="M7" s="106">
        <f t="shared" si="4"/>
        <v>0</v>
      </c>
      <c r="N7" s="106">
        <f t="shared" si="5"/>
        <v>0</v>
      </c>
      <c r="O7" s="106">
        <f t="shared" si="6"/>
        <v>0</v>
      </c>
      <c r="P7" s="106">
        <f t="shared" si="7"/>
        <v>0</v>
      </c>
      <c r="Q7" s="126">
        <f t="shared" si="3"/>
        <v>0</v>
      </c>
    </row>
    <row r="8" customHeight="1" spans="1:17">
      <c r="A8" s="64" t="str">
        <f t="shared" si="0"/>
        <v>石嘴山市深阳蓝光市政工程有限公司</v>
      </c>
      <c r="B8" s="115" t="s">
        <v>4271</v>
      </c>
      <c r="C8" s="112">
        <f>报表附注!F3802</f>
        <v>0</v>
      </c>
      <c r="D8" s="112">
        <f>报表附注!G3802</f>
        <v>0</v>
      </c>
      <c r="E8" s="112">
        <f>报表附注!H3802</f>
        <v>0</v>
      </c>
      <c r="F8" s="112">
        <f>报表附注!I3802</f>
        <v>0</v>
      </c>
      <c r="G8" s="73">
        <f t="shared" si="1"/>
        <v>0</v>
      </c>
      <c r="H8" s="116"/>
      <c r="I8" s="116"/>
      <c r="J8" s="116"/>
      <c r="K8" s="116"/>
      <c r="L8" s="126">
        <f t="shared" si="2"/>
        <v>0</v>
      </c>
      <c r="M8" s="106">
        <f t="shared" si="4"/>
        <v>0</v>
      </c>
      <c r="N8" s="106">
        <f t="shared" si="5"/>
        <v>0</v>
      </c>
      <c r="O8" s="106">
        <f t="shared" si="6"/>
        <v>0</v>
      </c>
      <c r="P8" s="106">
        <f t="shared" si="7"/>
        <v>0</v>
      </c>
      <c r="Q8" s="126">
        <f t="shared" si="3"/>
        <v>0</v>
      </c>
    </row>
    <row r="9" customHeight="1" spans="1:17">
      <c r="A9" s="64" t="str">
        <f t="shared" si="0"/>
        <v>石嘴山市深阳蓝光市政工程有限公司</v>
      </c>
      <c r="B9" s="79" t="s">
        <v>4274</v>
      </c>
      <c r="C9" s="112">
        <f>报表附注!F3803</f>
        <v>0</v>
      </c>
      <c r="D9" s="112">
        <f>报表附注!G3803</f>
        <v>0</v>
      </c>
      <c r="E9" s="112">
        <f>报表附注!H3803</f>
        <v>0</v>
      </c>
      <c r="F9" s="112">
        <f>报表附注!I3803</f>
        <v>0</v>
      </c>
      <c r="G9" s="73">
        <f t="shared" si="1"/>
        <v>0</v>
      </c>
      <c r="H9" s="116"/>
      <c r="I9" s="116"/>
      <c r="J9" s="116"/>
      <c r="K9" s="116"/>
      <c r="L9" s="126">
        <f t="shared" si="2"/>
        <v>0</v>
      </c>
      <c r="M9" s="106">
        <f t="shared" si="4"/>
        <v>0</v>
      </c>
      <c r="N9" s="106">
        <f t="shared" si="5"/>
        <v>0</v>
      </c>
      <c r="O9" s="106">
        <f t="shared" si="6"/>
        <v>0</v>
      </c>
      <c r="P9" s="106">
        <f t="shared" si="7"/>
        <v>0</v>
      </c>
      <c r="Q9" s="126">
        <f t="shared" si="3"/>
        <v>0</v>
      </c>
    </row>
    <row r="10" customHeight="1" spans="1:17">
      <c r="A10" s="64" t="str">
        <f t="shared" si="0"/>
        <v>石嘴山市深阳蓝光市政工程有限公司</v>
      </c>
      <c r="B10" s="79" t="s">
        <v>4277</v>
      </c>
      <c r="C10" s="112">
        <f>报表附注!F3804</f>
        <v>0</v>
      </c>
      <c r="D10" s="112">
        <f>报表附注!G3804</f>
        <v>0</v>
      </c>
      <c r="E10" s="112">
        <f>报表附注!H3804</f>
        <v>0</v>
      </c>
      <c r="F10" s="112">
        <f>报表附注!I3804</f>
        <v>0</v>
      </c>
      <c r="G10" s="73">
        <f t="shared" si="1"/>
        <v>0</v>
      </c>
      <c r="H10" s="116"/>
      <c r="I10" s="116"/>
      <c r="J10" s="116"/>
      <c r="K10" s="116"/>
      <c r="L10" s="126">
        <f t="shared" si="2"/>
        <v>0</v>
      </c>
      <c r="M10" s="106">
        <f t="shared" si="4"/>
        <v>0</v>
      </c>
      <c r="N10" s="106">
        <f t="shared" si="5"/>
        <v>0</v>
      </c>
      <c r="O10" s="106">
        <f t="shared" si="6"/>
        <v>0</v>
      </c>
      <c r="P10" s="106">
        <f t="shared" si="7"/>
        <v>0</v>
      </c>
      <c r="Q10" s="126">
        <f t="shared" si="3"/>
        <v>0</v>
      </c>
    </row>
    <row r="11" customHeight="1" spans="1:17">
      <c r="A11" s="64" t="str">
        <f t="shared" si="0"/>
        <v>石嘴山市深阳蓝光市政工程有限公司</v>
      </c>
      <c r="B11" s="79" t="s">
        <v>4280</v>
      </c>
      <c r="C11" s="112">
        <f>报表附注!F3805</f>
        <v>0</v>
      </c>
      <c r="D11" s="112">
        <f>报表附注!G3805</f>
        <v>0</v>
      </c>
      <c r="E11" s="112">
        <f>报表附注!H3805</f>
        <v>0</v>
      </c>
      <c r="F11" s="112">
        <f>报表附注!I3805</f>
        <v>0</v>
      </c>
      <c r="G11" s="73">
        <f t="shared" si="1"/>
        <v>0</v>
      </c>
      <c r="H11" s="116"/>
      <c r="I11" s="116"/>
      <c r="J11" s="116"/>
      <c r="K11" s="116"/>
      <c r="L11" s="126">
        <f t="shared" si="2"/>
        <v>0</v>
      </c>
      <c r="M11" s="106">
        <f t="shared" si="4"/>
        <v>0</v>
      </c>
      <c r="N11" s="106">
        <f t="shared" si="5"/>
        <v>0</v>
      </c>
      <c r="O11" s="106">
        <f t="shared" si="6"/>
        <v>0</v>
      </c>
      <c r="P11" s="106">
        <f t="shared" si="7"/>
        <v>0</v>
      </c>
      <c r="Q11" s="126">
        <f t="shared" si="3"/>
        <v>0</v>
      </c>
    </row>
    <row r="12" customHeight="1" spans="1:17">
      <c r="A12" s="64" t="str">
        <f t="shared" si="0"/>
        <v>石嘴山市深阳蓝光市政工程有限公司</v>
      </c>
      <c r="B12" s="79" t="s">
        <v>4283</v>
      </c>
      <c r="C12" s="73">
        <f>ROUND(SUM(C13:C16),2)</f>
        <v>0</v>
      </c>
      <c r="D12" s="73">
        <f>ROUND(SUM(D13:D16),2)</f>
        <v>0</v>
      </c>
      <c r="E12" s="73">
        <f>ROUND(SUM(E13:E16),2)</f>
        <v>0</v>
      </c>
      <c r="F12" s="73">
        <f>ROUND(SUM(F13:F16),2)</f>
        <v>0</v>
      </c>
      <c r="G12" s="73">
        <f t="shared" si="1"/>
        <v>0</v>
      </c>
      <c r="H12" s="114">
        <f>ROUND(SUM(H13:H16),2)</f>
        <v>0</v>
      </c>
      <c r="I12" s="114">
        <f>ROUND(SUM(I13:I16),2)</f>
        <v>0</v>
      </c>
      <c r="J12" s="114">
        <f>ROUND(SUM(J13:J16),2)</f>
        <v>0</v>
      </c>
      <c r="K12" s="114">
        <f>ROUND(SUM(K13:K16),2)</f>
        <v>0</v>
      </c>
      <c r="L12" s="126">
        <f t="shared" si="2"/>
        <v>0</v>
      </c>
      <c r="M12" s="126">
        <f>ROUND(SUM(M13:M16),2)</f>
        <v>0</v>
      </c>
      <c r="N12" s="126">
        <f>ROUND(SUM(N13:N16),2)</f>
        <v>0</v>
      </c>
      <c r="O12" s="126">
        <f>ROUND(SUM(O13:O16),2)</f>
        <v>0</v>
      </c>
      <c r="P12" s="126">
        <f>ROUND(SUM(P13:P16),2)</f>
        <v>0</v>
      </c>
      <c r="Q12" s="126">
        <f t="shared" si="3"/>
        <v>0</v>
      </c>
    </row>
    <row r="13" customHeight="1" spans="1:17">
      <c r="A13" s="64" t="str">
        <f t="shared" si="0"/>
        <v>石嘴山市深阳蓝光市政工程有限公司</v>
      </c>
      <c r="B13" s="115" t="s">
        <v>4286</v>
      </c>
      <c r="C13" s="112">
        <f>报表附注!F3807</f>
        <v>0</v>
      </c>
      <c r="D13" s="112">
        <f>报表附注!G3807</f>
        <v>0</v>
      </c>
      <c r="E13" s="112">
        <f>报表附注!H3807</f>
        <v>0</v>
      </c>
      <c r="F13" s="112">
        <f>报表附注!I3807</f>
        <v>0</v>
      </c>
      <c r="G13" s="73">
        <f t="shared" si="1"/>
        <v>0</v>
      </c>
      <c r="H13" s="116"/>
      <c r="I13" s="116"/>
      <c r="J13" s="116"/>
      <c r="K13" s="116"/>
      <c r="L13" s="126">
        <f t="shared" si="2"/>
        <v>0</v>
      </c>
      <c r="M13" s="106">
        <f t="shared" ref="M13:P16" si="8">C13-H13</f>
        <v>0</v>
      </c>
      <c r="N13" s="106">
        <f t="shared" si="8"/>
        <v>0</v>
      </c>
      <c r="O13" s="106">
        <f t="shared" si="8"/>
        <v>0</v>
      </c>
      <c r="P13" s="106">
        <f t="shared" si="8"/>
        <v>0</v>
      </c>
      <c r="Q13" s="126">
        <f t="shared" si="3"/>
        <v>0</v>
      </c>
    </row>
    <row r="14" customHeight="1" spans="1:17">
      <c r="A14" s="64" t="str">
        <f t="shared" si="0"/>
        <v>石嘴山市深阳蓝光市政工程有限公司</v>
      </c>
      <c r="B14" s="79" t="s">
        <v>4289</v>
      </c>
      <c r="C14" s="112">
        <f>报表附注!F3808</f>
        <v>0</v>
      </c>
      <c r="D14" s="112">
        <f>报表附注!G3808</f>
        <v>0</v>
      </c>
      <c r="E14" s="112">
        <f>报表附注!H3808</f>
        <v>0</v>
      </c>
      <c r="F14" s="112">
        <f>报表附注!I3808</f>
        <v>0</v>
      </c>
      <c r="G14" s="73">
        <f t="shared" si="1"/>
        <v>0</v>
      </c>
      <c r="H14" s="116"/>
      <c r="I14" s="116"/>
      <c r="J14" s="116"/>
      <c r="K14" s="116"/>
      <c r="L14" s="126">
        <f t="shared" si="2"/>
        <v>0</v>
      </c>
      <c r="M14" s="106">
        <f t="shared" si="8"/>
        <v>0</v>
      </c>
      <c r="N14" s="106">
        <f t="shared" si="8"/>
        <v>0</v>
      </c>
      <c r="O14" s="106">
        <f t="shared" si="8"/>
        <v>0</v>
      </c>
      <c r="P14" s="106">
        <f t="shared" si="8"/>
        <v>0</v>
      </c>
      <c r="Q14" s="126">
        <f t="shared" si="3"/>
        <v>0</v>
      </c>
    </row>
    <row r="15" customHeight="1" spans="1:17">
      <c r="A15" s="64" t="str">
        <f t="shared" si="0"/>
        <v>石嘴山市深阳蓝光市政工程有限公司</v>
      </c>
      <c r="B15" s="79" t="s">
        <v>4292</v>
      </c>
      <c r="C15" s="112">
        <f>报表附注!F3809</f>
        <v>0</v>
      </c>
      <c r="D15" s="112">
        <f>报表附注!G3809</f>
        <v>0</v>
      </c>
      <c r="E15" s="112">
        <f>报表附注!H3809</f>
        <v>0</v>
      </c>
      <c r="F15" s="112">
        <f>报表附注!I3809</f>
        <v>0</v>
      </c>
      <c r="G15" s="73">
        <f t="shared" si="1"/>
        <v>0</v>
      </c>
      <c r="H15" s="116"/>
      <c r="I15" s="116"/>
      <c r="J15" s="116"/>
      <c r="K15" s="116"/>
      <c r="L15" s="126">
        <f t="shared" si="2"/>
        <v>0</v>
      </c>
      <c r="M15" s="106">
        <f t="shared" si="8"/>
        <v>0</v>
      </c>
      <c r="N15" s="106">
        <f t="shared" si="8"/>
        <v>0</v>
      </c>
      <c r="O15" s="106">
        <f t="shared" si="8"/>
        <v>0</v>
      </c>
      <c r="P15" s="106">
        <f t="shared" si="8"/>
        <v>0</v>
      </c>
      <c r="Q15" s="126">
        <f t="shared" si="3"/>
        <v>0</v>
      </c>
    </row>
    <row r="16" customHeight="1" spans="1:17">
      <c r="A16" s="64" t="str">
        <f t="shared" si="0"/>
        <v>石嘴山市深阳蓝光市政工程有限公司</v>
      </c>
      <c r="B16" s="79" t="s">
        <v>4295</v>
      </c>
      <c r="C16" s="112">
        <f>报表附注!F3810</f>
        <v>0</v>
      </c>
      <c r="D16" s="112">
        <f>报表附注!G3810</f>
        <v>0</v>
      </c>
      <c r="E16" s="112">
        <f>报表附注!H3810</f>
        <v>0</v>
      </c>
      <c r="F16" s="112">
        <f>报表附注!I3810</f>
        <v>0</v>
      </c>
      <c r="G16" s="73">
        <f t="shared" si="1"/>
        <v>0</v>
      </c>
      <c r="H16" s="116"/>
      <c r="I16" s="116"/>
      <c r="J16" s="116"/>
      <c r="K16" s="116"/>
      <c r="L16" s="126">
        <f t="shared" si="2"/>
        <v>0</v>
      </c>
      <c r="M16" s="106">
        <f t="shared" si="8"/>
        <v>0</v>
      </c>
      <c r="N16" s="106">
        <f t="shared" si="8"/>
        <v>0</v>
      </c>
      <c r="O16" s="106">
        <f t="shared" si="8"/>
        <v>0</v>
      </c>
      <c r="P16" s="106">
        <f t="shared" si="8"/>
        <v>0</v>
      </c>
      <c r="Q16" s="126">
        <f t="shared" si="3"/>
        <v>0</v>
      </c>
    </row>
    <row r="17" customHeight="1" spans="1:17">
      <c r="A17" s="64" t="str">
        <f t="shared" si="0"/>
        <v>石嘴山市深阳蓝光市政工程有限公司</v>
      </c>
      <c r="B17" s="79" t="s">
        <v>4298</v>
      </c>
      <c r="C17" s="73">
        <f>ROUND(C4+C5-C12,2)</f>
        <v>0</v>
      </c>
      <c r="D17" s="73">
        <f>ROUND(D4+D5-D12,2)</f>
        <v>0</v>
      </c>
      <c r="E17" s="73">
        <f>ROUND(E4+E5-E12,2)</f>
        <v>0</v>
      </c>
      <c r="F17" s="73">
        <f>ROUND(F4+F5-F12,2)</f>
        <v>0</v>
      </c>
      <c r="G17" s="73">
        <f t="shared" si="1"/>
        <v>0</v>
      </c>
      <c r="H17" s="114">
        <f>ROUND(H4+H5-H12,2)</f>
        <v>0</v>
      </c>
      <c r="I17" s="114">
        <f>ROUND(I4+I5-I12,2)</f>
        <v>0</v>
      </c>
      <c r="J17" s="114">
        <f>ROUND(J4+J5-J12,2)</f>
        <v>0</v>
      </c>
      <c r="K17" s="114">
        <f>ROUND(K4+K5-K12,2)</f>
        <v>0</v>
      </c>
      <c r="L17" s="126">
        <f t="shared" si="2"/>
        <v>0</v>
      </c>
      <c r="M17" s="126">
        <f>ROUND(M4+M5-M12,2)</f>
        <v>0</v>
      </c>
      <c r="N17" s="126">
        <f>ROUND(N4+N5-N12,2)</f>
        <v>0</v>
      </c>
      <c r="O17" s="126">
        <f>ROUND(O4+O5-O12,2)</f>
        <v>0</v>
      </c>
      <c r="P17" s="126">
        <f>ROUND(P4+P5-P12,2)</f>
        <v>0</v>
      </c>
      <c r="Q17" s="126">
        <f t="shared" si="3"/>
        <v>0</v>
      </c>
    </row>
    <row r="18" customHeight="1" spans="1:17">
      <c r="A18" s="64" t="str">
        <f t="shared" si="0"/>
        <v>石嘴山市深阳蓝光市政工程有限公司</v>
      </c>
      <c r="B18" s="79" t="s">
        <v>4301</v>
      </c>
      <c r="C18" s="110"/>
      <c r="D18" s="110"/>
      <c r="E18" s="110"/>
      <c r="F18" s="110"/>
      <c r="G18" s="73">
        <f t="shared" si="1"/>
        <v>0</v>
      </c>
      <c r="H18" s="114"/>
      <c r="I18" s="114"/>
      <c r="J18" s="114"/>
      <c r="K18" s="114"/>
      <c r="L18" s="126">
        <f t="shared" si="2"/>
        <v>0</v>
      </c>
      <c r="M18" s="111"/>
      <c r="N18" s="111"/>
      <c r="O18" s="111"/>
      <c r="P18" s="111"/>
      <c r="Q18" s="126">
        <f t="shared" si="3"/>
        <v>0</v>
      </c>
    </row>
    <row r="19" customHeight="1" spans="1:17">
      <c r="A19" s="64" t="str">
        <f t="shared" si="0"/>
        <v>石嘴山市深阳蓝光市政工程有限公司</v>
      </c>
      <c r="B19" s="79" t="s">
        <v>4259</v>
      </c>
      <c r="C19" s="112">
        <f>报表附注!F3813</f>
        <v>0</v>
      </c>
      <c r="D19" s="112">
        <f>报表附注!G3813</f>
        <v>0</v>
      </c>
      <c r="E19" s="112">
        <f>报表附注!H3813</f>
        <v>0</v>
      </c>
      <c r="F19" s="112">
        <f>报表附注!I3813</f>
        <v>0</v>
      </c>
      <c r="G19" s="73">
        <f t="shared" si="1"/>
        <v>0</v>
      </c>
      <c r="H19" s="116"/>
      <c r="I19" s="116"/>
      <c r="J19" s="116"/>
      <c r="K19" s="116"/>
      <c r="L19" s="126">
        <f t="shared" si="2"/>
        <v>0</v>
      </c>
      <c r="M19" s="106">
        <f>C19-H19</f>
        <v>0</v>
      </c>
      <c r="N19" s="106">
        <f>D19-I19</f>
        <v>0</v>
      </c>
      <c r="O19" s="106">
        <f>E19-J19</f>
        <v>0</v>
      </c>
      <c r="P19" s="106">
        <f>F19-K19</f>
        <v>0</v>
      </c>
      <c r="Q19" s="126">
        <f t="shared" si="3"/>
        <v>0</v>
      </c>
    </row>
    <row r="20" customHeight="1" spans="1:17">
      <c r="A20" s="64" t="str">
        <f t="shared" si="0"/>
        <v>石嘴山市深阳蓝光市政工程有限公司</v>
      </c>
      <c r="B20" s="79" t="s">
        <v>4262</v>
      </c>
      <c r="C20" s="73">
        <f>ROUND(SUM(C21:C24),2)</f>
        <v>0</v>
      </c>
      <c r="D20" s="73">
        <f>ROUND(SUM(D21:D24),2)</f>
        <v>0</v>
      </c>
      <c r="E20" s="73">
        <f>ROUND(SUM(E21:E24),2)</f>
        <v>0</v>
      </c>
      <c r="F20" s="73">
        <f>ROUND(SUM(F21:F24),2)</f>
        <v>0</v>
      </c>
      <c r="G20" s="73">
        <f t="shared" si="1"/>
        <v>0</v>
      </c>
      <c r="H20" s="114">
        <f>ROUND(SUM(H21:H24),2)</f>
        <v>0</v>
      </c>
      <c r="I20" s="114">
        <f>ROUND(SUM(I21:I24),2)</f>
        <v>0</v>
      </c>
      <c r="J20" s="114">
        <f>ROUND(SUM(J21:J24),2)</f>
        <v>0</v>
      </c>
      <c r="K20" s="114">
        <f>ROUND(SUM(K21:K24),2)</f>
        <v>0</v>
      </c>
      <c r="L20" s="126">
        <f t="shared" si="2"/>
        <v>0</v>
      </c>
      <c r="M20" s="126">
        <f>ROUND(SUM(M21:M24),2)</f>
        <v>0</v>
      </c>
      <c r="N20" s="126">
        <f>ROUND(SUM(N21:N24),2)</f>
        <v>0</v>
      </c>
      <c r="O20" s="126">
        <f>ROUND(SUM(O21:O24),2)</f>
        <v>0</v>
      </c>
      <c r="P20" s="126">
        <f>ROUND(SUM(P21:P24),2)</f>
        <v>0</v>
      </c>
      <c r="Q20" s="126">
        <f t="shared" si="3"/>
        <v>0</v>
      </c>
    </row>
    <row r="21" customHeight="1" spans="1:17">
      <c r="A21" s="64" t="str">
        <f t="shared" si="0"/>
        <v>石嘴山市深阳蓝光市政工程有限公司</v>
      </c>
      <c r="B21" s="115" t="s">
        <v>4308</v>
      </c>
      <c r="C21" s="112">
        <f>报表附注!F3815</f>
        <v>0</v>
      </c>
      <c r="D21" s="112">
        <f>报表附注!G3815</f>
        <v>0</v>
      </c>
      <c r="E21" s="112">
        <f>报表附注!H3815</f>
        <v>0</v>
      </c>
      <c r="F21" s="112">
        <f>报表附注!I3815</f>
        <v>0</v>
      </c>
      <c r="G21" s="73">
        <f t="shared" si="1"/>
        <v>0</v>
      </c>
      <c r="H21" s="116"/>
      <c r="I21" s="116"/>
      <c r="J21" s="116"/>
      <c r="K21" s="116"/>
      <c r="L21" s="126">
        <f t="shared" si="2"/>
        <v>0</v>
      </c>
      <c r="M21" s="106">
        <f t="shared" ref="M21:P24" si="9">C21-H21</f>
        <v>0</v>
      </c>
      <c r="N21" s="106">
        <f t="shared" si="9"/>
        <v>0</v>
      </c>
      <c r="O21" s="106">
        <f t="shared" si="9"/>
        <v>0</v>
      </c>
      <c r="P21" s="106">
        <f t="shared" si="9"/>
        <v>0</v>
      </c>
      <c r="Q21" s="126">
        <f t="shared" si="3"/>
        <v>0</v>
      </c>
    </row>
    <row r="22" customHeight="1" spans="1:17">
      <c r="A22" s="64" t="str">
        <f t="shared" si="0"/>
        <v>石嘴山市深阳蓝光市政工程有限公司</v>
      </c>
      <c r="B22" s="79" t="s">
        <v>4311</v>
      </c>
      <c r="C22" s="112">
        <f>报表附注!F3816</f>
        <v>0</v>
      </c>
      <c r="D22" s="112">
        <f>报表附注!G3816</f>
        <v>0</v>
      </c>
      <c r="E22" s="112">
        <f>报表附注!H3816</f>
        <v>0</v>
      </c>
      <c r="F22" s="112">
        <f>报表附注!I3816</f>
        <v>0</v>
      </c>
      <c r="G22" s="73">
        <f t="shared" si="1"/>
        <v>0</v>
      </c>
      <c r="H22" s="116"/>
      <c r="I22" s="116"/>
      <c r="J22" s="116"/>
      <c r="K22" s="116"/>
      <c r="L22" s="126">
        <f t="shared" si="2"/>
        <v>0</v>
      </c>
      <c r="M22" s="106">
        <f t="shared" si="9"/>
        <v>0</v>
      </c>
      <c r="N22" s="106">
        <f t="shared" si="9"/>
        <v>0</v>
      </c>
      <c r="O22" s="106">
        <f t="shared" si="9"/>
        <v>0</v>
      </c>
      <c r="P22" s="106">
        <f t="shared" si="9"/>
        <v>0</v>
      </c>
      <c r="Q22" s="126">
        <f t="shared" si="3"/>
        <v>0</v>
      </c>
    </row>
    <row r="23" customHeight="1" spans="1:17">
      <c r="A23" s="64" t="str">
        <f t="shared" si="0"/>
        <v>石嘴山市深阳蓝光市政工程有限公司</v>
      </c>
      <c r="B23" s="79" t="s">
        <v>4314</v>
      </c>
      <c r="C23" s="112">
        <f>报表附注!F3817</f>
        <v>0</v>
      </c>
      <c r="D23" s="112">
        <f>报表附注!G3817</f>
        <v>0</v>
      </c>
      <c r="E23" s="112">
        <f>报表附注!H3817</f>
        <v>0</v>
      </c>
      <c r="F23" s="112">
        <f>报表附注!I3817</f>
        <v>0</v>
      </c>
      <c r="G23" s="73">
        <f t="shared" si="1"/>
        <v>0</v>
      </c>
      <c r="H23" s="116"/>
      <c r="I23" s="116"/>
      <c r="J23" s="116"/>
      <c r="K23" s="116"/>
      <c r="L23" s="126">
        <f t="shared" si="2"/>
        <v>0</v>
      </c>
      <c r="M23" s="106">
        <f t="shared" si="9"/>
        <v>0</v>
      </c>
      <c r="N23" s="106">
        <f t="shared" si="9"/>
        <v>0</v>
      </c>
      <c r="O23" s="106">
        <f t="shared" si="9"/>
        <v>0</v>
      </c>
      <c r="P23" s="106">
        <f t="shared" si="9"/>
        <v>0</v>
      </c>
      <c r="Q23" s="126">
        <f t="shared" si="3"/>
        <v>0</v>
      </c>
    </row>
    <row r="24" customHeight="1" spans="1:17">
      <c r="A24" s="64" t="str">
        <f t="shared" si="0"/>
        <v>石嘴山市深阳蓝光市政工程有限公司</v>
      </c>
      <c r="B24" s="79" t="s">
        <v>4317</v>
      </c>
      <c r="C24" s="112">
        <f>报表附注!F3818</f>
        <v>0</v>
      </c>
      <c r="D24" s="112">
        <f>报表附注!G3818</f>
        <v>0</v>
      </c>
      <c r="E24" s="112">
        <f>报表附注!H3818</f>
        <v>0</v>
      </c>
      <c r="F24" s="112">
        <f>报表附注!I3818</f>
        <v>0</v>
      </c>
      <c r="G24" s="73">
        <f t="shared" si="1"/>
        <v>0</v>
      </c>
      <c r="H24" s="116"/>
      <c r="I24" s="116"/>
      <c r="J24" s="116"/>
      <c r="K24" s="116"/>
      <c r="L24" s="126">
        <f t="shared" si="2"/>
        <v>0</v>
      </c>
      <c r="M24" s="106">
        <f t="shared" si="9"/>
        <v>0</v>
      </c>
      <c r="N24" s="106">
        <f t="shared" si="9"/>
        <v>0</v>
      </c>
      <c r="O24" s="106">
        <f t="shared" si="9"/>
        <v>0</v>
      </c>
      <c r="P24" s="106">
        <f t="shared" si="9"/>
        <v>0</v>
      </c>
      <c r="Q24" s="126">
        <f t="shared" si="3"/>
        <v>0</v>
      </c>
    </row>
    <row r="25" customHeight="1" spans="1:17">
      <c r="A25" s="64" t="str">
        <f t="shared" si="0"/>
        <v>石嘴山市深阳蓝光市政工程有限公司</v>
      </c>
      <c r="B25" s="79" t="s">
        <v>4283</v>
      </c>
      <c r="C25" s="73">
        <f>ROUND(SUM(C26:C29),2)</f>
        <v>0</v>
      </c>
      <c r="D25" s="73">
        <f>ROUND(SUM(D26:D29),2)</f>
        <v>0</v>
      </c>
      <c r="E25" s="73">
        <f>ROUND(SUM(E26:E29),2)</f>
        <v>0</v>
      </c>
      <c r="F25" s="73">
        <f>ROUND(SUM(F26:F29),2)</f>
        <v>0</v>
      </c>
      <c r="G25" s="73">
        <f t="shared" si="1"/>
        <v>0</v>
      </c>
      <c r="H25" s="114">
        <f>ROUND(SUM(H26:H29),2)</f>
        <v>0</v>
      </c>
      <c r="I25" s="114">
        <f>ROUND(SUM(I26:I29),2)</f>
        <v>0</v>
      </c>
      <c r="J25" s="114">
        <f>ROUND(SUM(J26:J29),2)</f>
        <v>0</v>
      </c>
      <c r="K25" s="114">
        <f>ROUND(SUM(K26:K29),2)</f>
        <v>0</v>
      </c>
      <c r="L25" s="126">
        <f t="shared" si="2"/>
        <v>0</v>
      </c>
      <c r="M25" s="126">
        <f>ROUND(SUM(M26:M29),2)</f>
        <v>0</v>
      </c>
      <c r="N25" s="126">
        <f>ROUND(SUM(N26:N29),2)</f>
        <v>0</v>
      </c>
      <c r="O25" s="126">
        <f>ROUND(SUM(O26:O29),2)</f>
        <v>0</v>
      </c>
      <c r="P25" s="126">
        <f>ROUND(SUM(P26:P29),2)</f>
        <v>0</v>
      </c>
      <c r="Q25" s="126">
        <f t="shared" si="3"/>
        <v>0</v>
      </c>
    </row>
    <row r="26" customHeight="1" spans="1:17">
      <c r="A26" s="64" t="str">
        <f t="shared" si="0"/>
        <v>石嘴山市深阳蓝光市政工程有限公司</v>
      </c>
      <c r="B26" s="115" t="s">
        <v>4286</v>
      </c>
      <c r="C26" s="112">
        <f>报表附注!F3820</f>
        <v>0</v>
      </c>
      <c r="D26" s="112">
        <f>报表附注!G3820</f>
        <v>0</v>
      </c>
      <c r="E26" s="112">
        <f>报表附注!H3820</f>
        <v>0</v>
      </c>
      <c r="F26" s="112">
        <f>报表附注!I3820</f>
        <v>0</v>
      </c>
      <c r="G26" s="73">
        <f t="shared" si="1"/>
        <v>0</v>
      </c>
      <c r="H26" s="116"/>
      <c r="I26" s="116"/>
      <c r="J26" s="116"/>
      <c r="K26" s="116"/>
      <c r="L26" s="126">
        <f t="shared" si="2"/>
        <v>0</v>
      </c>
      <c r="M26" s="106">
        <f t="shared" ref="M26:P29" si="10">C26-H26</f>
        <v>0</v>
      </c>
      <c r="N26" s="106">
        <f t="shared" si="10"/>
        <v>0</v>
      </c>
      <c r="O26" s="106">
        <f t="shared" si="10"/>
        <v>0</v>
      </c>
      <c r="P26" s="106">
        <f t="shared" si="10"/>
        <v>0</v>
      </c>
      <c r="Q26" s="126">
        <f t="shared" si="3"/>
        <v>0</v>
      </c>
    </row>
    <row r="27" customHeight="1" spans="1:17">
      <c r="A27" s="64" t="str">
        <f t="shared" si="0"/>
        <v>石嘴山市深阳蓝光市政工程有限公司</v>
      </c>
      <c r="B27" s="79" t="s">
        <v>4289</v>
      </c>
      <c r="C27" s="112">
        <f>报表附注!F3821</f>
        <v>0</v>
      </c>
      <c r="D27" s="112">
        <f>报表附注!G3821</f>
        <v>0</v>
      </c>
      <c r="E27" s="112">
        <f>报表附注!H3821</f>
        <v>0</v>
      </c>
      <c r="F27" s="112">
        <f>报表附注!I3821</f>
        <v>0</v>
      </c>
      <c r="G27" s="73">
        <f t="shared" si="1"/>
        <v>0</v>
      </c>
      <c r="H27" s="116"/>
      <c r="I27" s="116"/>
      <c r="J27" s="116"/>
      <c r="K27" s="116"/>
      <c r="L27" s="126">
        <f t="shared" si="2"/>
        <v>0</v>
      </c>
      <c r="M27" s="106">
        <f t="shared" si="10"/>
        <v>0</v>
      </c>
      <c r="N27" s="106">
        <f t="shared" si="10"/>
        <v>0</v>
      </c>
      <c r="O27" s="106">
        <f t="shared" si="10"/>
        <v>0</v>
      </c>
      <c r="P27" s="106">
        <f t="shared" si="10"/>
        <v>0</v>
      </c>
      <c r="Q27" s="126">
        <f t="shared" si="3"/>
        <v>0</v>
      </c>
    </row>
    <row r="28" customHeight="1" spans="1:17">
      <c r="A28" s="64" t="str">
        <f t="shared" si="0"/>
        <v>石嘴山市深阳蓝光市政工程有限公司</v>
      </c>
      <c r="B28" s="79" t="s">
        <v>4292</v>
      </c>
      <c r="C28" s="112">
        <f>报表附注!F3822</f>
        <v>0</v>
      </c>
      <c r="D28" s="112">
        <f>报表附注!G3822</f>
        <v>0</v>
      </c>
      <c r="E28" s="112">
        <f>报表附注!H3822</f>
        <v>0</v>
      </c>
      <c r="F28" s="112">
        <f>报表附注!I3822</f>
        <v>0</v>
      </c>
      <c r="G28" s="73">
        <f t="shared" si="1"/>
        <v>0</v>
      </c>
      <c r="H28" s="116"/>
      <c r="I28" s="116"/>
      <c r="J28" s="116"/>
      <c r="K28" s="116"/>
      <c r="L28" s="126">
        <f t="shared" si="2"/>
        <v>0</v>
      </c>
      <c r="M28" s="106">
        <f t="shared" si="10"/>
        <v>0</v>
      </c>
      <c r="N28" s="106">
        <f t="shared" si="10"/>
        <v>0</v>
      </c>
      <c r="O28" s="106">
        <f t="shared" si="10"/>
        <v>0</v>
      </c>
      <c r="P28" s="106">
        <f t="shared" si="10"/>
        <v>0</v>
      </c>
      <c r="Q28" s="126">
        <f t="shared" si="3"/>
        <v>0</v>
      </c>
    </row>
    <row r="29" customHeight="1" spans="1:17">
      <c r="A29" s="64" t="str">
        <f t="shared" si="0"/>
        <v>石嘴山市深阳蓝光市政工程有限公司</v>
      </c>
      <c r="B29" s="79" t="s">
        <v>4328</v>
      </c>
      <c r="C29" s="112">
        <f>报表附注!F3823</f>
        <v>0</v>
      </c>
      <c r="D29" s="112">
        <f>报表附注!G3823</f>
        <v>0</v>
      </c>
      <c r="E29" s="112">
        <f>报表附注!H3823</f>
        <v>0</v>
      </c>
      <c r="F29" s="112">
        <f>报表附注!I3823</f>
        <v>0</v>
      </c>
      <c r="G29" s="73">
        <f t="shared" si="1"/>
        <v>0</v>
      </c>
      <c r="H29" s="116"/>
      <c r="I29" s="116"/>
      <c r="J29" s="116"/>
      <c r="K29" s="116"/>
      <c r="L29" s="126">
        <f t="shared" si="2"/>
        <v>0</v>
      </c>
      <c r="M29" s="106">
        <f t="shared" si="10"/>
        <v>0</v>
      </c>
      <c r="N29" s="106">
        <f t="shared" si="10"/>
        <v>0</v>
      </c>
      <c r="O29" s="106">
        <f t="shared" si="10"/>
        <v>0</v>
      </c>
      <c r="P29" s="106">
        <f t="shared" si="10"/>
        <v>0</v>
      </c>
      <c r="Q29" s="126">
        <f t="shared" si="3"/>
        <v>0</v>
      </c>
    </row>
    <row r="30" customHeight="1" spans="1:17">
      <c r="A30" s="64" t="str">
        <f t="shared" si="0"/>
        <v>石嘴山市深阳蓝光市政工程有限公司</v>
      </c>
      <c r="B30" s="79" t="s">
        <v>4298</v>
      </c>
      <c r="C30" s="73">
        <f>ROUND(C19+C20-C25,2)</f>
        <v>0</v>
      </c>
      <c r="D30" s="73">
        <f>ROUND(D19+D20-D25,2)</f>
        <v>0</v>
      </c>
      <c r="E30" s="73">
        <f>ROUND(E19+E20-E25,2)</f>
        <v>0</v>
      </c>
      <c r="F30" s="73">
        <f>ROUND(F19+F20-F25,2)</f>
        <v>0</v>
      </c>
      <c r="G30" s="73">
        <f t="shared" si="1"/>
        <v>0</v>
      </c>
      <c r="H30" s="114">
        <f>ROUND(H19+H20-H25,2)</f>
        <v>0</v>
      </c>
      <c r="I30" s="114">
        <f>ROUND(I19+I20-I25,2)</f>
        <v>0</v>
      </c>
      <c r="J30" s="114">
        <f>ROUND(J19+J20-J25,2)</f>
        <v>0</v>
      </c>
      <c r="K30" s="114">
        <f>ROUND(K19+K20-K25,2)</f>
        <v>0</v>
      </c>
      <c r="L30" s="126">
        <f t="shared" si="2"/>
        <v>0</v>
      </c>
      <c r="M30" s="126">
        <f>ROUND(M19+M20-M25,2)</f>
        <v>0</v>
      </c>
      <c r="N30" s="126">
        <f>ROUND(N19+N20-N25,2)</f>
        <v>0</v>
      </c>
      <c r="O30" s="126">
        <f>ROUND(O19+O20-O25,2)</f>
        <v>0</v>
      </c>
      <c r="P30" s="126">
        <f>ROUND(P19+P20-P25,2)</f>
        <v>0</v>
      </c>
      <c r="Q30" s="126">
        <f t="shared" si="3"/>
        <v>0</v>
      </c>
    </row>
    <row r="31" customHeight="1" spans="1:17">
      <c r="A31" s="64" t="str">
        <f t="shared" si="0"/>
        <v>石嘴山市深阳蓝光市政工程有限公司</v>
      </c>
      <c r="B31" s="79" t="s">
        <v>4201</v>
      </c>
      <c r="C31" s="110"/>
      <c r="D31" s="110"/>
      <c r="E31" s="110"/>
      <c r="F31" s="110"/>
      <c r="G31" s="73">
        <f t="shared" si="1"/>
        <v>0</v>
      </c>
      <c r="H31" s="114"/>
      <c r="I31" s="114"/>
      <c r="J31" s="114"/>
      <c r="K31" s="114"/>
      <c r="L31" s="126">
        <f t="shared" si="2"/>
        <v>0</v>
      </c>
      <c r="M31" s="111"/>
      <c r="N31" s="111"/>
      <c r="O31" s="111"/>
      <c r="P31" s="111"/>
      <c r="Q31" s="126">
        <f t="shared" si="3"/>
        <v>0</v>
      </c>
    </row>
    <row r="32" customHeight="1" spans="1:17">
      <c r="A32" s="64" t="str">
        <f t="shared" si="0"/>
        <v>石嘴山市深阳蓝光市政工程有限公司</v>
      </c>
      <c r="B32" s="79" t="s">
        <v>4259</v>
      </c>
      <c r="C32" s="112">
        <f>报表附注!F3826</f>
        <v>0</v>
      </c>
      <c r="D32" s="112">
        <f>报表附注!G3826</f>
        <v>0</v>
      </c>
      <c r="E32" s="112">
        <f>报表附注!H3826</f>
        <v>0</v>
      </c>
      <c r="F32" s="112">
        <f>报表附注!I3826</f>
        <v>0</v>
      </c>
      <c r="G32" s="73">
        <f t="shared" si="1"/>
        <v>0</v>
      </c>
      <c r="H32" s="116"/>
      <c r="I32" s="116"/>
      <c r="J32" s="116"/>
      <c r="K32" s="116"/>
      <c r="L32" s="126">
        <f t="shared" si="2"/>
        <v>0</v>
      </c>
      <c r="M32" s="106">
        <f>C32-H32</f>
        <v>0</v>
      </c>
      <c r="N32" s="106">
        <f>D32-I32</f>
        <v>0</v>
      </c>
      <c r="O32" s="106">
        <f>E32-J32</f>
        <v>0</v>
      </c>
      <c r="P32" s="106">
        <f>F32-K32</f>
        <v>0</v>
      </c>
      <c r="Q32" s="126">
        <f t="shared" si="3"/>
        <v>0</v>
      </c>
    </row>
    <row r="33" customHeight="1" spans="1:17">
      <c r="A33" s="64" t="str">
        <f t="shared" si="0"/>
        <v>石嘴山市深阳蓝光市政工程有限公司</v>
      </c>
      <c r="B33" s="79" t="s">
        <v>4262</v>
      </c>
      <c r="C33" s="73">
        <f>ROUND(SUM(C34:C35),2)</f>
        <v>0</v>
      </c>
      <c r="D33" s="73">
        <f>ROUND(SUM(D34:D35),2)</f>
        <v>0</v>
      </c>
      <c r="E33" s="73">
        <f>ROUND(SUM(E34:E35),2)</f>
        <v>0</v>
      </c>
      <c r="F33" s="73">
        <f>ROUND(SUM(F34:F35),2)</f>
        <v>0</v>
      </c>
      <c r="G33" s="73">
        <f t="shared" si="1"/>
        <v>0</v>
      </c>
      <c r="H33" s="114">
        <f>ROUND(SUM(H34:H35),2)</f>
        <v>0</v>
      </c>
      <c r="I33" s="114">
        <f>ROUND(SUM(I34:I35),2)</f>
        <v>0</v>
      </c>
      <c r="J33" s="114">
        <f>ROUND(SUM(J34:J35),2)</f>
        <v>0</v>
      </c>
      <c r="K33" s="114">
        <f>ROUND(SUM(K34:K35),2)</f>
        <v>0</v>
      </c>
      <c r="L33" s="126">
        <f t="shared" si="2"/>
        <v>0</v>
      </c>
      <c r="M33" s="126">
        <f>ROUND(SUM(M34:M35),2)</f>
        <v>0</v>
      </c>
      <c r="N33" s="126">
        <f>ROUND(SUM(N34:N35),2)</f>
        <v>0</v>
      </c>
      <c r="O33" s="126">
        <f>ROUND(SUM(O34:O35),2)</f>
        <v>0</v>
      </c>
      <c r="P33" s="126">
        <f>ROUND(SUM(P34:P35),2)</f>
        <v>0</v>
      </c>
      <c r="Q33" s="126">
        <f t="shared" si="3"/>
        <v>0</v>
      </c>
    </row>
    <row r="34" customHeight="1" spans="1:17">
      <c r="A34" s="64" t="str">
        <f t="shared" si="0"/>
        <v>石嘴山市深阳蓝光市政工程有限公司</v>
      </c>
      <c r="B34" s="115" t="s">
        <v>4308</v>
      </c>
      <c r="C34" s="112">
        <f>报表附注!F3828</f>
        <v>0</v>
      </c>
      <c r="D34" s="112">
        <f>报表附注!G3828</f>
        <v>0</v>
      </c>
      <c r="E34" s="112">
        <f>报表附注!H3828</f>
        <v>0</v>
      </c>
      <c r="F34" s="112">
        <f>报表附注!I3828</f>
        <v>0</v>
      </c>
      <c r="G34" s="73">
        <f t="shared" si="1"/>
        <v>0</v>
      </c>
      <c r="H34" s="116"/>
      <c r="I34" s="116"/>
      <c r="J34" s="116"/>
      <c r="K34" s="116"/>
      <c r="L34" s="126">
        <f t="shared" si="2"/>
        <v>0</v>
      </c>
      <c r="M34" s="106">
        <f t="shared" ref="M34:P35" si="11">C34-H34</f>
        <v>0</v>
      </c>
      <c r="N34" s="106">
        <f t="shared" si="11"/>
        <v>0</v>
      </c>
      <c r="O34" s="106">
        <f t="shared" si="11"/>
        <v>0</v>
      </c>
      <c r="P34" s="106">
        <f t="shared" si="11"/>
        <v>0</v>
      </c>
      <c r="Q34" s="126">
        <f t="shared" si="3"/>
        <v>0</v>
      </c>
    </row>
    <row r="35" customHeight="1" spans="1:17">
      <c r="A35" s="64" t="str">
        <f t="shared" si="0"/>
        <v>石嘴山市深阳蓝光市政工程有限公司</v>
      </c>
      <c r="B35" s="79"/>
      <c r="C35" s="112">
        <f>报表附注!F3829</f>
        <v>0</v>
      </c>
      <c r="D35" s="112">
        <f>报表附注!G3829</f>
        <v>0</v>
      </c>
      <c r="E35" s="112">
        <f>报表附注!H3829</f>
        <v>0</v>
      </c>
      <c r="F35" s="112">
        <f>报表附注!I3829</f>
        <v>0</v>
      </c>
      <c r="G35" s="73">
        <f t="shared" si="1"/>
        <v>0</v>
      </c>
      <c r="H35" s="116"/>
      <c r="I35" s="116"/>
      <c r="J35" s="116"/>
      <c r="K35" s="116"/>
      <c r="L35" s="126">
        <f t="shared" si="2"/>
        <v>0</v>
      </c>
      <c r="M35" s="106">
        <f t="shared" si="11"/>
        <v>0</v>
      </c>
      <c r="N35" s="106">
        <f t="shared" si="11"/>
        <v>0</v>
      </c>
      <c r="O35" s="106">
        <f t="shared" si="11"/>
        <v>0</v>
      </c>
      <c r="P35" s="106">
        <f t="shared" si="11"/>
        <v>0</v>
      </c>
      <c r="Q35" s="126">
        <f t="shared" si="3"/>
        <v>0</v>
      </c>
    </row>
    <row r="36" customHeight="1" spans="1:17">
      <c r="A36" s="64" t="str">
        <f t="shared" si="0"/>
        <v>石嘴山市深阳蓝光市政工程有限公司</v>
      </c>
      <c r="B36" s="79" t="s">
        <v>4283</v>
      </c>
      <c r="C36" s="73">
        <f>ROUND(SUM(C37:C38),2)</f>
        <v>0</v>
      </c>
      <c r="D36" s="73">
        <f>ROUND(SUM(D37:D38),2)</f>
        <v>0</v>
      </c>
      <c r="E36" s="73">
        <f>ROUND(SUM(E37:E38),2)</f>
        <v>0</v>
      </c>
      <c r="F36" s="73">
        <f>ROUND(SUM(F37:F38),2)</f>
        <v>0</v>
      </c>
      <c r="G36" s="73">
        <f t="shared" si="1"/>
        <v>0</v>
      </c>
      <c r="H36" s="114">
        <f>ROUND(SUM(H37:H38),2)</f>
        <v>0</v>
      </c>
      <c r="I36" s="114">
        <f>ROUND(SUM(I37:I38),2)</f>
        <v>0</v>
      </c>
      <c r="J36" s="114">
        <f>ROUND(SUM(J37:J38),2)</f>
        <v>0</v>
      </c>
      <c r="K36" s="114">
        <f>ROUND(SUM(K37:K38),2)</f>
        <v>0</v>
      </c>
      <c r="L36" s="126">
        <f t="shared" si="2"/>
        <v>0</v>
      </c>
      <c r="M36" s="126">
        <f>ROUND(SUM(M37:M38),2)</f>
        <v>0</v>
      </c>
      <c r="N36" s="126">
        <f>ROUND(SUM(N37:N38),2)</f>
        <v>0</v>
      </c>
      <c r="O36" s="126">
        <f>ROUND(SUM(O37:O38),2)</f>
        <v>0</v>
      </c>
      <c r="P36" s="126">
        <f>ROUND(SUM(P37:P38),2)</f>
        <v>0</v>
      </c>
      <c r="Q36" s="126">
        <f t="shared" si="3"/>
        <v>0</v>
      </c>
    </row>
    <row r="37" customHeight="1" spans="1:17">
      <c r="A37" s="64" t="str">
        <f t="shared" si="0"/>
        <v>石嘴山市深阳蓝光市政工程有限公司</v>
      </c>
      <c r="B37" s="115" t="s">
        <v>4286</v>
      </c>
      <c r="C37" s="112">
        <f>报表附注!F3831</f>
        <v>0</v>
      </c>
      <c r="D37" s="112">
        <f>报表附注!G3831</f>
        <v>0</v>
      </c>
      <c r="E37" s="112">
        <f>报表附注!H3831</f>
        <v>0</v>
      </c>
      <c r="F37" s="112">
        <f>报表附注!I3831</f>
        <v>0</v>
      </c>
      <c r="G37" s="73">
        <f t="shared" si="1"/>
        <v>0</v>
      </c>
      <c r="H37" s="116"/>
      <c r="I37" s="116"/>
      <c r="J37" s="116"/>
      <c r="K37" s="116"/>
      <c r="L37" s="126">
        <f t="shared" si="2"/>
        <v>0</v>
      </c>
      <c r="M37" s="106">
        <f t="shared" ref="M37:P38" si="12">C37-H37</f>
        <v>0</v>
      </c>
      <c r="N37" s="106">
        <f t="shared" si="12"/>
        <v>0</v>
      </c>
      <c r="O37" s="106">
        <f t="shared" si="12"/>
        <v>0</v>
      </c>
      <c r="P37" s="106">
        <f t="shared" si="12"/>
        <v>0</v>
      </c>
      <c r="Q37" s="126">
        <f t="shared" si="3"/>
        <v>0</v>
      </c>
    </row>
    <row r="38" customHeight="1" spans="1:17">
      <c r="A38" s="64" t="str">
        <f t="shared" si="0"/>
        <v>石嘴山市深阳蓝光市政工程有限公司</v>
      </c>
      <c r="B38" s="79"/>
      <c r="C38" s="112">
        <f>报表附注!F3832</f>
        <v>0</v>
      </c>
      <c r="D38" s="112">
        <f>报表附注!G3832</f>
        <v>0</v>
      </c>
      <c r="E38" s="112">
        <f>报表附注!H3832</f>
        <v>0</v>
      </c>
      <c r="F38" s="112">
        <f>报表附注!I3832</f>
        <v>0</v>
      </c>
      <c r="G38" s="73">
        <f t="shared" si="1"/>
        <v>0</v>
      </c>
      <c r="H38" s="116"/>
      <c r="I38" s="116"/>
      <c r="J38" s="116"/>
      <c r="K38" s="116"/>
      <c r="L38" s="126">
        <f t="shared" si="2"/>
        <v>0</v>
      </c>
      <c r="M38" s="106">
        <f t="shared" si="12"/>
        <v>0</v>
      </c>
      <c r="N38" s="106">
        <f t="shared" si="12"/>
        <v>0</v>
      </c>
      <c r="O38" s="106">
        <f t="shared" si="12"/>
        <v>0</v>
      </c>
      <c r="P38" s="106">
        <f t="shared" si="12"/>
        <v>0</v>
      </c>
      <c r="Q38" s="126">
        <f t="shared" si="3"/>
        <v>0</v>
      </c>
    </row>
    <row r="39" customHeight="1" spans="1:17">
      <c r="A39" s="64" t="str">
        <f t="shared" si="0"/>
        <v>石嘴山市深阳蓝光市政工程有限公司</v>
      </c>
      <c r="B39" s="79" t="s">
        <v>4298</v>
      </c>
      <c r="C39" s="73">
        <f>ROUND(C32+C33-C36,2)</f>
        <v>0</v>
      </c>
      <c r="D39" s="73">
        <f>ROUND(D32+D33-D36,2)</f>
        <v>0</v>
      </c>
      <c r="E39" s="73">
        <f>ROUND(E32+E33-E36,2)</f>
        <v>0</v>
      </c>
      <c r="F39" s="73">
        <f>ROUND(F32+F33-F36,2)</f>
        <v>0</v>
      </c>
      <c r="G39" s="73">
        <f t="shared" si="1"/>
        <v>0</v>
      </c>
      <c r="H39" s="114">
        <f>ROUND(H32+H33-H36,2)</f>
        <v>0</v>
      </c>
      <c r="I39" s="114">
        <f>ROUND(I32+I33-I36,2)</f>
        <v>0</v>
      </c>
      <c r="J39" s="114">
        <f>ROUND(J32+J33-J36,2)</f>
        <v>0</v>
      </c>
      <c r="K39" s="114">
        <f>ROUND(K32+K33-K36,2)</f>
        <v>0</v>
      </c>
      <c r="L39" s="126">
        <f t="shared" si="2"/>
        <v>0</v>
      </c>
      <c r="M39" s="126">
        <f>ROUND(M32+M33-M36,2)</f>
        <v>0</v>
      </c>
      <c r="N39" s="126">
        <f>ROUND(N32+N33-N36,2)</f>
        <v>0</v>
      </c>
      <c r="O39" s="126">
        <f>ROUND(O32+O33-O36,2)</f>
        <v>0</v>
      </c>
      <c r="P39" s="126">
        <f>ROUND(P32+P33-P36,2)</f>
        <v>0</v>
      </c>
      <c r="Q39" s="126">
        <f t="shared" si="3"/>
        <v>0</v>
      </c>
    </row>
    <row r="40" customHeight="1" spans="1:17">
      <c r="A40" s="64" t="str">
        <f t="shared" si="0"/>
        <v>石嘴山市深阳蓝光市政工程有限公司</v>
      </c>
      <c r="B40" s="79" t="s">
        <v>4224</v>
      </c>
      <c r="C40" s="110"/>
      <c r="D40" s="110"/>
      <c r="E40" s="110"/>
      <c r="F40" s="110"/>
      <c r="G40" s="73"/>
      <c r="H40" s="114"/>
      <c r="I40" s="114"/>
      <c r="J40" s="114"/>
      <c r="K40" s="114"/>
      <c r="L40" s="126"/>
      <c r="M40" s="111"/>
      <c r="N40" s="111"/>
      <c r="O40" s="111"/>
      <c r="P40" s="111"/>
      <c r="Q40" s="126"/>
    </row>
    <row r="41" customHeight="1" spans="1:17">
      <c r="A41" s="64" t="str">
        <f t="shared" si="0"/>
        <v>石嘴山市深阳蓝光市政工程有限公司</v>
      </c>
      <c r="B41" s="79" t="s">
        <v>4353</v>
      </c>
      <c r="C41" s="73">
        <f>ROUND(C17-C30-C39,2)</f>
        <v>0</v>
      </c>
      <c r="D41" s="73">
        <f>ROUND(D17-D30-D39,2)</f>
        <v>0</v>
      </c>
      <c r="E41" s="73">
        <f>ROUND(E17-E30-E39,2)</f>
        <v>0</v>
      </c>
      <c r="F41" s="73">
        <f>ROUND(F17-F30-F39,2)</f>
        <v>0</v>
      </c>
      <c r="G41" s="73">
        <f>ROUND(SUM(C41:F41),2)</f>
        <v>0</v>
      </c>
      <c r="H41" s="114">
        <f>ROUND(H17-H30-H39,2)</f>
        <v>0</v>
      </c>
      <c r="I41" s="114">
        <f>ROUND(I17-I30-I39,2)</f>
        <v>0</v>
      </c>
      <c r="J41" s="114">
        <f>ROUND(J17-J30-J39,2)</f>
        <v>0</v>
      </c>
      <c r="K41" s="114">
        <f>ROUND(K17-K30-K39,2)</f>
        <v>0</v>
      </c>
      <c r="L41" s="126">
        <f>ROUND(SUM(H41:K41),2)</f>
        <v>0</v>
      </c>
      <c r="M41" s="126">
        <f>ROUND(M17-M30-M39,2)</f>
        <v>0</v>
      </c>
      <c r="N41" s="126">
        <f>ROUND(N17-N30-N39,2)</f>
        <v>0</v>
      </c>
      <c r="O41" s="126">
        <f>ROUND(O17-O30-O39,2)</f>
        <v>0</v>
      </c>
      <c r="P41" s="126">
        <f>ROUND(P17-P30-P39,2)</f>
        <v>0</v>
      </c>
      <c r="Q41" s="126">
        <f>ROUND(SUM(M41:P41),2)</f>
        <v>0</v>
      </c>
    </row>
    <row r="42" customHeight="1" spans="1:17">
      <c r="A42" s="64" t="str">
        <f t="shared" si="0"/>
        <v>石嘴山市深阳蓝光市政工程有限公司</v>
      </c>
      <c r="B42" s="79" t="s">
        <v>4356</v>
      </c>
      <c r="C42" s="117">
        <f>ROUND(C4-C19-C32,2)</f>
        <v>0</v>
      </c>
      <c r="D42" s="117">
        <f>ROUND(D4-D19-D32,2)</f>
        <v>0</v>
      </c>
      <c r="E42" s="117">
        <f>ROUND(E4-E19-E32,2)</f>
        <v>0</v>
      </c>
      <c r="F42" s="117">
        <f>ROUND(F4-F19-F32,2)</f>
        <v>0</v>
      </c>
      <c r="G42" s="73">
        <f>ROUND(SUM(C42:F42),2)</f>
        <v>0</v>
      </c>
      <c r="H42" s="118">
        <f>ROUND(H4-H19-H32,2)</f>
        <v>0</v>
      </c>
      <c r="I42" s="118">
        <f>ROUND(I4-I19-I32,2)</f>
        <v>0</v>
      </c>
      <c r="J42" s="118">
        <f>ROUND(J4-J19-J32,2)</f>
        <v>0</v>
      </c>
      <c r="K42" s="118">
        <f>ROUND(K4-K19-K32,2)</f>
        <v>0</v>
      </c>
      <c r="L42" s="126">
        <f>ROUND(SUM(H42:K42),2)</f>
        <v>0</v>
      </c>
      <c r="M42" s="127">
        <f>ROUND(M4-M19-M32,2)</f>
        <v>0</v>
      </c>
      <c r="N42" s="127">
        <f>ROUND(N4-N19-N32,2)</f>
        <v>0</v>
      </c>
      <c r="O42" s="127">
        <f>ROUND(O4-O19-O32,2)</f>
        <v>0</v>
      </c>
      <c r="P42" s="127">
        <f>ROUND(P4-P19-P32,2)</f>
        <v>0</v>
      </c>
      <c r="Q42" s="126">
        <f>ROUND(SUM(M42:P42),2)</f>
        <v>0</v>
      </c>
    </row>
    <row r="43" customHeight="1" spans="1:17">
      <c r="A43" s="64" t="str">
        <f t="shared" si="0"/>
        <v>石嘴山市深阳蓝光市政工程有限公司</v>
      </c>
      <c r="B43" s="84" t="s">
        <v>4233</v>
      </c>
      <c r="C43" s="119"/>
      <c r="D43" s="119"/>
      <c r="E43" s="119"/>
      <c r="F43" s="119"/>
      <c r="G43" s="86">
        <f>审定资负表!C27</f>
        <v>0</v>
      </c>
      <c r="H43" s="85"/>
      <c r="I43" s="85"/>
      <c r="J43" s="85"/>
      <c r="K43" s="85"/>
      <c r="L43" s="85"/>
      <c r="M43" s="85"/>
      <c r="N43" s="85"/>
      <c r="O43" s="85"/>
      <c r="P43" s="85"/>
      <c r="Q43" s="85"/>
    </row>
    <row r="44" customHeight="1" spans="1:17">
      <c r="A44" s="120" t="str">
        <f t="shared" si="0"/>
        <v>石嘴山市深阳蓝光市政工程有限公司</v>
      </c>
      <c r="B44" s="84" t="s">
        <v>1394</v>
      </c>
      <c r="C44" s="121"/>
      <c r="D44" s="122"/>
      <c r="E44" s="122"/>
      <c r="F44" s="122"/>
      <c r="G44" s="87">
        <f>ROUND(G43-G41,2)</f>
        <v>0</v>
      </c>
      <c r="H44" s="85"/>
      <c r="I44" s="85"/>
      <c r="J44" s="85"/>
      <c r="K44" s="85"/>
      <c r="L44" s="85"/>
      <c r="M44" s="85"/>
      <c r="N44" s="85"/>
      <c r="O44" s="85"/>
      <c r="P44" s="85"/>
      <c r="Q44" s="85"/>
    </row>
    <row r="45" customHeight="1" spans="1:17">
      <c r="A45" s="120" t="str">
        <f t="shared" si="0"/>
        <v>石嘴山市深阳蓝光市政工程有限公司</v>
      </c>
      <c r="B45" s="84" t="s">
        <v>4240</v>
      </c>
      <c r="C45" s="119"/>
      <c r="D45" s="119"/>
      <c r="E45" s="119"/>
      <c r="F45" s="119"/>
      <c r="G45" s="88">
        <f>审定资负表!D27</f>
        <v>0</v>
      </c>
      <c r="H45" s="85"/>
      <c r="I45" s="85"/>
      <c r="J45" s="85"/>
      <c r="K45" s="85"/>
      <c r="L45" s="85"/>
      <c r="M45" s="85"/>
      <c r="N45" s="85"/>
      <c r="O45" s="85"/>
      <c r="P45" s="85"/>
      <c r="Q45" s="85"/>
    </row>
    <row r="46" customHeight="1" spans="1:17">
      <c r="A46" s="120" t="str">
        <f t="shared" si="0"/>
        <v>石嘴山市深阳蓝光市政工程有限公司</v>
      </c>
      <c r="B46" s="84" t="s">
        <v>1394</v>
      </c>
      <c r="C46" s="122"/>
      <c r="D46" s="122"/>
      <c r="E46" s="122"/>
      <c r="F46" s="122"/>
      <c r="G46" s="87">
        <f>ROUND(G45-G42,2)</f>
        <v>0</v>
      </c>
      <c r="H46" s="85"/>
      <c r="I46" s="85"/>
      <c r="J46" s="85"/>
      <c r="K46" s="85"/>
      <c r="L46" s="85"/>
      <c r="M46" s="85"/>
      <c r="N46" s="85"/>
      <c r="O46" s="85"/>
      <c r="P46" s="85"/>
      <c r="Q46" s="85"/>
    </row>
    <row r="47" customHeight="1" spans="1:17">
      <c r="A47" s="120" t="str">
        <f t="shared" si="0"/>
        <v>石嘴山市深阳蓝光市政工程有限公司</v>
      </c>
      <c r="B47" s="123" t="s">
        <v>4365</v>
      </c>
      <c r="C47" s="122"/>
      <c r="D47" s="122"/>
      <c r="E47" s="122"/>
      <c r="F47" s="122"/>
      <c r="G47" s="88">
        <f>报表附注!$I$1309</f>
        <v>0</v>
      </c>
      <c r="H47" s="85"/>
      <c r="I47" s="85"/>
      <c r="J47" s="85"/>
      <c r="K47" s="85"/>
      <c r="L47" s="85"/>
      <c r="M47" s="85"/>
      <c r="N47" s="85"/>
      <c r="O47" s="85"/>
      <c r="P47" s="85"/>
      <c r="Q47" s="85"/>
    </row>
    <row r="48" customHeight="1" spans="1:17">
      <c r="A48" s="120" t="str">
        <f t="shared" si="0"/>
        <v>石嘴山市深阳蓝光市政工程有限公司</v>
      </c>
      <c r="B48" s="84" t="s">
        <v>1394</v>
      </c>
      <c r="C48" s="122"/>
      <c r="D48" s="122"/>
      <c r="E48" s="122"/>
      <c r="F48" s="122"/>
      <c r="G48" s="87">
        <f>ROUND(G47-G7,2)</f>
        <v>0</v>
      </c>
      <c r="H48" s="85"/>
      <c r="I48" s="85"/>
      <c r="J48" s="85"/>
      <c r="K48" s="85"/>
      <c r="L48" s="85"/>
      <c r="M48" s="85"/>
      <c r="N48" s="85"/>
      <c r="O48" s="85"/>
      <c r="P48" s="85"/>
      <c r="Q48" s="85"/>
    </row>
    <row r="49" customHeight="1" spans="1:17">
      <c r="A49" s="120" t="str">
        <f t="shared" si="0"/>
        <v>石嘴山市深阳蓝光市政工程有限公司</v>
      </c>
      <c r="B49" s="91" t="s">
        <v>60</v>
      </c>
      <c r="C49" s="92" t="s">
        <v>4251</v>
      </c>
      <c r="D49" s="92" t="s">
        <v>1659</v>
      </c>
      <c r="E49" s="92" t="s">
        <v>4252</v>
      </c>
      <c r="F49" s="92" t="s">
        <v>4253</v>
      </c>
      <c r="G49" s="93" t="s">
        <v>1580</v>
      </c>
      <c r="H49" s="85"/>
      <c r="I49" s="85"/>
      <c r="J49" s="85"/>
      <c r="K49" s="85"/>
      <c r="L49" s="85"/>
      <c r="M49" s="85"/>
      <c r="N49" s="85"/>
      <c r="O49" s="85"/>
      <c r="P49" s="85"/>
      <c r="Q49" s="85"/>
    </row>
    <row r="50" customHeight="1" spans="1:17">
      <c r="A50" s="120" t="str">
        <f t="shared" si="0"/>
        <v>石嘴山市深阳蓝光市政工程有限公司</v>
      </c>
      <c r="B50" s="94" t="s">
        <v>4372</v>
      </c>
      <c r="C50" s="95">
        <f>C13-C26-C37</f>
        <v>0</v>
      </c>
      <c r="D50" s="95">
        <f>D13-D26-D37</f>
        <v>0</v>
      </c>
      <c r="E50" s="95">
        <f>E13-E26-E37</f>
        <v>0</v>
      </c>
      <c r="F50" s="95">
        <f>F13-F26-F37</f>
        <v>0</v>
      </c>
      <c r="G50" s="95">
        <f>G13-G26-G37</f>
        <v>0</v>
      </c>
      <c r="H50" s="85"/>
      <c r="I50" s="85"/>
      <c r="J50" s="85"/>
      <c r="K50" s="85"/>
      <c r="L50" s="85"/>
      <c r="M50" s="85"/>
      <c r="N50" s="85"/>
      <c r="O50" s="85"/>
      <c r="P50" s="85"/>
      <c r="Q50" s="85"/>
    </row>
    <row r="51" customHeight="1" spans="1:17">
      <c r="A51" s="120" t="str">
        <f t="shared" si="0"/>
        <v>石嘴山市深阳蓝光市政工程有限公司</v>
      </c>
      <c r="B51" s="99" t="s">
        <v>4375</v>
      </c>
      <c r="C51" s="97"/>
      <c r="D51" s="98"/>
      <c r="E51" s="98"/>
      <c r="F51" s="98"/>
      <c r="G51" s="98"/>
      <c r="H51" s="85"/>
      <c r="I51" s="85"/>
      <c r="J51" s="85"/>
      <c r="K51" s="85"/>
      <c r="L51" s="85"/>
      <c r="M51" s="85"/>
      <c r="N51" s="85"/>
      <c r="O51" s="85"/>
      <c r="P51" s="85"/>
      <c r="Q51" s="85"/>
    </row>
    <row r="52" customHeight="1" spans="1:17">
      <c r="A52" s="120" t="str">
        <f t="shared" si="0"/>
        <v>石嘴山市深阳蓝光市政工程有限公司</v>
      </c>
      <c r="B52" s="99" t="s">
        <v>4378</v>
      </c>
      <c r="C52" s="95">
        <f>C50-C51</f>
        <v>0</v>
      </c>
      <c r="D52" s="95">
        <f>D50-D51</f>
        <v>0</v>
      </c>
      <c r="E52" s="95">
        <f>E50-E51</f>
        <v>0</v>
      </c>
      <c r="F52" s="95">
        <f>F50-F51</f>
        <v>0</v>
      </c>
      <c r="G52" s="95">
        <f>G50-G51</f>
        <v>0</v>
      </c>
      <c r="H52" s="85"/>
      <c r="I52" s="85"/>
      <c r="J52" s="85"/>
      <c r="K52" s="85"/>
      <c r="L52" s="85"/>
      <c r="M52" s="85"/>
      <c r="N52" s="85"/>
      <c r="O52" s="85"/>
      <c r="P52" s="85"/>
      <c r="Q52" s="85"/>
    </row>
    <row r="53" customHeight="1" spans="1:17">
      <c r="A53" s="120"/>
      <c r="B53" s="124"/>
      <c r="C53" s="100"/>
      <c r="D53" s="100"/>
      <c r="E53" s="100"/>
      <c r="F53" s="100"/>
      <c r="G53" s="100"/>
      <c r="H53" s="85"/>
      <c r="I53" s="85"/>
      <c r="J53" s="85"/>
      <c r="K53" s="85"/>
      <c r="L53" s="85"/>
      <c r="M53" s="85"/>
      <c r="N53" s="85"/>
      <c r="O53" s="85"/>
      <c r="P53" s="85"/>
      <c r="Q53" s="85"/>
    </row>
  </sheetData>
  <sheetProtection formatCells="0" formatColumns="0" formatRows="0" autoFilter="0" pivotTables="0"/>
  <conditionalFormatting sqref="G48">
    <cfRule type="containsText" dxfId="7" priority="2" operator="between" text="不">
      <formula>NOT(ISERROR(SEARCH("不",G48)))</formula>
    </cfRule>
    <cfRule type="cellIs" dxfId="8" priority="1" operator="notEqual">
      <formula>0</formula>
    </cfRule>
  </conditionalFormatting>
  <conditionalFormatting sqref="B50:B53 B1">
    <cfRule type="containsText" dxfId="6" priority="5" operator="between" text="文字描述">
      <formula>NOT(ISERROR(SEARCH("文字描述",B1)))</formula>
    </cfRule>
  </conditionalFormatting>
  <conditionalFormatting sqref="C44 G44 G46">
    <cfRule type="containsText" dxfId="7" priority="4" operator="between" text="不">
      <formula>NOT(ISERROR(SEARCH("不",C44)))</formula>
    </cfRule>
    <cfRule type="cellIs" dxfId="8" priority="3" operator="notEqual">
      <formula>0</formula>
    </cfRule>
  </conditionalFormatting>
  <hyperlinks>
    <hyperlink ref="C1" location="报表附注!E1142" display="（返回公式连接表）"/>
  </hyperlinks>
  <pageMargins left="0.7" right="0.7" top="0.75" bottom="0.75" header="0.3" footer="0.3"/>
  <headerFooter/>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Q53"/>
  <sheetViews>
    <sheetView zoomScale="110" zoomScaleNormal="110" workbookViewId="0">
      <pane xSplit="2" ySplit="2" topLeftCell="C45" activePane="bottomRight" state="frozen"/>
      <selection/>
      <selection pane="topRight"/>
      <selection pane="bottomLeft"/>
      <selection pane="bottomRight" activeCell="I19" sqref="I19"/>
    </sheetView>
  </sheetViews>
  <sheetFormatPr defaultColWidth="9" defaultRowHeight="12.95" customHeight="1"/>
  <cols>
    <col min="1" max="1" width="4.125" style="63" hidden="1" customWidth="1"/>
    <col min="2" max="2" width="22.125" customWidth="1"/>
    <col min="3" max="17" width="13.625" customWidth="1"/>
  </cols>
  <sheetData>
    <row r="1" customHeight="1" spans="1:17">
      <c r="A1" s="64" t="str">
        <f>报表附注!G1</f>
        <v>石嘴山市深阳蓝光市政工程有限公司</v>
      </c>
      <c r="B1" s="65" t="s">
        <v>4385</v>
      </c>
      <c r="C1" s="66" t="s">
        <v>4130</v>
      </c>
      <c r="D1" s="67"/>
      <c r="E1" s="67"/>
      <c r="F1" s="67"/>
      <c r="G1" s="67"/>
      <c r="H1" s="68" t="s">
        <v>4914</v>
      </c>
      <c r="I1" s="68"/>
      <c r="J1" s="68"/>
      <c r="K1" s="68"/>
      <c r="L1" s="68"/>
      <c r="M1" s="104" t="s">
        <v>4915</v>
      </c>
      <c r="N1" s="105"/>
      <c r="O1" s="105"/>
      <c r="P1" s="105"/>
      <c r="Q1" s="105"/>
    </row>
    <row r="2" customHeight="1" spans="1:17">
      <c r="A2" s="64" t="str">
        <f t="shared" ref="A2:A11" si="0">A1</f>
        <v>石嘴山市深阳蓝光市政工程有限公司</v>
      </c>
      <c r="B2" s="69" t="s">
        <v>60</v>
      </c>
      <c r="C2" s="69" t="s">
        <v>4136</v>
      </c>
      <c r="D2" s="69" t="s">
        <v>4388</v>
      </c>
      <c r="E2" s="69" t="s">
        <v>4389</v>
      </c>
      <c r="F2" s="69" t="s">
        <v>279</v>
      </c>
      <c r="G2" s="69" t="s">
        <v>1580</v>
      </c>
      <c r="H2" s="69" t="s">
        <v>4136</v>
      </c>
      <c r="I2" s="69" t="s">
        <v>4388</v>
      </c>
      <c r="J2" s="69" t="s">
        <v>4389</v>
      </c>
      <c r="K2" s="69" t="s">
        <v>279</v>
      </c>
      <c r="L2" s="69" t="s">
        <v>1580</v>
      </c>
      <c r="M2" s="69" t="s">
        <v>4136</v>
      </c>
      <c r="N2" s="69" t="s">
        <v>4388</v>
      </c>
      <c r="O2" s="69" t="s">
        <v>4389</v>
      </c>
      <c r="P2" s="69" t="s">
        <v>279</v>
      </c>
      <c r="Q2" s="69" t="s">
        <v>1580</v>
      </c>
    </row>
    <row r="3" customHeight="1" spans="1:17">
      <c r="A3" s="64" t="str">
        <f t="shared" si="0"/>
        <v>石嘴山市深阳蓝光市政工程有限公司</v>
      </c>
      <c r="B3" s="70" t="s">
        <v>4139</v>
      </c>
      <c r="C3" s="71"/>
      <c r="D3" s="71"/>
      <c r="E3" s="71"/>
      <c r="F3" s="71"/>
      <c r="G3" s="71"/>
      <c r="H3" s="71"/>
      <c r="I3" s="71"/>
      <c r="J3" s="71"/>
      <c r="K3" s="71"/>
      <c r="L3" s="71"/>
      <c r="M3" s="71"/>
      <c r="N3" s="71"/>
      <c r="O3" s="71"/>
      <c r="P3" s="71"/>
      <c r="Q3" s="71"/>
    </row>
    <row r="4" customHeight="1" spans="1:17">
      <c r="A4" s="64" t="str">
        <f t="shared" si="0"/>
        <v>石嘴山市深阳蓝光市政工程有限公司</v>
      </c>
      <c r="B4" s="70" t="s">
        <v>4142</v>
      </c>
      <c r="C4" s="72">
        <f>报表附注!F3853</f>
        <v>0</v>
      </c>
      <c r="D4" s="72">
        <f>报表附注!G3853</f>
        <v>0</v>
      </c>
      <c r="E4" s="72">
        <f>报表附注!H3853</f>
        <v>0</v>
      </c>
      <c r="F4" s="72">
        <f>报表附注!I3853</f>
        <v>0</v>
      </c>
      <c r="G4" s="73">
        <f>ROUND(SUM(C4:F4),2)</f>
        <v>0</v>
      </c>
      <c r="H4" s="74"/>
      <c r="I4" s="74"/>
      <c r="J4" s="74"/>
      <c r="K4" s="74"/>
      <c r="L4" s="73">
        <f>ROUND(SUM(H4:K4),2)</f>
        <v>0</v>
      </c>
      <c r="M4" s="106">
        <f>C4-H4</f>
        <v>0</v>
      </c>
      <c r="N4" s="106">
        <f>D4-I4</f>
        <v>0</v>
      </c>
      <c r="O4" s="106">
        <f>E4-J4</f>
        <v>0</v>
      </c>
      <c r="P4" s="106">
        <f>F4-K4</f>
        <v>0</v>
      </c>
      <c r="Q4" s="73">
        <f>ROUND(SUM(M4:P4),2)</f>
        <v>0</v>
      </c>
    </row>
    <row r="5" customHeight="1" spans="1:17">
      <c r="A5" s="64" t="str">
        <f t="shared" si="0"/>
        <v>石嘴山市深阳蓝光市政工程有限公司</v>
      </c>
      <c r="B5" s="70" t="s">
        <v>4145</v>
      </c>
      <c r="C5" s="73">
        <f>ROUND(SUM(C6:C10),2)</f>
        <v>0</v>
      </c>
      <c r="D5" s="73">
        <f>ROUND(SUM(D6:D10),2)</f>
        <v>0</v>
      </c>
      <c r="E5" s="73">
        <f>ROUND(SUM(E6:E10),2)</f>
        <v>0</v>
      </c>
      <c r="F5" s="73">
        <f>ROUND(SUM(F6:F10),2)</f>
        <v>0</v>
      </c>
      <c r="G5" s="73">
        <f>ROUND(SUM(C5:F5),2)</f>
        <v>0</v>
      </c>
      <c r="H5" s="75">
        <f>ROUND(SUM(H6:H10),2)</f>
        <v>0</v>
      </c>
      <c r="I5" s="75">
        <f>ROUND(SUM(I6:I10),2)</f>
        <v>0</v>
      </c>
      <c r="J5" s="75">
        <f>ROUND(SUM(J6:J10),2)</f>
        <v>0</v>
      </c>
      <c r="K5" s="75">
        <f>ROUND(SUM(K6:K10),2)</f>
        <v>0</v>
      </c>
      <c r="L5" s="73">
        <f>ROUND(SUM(H5:K5),2)</f>
        <v>0</v>
      </c>
      <c r="M5" s="73">
        <f>ROUND(SUM(M6:M10),2)</f>
        <v>0</v>
      </c>
      <c r="N5" s="73">
        <f>ROUND(SUM(N6:N10),2)</f>
        <v>0</v>
      </c>
      <c r="O5" s="73">
        <f>ROUND(SUM(O6:O10),2)</f>
        <v>0</v>
      </c>
      <c r="P5" s="73">
        <f>ROUND(SUM(P6:P10),2)</f>
        <v>0</v>
      </c>
      <c r="Q5" s="73">
        <f>ROUND(SUM(M5:P5),2)</f>
        <v>0</v>
      </c>
    </row>
    <row r="6" customHeight="1" spans="1:17">
      <c r="A6" s="64" t="str">
        <f t="shared" si="0"/>
        <v>石嘴山市深阳蓝光市政工程有限公司</v>
      </c>
      <c r="B6" s="76" t="s">
        <v>4398</v>
      </c>
      <c r="C6" s="72">
        <f>报表附注!F3855</f>
        <v>0</v>
      </c>
      <c r="D6" s="72">
        <f>报表附注!G3855</f>
        <v>0</v>
      </c>
      <c r="E6" s="72">
        <f>报表附注!H3855</f>
        <v>0</v>
      </c>
      <c r="F6" s="72">
        <f>报表附注!I3855</f>
        <v>0</v>
      </c>
      <c r="G6" s="73">
        <f t="shared" ref="G6:G41" si="1">ROUND(SUM(C6:F6),2)</f>
        <v>0</v>
      </c>
      <c r="H6" s="77"/>
      <c r="I6" s="77"/>
      <c r="J6" s="77"/>
      <c r="K6" s="77"/>
      <c r="L6" s="73">
        <f t="shared" ref="L6:L15" si="2">ROUND(SUM(H6:K6),2)</f>
        <v>0</v>
      </c>
      <c r="M6" s="106">
        <f t="shared" ref="M6:P10" si="3">C6-H6</f>
        <v>0</v>
      </c>
      <c r="N6" s="106">
        <f t="shared" si="3"/>
        <v>0</v>
      </c>
      <c r="O6" s="106">
        <f t="shared" si="3"/>
        <v>0</v>
      </c>
      <c r="P6" s="106">
        <f t="shared" si="3"/>
        <v>0</v>
      </c>
      <c r="Q6" s="73">
        <f t="shared" ref="Q6:Q15" si="4">ROUND(SUM(M6:P6),2)</f>
        <v>0</v>
      </c>
    </row>
    <row r="7" customHeight="1" spans="1:17">
      <c r="A7" s="64" t="str">
        <f t="shared" si="0"/>
        <v>石嘴山市深阳蓝光市政工程有限公司</v>
      </c>
      <c r="B7" s="76" t="s">
        <v>4401</v>
      </c>
      <c r="C7" s="72">
        <f>报表附注!F3856</f>
        <v>0</v>
      </c>
      <c r="D7" s="72">
        <f>报表附注!G3856</f>
        <v>0</v>
      </c>
      <c r="E7" s="72">
        <f>报表附注!H3856</f>
        <v>0</v>
      </c>
      <c r="F7" s="72">
        <f>报表附注!I3856</f>
        <v>0</v>
      </c>
      <c r="G7" s="73">
        <f t="shared" si="1"/>
        <v>0</v>
      </c>
      <c r="H7" s="77"/>
      <c r="I7" s="77"/>
      <c r="J7" s="77"/>
      <c r="K7" s="77"/>
      <c r="L7" s="73">
        <f t="shared" si="2"/>
        <v>0</v>
      </c>
      <c r="M7" s="106">
        <f t="shared" si="3"/>
        <v>0</v>
      </c>
      <c r="N7" s="106">
        <f t="shared" si="3"/>
        <v>0</v>
      </c>
      <c r="O7" s="106">
        <f t="shared" si="3"/>
        <v>0</v>
      </c>
      <c r="P7" s="106">
        <f t="shared" si="3"/>
        <v>0</v>
      </c>
      <c r="Q7" s="73">
        <f t="shared" si="4"/>
        <v>0</v>
      </c>
    </row>
    <row r="8" customHeight="1" spans="1:17">
      <c r="A8" s="64" t="str">
        <f t="shared" si="0"/>
        <v>石嘴山市深阳蓝光市政工程有限公司</v>
      </c>
      <c r="B8" s="76" t="s">
        <v>4404</v>
      </c>
      <c r="C8" s="72">
        <f>报表附注!F3857</f>
        <v>0</v>
      </c>
      <c r="D8" s="72">
        <f>报表附注!G3857</f>
        <v>0</v>
      </c>
      <c r="E8" s="72">
        <f>报表附注!H3857</f>
        <v>0</v>
      </c>
      <c r="F8" s="72">
        <f>报表附注!I3857</f>
        <v>0</v>
      </c>
      <c r="G8" s="73">
        <f t="shared" si="1"/>
        <v>0</v>
      </c>
      <c r="H8" s="77"/>
      <c r="I8" s="77"/>
      <c r="J8" s="77"/>
      <c r="K8" s="77"/>
      <c r="L8" s="73">
        <f t="shared" si="2"/>
        <v>0</v>
      </c>
      <c r="M8" s="106">
        <f t="shared" si="3"/>
        <v>0</v>
      </c>
      <c r="N8" s="106">
        <f t="shared" si="3"/>
        <v>0</v>
      </c>
      <c r="O8" s="106">
        <f t="shared" si="3"/>
        <v>0</v>
      </c>
      <c r="P8" s="106">
        <f t="shared" si="3"/>
        <v>0</v>
      </c>
      <c r="Q8" s="73">
        <f t="shared" si="4"/>
        <v>0</v>
      </c>
    </row>
    <row r="9" customHeight="1" spans="1:17">
      <c r="A9" s="64" t="str">
        <f t="shared" si="0"/>
        <v>石嘴山市深阳蓝光市政工程有限公司</v>
      </c>
      <c r="B9" s="78" t="s">
        <v>4274</v>
      </c>
      <c r="C9" s="72">
        <f>报表附注!F3858</f>
        <v>0</v>
      </c>
      <c r="D9" s="72">
        <f>报表附注!G3858</f>
        <v>0</v>
      </c>
      <c r="E9" s="72">
        <f>报表附注!H3858</f>
        <v>0</v>
      </c>
      <c r="F9" s="72">
        <f>报表附注!I3858</f>
        <v>0</v>
      </c>
      <c r="G9" s="73">
        <f t="shared" si="1"/>
        <v>0</v>
      </c>
      <c r="H9" s="77"/>
      <c r="I9" s="77"/>
      <c r="J9" s="77"/>
      <c r="K9" s="77"/>
      <c r="L9" s="73">
        <f t="shared" si="2"/>
        <v>0</v>
      </c>
      <c r="M9" s="106">
        <f t="shared" si="3"/>
        <v>0</v>
      </c>
      <c r="N9" s="106">
        <f t="shared" si="3"/>
        <v>0</v>
      </c>
      <c r="O9" s="106">
        <f t="shared" si="3"/>
        <v>0</v>
      </c>
      <c r="P9" s="106">
        <f t="shared" si="3"/>
        <v>0</v>
      </c>
      <c r="Q9" s="73">
        <f t="shared" si="4"/>
        <v>0</v>
      </c>
    </row>
    <row r="10" customHeight="1" spans="1:17">
      <c r="A10" s="64" t="str">
        <f t="shared" si="0"/>
        <v>石嘴山市深阳蓝光市政工程有限公司</v>
      </c>
      <c r="B10" s="79" t="s">
        <v>4409</v>
      </c>
      <c r="C10" s="72">
        <f>报表附注!F3859</f>
        <v>0</v>
      </c>
      <c r="D10" s="72">
        <f>报表附注!G3859</f>
        <v>0</v>
      </c>
      <c r="E10" s="72">
        <f>报表附注!H3859</f>
        <v>0</v>
      </c>
      <c r="F10" s="72">
        <f>报表附注!I3859</f>
        <v>0</v>
      </c>
      <c r="G10" s="73">
        <f t="shared" si="1"/>
        <v>0</v>
      </c>
      <c r="H10" s="77"/>
      <c r="I10" s="77"/>
      <c r="J10" s="77"/>
      <c r="K10" s="77"/>
      <c r="L10" s="73">
        <f t="shared" si="2"/>
        <v>0</v>
      </c>
      <c r="M10" s="106">
        <f t="shared" si="3"/>
        <v>0</v>
      </c>
      <c r="N10" s="106">
        <f t="shared" si="3"/>
        <v>0</v>
      </c>
      <c r="O10" s="106">
        <f t="shared" si="3"/>
        <v>0</v>
      </c>
      <c r="P10" s="106">
        <f t="shared" si="3"/>
        <v>0</v>
      </c>
      <c r="Q10" s="73">
        <f t="shared" si="4"/>
        <v>0</v>
      </c>
    </row>
    <row r="11" customHeight="1" spans="1:17">
      <c r="A11" s="64" t="str">
        <f t="shared" si="0"/>
        <v>石嘴山市深阳蓝光市政工程有限公司</v>
      </c>
      <c r="B11" s="70" t="s">
        <v>4159</v>
      </c>
      <c r="C11" s="73">
        <f>ROUND(SUM(C12:C15),2)</f>
        <v>0</v>
      </c>
      <c r="D11" s="73">
        <f>ROUND(SUM(D12:D15),2)</f>
        <v>0</v>
      </c>
      <c r="E11" s="73">
        <f>ROUND(SUM(E12:E15),2)</f>
        <v>0</v>
      </c>
      <c r="F11" s="73">
        <f>ROUND(SUM(F12:F15),2)</f>
        <v>0</v>
      </c>
      <c r="G11" s="73">
        <f t="shared" si="1"/>
        <v>0</v>
      </c>
      <c r="H11" s="75">
        <f>ROUND(SUM(H12:H15),2)</f>
        <v>0</v>
      </c>
      <c r="I11" s="75">
        <f>ROUND(SUM(I12:I15),2)</f>
        <v>0</v>
      </c>
      <c r="J11" s="75">
        <f>ROUND(SUM(J12:J15),2)</f>
        <v>0</v>
      </c>
      <c r="K11" s="75">
        <f>ROUND(SUM(K12:K15),2)</f>
        <v>0</v>
      </c>
      <c r="L11" s="73">
        <f t="shared" si="2"/>
        <v>0</v>
      </c>
      <c r="M11" s="73">
        <f>ROUND(SUM(M12:M15),2)</f>
        <v>0</v>
      </c>
      <c r="N11" s="73">
        <f>ROUND(SUM(N12:N15),2)</f>
        <v>0</v>
      </c>
      <c r="O11" s="73">
        <f>ROUND(SUM(O12:O15),2)</f>
        <v>0</v>
      </c>
      <c r="P11" s="73">
        <f>ROUND(SUM(P12:P15),2)</f>
        <v>0</v>
      </c>
      <c r="Q11" s="73">
        <f t="shared" si="4"/>
        <v>0</v>
      </c>
    </row>
    <row r="12" customHeight="1" spans="1:17">
      <c r="A12" s="64" t="str">
        <f t="shared" ref="A12:A52" si="5">A11</f>
        <v>石嘴山市深阳蓝光市政工程有限公司</v>
      </c>
      <c r="B12" s="76" t="s">
        <v>4414</v>
      </c>
      <c r="C12" s="72">
        <f>报表附注!F3861</f>
        <v>0</v>
      </c>
      <c r="D12" s="72">
        <f>报表附注!G3861</f>
        <v>0</v>
      </c>
      <c r="E12" s="72">
        <f>报表附注!H3861</f>
        <v>0</v>
      </c>
      <c r="F12" s="72">
        <f>报表附注!I3861</f>
        <v>0</v>
      </c>
      <c r="G12" s="73">
        <f t="shared" si="1"/>
        <v>0</v>
      </c>
      <c r="H12" s="77"/>
      <c r="I12" s="77"/>
      <c r="J12" s="77"/>
      <c r="K12" s="77"/>
      <c r="L12" s="73">
        <f t="shared" si="2"/>
        <v>0</v>
      </c>
      <c r="M12" s="106">
        <f t="shared" ref="M12:P15" si="6">C12-H12</f>
        <v>0</v>
      </c>
      <c r="N12" s="106">
        <f t="shared" si="6"/>
        <v>0</v>
      </c>
      <c r="O12" s="106">
        <f t="shared" si="6"/>
        <v>0</v>
      </c>
      <c r="P12" s="106">
        <f t="shared" si="6"/>
        <v>0</v>
      </c>
      <c r="Q12" s="73">
        <f t="shared" si="4"/>
        <v>0</v>
      </c>
    </row>
    <row r="13" customHeight="1" spans="1:17">
      <c r="A13" s="64" t="str">
        <f t="shared" si="5"/>
        <v>石嘴山市深阳蓝光市政工程有限公司</v>
      </c>
      <c r="B13" s="79" t="s">
        <v>4289</v>
      </c>
      <c r="C13" s="72">
        <f>报表附注!F3862</f>
        <v>0</v>
      </c>
      <c r="D13" s="72">
        <f>报表附注!G3862</f>
        <v>0</v>
      </c>
      <c r="E13" s="72">
        <f>报表附注!H3862</f>
        <v>0</v>
      </c>
      <c r="F13" s="72">
        <f>报表附注!I3862</f>
        <v>0</v>
      </c>
      <c r="G13" s="73">
        <f t="shared" si="1"/>
        <v>0</v>
      </c>
      <c r="H13" s="77"/>
      <c r="I13" s="77"/>
      <c r="J13" s="77"/>
      <c r="K13" s="77"/>
      <c r="L13" s="73">
        <f t="shared" si="2"/>
        <v>0</v>
      </c>
      <c r="M13" s="106">
        <f t="shared" si="6"/>
        <v>0</v>
      </c>
      <c r="N13" s="106">
        <f t="shared" si="6"/>
        <v>0</v>
      </c>
      <c r="O13" s="106">
        <f t="shared" si="6"/>
        <v>0</v>
      </c>
      <c r="P13" s="106">
        <f t="shared" si="6"/>
        <v>0</v>
      </c>
      <c r="Q13" s="73">
        <f t="shared" si="4"/>
        <v>0</v>
      </c>
    </row>
    <row r="14" customHeight="1" spans="1:17">
      <c r="A14" s="64" t="str">
        <f t="shared" si="5"/>
        <v>石嘴山市深阳蓝光市政工程有限公司</v>
      </c>
      <c r="B14" s="79" t="s">
        <v>4292</v>
      </c>
      <c r="C14" s="72">
        <f>报表附注!F3863</f>
        <v>0</v>
      </c>
      <c r="D14" s="72">
        <f>报表附注!G3863</f>
        <v>0</v>
      </c>
      <c r="E14" s="72">
        <f>报表附注!H3863</f>
        <v>0</v>
      </c>
      <c r="F14" s="72">
        <f>报表附注!I3863</f>
        <v>0</v>
      </c>
      <c r="G14" s="73">
        <f t="shared" si="1"/>
        <v>0</v>
      </c>
      <c r="H14" s="77"/>
      <c r="I14" s="77"/>
      <c r="J14" s="77"/>
      <c r="K14" s="77"/>
      <c r="L14" s="73">
        <f t="shared" si="2"/>
        <v>0</v>
      </c>
      <c r="M14" s="106">
        <f t="shared" si="6"/>
        <v>0</v>
      </c>
      <c r="N14" s="106">
        <f t="shared" si="6"/>
        <v>0</v>
      </c>
      <c r="O14" s="106">
        <f t="shared" si="6"/>
        <v>0</v>
      </c>
      <c r="P14" s="106">
        <f t="shared" si="6"/>
        <v>0</v>
      </c>
      <c r="Q14" s="73">
        <f t="shared" si="4"/>
        <v>0</v>
      </c>
    </row>
    <row r="15" customHeight="1" spans="1:17">
      <c r="A15" s="64" t="str">
        <f t="shared" si="5"/>
        <v>石嘴山市深阳蓝光市政工程有限公司</v>
      </c>
      <c r="B15" s="79" t="s">
        <v>4295</v>
      </c>
      <c r="C15" s="72">
        <f>报表附注!F3864</f>
        <v>0</v>
      </c>
      <c r="D15" s="72">
        <f>报表附注!G3864</f>
        <v>0</v>
      </c>
      <c r="E15" s="72">
        <f>报表附注!H3864</f>
        <v>0</v>
      </c>
      <c r="F15" s="72">
        <f>报表附注!I3864</f>
        <v>0</v>
      </c>
      <c r="G15" s="73">
        <f t="shared" si="1"/>
        <v>0</v>
      </c>
      <c r="H15" s="80"/>
      <c r="I15" s="77"/>
      <c r="J15" s="77"/>
      <c r="K15" s="77"/>
      <c r="L15" s="73">
        <f t="shared" si="2"/>
        <v>0</v>
      </c>
      <c r="M15" s="106">
        <f t="shared" si="6"/>
        <v>0</v>
      </c>
      <c r="N15" s="106">
        <f t="shared" si="6"/>
        <v>0</v>
      </c>
      <c r="O15" s="106">
        <f t="shared" si="6"/>
        <v>0</v>
      </c>
      <c r="P15" s="106">
        <f t="shared" si="6"/>
        <v>0</v>
      </c>
      <c r="Q15" s="73">
        <f t="shared" si="4"/>
        <v>0</v>
      </c>
    </row>
    <row r="16" customHeight="1" spans="1:17">
      <c r="A16" s="64" t="str">
        <f t="shared" si="5"/>
        <v>石嘴山市深阳蓝光市政工程有限公司</v>
      </c>
      <c r="B16" s="70" t="s">
        <v>4171</v>
      </c>
      <c r="C16" s="73">
        <f>ROUND(C4+C5-C11,2)</f>
        <v>0</v>
      </c>
      <c r="D16" s="73">
        <f>ROUND(D4+D5-D11,2)</f>
        <v>0</v>
      </c>
      <c r="E16" s="73">
        <f>ROUND(E4+E5-E11,2)</f>
        <v>0</v>
      </c>
      <c r="F16" s="73">
        <f>ROUND(F4+F5-F11,2)</f>
        <v>0</v>
      </c>
      <c r="G16" s="73">
        <f t="shared" si="1"/>
        <v>0</v>
      </c>
      <c r="H16" s="75">
        <f>ROUND(H4+H5-H11,2)</f>
        <v>0</v>
      </c>
      <c r="I16" s="75">
        <f>ROUND(I4+I5-I11,2)</f>
        <v>0</v>
      </c>
      <c r="J16" s="75">
        <f>ROUND(J4+J5-J11,2)</f>
        <v>0</v>
      </c>
      <c r="K16" s="75">
        <f>ROUND(K4+K5-K11,2)</f>
        <v>0</v>
      </c>
      <c r="L16" s="73">
        <f t="shared" ref="L16:L28" si="7">ROUND(SUM(H16:K16),2)</f>
        <v>0</v>
      </c>
      <c r="M16" s="73">
        <f>ROUND(M4+M5-M11,2)</f>
        <v>0</v>
      </c>
      <c r="N16" s="73">
        <f>ROUND(N4+N5-N11,2)</f>
        <v>0</v>
      </c>
      <c r="O16" s="73">
        <f>ROUND(O4+O5-O11,2)</f>
        <v>0</v>
      </c>
      <c r="P16" s="73">
        <f>ROUND(P4+P5-P11,2)</f>
        <v>0</v>
      </c>
      <c r="Q16" s="73">
        <f t="shared" ref="Q16:Q27" si="8">ROUND(SUM(M16:P16),2)</f>
        <v>0</v>
      </c>
    </row>
    <row r="17" customHeight="1" spans="1:17">
      <c r="A17" s="64" t="str">
        <f t="shared" si="5"/>
        <v>石嘴山市深阳蓝光市政工程有限公司</v>
      </c>
      <c r="B17" s="70" t="s">
        <v>4425</v>
      </c>
      <c r="C17" s="81"/>
      <c r="D17" s="81"/>
      <c r="E17" s="81"/>
      <c r="F17" s="81"/>
      <c r="G17" s="73">
        <f t="shared" si="1"/>
        <v>0</v>
      </c>
      <c r="H17" s="82"/>
      <c r="I17" s="82"/>
      <c r="J17" s="82"/>
      <c r="K17" s="82"/>
      <c r="L17" s="73">
        <f t="shared" si="7"/>
        <v>0</v>
      </c>
      <c r="M17" s="81"/>
      <c r="N17" s="81"/>
      <c r="O17" s="81"/>
      <c r="P17" s="81"/>
      <c r="Q17" s="73">
        <f t="shared" si="8"/>
        <v>0</v>
      </c>
    </row>
    <row r="18" customHeight="1" spans="1:17">
      <c r="A18" s="64" t="str">
        <f t="shared" si="5"/>
        <v>石嘴山市深阳蓝光市政工程有限公司</v>
      </c>
      <c r="B18" s="70" t="s">
        <v>4142</v>
      </c>
      <c r="C18" s="72">
        <f>报表附注!F3867</f>
        <v>0</v>
      </c>
      <c r="D18" s="72">
        <f>报表附注!G3867</f>
        <v>0</v>
      </c>
      <c r="E18" s="72">
        <f>报表附注!H3867</f>
        <v>0</v>
      </c>
      <c r="F18" s="72">
        <f>报表附注!I3867</f>
        <v>0</v>
      </c>
      <c r="G18" s="73">
        <f t="shared" si="1"/>
        <v>0</v>
      </c>
      <c r="H18" s="77"/>
      <c r="I18" s="77"/>
      <c r="J18" s="77"/>
      <c r="K18" s="77"/>
      <c r="L18" s="73">
        <f t="shared" si="7"/>
        <v>0</v>
      </c>
      <c r="M18" s="106">
        <f>C18-H18</f>
        <v>0</v>
      </c>
      <c r="N18" s="106">
        <f>D18-I18</f>
        <v>0</v>
      </c>
      <c r="O18" s="106">
        <f>E18-J18</f>
        <v>0</v>
      </c>
      <c r="P18" s="106">
        <f>F18-K18</f>
        <v>0</v>
      </c>
      <c r="Q18" s="73">
        <f t="shared" si="8"/>
        <v>0</v>
      </c>
    </row>
    <row r="19" customHeight="1" spans="1:17">
      <c r="A19" s="64" t="str">
        <f t="shared" si="5"/>
        <v>石嘴山市深阳蓝光市政工程有限公司</v>
      </c>
      <c r="B19" s="70" t="s">
        <v>4145</v>
      </c>
      <c r="C19" s="73">
        <f>ROUND(SUM(C20:C23),2)</f>
        <v>0</v>
      </c>
      <c r="D19" s="73">
        <f>ROUND(SUM(D20:D23),2)</f>
        <v>0</v>
      </c>
      <c r="E19" s="73">
        <f>ROUND(SUM(E20:E23),2)</f>
        <v>0</v>
      </c>
      <c r="F19" s="73">
        <f>ROUND(SUM(F20:F23),2)</f>
        <v>0</v>
      </c>
      <c r="G19" s="73">
        <f t="shared" si="1"/>
        <v>0</v>
      </c>
      <c r="H19" s="75">
        <f>ROUND(SUM(H20:H23),2)</f>
        <v>0</v>
      </c>
      <c r="I19" s="75">
        <f>ROUND(SUM(I20:I23),2)</f>
        <v>0</v>
      </c>
      <c r="J19" s="75">
        <f>ROUND(SUM(J20:J23),2)</f>
        <v>0</v>
      </c>
      <c r="K19" s="75">
        <f>ROUND(SUM(K20:K23),2)</f>
        <v>0</v>
      </c>
      <c r="L19" s="73">
        <f t="shared" si="7"/>
        <v>0</v>
      </c>
      <c r="M19" s="73">
        <f>ROUND(SUM(M20:M23),2)</f>
        <v>0</v>
      </c>
      <c r="N19" s="73">
        <f>ROUND(SUM(N20:N23),2)</f>
        <v>0</v>
      </c>
      <c r="O19" s="73">
        <f>ROUND(SUM(O20:O23),2)</f>
        <v>0</v>
      </c>
      <c r="P19" s="73">
        <f>ROUND(SUM(P20:P23),2)</f>
        <v>0</v>
      </c>
      <c r="Q19" s="73">
        <f t="shared" si="8"/>
        <v>0</v>
      </c>
    </row>
    <row r="20" customHeight="1" spans="1:17">
      <c r="A20" s="64" t="str">
        <f t="shared" si="5"/>
        <v>石嘴山市深阳蓝光市政工程有限公司</v>
      </c>
      <c r="B20" s="76" t="s">
        <v>4432</v>
      </c>
      <c r="C20" s="72">
        <f>报表附注!F3869</f>
        <v>0</v>
      </c>
      <c r="D20" s="72">
        <f>报表附注!G3869</f>
        <v>0</v>
      </c>
      <c r="E20" s="72">
        <f>报表附注!H3869</f>
        <v>0</v>
      </c>
      <c r="F20" s="72">
        <f>报表附注!I3869</f>
        <v>0</v>
      </c>
      <c r="G20" s="73">
        <f t="shared" si="1"/>
        <v>0</v>
      </c>
      <c r="H20" s="77"/>
      <c r="I20" s="77"/>
      <c r="J20" s="77"/>
      <c r="K20" s="77"/>
      <c r="L20" s="73">
        <f t="shared" si="7"/>
        <v>0</v>
      </c>
      <c r="M20" s="106">
        <f t="shared" ref="M20:P23" si="9">C20-H20</f>
        <v>0</v>
      </c>
      <c r="N20" s="106">
        <f t="shared" si="9"/>
        <v>0</v>
      </c>
      <c r="O20" s="106">
        <f t="shared" si="9"/>
        <v>0</v>
      </c>
      <c r="P20" s="106">
        <f t="shared" si="9"/>
        <v>0</v>
      </c>
      <c r="Q20" s="73">
        <f t="shared" si="8"/>
        <v>0</v>
      </c>
    </row>
    <row r="21" customHeight="1" spans="1:17">
      <c r="A21" s="64" t="str">
        <f t="shared" si="5"/>
        <v>石嘴山市深阳蓝光市政工程有限公司</v>
      </c>
      <c r="B21" s="79" t="s">
        <v>4311</v>
      </c>
      <c r="C21" s="72">
        <f>报表附注!F3870</f>
        <v>0</v>
      </c>
      <c r="D21" s="72">
        <f>报表附注!G3870</f>
        <v>0</v>
      </c>
      <c r="E21" s="72">
        <f>报表附注!H3870</f>
        <v>0</v>
      </c>
      <c r="F21" s="72">
        <f>报表附注!I3870</f>
        <v>0</v>
      </c>
      <c r="G21" s="73">
        <f t="shared" si="1"/>
        <v>0</v>
      </c>
      <c r="H21" s="77"/>
      <c r="I21" s="77"/>
      <c r="J21" s="77"/>
      <c r="K21" s="77"/>
      <c r="L21" s="73">
        <f t="shared" si="7"/>
        <v>0</v>
      </c>
      <c r="M21" s="106">
        <f t="shared" si="9"/>
        <v>0</v>
      </c>
      <c r="N21" s="106">
        <f t="shared" si="9"/>
        <v>0</v>
      </c>
      <c r="O21" s="106">
        <f t="shared" si="9"/>
        <v>0</v>
      </c>
      <c r="P21" s="106">
        <f t="shared" si="9"/>
        <v>0</v>
      </c>
      <c r="Q21" s="73">
        <f t="shared" si="8"/>
        <v>0</v>
      </c>
    </row>
    <row r="22" customHeight="1" spans="1:17">
      <c r="A22" s="64" t="str">
        <f t="shared" si="5"/>
        <v>石嘴山市深阳蓝光市政工程有限公司</v>
      </c>
      <c r="B22" s="79" t="s">
        <v>4314</v>
      </c>
      <c r="C22" s="72">
        <f>报表附注!F3871</f>
        <v>0</v>
      </c>
      <c r="D22" s="72">
        <f>报表附注!G3871</f>
        <v>0</v>
      </c>
      <c r="E22" s="72">
        <f>报表附注!H3871</f>
        <v>0</v>
      </c>
      <c r="F22" s="72">
        <f>报表附注!I3871</f>
        <v>0</v>
      </c>
      <c r="G22" s="73">
        <f t="shared" si="1"/>
        <v>0</v>
      </c>
      <c r="H22" s="77"/>
      <c r="I22" s="77"/>
      <c r="J22" s="77"/>
      <c r="K22" s="77"/>
      <c r="L22" s="73">
        <f t="shared" si="7"/>
        <v>0</v>
      </c>
      <c r="M22" s="106">
        <f t="shared" si="9"/>
        <v>0</v>
      </c>
      <c r="N22" s="106">
        <f t="shared" si="9"/>
        <v>0</v>
      </c>
      <c r="O22" s="106">
        <f t="shared" si="9"/>
        <v>0</v>
      </c>
      <c r="P22" s="106">
        <f t="shared" si="9"/>
        <v>0</v>
      </c>
      <c r="Q22" s="73">
        <f t="shared" si="8"/>
        <v>0</v>
      </c>
    </row>
    <row r="23" customHeight="1" spans="1:17">
      <c r="A23" s="64" t="str">
        <f t="shared" si="5"/>
        <v>石嘴山市深阳蓝光市政工程有限公司</v>
      </c>
      <c r="B23" s="79" t="s">
        <v>4317</v>
      </c>
      <c r="C23" s="72">
        <f>报表附注!F3872</f>
        <v>0</v>
      </c>
      <c r="D23" s="72">
        <f>报表附注!G3872</f>
        <v>0</v>
      </c>
      <c r="E23" s="72">
        <f>报表附注!H3872</f>
        <v>0</v>
      </c>
      <c r="F23" s="72">
        <f>报表附注!I3872</f>
        <v>0</v>
      </c>
      <c r="G23" s="73">
        <f t="shared" si="1"/>
        <v>0</v>
      </c>
      <c r="H23" s="77"/>
      <c r="I23" s="77"/>
      <c r="J23" s="77"/>
      <c r="K23" s="77"/>
      <c r="L23" s="73">
        <f t="shared" si="7"/>
        <v>0</v>
      </c>
      <c r="M23" s="106">
        <f t="shared" si="9"/>
        <v>0</v>
      </c>
      <c r="N23" s="106">
        <f t="shared" si="9"/>
        <v>0</v>
      </c>
      <c r="O23" s="106">
        <f t="shared" si="9"/>
        <v>0</v>
      </c>
      <c r="P23" s="106">
        <f t="shared" si="9"/>
        <v>0</v>
      </c>
      <c r="Q23" s="73">
        <f t="shared" si="8"/>
        <v>0</v>
      </c>
    </row>
    <row r="24" customHeight="1" spans="1:17">
      <c r="A24" s="64" t="str">
        <f t="shared" si="5"/>
        <v>石嘴山市深阳蓝光市政工程有限公司</v>
      </c>
      <c r="B24" s="70" t="s">
        <v>4159</v>
      </c>
      <c r="C24" s="73">
        <f>ROUND(SUM(C25:C28),2)</f>
        <v>0</v>
      </c>
      <c r="D24" s="73">
        <f>ROUND(SUM(D25:D28),2)</f>
        <v>0</v>
      </c>
      <c r="E24" s="73">
        <f>ROUND(SUM(E25:E28),2)</f>
        <v>0</v>
      </c>
      <c r="F24" s="73">
        <f>ROUND(SUM(F25:F28),2)</f>
        <v>0</v>
      </c>
      <c r="G24" s="73">
        <f t="shared" si="1"/>
        <v>0</v>
      </c>
      <c r="H24" s="75">
        <f>ROUND(SUM(H25:H28),2)</f>
        <v>0</v>
      </c>
      <c r="I24" s="75">
        <f>ROUND(SUM(I25:I28),2)</f>
        <v>0</v>
      </c>
      <c r="J24" s="75">
        <f>ROUND(SUM(J25:J28),2)</f>
        <v>0</v>
      </c>
      <c r="K24" s="75">
        <f>ROUND(SUM(K25:K28),2)</f>
        <v>0</v>
      </c>
      <c r="L24" s="73">
        <f t="shared" si="7"/>
        <v>0</v>
      </c>
      <c r="M24" s="73">
        <f>ROUND(SUM(M25:M28),2)</f>
        <v>0</v>
      </c>
      <c r="N24" s="73">
        <f>ROUND(SUM(N25:N28),2)</f>
        <v>0</v>
      </c>
      <c r="O24" s="73">
        <f>ROUND(SUM(O25:O28),2)</f>
        <v>0</v>
      </c>
      <c r="P24" s="73">
        <f>ROUND(SUM(P25:P28),2)</f>
        <v>0</v>
      </c>
      <c r="Q24" s="73">
        <f t="shared" si="8"/>
        <v>0</v>
      </c>
    </row>
    <row r="25" customHeight="1" spans="1:17">
      <c r="A25" s="64" t="str">
        <f t="shared" si="5"/>
        <v>石嘴山市深阳蓝光市政工程有限公司</v>
      </c>
      <c r="B25" s="76" t="s">
        <v>4414</v>
      </c>
      <c r="C25" s="72">
        <f>报表附注!F3874</f>
        <v>0</v>
      </c>
      <c r="D25" s="72">
        <f>报表附注!G3874</f>
        <v>0</v>
      </c>
      <c r="E25" s="72">
        <f>报表附注!H3874</f>
        <v>0</v>
      </c>
      <c r="F25" s="72">
        <f>报表附注!I3874</f>
        <v>0</v>
      </c>
      <c r="G25" s="73">
        <f t="shared" si="1"/>
        <v>0</v>
      </c>
      <c r="H25" s="77"/>
      <c r="I25" s="77"/>
      <c r="J25" s="77"/>
      <c r="K25" s="77"/>
      <c r="L25" s="73">
        <f t="shared" si="7"/>
        <v>0</v>
      </c>
      <c r="M25" s="106">
        <f t="shared" ref="M25:P28" si="10">C25-H25</f>
        <v>0</v>
      </c>
      <c r="N25" s="106">
        <f t="shared" si="10"/>
        <v>0</v>
      </c>
      <c r="O25" s="106">
        <f t="shared" si="10"/>
        <v>0</v>
      </c>
      <c r="P25" s="106">
        <f t="shared" si="10"/>
        <v>0</v>
      </c>
      <c r="Q25" s="73">
        <f t="shared" si="8"/>
        <v>0</v>
      </c>
    </row>
    <row r="26" customHeight="1" spans="1:17">
      <c r="A26" s="64" t="str">
        <f t="shared" si="5"/>
        <v>石嘴山市深阳蓝光市政工程有限公司</v>
      </c>
      <c r="B26" s="79" t="s">
        <v>4289</v>
      </c>
      <c r="C26" s="72">
        <f>报表附注!F3875</f>
        <v>0</v>
      </c>
      <c r="D26" s="72">
        <f>报表附注!G3875</f>
        <v>0</v>
      </c>
      <c r="E26" s="72">
        <f>报表附注!H3875</f>
        <v>0</v>
      </c>
      <c r="F26" s="72">
        <f>报表附注!I3875</f>
        <v>0</v>
      </c>
      <c r="G26" s="73">
        <f t="shared" si="1"/>
        <v>0</v>
      </c>
      <c r="H26" s="77"/>
      <c r="I26" s="77"/>
      <c r="J26" s="77"/>
      <c r="K26" s="77"/>
      <c r="L26" s="73">
        <f t="shared" si="7"/>
        <v>0</v>
      </c>
      <c r="M26" s="106">
        <f t="shared" si="10"/>
        <v>0</v>
      </c>
      <c r="N26" s="106">
        <f t="shared" si="10"/>
        <v>0</v>
      </c>
      <c r="O26" s="106">
        <f t="shared" si="10"/>
        <v>0</v>
      </c>
      <c r="P26" s="106">
        <f t="shared" si="10"/>
        <v>0</v>
      </c>
      <c r="Q26" s="73">
        <f t="shared" si="8"/>
        <v>0</v>
      </c>
    </row>
    <row r="27" customHeight="1" spans="1:17">
      <c r="A27" s="64" t="str">
        <f t="shared" si="5"/>
        <v>石嘴山市深阳蓝光市政工程有限公司</v>
      </c>
      <c r="B27" s="79" t="s">
        <v>4292</v>
      </c>
      <c r="C27" s="72">
        <f>报表附注!F3876</f>
        <v>0</v>
      </c>
      <c r="D27" s="72">
        <f>报表附注!G3876</f>
        <v>0</v>
      </c>
      <c r="E27" s="72">
        <f>报表附注!H3876</f>
        <v>0</v>
      </c>
      <c r="F27" s="72">
        <f>报表附注!I3876</f>
        <v>0</v>
      </c>
      <c r="G27" s="73">
        <f t="shared" si="1"/>
        <v>0</v>
      </c>
      <c r="H27" s="77"/>
      <c r="I27" s="77"/>
      <c r="J27" s="77"/>
      <c r="K27" s="77"/>
      <c r="L27" s="73">
        <f t="shared" si="7"/>
        <v>0</v>
      </c>
      <c r="M27" s="106">
        <f t="shared" si="10"/>
        <v>0</v>
      </c>
      <c r="N27" s="106">
        <f t="shared" si="10"/>
        <v>0</v>
      </c>
      <c r="O27" s="106">
        <f t="shared" si="10"/>
        <v>0</v>
      </c>
      <c r="P27" s="106">
        <f t="shared" si="10"/>
        <v>0</v>
      </c>
      <c r="Q27" s="73">
        <f t="shared" si="8"/>
        <v>0</v>
      </c>
    </row>
    <row r="28" customHeight="1" spans="1:17">
      <c r="A28" s="64" t="str">
        <f t="shared" si="5"/>
        <v>石嘴山市深阳蓝光市政工程有限公司</v>
      </c>
      <c r="B28" s="79" t="s">
        <v>4328</v>
      </c>
      <c r="C28" s="72">
        <f>报表附注!F3877</f>
        <v>0</v>
      </c>
      <c r="D28" s="72">
        <f>报表附注!G3877</f>
        <v>0</v>
      </c>
      <c r="E28" s="72">
        <f>报表附注!H3877</f>
        <v>0</v>
      </c>
      <c r="F28" s="72">
        <f>报表附注!I3877</f>
        <v>0</v>
      </c>
      <c r="G28" s="73">
        <f t="shared" si="1"/>
        <v>0</v>
      </c>
      <c r="H28" s="77"/>
      <c r="I28" s="77"/>
      <c r="J28" s="77"/>
      <c r="K28" s="77"/>
      <c r="L28" s="73">
        <f t="shared" si="7"/>
        <v>0</v>
      </c>
      <c r="M28" s="106">
        <f t="shared" si="10"/>
        <v>0</v>
      </c>
      <c r="N28" s="106">
        <f t="shared" si="10"/>
        <v>0</v>
      </c>
      <c r="O28" s="106">
        <f t="shared" si="10"/>
        <v>0</v>
      </c>
      <c r="P28" s="106">
        <f t="shared" si="10"/>
        <v>0</v>
      </c>
      <c r="Q28" s="73">
        <f t="shared" ref="Q28:Q41" si="11">ROUND(SUM(M28:P28),2)</f>
        <v>0</v>
      </c>
    </row>
    <row r="29" customHeight="1" spans="1:17">
      <c r="A29" s="64" t="str">
        <f t="shared" si="5"/>
        <v>石嘴山市深阳蓝光市政工程有限公司</v>
      </c>
      <c r="B29" s="70" t="s">
        <v>4171</v>
      </c>
      <c r="C29" s="73">
        <f>ROUND(C18+C19-C24,2)</f>
        <v>0</v>
      </c>
      <c r="D29" s="73">
        <f>ROUND(D18+D19-D24,2)</f>
        <v>0</v>
      </c>
      <c r="E29" s="73">
        <f>ROUND(E18+E19-E24,2)</f>
        <v>0</v>
      </c>
      <c r="F29" s="73">
        <f>ROUND(F18+F19-F24,2)</f>
        <v>0</v>
      </c>
      <c r="G29" s="73">
        <f t="shared" si="1"/>
        <v>0</v>
      </c>
      <c r="H29" s="75">
        <f>ROUND(H18+H19-H24,2)</f>
        <v>0</v>
      </c>
      <c r="I29" s="75">
        <f>ROUND(I18+I19-I24,2)</f>
        <v>0</v>
      </c>
      <c r="J29" s="75">
        <f>ROUND(J18+J19-J24,2)</f>
        <v>0</v>
      </c>
      <c r="K29" s="75">
        <f>ROUND(K18+K19-K24,2)</f>
        <v>0</v>
      </c>
      <c r="L29" s="73">
        <f t="shared" ref="L29:L41" si="12">ROUND(SUM(H29:K29),2)</f>
        <v>0</v>
      </c>
      <c r="M29" s="73">
        <f>ROUND(M18+M19-M24,2)</f>
        <v>0</v>
      </c>
      <c r="N29" s="73">
        <f>ROUND(N18+N19-N24,2)</f>
        <v>0</v>
      </c>
      <c r="O29" s="73">
        <f>ROUND(O18+O19-O24,2)</f>
        <v>0</v>
      </c>
      <c r="P29" s="73">
        <f>ROUND(P18+P19-P24,2)</f>
        <v>0</v>
      </c>
      <c r="Q29" s="73">
        <f t="shared" si="11"/>
        <v>0</v>
      </c>
    </row>
    <row r="30" customHeight="1" spans="1:17">
      <c r="A30" s="64" t="str">
        <f t="shared" si="5"/>
        <v>石嘴山市深阳蓝光市政工程有限公司</v>
      </c>
      <c r="B30" s="70" t="s">
        <v>4201</v>
      </c>
      <c r="C30" s="81"/>
      <c r="D30" s="81"/>
      <c r="E30" s="81"/>
      <c r="F30" s="81"/>
      <c r="G30" s="73">
        <f t="shared" si="1"/>
        <v>0</v>
      </c>
      <c r="H30" s="82"/>
      <c r="I30" s="82"/>
      <c r="J30" s="82"/>
      <c r="K30" s="82"/>
      <c r="L30" s="73">
        <f t="shared" si="12"/>
        <v>0</v>
      </c>
      <c r="M30" s="81"/>
      <c r="N30" s="81"/>
      <c r="O30" s="81"/>
      <c r="P30" s="81"/>
      <c r="Q30" s="73">
        <f t="shared" si="11"/>
        <v>0</v>
      </c>
    </row>
    <row r="31" customHeight="1" spans="1:17">
      <c r="A31" s="64" t="str">
        <f t="shared" si="5"/>
        <v>石嘴山市深阳蓝光市政工程有限公司</v>
      </c>
      <c r="B31" s="70" t="s">
        <v>4142</v>
      </c>
      <c r="C31" s="72">
        <f>报表附注!F3880</f>
        <v>0</v>
      </c>
      <c r="D31" s="72">
        <f>报表附注!G3880</f>
        <v>0</v>
      </c>
      <c r="E31" s="72">
        <f>报表附注!H3880</f>
        <v>0</v>
      </c>
      <c r="F31" s="72">
        <f>报表附注!I3880</f>
        <v>0</v>
      </c>
      <c r="G31" s="73">
        <f t="shared" si="1"/>
        <v>0</v>
      </c>
      <c r="H31" s="77"/>
      <c r="I31" s="77"/>
      <c r="J31" s="77"/>
      <c r="K31" s="77"/>
      <c r="L31" s="73">
        <f t="shared" si="12"/>
        <v>0</v>
      </c>
      <c r="M31" s="106">
        <f>C31-H31</f>
        <v>0</v>
      </c>
      <c r="N31" s="106">
        <f>D31-I31</f>
        <v>0</v>
      </c>
      <c r="O31" s="106">
        <f>E31-J31</f>
        <v>0</v>
      </c>
      <c r="P31" s="106">
        <f>F31-K31</f>
        <v>0</v>
      </c>
      <c r="Q31" s="73">
        <f t="shared" si="11"/>
        <v>0</v>
      </c>
    </row>
    <row r="32" customHeight="1" spans="1:17">
      <c r="A32" s="64" t="str">
        <f t="shared" si="5"/>
        <v>石嘴山市深阳蓝光市政工程有限公司</v>
      </c>
      <c r="B32" s="70" t="s">
        <v>4145</v>
      </c>
      <c r="C32" s="73">
        <f>ROUND(SUM(C33:C34),2)</f>
        <v>0</v>
      </c>
      <c r="D32" s="73">
        <f>ROUND(SUM(D33:D34),2)</f>
        <v>0</v>
      </c>
      <c r="E32" s="73">
        <f>ROUND(SUM(E33:E34),2)</f>
        <v>0</v>
      </c>
      <c r="F32" s="73">
        <f>ROUND(SUM(F33:F34),2)</f>
        <v>0</v>
      </c>
      <c r="G32" s="73">
        <f t="shared" si="1"/>
        <v>0</v>
      </c>
      <c r="H32" s="75">
        <f>ROUND(SUM(H33:H34),2)</f>
        <v>0</v>
      </c>
      <c r="I32" s="75">
        <f>ROUND(SUM(I33:I34),2)</f>
        <v>0</v>
      </c>
      <c r="J32" s="75">
        <f>ROUND(SUM(J33:J34),2)</f>
        <v>0</v>
      </c>
      <c r="K32" s="75">
        <f>ROUND(SUM(K33:K34),2)</f>
        <v>0</v>
      </c>
      <c r="L32" s="73">
        <f t="shared" si="12"/>
        <v>0</v>
      </c>
      <c r="M32" s="73">
        <f>ROUND(SUM(M33:M34),2)</f>
        <v>0</v>
      </c>
      <c r="N32" s="73">
        <f>ROUND(SUM(N33:N34),2)</f>
        <v>0</v>
      </c>
      <c r="O32" s="73">
        <f>ROUND(SUM(O33:O34),2)</f>
        <v>0</v>
      </c>
      <c r="P32" s="73">
        <f>ROUND(SUM(P33:P34),2)</f>
        <v>0</v>
      </c>
      <c r="Q32" s="73">
        <f t="shared" si="11"/>
        <v>0</v>
      </c>
    </row>
    <row r="33" customHeight="1" spans="1:17">
      <c r="A33" s="64" t="str">
        <f t="shared" si="5"/>
        <v>石嘴山市深阳蓝光市政工程有限公司</v>
      </c>
      <c r="B33" s="76" t="s">
        <v>4432</v>
      </c>
      <c r="C33" s="72">
        <f>报表附注!F3882</f>
        <v>0</v>
      </c>
      <c r="D33" s="72">
        <f>报表附注!G3882</f>
        <v>0</v>
      </c>
      <c r="E33" s="72">
        <f>报表附注!H3882</f>
        <v>0</v>
      </c>
      <c r="F33" s="72">
        <f>报表附注!I3882</f>
        <v>0</v>
      </c>
      <c r="G33" s="73">
        <f t="shared" si="1"/>
        <v>0</v>
      </c>
      <c r="H33" s="77"/>
      <c r="I33" s="77"/>
      <c r="J33" s="77"/>
      <c r="K33" s="77"/>
      <c r="L33" s="73">
        <f t="shared" si="12"/>
        <v>0</v>
      </c>
      <c r="M33" s="106">
        <f t="shared" ref="M33:P34" si="13">C33-H33</f>
        <v>0</v>
      </c>
      <c r="N33" s="106">
        <f t="shared" si="13"/>
        <v>0</v>
      </c>
      <c r="O33" s="106">
        <f t="shared" si="13"/>
        <v>0</v>
      </c>
      <c r="P33" s="106">
        <f t="shared" si="13"/>
        <v>0</v>
      </c>
      <c r="Q33" s="73">
        <f t="shared" si="11"/>
        <v>0</v>
      </c>
    </row>
    <row r="34" customHeight="1" spans="1:17">
      <c r="A34" s="64" t="str">
        <f t="shared" si="5"/>
        <v>石嘴山市深阳蓝光市政工程有限公司</v>
      </c>
      <c r="B34" s="78"/>
      <c r="C34" s="72">
        <f>报表附注!F3883</f>
        <v>0</v>
      </c>
      <c r="D34" s="72">
        <f>报表附注!G3883</f>
        <v>0</v>
      </c>
      <c r="E34" s="72">
        <f>报表附注!H3883</f>
        <v>0</v>
      </c>
      <c r="F34" s="72">
        <f>报表附注!I3883</f>
        <v>0</v>
      </c>
      <c r="G34" s="73">
        <f t="shared" si="1"/>
        <v>0</v>
      </c>
      <c r="H34" s="77"/>
      <c r="I34" s="77"/>
      <c r="J34" s="77"/>
      <c r="K34" s="77"/>
      <c r="L34" s="73">
        <f t="shared" si="12"/>
        <v>0</v>
      </c>
      <c r="M34" s="106">
        <f t="shared" si="13"/>
        <v>0</v>
      </c>
      <c r="N34" s="106">
        <f t="shared" si="13"/>
        <v>0</v>
      </c>
      <c r="O34" s="106">
        <f t="shared" si="13"/>
        <v>0</v>
      </c>
      <c r="P34" s="106">
        <f t="shared" si="13"/>
        <v>0</v>
      </c>
      <c r="Q34" s="73">
        <f t="shared" si="11"/>
        <v>0</v>
      </c>
    </row>
    <row r="35" customHeight="1" spans="1:17">
      <c r="A35" s="64" t="str">
        <f t="shared" si="5"/>
        <v>石嘴山市深阳蓝光市政工程有限公司</v>
      </c>
      <c r="B35" s="70" t="s">
        <v>4159</v>
      </c>
      <c r="C35" s="73">
        <f>ROUND(SUM(C36:C37),2)</f>
        <v>0</v>
      </c>
      <c r="D35" s="73">
        <f>ROUND(SUM(D36:D37),2)</f>
        <v>0</v>
      </c>
      <c r="E35" s="73">
        <f>ROUND(SUM(E36:E37),2)</f>
        <v>0</v>
      </c>
      <c r="F35" s="73">
        <f>ROUND(SUM(F36:F37),2)</f>
        <v>0</v>
      </c>
      <c r="G35" s="73">
        <f t="shared" si="1"/>
        <v>0</v>
      </c>
      <c r="H35" s="75">
        <f>ROUND(SUM(H36:H37),2)</f>
        <v>0</v>
      </c>
      <c r="I35" s="75">
        <f>ROUND(SUM(I36:I37),2)</f>
        <v>0</v>
      </c>
      <c r="J35" s="75">
        <f>ROUND(SUM(J36:J37),2)</f>
        <v>0</v>
      </c>
      <c r="K35" s="75">
        <f>ROUND(SUM(K36:K37),2)</f>
        <v>0</v>
      </c>
      <c r="L35" s="73">
        <f t="shared" si="12"/>
        <v>0</v>
      </c>
      <c r="M35" s="73">
        <f>ROUND(SUM(M36:M37),2)</f>
        <v>0</v>
      </c>
      <c r="N35" s="73">
        <f>ROUND(SUM(N36:N37),2)</f>
        <v>0</v>
      </c>
      <c r="O35" s="73">
        <f>ROUND(SUM(O36:O37),2)</f>
        <v>0</v>
      </c>
      <c r="P35" s="73">
        <f>ROUND(SUM(P36:P37),2)</f>
        <v>0</v>
      </c>
      <c r="Q35" s="73">
        <f t="shared" si="11"/>
        <v>0</v>
      </c>
    </row>
    <row r="36" customHeight="1" spans="1:17">
      <c r="A36" s="64" t="str">
        <f t="shared" si="5"/>
        <v>石嘴山市深阳蓝光市政工程有限公司</v>
      </c>
      <c r="B36" s="76" t="s">
        <v>4465</v>
      </c>
      <c r="C36" s="72">
        <f>报表附注!F3885</f>
        <v>0</v>
      </c>
      <c r="D36" s="72">
        <f>报表附注!G3885</f>
        <v>0</v>
      </c>
      <c r="E36" s="72">
        <f>报表附注!H3885</f>
        <v>0</v>
      </c>
      <c r="F36" s="72">
        <f>报表附注!I3885</f>
        <v>0</v>
      </c>
      <c r="G36" s="73">
        <f t="shared" si="1"/>
        <v>0</v>
      </c>
      <c r="H36" s="77"/>
      <c r="I36" s="77"/>
      <c r="J36" s="77"/>
      <c r="K36" s="77"/>
      <c r="L36" s="73">
        <f t="shared" si="12"/>
        <v>0</v>
      </c>
      <c r="M36" s="106">
        <f t="shared" ref="M36:P37" si="14">C36-H36</f>
        <v>0</v>
      </c>
      <c r="N36" s="106">
        <f t="shared" si="14"/>
        <v>0</v>
      </c>
      <c r="O36" s="106">
        <f t="shared" si="14"/>
        <v>0</v>
      </c>
      <c r="P36" s="106">
        <f t="shared" si="14"/>
        <v>0</v>
      </c>
      <c r="Q36" s="73">
        <f t="shared" si="11"/>
        <v>0</v>
      </c>
    </row>
    <row r="37" customHeight="1" spans="1:17">
      <c r="A37" s="64" t="str">
        <f t="shared" si="5"/>
        <v>石嘴山市深阳蓝光市政工程有限公司</v>
      </c>
      <c r="B37" s="78"/>
      <c r="C37" s="72">
        <f>报表附注!F3886</f>
        <v>0</v>
      </c>
      <c r="D37" s="72">
        <f>报表附注!G3886</f>
        <v>0</v>
      </c>
      <c r="E37" s="72">
        <f>报表附注!H3886</f>
        <v>0</v>
      </c>
      <c r="F37" s="72">
        <f>报表附注!I3886</f>
        <v>0</v>
      </c>
      <c r="G37" s="73">
        <f t="shared" si="1"/>
        <v>0</v>
      </c>
      <c r="H37" s="77"/>
      <c r="I37" s="77"/>
      <c r="J37" s="77"/>
      <c r="K37" s="77"/>
      <c r="L37" s="73">
        <f t="shared" si="12"/>
        <v>0</v>
      </c>
      <c r="M37" s="106">
        <f t="shared" si="14"/>
        <v>0</v>
      </c>
      <c r="N37" s="106">
        <f t="shared" si="14"/>
        <v>0</v>
      </c>
      <c r="O37" s="106">
        <f t="shared" si="14"/>
        <v>0</v>
      </c>
      <c r="P37" s="106">
        <f t="shared" si="14"/>
        <v>0</v>
      </c>
      <c r="Q37" s="73">
        <f t="shared" si="11"/>
        <v>0</v>
      </c>
    </row>
    <row r="38" customHeight="1" spans="1:17">
      <c r="A38" s="64" t="str">
        <f t="shared" si="5"/>
        <v>石嘴山市深阳蓝光市政工程有限公司</v>
      </c>
      <c r="B38" s="70" t="s">
        <v>4171</v>
      </c>
      <c r="C38" s="73">
        <f>ROUND(C31+C32-C35,2)</f>
        <v>0</v>
      </c>
      <c r="D38" s="73">
        <f>ROUND(D31+D32-D35,2)</f>
        <v>0</v>
      </c>
      <c r="E38" s="73">
        <f>ROUND(E31+E32-E35,2)</f>
        <v>0</v>
      </c>
      <c r="F38" s="73">
        <f>ROUND(F31+F32-F35,2)</f>
        <v>0</v>
      </c>
      <c r="G38" s="73">
        <f t="shared" si="1"/>
        <v>0</v>
      </c>
      <c r="H38" s="75">
        <f>ROUND(H31+H32-H35,2)</f>
        <v>0</v>
      </c>
      <c r="I38" s="75">
        <f>ROUND(I31+I32-I35,2)</f>
        <v>0</v>
      </c>
      <c r="J38" s="75">
        <f>ROUND(J31+J32-J35,2)</f>
        <v>0</v>
      </c>
      <c r="K38" s="75">
        <f>ROUND(K31+K32-K35,2)</f>
        <v>0</v>
      </c>
      <c r="L38" s="73">
        <f t="shared" si="12"/>
        <v>0</v>
      </c>
      <c r="M38" s="73">
        <f>ROUND(M31+M32-M35,2)</f>
        <v>0</v>
      </c>
      <c r="N38" s="73">
        <f>ROUND(N31+N32-N35,2)</f>
        <v>0</v>
      </c>
      <c r="O38" s="73">
        <f>ROUND(O31+O32-O35,2)</f>
        <v>0</v>
      </c>
      <c r="P38" s="73">
        <f>ROUND(P31+P32-P35,2)</f>
        <v>0</v>
      </c>
      <c r="Q38" s="73">
        <f t="shared" si="11"/>
        <v>0</v>
      </c>
    </row>
    <row r="39" customHeight="1" spans="1:17">
      <c r="A39" s="64" t="str">
        <f t="shared" si="5"/>
        <v>石嘴山市深阳蓝光市政工程有限公司</v>
      </c>
      <c r="B39" s="70" t="s">
        <v>4224</v>
      </c>
      <c r="C39" s="81"/>
      <c r="D39" s="81"/>
      <c r="E39" s="81"/>
      <c r="F39" s="81"/>
      <c r="G39" s="73">
        <f t="shared" si="1"/>
        <v>0</v>
      </c>
      <c r="H39" s="82"/>
      <c r="I39" s="82"/>
      <c r="J39" s="82"/>
      <c r="K39" s="82"/>
      <c r="L39" s="73">
        <f t="shared" si="12"/>
        <v>0</v>
      </c>
      <c r="M39" s="81"/>
      <c r="N39" s="81"/>
      <c r="O39" s="81"/>
      <c r="P39" s="81"/>
      <c r="Q39" s="73">
        <f t="shared" si="11"/>
        <v>0</v>
      </c>
    </row>
    <row r="40" customHeight="1" spans="1:17">
      <c r="A40" s="64" t="str">
        <f t="shared" si="5"/>
        <v>石嘴山市深阳蓝光市政工程有限公司</v>
      </c>
      <c r="B40" s="70" t="s">
        <v>4227</v>
      </c>
      <c r="C40" s="73">
        <f>ROUND(C16-C29-C38,2)</f>
        <v>0</v>
      </c>
      <c r="D40" s="73">
        <f>ROUND(D16-D29-D38,2)</f>
        <v>0</v>
      </c>
      <c r="E40" s="73">
        <f>ROUND(E16-E29-E38,2)</f>
        <v>0</v>
      </c>
      <c r="F40" s="73">
        <f>ROUND(F16-F29-F38,2)</f>
        <v>0</v>
      </c>
      <c r="G40" s="83">
        <f t="shared" si="1"/>
        <v>0</v>
      </c>
      <c r="H40" s="75">
        <f>ROUND(H16-H29-H38,2)</f>
        <v>0</v>
      </c>
      <c r="I40" s="75">
        <f>ROUND(I16-I29-I38,2)</f>
        <v>0</v>
      </c>
      <c r="J40" s="75">
        <f>ROUND(J16-J29-J38,2)</f>
        <v>0</v>
      </c>
      <c r="K40" s="75">
        <f>ROUND(K16-K29-K38,2)</f>
        <v>0</v>
      </c>
      <c r="L40" s="83">
        <f t="shared" si="12"/>
        <v>0</v>
      </c>
      <c r="M40" s="73">
        <f>ROUND(M16-M29-M38,2)</f>
        <v>0</v>
      </c>
      <c r="N40" s="73">
        <f>ROUND(N16-N29-N38,2)</f>
        <v>0</v>
      </c>
      <c r="O40" s="73">
        <f>ROUND(O16-O29-O38,2)</f>
        <v>0</v>
      </c>
      <c r="P40" s="73">
        <f>ROUND(P16-P29-P38,2)</f>
        <v>0</v>
      </c>
      <c r="Q40" s="83">
        <f t="shared" si="11"/>
        <v>0</v>
      </c>
    </row>
    <row r="41" customHeight="1" spans="1:17">
      <c r="A41" s="64" t="str">
        <f t="shared" si="5"/>
        <v>石嘴山市深阳蓝光市政工程有限公司</v>
      </c>
      <c r="B41" s="70" t="s">
        <v>4230</v>
      </c>
      <c r="C41" s="73">
        <f>ROUND(C4-C18-C31,2)</f>
        <v>0</v>
      </c>
      <c r="D41" s="73">
        <f>ROUND(D4-D18-D31,2)</f>
        <v>0</v>
      </c>
      <c r="E41" s="73">
        <f>ROUND(E4-E18-E31,2)</f>
        <v>0</v>
      </c>
      <c r="F41" s="73">
        <f>ROUND(F4-F18-F31,2)</f>
        <v>0</v>
      </c>
      <c r="G41" s="83">
        <f t="shared" si="1"/>
        <v>0</v>
      </c>
      <c r="H41" s="75">
        <f>ROUND(H4-H18-H31,2)</f>
        <v>0</v>
      </c>
      <c r="I41" s="75">
        <f>ROUND(I4-I18-I31,2)</f>
        <v>0</v>
      </c>
      <c r="J41" s="75">
        <f>ROUND(J4-J18-J31,2)</f>
        <v>0</v>
      </c>
      <c r="K41" s="75">
        <f>ROUND(K4-K18-K31,2)</f>
        <v>0</v>
      </c>
      <c r="L41" s="83">
        <f t="shared" si="12"/>
        <v>0</v>
      </c>
      <c r="M41" s="73">
        <f>ROUND(M4-M18-M31,2)</f>
        <v>0</v>
      </c>
      <c r="N41" s="73">
        <f>ROUND(N4-N18-N31,2)</f>
        <v>0</v>
      </c>
      <c r="O41" s="73">
        <f>ROUND(O4-O18-O31,2)</f>
        <v>0</v>
      </c>
      <c r="P41" s="73">
        <f>ROUND(P4-P18-P31,2)</f>
        <v>0</v>
      </c>
      <c r="Q41" s="83">
        <f t="shared" si="11"/>
        <v>0</v>
      </c>
    </row>
    <row r="42" customHeight="1" spans="1:17">
      <c r="A42" s="64" t="str">
        <f t="shared" si="5"/>
        <v>石嘴山市深阳蓝光市政工程有限公司</v>
      </c>
      <c r="B42" s="84" t="s">
        <v>4233</v>
      </c>
      <c r="C42" s="85"/>
      <c r="D42" s="85"/>
      <c r="E42" s="85"/>
      <c r="F42" s="85"/>
      <c r="G42" s="86">
        <f>审定资负表!C33</f>
        <v>0</v>
      </c>
      <c r="H42" s="85"/>
      <c r="I42" s="85"/>
      <c r="J42" s="85"/>
      <c r="K42" s="85"/>
      <c r="L42" s="85"/>
      <c r="M42" s="85"/>
      <c r="N42" s="85"/>
      <c r="O42" s="85"/>
      <c r="P42" s="85"/>
      <c r="Q42" s="85"/>
    </row>
    <row r="43" customHeight="1" spans="1:17">
      <c r="A43" s="64" t="str">
        <f t="shared" si="5"/>
        <v>石嘴山市深阳蓝光市政工程有限公司</v>
      </c>
      <c r="B43" s="84" t="s">
        <v>1394</v>
      </c>
      <c r="C43" s="85"/>
      <c r="D43" s="85"/>
      <c r="E43" s="85"/>
      <c r="F43" s="85"/>
      <c r="G43" s="87">
        <f>ROUND(G42-G41,2)</f>
        <v>0</v>
      </c>
      <c r="H43" s="85"/>
      <c r="I43" s="85"/>
      <c r="J43" s="85"/>
      <c r="K43" s="85"/>
      <c r="L43" s="85"/>
      <c r="M43" s="85"/>
      <c r="N43" s="85"/>
      <c r="O43" s="85"/>
      <c r="P43" s="85"/>
      <c r="Q43" s="85"/>
    </row>
    <row r="44" customHeight="1" spans="1:17">
      <c r="A44" s="64" t="str">
        <f t="shared" si="5"/>
        <v>石嘴山市深阳蓝光市政工程有限公司</v>
      </c>
      <c r="B44" s="84" t="s">
        <v>4240</v>
      </c>
      <c r="C44" s="85"/>
      <c r="D44" s="85"/>
      <c r="E44" s="85"/>
      <c r="F44" s="85"/>
      <c r="G44" s="88">
        <f>审定资负表!D33</f>
        <v>0</v>
      </c>
      <c r="H44" s="85"/>
      <c r="I44" s="85"/>
      <c r="J44" s="85"/>
      <c r="K44" s="85"/>
      <c r="L44" s="85"/>
      <c r="M44" s="85"/>
      <c r="N44" s="85"/>
      <c r="O44" s="85"/>
      <c r="P44" s="85"/>
      <c r="Q44" s="85"/>
    </row>
    <row r="45" customHeight="1" spans="1:17">
      <c r="A45" s="64" t="str">
        <f t="shared" si="5"/>
        <v>石嘴山市深阳蓝光市政工程有限公司</v>
      </c>
      <c r="B45" s="84" t="s">
        <v>1394</v>
      </c>
      <c r="C45" s="85"/>
      <c r="D45" s="85"/>
      <c r="E45" s="85"/>
      <c r="F45" s="85"/>
      <c r="G45" s="87">
        <f>ROUND(G44-G41,2)</f>
        <v>0</v>
      </c>
      <c r="H45" s="85"/>
      <c r="I45" s="85"/>
      <c r="J45" s="85"/>
      <c r="K45" s="85"/>
      <c r="L45" s="85"/>
      <c r="M45" s="85"/>
      <c r="N45" s="85"/>
      <c r="O45" s="85"/>
      <c r="P45" s="85"/>
      <c r="Q45" s="85"/>
    </row>
    <row r="46" customHeight="1" spans="1:17">
      <c r="A46" s="64" t="str">
        <f t="shared" si="5"/>
        <v>石嘴山市深阳蓝光市政工程有限公司</v>
      </c>
      <c r="B46" s="89" t="s">
        <v>4486</v>
      </c>
      <c r="C46" s="85"/>
      <c r="D46" s="85"/>
      <c r="E46" s="85"/>
      <c r="F46" s="85"/>
      <c r="G46" s="90"/>
      <c r="H46" s="85"/>
      <c r="I46" s="85"/>
      <c r="J46" s="85"/>
      <c r="K46" s="85"/>
      <c r="L46" s="85"/>
      <c r="M46" s="85"/>
      <c r="N46" s="85"/>
      <c r="O46" s="85"/>
      <c r="P46" s="85"/>
      <c r="Q46" s="85"/>
    </row>
    <row r="47" customHeight="1" spans="1:17">
      <c r="A47" s="64" t="str">
        <f t="shared" si="5"/>
        <v>石嘴山市深阳蓝光市政工程有限公司</v>
      </c>
      <c r="B47" s="91" t="s">
        <v>60</v>
      </c>
      <c r="C47" s="92" t="s">
        <v>4136</v>
      </c>
      <c r="D47" s="92" t="s">
        <v>4388</v>
      </c>
      <c r="E47" s="92" t="s">
        <v>4489</v>
      </c>
      <c r="F47" s="92" t="s">
        <v>279</v>
      </c>
      <c r="G47" s="93" t="s">
        <v>1580</v>
      </c>
      <c r="H47" s="85"/>
      <c r="I47" s="85"/>
      <c r="J47" s="85"/>
      <c r="K47" s="85"/>
      <c r="L47" s="85"/>
      <c r="M47" s="85"/>
      <c r="N47" s="85"/>
      <c r="O47" s="85"/>
      <c r="P47" s="85"/>
      <c r="Q47" s="85"/>
    </row>
    <row r="48" customHeight="1" spans="1:17">
      <c r="A48" s="64" t="str">
        <f t="shared" si="5"/>
        <v>石嘴山市深阳蓝光市政工程有限公司</v>
      </c>
      <c r="B48" s="94" t="s">
        <v>4372</v>
      </c>
      <c r="C48" s="95">
        <f>C12-C25-C36</f>
        <v>0</v>
      </c>
      <c r="D48" s="95">
        <f>D12-D25-D36</f>
        <v>0</v>
      </c>
      <c r="E48" s="95">
        <f>E12-E25-E36</f>
        <v>0</v>
      </c>
      <c r="F48" s="95">
        <f>F12-F25-F36</f>
        <v>0</v>
      </c>
      <c r="G48" s="95">
        <f>G12-G25-G36</f>
        <v>0</v>
      </c>
      <c r="H48" s="85"/>
      <c r="I48" s="85"/>
      <c r="J48" s="85"/>
      <c r="K48" s="85"/>
      <c r="L48" s="85"/>
      <c r="M48" s="85"/>
      <c r="N48" s="85"/>
      <c r="O48" s="85"/>
      <c r="P48" s="85"/>
      <c r="Q48" s="85"/>
    </row>
    <row r="49" customHeight="1" spans="1:17">
      <c r="A49" s="64" t="str">
        <f t="shared" si="5"/>
        <v>石嘴山市深阳蓝光市政工程有限公司</v>
      </c>
      <c r="B49" s="96" t="s">
        <v>4375</v>
      </c>
      <c r="C49" s="97"/>
      <c r="D49" s="98"/>
      <c r="E49" s="98"/>
      <c r="F49" s="98"/>
      <c r="G49" s="98"/>
      <c r="H49" s="85"/>
      <c r="I49" s="85"/>
      <c r="J49" s="85"/>
      <c r="K49" s="85"/>
      <c r="L49" s="85"/>
      <c r="M49" s="85"/>
      <c r="N49" s="85"/>
      <c r="O49" s="85"/>
      <c r="P49" s="85"/>
      <c r="Q49" s="85"/>
    </row>
    <row r="50" customHeight="1" spans="1:17">
      <c r="A50" s="64" t="str">
        <f t="shared" si="5"/>
        <v>石嘴山市深阳蓝光市政工程有限公司</v>
      </c>
      <c r="B50" s="99" t="s">
        <v>4378</v>
      </c>
      <c r="C50" s="95">
        <f>C48-C49</f>
        <v>0</v>
      </c>
      <c r="D50" s="95">
        <f>D48-D49</f>
        <v>0</v>
      </c>
      <c r="E50" s="95">
        <f>E48-E49</f>
        <v>0</v>
      </c>
      <c r="F50" s="95">
        <f>F48-F49</f>
        <v>0</v>
      </c>
      <c r="G50" s="95">
        <f>G48-G49</f>
        <v>0</v>
      </c>
      <c r="H50" s="85"/>
      <c r="I50" s="85"/>
      <c r="J50" s="85"/>
      <c r="K50" s="85"/>
      <c r="L50" s="85"/>
      <c r="M50" s="85"/>
      <c r="N50" s="85"/>
      <c r="O50" s="85"/>
      <c r="P50" s="85"/>
      <c r="Q50" s="85"/>
    </row>
    <row r="51" customHeight="1" spans="1:17">
      <c r="A51" s="64" t="str">
        <f t="shared" si="5"/>
        <v>石嘴山市深阳蓝光市政工程有限公司</v>
      </c>
      <c r="B51" s="90"/>
      <c r="C51" s="100"/>
      <c r="D51" s="100"/>
      <c r="E51" s="100"/>
      <c r="F51" s="100"/>
      <c r="G51" s="100"/>
      <c r="H51" s="85"/>
      <c r="I51" s="85"/>
      <c r="J51" s="85"/>
      <c r="K51" s="85"/>
      <c r="L51" s="85"/>
      <c r="M51" s="85"/>
      <c r="N51" s="85"/>
      <c r="O51" s="85"/>
      <c r="P51" s="85"/>
      <c r="Q51" s="85"/>
    </row>
    <row r="52" customHeight="1" spans="1:17">
      <c r="A52" s="64" t="str">
        <f t="shared" si="5"/>
        <v>石嘴山市深阳蓝光市政工程有限公司</v>
      </c>
      <c r="B52" s="101" t="s">
        <v>4245</v>
      </c>
      <c r="C52" s="102"/>
      <c r="D52" s="102"/>
      <c r="E52" s="102"/>
      <c r="F52" s="102"/>
      <c r="G52" s="103"/>
      <c r="H52" s="85"/>
      <c r="I52" s="85"/>
      <c r="J52" s="85"/>
      <c r="K52" s="85"/>
      <c r="L52" s="85"/>
      <c r="M52" s="85"/>
      <c r="N52" s="85"/>
      <c r="O52" s="85"/>
      <c r="P52" s="85"/>
      <c r="Q52" s="85"/>
    </row>
    <row r="53" customHeight="1" spans="2:17">
      <c r="B53" s="85"/>
      <c r="C53" s="85"/>
      <c r="D53" s="85"/>
      <c r="E53" s="85"/>
      <c r="F53" s="85"/>
      <c r="G53" s="85"/>
      <c r="H53" s="85"/>
      <c r="I53" s="85"/>
      <c r="J53" s="85"/>
      <c r="K53" s="85"/>
      <c r="L53" s="85"/>
      <c r="M53" s="85"/>
      <c r="N53" s="85"/>
      <c r="O53" s="85"/>
      <c r="P53" s="85"/>
      <c r="Q53" s="85"/>
    </row>
  </sheetData>
  <sheetProtection formatCells="0" formatColumns="0" formatRows="0" autoFilter="0" pivotTables="0"/>
  <conditionalFormatting sqref="B46:B52 B1">
    <cfRule type="containsText" dxfId="6" priority="6" operator="between" text="文字描述">
      <formula>NOT(ISERROR(SEARCH("文字描述",B1)))</formula>
    </cfRule>
  </conditionalFormatting>
  <conditionalFormatting sqref="G45 G43">
    <cfRule type="containsText" dxfId="7" priority="5" operator="between" text="不">
      <formula>NOT(ISERROR(SEARCH("不",G43)))</formula>
    </cfRule>
    <cfRule type="cellIs" dxfId="8" priority="4" operator="notEqual">
      <formula>0</formula>
    </cfRule>
  </conditionalFormatting>
  <hyperlinks>
    <hyperlink ref="C1" location="报表附注!E1418" display="（返回公式连接表）"/>
  </hyperlinks>
  <pageMargins left="0.7" right="0.7" top="0.75" bottom="0.75" header="0.3" footer="0.3"/>
  <headerFooter/>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2:D20"/>
  <sheetViews>
    <sheetView workbookViewId="0">
      <selection activeCell="C16" sqref="C16"/>
    </sheetView>
  </sheetViews>
  <sheetFormatPr defaultColWidth="9" defaultRowHeight="11.25" outlineLevelCol="3"/>
  <cols>
    <col min="1" max="1" width="33.625" style="43" customWidth="1"/>
    <col min="2" max="2" width="14.25" style="43" customWidth="1"/>
    <col min="3" max="3" width="13.625" style="43" customWidth="1"/>
    <col min="4" max="16384" width="9" style="43"/>
  </cols>
  <sheetData>
    <row r="2" spans="1:3">
      <c r="A2" s="44" t="s">
        <v>130</v>
      </c>
      <c r="B2" s="45"/>
      <c r="C2" s="45"/>
    </row>
    <row r="3" spans="1:4">
      <c r="A3" s="46" t="s">
        <v>60</v>
      </c>
      <c r="B3" s="46" t="s">
        <v>4916</v>
      </c>
      <c r="C3" s="47" t="s">
        <v>4917</v>
      </c>
      <c r="D3" s="47" t="s">
        <v>353</v>
      </c>
    </row>
    <row r="4" spans="1:3">
      <c r="A4" s="48" t="s">
        <v>4918</v>
      </c>
      <c r="B4" s="49"/>
      <c r="C4" s="49"/>
    </row>
    <row r="5" spans="1:3">
      <c r="A5" s="48" t="s">
        <v>4919</v>
      </c>
      <c r="B5" s="50" t="s">
        <v>4920</v>
      </c>
      <c r="C5" s="50"/>
    </row>
    <row r="6" spans="1:3">
      <c r="A6" s="48" t="s">
        <v>859</v>
      </c>
      <c r="B6" s="50" t="s">
        <v>4921</v>
      </c>
      <c r="C6" s="50"/>
    </row>
    <row r="7" spans="1:3">
      <c r="A7" s="51" t="s">
        <v>2775</v>
      </c>
      <c r="B7" s="52" t="s">
        <v>4922</v>
      </c>
      <c r="C7" s="52">
        <f>C5-C6</f>
        <v>0</v>
      </c>
    </row>
    <row r="8" spans="1:3">
      <c r="A8" s="48" t="s">
        <v>4923</v>
      </c>
      <c r="B8" s="50" t="s">
        <v>4924</v>
      </c>
      <c r="C8" s="50"/>
    </row>
    <row r="9" spans="1:3">
      <c r="A9" s="48" t="s">
        <v>4925</v>
      </c>
      <c r="B9" s="50" t="s">
        <v>4926</v>
      </c>
      <c r="C9" s="50"/>
    </row>
    <row r="10" spans="1:3">
      <c r="A10" s="48" t="s">
        <v>4927</v>
      </c>
      <c r="B10" s="50" t="s">
        <v>4928</v>
      </c>
      <c r="C10" s="50"/>
    </row>
    <row r="11" spans="1:3">
      <c r="A11" s="53" t="s">
        <v>4929</v>
      </c>
      <c r="B11" s="52" t="s">
        <v>4930</v>
      </c>
      <c r="C11" s="52">
        <f>C8-C9-C10</f>
        <v>0</v>
      </c>
    </row>
    <row r="12" spans="1:4">
      <c r="A12" s="53" t="s">
        <v>4931</v>
      </c>
      <c r="B12" s="54" t="s">
        <v>4932</v>
      </c>
      <c r="C12" s="54">
        <f>C11-C7</f>
        <v>0</v>
      </c>
      <c r="D12" s="43" t="s">
        <v>4933</v>
      </c>
    </row>
    <row r="13" spans="1:3">
      <c r="A13" s="48" t="s">
        <v>4934</v>
      </c>
      <c r="B13" s="49" t="s">
        <v>4935</v>
      </c>
      <c r="C13" s="49"/>
    </row>
    <row r="14" ht="22.5" spans="1:3">
      <c r="A14" s="55" t="s">
        <v>4936</v>
      </c>
      <c r="B14" s="56" t="s">
        <v>4937</v>
      </c>
      <c r="C14" s="56">
        <f>C13+C11</f>
        <v>0</v>
      </c>
    </row>
    <row r="15" spans="1:3">
      <c r="A15" s="55"/>
      <c r="B15" s="56"/>
      <c r="C15" s="56"/>
    </row>
    <row r="16" spans="1:3">
      <c r="A16" s="48" t="s">
        <v>4938</v>
      </c>
      <c r="B16" s="48"/>
      <c r="C16" s="48">
        <f>报表附注!F2982</f>
        <v>0</v>
      </c>
    </row>
    <row r="17" ht="22.5" spans="1:3">
      <c r="A17" s="48" t="s">
        <v>4939</v>
      </c>
      <c r="B17" s="48"/>
      <c r="C17" s="48">
        <f>审定现流表!C21</f>
        <v>0</v>
      </c>
    </row>
    <row r="18" spans="2:3">
      <c r="B18" s="48"/>
      <c r="C18" s="48"/>
    </row>
    <row r="19" spans="1:3">
      <c r="A19" s="57" t="s">
        <v>4940</v>
      </c>
      <c r="B19" s="58"/>
      <c r="C19" s="59">
        <f>C12-C16</f>
        <v>0</v>
      </c>
    </row>
    <row r="20" ht="22.5" spans="1:3">
      <c r="A20" s="60" t="s">
        <v>4941</v>
      </c>
      <c r="B20" s="61"/>
      <c r="C20" s="62">
        <f>C14-C17</f>
        <v>0</v>
      </c>
    </row>
  </sheetData>
  <pageMargins left="0.7" right="0.7" top="0.75" bottom="0.75" header="0.3" footer="0.3"/>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399945066682943"/>
  </sheetPr>
  <dimension ref="A1:X48"/>
  <sheetViews>
    <sheetView workbookViewId="0">
      <pane xSplit="1" ySplit="2" topLeftCell="B3" activePane="bottomRight" state="frozen"/>
      <selection/>
      <selection pane="topRight"/>
      <selection pane="bottomLeft"/>
      <selection pane="bottomRight" activeCell="K27" sqref="K27"/>
    </sheetView>
  </sheetViews>
  <sheetFormatPr defaultColWidth="9" defaultRowHeight="12"/>
  <cols>
    <col min="1" max="1" width="8.5" style="7" customWidth="1"/>
    <col min="2" max="2" width="14.375" style="8" customWidth="1"/>
    <col min="3" max="3" width="15.625" style="8" customWidth="1"/>
    <col min="4" max="4" width="13.625" style="8" customWidth="1"/>
    <col min="5" max="5" width="12.25" style="8" customWidth="1"/>
    <col min="6" max="6" width="15.125" style="8" customWidth="1"/>
    <col min="7" max="10" width="9" style="8"/>
    <col min="11" max="11" width="8.875" style="8" customWidth="1"/>
    <col min="12" max="12" width="11.375" style="8" customWidth="1"/>
    <col min="13" max="15" width="9" style="8"/>
    <col min="16" max="16" width="12.5" style="8" customWidth="1"/>
    <col min="17" max="17" width="12.25" style="8" customWidth="1"/>
    <col min="18" max="18" width="9" style="8"/>
    <col min="19" max="24" width="11.875" style="8" customWidth="1"/>
    <col min="25" max="16384" width="9" style="8"/>
  </cols>
  <sheetData>
    <row r="1" ht="15" customHeight="1" spans="1:2">
      <c r="A1" s="9" t="s">
        <v>4942</v>
      </c>
      <c r="B1" s="10"/>
    </row>
    <row r="2" spans="1:2">
      <c r="A2" s="11" t="s">
        <v>4943</v>
      </c>
      <c r="B2" s="12"/>
    </row>
    <row r="3" spans="1:24">
      <c r="A3" s="13" t="s">
        <v>161</v>
      </c>
      <c r="B3" s="14"/>
      <c r="C3" s="15" t="s">
        <v>4944</v>
      </c>
      <c r="D3" s="15"/>
      <c r="E3" s="15"/>
      <c r="F3" s="15"/>
      <c r="G3" s="15"/>
      <c r="H3" s="15"/>
      <c r="I3" s="15"/>
      <c r="J3" s="15"/>
      <c r="K3" s="15"/>
      <c r="L3" s="15"/>
      <c r="M3" s="15" t="s">
        <v>4945</v>
      </c>
      <c r="N3" s="15"/>
      <c r="O3" s="15"/>
      <c r="P3" s="38" t="s">
        <v>4946</v>
      </c>
      <c r="Q3" s="38" t="s">
        <v>4947</v>
      </c>
      <c r="R3" s="41" t="s">
        <v>1473</v>
      </c>
      <c r="S3" s="42" t="s">
        <v>4948</v>
      </c>
      <c r="T3" s="42"/>
      <c r="U3" s="42"/>
      <c r="V3" s="42"/>
      <c r="W3" s="42"/>
      <c r="X3" s="42"/>
    </row>
    <row r="4" s="5" customFormat="1" spans="1:24">
      <c r="A4" s="13"/>
      <c r="B4" s="16" t="s">
        <v>4949</v>
      </c>
      <c r="C4" s="17" t="s">
        <v>4950</v>
      </c>
      <c r="D4" s="17" t="s">
        <v>4951</v>
      </c>
      <c r="E4" s="18" t="s">
        <v>2440</v>
      </c>
      <c r="F4" s="17" t="s">
        <v>365</v>
      </c>
      <c r="G4" s="17" t="s">
        <v>4952</v>
      </c>
      <c r="H4" s="17" t="s">
        <v>4953</v>
      </c>
      <c r="I4" s="17" t="s">
        <v>4954</v>
      </c>
      <c r="J4" s="17" t="s">
        <v>4955</v>
      </c>
      <c r="K4" s="17" t="s">
        <v>4956</v>
      </c>
      <c r="L4" s="17" t="s">
        <v>1590</v>
      </c>
      <c r="M4" s="17" t="s">
        <v>1473</v>
      </c>
      <c r="N4" s="39" t="s">
        <v>4957</v>
      </c>
      <c r="O4" s="17" t="s">
        <v>1472</v>
      </c>
      <c r="P4" s="38"/>
      <c r="Q4" s="38"/>
      <c r="R4" s="41"/>
      <c r="S4" s="17" t="s">
        <v>4952</v>
      </c>
      <c r="T4" s="17" t="s">
        <v>4953</v>
      </c>
      <c r="U4" s="17" t="s">
        <v>4954</v>
      </c>
      <c r="V4" s="17" t="s">
        <v>4955</v>
      </c>
      <c r="W4" s="17" t="s">
        <v>4956</v>
      </c>
      <c r="X4" s="17" t="s">
        <v>1590</v>
      </c>
    </row>
    <row r="5" s="6" customFormat="1" spans="1:24">
      <c r="A5" s="19">
        <v>1</v>
      </c>
      <c r="B5" s="20"/>
      <c r="C5" s="21"/>
      <c r="D5" s="21"/>
      <c r="E5" s="21"/>
      <c r="F5" s="22">
        <f t="shared" ref="F5:F13" si="0">SUM(G5:L5)</f>
        <v>0</v>
      </c>
      <c r="G5" s="23"/>
      <c r="H5" s="23"/>
      <c r="I5" s="23"/>
      <c r="J5" s="23"/>
      <c r="K5" s="23"/>
      <c r="L5" s="23"/>
      <c r="M5" s="23"/>
      <c r="N5" s="23"/>
      <c r="O5" s="23"/>
      <c r="P5" s="40"/>
      <c r="Q5" s="40"/>
      <c r="R5" s="26">
        <f>SUM(S5:X5)</f>
        <v>0</v>
      </c>
      <c r="S5" s="24"/>
      <c r="T5" s="24"/>
      <c r="U5" s="24"/>
      <c r="V5" s="24"/>
      <c r="W5" s="24"/>
      <c r="X5" s="24"/>
    </row>
    <row r="6" s="6" customFormat="1" spans="1:24">
      <c r="A6" s="19">
        <v>2</v>
      </c>
      <c r="B6" s="20"/>
      <c r="C6" s="24"/>
      <c r="D6" s="24"/>
      <c r="E6" s="24"/>
      <c r="F6" s="22">
        <f t="shared" si="0"/>
        <v>0</v>
      </c>
      <c r="G6" s="24"/>
      <c r="H6" s="24"/>
      <c r="I6" s="24"/>
      <c r="J6" s="24"/>
      <c r="K6" s="24"/>
      <c r="L6" s="24"/>
      <c r="M6" s="24"/>
      <c r="N6" s="24"/>
      <c r="O6" s="24"/>
      <c r="P6" s="24"/>
      <c r="Q6" s="24"/>
      <c r="R6" s="26">
        <f t="shared" ref="R6:R16" si="1">SUM(S6:X6)</f>
        <v>0</v>
      </c>
      <c r="S6" s="24"/>
      <c r="T6" s="24"/>
      <c r="U6" s="24"/>
      <c r="V6" s="24"/>
      <c r="W6" s="24"/>
      <c r="X6" s="24"/>
    </row>
    <row r="7" s="6" customFormat="1" spans="1:24">
      <c r="A7" s="19">
        <v>3</v>
      </c>
      <c r="B7" s="20"/>
      <c r="C7" s="24"/>
      <c r="D7" s="24"/>
      <c r="E7" s="24"/>
      <c r="F7" s="22">
        <f t="shared" si="0"/>
        <v>0</v>
      </c>
      <c r="G7" s="24"/>
      <c r="H7" s="24"/>
      <c r="I7" s="24"/>
      <c r="J7" s="24"/>
      <c r="K7" s="24"/>
      <c r="L7" s="24"/>
      <c r="M7" s="24"/>
      <c r="N7" s="24"/>
      <c r="O7" s="24"/>
      <c r="P7" s="24"/>
      <c r="Q7" s="24"/>
      <c r="R7" s="26">
        <f t="shared" si="1"/>
        <v>0</v>
      </c>
      <c r="S7" s="24"/>
      <c r="T7" s="24"/>
      <c r="U7" s="24"/>
      <c r="V7" s="24"/>
      <c r="W7" s="24"/>
      <c r="X7" s="24"/>
    </row>
    <row r="8" s="6" customFormat="1" spans="1:24">
      <c r="A8" s="19">
        <v>4</v>
      </c>
      <c r="B8" s="20"/>
      <c r="C8" s="24"/>
      <c r="D8" s="24"/>
      <c r="E8" s="24"/>
      <c r="F8" s="22">
        <f t="shared" si="0"/>
        <v>0</v>
      </c>
      <c r="G8" s="24"/>
      <c r="H8" s="24"/>
      <c r="I8" s="24"/>
      <c r="J8" s="24"/>
      <c r="K8" s="24"/>
      <c r="L8" s="24"/>
      <c r="M8" s="24"/>
      <c r="N8" s="24"/>
      <c r="O8" s="24"/>
      <c r="P8" s="24"/>
      <c r="Q8" s="24"/>
      <c r="R8" s="26">
        <f t="shared" si="1"/>
        <v>0</v>
      </c>
      <c r="S8" s="24"/>
      <c r="T8" s="24"/>
      <c r="U8" s="24"/>
      <c r="V8" s="24"/>
      <c r="W8" s="24"/>
      <c r="X8" s="24"/>
    </row>
    <row r="9" s="6" customFormat="1" spans="1:24">
      <c r="A9" s="19">
        <v>5</v>
      </c>
      <c r="B9" s="20"/>
      <c r="C9" s="24"/>
      <c r="D9" s="24"/>
      <c r="E9" s="24"/>
      <c r="F9" s="22">
        <f t="shared" si="0"/>
        <v>0</v>
      </c>
      <c r="G9" s="24"/>
      <c r="H9" s="24"/>
      <c r="I9" s="24"/>
      <c r="J9" s="24"/>
      <c r="K9" s="24"/>
      <c r="L9" s="24"/>
      <c r="M9" s="24"/>
      <c r="N9" s="24"/>
      <c r="O9" s="24"/>
      <c r="P9" s="24"/>
      <c r="Q9" s="24"/>
      <c r="R9" s="26">
        <f t="shared" si="1"/>
        <v>0</v>
      </c>
      <c r="S9" s="24"/>
      <c r="T9" s="24"/>
      <c r="U9" s="24"/>
      <c r="V9" s="24"/>
      <c r="W9" s="24"/>
      <c r="X9" s="24"/>
    </row>
    <row r="10" s="6" customFormat="1" spans="1:24">
      <c r="A10" s="19">
        <v>6</v>
      </c>
      <c r="B10" s="20"/>
      <c r="C10" s="24"/>
      <c r="D10" s="24"/>
      <c r="E10" s="24"/>
      <c r="F10" s="22">
        <f t="shared" si="0"/>
        <v>0</v>
      </c>
      <c r="G10" s="24"/>
      <c r="H10" s="24"/>
      <c r="I10" s="24"/>
      <c r="J10" s="24"/>
      <c r="K10" s="24"/>
      <c r="L10" s="24"/>
      <c r="M10" s="24"/>
      <c r="N10" s="24"/>
      <c r="O10" s="24"/>
      <c r="P10" s="24"/>
      <c r="Q10" s="24"/>
      <c r="R10" s="26">
        <f t="shared" si="1"/>
        <v>0</v>
      </c>
      <c r="S10" s="24"/>
      <c r="T10" s="24"/>
      <c r="U10" s="24"/>
      <c r="V10" s="24"/>
      <c r="W10" s="24"/>
      <c r="X10" s="24"/>
    </row>
    <row r="11" s="6" customFormat="1" spans="1:24">
      <c r="A11" s="19">
        <v>7</v>
      </c>
      <c r="B11" s="20"/>
      <c r="C11" s="24"/>
      <c r="D11" s="24"/>
      <c r="E11" s="24"/>
      <c r="F11" s="22">
        <f t="shared" si="0"/>
        <v>0</v>
      </c>
      <c r="G11" s="24"/>
      <c r="H11" s="24"/>
      <c r="I11" s="24"/>
      <c r="J11" s="24"/>
      <c r="K11" s="24"/>
      <c r="L11" s="24"/>
      <c r="M11" s="24"/>
      <c r="N11" s="24"/>
      <c r="O11" s="24"/>
      <c r="P11" s="24"/>
      <c r="Q11" s="24"/>
      <c r="R11" s="26">
        <f t="shared" si="1"/>
        <v>0</v>
      </c>
      <c r="S11" s="24"/>
      <c r="T11" s="24"/>
      <c r="U11" s="24"/>
      <c r="V11" s="24"/>
      <c r="W11" s="24"/>
      <c r="X11" s="24"/>
    </row>
    <row r="12" s="6" customFormat="1" spans="1:24">
      <c r="A12" s="19">
        <v>8</v>
      </c>
      <c r="B12" s="20"/>
      <c r="C12" s="24"/>
      <c r="D12" s="24"/>
      <c r="E12" s="24"/>
      <c r="F12" s="22">
        <f t="shared" si="0"/>
        <v>0</v>
      </c>
      <c r="G12" s="24"/>
      <c r="H12" s="24"/>
      <c r="I12" s="24"/>
      <c r="J12" s="24"/>
      <c r="K12" s="24"/>
      <c r="L12" s="24"/>
      <c r="M12" s="24"/>
      <c r="N12" s="24"/>
      <c r="O12" s="24"/>
      <c r="P12" s="24"/>
      <c r="Q12" s="24"/>
      <c r="R12" s="26">
        <f t="shared" si="1"/>
        <v>0</v>
      </c>
      <c r="S12" s="24"/>
      <c r="T12" s="24"/>
      <c r="U12" s="24"/>
      <c r="V12" s="24"/>
      <c r="W12" s="24"/>
      <c r="X12" s="24"/>
    </row>
    <row r="13" s="6" customFormat="1" spans="1:24">
      <c r="A13" s="19">
        <v>9</v>
      </c>
      <c r="B13" s="20"/>
      <c r="C13" s="24"/>
      <c r="D13" s="24"/>
      <c r="E13" s="24"/>
      <c r="F13" s="22">
        <f t="shared" si="0"/>
        <v>0</v>
      </c>
      <c r="G13" s="24"/>
      <c r="H13" s="24"/>
      <c r="I13" s="24"/>
      <c r="J13" s="24"/>
      <c r="K13" s="24"/>
      <c r="L13" s="24"/>
      <c r="M13" s="24"/>
      <c r="N13" s="24"/>
      <c r="O13" s="24"/>
      <c r="P13" s="24"/>
      <c r="Q13" s="24"/>
      <c r="R13" s="26">
        <f t="shared" si="1"/>
        <v>0</v>
      </c>
      <c r="S13" s="24"/>
      <c r="T13" s="24"/>
      <c r="U13" s="24"/>
      <c r="V13" s="24"/>
      <c r="W13" s="24"/>
      <c r="X13" s="24"/>
    </row>
    <row r="14" s="6" customFormat="1" spans="1:24">
      <c r="A14" s="19">
        <v>10</v>
      </c>
      <c r="B14" s="20"/>
      <c r="C14" s="24"/>
      <c r="D14" s="24"/>
      <c r="E14" s="24"/>
      <c r="F14" s="22"/>
      <c r="G14" s="24"/>
      <c r="H14" s="24"/>
      <c r="I14" s="24"/>
      <c r="J14" s="24"/>
      <c r="K14" s="24"/>
      <c r="L14" s="24"/>
      <c r="M14" s="24"/>
      <c r="N14" s="24"/>
      <c r="O14" s="24"/>
      <c r="P14" s="24"/>
      <c r="Q14" s="24"/>
      <c r="R14" s="26">
        <f t="shared" si="1"/>
        <v>0</v>
      </c>
      <c r="S14" s="24"/>
      <c r="T14" s="24"/>
      <c r="U14" s="24"/>
      <c r="V14" s="24"/>
      <c r="W14" s="24"/>
      <c r="X14" s="24"/>
    </row>
    <row r="15" s="6" customFormat="1" spans="1:24">
      <c r="A15" s="19" t="s">
        <v>4048</v>
      </c>
      <c r="B15" s="20"/>
      <c r="C15" s="24"/>
      <c r="D15" s="24"/>
      <c r="E15" s="24"/>
      <c r="F15" s="22"/>
      <c r="G15" s="24"/>
      <c r="H15" s="24"/>
      <c r="I15" s="24"/>
      <c r="J15" s="24"/>
      <c r="K15" s="24"/>
      <c r="L15" s="24"/>
      <c r="M15" s="24"/>
      <c r="N15" s="24"/>
      <c r="O15" s="24"/>
      <c r="P15" s="24"/>
      <c r="Q15" s="24"/>
      <c r="R15" s="26">
        <f t="shared" si="1"/>
        <v>0</v>
      </c>
      <c r="S15" s="24"/>
      <c r="T15" s="24"/>
      <c r="U15" s="24"/>
      <c r="V15" s="24"/>
      <c r="W15" s="24"/>
      <c r="X15" s="24"/>
    </row>
    <row r="16" s="6" customFormat="1" spans="1:24">
      <c r="A16" s="19"/>
      <c r="B16" s="25"/>
      <c r="C16" s="26"/>
      <c r="D16" s="26"/>
      <c r="E16" s="26"/>
      <c r="F16" s="22">
        <f>SUM(G16:L16)</f>
        <v>0</v>
      </c>
      <c r="G16" s="26"/>
      <c r="H16" s="26"/>
      <c r="I16" s="26"/>
      <c r="J16" s="26"/>
      <c r="K16" s="26"/>
      <c r="L16" s="26"/>
      <c r="M16" s="26"/>
      <c r="N16" s="26"/>
      <c r="O16" s="26"/>
      <c r="P16" s="26"/>
      <c r="Q16" s="26"/>
      <c r="R16" s="26">
        <f t="shared" si="1"/>
        <v>0</v>
      </c>
      <c r="S16" s="24"/>
      <c r="T16" s="24"/>
      <c r="U16" s="24"/>
      <c r="V16" s="24"/>
      <c r="W16" s="24"/>
      <c r="X16" s="24"/>
    </row>
    <row r="17" spans="1:17">
      <c r="A17" s="27"/>
      <c r="B17" s="28"/>
      <c r="C17" s="29"/>
      <c r="D17" s="29"/>
      <c r="E17" s="29"/>
      <c r="F17" s="29"/>
      <c r="G17" s="29"/>
      <c r="H17" s="29"/>
      <c r="I17" s="29"/>
      <c r="J17" s="29"/>
      <c r="K17" s="29"/>
      <c r="L17" s="29"/>
      <c r="M17" s="29"/>
      <c r="N17" s="29"/>
      <c r="O17" s="29"/>
      <c r="P17" s="29"/>
      <c r="Q17" s="29"/>
    </row>
    <row r="18" customHeight="1" spans="1:2">
      <c r="A18" s="11" t="s">
        <v>4958</v>
      </c>
      <c r="B18" s="12"/>
    </row>
    <row r="19" spans="1:19">
      <c r="A19" s="13" t="s">
        <v>161</v>
      </c>
      <c r="B19" s="14"/>
      <c r="C19" s="15" t="s">
        <v>4959</v>
      </c>
      <c r="D19" s="15"/>
      <c r="E19" s="15"/>
      <c r="F19" s="15"/>
      <c r="G19" s="15"/>
      <c r="H19" s="15"/>
      <c r="I19" s="15"/>
      <c r="J19" s="15"/>
      <c r="K19" s="38" t="s">
        <v>4946</v>
      </c>
      <c r="L19" s="38" t="s">
        <v>4947</v>
      </c>
      <c r="M19" s="41" t="s">
        <v>1473</v>
      </c>
      <c r="N19" s="42" t="s">
        <v>4948</v>
      </c>
      <c r="O19" s="42"/>
      <c r="P19" s="42"/>
      <c r="Q19" s="42"/>
      <c r="R19" s="42"/>
      <c r="S19" s="42"/>
    </row>
    <row r="20" s="5" customFormat="1" spans="1:19">
      <c r="A20" s="13"/>
      <c r="B20" s="16" t="s">
        <v>4949</v>
      </c>
      <c r="C20" s="17" t="s">
        <v>4656</v>
      </c>
      <c r="D20" s="17" t="s">
        <v>4951</v>
      </c>
      <c r="E20" s="18" t="s">
        <v>2440</v>
      </c>
      <c r="F20" s="17" t="s">
        <v>365</v>
      </c>
      <c r="G20" s="17" t="s">
        <v>4952</v>
      </c>
      <c r="H20" s="17" t="s">
        <v>4953</v>
      </c>
      <c r="I20" s="17" t="s">
        <v>4954</v>
      </c>
      <c r="J20" s="17" t="s">
        <v>4039</v>
      </c>
      <c r="K20" s="38"/>
      <c r="L20" s="38"/>
      <c r="M20" s="41"/>
      <c r="N20" s="17" t="s">
        <v>4952</v>
      </c>
      <c r="O20" s="17" t="s">
        <v>4953</v>
      </c>
      <c r="P20" s="17" t="s">
        <v>4954</v>
      </c>
      <c r="Q20" s="17" t="s">
        <v>4955</v>
      </c>
      <c r="R20" s="17" t="s">
        <v>4956</v>
      </c>
      <c r="S20" s="17" t="s">
        <v>1590</v>
      </c>
    </row>
    <row r="21" s="6" customFormat="1" spans="1:19">
      <c r="A21" s="19">
        <v>1</v>
      </c>
      <c r="B21" s="20"/>
      <c r="C21" s="24"/>
      <c r="D21" s="24"/>
      <c r="E21" s="24"/>
      <c r="F21" s="26">
        <f t="shared" ref="F21:F29" si="2">SUM(G21:J21)</f>
        <v>0</v>
      </c>
      <c r="G21" s="24"/>
      <c r="H21" s="24"/>
      <c r="I21" s="24"/>
      <c r="J21" s="24"/>
      <c r="K21" s="24"/>
      <c r="L21" s="24"/>
      <c r="M21" s="26">
        <f>SUM(N21:S21)</f>
        <v>0</v>
      </c>
      <c r="N21" s="24"/>
      <c r="O21" s="24"/>
      <c r="P21" s="24"/>
      <c r="Q21" s="24"/>
      <c r="R21" s="24"/>
      <c r="S21" s="24"/>
    </row>
    <row r="22" s="6" customFormat="1" spans="1:19">
      <c r="A22" s="19">
        <v>2</v>
      </c>
      <c r="B22" s="20"/>
      <c r="C22" s="24"/>
      <c r="D22" s="24"/>
      <c r="E22" s="24"/>
      <c r="F22" s="26">
        <f t="shared" si="2"/>
        <v>0</v>
      </c>
      <c r="G22" s="24"/>
      <c r="H22" s="24"/>
      <c r="I22" s="24"/>
      <c r="J22" s="24"/>
      <c r="K22" s="24"/>
      <c r="L22" s="24"/>
      <c r="M22" s="26">
        <f t="shared" ref="M22:M32" si="3">SUM(N22:S22)</f>
        <v>0</v>
      </c>
      <c r="N22" s="24"/>
      <c r="O22" s="24"/>
      <c r="P22" s="24"/>
      <c r="Q22" s="24"/>
      <c r="R22" s="24"/>
      <c r="S22" s="24"/>
    </row>
    <row r="23" s="6" customFormat="1" spans="1:19">
      <c r="A23" s="19">
        <v>3</v>
      </c>
      <c r="B23" s="20"/>
      <c r="C23" s="24"/>
      <c r="D23" s="24"/>
      <c r="E23" s="24"/>
      <c r="F23" s="26">
        <f t="shared" si="2"/>
        <v>0</v>
      </c>
      <c r="G23" s="24"/>
      <c r="H23" s="24"/>
      <c r="I23" s="24"/>
      <c r="J23" s="24"/>
      <c r="K23" s="24"/>
      <c r="L23" s="24"/>
      <c r="M23" s="26">
        <f t="shared" si="3"/>
        <v>0</v>
      </c>
      <c r="N23" s="24"/>
      <c r="O23" s="24"/>
      <c r="P23" s="24"/>
      <c r="Q23" s="24"/>
      <c r="R23" s="24"/>
      <c r="S23" s="24"/>
    </row>
    <row r="24" s="6" customFormat="1" spans="1:19">
      <c r="A24" s="19">
        <v>4</v>
      </c>
      <c r="B24" s="20"/>
      <c r="C24" s="24"/>
      <c r="D24" s="24"/>
      <c r="E24" s="24"/>
      <c r="F24" s="26">
        <f t="shared" si="2"/>
        <v>0</v>
      </c>
      <c r="G24" s="24"/>
      <c r="H24" s="24"/>
      <c r="I24" s="24"/>
      <c r="J24" s="24"/>
      <c r="K24" s="24"/>
      <c r="L24" s="24"/>
      <c r="M24" s="26">
        <f t="shared" si="3"/>
        <v>0</v>
      </c>
      <c r="N24" s="24"/>
      <c r="O24" s="24"/>
      <c r="P24" s="24"/>
      <c r="Q24" s="24"/>
      <c r="R24" s="24"/>
      <c r="S24" s="24"/>
    </row>
    <row r="25" s="6" customFormat="1" spans="1:19">
      <c r="A25" s="19">
        <v>5</v>
      </c>
      <c r="B25" s="20"/>
      <c r="C25" s="24"/>
      <c r="D25" s="24"/>
      <c r="E25" s="24"/>
      <c r="F25" s="26">
        <f t="shared" si="2"/>
        <v>0</v>
      </c>
      <c r="G25" s="24"/>
      <c r="H25" s="24"/>
      <c r="I25" s="24"/>
      <c r="J25" s="24"/>
      <c r="K25" s="24"/>
      <c r="L25" s="24"/>
      <c r="M25" s="26">
        <f t="shared" si="3"/>
        <v>0</v>
      </c>
      <c r="N25" s="24"/>
      <c r="O25" s="24"/>
      <c r="P25" s="24"/>
      <c r="Q25" s="24"/>
      <c r="R25" s="24"/>
      <c r="S25" s="24"/>
    </row>
    <row r="26" s="6" customFormat="1" spans="1:19">
      <c r="A26" s="19">
        <v>6</v>
      </c>
      <c r="B26" s="20"/>
      <c r="C26" s="24"/>
      <c r="D26" s="24"/>
      <c r="E26" s="24"/>
      <c r="F26" s="26">
        <f t="shared" si="2"/>
        <v>0</v>
      </c>
      <c r="G26" s="24"/>
      <c r="H26" s="24"/>
      <c r="I26" s="24"/>
      <c r="J26" s="24"/>
      <c r="K26" s="24"/>
      <c r="L26" s="24"/>
      <c r="M26" s="26">
        <f t="shared" si="3"/>
        <v>0</v>
      </c>
      <c r="N26" s="24"/>
      <c r="O26" s="24"/>
      <c r="P26" s="24"/>
      <c r="Q26" s="24"/>
      <c r="R26" s="24"/>
      <c r="S26" s="24"/>
    </row>
    <row r="27" s="6" customFormat="1" spans="1:19">
      <c r="A27" s="19">
        <v>7</v>
      </c>
      <c r="B27" s="20"/>
      <c r="C27" s="24"/>
      <c r="D27" s="24"/>
      <c r="E27" s="24"/>
      <c r="F27" s="26">
        <f t="shared" si="2"/>
        <v>0</v>
      </c>
      <c r="G27" s="24"/>
      <c r="H27" s="24"/>
      <c r="I27" s="24"/>
      <c r="J27" s="24"/>
      <c r="K27" s="24"/>
      <c r="L27" s="24"/>
      <c r="M27" s="26">
        <f t="shared" si="3"/>
        <v>0</v>
      </c>
      <c r="N27" s="24"/>
      <c r="O27" s="24"/>
      <c r="P27" s="24"/>
      <c r="Q27" s="24"/>
      <c r="R27" s="24"/>
      <c r="S27" s="24"/>
    </row>
    <row r="28" s="6" customFormat="1" spans="1:19">
      <c r="A28" s="19">
        <v>8</v>
      </c>
      <c r="B28" s="20"/>
      <c r="C28" s="24"/>
      <c r="D28" s="24"/>
      <c r="E28" s="24"/>
      <c r="F28" s="26">
        <f t="shared" si="2"/>
        <v>0</v>
      </c>
      <c r="G28" s="24"/>
      <c r="H28" s="24"/>
      <c r="I28" s="24"/>
      <c r="J28" s="24"/>
      <c r="K28" s="24"/>
      <c r="L28" s="24"/>
      <c r="M28" s="26">
        <f t="shared" si="3"/>
        <v>0</v>
      </c>
      <c r="N28" s="24"/>
      <c r="O28" s="24"/>
      <c r="P28" s="24"/>
      <c r="Q28" s="24"/>
      <c r="R28" s="24"/>
      <c r="S28" s="24"/>
    </row>
    <row r="29" s="6" customFormat="1" spans="1:19">
      <c r="A29" s="19">
        <v>9</v>
      </c>
      <c r="B29" s="20"/>
      <c r="C29" s="24"/>
      <c r="D29" s="24"/>
      <c r="E29" s="24"/>
      <c r="F29" s="26">
        <f t="shared" si="2"/>
        <v>0</v>
      </c>
      <c r="G29" s="24"/>
      <c r="H29" s="24"/>
      <c r="I29" s="24"/>
      <c r="J29" s="24"/>
      <c r="K29" s="24"/>
      <c r="L29" s="24"/>
      <c r="M29" s="26">
        <f t="shared" si="3"/>
        <v>0</v>
      </c>
      <c r="N29" s="24"/>
      <c r="O29" s="24"/>
      <c r="P29" s="24"/>
      <c r="Q29" s="24"/>
      <c r="R29" s="24"/>
      <c r="S29" s="24"/>
    </row>
    <row r="30" s="6" customFormat="1" spans="1:19">
      <c r="A30" s="19">
        <v>10</v>
      </c>
      <c r="B30" s="20"/>
      <c r="C30" s="24"/>
      <c r="D30" s="24"/>
      <c r="E30" s="24"/>
      <c r="F30" s="26"/>
      <c r="G30" s="24"/>
      <c r="H30" s="24"/>
      <c r="I30" s="24"/>
      <c r="J30" s="24"/>
      <c r="K30" s="24"/>
      <c r="L30" s="24"/>
      <c r="M30" s="26">
        <f t="shared" si="3"/>
        <v>0</v>
      </c>
      <c r="N30" s="24"/>
      <c r="O30" s="24"/>
      <c r="P30" s="24"/>
      <c r="Q30" s="24"/>
      <c r="R30" s="24"/>
      <c r="S30" s="24"/>
    </row>
    <row r="31" s="6" customFormat="1" spans="1:19">
      <c r="A31" s="19" t="s">
        <v>4048</v>
      </c>
      <c r="B31" s="20"/>
      <c r="C31" s="24"/>
      <c r="D31" s="24"/>
      <c r="E31" s="24"/>
      <c r="F31" s="26"/>
      <c r="G31" s="24"/>
      <c r="H31" s="24"/>
      <c r="I31" s="24"/>
      <c r="J31" s="24"/>
      <c r="K31" s="24"/>
      <c r="L31" s="24"/>
      <c r="M31" s="26">
        <f t="shared" si="3"/>
        <v>0</v>
      </c>
      <c r="N31" s="24"/>
      <c r="O31" s="24"/>
      <c r="P31" s="24"/>
      <c r="Q31" s="24"/>
      <c r="R31" s="24"/>
      <c r="S31" s="24"/>
    </row>
    <row r="32" s="6" customFormat="1" spans="1:19">
      <c r="A32" s="19"/>
      <c r="B32" s="25"/>
      <c r="C32" s="26"/>
      <c r="D32" s="26"/>
      <c r="E32" s="26"/>
      <c r="F32" s="26">
        <f>SUM(G32:J32)</f>
        <v>0</v>
      </c>
      <c r="G32" s="26"/>
      <c r="H32" s="26"/>
      <c r="I32" s="26"/>
      <c r="J32" s="26"/>
      <c r="K32" s="26"/>
      <c r="L32" s="26"/>
      <c r="M32" s="26">
        <f t="shared" si="3"/>
        <v>0</v>
      </c>
      <c r="N32" s="24"/>
      <c r="O32" s="24"/>
      <c r="P32" s="24"/>
      <c r="Q32" s="24"/>
      <c r="R32" s="24"/>
      <c r="S32" s="24"/>
    </row>
    <row r="34" spans="1:3">
      <c r="A34" s="9" t="s">
        <v>4960</v>
      </c>
      <c r="B34" s="10"/>
      <c r="C34" s="30"/>
    </row>
    <row r="35" s="5" customFormat="1" spans="1:7">
      <c r="A35" s="13" t="s">
        <v>161</v>
      </c>
      <c r="B35" s="31" t="s">
        <v>4961</v>
      </c>
      <c r="C35" s="31" t="s">
        <v>432</v>
      </c>
      <c r="D35" s="32" t="s">
        <v>2037</v>
      </c>
      <c r="E35" s="32" t="s">
        <v>365</v>
      </c>
      <c r="F35" s="32" t="s">
        <v>353</v>
      </c>
      <c r="G35" s="33"/>
    </row>
    <row r="36" spans="1:7">
      <c r="A36" s="13"/>
      <c r="B36" s="34"/>
      <c r="C36" s="34"/>
      <c r="D36" s="34"/>
      <c r="E36" s="34"/>
      <c r="F36" s="34"/>
      <c r="G36" s="35"/>
    </row>
    <row r="37" s="6" customFormat="1" spans="1:7">
      <c r="A37" s="19">
        <v>1</v>
      </c>
      <c r="B37" s="24"/>
      <c r="C37" s="24"/>
      <c r="D37" s="24"/>
      <c r="E37" s="24"/>
      <c r="F37" s="24"/>
      <c r="G37" s="36"/>
    </row>
    <row r="38" s="6" customFormat="1" spans="1:7">
      <c r="A38" s="19">
        <v>2</v>
      </c>
      <c r="B38" s="24"/>
      <c r="C38" s="24"/>
      <c r="D38" s="24"/>
      <c r="E38" s="24"/>
      <c r="F38" s="24"/>
      <c r="G38" s="36"/>
    </row>
    <row r="39" s="6" customFormat="1" spans="1:7">
      <c r="A39" s="19">
        <v>3</v>
      </c>
      <c r="B39" s="24"/>
      <c r="C39" s="24"/>
      <c r="D39" s="24"/>
      <c r="E39" s="24"/>
      <c r="F39" s="24"/>
      <c r="G39" s="36"/>
    </row>
    <row r="40" s="6" customFormat="1" spans="1:7">
      <c r="A40" s="19">
        <v>4</v>
      </c>
      <c r="B40" s="24"/>
      <c r="C40" s="24"/>
      <c r="D40" s="24"/>
      <c r="E40" s="24"/>
      <c r="F40" s="24"/>
      <c r="G40" s="36"/>
    </row>
    <row r="41" s="6" customFormat="1" spans="1:7">
      <c r="A41" s="19">
        <v>5</v>
      </c>
      <c r="B41" s="24"/>
      <c r="C41" s="24"/>
      <c r="D41" s="24"/>
      <c r="E41" s="24"/>
      <c r="F41" s="24"/>
      <c r="G41" s="36"/>
    </row>
    <row r="42" s="6" customFormat="1" spans="1:7">
      <c r="A42" s="19">
        <v>6</v>
      </c>
      <c r="B42" s="24"/>
      <c r="C42" s="24"/>
      <c r="D42" s="24"/>
      <c r="E42" s="24"/>
      <c r="F42" s="24"/>
      <c r="G42" s="36"/>
    </row>
    <row r="43" s="6" customFormat="1" spans="1:7">
      <c r="A43" s="19">
        <v>7</v>
      </c>
      <c r="B43" s="24"/>
      <c r="C43" s="24"/>
      <c r="D43" s="24"/>
      <c r="E43" s="24"/>
      <c r="F43" s="24"/>
      <c r="G43" s="36"/>
    </row>
    <row r="44" s="6" customFormat="1" spans="1:7">
      <c r="A44" s="19">
        <v>8</v>
      </c>
      <c r="B44" s="24"/>
      <c r="C44" s="24"/>
      <c r="D44" s="24"/>
      <c r="E44" s="24"/>
      <c r="F44" s="24"/>
      <c r="G44" s="36"/>
    </row>
    <row r="45" s="6" customFormat="1" spans="1:7">
      <c r="A45" s="19">
        <v>9</v>
      </c>
      <c r="B45" s="24"/>
      <c r="C45" s="24"/>
      <c r="D45" s="24"/>
      <c r="E45" s="24"/>
      <c r="F45" s="24"/>
      <c r="G45" s="36"/>
    </row>
    <row r="46" s="6" customFormat="1" spans="1:7">
      <c r="A46" s="19">
        <v>10</v>
      </c>
      <c r="B46" s="24"/>
      <c r="C46" s="24"/>
      <c r="D46" s="24"/>
      <c r="E46" s="24"/>
      <c r="F46" s="24"/>
      <c r="G46" s="36"/>
    </row>
    <row r="47" s="6" customFormat="1" spans="1:7">
      <c r="A47" s="19" t="s">
        <v>4048</v>
      </c>
      <c r="B47" s="24"/>
      <c r="C47" s="24"/>
      <c r="D47" s="24"/>
      <c r="E47" s="24"/>
      <c r="F47" s="24"/>
      <c r="G47" s="36"/>
    </row>
    <row r="48" s="6" customFormat="1" spans="1:7">
      <c r="A48" s="37"/>
      <c r="B48" s="26"/>
      <c r="C48" s="26"/>
      <c r="D48" s="26"/>
      <c r="E48" s="26"/>
      <c r="F48" s="26"/>
      <c r="G48" s="36"/>
    </row>
  </sheetData>
  <mergeCells count="14">
    <mergeCell ref="C3:L3"/>
    <mergeCell ref="M3:O3"/>
    <mergeCell ref="S3:X3"/>
    <mergeCell ref="C19:J19"/>
    <mergeCell ref="N19:S19"/>
    <mergeCell ref="A3:A4"/>
    <mergeCell ref="A19:A20"/>
    <mergeCell ref="A35:A36"/>
    <mergeCell ref="K19:K20"/>
    <mergeCell ref="L19:L20"/>
    <mergeCell ref="M19:M20"/>
    <mergeCell ref="P3:P4"/>
    <mergeCell ref="Q3:Q4"/>
    <mergeCell ref="R3:R4"/>
  </mergeCells>
  <pageMargins left="0.7" right="0.7" top="0.75" bottom="0.75" header="0.3" footer="0.3"/>
  <pageSetup paperSize="9" orientation="portrait"/>
  <headerFooter/>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L5"/>
  <sheetViews>
    <sheetView workbookViewId="0">
      <selection activeCell="L14" sqref="L14"/>
    </sheetView>
  </sheetViews>
  <sheetFormatPr defaultColWidth="9" defaultRowHeight="14.25" outlineLevelRow="4"/>
  <cols>
    <col min="1" max="1" width="8.375" customWidth="1"/>
    <col min="2" max="2" width="10.5" customWidth="1"/>
    <col min="3" max="3" width="11.5" customWidth="1"/>
  </cols>
  <sheetData>
    <row r="1" spans="1:12">
      <c r="A1" s="1" t="s">
        <v>1442</v>
      </c>
      <c r="B1" s="1" t="s">
        <v>4962</v>
      </c>
      <c r="C1" s="1"/>
      <c r="D1" s="2" t="s">
        <v>161</v>
      </c>
      <c r="E1" s="2" t="s">
        <v>1420</v>
      </c>
      <c r="F1" s="2" t="s">
        <v>1444</v>
      </c>
      <c r="G1" s="2" t="s">
        <v>1420</v>
      </c>
      <c r="H1" s="2" t="s">
        <v>1445</v>
      </c>
      <c r="I1" s="2" t="s">
        <v>1440</v>
      </c>
      <c r="J1" s="2" t="s">
        <v>1421</v>
      </c>
      <c r="K1" s="2" t="s">
        <v>4963</v>
      </c>
      <c r="L1" s="2" t="s">
        <v>1442</v>
      </c>
    </row>
    <row r="2" spans="1:3">
      <c r="A2" s="1"/>
      <c r="B2" s="1"/>
      <c r="C2" s="1"/>
    </row>
    <row r="3" spans="1:3">
      <c r="A3" s="1" t="s">
        <v>4964</v>
      </c>
      <c r="B3" s="1" t="s">
        <v>4965</v>
      </c>
      <c r="C3" s="1" t="s">
        <v>4966</v>
      </c>
    </row>
    <row r="4" spans="1:3">
      <c r="A4" s="3" t="s">
        <v>4962</v>
      </c>
      <c r="B4" s="4"/>
      <c r="C4" s="4"/>
    </row>
    <row r="5" spans="1:3">
      <c r="A5" s="3" t="s">
        <v>4967</v>
      </c>
      <c r="B5" s="4"/>
      <c r="C5" s="4"/>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50</vt:i4>
      </vt:variant>
    </vt:vector>
  </HeadingPairs>
  <TitlesOfParts>
    <vt:vector size="50" baseType="lpstr">
      <vt:lpstr>Sheet1</vt:lpstr>
      <vt:lpstr>参数表</vt:lpstr>
      <vt:lpstr>月度审定利润表</vt:lpstr>
      <vt:lpstr>月度审定现流表</vt:lpstr>
      <vt:lpstr>未审资负表</vt:lpstr>
      <vt:lpstr>未审利润表</vt:lpstr>
      <vt:lpstr>未审现流表</vt:lpstr>
      <vt:lpstr>未审权益表</vt:lpstr>
      <vt:lpstr>本月审定利润表</vt:lpstr>
      <vt:lpstr>本月审定现流表</vt:lpstr>
      <vt:lpstr>未审附注之流动资产</vt:lpstr>
      <vt:lpstr>未审附注之非流动资产</vt:lpstr>
      <vt:lpstr>未审附注之负债及权益</vt:lpstr>
      <vt:lpstr>未审附注之利润及利润分配</vt:lpstr>
      <vt:lpstr>未审附注及报表核对</vt:lpstr>
      <vt:lpstr>资负表及利润表调整分录</vt:lpstr>
      <vt:lpstr>现流表调整分录</vt:lpstr>
      <vt:lpstr>审定资负表</vt:lpstr>
      <vt:lpstr>审定利润表</vt:lpstr>
      <vt:lpstr>审定现流表</vt:lpstr>
      <vt:lpstr>审定权益表</vt:lpstr>
      <vt:lpstr>审定附注之流动资产</vt:lpstr>
      <vt:lpstr>审定附注之非流动资产</vt:lpstr>
      <vt:lpstr>审定附注之负债及权益</vt:lpstr>
      <vt:lpstr>审定附注之利润及利润分配</vt:lpstr>
      <vt:lpstr>审定报表及附注核对</vt:lpstr>
      <vt:lpstr>试算平衡表</vt:lpstr>
      <vt:lpstr>报表附注合并用</vt:lpstr>
      <vt:lpstr>审定打印版1</vt:lpstr>
      <vt:lpstr>审定打印版2</vt:lpstr>
      <vt:lpstr>审定打印版3</vt:lpstr>
      <vt:lpstr>审定打印版4</vt:lpstr>
      <vt:lpstr>附注、报表核对</vt:lpstr>
      <vt:lpstr>现流表勾稽</vt:lpstr>
      <vt:lpstr>附注其他核对</vt:lpstr>
      <vt:lpstr>报表分析（合理性复核）</vt:lpstr>
      <vt:lpstr>报表附注</vt:lpstr>
      <vt:lpstr>报表附注合并期初用</vt:lpstr>
      <vt:lpstr>1.管理费用</vt:lpstr>
      <vt:lpstr>2.销售费用</vt:lpstr>
      <vt:lpstr>3.借款</vt:lpstr>
      <vt:lpstr>4、非经常性损益</vt:lpstr>
      <vt:lpstr>5、所得税调整</vt:lpstr>
      <vt:lpstr>5在建工程</vt:lpstr>
      <vt:lpstr>6长摊</vt:lpstr>
      <vt:lpstr>7固定资产</vt:lpstr>
      <vt:lpstr>8无形资产</vt:lpstr>
      <vt:lpstr>固定资产清理</vt:lpstr>
      <vt:lpstr>内部往来账龄</vt:lpstr>
      <vt:lpstr>透视表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Vonnie</cp:lastModifiedBy>
  <dcterms:created xsi:type="dcterms:W3CDTF">1996-12-17T01:32:00Z</dcterms:created>
  <cp:lastPrinted>2008-01-08T13:28:00Z</cp:lastPrinted>
  <dcterms:modified xsi:type="dcterms:W3CDTF">2019-08-06T09:40:28Z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